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drawings/drawing4.xml" ContentType="application/vnd.openxmlformats-officedocument.drawingml.chartshapes+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namedSheetViews/namedSheetView1.xml" ContentType="application/vnd.ms-excel.namedsheetviews+xml"/>
  <Override PartName="/xl/tables/table6.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5.xml" ContentType="application/vnd.openxmlformats-officedocument.spreadsheetml.table+xml"/>
  <Override PartName="/xl/tables/table16.xml" ContentType="application/vnd.openxmlformats-officedocument.spreadsheetml.table+xml"/>
  <Override PartName="/xl/pivotTables/pivotTable17.xml" ContentType="application/vnd.openxmlformats-officedocument.spreadsheetml.pivotTable+xml"/>
  <Override PartName="/xl/drawings/drawing8.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D:\Project\data-processing-be\templates\cash_report\"/>
    </mc:Choice>
  </mc:AlternateContent>
  <xr:revisionPtr revIDLastSave="0" documentId="13_ncr:1_{3F27A06F-E654-4FA8-810F-915A2C941CCC}" xr6:coauthVersionLast="47" xr6:coauthVersionMax="47" xr10:uidLastSave="{00000000-0000-0000-0000-000000000000}"/>
  <bookViews>
    <workbookView xWindow="-108" yWindow="-108" windowWidth="23256" windowHeight="12456" tabRatio="907" firstSheet="3" activeTab="12" xr2:uid="{370D77B7-6280-4E15-9716-81912B88F832}"/>
  </bookViews>
  <sheets>
    <sheet name="for email" sheetId="55" state="hidden" r:id="rId1"/>
    <sheet name="&gt;&gt;Chart" sheetId="14" state="hidden" r:id="rId2"/>
    <sheet name="Sheet5" sheetId="63" state="hidden" r:id="rId3"/>
    <sheet name="Summary" sheetId="45" r:id="rId4"/>
    <sheet name="&gt;&gt;Breakdown" sheetId="30" state="hidden" r:id="rId5"/>
    <sheet name="&gt;&gt;&gt;Detail" sheetId="44" state="hidden" r:id="rId6"/>
    <sheet name="Current_Yield" sheetId="60" state="hidden" r:id="rId7"/>
    <sheet name="VND_rate" sheetId="41" state="hidden" r:id="rId8"/>
    <sheet name="USD_yield" sheetId="42" state="hidden" r:id="rId9"/>
    <sheet name="Detail1" sheetId="73" state="hidden" r:id="rId10"/>
    <sheet name="Total Cash" sheetId="46" state="hidden" r:id="rId11"/>
    <sheet name="Cash Planning" sheetId="47" state="hidden" r:id="rId12"/>
    <sheet name="Cash balance (Prior period)" sheetId="61" r:id="rId13"/>
    <sheet name="Sheet6" sheetId="74" state="hidden" r:id="rId14"/>
    <sheet name="Cash Balance" sheetId="21" r:id="rId15"/>
    <sheet name="Saving Account" sheetId="22" r:id="rId16"/>
    <sheet name="Movement" sheetId="62" r:id="rId17"/>
    <sheet name="Acc_Char" sheetId="27" r:id="rId18"/>
    <sheet name="Def" sheetId="25" r:id="rId19"/>
    <sheet name="Bank Statement VTB + BIDV (NS)" sheetId="68" state="hidden" r:id="rId20"/>
    <sheet name="key payment " sheetId="66" state="hidden" r:id="rId21"/>
    <sheet name="Update cash balance" sheetId="71" state="hidden" r:id="rId22"/>
    <sheet name="Cash balance (BS)" sheetId="64" state="hidden" r:id="rId23"/>
    <sheet name="VTB(2)" sheetId="72" state="hidden" r:id="rId24"/>
    <sheet name="vtb(1)" sheetId="70" state="hidden" r:id="rId25"/>
    <sheet name="Cashplan" sheetId="54" state="hidden" r:id="rId26"/>
    <sheet name="Sheet2" sheetId="57" state="hidden" r:id="rId27"/>
    <sheet name="Sheet3" sheetId="58" state="hidden" r:id="rId28"/>
    <sheet name="Sheet4" sheetId="59" state="hidden" r:id="rId29"/>
    <sheet name="CM_Cash" sheetId="52" state="hidden" r:id="rId30"/>
    <sheet name="Sheet1" sheetId="56" state="hidden" r:id="rId31"/>
    <sheet name="&gt;&gt;Data" sheetId="48" state="hidden" r:id="rId32"/>
  </sheets>
  <definedNames>
    <definedName name="_xlnm._FilterDatabase" localSheetId="19" hidden="1">'Bank Statement VTB + BIDV (NS)'!$A$2:$N$658</definedName>
    <definedName name="_xlnm._FilterDatabase" localSheetId="14" hidden="1">'Cash Balance'!$AH$4:$AH$5</definedName>
    <definedName name="_xlnm._FilterDatabase" localSheetId="12" hidden="1">'Cash balance (Prior period)'!$A$3:$AD$911</definedName>
    <definedName name="_xlnm._FilterDatabase" localSheetId="11" hidden="1">'Cash Planning'!$A$14:$M$139</definedName>
    <definedName name="_xlnm._FilterDatabase" localSheetId="29" hidden="1">CM_Cash!$A$12:$K$12</definedName>
    <definedName name="_xlnm._FilterDatabase" localSheetId="0" hidden="1">'for email'!$A$40:$S$108</definedName>
    <definedName name="_xlnm._FilterDatabase" localSheetId="20" hidden="1">'key payment '!$A$3:$C$46</definedName>
    <definedName name="_xlnm._FilterDatabase" localSheetId="16" hidden="1">Movement!$A$3:$Q$2999</definedName>
    <definedName name="_xlnm._FilterDatabase" localSheetId="15" hidden="1">'Saving Account'!$A$3:$O$18</definedName>
    <definedName name="_xlnm._FilterDatabase" localSheetId="21" hidden="1">'Update cash balance'!$A$2:$E$353</definedName>
    <definedName name="acc.accountNo">#REF!</definedName>
    <definedName name="acc.aliasName">#REF!</definedName>
    <definedName name="acc.availableBalance">#REF!</definedName>
    <definedName name="acc.currency">#REF!</definedName>
    <definedName name="acc.interestRate">#REF!</definedName>
    <definedName name="acc.openDate">#REF!</definedName>
    <definedName name="acc.statusname">#REF!</definedName>
    <definedName name="ExternalData_1" localSheetId="22" hidden="1">'Cash balance (BS)'!$A$1:$E$1383</definedName>
    <definedName name="ExternalData_3" localSheetId="22" hidden="1">'Cash balance (BS)'!$A$1:$E$1018</definedName>
    <definedName name="Fx" localSheetId="19">#REF!</definedName>
    <definedName name="Fx">'&gt;&gt;Chart'!$C$1</definedName>
    <definedName name="Fx_rate" localSheetId="19">#REF!</definedName>
    <definedName name="Fx_rate" localSheetId="16">#REF!</definedName>
    <definedName name="Fx_rate">Summary!$B$3</definedName>
    <definedName name="KeywordsTable">#REF!</definedName>
    <definedName name="NGÂN_HÀNG_TMCP_CÔNG_THƯƠNG_VIỆT_NAM">#REF!</definedName>
    <definedName name="_xlnm.Print_Area" localSheetId="29">CM_Cash!$A$1:$K$130</definedName>
    <definedName name="_xlnm.Print_Area" localSheetId="3">Summary!$A$1:$L$272</definedName>
    <definedName name="ROW___ROW_A10">#REF!</definedName>
    <definedName name="ROW___ROW_A25">#REF!</definedName>
  </definedNames>
  <calcPr calcId="191028"/>
  <pivotCaches>
    <pivotCache cacheId="0" r:id="rId33"/>
    <pivotCache cacheId="1" r:id="rId34"/>
    <pivotCache cacheId="2" r:id="rId35"/>
    <pivotCache cacheId="3" r:id="rId36"/>
    <pivotCache cacheId="4" r:id="rId3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56" l="1"/>
  <c r="I30" i="56"/>
  <c r="H30" i="56"/>
  <c r="G30" i="56"/>
  <c r="I29" i="56"/>
  <c r="I28" i="56"/>
  <c r="G28" i="56"/>
  <c r="I27" i="56"/>
  <c r="G27" i="56"/>
  <c r="I26" i="56"/>
  <c r="G26" i="56"/>
  <c r="I25" i="56"/>
  <c r="G25" i="56"/>
  <c r="I24" i="56"/>
  <c r="G24" i="56"/>
  <c r="I23" i="56"/>
  <c r="G23" i="56"/>
  <c r="I22" i="56"/>
  <c r="G22" i="56"/>
  <c r="I21" i="56"/>
  <c r="G21" i="56"/>
  <c r="I20" i="56"/>
  <c r="G20" i="56"/>
  <c r="I3" i="56"/>
  <c r="H3" i="56"/>
  <c r="G3" i="56"/>
  <c r="I2" i="56"/>
  <c r="H2" i="56"/>
  <c r="G2" i="56"/>
  <c r="U216" i="52"/>
  <c r="T216" i="52"/>
  <c r="R216" i="52"/>
  <c r="Q216" i="52"/>
  <c r="P216" i="52"/>
  <c r="I216" i="52"/>
  <c r="H216" i="52"/>
  <c r="F216" i="52"/>
  <c r="E216" i="52"/>
  <c r="D216" i="52"/>
  <c r="U215" i="52"/>
  <c r="T215" i="52"/>
  <c r="R215" i="52"/>
  <c r="Q215" i="52"/>
  <c r="P215" i="52"/>
  <c r="I215" i="52"/>
  <c r="H215" i="52"/>
  <c r="F215" i="52"/>
  <c r="E215" i="52"/>
  <c r="D215" i="52"/>
  <c r="U214" i="52"/>
  <c r="T214" i="52"/>
  <c r="R214" i="52"/>
  <c r="Q214" i="52"/>
  <c r="P214" i="52"/>
  <c r="I214" i="52"/>
  <c r="H214" i="52"/>
  <c r="F214" i="52"/>
  <c r="E214" i="52"/>
  <c r="D214" i="52"/>
  <c r="U213" i="52"/>
  <c r="T213" i="52"/>
  <c r="R213" i="52"/>
  <c r="Q213" i="52"/>
  <c r="P213" i="52"/>
  <c r="I213" i="52"/>
  <c r="H213" i="52"/>
  <c r="F213" i="52"/>
  <c r="E213" i="52"/>
  <c r="D213" i="52"/>
  <c r="U212" i="52"/>
  <c r="T212" i="52"/>
  <c r="R212" i="52"/>
  <c r="Q212" i="52"/>
  <c r="P212" i="52"/>
  <c r="I212" i="52"/>
  <c r="H212" i="52"/>
  <c r="F212" i="52"/>
  <c r="E212" i="52"/>
  <c r="D212" i="52"/>
  <c r="U211" i="52"/>
  <c r="T211" i="52"/>
  <c r="R211" i="52"/>
  <c r="Q211" i="52"/>
  <c r="P211" i="52"/>
  <c r="I211" i="52"/>
  <c r="H211" i="52"/>
  <c r="F211" i="52"/>
  <c r="E211" i="52"/>
  <c r="D211" i="52"/>
  <c r="U210" i="52"/>
  <c r="T210" i="52"/>
  <c r="R210" i="52"/>
  <c r="Q210" i="52"/>
  <c r="P210" i="52"/>
  <c r="I210" i="52"/>
  <c r="H210" i="52"/>
  <c r="F210" i="52"/>
  <c r="E210" i="52"/>
  <c r="D210" i="52"/>
  <c r="U209" i="52"/>
  <c r="T209" i="52"/>
  <c r="R209" i="52"/>
  <c r="Q209" i="52"/>
  <c r="P209" i="52"/>
  <c r="I209" i="52"/>
  <c r="H209" i="52"/>
  <c r="F209" i="52"/>
  <c r="E209" i="52"/>
  <c r="D209" i="52"/>
  <c r="U208" i="52"/>
  <c r="T208" i="52"/>
  <c r="R208" i="52"/>
  <c r="Q208" i="52"/>
  <c r="P208" i="52"/>
  <c r="I208" i="52"/>
  <c r="H208" i="52"/>
  <c r="F208" i="52"/>
  <c r="E208" i="52"/>
  <c r="D208" i="52"/>
  <c r="U207" i="52"/>
  <c r="T207" i="52"/>
  <c r="R207" i="52"/>
  <c r="Q207" i="52"/>
  <c r="P207" i="52"/>
  <c r="I207" i="52"/>
  <c r="H207" i="52"/>
  <c r="F207" i="52"/>
  <c r="E207" i="52"/>
  <c r="D207" i="52"/>
  <c r="U206" i="52"/>
  <c r="T206" i="52"/>
  <c r="R206" i="52"/>
  <c r="Q206" i="52"/>
  <c r="P206" i="52"/>
  <c r="I206" i="52"/>
  <c r="H206" i="52"/>
  <c r="F206" i="52"/>
  <c r="E206" i="52"/>
  <c r="D206" i="52"/>
  <c r="U205" i="52"/>
  <c r="T205" i="52"/>
  <c r="R205" i="52"/>
  <c r="Q205" i="52"/>
  <c r="P205" i="52"/>
  <c r="I205" i="52"/>
  <c r="H205" i="52"/>
  <c r="F205" i="52"/>
  <c r="E205" i="52"/>
  <c r="D205" i="52"/>
  <c r="U204" i="52"/>
  <c r="T204" i="52"/>
  <c r="R204" i="52"/>
  <c r="Q204" i="52"/>
  <c r="P204" i="52"/>
  <c r="I204" i="52"/>
  <c r="H204" i="52"/>
  <c r="F204" i="52"/>
  <c r="E204" i="52"/>
  <c r="D204" i="52"/>
  <c r="U203" i="52"/>
  <c r="T203" i="52"/>
  <c r="R203" i="52"/>
  <c r="Q203" i="52"/>
  <c r="P203" i="52"/>
  <c r="I203" i="52"/>
  <c r="H203" i="52"/>
  <c r="F203" i="52"/>
  <c r="E203" i="52"/>
  <c r="D203" i="52"/>
  <c r="U202" i="52"/>
  <c r="T202" i="52"/>
  <c r="R202" i="52"/>
  <c r="Q202" i="52"/>
  <c r="P202" i="52"/>
  <c r="I202" i="52"/>
  <c r="H202" i="52"/>
  <c r="F202" i="52"/>
  <c r="E202" i="52"/>
  <c r="D202" i="52"/>
  <c r="U201" i="52"/>
  <c r="T201" i="52"/>
  <c r="R201" i="52"/>
  <c r="Q201" i="52"/>
  <c r="P201" i="52"/>
  <c r="I201" i="52"/>
  <c r="H201" i="52"/>
  <c r="F201" i="52"/>
  <c r="E201" i="52"/>
  <c r="D201" i="52"/>
  <c r="U200" i="52"/>
  <c r="T200" i="52"/>
  <c r="R200" i="52"/>
  <c r="Q200" i="52"/>
  <c r="P200" i="52"/>
  <c r="I200" i="52"/>
  <c r="H200" i="52"/>
  <c r="F200" i="52"/>
  <c r="E200" i="52"/>
  <c r="D200" i="52"/>
  <c r="U199" i="52"/>
  <c r="T199" i="52"/>
  <c r="R199" i="52"/>
  <c r="Q199" i="52"/>
  <c r="P199" i="52"/>
  <c r="I199" i="52"/>
  <c r="H199" i="52"/>
  <c r="F199" i="52"/>
  <c r="E199" i="52"/>
  <c r="D199" i="52"/>
  <c r="U198" i="52"/>
  <c r="T198" i="52"/>
  <c r="R198" i="52"/>
  <c r="Q198" i="52"/>
  <c r="P198" i="52"/>
  <c r="I198" i="52"/>
  <c r="H198" i="52"/>
  <c r="F198" i="52"/>
  <c r="E198" i="52"/>
  <c r="D198" i="52"/>
  <c r="U197" i="52"/>
  <c r="T197" i="52"/>
  <c r="R197" i="52"/>
  <c r="Q197" i="52"/>
  <c r="P197" i="52"/>
  <c r="I197" i="52"/>
  <c r="H197" i="52"/>
  <c r="F197" i="52"/>
  <c r="E197" i="52"/>
  <c r="D197" i="52"/>
  <c r="U196" i="52"/>
  <c r="T196" i="52"/>
  <c r="R196" i="52"/>
  <c r="Q196" i="52"/>
  <c r="P196" i="52"/>
  <c r="I196" i="52"/>
  <c r="H196" i="52"/>
  <c r="F196" i="52"/>
  <c r="E196" i="52"/>
  <c r="D196" i="52"/>
  <c r="U195" i="52"/>
  <c r="T195" i="52"/>
  <c r="R195" i="52"/>
  <c r="Q195" i="52"/>
  <c r="P195" i="52"/>
  <c r="I195" i="52"/>
  <c r="H195" i="52"/>
  <c r="F195" i="52"/>
  <c r="E195" i="52"/>
  <c r="D195" i="52"/>
  <c r="U194" i="52"/>
  <c r="T194" i="52"/>
  <c r="R194" i="52"/>
  <c r="Q194" i="52"/>
  <c r="P194" i="52"/>
  <c r="I194" i="52"/>
  <c r="H194" i="52"/>
  <c r="F194" i="52"/>
  <c r="E194" i="52"/>
  <c r="D194" i="52"/>
  <c r="U193" i="52"/>
  <c r="T193" i="52"/>
  <c r="R193" i="52"/>
  <c r="Q193" i="52"/>
  <c r="P193" i="52"/>
  <c r="I193" i="52"/>
  <c r="H193" i="52"/>
  <c r="F193" i="52"/>
  <c r="E193" i="52"/>
  <c r="D193" i="52"/>
  <c r="U192" i="52"/>
  <c r="T192" i="52"/>
  <c r="R192" i="52"/>
  <c r="Q192" i="52"/>
  <c r="P192" i="52"/>
  <c r="I192" i="52"/>
  <c r="H192" i="52"/>
  <c r="F192" i="52"/>
  <c r="E192" i="52"/>
  <c r="D192" i="52"/>
  <c r="U191" i="52"/>
  <c r="T191" i="52"/>
  <c r="R191" i="52"/>
  <c r="Q191" i="52"/>
  <c r="P191" i="52"/>
  <c r="I191" i="52"/>
  <c r="H191" i="52"/>
  <c r="F191" i="52"/>
  <c r="E191" i="52"/>
  <c r="D191" i="52"/>
  <c r="U190" i="52"/>
  <c r="T190" i="52"/>
  <c r="R190" i="52"/>
  <c r="Q190" i="52"/>
  <c r="P190" i="52"/>
  <c r="I190" i="52"/>
  <c r="H190" i="52"/>
  <c r="F190" i="52"/>
  <c r="E190" i="52"/>
  <c r="D190" i="52"/>
  <c r="U189" i="52"/>
  <c r="T189" i="52"/>
  <c r="R189" i="52"/>
  <c r="Q189" i="52"/>
  <c r="P189" i="52"/>
  <c r="I189" i="52"/>
  <c r="H189" i="52"/>
  <c r="F189" i="52"/>
  <c r="E189" i="52"/>
  <c r="D189" i="52"/>
  <c r="U188" i="52"/>
  <c r="T188" i="52"/>
  <c r="R188" i="52"/>
  <c r="Q188" i="52"/>
  <c r="P188" i="52"/>
  <c r="I188" i="52"/>
  <c r="H188" i="52"/>
  <c r="F188" i="52"/>
  <c r="E188" i="52"/>
  <c r="D188" i="52"/>
  <c r="U187" i="52"/>
  <c r="T187" i="52"/>
  <c r="R187" i="52"/>
  <c r="Q187" i="52"/>
  <c r="P187" i="52"/>
  <c r="I187" i="52"/>
  <c r="H187" i="52"/>
  <c r="F187" i="52"/>
  <c r="E187" i="52"/>
  <c r="D187" i="52"/>
  <c r="U186" i="52"/>
  <c r="T186" i="52"/>
  <c r="R186" i="52"/>
  <c r="Q186" i="52"/>
  <c r="P186" i="52"/>
  <c r="I186" i="52"/>
  <c r="H186" i="52"/>
  <c r="F186" i="52"/>
  <c r="E186" i="52"/>
  <c r="D186" i="52"/>
  <c r="U185" i="52"/>
  <c r="T185" i="52"/>
  <c r="R185" i="52"/>
  <c r="Q185" i="52"/>
  <c r="P185" i="52"/>
  <c r="I185" i="52"/>
  <c r="H185" i="52"/>
  <c r="F185" i="52"/>
  <c r="E185" i="52"/>
  <c r="D185" i="52"/>
  <c r="U184" i="52"/>
  <c r="T184" i="52"/>
  <c r="R184" i="52"/>
  <c r="Q184" i="52"/>
  <c r="P184" i="52"/>
  <c r="I184" i="52"/>
  <c r="H184" i="52"/>
  <c r="F184" i="52"/>
  <c r="E184" i="52"/>
  <c r="D184" i="52"/>
  <c r="U183" i="52"/>
  <c r="T183" i="52"/>
  <c r="R183" i="52"/>
  <c r="Q183" i="52"/>
  <c r="P183" i="52"/>
  <c r="I183" i="52"/>
  <c r="H183" i="52"/>
  <c r="F183" i="52"/>
  <c r="E183" i="52"/>
  <c r="D183" i="52"/>
  <c r="U182" i="52"/>
  <c r="T182" i="52"/>
  <c r="R182" i="52"/>
  <c r="Q182" i="52"/>
  <c r="P182" i="52"/>
  <c r="I182" i="52"/>
  <c r="H182" i="52"/>
  <c r="F182" i="52"/>
  <c r="E182" i="52"/>
  <c r="D182" i="52"/>
  <c r="U181" i="52"/>
  <c r="T181" i="52"/>
  <c r="R181" i="52"/>
  <c r="Q181" i="52"/>
  <c r="P181" i="52"/>
  <c r="I181" i="52"/>
  <c r="H181" i="52"/>
  <c r="F181" i="52"/>
  <c r="E181" i="52"/>
  <c r="D181" i="52"/>
  <c r="U180" i="52"/>
  <c r="T180" i="52"/>
  <c r="R180" i="52"/>
  <c r="Q180" i="52"/>
  <c r="P180" i="52"/>
  <c r="I180" i="52"/>
  <c r="H180" i="52"/>
  <c r="F180" i="52"/>
  <c r="E180" i="52"/>
  <c r="D180" i="52"/>
  <c r="U179" i="52"/>
  <c r="T179" i="52"/>
  <c r="R179" i="52"/>
  <c r="Q179" i="52"/>
  <c r="P179" i="52"/>
  <c r="I179" i="52"/>
  <c r="H179" i="52"/>
  <c r="F179" i="52"/>
  <c r="E179" i="52"/>
  <c r="D179" i="52"/>
  <c r="U178" i="52"/>
  <c r="T178" i="52"/>
  <c r="R178" i="52"/>
  <c r="Q178" i="52"/>
  <c r="P178" i="52"/>
  <c r="I178" i="52"/>
  <c r="H178" i="52"/>
  <c r="F178" i="52"/>
  <c r="E178" i="52"/>
  <c r="D178" i="52"/>
  <c r="U177" i="52"/>
  <c r="T177" i="52"/>
  <c r="R177" i="52"/>
  <c r="Q177" i="52"/>
  <c r="P177" i="52"/>
  <c r="I177" i="52"/>
  <c r="H177" i="52"/>
  <c r="F177" i="52"/>
  <c r="E177" i="52"/>
  <c r="D177" i="52"/>
  <c r="U176" i="52"/>
  <c r="T176" i="52"/>
  <c r="R176" i="52"/>
  <c r="Q176" i="52"/>
  <c r="P176" i="52"/>
  <c r="I176" i="52"/>
  <c r="H176" i="52"/>
  <c r="F176" i="52"/>
  <c r="E176" i="52"/>
  <c r="D176" i="52"/>
  <c r="U175" i="52"/>
  <c r="T175" i="52"/>
  <c r="R175" i="52"/>
  <c r="Q175" i="52"/>
  <c r="P175" i="52"/>
  <c r="I175" i="52"/>
  <c r="H175" i="52"/>
  <c r="F175" i="52"/>
  <c r="E175" i="52"/>
  <c r="D175" i="52"/>
  <c r="U174" i="52"/>
  <c r="T174" i="52"/>
  <c r="R174" i="52"/>
  <c r="Q174" i="52"/>
  <c r="P174" i="52"/>
  <c r="I174" i="52"/>
  <c r="H174" i="52"/>
  <c r="F174" i="52"/>
  <c r="E174" i="52"/>
  <c r="D174" i="52"/>
  <c r="U173" i="52"/>
  <c r="T173" i="52"/>
  <c r="R173" i="52"/>
  <c r="Q173" i="52"/>
  <c r="P173" i="52"/>
  <c r="I173" i="52"/>
  <c r="H173" i="52"/>
  <c r="F173" i="52"/>
  <c r="E173" i="52"/>
  <c r="D173" i="52"/>
  <c r="U172" i="52"/>
  <c r="T172" i="52"/>
  <c r="R172" i="52"/>
  <c r="Q172" i="52"/>
  <c r="P172" i="52"/>
  <c r="I172" i="52"/>
  <c r="H172" i="52"/>
  <c r="F172" i="52"/>
  <c r="E172" i="52"/>
  <c r="D172" i="52"/>
  <c r="U171" i="52"/>
  <c r="T171" i="52"/>
  <c r="R171" i="52"/>
  <c r="Q171" i="52"/>
  <c r="P171" i="52"/>
  <c r="I171" i="52"/>
  <c r="H171" i="52"/>
  <c r="F171" i="52"/>
  <c r="E171" i="52"/>
  <c r="D171" i="52"/>
  <c r="U170" i="52"/>
  <c r="T170" i="52"/>
  <c r="R170" i="52"/>
  <c r="Q170" i="52"/>
  <c r="P170" i="52"/>
  <c r="I170" i="52"/>
  <c r="H170" i="52"/>
  <c r="F170" i="52"/>
  <c r="E170" i="52"/>
  <c r="D170" i="52"/>
  <c r="U169" i="52"/>
  <c r="T169" i="52"/>
  <c r="R169" i="52"/>
  <c r="Q169" i="52"/>
  <c r="P169" i="52"/>
  <c r="I169" i="52"/>
  <c r="H169" i="52"/>
  <c r="F169" i="52"/>
  <c r="E169" i="52"/>
  <c r="D169" i="52"/>
  <c r="U168" i="52"/>
  <c r="T168" i="52"/>
  <c r="R168" i="52"/>
  <c r="Q168" i="52"/>
  <c r="P168" i="52"/>
  <c r="I168" i="52"/>
  <c r="H168" i="52"/>
  <c r="F168" i="52"/>
  <c r="E168" i="52"/>
  <c r="D168" i="52"/>
  <c r="U167" i="52"/>
  <c r="T167" i="52"/>
  <c r="R167" i="52"/>
  <c r="Q167" i="52"/>
  <c r="P167" i="52"/>
  <c r="I167" i="52"/>
  <c r="H167" i="52"/>
  <c r="F167" i="52"/>
  <c r="E167" i="52"/>
  <c r="D167" i="52"/>
  <c r="U166" i="52"/>
  <c r="T166" i="52"/>
  <c r="R166" i="52"/>
  <c r="Q166" i="52"/>
  <c r="P166" i="52"/>
  <c r="I166" i="52"/>
  <c r="H166" i="52"/>
  <c r="F166" i="52"/>
  <c r="E166" i="52"/>
  <c r="D166" i="52"/>
  <c r="U165" i="52"/>
  <c r="T165" i="52"/>
  <c r="R165" i="52"/>
  <c r="Q165" i="52"/>
  <c r="P165" i="52"/>
  <c r="I165" i="52"/>
  <c r="H165" i="52"/>
  <c r="F165" i="52"/>
  <c r="E165" i="52"/>
  <c r="D165" i="52"/>
  <c r="U164" i="52"/>
  <c r="T164" i="52"/>
  <c r="R164" i="52"/>
  <c r="Q164" i="52"/>
  <c r="P164" i="52"/>
  <c r="I164" i="52"/>
  <c r="H164" i="52"/>
  <c r="F164" i="52"/>
  <c r="E164" i="52"/>
  <c r="D164" i="52"/>
  <c r="U163" i="52"/>
  <c r="T163" i="52"/>
  <c r="R163" i="52"/>
  <c r="Q163" i="52"/>
  <c r="P163" i="52"/>
  <c r="I163" i="52"/>
  <c r="H163" i="52"/>
  <c r="F163" i="52"/>
  <c r="E163" i="52"/>
  <c r="D163" i="52"/>
  <c r="U162" i="52"/>
  <c r="T162" i="52"/>
  <c r="R162" i="52"/>
  <c r="Q162" i="52"/>
  <c r="P162" i="52"/>
  <c r="I162" i="52"/>
  <c r="H162" i="52"/>
  <c r="F162" i="52"/>
  <c r="E162" i="52"/>
  <c r="D162" i="52"/>
  <c r="U161" i="52"/>
  <c r="T161" i="52"/>
  <c r="R161" i="52"/>
  <c r="Q161" i="52"/>
  <c r="P161" i="52"/>
  <c r="I161" i="52"/>
  <c r="H161" i="52"/>
  <c r="F161" i="52"/>
  <c r="E161" i="52"/>
  <c r="D161" i="52"/>
  <c r="U160" i="52"/>
  <c r="T160" i="52"/>
  <c r="R160" i="52"/>
  <c r="Q160" i="52"/>
  <c r="P160" i="52"/>
  <c r="I160" i="52"/>
  <c r="H160" i="52"/>
  <c r="F160" i="52"/>
  <c r="E160" i="52"/>
  <c r="D160" i="52"/>
  <c r="U159" i="52"/>
  <c r="T159" i="52"/>
  <c r="R159" i="52"/>
  <c r="Q159" i="52"/>
  <c r="P159" i="52"/>
  <c r="I159" i="52"/>
  <c r="H159" i="52"/>
  <c r="F159" i="52"/>
  <c r="E159" i="52"/>
  <c r="D159" i="52"/>
  <c r="U158" i="52"/>
  <c r="T158" i="52"/>
  <c r="R158" i="52"/>
  <c r="Q158" i="52"/>
  <c r="P158" i="52"/>
  <c r="I158" i="52"/>
  <c r="H158" i="52"/>
  <c r="F158" i="52"/>
  <c r="E158" i="52"/>
  <c r="D158" i="52"/>
  <c r="U157" i="52"/>
  <c r="T157" i="52"/>
  <c r="R157" i="52"/>
  <c r="Q157" i="52"/>
  <c r="P157" i="52"/>
  <c r="I157" i="52"/>
  <c r="H157" i="52"/>
  <c r="F157" i="52"/>
  <c r="E157" i="52"/>
  <c r="D157" i="52"/>
  <c r="U156" i="52"/>
  <c r="T156" i="52"/>
  <c r="R156" i="52"/>
  <c r="Q156" i="52"/>
  <c r="P156" i="52"/>
  <c r="I156" i="52"/>
  <c r="H156" i="52"/>
  <c r="F156" i="52"/>
  <c r="E156" i="52"/>
  <c r="D156" i="52"/>
  <c r="U155" i="52"/>
  <c r="T155" i="52"/>
  <c r="R155" i="52"/>
  <c r="Q155" i="52"/>
  <c r="P155" i="52"/>
  <c r="I155" i="52"/>
  <c r="H155" i="52"/>
  <c r="F155" i="52"/>
  <c r="E155" i="52"/>
  <c r="D155" i="52"/>
  <c r="U154" i="52"/>
  <c r="T154" i="52"/>
  <c r="R154" i="52"/>
  <c r="Q154" i="52"/>
  <c r="P154" i="52"/>
  <c r="I154" i="52"/>
  <c r="H154" i="52"/>
  <c r="F154" i="52"/>
  <c r="E154" i="52"/>
  <c r="D154" i="52"/>
  <c r="U153" i="52"/>
  <c r="T153" i="52"/>
  <c r="R153" i="52"/>
  <c r="Q153" i="52"/>
  <c r="P153" i="52"/>
  <c r="I153" i="52"/>
  <c r="H153" i="52"/>
  <c r="F153" i="52"/>
  <c r="E153" i="52"/>
  <c r="D153" i="52"/>
  <c r="U152" i="52"/>
  <c r="T152" i="52"/>
  <c r="R152" i="52"/>
  <c r="Q152" i="52"/>
  <c r="P152" i="52"/>
  <c r="I152" i="52"/>
  <c r="H152" i="52"/>
  <c r="F152" i="52"/>
  <c r="E152" i="52"/>
  <c r="D152" i="52"/>
  <c r="U151" i="52"/>
  <c r="T151" i="52"/>
  <c r="R151" i="52"/>
  <c r="Q151" i="52"/>
  <c r="P151" i="52"/>
  <c r="I151" i="52"/>
  <c r="H151" i="52"/>
  <c r="F151" i="52"/>
  <c r="E151" i="52"/>
  <c r="D151" i="52"/>
  <c r="U150" i="52"/>
  <c r="T150" i="52"/>
  <c r="R150" i="52"/>
  <c r="Q150" i="52"/>
  <c r="P150" i="52"/>
  <c r="I150" i="52"/>
  <c r="H150" i="52"/>
  <c r="F150" i="52"/>
  <c r="E150" i="52"/>
  <c r="D150" i="52"/>
  <c r="U149" i="52"/>
  <c r="T149" i="52"/>
  <c r="R149" i="52"/>
  <c r="Q149" i="52"/>
  <c r="P149" i="52"/>
  <c r="I149" i="52"/>
  <c r="H149" i="52"/>
  <c r="F149" i="52"/>
  <c r="E149" i="52"/>
  <c r="D149" i="52"/>
  <c r="U148" i="52"/>
  <c r="T148" i="52"/>
  <c r="R148" i="52"/>
  <c r="Q148" i="52"/>
  <c r="P148" i="52"/>
  <c r="I148" i="52"/>
  <c r="H148" i="52"/>
  <c r="F148" i="52"/>
  <c r="E148" i="52"/>
  <c r="D148" i="52"/>
  <c r="U147" i="52"/>
  <c r="T147" i="52"/>
  <c r="R147" i="52"/>
  <c r="Q147" i="52"/>
  <c r="P147" i="52"/>
  <c r="I147" i="52"/>
  <c r="H147" i="52"/>
  <c r="F147" i="52"/>
  <c r="E147" i="52"/>
  <c r="D147" i="52"/>
  <c r="U146" i="52"/>
  <c r="T146" i="52"/>
  <c r="R146" i="52"/>
  <c r="Q146" i="52"/>
  <c r="P146" i="52"/>
  <c r="I146" i="52"/>
  <c r="H146" i="52"/>
  <c r="F146" i="52"/>
  <c r="E146" i="52"/>
  <c r="D146" i="52"/>
  <c r="U145" i="52"/>
  <c r="T145" i="52"/>
  <c r="R145" i="52"/>
  <c r="Q145" i="52"/>
  <c r="P145" i="52"/>
  <c r="I145" i="52"/>
  <c r="H145" i="52"/>
  <c r="F145" i="52"/>
  <c r="E145" i="52"/>
  <c r="D145" i="52"/>
  <c r="U144" i="52"/>
  <c r="T144" i="52"/>
  <c r="R144" i="52"/>
  <c r="Q144" i="52"/>
  <c r="P144" i="52"/>
  <c r="I144" i="52"/>
  <c r="H144" i="52"/>
  <c r="F144" i="52"/>
  <c r="E144" i="52"/>
  <c r="D144" i="52"/>
  <c r="U143" i="52"/>
  <c r="T143" i="52"/>
  <c r="R143" i="52"/>
  <c r="Q143" i="52"/>
  <c r="P143" i="52"/>
  <c r="I143" i="52"/>
  <c r="H143" i="52"/>
  <c r="F143" i="52"/>
  <c r="E143" i="52"/>
  <c r="D143" i="52"/>
  <c r="U142" i="52"/>
  <c r="T142" i="52"/>
  <c r="R142" i="52"/>
  <c r="Q142" i="52"/>
  <c r="P142" i="52"/>
  <c r="I142" i="52"/>
  <c r="H142" i="52"/>
  <c r="F142" i="52"/>
  <c r="E142" i="52"/>
  <c r="D142" i="52"/>
  <c r="U141" i="52"/>
  <c r="T141" i="52"/>
  <c r="R141" i="52"/>
  <c r="Q141" i="52"/>
  <c r="P141" i="52"/>
  <c r="I141" i="52"/>
  <c r="H141" i="52"/>
  <c r="F141" i="52"/>
  <c r="E141" i="52"/>
  <c r="D141" i="52"/>
  <c r="U140" i="52"/>
  <c r="T140" i="52"/>
  <c r="R140" i="52"/>
  <c r="Q140" i="52"/>
  <c r="P140" i="52"/>
  <c r="I140" i="52"/>
  <c r="H140" i="52"/>
  <c r="F140" i="52"/>
  <c r="E140" i="52"/>
  <c r="D140" i="52"/>
  <c r="U139" i="52"/>
  <c r="T139" i="52"/>
  <c r="R139" i="52"/>
  <c r="Q139" i="52"/>
  <c r="P139" i="52"/>
  <c r="I139" i="52"/>
  <c r="H139" i="52"/>
  <c r="F139" i="52"/>
  <c r="E139" i="52"/>
  <c r="D139" i="52"/>
  <c r="U138" i="52"/>
  <c r="T138" i="52"/>
  <c r="R138" i="52"/>
  <c r="Q138" i="52"/>
  <c r="P138" i="52"/>
  <c r="I138" i="52"/>
  <c r="H138" i="52"/>
  <c r="F138" i="52"/>
  <c r="E138" i="52"/>
  <c r="D138" i="52"/>
  <c r="U137" i="52"/>
  <c r="T137" i="52"/>
  <c r="R137" i="52"/>
  <c r="Q137" i="52"/>
  <c r="P137" i="52"/>
  <c r="I137" i="52"/>
  <c r="H137" i="52"/>
  <c r="F137" i="52"/>
  <c r="E137" i="52"/>
  <c r="D137" i="52"/>
  <c r="Q93" i="52"/>
  <c r="P93" i="52"/>
  <c r="O93" i="52"/>
  <c r="E93" i="52"/>
  <c r="D93" i="52"/>
  <c r="B93" i="52"/>
  <c r="W92" i="52"/>
  <c r="V92" i="52"/>
  <c r="U92" i="52"/>
  <c r="Q92" i="52"/>
  <c r="P92" i="52"/>
  <c r="O92" i="52"/>
  <c r="K92" i="52"/>
  <c r="J92" i="52"/>
  <c r="I92" i="52"/>
  <c r="E92" i="52"/>
  <c r="D92" i="52"/>
  <c r="B92" i="52"/>
  <c r="W90" i="52"/>
  <c r="V90" i="52"/>
  <c r="U90" i="52"/>
  <c r="Q90" i="52"/>
  <c r="P90" i="52"/>
  <c r="O90" i="52"/>
  <c r="K90" i="52"/>
  <c r="J90" i="52"/>
  <c r="I90" i="52"/>
  <c r="E90" i="52"/>
  <c r="D90" i="52"/>
  <c r="B90" i="52"/>
  <c r="W89" i="52"/>
  <c r="V89" i="52"/>
  <c r="U89" i="52"/>
  <c r="Q89" i="52"/>
  <c r="P89" i="52"/>
  <c r="O89" i="52"/>
  <c r="K89" i="52"/>
  <c r="J89" i="52"/>
  <c r="I89" i="52"/>
  <c r="E89" i="52"/>
  <c r="D89" i="52"/>
  <c r="B89" i="52"/>
  <c r="W88" i="52"/>
  <c r="V88" i="52"/>
  <c r="U88" i="52"/>
  <c r="Q88" i="52"/>
  <c r="P88" i="52"/>
  <c r="O88" i="52"/>
  <c r="K88" i="52"/>
  <c r="J88" i="52"/>
  <c r="I88" i="52"/>
  <c r="E88" i="52"/>
  <c r="D88" i="52"/>
  <c r="B88" i="52"/>
  <c r="W87" i="52"/>
  <c r="V87" i="52"/>
  <c r="U87" i="52"/>
  <c r="Q87" i="52"/>
  <c r="P87" i="52"/>
  <c r="O87" i="52"/>
  <c r="K87" i="52"/>
  <c r="J87" i="52"/>
  <c r="I87" i="52"/>
  <c r="E87" i="52"/>
  <c r="D87" i="52"/>
  <c r="B87" i="52"/>
  <c r="W86" i="52"/>
  <c r="V86" i="52"/>
  <c r="U86" i="52"/>
  <c r="Q86" i="52"/>
  <c r="P86" i="52"/>
  <c r="O86" i="52"/>
  <c r="K86" i="52"/>
  <c r="J86" i="52"/>
  <c r="I86" i="52"/>
  <c r="E86" i="52"/>
  <c r="D86" i="52"/>
  <c r="B86" i="52"/>
  <c r="W85" i="52"/>
  <c r="V85" i="52"/>
  <c r="U85" i="52"/>
  <c r="Q85" i="52"/>
  <c r="P85" i="52"/>
  <c r="O85" i="52"/>
  <c r="K85" i="52"/>
  <c r="J85" i="52"/>
  <c r="I85" i="52"/>
  <c r="E85" i="52"/>
  <c r="D85" i="52"/>
  <c r="B85" i="52"/>
  <c r="W84" i="52"/>
  <c r="V84" i="52"/>
  <c r="U84" i="52"/>
  <c r="Q84" i="52"/>
  <c r="P84" i="52"/>
  <c r="O84" i="52"/>
  <c r="K84" i="52"/>
  <c r="J84" i="52"/>
  <c r="I84" i="52"/>
  <c r="E84" i="52"/>
  <c r="D84" i="52"/>
  <c r="B84" i="52"/>
  <c r="W83" i="52"/>
  <c r="V83" i="52"/>
  <c r="U83" i="52"/>
  <c r="Q83" i="52"/>
  <c r="P83" i="52"/>
  <c r="O83" i="52"/>
  <c r="K83" i="52"/>
  <c r="J83" i="52"/>
  <c r="I83" i="52"/>
  <c r="E83" i="52"/>
  <c r="D83" i="52"/>
  <c r="B83" i="52"/>
  <c r="W82" i="52"/>
  <c r="V82" i="52"/>
  <c r="U82" i="52"/>
  <c r="Q82" i="52"/>
  <c r="P82" i="52"/>
  <c r="O82" i="52"/>
  <c r="K82" i="52"/>
  <c r="J82" i="52"/>
  <c r="I82" i="52"/>
  <c r="E82" i="52"/>
  <c r="D82" i="52"/>
  <c r="B82" i="52"/>
  <c r="W81" i="52"/>
  <c r="V81" i="52"/>
  <c r="U81" i="52"/>
  <c r="Q81" i="52"/>
  <c r="P81" i="52"/>
  <c r="O81" i="52"/>
  <c r="K81" i="52"/>
  <c r="J81" i="52"/>
  <c r="I81" i="52"/>
  <c r="E81" i="52"/>
  <c r="D81" i="52"/>
  <c r="B81" i="52"/>
  <c r="W80" i="52"/>
  <c r="V80" i="52"/>
  <c r="U80" i="52"/>
  <c r="Q80" i="52"/>
  <c r="P80" i="52"/>
  <c r="O80" i="52"/>
  <c r="K80" i="52"/>
  <c r="J80" i="52"/>
  <c r="I80" i="52"/>
  <c r="E80" i="52"/>
  <c r="D80" i="52"/>
  <c r="B80" i="52"/>
  <c r="W79" i="52"/>
  <c r="V79" i="52"/>
  <c r="U79" i="52"/>
  <c r="Q79" i="52"/>
  <c r="P79" i="52"/>
  <c r="O79" i="52"/>
  <c r="K79" i="52"/>
  <c r="J79" i="52"/>
  <c r="I79" i="52"/>
  <c r="E79" i="52"/>
  <c r="D79" i="52"/>
  <c r="B79" i="52"/>
  <c r="W78" i="52"/>
  <c r="V78" i="52"/>
  <c r="U78" i="52"/>
  <c r="Q78" i="52"/>
  <c r="P78" i="52"/>
  <c r="O78" i="52"/>
  <c r="K78" i="52"/>
  <c r="J78" i="52"/>
  <c r="I78" i="52"/>
  <c r="E78" i="52"/>
  <c r="D78" i="52"/>
  <c r="B78" i="52"/>
  <c r="W77" i="52"/>
  <c r="V77" i="52"/>
  <c r="U77" i="52"/>
  <c r="Q77" i="52"/>
  <c r="P77" i="52"/>
  <c r="O77" i="52"/>
  <c r="K77" i="52"/>
  <c r="J77" i="52"/>
  <c r="I77" i="52"/>
  <c r="E77" i="52"/>
  <c r="D77" i="52"/>
  <c r="B77" i="52"/>
  <c r="W76" i="52"/>
  <c r="V76" i="52"/>
  <c r="U76" i="52"/>
  <c r="Q76" i="52"/>
  <c r="P76" i="52"/>
  <c r="O76" i="52"/>
  <c r="K76" i="52"/>
  <c r="J76" i="52"/>
  <c r="I76" i="52"/>
  <c r="E76" i="52"/>
  <c r="D76" i="52"/>
  <c r="B76" i="52"/>
  <c r="W75" i="52"/>
  <c r="V75" i="52"/>
  <c r="U75" i="52"/>
  <c r="Q75" i="52"/>
  <c r="P75" i="52"/>
  <c r="O75" i="52"/>
  <c r="K75" i="52"/>
  <c r="J75" i="52"/>
  <c r="I75" i="52"/>
  <c r="E75" i="52"/>
  <c r="D75" i="52"/>
  <c r="B75" i="52"/>
  <c r="W74" i="52"/>
  <c r="V74" i="52"/>
  <c r="U74" i="52"/>
  <c r="Q74" i="52"/>
  <c r="P74" i="52"/>
  <c r="O74" i="52"/>
  <c r="K74" i="52"/>
  <c r="J74" i="52"/>
  <c r="I74" i="52"/>
  <c r="E74" i="52"/>
  <c r="D74" i="52"/>
  <c r="B74" i="52"/>
  <c r="W73" i="52"/>
  <c r="V73" i="52"/>
  <c r="U73" i="52"/>
  <c r="Q73" i="52"/>
  <c r="P73" i="52"/>
  <c r="O73" i="52"/>
  <c r="K73" i="52"/>
  <c r="J73" i="52"/>
  <c r="I73" i="52"/>
  <c r="E73" i="52"/>
  <c r="D73" i="52"/>
  <c r="B73" i="52"/>
  <c r="W72" i="52"/>
  <c r="V72" i="52"/>
  <c r="U72" i="52"/>
  <c r="Q72" i="52"/>
  <c r="P72" i="52"/>
  <c r="O72" i="52"/>
  <c r="K72" i="52"/>
  <c r="J72" i="52"/>
  <c r="I72" i="52"/>
  <c r="E72" i="52"/>
  <c r="D72" i="52"/>
  <c r="B72" i="52"/>
  <c r="W71" i="52"/>
  <c r="V71" i="52"/>
  <c r="U71" i="52"/>
  <c r="Q71" i="52"/>
  <c r="P71" i="52"/>
  <c r="O71" i="52"/>
  <c r="K71" i="52"/>
  <c r="J71" i="52"/>
  <c r="I71" i="52"/>
  <c r="E71" i="52"/>
  <c r="D71" i="52"/>
  <c r="B71" i="52"/>
  <c r="W70" i="52"/>
  <c r="V70" i="52"/>
  <c r="U70" i="52"/>
  <c r="Q70" i="52"/>
  <c r="P70" i="52"/>
  <c r="O70" i="52"/>
  <c r="K70" i="52"/>
  <c r="J70" i="52"/>
  <c r="I70" i="52"/>
  <c r="E70" i="52"/>
  <c r="D70" i="52"/>
  <c r="B70" i="52"/>
  <c r="W69" i="52"/>
  <c r="V69" i="52"/>
  <c r="U69" i="52"/>
  <c r="Q69" i="52"/>
  <c r="P69" i="52"/>
  <c r="O69" i="52"/>
  <c r="K69" i="52"/>
  <c r="J69" i="52"/>
  <c r="I69" i="52"/>
  <c r="E69" i="52"/>
  <c r="D69" i="52"/>
  <c r="B69" i="52"/>
  <c r="W68" i="52"/>
  <c r="V68" i="52"/>
  <c r="U68" i="52"/>
  <c r="T68" i="52"/>
  <c r="S68" i="52"/>
  <c r="R68" i="52"/>
  <c r="Q68" i="52"/>
  <c r="P68" i="52"/>
  <c r="O68" i="52"/>
  <c r="K68" i="52"/>
  <c r="J68" i="52"/>
  <c r="I68" i="52"/>
  <c r="H68" i="52"/>
  <c r="G68" i="52"/>
  <c r="F68" i="52"/>
  <c r="E68" i="52"/>
  <c r="D68" i="52"/>
  <c r="B68" i="52"/>
  <c r="B57" i="52"/>
  <c r="O56" i="52"/>
  <c r="F56" i="52"/>
  <c r="B56" i="52"/>
  <c r="V55" i="52"/>
  <c r="U55" i="52"/>
  <c r="T55" i="52"/>
  <c r="S55" i="52"/>
  <c r="R55" i="52"/>
  <c r="O55" i="52" a="1"/>
  <c r="O55" i="52"/>
  <c r="N55" i="52"/>
  <c r="J55" i="52"/>
  <c r="I55" i="52"/>
  <c r="H55" i="52"/>
  <c r="G55" i="52"/>
  <c r="F55" i="52"/>
  <c r="B55" i="52"/>
  <c r="A55" i="52"/>
  <c r="O54" i="52"/>
  <c r="F54" i="52"/>
  <c r="B54" i="52"/>
  <c r="V53" i="52"/>
  <c r="U53" i="52"/>
  <c r="T53" i="52"/>
  <c r="S53" i="52"/>
  <c r="R53" i="52"/>
  <c r="O53" i="52" a="1"/>
  <c r="O53" i="52"/>
  <c r="N53" i="52"/>
  <c r="J53" i="52"/>
  <c r="I53" i="52"/>
  <c r="H53" i="52"/>
  <c r="G53" i="52"/>
  <c r="F53" i="52"/>
  <c r="A53" i="52"/>
  <c r="F52" i="52"/>
  <c r="B52" i="52"/>
  <c r="V51" i="52"/>
  <c r="U51" i="52"/>
  <c r="T51" i="52"/>
  <c r="S51" i="52"/>
  <c r="R51" i="52"/>
  <c r="O51" i="52" a="1"/>
  <c r="O51" i="52"/>
  <c r="N51" i="52"/>
  <c r="J51" i="52"/>
  <c r="I51" i="52"/>
  <c r="H51" i="52"/>
  <c r="G51" i="52"/>
  <c r="F51" i="52"/>
  <c r="B51" i="52"/>
  <c r="A51" i="52"/>
  <c r="O50" i="52"/>
  <c r="F50" i="52"/>
  <c r="B50" i="52"/>
  <c r="V49" i="52"/>
  <c r="U49" i="52"/>
  <c r="T49" i="52"/>
  <c r="S49" i="52"/>
  <c r="R49" i="52"/>
  <c r="O49" i="52" a="1"/>
  <c r="O49" i="52"/>
  <c r="N49" i="52"/>
  <c r="J49" i="52"/>
  <c r="I49" i="52"/>
  <c r="H49" i="52"/>
  <c r="G49" i="52"/>
  <c r="F49" i="52"/>
  <c r="B49" i="52"/>
  <c r="A49" i="52"/>
  <c r="O48" i="52"/>
  <c r="F48" i="52"/>
  <c r="B48" i="52"/>
  <c r="V47" i="52"/>
  <c r="U47" i="52"/>
  <c r="T47" i="52"/>
  <c r="S47" i="52"/>
  <c r="R47" i="52"/>
  <c r="O47" i="52" a="1"/>
  <c r="O47" i="52"/>
  <c r="N47" i="52"/>
  <c r="J47" i="52"/>
  <c r="I47" i="52"/>
  <c r="H47" i="52"/>
  <c r="G47" i="52"/>
  <c r="F47" i="52"/>
  <c r="B47" i="52"/>
  <c r="A47" i="52"/>
  <c r="O46" i="52"/>
  <c r="F46" i="52"/>
  <c r="B46" i="52"/>
  <c r="V45" i="52"/>
  <c r="U45" i="52"/>
  <c r="T45" i="52"/>
  <c r="S45" i="52"/>
  <c r="R45" i="52"/>
  <c r="O45" i="52" a="1"/>
  <c r="O45" i="52"/>
  <c r="N45" i="52"/>
  <c r="J45" i="52"/>
  <c r="I45" i="52"/>
  <c r="H45" i="52"/>
  <c r="G45" i="52"/>
  <c r="F45" i="52"/>
  <c r="B45" i="52"/>
  <c r="A45" i="52"/>
  <c r="O44" i="52"/>
  <c r="F44" i="52"/>
  <c r="B44" i="52"/>
  <c r="V43" i="52"/>
  <c r="U43" i="52"/>
  <c r="T43" i="52"/>
  <c r="S43" i="52"/>
  <c r="R43" i="52"/>
  <c r="O43" i="52" a="1"/>
  <c r="O43" i="52"/>
  <c r="N43" i="52"/>
  <c r="J43" i="52"/>
  <c r="I43" i="52"/>
  <c r="H43" i="52"/>
  <c r="G43" i="52"/>
  <c r="F43" i="52"/>
  <c r="B43" i="52"/>
  <c r="A43" i="52"/>
  <c r="O42" i="52"/>
  <c r="F42" i="52"/>
  <c r="B42" i="52"/>
  <c r="V41" i="52"/>
  <c r="U41" i="52"/>
  <c r="T41" i="52"/>
  <c r="S41" i="52"/>
  <c r="R41" i="52"/>
  <c r="O41" i="52" a="1"/>
  <c r="O41" i="52"/>
  <c r="N41" i="52"/>
  <c r="J41" i="52"/>
  <c r="I41" i="52"/>
  <c r="H41" i="52"/>
  <c r="G41" i="52"/>
  <c r="F41" i="52"/>
  <c r="B41" i="52"/>
  <c r="A41" i="52"/>
  <c r="O40" i="52"/>
  <c r="F40" i="52"/>
  <c r="B40" i="52"/>
  <c r="V39" i="52"/>
  <c r="U39" i="52"/>
  <c r="T39" i="52"/>
  <c r="S39" i="52"/>
  <c r="R39" i="52"/>
  <c r="O39" i="52" a="1"/>
  <c r="O39" i="52"/>
  <c r="N39" i="52"/>
  <c r="J39" i="52"/>
  <c r="I39" i="52"/>
  <c r="H39" i="52"/>
  <c r="G39" i="52"/>
  <c r="F39" i="52"/>
  <c r="B39" i="52"/>
  <c r="A39" i="52"/>
  <c r="O38" i="52"/>
  <c r="B38" i="52"/>
  <c r="P35" i="52"/>
  <c r="E35" i="52"/>
  <c r="D35" i="52"/>
  <c r="D34" i="52"/>
  <c r="D33" i="52"/>
  <c r="Q32" i="52"/>
  <c r="P32" i="52"/>
  <c r="D32" i="52"/>
  <c r="AD15" i="52"/>
  <c r="AC15" i="52"/>
  <c r="AB15" i="52"/>
  <c r="AA15" i="52"/>
  <c r="Z15" i="52"/>
  <c r="AD14" i="52"/>
  <c r="AC14" i="52"/>
  <c r="AB14" i="52"/>
  <c r="AA14" i="52"/>
  <c r="Z14" i="52"/>
  <c r="AD13" i="52"/>
  <c r="AC13" i="52"/>
  <c r="AB13" i="52"/>
  <c r="AA13" i="52"/>
  <c r="Z13" i="52"/>
  <c r="AD11" i="52"/>
  <c r="AC11" i="52"/>
  <c r="AB11" i="52"/>
  <c r="AA11" i="52"/>
  <c r="Z11" i="52"/>
  <c r="B6" i="52"/>
  <c r="B5" i="52"/>
  <c r="B4" i="52"/>
  <c r="B3" i="52"/>
  <c r="B2" i="52"/>
  <c r="B1" i="52"/>
  <c r="A388" i="70"/>
  <c r="A387" i="70"/>
  <c r="A386" i="70"/>
  <c r="A385" i="70"/>
  <c r="A384" i="70"/>
  <c r="A383" i="70"/>
  <c r="A382" i="70"/>
  <c r="A381" i="70"/>
  <c r="A380" i="70"/>
  <c r="A379" i="70"/>
  <c r="A378" i="70"/>
  <c r="A377" i="70"/>
  <c r="A376" i="70"/>
  <c r="A375" i="70"/>
  <c r="A374" i="70"/>
  <c r="A373" i="70"/>
  <c r="A372" i="70"/>
  <c r="A371" i="70"/>
  <c r="A370" i="70"/>
  <c r="A369" i="70"/>
  <c r="A368" i="70"/>
  <c r="A367" i="70"/>
  <c r="A366" i="70"/>
  <c r="A365" i="70"/>
  <c r="A364" i="70"/>
  <c r="A363" i="70"/>
  <c r="A362" i="70"/>
  <c r="A361" i="70"/>
  <c r="A360" i="70"/>
  <c r="A359" i="70"/>
  <c r="A358" i="70"/>
  <c r="A357" i="70"/>
  <c r="A356" i="70"/>
  <c r="A355" i="70"/>
  <c r="A354" i="70"/>
  <c r="A353" i="70"/>
  <c r="A352" i="70"/>
  <c r="A351" i="70"/>
  <c r="A350" i="70"/>
  <c r="A349" i="70"/>
  <c r="A348" i="70"/>
  <c r="A347" i="70"/>
  <c r="A346" i="70"/>
  <c r="A345" i="70"/>
  <c r="A344" i="70"/>
  <c r="A343" i="70"/>
  <c r="A342" i="70"/>
  <c r="A341" i="70"/>
  <c r="A340" i="70"/>
  <c r="A339" i="70"/>
  <c r="A338" i="70"/>
  <c r="A337" i="70"/>
  <c r="A336" i="70"/>
  <c r="A335" i="70"/>
  <c r="A334" i="70"/>
  <c r="A333" i="70"/>
  <c r="A332" i="70"/>
  <c r="A331" i="70"/>
  <c r="A330" i="70"/>
  <c r="A329" i="70"/>
  <c r="A328" i="70"/>
  <c r="A327" i="70"/>
  <c r="A326" i="70"/>
  <c r="A325" i="70"/>
  <c r="A324" i="70"/>
  <c r="A323" i="70"/>
  <c r="A322" i="70"/>
  <c r="A321" i="70"/>
  <c r="A320" i="70"/>
  <c r="A319" i="70"/>
  <c r="A318" i="70"/>
  <c r="A317" i="70"/>
  <c r="A316" i="70"/>
  <c r="A315" i="70"/>
  <c r="A314" i="70"/>
  <c r="A313" i="70"/>
  <c r="A312" i="70"/>
  <c r="A311" i="70"/>
  <c r="A310" i="70"/>
  <c r="A309" i="70"/>
  <c r="A308" i="70"/>
  <c r="A307" i="70"/>
  <c r="A306" i="70"/>
  <c r="A305" i="70"/>
  <c r="A304" i="70"/>
  <c r="A303" i="70"/>
  <c r="A302" i="70"/>
  <c r="A301" i="70"/>
  <c r="A300" i="70"/>
  <c r="A299" i="70"/>
  <c r="A298" i="70"/>
  <c r="A297" i="70"/>
  <c r="A296" i="70"/>
  <c r="A295" i="70"/>
  <c r="A294" i="70"/>
  <c r="A293" i="70"/>
  <c r="A292" i="70"/>
  <c r="A291" i="70"/>
  <c r="A290" i="70"/>
  <c r="A289" i="70"/>
  <c r="A288" i="70"/>
  <c r="A287" i="70"/>
  <c r="A286" i="70"/>
  <c r="A285" i="70"/>
  <c r="A284" i="70"/>
  <c r="A283" i="70"/>
  <c r="A282" i="70"/>
  <c r="A281" i="70"/>
  <c r="A280" i="70"/>
  <c r="A279" i="70"/>
  <c r="A278" i="70"/>
  <c r="A277" i="70"/>
  <c r="A276" i="70"/>
  <c r="A275" i="70"/>
  <c r="A274" i="70"/>
  <c r="A273" i="70"/>
  <c r="A272" i="70"/>
  <c r="A271" i="70"/>
  <c r="A270" i="70"/>
  <c r="A269" i="70"/>
  <c r="A268" i="70"/>
  <c r="A267" i="70"/>
  <c r="A266" i="70"/>
  <c r="A265" i="70"/>
  <c r="A264" i="70"/>
  <c r="A263" i="70"/>
  <c r="A262" i="70"/>
  <c r="A261" i="70"/>
  <c r="A260" i="70"/>
  <c r="A259" i="70"/>
  <c r="A258" i="70"/>
  <c r="A257" i="70"/>
  <c r="A256" i="70"/>
  <c r="A255" i="70"/>
  <c r="A254" i="70"/>
  <c r="A253" i="70"/>
  <c r="A252" i="70"/>
  <c r="A251" i="70"/>
  <c r="A250" i="70"/>
  <c r="A249" i="70"/>
  <c r="A248" i="70"/>
  <c r="A247" i="70"/>
  <c r="A246" i="70"/>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9" i="70"/>
  <c r="A38" i="70"/>
  <c r="A37" i="70"/>
  <c r="A36" i="70"/>
  <c r="A35" i="70"/>
  <c r="A34" i="70"/>
  <c r="A33" i="70"/>
  <c r="A32" i="70"/>
  <c r="A31" i="70"/>
  <c r="A30" i="70"/>
  <c r="A29" i="70"/>
  <c r="A28" i="70"/>
  <c r="A27" i="70"/>
  <c r="A26" i="70"/>
  <c r="A25" i="70"/>
  <c r="A24" i="70"/>
  <c r="A23" i="70"/>
  <c r="A22" i="70"/>
  <c r="A21" i="70"/>
  <c r="A20" i="70"/>
  <c r="A19" i="70"/>
  <c r="A46" i="72"/>
  <c r="A45" i="72"/>
  <c r="A44" i="72"/>
  <c r="A43" i="72"/>
  <c r="A42" i="72"/>
  <c r="A41" i="72"/>
  <c r="A40" i="72"/>
  <c r="A39" i="72"/>
  <c r="A38" i="72"/>
  <c r="A37" i="72"/>
  <c r="A36" i="72"/>
  <c r="A35" i="72"/>
  <c r="A34" i="72"/>
  <c r="A33" i="72"/>
  <c r="A32" i="72"/>
  <c r="A31" i="72"/>
  <c r="A30" i="72"/>
  <c r="A29" i="72"/>
  <c r="A28" i="72"/>
  <c r="A27" i="72"/>
  <c r="A26" i="72"/>
  <c r="A25" i="72"/>
  <c r="A24" i="72"/>
  <c r="A23" i="72"/>
  <c r="A22" i="72"/>
  <c r="A21" i="72"/>
  <c r="A20" i="72"/>
  <c r="A19" i="72"/>
  <c r="E348" i="71"/>
  <c r="E342" i="71"/>
  <c r="E340" i="71"/>
  <c r="E339" i="71"/>
  <c r="E329" i="71"/>
  <c r="E321" i="71"/>
  <c r="E317" i="71"/>
  <c r="E316" i="71"/>
  <c r="E315" i="71"/>
  <c r="E314" i="71"/>
  <c r="E304" i="71"/>
  <c r="E292" i="71"/>
  <c r="E291" i="71"/>
  <c r="E289" i="71"/>
  <c r="E288" i="71"/>
  <c r="E287" i="71"/>
  <c r="E286" i="71"/>
  <c r="E285" i="71"/>
  <c r="E284" i="71"/>
  <c r="E276" i="71"/>
  <c r="E273" i="71"/>
  <c r="E272" i="71"/>
  <c r="E271" i="71"/>
  <c r="E270" i="71"/>
  <c r="E268" i="71"/>
  <c r="E267" i="71"/>
  <c r="E266" i="71"/>
  <c r="E265" i="71"/>
  <c r="E264" i="71"/>
  <c r="E251" i="71"/>
  <c r="E250" i="71"/>
  <c r="E249" i="71"/>
  <c r="E248" i="71"/>
  <c r="E247" i="71"/>
  <c r="E245" i="71"/>
  <c r="E244" i="71"/>
  <c r="E232" i="71"/>
  <c r="E218" i="71"/>
  <c r="E217" i="71"/>
  <c r="E216" i="71"/>
  <c r="E214" i="71"/>
  <c r="E213" i="71"/>
  <c r="E204" i="71"/>
  <c r="E203" i="71"/>
  <c r="E202" i="71"/>
  <c r="E201" i="71"/>
  <c r="E200" i="71"/>
  <c r="E199" i="71"/>
  <c r="E198" i="71"/>
  <c r="E197" i="71"/>
  <c r="E196" i="71"/>
  <c r="E195" i="71"/>
  <c r="E194" i="71"/>
  <c r="E193" i="71"/>
  <c r="E192" i="71"/>
  <c r="E191" i="71"/>
  <c r="E190" i="71"/>
  <c r="E188" i="71"/>
  <c r="E187" i="71"/>
  <c r="E186" i="71"/>
  <c r="E185" i="71"/>
  <c r="E183" i="71"/>
  <c r="E182" i="71"/>
  <c r="E180" i="71"/>
  <c r="E177" i="71"/>
  <c r="E176" i="71"/>
  <c r="E175" i="71"/>
  <c r="E173" i="71"/>
  <c r="E172" i="71"/>
  <c r="E171" i="71"/>
  <c r="E159" i="71"/>
  <c r="E158" i="71"/>
  <c r="E157" i="71"/>
  <c r="E156" i="71"/>
  <c r="E155" i="71"/>
  <c r="E154" i="71"/>
  <c r="E153" i="71"/>
  <c r="E152" i="71"/>
  <c r="E151" i="71"/>
  <c r="E150" i="71"/>
  <c r="E148" i="71"/>
  <c r="E147" i="71"/>
  <c r="E146" i="71"/>
  <c r="E145" i="71"/>
  <c r="E144" i="71"/>
  <c r="E143" i="71"/>
  <c r="E142" i="71"/>
  <c r="E140" i="71"/>
  <c r="E139" i="71"/>
  <c r="E138" i="71"/>
  <c r="E136" i="71"/>
  <c r="E135" i="71"/>
  <c r="E134" i="71"/>
  <c r="E133" i="71"/>
  <c r="E132" i="71"/>
  <c r="E131" i="71"/>
  <c r="E130" i="71"/>
  <c r="E127" i="71"/>
  <c r="E126" i="71"/>
  <c r="E125" i="71"/>
  <c r="E124" i="71"/>
  <c r="E121" i="71"/>
  <c r="E120" i="71"/>
  <c r="E118" i="71"/>
  <c r="E117" i="71"/>
  <c r="E116" i="71"/>
  <c r="E115" i="71"/>
  <c r="E114" i="71"/>
  <c r="E113" i="71"/>
  <c r="E112" i="71"/>
  <c r="E111" i="71"/>
  <c r="E109" i="71"/>
  <c r="E108" i="71"/>
  <c r="E107" i="71"/>
  <c r="E105" i="71"/>
  <c r="E104" i="71"/>
  <c r="E102" i="71"/>
  <c r="E101" i="71"/>
  <c r="E100" i="71"/>
  <c r="E99" i="71"/>
  <c r="E98" i="71"/>
  <c r="E97" i="71"/>
  <c r="E96" i="71"/>
  <c r="E81" i="71"/>
  <c r="E80" i="71"/>
  <c r="E79" i="71"/>
  <c r="E78" i="71"/>
  <c r="E77" i="71"/>
  <c r="E76" i="71"/>
  <c r="E75" i="71"/>
  <c r="E74" i="71"/>
  <c r="E73" i="71"/>
  <c r="E72" i="71"/>
  <c r="E71" i="71"/>
  <c r="E65" i="71"/>
  <c r="E64" i="71"/>
  <c r="E63" i="71"/>
  <c r="E62" i="71"/>
  <c r="E60" i="71"/>
  <c r="E53" i="71"/>
  <c r="E52" i="71"/>
  <c r="E41" i="71"/>
  <c r="E39" i="71"/>
  <c r="E34" i="71"/>
  <c r="E33" i="71"/>
  <c r="E32" i="71"/>
  <c r="E31" i="71"/>
  <c r="E30" i="71"/>
  <c r="E29" i="71"/>
  <c r="E28" i="71"/>
  <c r="E27" i="71"/>
  <c r="E16" i="71"/>
  <c r="E15" i="71"/>
  <c r="E14" i="71"/>
  <c r="E13" i="71"/>
  <c r="E12" i="71"/>
  <c r="E11" i="71"/>
  <c r="E10" i="71"/>
  <c r="E9" i="71"/>
  <c r="AA279" i="25"/>
  <c r="AA278" i="25"/>
  <c r="AA277" i="25"/>
  <c r="AA276" i="25"/>
  <c r="AA275" i="25"/>
  <c r="AA274" i="25"/>
  <c r="AA273" i="25"/>
  <c r="AA272" i="25"/>
  <c r="AA271" i="25"/>
  <c r="AA270" i="25"/>
  <c r="AA269" i="25"/>
  <c r="AA268" i="25"/>
  <c r="AA267" i="25"/>
  <c r="AA266" i="25"/>
  <c r="AA265" i="25"/>
  <c r="AA264" i="25"/>
  <c r="AA263" i="25"/>
  <c r="AA262" i="25"/>
  <c r="AA261" i="25"/>
  <c r="AA260" i="25"/>
  <c r="AA259" i="25"/>
  <c r="AA258" i="25"/>
  <c r="AA257" i="25"/>
  <c r="AA256" i="25"/>
  <c r="AA255" i="25"/>
  <c r="AA254" i="25"/>
  <c r="AA253" i="25"/>
  <c r="AA252" i="25"/>
  <c r="AA251" i="25"/>
  <c r="AA250" i="25"/>
  <c r="AA249" i="25"/>
  <c r="AA248" i="25"/>
  <c r="AA247" i="25"/>
  <c r="AA246" i="25"/>
  <c r="AA245" i="25"/>
  <c r="AA244" i="25"/>
  <c r="AA243" i="25"/>
  <c r="AA242" i="25"/>
  <c r="AA241" i="25"/>
  <c r="AA240" i="25"/>
  <c r="AA239" i="25"/>
  <c r="AA238" i="25"/>
  <c r="AA237" i="25"/>
  <c r="AA236" i="25"/>
  <c r="AA235" i="25"/>
  <c r="AA234" i="25"/>
  <c r="AA233" i="25"/>
  <c r="AA232" i="25"/>
  <c r="AA231" i="25"/>
  <c r="AA230" i="25"/>
  <c r="AA229" i="25"/>
  <c r="AA228" i="25"/>
  <c r="AA227" i="25"/>
  <c r="AA226" i="25"/>
  <c r="AA225" i="25"/>
  <c r="AA224" i="25"/>
  <c r="AA223" i="25"/>
  <c r="AA222" i="25"/>
  <c r="AA221" i="25"/>
  <c r="AA220" i="25"/>
  <c r="AA219" i="25"/>
  <c r="AA218" i="25"/>
  <c r="AA217" i="25"/>
  <c r="AA216" i="25"/>
  <c r="AA215" i="25"/>
  <c r="AA214" i="25"/>
  <c r="AA213" i="25"/>
  <c r="AA212" i="25"/>
  <c r="AA211" i="25"/>
  <c r="AA210" i="25"/>
  <c r="AA209" i="25"/>
  <c r="AA208" i="25"/>
  <c r="AA207" i="25"/>
  <c r="AA206" i="25"/>
  <c r="AA205" i="25"/>
  <c r="AA204" i="25"/>
  <c r="AA203" i="25"/>
  <c r="AA202" i="25"/>
  <c r="AA201" i="25"/>
  <c r="AA200" i="25"/>
  <c r="AA199" i="25"/>
  <c r="AA198" i="25"/>
  <c r="AA197" i="25"/>
  <c r="AA196" i="25"/>
  <c r="AA195" i="25"/>
  <c r="AA194" i="25"/>
  <c r="AA193" i="25"/>
  <c r="AA192" i="25"/>
  <c r="AA191" i="25"/>
  <c r="AA190" i="25"/>
  <c r="AA189" i="25"/>
  <c r="AA188" i="25"/>
  <c r="AA187" i="25"/>
  <c r="AA186" i="25"/>
  <c r="AA185" i="25"/>
  <c r="AA184" i="25"/>
  <c r="AA183" i="25"/>
  <c r="AA182" i="25"/>
  <c r="AA181" i="25"/>
  <c r="AA180" i="25"/>
  <c r="AA179" i="25"/>
  <c r="AA178" i="25"/>
  <c r="AA177" i="25"/>
  <c r="AA176" i="25"/>
  <c r="AA175" i="25"/>
  <c r="AA174" i="25"/>
  <c r="AA173" i="25"/>
  <c r="AA172" i="25"/>
  <c r="AA171" i="25"/>
  <c r="AA170" i="25"/>
  <c r="AA169" i="25"/>
  <c r="AA168" i="25"/>
  <c r="AA167" i="25"/>
  <c r="AA166" i="25"/>
  <c r="AA165" i="25"/>
  <c r="AA164" i="25"/>
  <c r="AA163" i="25"/>
  <c r="AA162" i="25"/>
  <c r="AA161" i="25"/>
  <c r="AA160" i="25"/>
  <c r="AA159" i="25"/>
  <c r="AA158" i="25"/>
  <c r="AA157" i="25"/>
  <c r="AA156" i="25"/>
  <c r="AA155" i="25"/>
  <c r="AA154" i="25"/>
  <c r="AA153" i="25"/>
  <c r="AA152" i="25"/>
  <c r="AA151" i="25"/>
  <c r="AA150" i="25"/>
  <c r="AA149" i="25"/>
  <c r="AA148" i="25"/>
  <c r="AA147" i="25"/>
  <c r="AA146" i="25"/>
  <c r="AA145" i="25"/>
  <c r="AA144" i="25"/>
  <c r="AA143" i="25"/>
  <c r="AA142" i="25"/>
  <c r="AA141" i="25"/>
  <c r="AA140" i="25"/>
  <c r="AA139" i="25"/>
  <c r="AA138" i="25"/>
  <c r="AA137" i="25"/>
  <c r="AA136" i="25"/>
  <c r="AA135" i="25"/>
  <c r="AA134" i="25"/>
  <c r="AA133" i="25"/>
  <c r="AA132" i="25"/>
  <c r="AA131" i="25"/>
  <c r="AA130" i="25"/>
  <c r="AA129" i="25"/>
  <c r="AA128" i="25"/>
  <c r="AA127" i="25"/>
  <c r="AA126" i="25"/>
  <c r="AA125" i="25"/>
  <c r="AA124" i="25"/>
  <c r="AA123" i="25"/>
  <c r="AA122" i="25"/>
  <c r="AA121" i="25"/>
  <c r="AA120" i="25"/>
  <c r="AA119" i="25"/>
  <c r="AA118" i="25"/>
  <c r="AA117" i="25"/>
  <c r="AA116" i="25"/>
  <c r="AA115" i="25"/>
  <c r="AA114" i="25"/>
  <c r="AA113" i="25"/>
  <c r="AA112" i="25"/>
  <c r="AA111" i="25"/>
  <c r="AA110" i="25"/>
  <c r="AA109" i="25"/>
  <c r="AA108" i="25"/>
  <c r="AA107" i="25"/>
  <c r="AA106" i="25"/>
  <c r="AA105" i="25"/>
  <c r="AA104" i="25"/>
  <c r="AA103" i="25"/>
  <c r="AA102" i="25"/>
  <c r="AA101" i="25"/>
  <c r="AA100" i="25"/>
  <c r="AA99" i="25"/>
  <c r="AA98" i="25"/>
  <c r="AA97" i="25"/>
  <c r="AA96" i="25"/>
  <c r="AA95" i="25"/>
  <c r="AA94" i="25"/>
  <c r="AA93" i="25"/>
  <c r="AA92" i="25"/>
  <c r="AA91" i="25"/>
  <c r="AA90" i="25"/>
  <c r="AA89" i="25"/>
  <c r="AA88" i="25"/>
  <c r="AA87" i="25"/>
  <c r="AA86" i="25"/>
  <c r="AA85" i="25"/>
  <c r="AA84" i="25"/>
  <c r="AA83" i="25"/>
  <c r="AA82" i="25"/>
  <c r="AA81" i="25"/>
  <c r="AA80" i="25"/>
  <c r="AA79" i="25"/>
  <c r="AA78" i="25"/>
  <c r="AA77" i="25"/>
  <c r="AA76" i="25"/>
  <c r="AA75" i="25"/>
  <c r="AA74" i="25"/>
  <c r="AA73" i="25"/>
  <c r="AA72" i="25"/>
  <c r="AA71" i="25"/>
  <c r="AA70" i="25"/>
  <c r="AA69" i="25"/>
  <c r="AA68" i="25"/>
  <c r="AA67" i="25"/>
  <c r="AA66" i="25"/>
  <c r="AA65" i="25"/>
  <c r="AA64" i="25"/>
  <c r="AA63" i="25"/>
  <c r="AA62" i="25"/>
  <c r="AA61" i="25"/>
  <c r="AA60" i="25"/>
  <c r="AA59" i="25"/>
  <c r="AA58" i="25"/>
  <c r="AA57" i="25"/>
  <c r="AA56" i="25"/>
  <c r="AA55" i="25"/>
  <c r="AA54" i="25"/>
  <c r="AA53" i="25"/>
  <c r="AA52" i="25"/>
  <c r="AA51" i="25"/>
  <c r="AA50" i="25"/>
  <c r="AA49" i="25"/>
  <c r="AA48" i="25"/>
  <c r="AA47" i="25"/>
  <c r="AA46" i="25"/>
  <c r="AA45" i="25"/>
  <c r="AA44" i="25"/>
  <c r="AA43" i="25"/>
  <c r="AA42" i="25"/>
  <c r="AA41" i="25"/>
  <c r="AA40" i="25"/>
  <c r="AA39" i="25"/>
  <c r="AA38" i="25"/>
  <c r="M38" i="25"/>
  <c r="AA37" i="25"/>
  <c r="AA36" i="25"/>
  <c r="AA35" i="25"/>
  <c r="AA34" i="25"/>
  <c r="AA33" i="25"/>
  <c r="AA32" i="25"/>
  <c r="AA31" i="25"/>
  <c r="M31" i="25"/>
  <c r="AA30" i="25"/>
  <c r="AA29" i="25"/>
  <c r="AA28" i="25"/>
  <c r="AA27" i="25"/>
  <c r="AA26" i="25"/>
  <c r="AA25" i="25"/>
  <c r="M25" i="25"/>
  <c r="AA24" i="25"/>
  <c r="AA23" i="25"/>
  <c r="AA22" i="25"/>
  <c r="AA21" i="25"/>
  <c r="M21" i="25"/>
  <c r="AA20" i="25"/>
  <c r="M20" i="25"/>
  <c r="AA19" i="25"/>
  <c r="AA18" i="25"/>
  <c r="M18" i="25"/>
  <c r="AA17" i="25"/>
  <c r="AA16" i="25"/>
  <c r="M16" i="25"/>
  <c r="AA15" i="25"/>
  <c r="AA14" i="25"/>
  <c r="M14" i="25"/>
  <c r="AA13" i="25"/>
  <c r="M13" i="25"/>
  <c r="AA12" i="25"/>
  <c r="AF11" i="25"/>
  <c r="AA11" i="25"/>
  <c r="AF10" i="25"/>
  <c r="AA10" i="25"/>
  <c r="M10" i="25"/>
  <c r="AF9" i="25"/>
  <c r="AA9" i="25"/>
  <c r="M9" i="25"/>
  <c r="AF8" i="25"/>
  <c r="AA8" i="25"/>
  <c r="AF7" i="25"/>
  <c r="AA7" i="25"/>
  <c r="M7" i="25"/>
  <c r="AF6" i="25"/>
  <c r="AA6" i="25"/>
  <c r="M6" i="25"/>
  <c r="AF5" i="25"/>
  <c r="AA5" i="25"/>
  <c r="M5" i="25"/>
  <c r="AF4" i="25"/>
  <c r="AA4" i="25"/>
  <c r="I1757" i="27" a="1"/>
  <c r="I1757" i="27"/>
  <c r="H1757" i="27"/>
  <c r="D1757" i="27"/>
  <c r="I1756" i="27" a="1"/>
  <c r="I1756" i="27"/>
  <c r="H1756" i="27"/>
  <c r="D1756" i="27"/>
  <c r="I1755" i="27" a="1"/>
  <c r="I1755" i="27"/>
  <c r="H1755" i="27"/>
  <c r="D1755" i="27"/>
  <c r="I1754" i="27" a="1"/>
  <c r="I1754" i="27"/>
  <c r="H1754" i="27"/>
  <c r="D1754" i="27"/>
  <c r="A1754" i="27"/>
  <c r="I1753" i="27" a="1"/>
  <c r="I1753" i="27"/>
  <c r="H1753" i="27"/>
  <c r="D1753" i="27"/>
  <c r="A1753" i="27"/>
  <c r="I1752" i="27" a="1"/>
  <c r="I1752" i="27"/>
  <c r="H1752" i="27"/>
  <c r="D1752" i="27"/>
  <c r="A1752" i="27"/>
  <c r="I1751" i="27" a="1"/>
  <c r="I1751" i="27"/>
  <c r="H1751" i="27"/>
  <c r="D1751" i="27"/>
  <c r="A1751" i="27"/>
  <c r="I1750" i="27" a="1"/>
  <c r="I1750" i="27"/>
  <c r="H1750" i="27"/>
  <c r="D1750" i="27"/>
  <c r="A1750" i="27"/>
  <c r="I1749" i="27" a="1"/>
  <c r="I1749" i="27"/>
  <c r="H1749" i="27"/>
  <c r="D1749" i="27"/>
  <c r="A1749" i="27"/>
  <c r="I1748" i="27" a="1"/>
  <c r="I1748" i="27"/>
  <c r="H1748" i="27"/>
  <c r="D1748" i="27"/>
  <c r="A1748" i="27"/>
  <c r="I1747" i="27" a="1"/>
  <c r="I1747" i="27"/>
  <c r="H1747" i="27"/>
  <c r="D1747" i="27"/>
  <c r="A1747" i="27"/>
  <c r="I1746" i="27" a="1"/>
  <c r="I1746" i="27"/>
  <c r="H1746" i="27"/>
  <c r="D1746" i="27"/>
  <c r="A1746" i="27"/>
  <c r="I1745" i="27" a="1"/>
  <c r="I1745" i="27"/>
  <c r="H1745" i="27"/>
  <c r="D1745" i="27"/>
  <c r="A1745" i="27"/>
  <c r="I1744" i="27" a="1"/>
  <c r="I1744" i="27"/>
  <c r="H1744" i="27"/>
  <c r="D1744" i="27"/>
  <c r="A1744" i="27"/>
  <c r="I1743" i="27" a="1"/>
  <c r="I1743" i="27"/>
  <c r="H1743" i="27"/>
  <c r="D1743" i="27"/>
  <c r="A1743" i="27"/>
  <c r="I1742" i="27" a="1"/>
  <c r="I1742" i="27"/>
  <c r="H1742" i="27"/>
  <c r="D1742" i="27"/>
  <c r="A1742" i="27"/>
  <c r="I1741" i="27" a="1"/>
  <c r="I1741" i="27"/>
  <c r="H1741" i="27"/>
  <c r="D1741" i="27"/>
  <c r="A1741" i="27"/>
  <c r="I1740" i="27" a="1"/>
  <c r="I1740" i="27"/>
  <c r="H1740" i="27"/>
  <c r="D1740" i="27"/>
  <c r="A1740" i="27"/>
  <c r="I1739" i="27" a="1"/>
  <c r="I1739" i="27"/>
  <c r="H1739" i="27"/>
  <c r="D1739" i="27"/>
  <c r="A1739" i="27"/>
  <c r="I1738" i="27" a="1"/>
  <c r="I1738" i="27"/>
  <c r="H1738" i="27"/>
  <c r="D1738" i="27"/>
  <c r="A1738" i="27"/>
  <c r="I1737" i="27" a="1"/>
  <c r="I1737" i="27"/>
  <c r="H1737" i="27"/>
  <c r="D1737" i="27"/>
  <c r="A1737" i="27"/>
  <c r="I1736" i="27" a="1"/>
  <c r="I1736" i="27"/>
  <c r="H1736" i="27"/>
  <c r="D1736" i="27"/>
  <c r="A1736" i="27"/>
  <c r="I1735" i="27" a="1"/>
  <c r="I1735" i="27"/>
  <c r="H1735" i="27"/>
  <c r="D1735" i="27"/>
  <c r="A1735" i="27"/>
  <c r="I1734" i="27" a="1"/>
  <c r="I1734" i="27"/>
  <c r="H1734" i="27"/>
  <c r="D1734" i="27"/>
  <c r="A1734" i="27"/>
  <c r="I1733" i="27" a="1"/>
  <c r="I1733" i="27"/>
  <c r="H1733" i="27"/>
  <c r="D1733" i="27"/>
  <c r="A1733" i="27"/>
  <c r="I1732" i="27" a="1"/>
  <c r="I1732" i="27"/>
  <c r="H1732" i="27"/>
  <c r="D1732" i="27"/>
  <c r="A1732" i="27"/>
  <c r="I1731" i="27" a="1"/>
  <c r="I1731" i="27"/>
  <c r="H1731" i="27"/>
  <c r="D1731" i="27"/>
  <c r="A1731" i="27"/>
  <c r="I1730" i="27" a="1"/>
  <c r="I1730" i="27"/>
  <c r="H1730" i="27"/>
  <c r="D1730" i="27"/>
  <c r="A1730" i="27"/>
  <c r="I1729" i="27" a="1"/>
  <c r="I1729" i="27"/>
  <c r="H1729" i="27"/>
  <c r="D1729" i="27"/>
  <c r="A1729" i="27"/>
  <c r="I1728" i="27" a="1"/>
  <c r="I1728" i="27"/>
  <c r="H1728" i="27"/>
  <c r="D1728" i="27"/>
  <c r="A1728" i="27"/>
  <c r="I1727" i="27" a="1"/>
  <c r="I1727" i="27"/>
  <c r="H1727" i="27"/>
  <c r="D1727" i="27"/>
  <c r="A1727" i="27"/>
  <c r="I1726" i="27" a="1"/>
  <c r="I1726" i="27"/>
  <c r="H1726" i="27"/>
  <c r="D1726" i="27"/>
  <c r="A1726" i="27"/>
  <c r="I1725" i="27" a="1"/>
  <c r="I1725" i="27"/>
  <c r="H1725" i="27"/>
  <c r="D1725" i="27"/>
  <c r="A1725" i="27"/>
  <c r="I1724" i="27" a="1"/>
  <c r="I1724" i="27"/>
  <c r="H1724" i="27"/>
  <c r="D1724" i="27"/>
  <c r="A1724" i="27"/>
  <c r="I1723" i="27" a="1"/>
  <c r="I1723" i="27"/>
  <c r="H1723" i="27"/>
  <c r="D1723" i="27"/>
  <c r="A1723" i="27"/>
  <c r="I1722" i="27" a="1"/>
  <c r="I1722" i="27"/>
  <c r="H1722" i="27"/>
  <c r="D1722" i="27"/>
  <c r="A1722" i="27"/>
  <c r="I1721" i="27" a="1"/>
  <c r="I1721" i="27"/>
  <c r="H1721" i="27"/>
  <c r="D1721" i="27"/>
  <c r="A1721" i="27"/>
  <c r="I1720" i="27" a="1"/>
  <c r="I1720" i="27"/>
  <c r="H1720" i="27"/>
  <c r="D1720" i="27"/>
  <c r="A1720" i="27"/>
  <c r="I1719" i="27" a="1"/>
  <c r="I1719" i="27"/>
  <c r="H1719" i="27"/>
  <c r="D1719" i="27"/>
  <c r="A1719" i="27"/>
  <c r="I1718" i="27" a="1"/>
  <c r="I1718" i="27"/>
  <c r="H1718" i="27"/>
  <c r="D1718" i="27"/>
  <c r="A1718" i="27"/>
  <c r="I1717" i="27" a="1"/>
  <c r="I1717" i="27"/>
  <c r="H1717" i="27"/>
  <c r="D1717" i="27"/>
  <c r="A1717" i="27"/>
  <c r="I1716" i="27" a="1"/>
  <c r="I1716" i="27"/>
  <c r="H1716" i="27"/>
  <c r="D1716" i="27"/>
  <c r="A1716" i="27"/>
  <c r="I1715" i="27" a="1"/>
  <c r="I1715" i="27"/>
  <c r="H1715" i="27"/>
  <c r="D1715" i="27"/>
  <c r="A1715" i="27"/>
  <c r="I1714" i="27" a="1"/>
  <c r="I1714" i="27"/>
  <c r="H1714" i="27"/>
  <c r="D1714" i="27"/>
  <c r="A1714" i="27"/>
  <c r="I1713" i="27" a="1"/>
  <c r="I1713" i="27"/>
  <c r="H1713" i="27"/>
  <c r="D1713" i="27"/>
  <c r="A1713" i="27"/>
  <c r="I1712" i="27" a="1"/>
  <c r="I1712" i="27"/>
  <c r="H1712" i="27"/>
  <c r="D1712" i="27"/>
  <c r="A1712" i="27"/>
  <c r="I1711" i="27" a="1"/>
  <c r="I1711" i="27"/>
  <c r="H1711" i="27"/>
  <c r="D1711" i="27"/>
  <c r="A1711" i="27"/>
  <c r="I1710" i="27" a="1"/>
  <c r="I1710" i="27"/>
  <c r="H1710" i="27"/>
  <c r="D1710" i="27"/>
  <c r="A1710" i="27"/>
  <c r="I1709" i="27" a="1"/>
  <c r="I1709" i="27"/>
  <c r="H1709" i="27"/>
  <c r="D1709" i="27"/>
  <c r="A1709" i="27"/>
  <c r="I1708" i="27" a="1"/>
  <c r="I1708" i="27"/>
  <c r="H1708" i="27"/>
  <c r="D1708" i="27"/>
  <c r="A1708" i="27"/>
  <c r="I1707" i="27" a="1"/>
  <c r="I1707" i="27"/>
  <c r="H1707" i="27"/>
  <c r="D1707" i="27"/>
  <c r="A1707" i="27"/>
  <c r="I1706" i="27" a="1"/>
  <c r="I1706" i="27"/>
  <c r="H1706" i="27"/>
  <c r="D1706" i="27"/>
  <c r="A1706" i="27"/>
  <c r="I1705" i="27" a="1"/>
  <c r="I1705" i="27"/>
  <c r="H1705" i="27"/>
  <c r="D1705" i="27"/>
  <c r="A1705" i="27"/>
  <c r="I1704" i="27" a="1"/>
  <c r="I1704" i="27"/>
  <c r="H1704" i="27"/>
  <c r="D1704" i="27"/>
  <c r="A1704" i="27"/>
  <c r="I1703" i="27" a="1"/>
  <c r="I1703" i="27"/>
  <c r="H1703" i="27"/>
  <c r="D1703" i="27"/>
  <c r="A1703" i="27"/>
  <c r="I1702" i="27" a="1"/>
  <c r="I1702" i="27"/>
  <c r="H1702" i="27"/>
  <c r="D1702" i="27"/>
  <c r="A1702" i="27"/>
  <c r="I1701" i="27" a="1"/>
  <c r="I1701" i="27"/>
  <c r="H1701" i="27"/>
  <c r="D1701" i="27"/>
  <c r="A1701" i="27"/>
  <c r="I1700" i="27" a="1"/>
  <c r="I1700" i="27"/>
  <c r="H1700" i="27"/>
  <c r="D1700" i="27"/>
  <c r="A1700" i="27"/>
  <c r="I1699" i="27" a="1"/>
  <c r="I1699" i="27"/>
  <c r="H1699" i="27"/>
  <c r="D1699" i="27"/>
  <c r="A1699" i="27"/>
  <c r="I1698" i="27" a="1"/>
  <c r="I1698" i="27"/>
  <c r="H1698" i="27"/>
  <c r="D1698" i="27"/>
  <c r="A1698" i="27"/>
  <c r="I1697" i="27" a="1"/>
  <c r="I1697" i="27"/>
  <c r="H1697" i="27"/>
  <c r="D1697" i="27"/>
  <c r="A1697" i="27"/>
  <c r="I1696" i="27" a="1"/>
  <c r="I1696" i="27"/>
  <c r="H1696" i="27"/>
  <c r="D1696" i="27"/>
  <c r="A1696" i="27"/>
  <c r="I1695" i="27" a="1"/>
  <c r="I1695" i="27"/>
  <c r="H1695" i="27"/>
  <c r="D1695" i="27"/>
  <c r="A1695" i="27"/>
  <c r="I1694" i="27" a="1"/>
  <c r="I1694" i="27"/>
  <c r="H1694" i="27"/>
  <c r="D1694" i="27"/>
  <c r="A1694" i="27"/>
  <c r="I1693" i="27" a="1"/>
  <c r="I1693" i="27"/>
  <c r="H1693" i="27"/>
  <c r="D1693" i="27"/>
  <c r="A1693" i="27"/>
  <c r="I1692" i="27" a="1"/>
  <c r="I1692" i="27"/>
  <c r="H1692" i="27"/>
  <c r="D1692" i="27"/>
  <c r="A1692" i="27"/>
  <c r="I1691" i="27" a="1"/>
  <c r="I1691" i="27"/>
  <c r="H1691" i="27"/>
  <c r="D1691" i="27"/>
  <c r="A1691" i="27"/>
  <c r="I1690" i="27" a="1"/>
  <c r="I1690" i="27"/>
  <c r="H1690" i="27"/>
  <c r="D1690" i="27"/>
  <c r="A1690" i="27"/>
  <c r="I1689" i="27" a="1"/>
  <c r="I1689" i="27"/>
  <c r="H1689" i="27"/>
  <c r="D1689" i="27"/>
  <c r="A1689" i="27"/>
  <c r="I1688" i="27" a="1"/>
  <c r="I1688" i="27"/>
  <c r="H1688" i="27"/>
  <c r="D1688" i="27"/>
  <c r="A1688" i="27"/>
  <c r="I1687" i="27" a="1"/>
  <c r="I1687" i="27"/>
  <c r="H1687" i="27"/>
  <c r="D1687" i="27"/>
  <c r="A1687" i="27"/>
  <c r="I1686" i="27" a="1"/>
  <c r="I1686" i="27"/>
  <c r="H1686" i="27"/>
  <c r="D1686" i="27"/>
  <c r="A1686" i="27"/>
  <c r="I1685" i="27" a="1"/>
  <c r="I1685" i="27"/>
  <c r="H1685" i="27"/>
  <c r="D1685" i="27"/>
  <c r="A1685" i="27"/>
  <c r="I1684" i="27" a="1"/>
  <c r="I1684" i="27"/>
  <c r="H1684" i="27"/>
  <c r="D1684" i="27"/>
  <c r="A1684" i="27"/>
  <c r="I1683" i="27" a="1"/>
  <c r="I1683" i="27"/>
  <c r="H1683" i="27"/>
  <c r="D1683" i="27"/>
  <c r="A1683" i="27"/>
  <c r="I1682" i="27" a="1"/>
  <c r="I1682" i="27"/>
  <c r="H1682" i="27"/>
  <c r="D1682" i="27"/>
  <c r="A1682" i="27"/>
  <c r="I1681" i="27" a="1"/>
  <c r="I1681" i="27"/>
  <c r="H1681" i="27"/>
  <c r="D1681" i="27"/>
  <c r="A1681" i="27"/>
  <c r="I1680" i="27" a="1"/>
  <c r="I1680" i="27"/>
  <c r="H1680" i="27"/>
  <c r="D1680" i="27"/>
  <c r="A1680" i="27"/>
  <c r="I1679" i="27" a="1"/>
  <c r="I1679" i="27"/>
  <c r="H1679" i="27"/>
  <c r="D1679" i="27"/>
  <c r="A1679" i="27"/>
  <c r="I1678" i="27" a="1"/>
  <c r="I1678" i="27"/>
  <c r="H1678" i="27"/>
  <c r="D1678" i="27"/>
  <c r="A1678" i="27"/>
  <c r="I1677" i="27" a="1"/>
  <c r="I1677" i="27"/>
  <c r="H1677" i="27"/>
  <c r="D1677" i="27"/>
  <c r="A1677" i="27"/>
  <c r="I1676" i="27" a="1"/>
  <c r="I1676" i="27"/>
  <c r="H1676" i="27"/>
  <c r="D1676" i="27"/>
  <c r="A1676" i="27"/>
  <c r="I1675" i="27" a="1"/>
  <c r="I1675" i="27"/>
  <c r="H1675" i="27"/>
  <c r="D1675" i="27"/>
  <c r="A1675" i="27"/>
  <c r="I1674" i="27" a="1"/>
  <c r="I1674" i="27"/>
  <c r="H1674" i="27"/>
  <c r="D1674" i="27"/>
  <c r="A1674" i="27"/>
  <c r="I1673" i="27" a="1"/>
  <c r="I1673" i="27"/>
  <c r="H1673" i="27"/>
  <c r="D1673" i="27"/>
  <c r="A1673" i="27"/>
  <c r="I1672" i="27" a="1"/>
  <c r="I1672" i="27"/>
  <c r="H1672" i="27"/>
  <c r="D1672" i="27"/>
  <c r="A1672" i="27"/>
  <c r="I1671" i="27" a="1"/>
  <c r="I1671" i="27"/>
  <c r="H1671" i="27"/>
  <c r="D1671" i="27"/>
  <c r="A1671" i="27"/>
  <c r="I1670" i="27" a="1"/>
  <c r="I1670" i="27"/>
  <c r="H1670" i="27"/>
  <c r="D1670" i="27"/>
  <c r="A1670" i="27"/>
  <c r="I1669" i="27" a="1"/>
  <c r="I1669" i="27"/>
  <c r="H1669" i="27"/>
  <c r="D1669" i="27"/>
  <c r="A1669" i="27"/>
  <c r="I1668" i="27" a="1"/>
  <c r="I1668" i="27"/>
  <c r="H1668" i="27"/>
  <c r="D1668" i="27"/>
  <c r="A1668" i="27"/>
  <c r="I1667" i="27" a="1"/>
  <c r="I1667" i="27"/>
  <c r="H1667" i="27"/>
  <c r="D1667" i="27"/>
  <c r="A1667" i="27"/>
  <c r="I1666" i="27" a="1"/>
  <c r="I1666" i="27"/>
  <c r="H1666" i="27"/>
  <c r="D1666" i="27"/>
  <c r="A1666" i="27"/>
  <c r="I1665" i="27" a="1"/>
  <c r="I1665" i="27"/>
  <c r="H1665" i="27"/>
  <c r="D1665" i="27"/>
  <c r="A1665" i="27"/>
  <c r="I1664" i="27" a="1"/>
  <c r="I1664" i="27"/>
  <c r="H1664" i="27"/>
  <c r="D1664" i="27"/>
  <c r="A1664" i="27"/>
  <c r="I1663" i="27" a="1"/>
  <c r="I1663" i="27"/>
  <c r="H1663" i="27"/>
  <c r="D1663" i="27"/>
  <c r="A1663" i="27"/>
  <c r="I1662" i="27" a="1"/>
  <c r="I1662" i="27"/>
  <c r="H1662" i="27"/>
  <c r="D1662" i="27"/>
  <c r="A1662" i="27"/>
  <c r="I1661" i="27" a="1"/>
  <c r="I1661" i="27"/>
  <c r="H1661" i="27"/>
  <c r="D1661" i="27"/>
  <c r="A1661" i="27"/>
  <c r="I1660" i="27" a="1"/>
  <c r="I1660" i="27"/>
  <c r="H1660" i="27"/>
  <c r="D1660" i="27"/>
  <c r="A1660" i="27"/>
  <c r="I1659" i="27" a="1"/>
  <c r="I1659" i="27"/>
  <c r="H1659" i="27"/>
  <c r="D1659" i="27"/>
  <c r="A1659" i="27"/>
  <c r="I1658" i="27" a="1"/>
  <c r="I1658" i="27"/>
  <c r="H1658" i="27"/>
  <c r="D1658" i="27"/>
  <c r="A1658" i="27"/>
  <c r="I1657" i="27" a="1"/>
  <c r="I1657" i="27"/>
  <c r="H1657" i="27"/>
  <c r="D1657" i="27"/>
  <c r="A1657" i="27"/>
  <c r="I1656" i="27" a="1"/>
  <c r="I1656" i="27"/>
  <c r="H1656" i="27"/>
  <c r="D1656" i="27"/>
  <c r="A1656" i="27"/>
  <c r="I1655" i="27" a="1"/>
  <c r="I1655" i="27"/>
  <c r="H1655" i="27"/>
  <c r="D1655" i="27"/>
  <c r="A1655" i="27"/>
  <c r="I1654" i="27" a="1"/>
  <c r="I1654" i="27"/>
  <c r="H1654" i="27"/>
  <c r="D1654" i="27"/>
  <c r="A1654" i="27"/>
  <c r="I1653" i="27" a="1"/>
  <c r="I1653" i="27"/>
  <c r="H1653" i="27"/>
  <c r="D1653" i="27"/>
  <c r="A1653" i="27"/>
  <c r="I1652" i="27" a="1"/>
  <c r="I1652" i="27"/>
  <c r="H1652" i="27"/>
  <c r="D1652" i="27"/>
  <c r="A1652" i="27"/>
  <c r="I1651" i="27" a="1"/>
  <c r="I1651" i="27"/>
  <c r="H1651" i="27"/>
  <c r="D1651" i="27"/>
  <c r="A1651" i="27"/>
  <c r="I1650" i="27" a="1"/>
  <c r="I1650" i="27"/>
  <c r="H1650" i="27"/>
  <c r="D1650" i="27"/>
  <c r="A1650" i="27"/>
  <c r="I1649" i="27" a="1"/>
  <c r="I1649" i="27"/>
  <c r="H1649" i="27"/>
  <c r="D1649" i="27"/>
  <c r="A1649" i="27"/>
  <c r="I1648" i="27" a="1"/>
  <c r="I1648" i="27"/>
  <c r="H1648" i="27"/>
  <c r="D1648" i="27"/>
  <c r="A1648" i="27"/>
  <c r="I1647" i="27" a="1"/>
  <c r="I1647" i="27"/>
  <c r="H1647" i="27"/>
  <c r="D1647" i="27"/>
  <c r="A1647" i="27"/>
  <c r="I1646" i="27" a="1"/>
  <c r="I1646" i="27"/>
  <c r="H1646" i="27"/>
  <c r="D1646" i="27"/>
  <c r="A1646" i="27"/>
  <c r="I1645" i="27" a="1"/>
  <c r="I1645" i="27"/>
  <c r="H1645" i="27"/>
  <c r="D1645" i="27"/>
  <c r="A1645" i="27"/>
  <c r="I1644" i="27" a="1"/>
  <c r="I1644" i="27"/>
  <c r="H1644" i="27"/>
  <c r="D1644" i="27"/>
  <c r="A1644" i="27"/>
  <c r="I1643" i="27" a="1"/>
  <c r="I1643" i="27"/>
  <c r="H1643" i="27"/>
  <c r="D1643" i="27"/>
  <c r="A1643" i="27"/>
  <c r="I1642" i="27" a="1"/>
  <c r="I1642" i="27"/>
  <c r="H1642" i="27"/>
  <c r="D1642" i="27"/>
  <c r="A1642" i="27"/>
  <c r="I1641" i="27" a="1"/>
  <c r="I1641" i="27"/>
  <c r="H1641" i="27"/>
  <c r="D1641" i="27"/>
  <c r="A1641" i="27"/>
  <c r="I1640" i="27" a="1"/>
  <c r="I1640" i="27"/>
  <c r="H1640" i="27"/>
  <c r="D1640" i="27"/>
  <c r="A1640" i="27"/>
  <c r="I1639" i="27" a="1"/>
  <c r="I1639" i="27"/>
  <c r="H1639" i="27"/>
  <c r="D1639" i="27"/>
  <c r="A1639" i="27"/>
  <c r="I1638" i="27" a="1"/>
  <c r="I1638" i="27"/>
  <c r="H1638" i="27"/>
  <c r="D1638" i="27"/>
  <c r="A1638" i="27"/>
  <c r="I1637" i="27" a="1"/>
  <c r="I1637" i="27"/>
  <c r="H1637" i="27"/>
  <c r="D1637" i="27"/>
  <c r="A1637" i="27"/>
  <c r="I1636" i="27" a="1"/>
  <c r="I1636" i="27"/>
  <c r="H1636" i="27"/>
  <c r="D1636" i="27"/>
  <c r="A1636" i="27"/>
  <c r="I1635" i="27" a="1"/>
  <c r="I1635" i="27"/>
  <c r="H1635" i="27"/>
  <c r="D1635" i="27"/>
  <c r="A1635" i="27"/>
  <c r="I1634" i="27" a="1"/>
  <c r="I1634" i="27"/>
  <c r="H1634" i="27"/>
  <c r="D1634" i="27"/>
  <c r="A1634" i="27"/>
  <c r="I1633" i="27" a="1"/>
  <c r="I1633" i="27"/>
  <c r="H1633" i="27"/>
  <c r="D1633" i="27"/>
  <c r="A1633" i="27"/>
  <c r="I1632" i="27" a="1"/>
  <c r="I1632" i="27"/>
  <c r="H1632" i="27"/>
  <c r="D1632" i="27"/>
  <c r="A1632" i="27"/>
  <c r="I1631" i="27" a="1"/>
  <c r="I1631" i="27"/>
  <c r="H1631" i="27"/>
  <c r="D1631" i="27"/>
  <c r="A1631" i="27"/>
  <c r="I1630" i="27" a="1"/>
  <c r="I1630" i="27"/>
  <c r="H1630" i="27"/>
  <c r="D1630" i="27"/>
  <c r="A1630" i="27"/>
  <c r="I1629" i="27" a="1"/>
  <c r="I1629" i="27"/>
  <c r="H1629" i="27"/>
  <c r="D1629" i="27"/>
  <c r="A1629" i="27"/>
  <c r="I1628" i="27" a="1"/>
  <c r="I1628" i="27"/>
  <c r="H1628" i="27"/>
  <c r="D1628" i="27"/>
  <c r="A1628" i="27"/>
  <c r="I1627" i="27" a="1"/>
  <c r="I1627" i="27"/>
  <c r="H1627" i="27"/>
  <c r="D1627" i="27"/>
  <c r="A1627" i="27"/>
  <c r="I1626" i="27" a="1"/>
  <c r="I1626" i="27"/>
  <c r="H1626" i="27"/>
  <c r="D1626" i="27"/>
  <c r="A1626" i="27"/>
  <c r="I1625" i="27" a="1"/>
  <c r="I1625" i="27"/>
  <c r="H1625" i="27"/>
  <c r="D1625" i="27"/>
  <c r="A1625" i="27"/>
  <c r="I1624" i="27" a="1"/>
  <c r="I1624" i="27"/>
  <c r="H1624" i="27"/>
  <c r="D1624" i="27"/>
  <c r="A1624" i="27"/>
  <c r="I1623" i="27" a="1"/>
  <c r="I1623" i="27"/>
  <c r="H1623" i="27"/>
  <c r="D1623" i="27"/>
  <c r="A1623" i="27"/>
  <c r="I1622" i="27" a="1"/>
  <c r="I1622" i="27"/>
  <c r="H1622" i="27"/>
  <c r="D1622" i="27"/>
  <c r="A1622" i="27"/>
  <c r="I1621" i="27" a="1"/>
  <c r="I1621" i="27"/>
  <c r="H1621" i="27"/>
  <c r="D1621" i="27"/>
  <c r="A1621" i="27"/>
  <c r="I1620" i="27" a="1"/>
  <c r="I1620" i="27"/>
  <c r="H1620" i="27"/>
  <c r="D1620" i="27"/>
  <c r="A1620" i="27"/>
  <c r="I1619" i="27" a="1"/>
  <c r="I1619" i="27"/>
  <c r="H1619" i="27"/>
  <c r="D1619" i="27"/>
  <c r="A1619" i="27"/>
  <c r="I1618" i="27" a="1"/>
  <c r="I1618" i="27"/>
  <c r="H1618" i="27"/>
  <c r="D1618" i="27"/>
  <c r="A1618" i="27"/>
  <c r="I1617" i="27" a="1"/>
  <c r="I1617" i="27"/>
  <c r="H1617" i="27"/>
  <c r="D1617" i="27"/>
  <c r="A1617" i="27"/>
  <c r="I1616" i="27" a="1"/>
  <c r="I1616" i="27"/>
  <c r="H1616" i="27"/>
  <c r="D1616" i="27"/>
  <c r="A1616" i="27"/>
  <c r="I1615" i="27" a="1"/>
  <c r="I1615" i="27"/>
  <c r="H1615" i="27"/>
  <c r="D1615" i="27"/>
  <c r="A1615" i="27"/>
  <c r="I1614" i="27" a="1"/>
  <c r="I1614" i="27"/>
  <c r="H1614" i="27"/>
  <c r="D1614" i="27"/>
  <c r="A1614" i="27"/>
  <c r="I1613" i="27" a="1"/>
  <c r="I1613" i="27"/>
  <c r="H1613" i="27"/>
  <c r="D1613" i="27"/>
  <c r="A1613" i="27"/>
  <c r="I1612" i="27" a="1"/>
  <c r="I1612" i="27"/>
  <c r="H1612" i="27"/>
  <c r="D1612" i="27"/>
  <c r="A1612" i="27"/>
  <c r="I1611" i="27" a="1"/>
  <c r="I1611" i="27"/>
  <c r="H1611" i="27"/>
  <c r="D1611" i="27"/>
  <c r="A1611" i="27"/>
  <c r="I1610" i="27" a="1"/>
  <c r="I1610" i="27"/>
  <c r="H1610" i="27"/>
  <c r="D1610" i="27"/>
  <c r="A1610" i="27"/>
  <c r="I1609" i="27" a="1"/>
  <c r="I1609" i="27"/>
  <c r="H1609" i="27"/>
  <c r="D1609" i="27"/>
  <c r="A1609" i="27"/>
  <c r="I1608" i="27" a="1"/>
  <c r="I1608" i="27"/>
  <c r="H1608" i="27"/>
  <c r="D1608" i="27"/>
  <c r="A1608" i="27"/>
  <c r="I1607" i="27" a="1"/>
  <c r="I1607" i="27"/>
  <c r="H1607" i="27"/>
  <c r="D1607" i="27"/>
  <c r="A1607" i="27"/>
  <c r="I1606" i="27" a="1"/>
  <c r="I1606" i="27"/>
  <c r="H1606" i="27"/>
  <c r="D1606" i="27"/>
  <c r="A1606" i="27"/>
  <c r="I1605" i="27" a="1"/>
  <c r="I1605" i="27"/>
  <c r="H1605" i="27"/>
  <c r="D1605" i="27"/>
  <c r="A1605" i="27"/>
  <c r="I1604" i="27" a="1"/>
  <c r="I1604" i="27"/>
  <c r="H1604" i="27"/>
  <c r="D1604" i="27"/>
  <c r="A1604" i="27"/>
  <c r="I1603" i="27" a="1"/>
  <c r="I1603" i="27"/>
  <c r="H1603" i="27"/>
  <c r="D1603" i="27"/>
  <c r="A1603" i="27"/>
  <c r="I1602" i="27" a="1"/>
  <c r="I1602" i="27"/>
  <c r="H1602" i="27"/>
  <c r="D1602" i="27"/>
  <c r="A1602" i="27"/>
  <c r="I1601" i="27" a="1"/>
  <c r="I1601" i="27"/>
  <c r="H1601" i="27"/>
  <c r="D1601" i="27"/>
  <c r="A1601" i="27"/>
  <c r="I1600" i="27" a="1"/>
  <c r="I1600" i="27"/>
  <c r="H1600" i="27"/>
  <c r="D1600" i="27"/>
  <c r="A1600" i="27"/>
  <c r="I1599" i="27" a="1"/>
  <c r="I1599" i="27"/>
  <c r="H1599" i="27"/>
  <c r="D1599" i="27"/>
  <c r="A1599" i="27"/>
  <c r="I1598" i="27" a="1"/>
  <c r="I1598" i="27"/>
  <c r="H1598" i="27"/>
  <c r="D1598" i="27"/>
  <c r="A1598" i="27"/>
  <c r="I1597" i="27" a="1"/>
  <c r="I1597" i="27"/>
  <c r="H1597" i="27"/>
  <c r="D1597" i="27"/>
  <c r="A1597" i="27"/>
  <c r="I1596" i="27" a="1"/>
  <c r="I1596" i="27"/>
  <c r="H1596" i="27"/>
  <c r="D1596" i="27"/>
  <c r="A1596" i="27"/>
  <c r="I1595" i="27" a="1"/>
  <c r="I1595" i="27"/>
  <c r="H1595" i="27"/>
  <c r="D1595" i="27"/>
  <c r="A1595" i="27"/>
  <c r="I1594" i="27" a="1"/>
  <c r="I1594" i="27"/>
  <c r="H1594" i="27"/>
  <c r="D1594" i="27"/>
  <c r="A1594" i="27"/>
  <c r="I1593" i="27" a="1"/>
  <c r="I1593" i="27"/>
  <c r="H1593" i="27"/>
  <c r="D1593" i="27"/>
  <c r="A1593" i="27"/>
  <c r="I1592" i="27" a="1"/>
  <c r="I1592" i="27"/>
  <c r="H1592" i="27"/>
  <c r="D1592" i="27"/>
  <c r="A1592" i="27"/>
  <c r="I1591" i="27" a="1"/>
  <c r="I1591" i="27"/>
  <c r="H1591" i="27"/>
  <c r="D1591" i="27"/>
  <c r="A1591" i="27"/>
  <c r="I1590" i="27" a="1"/>
  <c r="I1590" i="27"/>
  <c r="H1590" i="27"/>
  <c r="D1590" i="27"/>
  <c r="A1590" i="27"/>
  <c r="I1589" i="27" a="1"/>
  <c r="I1589" i="27"/>
  <c r="H1589" i="27"/>
  <c r="D1589" i="27"/>
  <c r="A1589" i="27"/>
  <c r="I1588" i="27" a="1"/>
  <c r="I1588" i="27"/>
  <c r="H1588" i="27"/>
  <c r="D1588" i="27"/>
  <c r="A1588" i="27"/>
  <c r="I1587" i="27" a="1"/>
  <c r="I1587" i="27"/>
  <c r="H1587" i="27"/>
  <c r="D1587" i="27"/>
  <c r="A1587" i="27"/>
  <c r="I1586" i="27" a="1"/>
  <c r="I1586" i="27"/>
  <c r="H1586" i="27"/>
  <c r="D1586" i="27"/>
  <c r="A1586" i="27"/>
  <c r="I1585" i="27" a="1"/>
  <c r="I1585" i="27"/>
  <c r="H1585" i="27"/>
  <c r="D1585" i="27"/>
  <c r="A1585" i="27"/>
  <c r="I1584" i="27" a="1"/>
  <c r="I1584" i="27"/>
  <c r="H1584" i="27"/>
  <c r="D1584" i="27"/>
  <c r="A1584" i="27"/>
  <c r="I1583" i="27" a="1"/>
  <c r="I1583" i="27"/>
  <c r="H1583" i="27"/>
  <c r="D1583" i="27"/>
  <c r="A1583" i="27"/>
  <c r="I1582" i="27" a="1"/>
  <c r="I1582" i="27"/>
  <c r="H1582" i="27"/>
  <c r="D1582" i="27"/>
  <c r="A1582" i="27"/>
  <c r="I1581" i="27" a="1"/>
  <c r="I1581" i="27"/>
  <c r="H1581" i="27"/>
  <c r="D1581" i="27"/>
  <c r="A1581" i="27"/>
  <c r="I1580" i="27" a="1"/>
  <c r="I1580" i="27"/>
  <c r="H1580" i="27"/>
  <c r="D1580" i="27"/>
  <c r="A1580" i="27"/>
  <c r="I1579" i="27" a="1"/>
  <c r="I1579" i="27"/>
  <c r="H1579" i="27"/>
  <c r="D1579" i="27"/>
  <c r="A1579" i="27"/>
  <c r="I1578" i="27" a="1"/>
  <c r="I1578" i="27"/>
  <c r="H1578" i="27"/>
  <c r="D1578" i="27"/>
  <c r="A1578" i="27"/>
  <c r="I1577" i="27" a="1"/>
  <c r="I1577" i="27"/>
  <c r="H1577" i="27"/>
  <c r="D1577" i="27"/>
  <c r="A1577" i="27"/>
  <c r="I1576" i="27" a="1"/>
  <c r="I1576" i="27"/>
  <c r="H1576" i="27"/>
  <c r="D1576" i="27"/>
  <c r="A1576" i="27"/>
  <c r="I1575" i="27" a="1"/>
  <c r="I1575" i="27"/>
  <c r="H1575" i="27"/>
  <c r="D1575" i="27"/>
  <c r="A1575" i="27"/>
  <c r="I1574" i="27" a="1"/>
  <c r="I1574" i="27"/>
  <c r="H1574" i="27"/>
  <c r="D1574" i="27"/>
  <c r="A1574" i="27"/>
  <c r="I1573" i="27" a="1"/>
  <c r="I1573" i="27"/>
  <c r="H1573" i="27"/>
  <c r="D1573" i="27"/>
  <c r="A1573" i="27"/>
  <c r="I1572" i="27" a="1"/>
  <c r="I1572" i="27"/>
  <c r="H1572" i="27"/>
  <c r="D1572" i="27"/>
  <c r="A1572" i="27"/>
  <c r="I1571" i="27" a="1"/>
  <c r="I1571" i="27"/>
  <c r="H1571" i="27"/>
  <c r="D1571" i="27"/>
  <c r="A1571" i="27"/>
  <c r="I1570" i="27" a="1"/>
  <c r="I1570" i="27"/>
  <c r="H1570" i="27"/>
  <c r="D1570" i="27"/>
  <c r="A1570" i="27"/>
  <c r="I1569" i="27" a="1"/>
  <c r="I1569" i="27"/>
  <c r="H1569" i="27"/>
  <c r="D1569" i="27"/>
  <c r="A1569" i="27"/>
  <c r="I1568" i="27" a="1"/>
  <c r="I1568" i="27"/>
  <c r="H1568" i="27"/>
  <c r="D1568" i="27"/>
  <c r="A1568" i="27"/>
  <c r="I1567" i="27" a="1"/>
  <c r="I1567" i="27"/>
  <c r="H1567" i="27"/>
  <c r="D1567" i="27"/>
  <c r="A1567" i="27"/>
  <c r="I1566" i="27" a="1"/>
  <c r="I1566" i="27"/>
  <c r="H1566" i="27"/>
  <c r="D1566" i="27"/>
  <c r="A1566" i="27"/>
  <c r="I1565" i="27" a="1"/>
  <c r="I1565" i="27"/>
  <c r="H1565" i="27"/>
  <c r="D1565" i="27"/>
  <c r="A1565" i="27"/>
  <c r="I1564" i="27" a="1"/>
  <c r="I1564" i="27"/>
  <c r="H1564" i="27"/>
  <c r="D1564" i="27"/>
  <c r="A1564" i="27"/>
  <c r="I1563" i="27" a="1"/>
  <c r="I1563" i="27"/>
  <c r="H1563" i="27"/>
  <c r="D1563" i="27"/>
  <c r="A1563" i="27"/>
  <c r="I1562" i="27" a="1"/>
  <c r="I1562" i="27"/>
  <c r="H1562" i="27"/>
  <c r="D1562" i="27"/>
  <c r="A1562" i="27"/>
  <c r="I1561" i="27" a="1"/>
  <c r="I1561" i="27"/>
  <c r="H1561" i="27"/>
  <c r="D1561" i="27"/>
  <c r="A1561" i="27"/>
  <c r="I1560" i="27" a="1"/>
  <c r="I1560" i="27"/>
  <c r="H1560" i="27"/>
  <c r="D1560" i="27"/>
  <c r="A1560" i="27"/>
  <c r="I1559" i="27" a="1"/>
  <c r="I1559" i="27"/>
  <c r="H1559" i="27"/>
  <c r="D1559" i="27"/>
  <c r="A1559" i="27"/>
  <c r="I1558" i="27" a="1"/>
  <c r="I1558" i="27"/>
  <c r="H1558" i="27"/>
  <c r="D1558" i="27"/>
  <c r="A1558" i="27"/>
  <c r="I1557" i="27" a="1"/>
  <c r="I1557" i="27"/>
  <c r="H1557" i="27"/>
  <c r="D1557" i="27"/>
  <c r="A1557" i="27"/>
  <c r="I1556" i="27" a="1"/>
  <c r="I1556" i="27"/>
  <c r="H1556" i="27"/>
  <c r="D1556" i="27"/>
  <c r="A1556" i="27"/>
  <c r="I1555" i="27" a="1"/>
  <c r="I1555" i="27"/>
  <c r="H1555" i="27"/>
  <c r="D1555" i="27"/>
  <c r="A1555" i="27"/>
  <c r="I1554" i="27" a="1"/>
  <c r="I1554" i="27"/>
  <c r="H1554" i="27"/>
  <c r="D1554" i="27"/>
  <c r="A1554" i="27"/>
  <c r="I1553" i="27" a="1"/>
  <c r="I1553" i="27"/>
  <c r="H1553" i="27"/>
  <c r="D1553" i="27"/>
  <c r="A1553" i="27"/>
  <c r="I1552" i="27" a="1"/>
  <c r="I1552" i="27"/>
  <c r="H1552" i="27"/>
  <c r="D1552" i="27"/>
  <c r="A1552" i="27"/>
  <c r="I1551" i="27" a="1"/>
  <c r="I1551" i="27"/>
  <c r="H1551" i="27"/>
  <c r="D1551" i="27"/>
  <c r="A1551" i="27"/>
  <c r="I1550" i="27" a="1"/>
  <c r="I1550" i="27"/>
  <c r="H1550" i="27"/>
  <c r="D1550" i="27"/>
  <c r="A1550" i="27"/>
  <c r="I1549" i="27" a="1"/>
  <c r="I1549" i="27"/>
  <c r="H1549" i="27"/>
  <c r="D1549" i="27"/>
  <c r="A1549" i="27"/>
  <c r="I1548" i="27" a="1"/>
  <c r="I1548" i="27"/>
  <c r="H1548" i="27"/>
  <c r="D1548" i="27"/>
  <c r="A1548" i="27"/>
  <c r="I1547" i="27" a="1"/>
  <c r="I1547" i="27"/>
  <c r="H1547" i="27"/>
  <c r="D1547" i="27"/>
  <c r="A1547" i="27"/>
  <c r="I1546" i="27" a="1"/>
  <c r="I1546" i="27"/>
  <c r="H1546" i="27"/>
  <c r="D1546" i="27"/>
  <c r="A1546" i="27"/>
  <c r="I1545" i="27" a="1"/>
  <c r="I1545" i="27"/>
  <c r="H1545" i="27"/>
  <c r="D1545" i="27"/>
  <c r="A1545" i="27"/>
  <c r="I1544" i="27" a="1"/>
  <c r="I1544" i="27"/>
  <c r="H1544" i="27"/>
  <c r="D1544" i="27"/>
  <c r="A1544" i="27"/>
  <c r="I1543" i="27" a="1"/>
  <c r="I1543" i="27"/>
  <c r="H1543" i="27"/>
  <c r="D1543" i="27"/>
  <c r="A1543" i="27"/>
  <c r="I1542" i="27" a="1"/>
  <c r="I1542" i="27"/>
  <c r="H1542" i="27"/>
  <c r="D1542" i="27"/>
  <c r="A1542" i="27"/>
  <c r="I1541" i="27" a="1"/>
  <c r="I1541" i="27"/>
  <c r="H1541" i="27"/>
  <c r="D1541" i="27"/>
  <c r="A1541" i="27"/>
  <c r="I1540" i="27" a="1"/>
  <c r="I1540" i="27"/>
  <c r="H1540" i="27"/>
  <c r="D1540" i="27"/>
  <c r="A1540" i="27"/>
  <c r="I1539" i="27" a="1"/>
  <c r="I1539" i="27"/>
  <c r="H1539" i="27"/>
  <c r="D1539" i="27"/>
  <c r="A1539" i="27"/>
  <c r="I1538" i="27" a="1"/>
  <c r="I1538" i="27"/>
  <c r="H1538" i="27"/>
  <c r="D1538" i="27"/>
  <c r="A1538" i="27"/>
  <c r="I1537" i="27" a="1"/>
  <c r="I1537" i="27"/>
  <c r="H1537" i="27"/>
  <c r="D1537" i="27"/>
  <c r="A1537" i="27"/>
  <c r="I1536" i="27" a="1"/>
  <c r="I1536" i="27"/>
  <c r="H1536" i="27"/>
  <c r="D1536" i="27"/>
  <c r="A1536" i="27"/>
  <c r="I1535" i="27" a="1"/>
  <c r="I1535" i="27"/>
  <c r="H1535" i="27"/>
  <c r="D1535" i="27"/>
  <c r="A1535" i="27"/>
  <c r="I1534" i="27" a="1"/>
  <c r="I1534" i="27"/>
  <c r="H1534" i="27"/>
  <c r="D1534" i="27"/>
  <c r="A1534" i="27"/>
  <c r="I1533" i="27" a="1"/>
  <c r="I1533" i="27"/>
  <c r="H1533" i="27"/>
  <c r="D1533" i="27"/>
  <c r="A1533" i="27"/>
  <c r="I1532" i="27" a="1"/>
  <c r="I1532" i="27"/>
  <c r="H1532" i="27"/>
  <c r="D1532" i="27"/>
  <c r="A1532" i="27"/>
  <c r="I1531" i="27" a="1"/>
  <c r="I1531" i="27"/>
  <c r="H1531" i="27"/>
  <c r="D1531" i="27"/>
  <c r="A1531" i="27"/>
  <c r="I1530" i="27" a="1"/>
  <c r="I1530" i="27"/>
  <c r="H1530" i="27"/>
  <c r="D1530" i="27"/>
  <c r="A1530" i="27"/>
  <c r="I1529" i="27" a="1"/>
  <c r="I1529" i="27"/>
  <c r="H1529" i="27"/>
  <c r="D1529" i="27"/>
  <c r="A1529" i="27"/>
  <c r="I1528" i="27" a="1"/>
  <c r="I1528" i="27"/>
  <c r="H1528" i="27"/>
  <c r="D1528" i="27"/>
  <c r="A1528" i="27"/>
  <c r="I1527" i="27" a="1"/>
  <c r="I1527" i="27"/>
  <c r="H1527" i="27"/>
  <c r="D1527" i="27"/>
  <c r="A1527" i="27"/>
  <c r="I1526" i="27" a="1"/>
  <c r="I1526" i="27"/>
  <c r="H1526" i="27"/>
  <c r="D1526" i="27"/>
  <c r="A1526" i="27"/>
  <c r="I1525" i="27" a="1"/>
  <c r="I1525" i="27"/>
  <c r="H1525" i="27"/>
  <c r="D1525" i="27"/>
  <c r="A1525" i="27"/>
  <c r="I1524" i="27" a="1"/>
  <c r="I1524" i="27"/>
  <c r="H1524" i="27"/>
  <c r="D1524" i="27"/>
  <c r="A1524" i="27"/>
  <c r="I1523" i="27" a="1"/>
  <c r="I1523" i="27"/>
  <c r="H1523" i="27"/>
  <c r="D1523" i="27"/>
  <c r="A1523" i="27"/>
  <c r="I1522" i="27" a="1"/>
  <c r="I1522" i="27"/>
  <c r="H1522" i="27"/>
  <c r="D1522" i="27"/>
  <c r="A1522" i="27"/>
  <c r="I1521" i="27" a="1"/>
  <c r="I1521" i="27"/>
  <c r="H1521" i="27"/>
  <c r="D1521" i="27"/>
  <c r="A1521" i="27"/>
  <c r="I1520" i="27" a="1"/>
  <c r="I1520" i="27"/>
  <c r="H1520" i="27"/>
  <c r="D1520" i="27"/>
  <c r="A1520" i="27"/>
  <c r="I1519" i="27" a="1"/>
  <c r="I1519" i="27"/>
  <c r="H1519" i="27"/>
  <c r="D1519" i="27"/>
  <c r="A1519" i="27"/>
  <c r="I1518" i="27" a="1"/>
  <c r="I1518" i="27"/>
  <c r="H1518" i="27"/>
  <c r="D1518" i="27"/>
  <c r="A1518" i="27"/>
  <c r="I1517" i="27" a="1"/>
  <c r="I1517" i="27"/>
  <c r="H1517" i="27"/>
  <c r="D1517" i="27"/>
  <c r="A1517" i="27"/>
  <c r="I1516" i="27" a="1"/>
  <c r="I1516" i="27"/>
  <c r="H1516" i="27"/>
  <c r="D1516" i="27"/>
  <c r="A1516" i="27"/>
  <c r="I1515" i="27" a="1"/>
  <c r="I1515" i="27"/>
  <c r="H1515" i="27"/>
  <c r="D1515" i="27"/>
  <c r="A1515" i="27"/>
  <c r="I1514" i="27" a="1"/>
  <c r="I1514" i="27"/>
  <c r="H1514" i="27"/>
  <c r="D1514" i="27"/>
  <c r="A1514" i="27"/>
  <c r="I1513" i="27" a="1"/>
  <c r="I1513" i="27"/>
  <c r="H1513" i="27"/>
  <c r="D1513" i="27"/>
  <c r="A1513" i="27"/>
  <c r="I1512" i="27" a="1"/>
  <c r="I1512" i="27"/>
  <c r="H1512" i="27"/>
  <c r="D1512" i="27"/>
  <c r="A1512" i="27"/>
  <c r="I1511" i="27" a="1"/>
  <c r="I1511" i="27"/>
  <c r="H1511" i="27"/>
  <c r="D1511" i="27"/>
  <c r="A1511" i="27"/>
  <c r="I1510" i="27" a="1"/>
  <c r="I1510" i="27"/>
  <c r="H1510" i="27"/>
  <c r="D1510" i="27"/>
  <c r="A1510" i="27"/>
  <c r="I1509" i="27" a="1"/>
  <c r="I1509" i="27"/>
  <c r="H1509" i="27"/>
  <c r="D1509" i="27"/>
  <c r="A1509" i="27"/>
  <c r="I1508" i="27" a="1"/>
  <c r="I1508" i="27"/>
  <c r="H1508" i="27"/>
  <c r="D1508" i="27"/>
  <c r="A1508" i="27"/>
  <c r="I1507" i="27" a="1"/>
  <c r="I1507" i="27"/>
  <c r="H1507" i="27"/>
  <c r="D1507" i="27"/>
  <c r="A1507" i="27"/>
  <c r="I1506" i="27" a="1"/>
  <c r="I1506" i="27"/>
  <c r="H1506" i="27"/>
  <c r="D1506" i="27"/>
  <c r="A1506" i="27"/>
  <c r="I1505" i="27" a="1"/>
  <c r="I1505" i="27"/>
  <c r="H1505" i="27"/>
  <c r="D1505" i="27"/>
  <c r="A1505" i="27"/>
  <c r="I1504" i="27" a="1"/>
  <c r="I1504" i="27"/>
  <c r="H1504" i="27"/>
  <c r="D1504" i="27"/>
  <c r="A1504" i="27"/>
  <c r="I1503" i="27" a="1"/>
  <c r="I1503" i="27"/>
  <c r="H1503" i="27"/>
  <c r="D1503" i="27"/>
  <c r="A1503" i="27"/>
  <c r="I1502" i="27" a="1"/>
  <c r="I1502" i="27"/>
  <c r="H1502" i="27"/>
  <c r="D1502" i="27"/>
  <c r="A1502" i="27"/>
  <c r="I1501" i="27" a="1"/>
  <c r="I1501" i="27"/>
  <c r="H1501" i="27"/>
  <c r="D1501" i="27"/>
  <c r="A1501" i="27"/>
  <c r="I1500" i="27" a="1"/>
  <c r="I1500" i="27"/>
  <c r="H1500" i="27"/>
  <c r="D1500" i="27"/>
  <c r="A1500" i="27"/>
  <c r="I1499" i="27" a="1"/>
  <c r="I1499" i="27"/>
  <c r="H1499" i="27"/>
  <c r="D1499" i="27"/>
  <c r="A1499" i="27"/>
  <c r="I1498" i="27" a="1"/>
  <c r="I1498" i="27"/>
  <c r="H1498" i="27"/>
  <c r="D1498" i="27"/>
  <c r="A1498" i="27"/>
  <c r="I1497" i="27" a="1"/>
  <c r="I1497" i="27"/>
  <c r="H1497" i="27"/>
  <c r="D1497" i="27"/>
  <c r="A1497" i="27"/>
  <c r="I1496" i="27" a="1"/>
  <c r="I1496" i="27"/>
  <c r="H1496" i="27"/>
  <c r="D1496" i="27"/>
  <c r="A1496" i="27"/>
  <c r="I1495" i="27" a="1"/>
  <c r="I1495" i="27"/>
  <c r="H1495" i="27"/>
  <c r="D1495" i="27"/>
  <c r="A1495" i="27"/>
  <c r="I1494" i="27" a="1"/>
  <c r="I1494" i="27"/>
  <c r="H1494" i="27"/>
  <c r="D1494" i="27"/>
  <c r="A1494" i="27"/>
  <c r="I1493" i="27" a="1"/>
  <c r="I1493" i="27"/>
  <c r="H1493" i="27"/>
  <c r="D1493" i="27"/>
  <c r="A1493" i="27"/>
  <c r="I1492" i="27" a="1"/>
  <c r="I1492" i="27"/>
  <c r="H1492" i="27"/>
  <c r="D1492" i="27"/>
  <c r="A1492" i="27"/>
  <c r="I1491" i="27" a="1"/>
  <c r="I1491" i="27"/>
  <c r="H1491" i="27"/>
  <c r="D1491" i="27"/>
  <c r="A1491" i="27"/>
  <c r="I1490" i="27" a="1"/>
  <c r="I1490" i="27"/>
  <c r="H1490" i="27"/>
  <c r="D1490" i="27"/>
  <c r="A1490" i="27"/>
  <c r="I1489" i="27" a="1"/>
  <c r="I1489" i="27"/>
  <c r="H1489" i="27"/>
  <c r="D1489" i="27"/>
  <c r="A1489" i="27"/>
  <c r="I1488" i="27" a="1"/>
  <c r="I1488" i="27"/>
  <c r="H1488" i="27"/>
  <c r="D1488" i="27"/>
  <c r="A1488" i="27"/>
  <c r="I1487" i="27" a="1"/>
  <c r="I1487" i="27"/>
  <c r="H1487" i="27"/>
  <c r="D1487" i="27"/>
  <c r="A1487" i="27"/>
  <c r="I1486" i="27" a="1"/>
  <c r="I1486" i="27"/>
  <c r="H1486" i="27"/>
  <c r="D1486" i="27"/>
  <c r="A1486" i="27"/>
  <c r="I1485" i="27" a="1"/>
  <c r="I1485" i="27"/>
  <c r="H1485" i="27"/>
  <c r="D1485" i="27"/>
  <c r="A1485" i="27"/>
  <c r="I1484" i="27" a="1"/>
  <c r="I1484" i="27"/>
  <c r="H1484" i="27"/>
  <c r="D1484" i="27"/>
  <c r="A1484" i="27"/>
  <c r="I1483" i="27" a="1"/>
  <c r="I1483" i="27"/>
  <c r="H1483" i="27"/>
  <c r="D1483" i="27"/>
  <c r="A1483" i="27"/>
  <c r="I1482" i="27" a="1"/>
  <c r="I1482" i="27"/>
  <c r="H1482" i="27"/>
  <c r="D1482" i="27"/>
  <c r="A1482" i="27"/>
  <c r="I1481" i="27" a="1"/>
  <c r="I1481" i="27"/>
  <c r="H1481" i="27"/>
  <c r="D1481" i="27"/>
  <c r="A1481" i="27"/>
  <c r="I1480" i="27" a="1"/>
  <c r="I1480" i="27"/>
  <c r="H1480" i="27"/>
  <c r="D1480" i="27"/>
  <c r="A1480" i="27"/>
  <c r="I1479" i="27" a="1"/>
  <c r="I1479" i="27"/>
  <c r="H1479" i="27"/>
  <c r="D1479" i="27"/>
  <c r="A1479" i="27"/>
  <c r="I1478" i="27" a="1"/>
  <c r="I1478" i="27"/>
  <c r="H1478" i="27"/>
  <c r="D1478" i="27"/>
  <c r="A1478" i="27"/>
  <c r="I1477" i="27" a="1"/>
  <c r="I1477" i="27"/>
  <c r="H1477" i="27"/>
  <c r="D1477" i="27"/>
  <c r="A1477" i="27"/>
  <c r="I1476" i="27" a="1"/>
  <c r="I1476" i="27"/>
  <c r="H1476" i="27"/>
  <c r="D1476" i="27"/>
  <c r="A1476" i="27"/>
  <c r="I1475" i="27" a="1"/>
  <c r="I1475" i="27"/>
  <c r="H1475" i="27"/>
  <c r="D1475" i="27"/>
  <c r="A1475" i="27"/>
  <c r="I1474" i="27" a="1"/>
  <c r="I1474" i="27"/>
  <c r="H1474" i="27"/>
  <c r="D1474" i="27"/>
  <c r="A1474" i="27"/>
  <c r="I1473" i="27" a="1"/>
  <c r="I1473" i="27"/>
  <c r="H1473" i="27"/>
  <c r="D1473" i="27"/>
  <c r="A1473" i="27"/>
  <c r="I1472" i="27" a="1"/>
  <c r="I1472" i="27"/>
  <c r="H1472" i="27"/>
  <c r="D1472" i="27"/>
  <c r="A1472" i="27"/>
  <c r="I1471" i="27" a="1"/>
  <c r="I1471" i="27"/>
  <c r="H1471" i="27"/>
  <c r="D1471" i="27"/>
  <c r="A1471" i="27"/>
  <c r="I1470" i="27" a="1"/>
  <c r="I1470" i="27"/>
  <c r="H1470" i="27"/>
  <c r="D1470" i="27"/>
  <c r="A1470" i="27"/>
  <c r="I1469" i="27" a="1"/>
  <c r="I1469" i="27"/>
  <c r="H1469" i="27"/>
  <c r="D1469" i="27"/>
  <c r="A1469" i="27"/>
  <c r="I1468" i="27" a="1"/>
  <c r="I1468" i="27"/>
  <c r="H1468" i="27"/>
  <c r="D1468" i="27"/>
  <c r="A1468" i="27"/>
  <c r="I1467" i="27" a="1"/>
  <c r="I1467" i="27"/>
  <c r="H1467" i="27"/>
  <c r="D1467" i="27"/>
  <c r="A1467" i="27"/>
  <c r="I1466" i="27" a="1"/>
  <c r="I1466" i="27"/>
  <c r="H1466" i="27"/>
  <c r="D1466" i="27"/>
  <c r="A1466" i="27"/>
  <c r="I1465" i="27" a="1"/>
  <c r="I1465" i="27"/>
  <c r="H1465" i="27"/>
  <c r="D1465" i="27"/>
  <c r="A1465" i="27"/>
  <c r="I1464" i="27" a="1"/>
  <c r="I1464" i="27"/>
  <c r="H1464" i="27"/>
  <c r="D1464" i="27"/>
  <c r="A1464" i="27"/>
  <c r="I1463" i="27" a="1"/>
  <c r="I1463" i="27"/>
  <c r="H1463" i="27"/>
  <c r="D1463" i="27"/>
  <c r="A1463" i="27"/>
  <c r="I1462" i="27" a="1"/>
  <c r="I1462" i="27"/>
  <c r="H1462" i="27"/>
  <c r="D1462" i="27"/>
  <c r="A1462" i="27"/>
  <c r="I1461" i="27" a="1"/>
  <c r="I1461" i="27"/>
  <c r="H1461" i="27"/>
  <c r="D1461" i="27"/>
  <c r="A1461" i="27"/>
  <c r="I1460" i="27" a="1"/>
  <c r="I1460" i="27"/>
  <c r="H1460" i="27"/>
  <c r="D1460" i="27"/>
  <c r="A1460" i="27"/>
  <c r="I1459" i="27" a="1"/>
  <c r="I1459" i="27"/>
  <c r="H1459" i="27"/>
  <c r="D1459" i="27"/>
  <c r="A1459" i="27"/>
  <c r="I1458" i="27" a="1"/>
  <c r="I1458" i="27"/>
  <c r="H1458" i="27"/>
  <c r="D1458" i="27"/>
  <c r="A1458" i="27"/>
  <c r="I1457" i="27" a="1"/>
  <c r="I1457" i="27"/>
  <c r="H1457" i="27"/>
  <c r="D1457" i="27"/>
  <c r="A1457" i="27"/>
  <c r="I1456" i="27" a="1"/>
  <c r="I1456" i="27"/>
  <c r="H1456" i="27"/>
  <c r="D1456" i="27"/>
  <c r="A1456" i="27"/>
  <c r="I1455" i="27" a="1"/>
  <c r="I1455" i="27"/>
  <c r="H1455" i="27"/>
  <c r="D1455" i="27"/>
  <c r="A1455" i="27"/>
  <c r="I1454" i="27" a="1"/>
  <c r="I1454" i="27"/>
  <c r="H1454" i="27"/>
  <c r="D1454" i="27"/>
  <c r="A1454" i="27"/>
  <c r="I1453" i="27" a="1"/>
  <c r="I1453" i="27"/>
  <c r="H1453" i="27"/>
  <c r="D1453" i="27"/>
  <c r="A1453" i="27"/>
  <c r="I1452" i="27" a="1"/>
  <c r="I1452" i="27"/>
  <c r="H1452" i="27"/>
  <c r="D1452" i="27"/>
  <c r="A1452" i="27"/>
  <c r="I1451" i="27" a="1"/>
  <c r="I1451" i="27"/>
  <c r="H1451" i="27"/>
  <c r="D1451" i="27"/>
  <c r="A1451" i="27"/>
  <c r="I1450" i="27" a="1"/>
  <c r="I1450" i="27"/>
  <c r="H1450" i="27"/>
  <c r="D1450" i="27"/>
  <c r="A1450" i="27"/>
  <c r="I1449" i="27" a="1"/>
  <c r="I1449" i="27"/>
  <c r="H1449" i="27"/>
  <c r="D1449" i="27"/>
  <c r="A1449" i="27"/>
  <c r="I1448" i="27" a="1"/>
  <c r="I1448" i="27"/>
  <c r="H1448" i="27"/>
  <c r="D1448" i="27"/>
  <c r="A1448" i="27"/>
  <c r="I1447" i="27" a="1"/>
  <c r="I1447" i="27"/>
  <c r="H1447" i="27"/>
  <c r="D1447" i="27"/>
  <c r="A1447" i="27"/>
  <c r="I1446" i="27" a="1"/>
  <c r="I1446" i="27"/>
  <c r="H1446" i="27"/>
  <c r="D1446" i="27"/>
  <c r="A1446" i="27"/>
  <c r="I1445" i="27" a="1"/>
  <c r="I1445" i="27"/>
  <c r="H1445" i="27"/>
  <c r="D1445" i="27"/>
  <c r="A1445" i="27"/>
  <c r="I1444" i="27" a="1"/>
  <c r="I1444" i="27"/>
  <c r="H1444" i="27"/>
  <c r="D1444" i="27"/>
  <c r="A1444" i="27"/>
  <c r="I1443" i="27" a="1"/>
  <c r="I1443" i="27"/>
  <c r="H1443" i="27"/>
  <c r="D1443" i="27"/>
  <c r="A1443" i="27"/>
  <c r="I1442" i="27" a="1"/>
  <c r="I1442" i="27"/>
  <c r="H1442" i="27"/>
  <c r="D1442" i="27"/>
  <c r="A1442" i="27"/>
  <c r="I1441" i="27" a="1"/>
  <c r="I1441" i="27"/>
  <c r="H1441" i="27"/>
  <c r="D1441" i="27"/>
  <c r="A1441" i="27"/>
  <c r="I1440" i="27" a="1"/>
  <c r="I1440" i="27"/>
  <c r="H1440" i="27"/>
  <c r="D1440" i="27"/>
  <c r="A1440" i="27"/>
  <c r="I1439" i="27" a="1"/>
  <c r="I1439" i="27"/>
  <c r="H1439" i="27"/>
  <c r="D1439" i="27"/>
  <c r="A1439" i="27"/>
  <c r="I1438" i="27" a="1"/>
  <c r="I1438" i="27"/>
  <c r="H1438" i="27"/>
  <c r="D1438" i="27"/>
  <c r="A1438" i="27"/>
  <c r="I1437" i="27" a="1"/>
  <c r="I1437" i="27"/>
  <c r="H1437" i="27"/>
  <c r="D1437" i="27"/>
  <c r="A1437" i="27"/>
  <c r="I1436" i="27" a="1"/>
  <c r="I1436" i="27"/>
  <c r="H1436" i="27"/>
  <c r="D1436" i="27"/>
  <c r="A1436" i="27"/>
  <c r="I1435" i="27" a="1"/>
  <c r="I1435" i="27"/>
  <c r="H1435" i="27"/>
  <c r="D1435" i="27"/>
  <c r="A1435" i="27"/>
  <c r="I1434" i="27" a="1"/>
  <c r="I1434" i="27"/>
  <c r="H1434" i="27"/>
  <c r="D1434" i="27"/>
  <c r="A1434" i="27"/>
  <c r="I1433" i="27" a="1"/>
  <c r="I1433" i="27"/>
  <c r="H1433" i="27"/>
  <c r="D1433" i="27"/>
  <c r="A1433" i="27"/>
  <c r="I1432" i="27" a="1"/>
  <c r="I1432" i="27"/>
  <c r="H1432" i="27"/>
  <c r="D1432" i="27"/>
  <c r="A1432" i="27"/>
  <c r="I1431" i="27" a="1"/>
  <c r="I1431" i="27"/>
  <c r="H1431" i="27"/>
  <c r="D1431" i="27"/>
  <c r="A1431" i="27"/>
  <c r="I1430" i="27" a="1"/>
  <c r="I1430" i="27"/>
  <c r="H1430" i="27"/>
  <c r="D1430" i="27"/>
  <c r="A1430" i="27"/>
  <c r="I1429" i="27" a="1"/>
  <c r="I1429" i="27"/>
  <c r="H1429" i="27"/>
  <c r="D1429" i="27"/>
  <c r="A1429" i="27"/>
  <c r="I1428" i="27" a="1"/>
  <c r="I1428" i="27"/>
  <c r="H1428" i="27"/>
  <c r="D1428" i="27"/>
  <c r="A1428" i="27"/>
  <c r="I1427" i="27" a="1"/>
  <c r="I1427" i="27"/>
  <c r="H1427" i="27"/>
  <c r="D1427" i="27"/>
  <c r="A1427" i="27"/>
  <c r="I1426" i="27" a="1"/>
  <c r="I1426" i="27"/>
  <c r="H1426" i="27"/>
  <c r="D1426" i="27"/>
  <c r="A1426" i="27"/>
  <c r="I1425" i="27" a="1"/>
  <c r="I1425" i="27"/>
  <c r="H1425" i="27"/>
  <c r="D1425" i="27"/>
  <c r="A1425" i="27"/>
  <c r="I1424" i="27" a="1"/>
  <c r="I1424" i="27"/>
  <c r="H1424" i="27"/>
  <c r="D1424" i="27"/>
  <c r="A1424" i="27"/>
  <c r="I1423" i="27" a="1"/>
  <c r="I1423" i="27"/>
  <c r="H1423" i="27"/>
  <c r="D1423" i="27"/>
  <c r="A1423" i="27"/>
  <c r="I1422" i="27" a="1"/>
  <c r="I1422" i="27"/>
  <c r="H1422" i="27"/>
  <c r="D1422" i="27"/>
  <c r="A1422" i="27"/>
  <c r="I1421" i="27" a="1"/>
  <c r="I1421" i="27"/>
  <c r="H1421" i="27"/>
  <c r="D1421" i="27"/>
  <c r="A1421" i="27"/>
  <c r="I1420" i="27" a="1"/>
  <c r="I1420" i="27"/>
  <c r="H1420" i="27"/>
  <c r="D1420" i="27"/>
  <c r="A1420" i="27"/>
  <c r="I1419" i="27" a="1"/>
  <c r="I1419" i="27"/>
  <c r="H1419" i="27"/>
  <c r="D1419" i="27"/>
  <c r="A1419" i="27"/>
  <c r="I1418" i="27" a="1"/>
  <c r="I1418" i="27"/>
  <c r="H1418" i="27"/>
  <c r="D1418" i="27"/>
  <c r="A1418" i="27"/>
  <c r="I1417" i="27" a="1"/>
  <c r="I1417" i="27"/>
  <c r="H1417" i="27"/>
  <c r="D1417" i="27"/>
  <c r="A1417" i="27"/>
  <c r="I1416" i="27" a="1"/>
  <c r="I1416" i="27"/>
  <c r="H1416" i="27"/>
  <c r="D1416" i="27"/>
  <c r="A1416" i="27"/>
  <c r="I1415" i="27" a="1"/>
  <c r="I1415" i="27"/>
  <c r="H1415" i="27"/>
  <c r="D1415" i="27"/>
  <c r="A1415" i="27"/>
  <c r="I1414" i="27" a="1"/>
  <c r="I1414" i="27"/>
  <c r="H1414" i="27"/>
  <c r="D1414" i="27"/>
  <c r="A1414" i="27"/>
  <c r="I1413" i="27" a="1"/>
  <c r="I1413" i="27"/>
  <c r="H1413" i="27"/>
  <c r="D1413" i="27"/>
  <c r="A1413" i="27"/>
  <c r="I1412" i="27" a="1"/>
  <c r="I1412" i="27"/>
  <c r="H1412" i="27"/>
  <c r="D1412" i="27"/>
  <c r="A1412" i="27"/>
  <c r="I1411" i="27" a="1"/>
  <c r="I1411" i="27"/>
  <c r="H1411" i="27"/>
  <c r="D1411" i="27"/>
  <c r="A1411" i="27"/>
  <c r="I1410" i="27" a="1"/>
  <c r="I1410" i="27"/>
  <c r="H1410" i="27"/>
  <c r="D1410" i="27"/>
  <c r="A1410" i="27"/>
  <c r="I1409" i="27" a="1"/>
  <c r="I1409" i="27"/>
  <c r="H1409" i="27"/>
  <c r="D1409" i="27"/>
  <c r="A1409" i="27"/>
  <c r="I1408" i="27" a="1"/>
  <c r="I1408" i="27"/>
  <c r="H1408" i="27"/>
  <c r="D1408" i="27"/>
  <c r="A1408" i="27"/>
  <c r="I1407" i="27" a="1"/>
  <c r="I1407" i="27"/>
  <c r="H1407" i="27"/>
  <c r="D1407" i="27"/>
  <c r="A1407" i="27"/>
  <c r="I1406" i="27" a="1"/>
  <c r="I1406" i="27"/>
  <c r="H1406" i="27"/>
  <c r="D1406" i="27"/>
  <c r="A1406" i="27"/>
  <c r="I1405" i="27" a="1"/>
  <c r="I1405" i="27"/>
  <c r="H1405" i="27"/>
  <c r="D1405" i="27"/>
  <c r="A1405" i="27"/>
  <c r="I1404" i="27" a="1"/>
  <c r="I1404" i="27"/>
  <c r="H1404" i="27"/>
  <c r="D1404" i="27"/>
  <c r="A1404" i="27"/>
  <c r="I1403" i="27" a="1"/>
  <c r="I1403" i="27"/>
  <c r="H1403" i="27"/>
  <c r="D1403" i="27"/>
  <c r="A1403" i="27"/>
  <c r="I1402" i="27" a="1"/>
  <c r="I1402" i="27"/>
  <c r="H1402" i="27"/>
  <c r="D1402" i="27"/>
  <c r="A1402" i="27"/>
  <c r="I1401" i="27" a="1"/>
  <c r="I1401" i="27"/>
  <c r="H1401" i="27"/>
  <c r="D1401" i="27"/>
  <c r="A1401" i="27"/>
  <c r="I1400" i="27" a="1"/>
  <c r="I1400" i="27"/>
  <c r="H1400" i="27"/>
  <c r="D1400" i="27"/>
  <c r="A1400" i="27"/>
  <c r="I1399" i="27" a="1"/>
  <c r="I1399" i="27"/>
  <c r="H1399" i="27"/>
  <c r="D1399" i="27"/>
  <c r="A1399" i="27"/>
  <c r="I1398" i="27" a="1"/>
  <c r="I1398" i="27"/>
  <c r="H1398" i="27"/>
  <c r="D1398" i="27"/>
  <c r="A1398" i="27"/>
  <c r="I1397" i="27" a="1"/>
  <c r="I1397" i="27"/>
  <c r="H1397" i="27"/>
  <c r="D1397" i="27"/>
  <c r="A1397" i="27"/>
  <c r="I1396" i="27" a="1"/>
  <c r="I1396" i="27"/>
  <c r="H1396" i="27"/>
  <c r="D1396" i="27"/>
  <c r="A1396" i="27"/>
  <c r="I1395" i="27" a="1"/>
  <c r="I1395" i="27"/>
  <c r="H1395" i="27"/>
  <c r="D1395" i="27"/>
  <c r="A1395" i="27"/>
  <c r="I1394" i="27" a="1"/>
  <c r="I1394" i="27"/>
  <c r="H1394" i="27"/>
  <c r="D1394" i="27"/>
  <c r="A1394" i="27"/>
  <c r="I1393" i="27" a="1"/>
  <c r="I1393" i="27"/>
  <c r="H1393" i="27"/>
  <c r="D1393" i="27"/>
  <c r="A1393" i="27"/>
  <c r="I1392" i="27" a="1"/>
  <c r="I1392" i="27"/>
  <c r="H1392" i="27"/>
  <c r="D1392" i="27"/>
  <c r="A1392" i="27"/>
  <c r="I1391" i="27" a="1"/>
  <c r="I1391" i="27"/>
  <c r="H1391" i="27"/>
  <c r="D1391" i="27"/>
  <c r="A1391" i="27"/>
  <c r="I1390" i="27" a="1"/>
  <c r="I1390" i="27"/>
  <c r="H1390" i="27"/>
  <c r="D1390" i="27"/>
  <c r="A1390" i="27"/>
  <c r="I1389" i="27" a="1"/>
  <c r="I1389" i="27"/>
  <c r="H1389" i="27"/>
  <c r="D1389" i="27"/>
  <c r="A1389" i="27"/>
  <c r="I1388" i="27" a="1"/>
  <c r="I1388" i="27"/>
  <c r="H1388" i="27"/>
  <c r="D1388" i="27"/>
  <c r="A1388" i="27"/>
  <c r="I1387" i="27" a="1"/>
  <c r="I1387" i="27"/>
  <c r="H1387" i="27"/>
  <c r="D1387" i="27"/>
  <c r="A1387" i="27"/>
  <c r="I1386" i="27" a="1"/>
  <c r="I1386" i="27"/>
  <c r="H1386" i="27"/>
  <c r="D1386" i="27"/>
  <c r="A1386" i="27"/>
  <c r="I1385" i="27" a="1"/>
  <c r="I1385" i="27"/>
  <c r="H1385" i="27"/>
  <c r="D1385" i="27"/>
  <c r="A1385" i="27"/>
  <c r="I1384" i="27" a="1"/>
  <c r="I1384" i="27"/>
  <c r="H1384" i="27"/>
  <c r="D1384" i="27"/>
  <c r="A1384" i="27"/>
  <c r="I1383" i="27" a="1"/>
  <c r="I1383" i="27"/>
  <c r="H1383" i="27"/>
  <c r="D1383" i="27"/>
  <c r="A1383" i="27"/>
  <c r="I1382" i="27" a="1"/>
  <c r="I1382" i="27"/>
  <c r="H1382" i="27"/>
  <c r="D1382" i="27"/>
  <c r="A1382" i="27"/>
  <c r="I1381" i="27" a="1"/>
  <c r="I1381" i="27"/>
  <c r="H1381" i="27"/>
  <c r="D1381" i="27"/>
  <c r="A1381" i="27"/>
  <c r="I1380" i="27" a="1"/>
  <c r="I1380" i="27"/>
  <c r="H1380" i="27"/>
  <c r="D1380" i="27"/>
  <c r="A1380" i="27"/>
  <c r="I1379" i="27" a="1"/>
  <c r="I1379" i="27"/>
  <c r="H1379" i="27"/>
  <c r="D1379" i="27"/>
  <c r="A1379" i="27"/>
  <c r="I1378" i="27" a="1"/>
  <c r="I1378" i="27"/>
  <c r="H1378" i="27"/>
  <c r="D1378" i="27"/>
  <c r="A1378" i="27"/>
  <c r="I1377" i="27" a="1"/>
  <c r="I1377" i="27"/>
  <c r="H1377" i="27"/>
  <c r="D1377" i="27"/>
  <c r="A1377" i="27"/>
  <c r="I1376" i="27" a="1"/>
  <c r="I1376" i="27"/>
  <c r="H1376" i="27"/>
  <c r="D1376" i="27"/>
  <c r="A1376" i="27"/>
  <c r="I1375" i="27" a="1"/>
  <c r="I1375" i="27"/>
  <c r="H1375" i="27"/>
  <c r="D1375" i="27"/>
  <c r="A1375" i="27"/>
  <c r="I1374" i="27" a="1"/>
  <c r="I1374" i="27"/>
  <c r="H1374" i="27"/>
  <c r="D1374" i="27"/>
  <c r="A1374" i="27"/>
  <c r="I1373" i="27" a="1"/>
  <c r="I1373" i="27"/>
  <c r="H1373" i="27"/>
  <c r="D1373" i="27"/>
  <c r="A1373" i="27"/>
  <c r="I1372" i="27" a="1"/>
  <c r="I1372" i="27"/>
  <c r="H1372" i="27"/>
  <c r="D1372" i="27"/>
  <c r="A1372" i="27"/>
  <c r="I1371" i="27" a="1"/>
  <c r="I1371" i="27"/>
  <c r="H1371" i="27"/>
  <c r="D1371" i="27"/>
  <c r="A1371" i="27"/>
  <c r="I1370" i="27" a="1"/>
  <c r="I1370" i="27"/>
  <c r="H1370" i="27"/>
  <c r="D1370" i="27"/>
  <c r="A1370" i="27"/>
  <c r="I1369" i="27" a="1"/>
  <c r="I1369" i="27"/>
  <c r="H1369" i="27"/>
  <c r="D1369" i="27"/>
  <c r="A1369" i="27"/>
  <c r="I1368" i="27" a="1"/>
  <c r="I1368" i="27"/>
  <c r="H1368" i="27"/>
  <c r="D1368" i="27"/>
  <c r="A1368" i="27"/>
  <c r="I1367" i="27" a="1"/>
  <c r="I1367" i="27"/>
  <c r="H1367" i="27"/>
  <c r="D1367" i="27"/>
  <c r="A1367" i="27"/>
  <c r="I1366" i="27" a="1"/>
  <c r="I1366" i="27"/>
  <c r="H1366" i="27"/>
  <c r="D1366" i="27"/>
  <c r="A1366" i="27"/>
  <c r="I1365" i="27" a="1"/>
  <c r="I1365" i="27"/>
  <c r="H1365" i="27"/>
  <c r="D1365" i="27"/>
  <c r="A1365" i="27"/>
  <c r="I1364" i="27" a="1"/>
  <c r="I1364" i="27"/>
  <c r="H1364" i="27"/>
  <c r="D1364" i="27"/>
  <c r="A1364" i="27"/>
  <c r="I1363" i="27" a="1"/>
  <c r="I1363" i="27"/>
  <c r="H1363" i="27"/>
  <c r="D1363" i="27"/>
  <c r="A1363" i="27"/>
  <c r="I1362" i="27" a="1"/>
  <c r="I1362" i="27"/>
  <c r="H1362" i="27"/>
  <c r="D1362" i="27"/>
  <c r="A1362" i="27"/>
  <c r="I1361" i="27" a="1"/>
  <c r="I1361" i="27"/>
  <c r="H1361" i="27"/>
  <c r="D1361" i="27"/>
  <c r="A1361" i="27"/>
  <c r="I1360" i="27" a="1"/>
  <c r="I1360" i="27"/>
  <c r="H1360" i="27"/>
  <c r="D1360" i="27"/>
  <c r="A1360" i="27"/>
  <c r="I1359" i="27" a="1"/>
  <c r="I1359" i="27"/>
  <c r="H1359" i="27"/>
  <c r="D1359" i="27"/>
  <c r="A1359" i="27"/>
  <c r="I1358" i="27" a="1"/>
  <c r="I1358" i="27"/>
  <c r="H1358" i="27"/>
  <c r="D1358" i="27"/>
  <c r="A1358" i="27"/>
  <c r="I1357" i="27" a="1"/>
  <c r="I1357" i="27"/>
  <c r="H1357" i="27"/>
  <c r="D1357" i="27"/>
  <c r="A1357" i="27"/>
  <c r="I1356" i="27" a="1"/>
  <c r="I1356" i="27"/>
  <c r="H1356" i="27"/>
  <c r="D1356" i="27"/>
  <c r="A1356" i="27"/>
  <c r="I1355" i="27" a="1"/>
  <c r="I1355" i="27"/>
  <c r="H1355" i="27"/>
  <c r="D1355" i="27"/>
  <c r="A1355" i="27"/>
  <c r="I1354" i="27" a="1"/>
  <c r="I1354" i="27"/>
  <c r="H1354" i="27"/>
  <c r="D1354" i="27"/>
  <c r="A1354" i="27"/>
  <c r="I1353" i="27" a="1"/>
  <c r="I1353" i="27"/>
  <c r="H1353" i="27"/>
  <c r="D1353" i="27"/>
  <c r="A1353" i="27"/>
  <c r="I1352" i="27" a="1"/>
  <c r="I1352" i="27"/>
  <c r="H1352" i="27"/>
  <c r="D1352" i="27"/>
  <c r="A1352" i="27"/>
  <c r="I1351" i="27" a="1"/>
  <c r="I1351" i="27"/>
  <c r="H1351" i="27"/>
  <c r="D1351" i="27"/>
  <c r="A1351" i="27"/>
  <c r="I1350" i="27" a="1"/>
  <c r="I1350" i="27"/>
  <c r="H1350" i="27"/>
  <c r="D1350" i="27"/>
  <c r="A1350" i="27"/>
  <c r="I1349" i="27" a="1"/>
  <c r="I1349" i="27"/>
  <c r="H1349" i="27"/>
  <c r="D1349" i="27"/>
  <c r="A1349" i="27"/>
  <c r="I1348" i="27" a="1"/>
  <c r="I1348" i="27"/>
  <c r="H1348" i="27"/>
  <c r="D1348" i="27"/>
  <c r="A1348" i="27"/>
  <c r="I1347" i="27" a="1"/>
  <c r="I1347" i="27"/>
  <c r="H1347" i="27"/>
  <c r="D1347" i="27"/>
  <c r="A1347" i="27"/>
  <c r="I1346" i="27" a="1"/>
  <c r="I1346" i="27"/>
  <c r="H1346" i="27"/>
  <c r="D1346" i="27"/>
  <c r="A1346" i="27"/>
  <c r="I1345" i="27" a="1"/>
  <c r="I1345" i="27"/>
  <c r="H1345" i="27"/>
  <c r="D1345" i="27"/>
  <c r="A1345" i="27"/>
  <c r="I1344" i="27" a="1"/>
  <c r="I1344" i="27"/>
  <c r="H1344" i="27"/>
  <c r="D1344" i="27"/>
  <c r="A1344" i="27"/>
  <c r="I1343" i="27" a="1"/>
  <c r="I1343" i="27"/>
  <c r="H1343" i="27"/>
  <c r="D1343" i="27"/>
  <c r="A1343" i="27"/>
  <c r="I1342" i="27" a="1"/>
  <c r="I1342" i="27"/>
  <c r="H1342" i="27"/>
  <c r="D1342" i="27"/>
  <c r="A1342" i="27"/>
  <c r="I1341" i="27" a="1"/>
  <c r="I1341" i="27"/>
  <c r="H1341" i="27"/>
  <c r="D1341" i="27"/>
  <c r="A1341" i="27"/>
  <c r="I1340" i="27" a="1"/>
  <c r="I1340" i="27"/>
  <c r="H1340" i="27"/>
  <c r="D1340" i="27"/>
  <c r="A1340" i="27"/>
  <c r="I1339" i="27" a="1"/>
  <c r="I1339" i="27"/>
  <c r="H1339" i="27"/>
  <c r="D1339" i="27"/>
  <c r="A1339" i="27"/>
  <c r="I1338" i="27" a="1"/>
  <c r="I1338" i="27"/>
  <c r="H1338" i="27"/>
  <c r="D1338" i="27"/>
  <c r="A1338" i="27"/>
  <c r="I1337" i="27" a="1"/>
  <c r="I1337" i="27"/>
  <c r="H1337" i="27"/>
  <c r="D1337" i="27"/>
  <c r="A1337" i="27"/>
  <c r="I1336" i="27" a="1"/>
  <c r="I1336" i="27"/>
  <c r="H1336" i="27"/>
  <c r="D1336" i="27"/>
  <c r="A1336" i="27"/>
  <c r="I1335" i="27" a="1"/>
  <c r="I1335" i="27"/>
  <c r="H1335" i="27"/>
  <c r="D1335" i="27"/>
  <c r="A1335" i="27"/>
  <c r="I1334" i="27" a="1"/>
  <c r="I1334" i="27"/>
  <c r="H1334" i="27"/>
  <c r="D1334" i="27"/>
  <c r="A1334" i="27"/>
  <c r="I1333" i="27" a="1"/>
  <c r="I1333" i="27"/>
  <c r="H1333" i="27"/>
  <c r="D1333" i="27"/>
  <c r="A1333" i="27"/>
  <c r="I1332" i="27" a="1"/>
  <c r="I1332" i="27"/>
  <c r="H1332" i="27"/>
  <c r="D1332" i="27"/>
  <c r="A1332" i="27"/>
  <c r="I1331" i="27" a="1"/>
  <c r="I1331" i="27"/>
  <c r="H1331" i="27"/>
  <c r="D1331" i="27"/>
  <c r="A1331" i="27"/>
  <c r="I1330" i="27" a="1"/>
  <c r="I1330" i="27"/>
  <c r="H1330" i="27"/>
  <c r="D1330" i="27"/>
  <c r="A1330" i="27"/>
  <c r="I1329" i="27" a="1"/>
  <c r="I1329" i="27"/>
  <c r="H1329" i="27"/>
  <c r="D1329" i="27"/>
  <c r="A1329" i="27"/>
  <c r="I1328" i="27" a="1"/>
  <c r="I1328" i="27"/>
  <c r="H1328" i="27"/>
  <c r="D1328" i="27"/>
  <c r="A1328" i="27"/>
  <c r="I1327" i="27" a="1"/>
  <c r="I1327" i="27"/>
  <c r="H1327" i="27"/>
  <c r="D1327" i="27"/>
  <c r="A1327" i="27"/>
  <c r="I1326" i="27" a="1"/>
  <c r="I1326" i="27"/>
  <c r="H1326" i="27"/>
  <c r="D1326" i="27"/>
  <c r="A1326" i="27"/>
  <c r="I1325" i="27" a="1"/>
  <c r="I1325" i="27"/>
  <c r="H1325" i="27"/>
  <c r="D1325" i="27"/>
  <c r="A1325" i="27"/>
  <c r="I1324" i="27" a="1"/>
  <c r="I1324" i="27"/>
  <c r="H1324" i="27"/>
  <c r="D1324" i="27"/>
  <c r="A1324" i="27"/>
  <c r="I1323" i="27" a="1"/>
  <c r="I1323" i="27"/>
  <c r="H1323" i="27"/>
  <c r="D1323" i="27"/>
  <c r="A1323" i="27"/>
  <c r="I1322" i="27" a="1"/>
  <c r="I1322" i="27"/>
  <c r="H1322" i="27"/>
  <c r="D1322" i="27"/>
  <c r="A1322" i="27"/>
  <c r="I1321" i="27" a="1"/>
  <c r="I1321" i="27"/>
  <c r="H1321" i="27"/>
  <c r="D1321" i="27"/>
  <c r="A1321" i="27"/>
  <c r="I1320" i="27" a="1"/>
  <c r="I1320" i="27"/>
  <c r="H1320" i="27"/>
  <c r="D1320" i="27"/>
  <c r="A1320" i="27"/>
  <c r="I1319" i="27" a="1"/>
  <c r="I1319" i="27"/>
  <c r="H1319" i="27"/>
  <c r="D1319" i="27"/>
  <c r="A1319" i="27"/>
  <c r="I1318" i="27" a="1"/>
  <c r="I1318" i="27"/>
  <c r="H1318" i="27"/>
  <c r="D1318" i="27"/>
  <c r="A1318" i="27"/>
  <c r="I1317" i="27" a="1"/>
  <c r="I1317" i="27"/>
  <c r="H1317" i="27"/>
  <c r="D1317" i="27"/>
  <c r="A1317" i="27"/>
  <c r="I1316" i="27" a="1"/>
  <c r="I1316" i="27"/>
  <c r="H1316" i="27"/>
  <c r="D1316" i="27"/>
  <c r="A1316" i="27"/>
  <c r="I1315" i="27" a="1"/>
  <c r="I1315" i="27"/>
  <c r="H1315" i="27"/>
  <c r="D1315" i="27"/>
  <c r="A1315" i="27"/>
  <c r="I1314" i="27" a="1"/>
  <c r="I1314" i="27"/>
  <c r="H1314" i="27"/>
  <c r="D1314" i="27"/>
  <c r="A1314" i="27"/>
  <c r="I1313" i="27" a="1"/>
  <c r="I1313" i="27"/>
  <c r="H1313" i="27"/>
  <c r="D1313" i="27"/>
  <c r="A1313" i="27"/>
  <c r="I1312" i="27" a="1"/>
  <c r="I1312" i="27"/>
  <c r="H1312" i="27"/>
  <c r="D1312" i="27"/>
  <c r="A1312" i="27"/>
  <c r="I1311" i="27" a="1"/>
  <c r="I1311" i="27"/>
  <c r="H1311" i="27"/>
  <c r="D1311" i="27"/>
  <c r="A1311" i="27"/>
  <c r="I1310" i="27" a="1"/>
  <c r="I1310" i="27"/>
  <c r="H1310" i="27"/>
  <c r="D1310" i="27"/>
  <c r="A1310" i="27"/>
  <c r="I1309" i="27" a="1"/>
  <c r="I1309" i="27"/>
  <c r="H1309" i="27"/>
  <c r="D1309" i="27"/>
  <c r="A1309" i="27"/>
  <c r="I1308" i="27" a="1"/>
  <c r="I1308" i="27"/>
  <c r="H1308" i="27"/>
  <c r="D1308" i="27"/>
  <c r="A1308" i="27"/>
  <c r="I1307" i="27" a="1"/>
  <c r="I1307" i="27"/>
  <c r="H1307" i="27"/>
  <c r="D1307" i="27"/>
  <c r="A1307" i="27"/>
  <c r="I1306" i="27" a="1"/>
  <c r="I1306" i="27"/>
  <c r="H1306" i="27"/>
  <c r="D1306" i="27"/>
  <c r="A1306" i="27"/>
  <c r="I1305" i="27" a="1"/>
  <c r="I1305" i="27"/>
  <c r="H1305" i="27"/>
  <c r="D1305" i="27"/>
  <c r="A1305" i="27"/>
  <c r="I1304" i="27" a="1"/>
  <c r="I1304" i="27"/>
  <c r="H1304" i="27"/>
  <c r="D1304" i="27"/>
  <c r="A1304" i="27"/>
  <c r="I1303" i="27" a="1"/>
  <c r="I1303" i="27"/>
  <c r="H1303" i="27"/>
  <c r="D1303" i="27"/>
  <c r="A1303" i="27"/>
  <c r="I1302" i="27" a="1"/>
  <c r="I1302" i="27"/>
  <c r="H1302" i="27"/>
  <c r="D1302" i="27"/>
  <c r="A1302" i="27"/>
  <c r="I1301" i="27" a="1"/>
  <c r="I1301" i="27"/>
  <c r="H1301" i="27"/>
  <c r="D1301" i="27"/>
  <c r="A1301" i="27"/>
  <c r="I1300" i="27" a="1"/>
  <c r="I1300" i="27"/>
  <c r="H1300" i="27"/>
  <c r="D1300" i="27"/>
  <c r="A1300" i="27"/>
  <c r="I1299" i="27" a="1"/>
  <c r="I1299" i="27"/>
  <c r="H1299" i="27"/>
  <c r="D1299" i="27"/>
  <c r="A1299" i="27"/>
  <c r="I1298" i="27" a="1"/>
  <c r="I1298" i="27"/>
  <c r="H1298" i="27"/>
  <c r="D1298" i="27"/>
  <c r="A1298" i="27"/>
  <c r="I1297" i="27" a="1"/>
  <c r="I1297" i="27"/>
  <c r="H1297" i="27"/>
  <c r="D1297" i="27"/>
  <c r="A1297" i="27"/>
  <c r="I1296" i="27" a="1"/>
  <c r="I1296" i="27"/>
  <c r="H1296" i="27"/>
  <c r="D1296" i="27"/>
  <c r="A1296" i="27"/>
  <c r="I1295" i="27" a="1"/>
  <c r="I1295" i="27"/>
  <c r="H1295" i="27"/>
  <c r="D1295" i="27"/>
  <c r="A1295" i="27"/>
  <c r="I1294" i="27" a="1"/>
  <c r="I1294" i="27"/>
  <c r="H1294" i="27"/>
  <c r="D1294" i="27"/>
  <c r="A1294" i="27"/>
  <c r="I1293" i="27" a="1"/>
  <c r="I1293" i="27"/>
  <c r="H1293" i="27"/>
  <c r="D1293" i="27"/>
  <c r="A1293" i="27"/>
  <c r="I1292" i="27" a="1"/>
  <c r="I1292" i="27"/>
  <c r="H1292" i="27"/>
  <c r="D1292" i="27"/>
  <c r="A1292" i="27"/>
  <c r="I1291" i="27" a="1"/>
  <c r="I1291" i="27"/>
  <c r="H1291" i="27"/>
  <c r="D1291" i="27"/>
  <c r="A1291" i="27"/>
  <c r="I1290" i="27" a="1"/>
  <c r="I1290" i="27"/>
  <c r="H1290" i="27"/>
  <c r="D1290" i="27"/>
  <c r="A1290" i="27"/>
  <c r="I1289" i="27" a="1"/>
  <c r="I1289" i="27"/>
  <c r="H1289" i="27"/>
  <c r="D1289" i="27"/>
  <c r="A1289" i="27"/>
  <c r="I1288" i="27" a="1"/>
  <c r="I1288" i="27"/>
  <c r="H1288" i="27"/>
  <c r="D1288" i="27"/>
  <c r="A1288" i="27"/>
  <c r="I1287" i="27" a="1"/>
  <c r="I1287" i="27"/>
  <c r="H1287" i="27"/>
  <c r="D1287" i="27"/>
  <c r="A1287" i="27"/>
  <c r="I1286" i="27" a="1"/>
  <c r="I1286" i="27"/>
  <c r="H1286" i="27"/>
  <c r="D1286" i="27"/>
  <c r="A1286" i="27"/>
  <c r="I1285" i="27" a="1"/>
  <c r="I1285" i="27"/>
  <c r="H1285" i="27"/>
  <c r="D1285" i="27"/>
  <c r="A1285" i="27"/>
  <c r="I1284" i="27" a="1"/>
  <c r="I1284" i="27"/>
  <c r="H1284" i="27"/>
  <c r="D1284" i="27"/>
  <c r="A1284" i="27"/>
  <c r="I1283" i="27" a="1"/>
  <c r="I1283" i="27"/>
  <c r="H1283" i="27"/>
  <c r="D1283" i="27"/>
  <c r="A1283" i="27"/>
  <c r="I1282" i="27" a="1"/>
  <c r="I1282" i="27"/>
  <c r="H1282" i="27"/>
  <c r="D1282" i="27"/>
  <c r="A1282" i="27"/>
  <c r="I1281" i="27" a="1"/>
  <c r="I1281" i="27"/>
  <c r="H1281" i="27"/>
  <c r="D1281" i="27"/>
  <c r="A1281" i="27"/>
  <c r="I1280" i="27" a="1"/>
  <c r="I1280" i="27"/>
  <c r="H1280" i="27"/>
  <c r="D1280" i="27"/>
  <c r="A1280" i="27"/>
  <c r="I1279" i="27" a="1"/>
  <c r="I1279" i="27"/>
  <c r="H1279" i="27"/>
  <c r="D1279" i="27"/>
  <c r="A1279" i="27"/>
  <c r="I1278" i="27" a="1"/>
  <c r="I1278" i="27"/>
  <c r="H1278" i="27"/>
  <c r="D1278" i="27"/>
  <c r="A1278" i="27"/>
  <c r="I1277" i="27" a="1"/>
  <c r="I1277" i="27"/>
  <c r="H1277" i="27"/>
  <c r="D1277" i="27"/>
  <c r="A1277" i="27"/>
  <c r="I1276" i="27" a="1"/>
  <c r="I1276" i="27"/>
  <c r="H1276" i="27"/>
  <c r="D1276" i="27"/>
  <c r="A1276" i="27"/>
  <c r="I1275" i="27" a="1"/>
  <c r="I1275" i="27"/>
  <c r="H1275" i="27"/>
  <c r="D1275" i="27"/>
  <c r="A1275" i="27"/>
  <c r="I1274" i="27" a="1"/>
  <c r="I1274" i="27"/>
  <c r="H1274" i="27"/>
  <c r="D1274" i="27"/>
  <c r="A1274" i="27"/>
  <c r="I1273" i="27" a="1"/>
  <c r="I1273" i="27"/>
  <c r="H1273" i="27"/>
  <c r="D1273" i="27"/>
  <c r="A1273" i="27"/>
  <c r="I1272" i="27" a="1"/>
  <c r="I1272" i="27"/>
  <c r="H1272" i="27"/>
  <c r="D1272" i="27"/>
  <c r="A1272" i="27"/>
  <c r="I1271" i="27" a="1"/>
  <c r="I1271" i="27"/>
  <c r="H1271" i="27"/>
  <c r="D1271" i="27"/>
  <c r="A1271" i="27"/>
  <c r="I1270" i="27" a="1"/>
  <c r="I1270" i="27"/>
  <c r="H1270" i="27"/>
  <c r="D1270" i="27"/>
  <c r="A1270" i="27"/>
  <c r="I1269" i="27" a="1"/>
  <c r="I1269" i="27"/>
  <c r="H1269" i="27"/>
  <c r="D1269" i="27"/>
  <c r="A1269" i="27"/>
  <c r="I1268" i="27" a="1"/>
  <c r="I1268" i="27"/>
  <c r="H1268" i="27"/>
  <c r="D1268" i="27"/>
  <c r="A1268" i="27"/>
  <c r="I1267" i="27" a="1"/>
  <c r="I1267" i="27"/>
  <c r="H1267" i="27"/>
  <c r="D1267" i="27"/>
  <c r="A1267" i="27"/>
  <c r="I1266" i="27" a="1"/>
  <c r="I1266" i="27"/>
  <c r="H1266" i="27"/>
  <c r="D1266" i="27"/>
  <c r="A1266" i="27"/>
  <c r="I1265" i="27" a="1"/>
  <c r="I1265" i="27"/>
  <c r="H1265" i="27"/>
  <c r="D1265" i="27"/>
  <c r="A1265" i="27"/>
  <c r="I1264" i="27" a="1"/>
  <c r="I1264" i="27"/>
  <c r="H1264" i="27"/>
  <c r="D1264" i="27"/>
  <c r="A1264" i="27"/>
  <c r="I1263" i="27" a="1"/>
  <c r="I1263" i="27"/>
  <c r="H1263" i="27"/>
  <c r="D1263" i="27"/>
  <c r="A1263" i="27"/>
  <c r="I1262" i="27" a="1"/>
  <c r="I1262" i="27"/>
  <c r="H1262" i="27"/>
  <c r="D1262" i="27"/>
  <c r="A1262" i="27"/>
  <c r="I1261" i="27" a="1"/>
  <c r="I1261" i="27"/>
  <c r="H1261" i="27"/>
  <c r="D1261" i="27"/>
  <c r="A1261" i="27"/>
  <c r="I1260" i="27" a="1"/>
  <c r="I1260" i="27"/>
  <c r="H1260" i="27"/>
  <c r="D1260" i="27"/>
  <c r="A1260" i="27"/>
  <c r="I1259" i="27" a="1"/>
  <c r="I1259" i="27"/>
  <c r="H1259" i="27"/>
  <c r="D1259" i="27"/>
  <c r="A1259" i="27"/>
  <c r="I1258" i="27" a="1"/>
  <c r="I1258" i="27"/>
  <c r="H1258" i="27"/>
  <c r="D1258" i="27"/>
  <c r="A1258" i="27"/>
  <c r="I1257" i="27" a="1"/>
  <c r="I1257" i="27"/>
  <c r="H1257" i="27"/>
  <c r="D1257" i="27"/>
  <c r="A1257" i="27"/>
  <c r="I1256" i="27" a="1"/>
  <c r="I1256" i="27"/>
  <c r="H1256" i="27"/>
  <c r="D1256" i="27"/>
  <c r="A1256" i="27"/>
  <c r="I1255" i="27" a="1"/>
  <c r="I1255" i="27"/>
  <c r="H1255" i="27"/>
  <c r="D1255" i="27"/>
  <c r="A1255" i="27"/>
  <c r="I1254" i="27" a="1"/>
  <c r="I1254" i="27"/>
  <c r="H1254" i="27"/>
  <c r="D1254" i="27"/>
  <c r="A1254" i="27"/>
  <c r="I1253" i="27" a="1"/>
  <c r="I1253" i="27"/>
  <c r="H1253" i="27"/>
  <c r="D1253" i="27"/>
  <c r="A1253" i="27"/>
  <c r="I1252" i="27" a="1"/>
  <c r="I1252" i="27"/>
  <c r="H1252" i="27"/>
  <c r="D1252" i="27"/>
  <c r="A1252" i="27"/>
  <c r="I1251" i="27" a="1"/>
  <c r="I1251" i="27"/>
  <c r="H1251" i="27"/>
  <c r="D1251" i="27"/>
  <c r="A1251" i="27"/>
  <c r="I1250" i="27" a="1"/>
  <c r="I1250" i="27"/>
  <c r="H1250" i="27"/>
  <c r="D1250" i="27"/>
  <c r="A1250" i="27"/>
  <c r="I1249" i="27" a="1"/>
  <c r="I1249" i="27"/>
  <c r="H1249" i="27"/>
  <c r="D1249" i="27"/>
  <c r="A1249" i="27"/>
  <c r="I1248" i="27" a="1"/>
  <c r="I1248" i="27"/>
  <c r="H1248" i="27"/>
  <c r="D1248" i="27"/>
  <c r="A1248" i="27"/>
  <c r="I1247" i="27" a="1"/>
  <c r="I1247" i="27"/>
  <c r="H1247" i="27"/>
  <c r="D1247" i="27"/>
  <c r="A1247" i="27"/>
  <c r="I1246" i="27" a="1"/>
  <c r="I1246" i="27"/>
  <c r="H1246" i="27"/>
  <c r="D1246" i="27"/>
  <c r="A1246" i="27"/>
  <c r="I1245" i="27" a="1"/>
  <c r="I1245" i="27"/>
  <c r="H1245" i="27"/>
  <c r="D1245" i="27"/>
  <c r="A1245" i="27"/>
  <c r="I1244" i="27" a="1"/>
  <c r="I1244" i="27"/>
  <c r="H1244" i="27"/>
  <c r="D1244" i="27"/>
  <c r="A1244" i="27"/>
  <c r="I1243" i="27" a="1"/>
  <c r="I1243" i="27"/>
  <c r="H1243" i="27"/>
  <c r="D1243" i="27"/>
  <c r="A1243" i="27"/>
  <c r="I1242" i="27" a="1"/>
  <c r="I1242" i="27"/>
  <c r="H1242" i="27"/>
  <c r="D1242" i="27"/>
  <c r="A1242" i="27"/>
  <c r="I1241" i="27" a="1"/>
  <c r="I1241" i="27"/>
  <c r="H1241" i="27"/>
  <c r="D1241" i="27"/>
  <c r="A1241" i="27"/>
  <c r="I1240" i="27" a="1"/>
  <c r="I1240" i="27"/>
  <c r="H1240" i="27"/>
  <c r="D1240" i="27"/>
  <c r="A1240" i="27"/>
  <c r="I1239" i="27" a="1"/>
  <c r="I1239" i="27"/>
  <c r="H1239" i="27"/>
  <c r="D1239" i="27"/>
  <c r="A1239" i="27"/>
  <c r="I1238" i="27" a="1"/>
  <c r="I1238" i="27"/>
  <c r="H1238" i="27"/>
  <c r="D1238" i="27"/>
  <c r="A1238" i="27"/>
  <c r="I1237" i="27" a="1"/>
  <c r="I1237" i="27"/>
  <c r="H1237" i="27"/>
  <c r="D1237" i="27"/>
  <c r="A1237" i="27"/>
  <c r="I1236" i="27" a="1"/>
  <c r="I1236" i="27"/>
  <c r="H1236" i="27"/>
  <c r="D1236" i="27"/>
  <c r="A1236" i="27"/>
  <c r="I1235" i="27" a="1"/>
  <c r="I1235" i="27"/>
  <c r="H1235" i="27"/>
  <c r="D1235" i="27"/>
  <c r="A1235" i="27"/>
  <c r="I1234" i="27" a="1"/>
  <c r="I1234" i="27"/>
  <c r="H1234" i="27"/>
  <c r="D1234" i="27"/>
  <c r="A1234" i="27"/>
  <c r="I1233" i="27" a="1"/>
  <c r="I1233" i="27"/>
  <c r="H1233" i="27"/>
  <c r="D1233" i="27"/>
  <c r="A1233" i="27"/>
  <c r="I1232" i="27" a="1"/>
  <c r="I1232" i="27"/>
  <c r="H1232" i="27"/>
  <c r="D1232" i="27"/>
  <c r="A1232" i="27"/>
  <c r="I1231" i="27" a="1"/>
  <c r="I1231" i="27"/>
  <c r="H1231" i="27"/>
  <c r="D1231" i="27"/>
  <c r="A1231" i="27"/>
  <c r="I1230" i="27" a="1"/>
  <c r="I1230" i="27"/>
  <c r="H1230" i="27"/>
  <c r="D1230" i="27"/>
  <c r="A1230" i="27"/>
  <c r="I1229" i="27" a="1"/>
  <c r="I1229" i="27"/>
  <c r="H1229" i="27"/>
  <c r="D1229" i="27"/>
  <c r="A1229" i="27"/>
  <c r="I1228" i="27" a="1"/>
  <c r="I1228" i="27"/>
  <c r="H1228" i="27"/>
  <c r="D1228" i="27"/>
  <c r="A1228" i="27"/>
  <c r="I1227" i="27" a="1"/>
  <c r="I1227" i="27"/>
  <c r="H1227" i="27"/>
  <c r="D1227" i="27"/>
  <c r="A1227" i="27"/>
  <c r="I1226" i="27" a="1"/>
  <c r="I1226" i="27"/>
  <c r="H1226" i="27"/>
  <c r="D1226" i="27"/>
  <c r="A1226" i="27"/>
  <c r="I1225" i="27" a="1"/>
  <c r="I1225" i="27"/>
  <c r="H1225" i="27"/>
  <c r="D1225" i="27"/>
  <c r="A1225" i="27"/>
  <c r="I1224" i="27" a="1"/>
  <c r="I1224" i="27"/>
  <c r="H1224" i="27"/>
  <c r="D1224" i="27"/>
  <c r="A1224" i="27"/>
  <c r="I1223" i="27" a="1"/>
  <c r="I1223" i="27"/>
  <c r="H1223" i="27"/>
  <c r="D1223" i="27"/>
  <c r="A1223" i="27"/>
  <c r="I1222" i="27" a="1"/>
  <c r="I1222" i="27"/>
  <c r="H1222" i="27"/>
  <c r="D1222" i="27"/>
  <c r="A1222" i="27"/>
  <c r="I1221" i="27" a="1"/>
  <c r="I1221" i="27"/>
  <c r="H1221" i="27"/>
  <c r="D1221" i="27"/>
  <c r="A1221" i="27"/>
  <c r="I1220" i="27" a="1"/>
  <c r="I1220" i="27"/>
  <c r="H1220" i="27"/>
  <c r="D1220" i="27"/>
  <c r="A1220" i="27"/>
  <c r="I1219" i="27" a="1"/>
  <c r="I1219" i="27"/>
  <c r="H1219" i="27"/>
  <c r="D1219" i="27"/>
  <c r="A1219" i="27"/>
  <c r="I1218" i="27" a="1"/>
  <c r="I1218" i="27"/>
  <c r="H1218" i="27"/>
  <c r="D1218" i="27"/>
  <c r="A1218" i="27"/>
  <c r="I1217" i="27" a="1"/>
  <c r="I1217" i="27"/>
  <c r="H1217" i="27"/>
  <c r="D1217" i="27"/>
  <c r="A1217" i="27"/>
  <c r="I1216" i="27" a="1"/>
  <c r="I1216" i="27"/>
  <c r="H1216" i="27"/>
  <c r="D1216" i="27"/>
  <c r="A1216" i="27"/>
  <c r="I1215" i="27" a="1"/>
  <c r="I1215" i="27"/>
  <c r="H1215" i="27"/>
  <c r="D1215" i="27"/>
  <c r="A1215" i="27"/>
  <c r="I1214" i="27" a="1"/>
  <c r="I1214" i="27"/>
  <c r="H1214" i="27"/>
  <c r="D1214" i="27"/>
  <c r="A1214" i="27"/>
  <c r="I1213" i="27" a="1"/>
  <c r="I1213" i="27"/>
  <c r="H1213" i="27"/>
  <c r="D1213" i="27"/>
  <c r="A1213" i="27"/>
  <c r="I1212" i="27" a="1"/>
  <c r="I1212" i="27"/>
  <c r="H1212" i="27"/>
  <c r="D1212" i="27"/>
  <c r="A1212" i="27"/>
  <c r="I1211" i="27" a="1"/>
  <c r="I1211" i="27"/>
  <c r="H1211" i="27"/>
  <c r="D1211" i="27"/>
  <c r="A1211" i="27"/>
  <c r="I1210" i="27" a="1"/>
  <c r="I1210" i="27"/>
  <c r="H1210" i="27"/>
  <c r="D1210" i="27"/>
  <c r="A1210" i="27"/>
  <c r="I1209" i="27" a="1"/>
  <c r="I1209" i="27"/>
  <c r="H1209" i="27"/>
  <c r="D1209" i="27"/>
  <c r="A1209" i="27"/>
  <c r="I1208" i="27" a="1"/>
  <c r="I1208" i="27"/>
  <c r="H1208" i="27"/>
  <c r="D1208" i="27"/>
  <c r="A1208" i="27"/>
  <c r="I1207" i="27" a="1"/>
  <c r="I1207" i="27"/>
  <c r="H1207" i="27"/>
  <c r="D1207" i="27"/>
  <c r="A1207" i="27"/>
  <c r="I1206" i="27" a="1"/>
  <c r="I1206" i="27"/>
  <c r="H1206" i="27"/>
  <c r="D1206" i="27"/>
  <c r="A1206" i="27"/>
  <c r="I1205" i="27" a="1"/>
  <c r="I1205" i="27"/>
  <c r="H1205" i="27"/>
  <c r="D1205" i="27"/>
  <c r="A1205" i="27"/>
  <c r="I1204" i="27" a="1"/>
  <c r="I1204" i="27"/>
  <c r="H1204" i="27"/>
  <c r="D1204" i="27"/>
  <c r="A1204" i="27"/>
  <c r="I1203" i="27" a="1"/>
  <c r="I1203" i="27"/>
  <c r="H1203" i="27"/>
  <c r="D1203" i="27"/>
  <c r="A1203" i="27"/>
  <c r="I1202" i="27" a="1"/>
  <c r="I1202" i="27"/>
  <c r="H1202" i="27"/>
  <c r="D1202" i="27"/>
  <c r="A1202" i="27"/>
  <c r="I1201" i="27" a="1"/>
  <c r="I1201" i="27"/>
  <c r="H1201" i="27"/>
  <c r="D1201" i="27"/>
  <c r="A1201" i="27"/>
  <c r="I1200" i="27" a="1"/>
  <c r="I1200" i="27"/>
  <c r="H1200" i="27"/>
  <c r="D1200" i="27"/>
  <c r="A1200" i="27"/>
  <c r="I1199" i="27" a="1"/>
  <c r="I1199" i="27"/>
  <c r="H1199" i="27"/>
  <c r="D1199" i="27"/>
  <c r="A1199" i="27"/>
  <c r="I1198" i="27" a="1"/>
  <c r="I1198" i="27"/>
  <c r="H1198" i="27"/>
  <c r="D1198" i="27"/>
  <c r="A1198" i="27"/>
  <c r="I1197" i="27" a="1"/>
  <c r="I1197" i="27"/>
  <c r="H1197" i="27"/>
  <c r="D1197" i="27"/>
  <c r="A1197" i="27"/>
  <c r="I1196" i="27" a="1"/>
  <c r="I1196" i="27"/>
  <c r="H1196" i="27"/>
  <c r="D1196" i="27"/>
  <c r="A1196" i="27"/>
  <c r="I1195" i="27" a="1"/>
  <c r="I1195" i="27"/>
  <c r="H1195" i="27"/>
  <c r="D1195" i="27"/>
  <c r="A1195" i="27"/>
  <c r="I1194" i="27" a="1"/>
  <c r="I1194" i="27"/>
  <c r="H1194" i="27"/>
  <c r="D1194" i="27"/>
  <c r="A1194" i="27"/>
  <c r="I1193" i="27" a="1"/>
  <c r="I1193" i="27"/>
  <c r="H1193" i="27"/>
  <c r="D1193" i="27"/>
  <c r="A1193" i="27"/>
  <c r="I1192" i="27" a="1"/>
  <c r="I1192" i="27"/>
  <c r="H1192" i="27"/>
  <c r="D1192" i="27"/>
  <c r="A1192" i="27"/>
  <c r="I1191" i="27" a="1"/>
  <c r="I1191" i="27"/>
  <c r="H1191" i="27"/>
  <c r="D1191" i="27"/>
  <c r="A1191" i="27"/>
  <c r="I1190" i="27" a="1"/>
  <c r="I1190" i="27"/>
  <c r="H1190" i="27"/>
  <c r="D1190" i="27"/>
  <c r="A1190" i="27"/>
  <c r="I1189" i="27" a="1"/>
  <c r="I1189" i="27"/>
  <c r="H1189" i="27"/>
  <c r="D1189" i="27"/>
  <c r="A1189" i="27"/>
  <c r="I1188" i="27" a="1"/>
  <c r="I1188" i="27"/>
  <c r="H1188" i="27"/>
  <c r="D1188" i="27"/>
  <c r="A1188" i="27"/>
  <c r="I1187" i="27" a="1"/>
  <c r="I1187" i="27"/>
  <c r="H1187" i="27"/>
  <c r="D1187" i="27"/>
  <c r="A1187" i="27"/>
  <c r="I1186" i="27" a="1"/>
  <c r="I1186" i="27"/>
  <c r="H1186" i="27"/>
  <c r="D1186" i="27"/>
  <c r="A1186" i="27"/>
  <c r="I1185" i="27" a="1"/>
  <c r="I1185" i="27"/>
  <c r="H1185" i="27"/>
  <c r="D1185" i="27"/>
  <c r="A1185" i="27"/>
  <c r="I1184" i="27" a="1"/>
  <c r="I1184" i="27"/>
  <c r="H1184" i="27"/>
  <c r="D1184" i="27"/>
  <c r="A1184" i="27"/>
  <c r="I1183" i="27" a="1"/>
  <c r="I1183" i="27"/>
  <c r="H1183" i="27"/>
  <c r="D1183" i="27"/>
  <c r="A1183" i="27"/>
  <c r="I1182" i="27" a="1"/>
  <c r="I1182" i="27"/>
  <c r="H1182" i="27"/>
  <c r="D1182" i="27"/>
  <c r="A1182" i="27"/>
  <c r="I1181" i="27" a="1"/>
  <c r="I1181" i="27"/>
  <c r="H1181" i="27"/>
  <c r="D1181" i="27"/>
  <c r="A1181" i="27"/>
  <c r="I1180" i="27" a="1"/>
  <c r="I1180" i="27"/>
  <c r="H1180" i="27"/>
  <c r="D1180" i="27"/>
  <c r="A1180" i="27"/>
  <c r="I1179" i="27" a="1"/>
  <c r="I1179" i="27"/>
  <c r="H1179" i="27"/>
  <c r="D1179" i="27"/>
  <c r="A1179" i="27"/>
  <c r="I1178" i="27" a="1"/>
  <c r="I1178" i="27"/>
  <c r="H1178" i="27"/>
  <c r="D1178" i="27"/>
  <c r="A1178" i="27"/>
  <c r="I1177" i="27" a="1"/>
  <c r="I1177" i="27"/>
  <c r="H1177" i="27"/>
  <c r="D1177" i="27"/>
  <c r="A1177" i="27"/>
  <c r="I1176" i="27" a="1"/>
  <c r="I1176" i="27"/>
  <c r="H1176" i="27"/>
  <c r="D1176" i="27"/>
  <c r="A1176" i="27"/>
  <c r="I1175" i="27" a="1"/>
  <c r="I1175" i="27"/>
  <c r="H1175" i="27"/>
  <c r="D1175" i="27"/>
  <c r="A1175" i="27"/>
  <c r="I1174" i="27" a="1"/>
  <c r="I1174" i="27"/>
  <c r="H1174" i="27"/>
  <c r="D1174" i="27"/>
  <c r="A1174" i="27"/>
  <c r="I1173" i="27" a="1"/>
  <c r="I1173" i="27"/>
  <c r="H1173" i="27"/>
  <c r="D1173" i="27"/>
  <c r="A1173" i="27"/>
  <c r="I1172" i="27" a="1"/>
  <c r="I1172" i="27"/>
  <c r="H1172" i="27"/>
  <c r="D1172" i="27"/>
  <c r="A1172" i="27"/>
  <c r="I1171" i="27" a="1"/>
  <c r="I1171" i="27"/>
  <c r="H1171" i="27"/>
  <c r="D1171" i="27"/>
  <c r="A1171" i="27"/>
  <c r="I1170" i="27" a="1"/>
  <c r="I1170" i="27"/>
  <c r="H1170" i="27"/>
  <c r="D1170" i="27"/>
  <c r="A1170" i="27"/>
  <c r="I1169" i="27" a="1"/>
  <c r="I1169" i="27"/>
  <c r="H1169" i="27"/>
  <c r="D1169" i="27"/>
  <c r="A1169" i="27"/>
  <c r="I1168" i="27" a="1"/>
  <c r="I1168" i="27"/>
  <c r="H1168" i="27"/>
  <c r="D1168" i="27"/>
  <c r="A1168" i="27"/>
  <c r="I1167" i="27" a="1"/>
  <c r="I1167" i="27"/>
  <c r="H1167" i="27"/>
  <c r="D1167" i="27"/>
  <c r="A1167" i="27"/>
  <c r="I1166" i="27" a="1"/>
  <c r="I1166" i="27"/>
  <c r="H1166" i="27"/>
  <c r="D1166" i="27"/>
  <c r="A1166" i="27"/>
  <c r="I1165" i="27" a="1"/>
  <c r="I1165" i="27"/>
  <c r="H1165" i="27"/>
  <c r="D1165" i="27"/>
  <c r="A1165" i="27"/>
  <c r="I1164" i="27" a="1"/>
  <c r="I1164" i="27"/>
  <c r="H1164" i="27"/>
  <c r="D1164" i="27"/>
  <c r="A1164" i="27"/>
  <c r="I1163" i="27" a="1"/>
  <c r="I1163" i="27"/>
  <c r="H1163" i="27"/>
  <c r="D1163" i="27"/>
  <c r="A1163" i="27"/>
  <c r="I1162" i="27" a="1"/>
  <c r="I1162" i="27"/>
  <c r="H1162" i="27"/>
  <c r="D1162" i="27"/>
  <c r="A1162" i="27"/>
  <c r="I1161" i="27" a="1"/>
  <c r="I1161" i="27"/>
  <c r="H1161" i="27"/>
  <c r="D1161" i="27"/>
  <c r="A1161" i="27"/>
  <c r="I1160" i="27" a="1"/>
  <c r="I1160" i="27"/>
  <c r="H1160" i="27"/>
  <c r="D1160" i="27"/>
  <c r="A1160" i="27"/>
  <c r="I1159" i="27" a="1"/>
  <c r="I1159" i="27"/>
  <c r="H1159" i="27"/>
  <c r="D1159" i="27"/>
  <c r="A1159" i="27"/>
  <c r="I1158" i="27" a="1"/>
  <c r="I1158" i="27"/>
  <c r="H1158" i="27"/>
  <c r="D1158" i="27"/>
  <c r="A1158" i="27"/>
  <c r="I1157" i="27" a="1"/>
  <c r="I1157" i="27"/>
  <c r="H1157" i="27"/>
  <c r="D1157" i="27"/>
  <c r="A1157" i="27"/>
  <c r="I1156" i="27" a="1"/>
  <c r="I1156" i="27"/>
  <c r="H1156" i="27"/>
  <c r="D1156" i="27"/>
  <c r="A1156" i="27"/>
  <c r="I1155" i="27" a="1"/>
  <c r="I1155" i="27"/>
  <c r="H1155" i="27"/>
  <c r="D1155" i="27"/>
  <c r="A1155" i="27"/>
  <c r="I1154" i="27" a="1"/>
  <c r="I1154" i="27"/>
  <c r="H1154" i="27"/>
  <c r="D1154" i="27"/>
  <c r="A1154" i="27"/>
  <c r="I1153" i="27" a="1"/>
  <c r="I1153" i="27"/>
  <c r="H1153" i="27"/>
  <c r="D1153" i="27"/>
  <c r="A1153" i="27"/>
  <c r="I1152" i="27" a="1"/>
  <c r="I1152" i="27"/>
  <c r="H1152" i="27"/>
  <c r="D1152" i="27"/>
  <c r="A1152" i="27"/>
  <c r="I1151" i="27" a="1"/>
  <c r="I1151" i="27"/>
  <c r="H1151" i="27"/>
  <c r="D1151" i="27"/>
  <c r="A1151" i="27"/>
  <c r="I1150" i="27" a="1"/>
  <c r="I1150" i="27"/>
  <c r="H1150" i="27"/>
  <c r="D1150" i="27"/>
  <c r="A1150" i="27"/>
  <c r="I1149" i="27" a="1"/>
  <c r="I1149" i="27"/>
  <c r="H1149" i="27"/>
  <c r="D1149" i="27"/>
  <c r="A1149" i="27"/>
  <c r="I1148" i="27" a="1"/>
  <c r="I1148" i="27"/>
  <c r="H1148" i="27"/>
  <c r="D1148" i="27"/>
  <c r="A1148" i="27"/>
  <c r="I1147" i="27" a="1"/>
  <c r="I1147" i="27"/>
  <c r="H1147" i="27"/>
  <c r="D1147" i="27"/>
  <c r="A1147" i="27"/>
  <c r="I1146" i="27" a="1"/>
  <c r="I1146" i="27"/>
  <c r="H1146" i="27"/>
  <c r="D1146" i="27"/>
  <c r="A1146" i="27"/>
  <c r="I1145" i="27" a="1"/>
  <c r="I1145" i="27"/>
  <c r="H1145" i="27"/>
  <c r="D1145" i="27"/>
  <c r="A1145" i="27"/>
  <c r="I1144" i="27" a="1"/>
  <c r="I1144" i="27"/>
  <c r="H1144" i="27"/>
  <c r="D1144" i="27"/>
  <c r="A1144" i="27"/>
  <c r="I1143" i="27" a="1"/>
  <c r="I1143" i="27"/>
  <c r="H1143" i="27"/>
  <c r="D1143" i="27"/>
  <c r="A1143" i="27"/>
  <c r="I1142" i="27" a="1"/>
  <c r="I1142" i="27"/>
  <c r="H1142" i="27"/>
  <c r="D1142" i="27"/>
  <c r="A1142" i="27"/>
  <c r="I1141" i="27" a="1"/>
  <c r="I1141" i="27"/>
  <c r="H1141" i="27"/>
  <c r="D1141" i="27"/>
  <c r="A1141" i="27"/>
  <c r="I1140" i="27" a="1"/>
  <c r="I1140" i="27"/>
  <c r="H1140" i="27"/>
  <c r="D1140" i="27"/>
  <c r="A1140" i="27"/>
  <c r="I1139" i="27" a="1"/>
  <c r="I1139" i="27"/>
  <c r="H1139" i="27"/>
  <c r="D1139" i="27"/>
  <c r="A1139" i="27"/>
  <c r="I1138" i="27" a="1"/>
  <c r="I1138" i="27"/>
  <c r="H1138" i="27"/>
  <c r="D1138" i="27"/>
  <c r="A1138" i="27"/>
  <c r="I1137" i="27" a="1"/>
  <c r="I1137" i="27"/>
  <c r="H1137" i="27"/>
  <c r="D1137" i="27"/>
  <c r="A1137" i="27"/>
  <c r="I1136" i="27" a="1"/>
  <c r="I1136" i="27"/>
  <c r="H1136" i="27"/>
  <c r="D1136" i="27"/>
  <c r="A1136" i="27"/>
  <c r="I1135" i="27" a="1"/>
  <c r="I1135" i="27"/>
  <c r="H1135" i="27"/>
  <c r="D1135" i="27"/>
  <c r="A1135" i="27"/>
  <c r="I1134" i="27" a="1"/>
  <c r="I1134" i="27"/>
  <c r="H1134" i="27"/>
  <c r="D1134" i="27"/>
  <c r="A1134" i="27"/>
  <c r="I1133" i="27" a="1"/>
  <c r="I1133" i="27"/>
  <c r="H1133" i="27"/>
  <c r="D1133" i="27"/>
  <c r="A1133" i="27"/>
  <c r="I1132" i="27" a="1"/>
  <c r="I1132" i="27"/>
  <c r="H1132" i="27"/>
  <c r="D1132" i="27"/>
  <c r="A1132" i="27"/>
  <c r="I1131" i="27" a="1"/>
  <c r="I1131" i="27"/>
  <c r="H1131" i="27"/>
  <c r="D1131" i="27"/>
  <c r="A1131" i="27"/>
  <c r="I1130" i="27" a="1"/>
  <c r="I1130" i="27"/>
  <c r="H1130" i="27"/>
  <c r="D1130" i="27"/>
  <c r="A1130" i="27"/>
  <c r="I1129" i="27" a="1"/>
  <c r="I1129" i="27"/>
  <c r="H1129" i="27"/>
  <c r="D1129" i="27"/>
  <c r="A1129" i="27"/>
  <c r="I1128" i="27" a="1"/>
  <c r="I1128" i="27"/>
  <c r="H1128" i="27"/>
  <c r="D1128" i="27"/>
  <c r="A1128" i="27"/>
  <c r="I1127" i="27" a="1"/>
  <c r="I1127" i="27"/>
  <c r="H1127" i="27"/>
  <c r="D1127" i="27"/>
  <c r="A1127" i="27"/>
  <c r="I1126" i="27" a="1"/>
  <c r="I1126" i="27"/>
  <c r="H1126" i="27"/>
  <c r="D1126" i="27"/>
  <c r="A1126" i="27"/>
  <c r="I1125" i="27" a="1"/>
  <c r="I1125" i="27"/>
  <c r="H1125" i="27"/>
  <c r="D1125" i="27"/>
  <c r="A1125" i="27"/>
  <c r="I1124" i="27" a="1"/>
  <c r="I1124" i="27"/>
  <c r="H1124" i="27"/>
  <c r="D1124" i="27"/>
  <c r="A1124" i="27"/>
  <c r="I1123" i="27" a="1"/>
  <c r="I1123" i="27"/>
  <c r="H1123" i="27"/>
  <c r="D1123" i="27"/>
  <c r="A1123" i="27"/>
  <c r="I1122" i="27" a="1"/>
  <c r="I1122" i="27"/>
  <c r="H1122" i="27"/>
  <c r="D1122" i="27"/>
  <c r="A1122" i="27"/>
  <c r="I1121" i="27" a="1"/>
  <c r="I1121" i="27"/>
  <c r="H1121" i="27"/>
  <c r="D1121" i="27"/>
  <c r="A1121" i="27"/>
  <c r="I1120" i="27" a="1"/>
  <c r="I1120" i="27"/>
  <c r="H1120" i="27"/>
  <c r="D1120" i="27"/>
  <c r="A1120" i="27"/>
  <c r="I1119" i="27" a="1"/>
  <c r="I1119" i="27"/>
  <c r="H1119" i="27"/>
  <c r="D1119" i="27"/>
  <c r="A1119" i="27"/>
  <c r="I1118" i="27" a="1"/>
  <c r="I1118" i="27"/>
  <c r="H1118" i="27"/>
  <c r="D1118" i="27"/>
  <c r="A1118" i="27"/>
  <c r="I1117" i="27" a="1"/>
  <c r="I1117" i="27"/>
  <c r="H1117" i="27"/>
  <c r="D1117" i="27"/>
  <c r="A1117" i="27"/>
  <c r="I1116" i="27" a="1"/>
  <c r="I1116" i="27"/>
  <c r="H1116" i="27"/>
  <c r="D1116" i="27"/>
  <c r="A1116" i="27"/>
  <c r="I1115" i="27" a="1"/>
  <c r="I1115" i="27"/>
  <c r="H1115" i="27"/>
  <c r="D1115" i="27"/>
  <c r="A1115" i="27"/>
  <c r="I1114" i="27" a="1"/>
  <c r="I1114" i="27"/>
  <c r="H1114" i="27"/>
  <c r="D1114" i="27"/>
  <c r="A1114" i="27"/>
  <c r="I1113" i="27" a="1"/>
  <c r="I1113" i="27"/>
  <c r="H1113" i="27"/>
  <c r="D1113" i="27"/>
  <c r="A1113" i="27"/>
  <c r="I1112" i="27" a="1"/>
  <c r="I1112" i="27"/>
  <c r="H1112" i="27"/>
  <c r="D1112" i="27"/>
  <c r="A1112" i="27"/>
  <c r="I1111" i="27" a="1"/>
  <c r="I1111" i="27"/>
  <c r="H1111" i="27"/>
  <c r="D1111" i="27"/>
  <c r="A1111" i="27"/>
  <c r="I1110" i="27" a="1"/>
  <c r="I1110" i="27"/>
  <c r="H1110" i="27"/>
  <c r="D1110" i="27"/>
  <c r="A1110" i="27"/>
  <c r="I1109" i="27" a="1"/>
  <c r="I1109" i="27"/>
  <c r="H1109" i="27"/>
  <c r="D1109" i="27"/>
  <c r="A1109" i="27"/>
  <c r="I1108" i="27" a="1"/>
  <c r="I1108" i="27"/>
  <c r="H1108" i="27"/>
  <c r="D1108" i="27"/>
  <c r="A1108" i="27"/>
  <c r="I1107" i="27" a="1"/>
  <c r="I1107" i="27"/>
  <c r="H1107" i="27"/>
  <c r="D1107" i="27"/>
  <c r="A1107" i="27"/>
  <c r="I1106" i="27" a="1"/>
  <c r="I1106" i="27"/>
  <c r="H1106" i="27"/>
  <c r="D1106" i="27"/>
  <c r="A1106" i="27"/>
  <c r="I1105" i="27" a="1"/>
  <c r="I1105" i="27"/>
  <c r="H1105" i="27"/>
  <c r="D1105" i="27"/>
  <c r="A1105" i="27"/>
  <c r="I1104" i="27" a="1"/>
  <c r="I1104" i="27"/>
  <c r="H1104" i="27"/>
  <c r="D1104" i="27"/>
  <c r="A1104" i="27"/>
  <c r="I1103" i="27" a="1"/>
  <c r="I1103" i="27"/>
  <c r="H1103" i="27"/>
  <c r="D1103" i="27"/>
  <c r="A1103" i="27"/>
  <c r="I1102" i="27" a="1"/>
  <c r="I1102" i="27"/>
  <c r="H1102" i="27"/>
  <c r="D1102" i="27"/>
  <c r="A1102" i="27"/>
  <c r="I1101" i="27" a="1"/>
  <c r="I1101" i="27"/>
  <c r="H1101" i="27"/>
  <c r="D1101" i="27"/>
  <c r="A1101" i="27"/>
  <c r="I1100" i="27" a="1"/>
  <c r="I1100" i="27"/>
  <c r="H1100" i="27"/>
  <c r="D1100" i="27"/>
  <c r="A1100" i="27"/>
  <c r="I1099" i="27" a="1"/>
  <c r="I1099" i="27"/>
  <c r="H1099" i="27"/>
  <c r="D1099" i="27"/>
  <c r="A1099" i="27"/>
  <c r="I1098" i="27" a="1"/>
  <c r="I1098" i="27"/>
  <c r="H1098" i="27"/>
  <c r="D1098" i="27"/>
  <c r="A1098" i="27"/>
  <c r="I1097" i="27" a="1"/>
  <c r="I1097" i="27"/>
  <c r="H1097" i="27"/>
  <c r="D1097" i="27"/>
  <c r="A1097" i="27"/>
  <c r="I1096" i="27" a="1"/>
  <c r="I1096" i="27"/>
  <c r="H1096" i="27"/>
  <c r="D1096" i="27"/>
  <c r="A1096" i="27"/>
  <c r="I1095" i="27" a="1"/>
  <c r="I1095" i="27"/>
  <c r="H1095" i="27"/>
  <c r="D1095" i="27"/>
  <c r="A1095" i="27"/>
  <c r="I1094" i="27" a="1"/>
  <c r="I1094" i="27"/>
  <c r="H1094" i="27"/>
  <c r="D1094" i="27"/>
  <c r="A1094" i="27"/>
  <c r="I1093" i="27" a="1"/>
  <c r="I1093" i="27"/>
  <c r="H1093" i="27"/>
  <c r="D1093" i="27"/>
  <c r="A1093" i="27"/>
  <c r="I1092" i="27" a="1"/>
  <c r="I1092" i="27"/>
  <c r="H1092" i="27"/>
  <c r="D1092" i="27"/>
  <c r="A1092" i="27"/>
  <c r="I1091" i="27" a="1"/>
  <c r="I1091" i="27"/>
  <c r="H1091" i="27"/>
  <c r="D1091" i="27"/>
  <c r="A1091" i="27"/>
  <c r="I1090" i="27" a="1"/>
  <c r="I1090" i="27"/>
  <c r="H1090" i="27"/>
  <c r="D1090" i="27"/>
  <c r="A1090" i="27"/>
  <c r="I1089" i="27" a="1"/>
  <c r="I1089" i="27"/>
  <c r="H1089" i="27"/>
  <c r="D1089" i="27"/>
  <c r="A1089" i="27"/>
  <c r="I1088" i="27" a="1"/>
  <c r="I1088" i="27"/>
  <c r="H1088" i="27"/>
  <c r="D1088" i="27"/>
  <c r="A1088" i="27"/>
  <c r="I1087" i="27" a="1"/>
  <c r="I1087" i="27"/>
  <c r="H1087" i="27"/>
  <c r="D1087" i="27"/>
  <c r="A1087" i="27"/>
  <c r="I1086" i="27" a="1"/>
  <c r="I1086" i="27"/>
  <c r="H1086" i="27"/>
  <c r="D1086" i="27"/>
  <c r="A1086" i="27"/>
  <c r="I1085" i="27" a="1"/>
  <c r="I1085" i="27"/>
  <c r="H1085" i="27"/>
  <c r="D1085" i="27"/>
  <c r="A1085" i="27"/>
  <c r="I1084" i="27" a="1"/>
  <c r="I1084" i="27"/>
  <c r="H1084" i="27"/>
  <c r="D1084" i="27"/>
  <c r="A1084" i="27"/>
  <c r="I1083" i="27" a="1"/>
  <c r="I1083" i="27"/>
  <c r="H1083" i="27"/>
  <c r="D1083" i="27"/>
  <c r="A1083" i="27"/>
  <c r="I1082" i="27" a="1"/>
  <c r="I1082" i="27"/>
  <c r="H1082" i="27"/>
  <c r="D1082" i="27"/>
  <c r="A1082" i="27"/>
  <c r="I1081" i="27" a="1"/>
  <c r="I1081" i="27"/>
  <c r="H1081" i="27"/>
  <c r="D1081" i="27"/>
  <c r="A1081" i="27"/>
  <c r="I1080" i="27" a="1"/>
  <c r="I1080" i="27"/>
  <c r="H1080" i="27"/>
  <c r="D1080" i="27"/>
  <c r="A1080" i="27"/>
  <c r="I1079" i="27" a="1"/>
  <c r="I1079" i="27"/>
  <c r="H1079" i="27"/>
  <c r="D1079" i="27"/>
  <c r="A1079" i="27"/>
  <c r="I1078" i="27" a="1"/>
  <c r="I1078" i="27"/>
  <c r="H1078" i="27"/>
  <c r="D1078" i="27"/>
  <c r="A1078" i="27"/>
  <c r="I1077" i="27" a="1"/>
  <c r="I1077" i="27"/>
  <c r="H1077" i="27"/>
  <c r="D1077" i="27"/>
  <c r="A1077" i="27"/>
  <c r="I1076" i="27" a="1"/>
  <c r="I1076" i="27"/>
  <c r="H1076" i="27"/>
  <c r="D1076" i="27"/>
  <c r="A1076" i="27"/>
  <c r="I1075" i="27" a="1"/>
  <c r="I1075" i="27"/>
  <c r="H1075" i="27"/>
  <c r="D1075" i="27"/>
  <c r="A1075" i="27"/>
  <c r="I1074" i="27" a="1"/>
  <c r="I1074" i="27"/>
  <c r="H1074" i="27"/>
  <c r="D1074" i="27"/>
  <c r="A1074" i="27"/>
  <c r="I1073" i="27" a="1"/>
  <c r="I1073" i="27"/>
  <c r="H1073" i="27"/>
  <c r="D1073" i="27"/>
  <c r="A1073" i="27"/>
  <c r="I1072" i="27" a="1"/>
  <c r="I1072" i="27"/>
  <c r="H1072" i="27"/>
  <c r="D1072" i="27"/>
  <c r="A1072" i="27"/>
  <c r="I1071" i="27" a="1"/>
  <c r="I1071" i="27"/>
  <c r="H1071" i="27"/>
  <c r="D1071" i="27"/>
  <c r="A1071" i="27"/>
  <c r="I1070" i="27" a="1"/>
  <c r="I1070" i="27"/>
  <c r="H1070" i="27"/>
  <c r="D1070" i="27"/>
  <c r="A1070" i="27"/>
  <c r="I1069" i="27" a="1"/>
  <c r="I1069" i="27"/>
  <c r="H1069" i="27"/>
  <c r="D1069" i="27"/>
  <c r="A1069" i="27"/>
  <c r="I1068" i="27" a="1"/>
  <c r="I1068" i="27"/>
  <c r="H1068" i="27"/>
  <c r="D1068" i="27"/>
  <c r="A1068" i="27"/>
  <c r="I1067" i="27" a="1"/>
  <c r="I1067" i="27"/>
  <c r="H1067" i="27"/>
  <c r="D1067" i="27"/>
  <c r="A1067" i="27"/>
  <c r="I1066" i="27" a="1"/>
  <c r="I1066" i="27"/>
  <c r="H1066" i="27"/>
  <c r="D1066" i="27"/>
  <c r="A1066" i="27"/>
  <c r="I1065" i="27" a="1"/>
  <c r="I1065" i="27"/>
  <c r="H1065" i="27"/>
  <c r="D1065" i="27"/>
  <c r="A1065" i="27"/>
  <c r="I1064" i="27" a="1"/>
  <c r="I1064" i="27"/>
  <c r="H1064" i="27"/>
  <c r="D1064" i="27"/>
  <c r="A1064" i="27"/>
  <c r="I1063" i="27" a="1"/>
  <c r="I1063" i="27"/>
  <c r="H1063" i="27"/>
  <c r="D1063" i="27"/>
  <c r="A1063" i="27"/>
  <c r="I1062" i="27" a="1"/>
  <c r="I1062" i="27"/>
  <c r="H1062" i="27"/>
  <c r="D1062" i="27"/>
  <c r="A1062" i="27"/>
  <c r="I1061" i="27" a="1"/>
  <c r="I1061" i="27"/>
  <c r="H1061" i="27"/>
  <c r="D1061" i="27"/>
  <c r="A1061" i="27"/>
  <c r="I1060" i="27" a="1"/>
  <c r="I1060" i="27"/>
  <c r="H1060" i="27"/>
  <c r="D1060" i="27"/>
  <c r="A1060" i="27"/>
  <c r="I1059" i="27" a="1"/>
  <c r="I1059" i="27"/>
  <c r="H1059" i="27"/>
  <c r="D1059" i="27"/>
  <c r="A1059" i="27"/>
  <c r="I1058" i="27" a="1"/>
  <c r="I1058" i="27"/>
  <c r="H1058" i="27"/>
  <c r="D1058" i="27"/>
  <c r="A1058" i="27"/>
  <c r="I1057" i="27" a="1"/>
  <c r="I1057" i="27"/>
  <c r="H1057" i="27"/>
  <c r="D1057" i="27"/>
  <c r="A1057" i="27"/>
  <c r="I1056" i="27" a="1"/>
  <c r="I1056" i="27"/>
  <c r="H1056" i="27"/>
  <c r="D1056" i="27"/>
  <c r="A1056" i="27"/>
  <c r="I1055" i="27" a="1"/>
  <c r="I1055" i="27"/>
  <c r="H1055" i="27"/>
  <c r="D1055" i="27"/>
  <c r="A1055" i="27"/>
  <c r="I1054" i="27" a="1"/>
  <c r="I1054" i="27"/>
  <c r="H1054" i="27"/>
  <c r="D1054" i="27"/>
  <c r="A1054" i="27"/>
  <c r="I1053" i="27" a="1"/>
  <c r="I1053" i="27"/>
  <c r="H1053" i="27"/>
  <c r="D1053" i="27"/>
  <c r="A1053" i="27"/>
  <c r="I1052" i="27" a="1"/>
  <c r="I1052" i="27"/>
  <c r="H1052" i="27"/>
  <c r="D1052" i="27"/>
  <c r="A1052" i="27"/>
  <c r="I1051" i="27" a="1"/>
  <c r="I1051" i="27"/>
  <c r="H1051" i="27"/>
  <c r="D1051" i="27"/>
  <c r="A1051" i="27"/>
  <c r="I1050" i="27" a="1"/>
  <c r="I1050" i="27"/>
  <c r="H1050" i="27"/>
  <c r="D1050" i="27"/>
  <c r="A1050" i="27"/>
  <c r="I1049" i="27" a="1"/>
  <c r="I1049" i="27"/>
  <c r="H1049" i="27"/>
  <c r="D1049" i="27"/>
  <c r="A1049" i="27"/>
  <c r="I1048" i="27" a="1"/>
  <c r="I1048" i="27"/>
  <c r="H1048" i="27"/>
  <c r="D1048" i="27"/>
  <c r="A1048" i="27"/>
  <c r="I1047" i="27" a="1"/>
  <c r="I1047" i="27"/>
  <c r="H1047" i="27"/>
  <c r="D1047" i="27"/>
  <c r="A1047" i="27"/>
  <c r="I1046" i="27" a="1"/>
  <c r="I1046" i="27"/>
  <c r="H1046" i="27"/>
  <c r="D1046" i="27"/>
  <c r="A1046" i="27"/>
  <c r="I1045" i="27" a="1"/>
  <c r="I1045" i="27"/>
  <c r="H1045" i="27"/>
  <c r="D1045" i="27"/>
  <c r="A1045" i="27"/>
  <c r="I1044" i="27" a="1"/>
  <c r="I1044" i="27"/>
  <c r="H1044" i="27"/>
  <c r="D1044" i="27"/>
  <c r="A1044" i="27"/>
  <c r="I1043" i="27" a="1"/>
  <c r="I1043" i="27"/>
  <c r="H1043" i="27"/>
  <c r="D1043" i="27"/>
  <c r="A1043" i="27"/>
  <c r="I1042" i="27" a="1"/>
  <c r="I1042" i="27"/>
  <c r="H1042" i="27"/>
  <c r="D1042" i="27"/>
  <c r="A1042" i="27"/>
  <c r="I1041" i="27" a="1"/>
  <c r="I1041" i="27"/>
  <c r="H1041" i="27"/>
  <c r="D1041" i="27"/>
  <c r="A1041" i="27"/>
  <c r="I1040" i="27" a="1"/>
  <c r="I1040" i="27"/>
  <c r="H1040" i="27"/>
  <c r="D1040" i="27"/>
  <c r="A1040" i="27"/>
  <c r="I1039" i="27" a="1"/>
  <c r="I1039" i="27"/>
  <c r="H1039" i="27"/>
  <c r="D1039" i="27"/>
  <c r="A1039" i="27"/>
  <c r="I1038" i="27" a="1"/>
  <c r="I1038" i="27"/>
  <c r="H1038" i="27"/>
  <c r="D1038" i="27"/>
  <c r="A1038" i="27"/>
  <c r="I1037" i="27" a="1"/>
  <c r="I1037" i="27"/>
  <c r="H1037" i="27"/>
  <c r="D1037" i="27"/>
  <c r="A1037" i="27"/>
  <c r="I1036" i="27" a="1"/>
  <c r="I1036" i="27"/>
  <c r="H1036" i="27"/>
  <c r="D1036" i="27"/>
  <c r="A1036" i="27"/>
  <c r="I1035" i="27" a="1"/>
  <c r="I1035" i="27"/>
  <c r="H1035" i="27"/>
  <c r="D1035" i="27"/>
  <c r="A1035" i="27"/>
  <c r="I1034" i="27" a="1"/>
  <c r="I1034" i="27"/>
  <c r="H1034" i="27"/>
  <c r="D1034" i="27"/>
  <c r="A1034" i="27"/>
  <c r="I1033" i="27" a="1"/>
  <c r="I1033" i="27"/>
  <c r="H1033" i="27"/>
  <c r="D1033" i="27"/>
  <c r="A1033" i="27"/>
  <c r="I1032" i="27" a="1"/>
  <c r="I1032" i="27"/>
  <c r="H1032" i="27"/>
  <c r="D1032" i="27"/>
  <c r="A1032" i="27"/>
  <c r="I1031" i="27" a="1"/>
  <c r="I1031" i="27"/>
  <c r="H1031" i="27"/>
  <c r="D1031" i="27"/>
  <c r="A1031" i="27"/>
  <c r="I1030" i="27" a="1"/>
  <c r="I1030" i="27"/>
  <c r="H1030" i="27"/>
  <c r="D1030" i="27"/>
  <c r="A1030" i="27"/>
  <c r="I1029" i="27" a="1"/>
  <c r="I1029" i="27"/>
  <c r="H1029" i="27"/>
  <c r="D1029" i="27"/>
  <c r="A1029" i="27"/>
  <c r="I1028" i="27" a="1"/>
  <c r="I1028" i="27"/>
  <c r="H1028" i="27"/>
  <c r="D1028" i="27"/>
  <c r="A1028" i="27"/>
  <c r="I1027" i="27" a="1"/>
  <c r="I1027" i="27"/>
  <c r="H1027" i="27"/>
  <c r="D1027" i="27"/>
  <c r="A1027" i="27"/>
  <c r="I1026" i="27" a="1"/>
  <c r="I1026" i="27"/>
  <c r="H1026" i="27"/>
  <c r="D1026" i="27"/>
  <c r="A1026" i="27"/>
  <c r="I1025" i="27" a="1"/>
  <c r="I1025" i="27"/>
  <c r="H1025" i="27"/>
  <c r="D1025" i="27"/>
  <c r="A1025" i="27"/>
  <c r="I1024" i="27" a="1"/>
  <c r="I1024" i="27"/>
  <c r="H1024" i="27"/>
  <c r="D1024" i="27"/>
  <c r="A1024" i="27"/>
  <c r="I1023" i="27" a="1"/>
  <c r="I1023" i="27"/>
  <c r="H1023" i="27"/>
  <c r="D1023" i="27"/>
  <c r="A1023" i="27"/>
  <c r="I1022" i="27" a="1"/>
  <c r="I1022" i="27"/>
  <c r="H1022" i="27"/>
  <c r="D1022" i="27"/>
  <c r="A1022" i="27"/>
  <c r="I1021" i="27" a="1"/>
  <c r="I1021" i="27"/>
  <c r="H1021" i="27"/>
  <c r="D1021" i="27"/>
  <c r="A1021" i="27"/>
  <c r="I1020" i="27" a="1"/>
  <c r="I1020" i="27"/>
  <c r="H1020" i="27"/>
  <c r="D1020" i="27"/>
  <c r="A1020" i="27"/>
  <c r="I1019" i="27" a="1"/>
  <c r="I1019" i="27"/>
  <c r="H1019" i="27"/>
  <c r="D1019" i="27"/>
  <c r="A1019" i="27"/>
  <c r="I1018" i="27" a="1"/>
  <c r="I1018" i="27"/>
  <c r="H1018" i="27"/>
  <c r="D1018" i="27"/>
  <c r="A1018" i="27"/>
  <c r="I1017" i="27" a="1"/>
  <c r="I1017" i="27"/>
  <c r="H1017" i="27"/>
  <c r="D1017" i="27"/>
  <c r="A1017" i="27"/>
  <c r="I1016" i="27" a="1"/>
  <c r="I1016" i="27"/>
  <c r="H1016" i="27"/>
  <c r="D1016" i="27"/>
  <c r="A1016" i="27"/>
  <c r="I1015" i="27" a="1"/>
  <c r="I1015" i="27"/>
  <c r="H1015" i="27"/>
  <c r="D1015" i="27"/>
  <c r="A1015" i="27"/>
  <c r="I1014" i="27" a="1"/>
  <c r="I1014" i="27"/>
  <c r="H1014" i="27"/>
  <c r="D1014" i="27"/>
  <c r="A1014" i="27"/>
  <c r="I1013" i="27" a="1"/>
  <c r="I1013" i="27"/>
  <c r="H1013" i="27"/>
  <c r="D1013" i="27"/>
  <c r="A1013" i="27"/>
  <c r="I1012" i="27" a="1"/>
  <c r="I1012" i="27"/>
  <c r="H1012" i="27"/>
  <c r="D1012" i="27"/>
  <c r="A1012" i="27"/>
  <c r="I1011" i="27" a="1"/>
  <c r="I1011" i="27"/>
  <c r="H1011" i="27"/>
  <c r="D1011" i="27"/>
  <c r="A1011" i="27"/>
  <c r="I1010" i="27" a="1"/>
  <c r="I1010" i="27"/>
  <c r="H1010" i="27"/>
  <c r="D1010" i="27"/>
  <c r="A1010" i="27"/>
  <c r="I1009" i="27" a="1"/>
  <c r="I1009" i="27"/>
  <c r="H1009" i="27"/>
  <c r="D1009" i="27"/>
  <c r="A1009" i="27"/>
  <c r="I1008" i="27" a="1"/>
  <c r="I1008" i="27"/>
  <c r="H1008" i="27"/>
  <c r="D1008" i="27"/>
  <c r="A1008" i="27"/>
  <c r="I1007" i="27" a="1"/>
  <c r="I1007" i="27"/>
  <c r="H1007" i="27"/>
  <c r="D1007" i="27"/>
  <c r="A1007" i="27"/>
  <c r="I1006" i="27" a="1"/>
  <c r="I1006" i="27"/>
  <c r="H1006" i="27"/>
  <c r="D1006" i="27"/>
  <c r="A1006" i="27"/>
  <c r="I1005" i="27" a="1"/>
  <c r="I1005" i="27"/>
  <c r="H1005" i="27"/>
  <c r="D1005" i="27"/>
  <c r="A1005" i="27"/>
  <c r="I1004" i="27" a="1"/>
  <c r="I1004" i="27"/>
  <c r="H1004" i="27"/>
  <c r="D1004" i="27"/>
  <c r="A1004" i="27"/>
  <c r="I1003" i="27" a="1"/>
  <c r="I1003" i="27"/>
  <c r="H1003" i="27"/>
  <c r="D1003" i="27"/>
  <c r="A1003" i="27"/>
  <c r="I1002" i="27" a="1"/>
  <c r="I1002" i="27"/>
  <c r="H1002" i="27"/>
  <c r="D1002" i="27"/>
  <c r="A1002" i="27"/>
  <c r="I1001" i="27" a="1"/>
  <c r="I1001" i="27"/>
  <c r="H1001" i="27"/>
  <c r="D1001" i="27"/>
  <c r="A1001" i="27"/>
  <c r="I1000" i="27" a="1"/>
  <c r="I1000" i="27"/>
  <c r="H1000" i="27"/>
  <c r="D1000" i="27"/>
  <c r="A1000" i="27"/>
  <c r="I999" i="27" a="1"/>
  <c r="I999" i="27"/>
  <c r="H999" i="27"/>
  <c r="D999" i="27"/>
  <c r="A999" i="27"/>
  <c r="I998" i="27" a="1"/>
  <c r="I998" i="27"/>
  <c r="H998" i="27"/>
  <c r="D998" i="27"/>
  <c r="A998" i="27"/>
  <c r="I997" i="27" a="1"/>
  <c r="I997" i="27"/>
  <c r="H997" i="27"/>
  <c r="D997" i="27"/>
  <c r="A997" i="27"/>
  <c r="I996" i="27" a="1"/>
  <c r="I996" i="27"/>
  <c r="H996" i="27"/>
  <c r="D996" i="27"/>
  <c r="A996" i="27"/>
  <c r="I995" i="27" a="1"/>
  <c r="I995" i="27"/>
  <c r="H995" i="27"/>
  <c r="D995" i="27"/>
  <c r="A995" i="27"/>
  <c r="I994" i="27" a="1"/>
  <c r="I994" i="27"/>
  <c r="H994" i="27"/>
  <c r="D994" i="27"/>
  <c r="A994" i="27"/>
  <c r="I993" i="27" a="1"/>
  <c r="I993" i="27"/>
  <c r="H993" i="27"/>
  <c r="D993" i="27"/>
  <c r="A993" i="27"/>
  <c r="I992" i="27" a="1"/>
  <c r="I992" i="27"/>
  <c r="H992" i="27"/>
  <c r="D992" i="27"/>
  <c r="A992" i="27"/>
  <c r="I991" i="27" a="1"/>
  <c r="I991" i="27"/>
  <c r="H991" i="27"/>
  <c r="D991" i="27"/>
  <c r="A991" i="27"/>
  <c r="I990" i="27" a="1"/>
  <c r="I990" i="27"/>
  <c r="H990" i="27"/>
  <c r="D990" i="27"/>
  <c r="A990" i="27"/>
  <c r="I989" i="27" a="1"/>
  <c r="I989" i="27"/>
  <c r="H989" i="27"/>
  <c r="D989" i="27"/>
  <c r="A989" i="27"/>
  <c r="I988" i="27" a="1"/>
  <c r="I988" i="27"/>
  <c r="H988" i="27"/>
  <c r="D988" i="27"/>
  <c r="A988" i="27"/>
  <c r="I987" i="27" a="1"/>
  <c r="I987" i="27"/>
  <c r="H987" i="27"/>
  <c r="D987" i="27"/>
  <c r="A987" i="27"/>
  <c r="I986" i="27" a="1"/>
  <c r="I986" i="27"/>
  <c r="H986" i="27"/>
  <c r="D986" i="27"/>
  <c r="A986" i="27"/>
  <c r="I985" i="27" a="1"/>
  <c r="I985" i="27"/>
  <c r="H985" i="27"/>
  <c r="D985" i="27"/>
  <c r="A985" i="27"/>
  <c r="I984" i="27" a="1"/>
  <c r="I984" i="27"/>
  <c r="H984" i="27"/>
  <c r="D984" i="27"/>
  <c r="A984" i="27"/>
  <c r="I983" i="27" a="1"/>
  <c r="I983" i="27"/>
  <c r="H983" i="27"/>
  <c r="D983" i="27"/>
  <c r="A983" i="27"/>
  <c r="I982" i="27" a="1"/>
  <c r="I982" i="27"/>
  <c r="H982" i="27"/>
  <c r="D982" i="27"/>
  <c r="A982" i="27"/>
  <c r="I981" i="27" a="1"/>
  <c r="I981" i="27"/>
  <c r="H981" i="27"/>
  <c r="D981" i="27"/>
  <c r="A981" i="27"/>
  <c r="I980" i="27" a="1"/>
  <c r="I980" i="27"/>
  <c r="H980" i="27"/>
  <c r="D980" i="27"/>
  <c r="A980" i="27"/>
  <c r="I979" i="27" a="1"/>
  <c r="I979" i="27"/>
  <c r="H979" i="27"/>
  <c r="D979" i="27"/>
  <c r="A979" i="27"/>
  <c r="I978" i="27" a="1"/>
  <c r="I978" i="27"/>
  <c r="H978" i="27"/>
  <c r="D978" i="27"/>
  <c r="A978" i="27"/>
  <c r="I977" i="27" a="1"/>
  <c r="I977" i="27"/>
  <c r="H977" i="27"/>
  <c r="D977" i="27"/>
  <c r="A977" i="27"/>
  <c r="I976" i="27" a="1"/>
  <c r="I976" i="27"/>
  <c r="H976" i="27"/>
  <c r="D976" i="27"/>
  <c r="A976" i="27"/>
  <c r="I975" i="27" a="1"/>
  <c r="I975" i="27"/>
  <c r="H975" i="27"/>
  <c r="D975" i="27"/>
  <c r="A975" i="27"/>
  <c r="I974" i="27" a="1"/>
  <c r="I974" i="27"/>
  <c r="H974" i="27"/>
  <c r="D974" i="27"/>
  <c r="A974" i="27"/>
  <c r="I973" i="27" a="1"/>
  <c r="I973" i="27"/>
  <c r="H973" i="27"/>
  <c r="D973" i="27"/>
  <c r="A973" i="27"/>
  <c r="I972" i="27" a="1"/>
  <c r="I972" i="27"/>
  <c r="H972" i="27"/>
  <c r="D972" i="27"/>
  <c r="A972" i="27"/>
  <c r="I971" i="27" a="1"/>
  <c r="I971" i="27"/>
  <c r="H971" i="27"/>
  <c r="D971" i="27"/>
  <c r="A971" i="27"/>
  <c r="I970" i="27" a="1"/>
  <c r="I970" i="27"/>
  <c r="H970" i="27"/>
  <c r="D970" i="27"/>
  <c r="A970" i="27"/>
  <c r="I969" i="27" a="1"/>
  <c r="I969" i="27"/>
  <c r="H969" i="27"/>
  <c r="D969" i="27"/>
  <c r="A969" i="27"/>
  <c r="I968" i="27" a="1"/>
  <c r="I968" i="27"/>
  <c r="H968" i="27"/>
  <c r="D968" i="27"/>
  <c r="A968" i="27"/>
  <c r="I967" i="27" a="1"/>
  <c r="I967" i="27"/>
  <c r="H967" i="27"/>
  <c r="D967" i="27"/>
  <c r="A967" i="27"/>
  <c r="I966" i="27" a="1"/>
  <c r="I966" i="27"/>
  <c r="H966" i="27"/>
  <c r="D966" i="27"/>
  <c r="A966" i="27"/>
  <c r="I965" i="27" a="1"/>
  <c r="I965" i="27"/>
  <c r="H965" i="27"/>
  <c r="D965" i="27"/>
  <c r="A965" i="27"/>
  <c r="I964" i="27" a="1"/>
  <c r="I964" i="27"/>
  <c r="H964" i="27"/>
  <c r="D964" i="27"/>
  <c r="A964" i="27"/>
  <c r="I963" i="27" a="1"/>
  <c r="I963" i="27"/>
  <c r="H963" i="27"/>
  <c r="D963" i="27"/>
  <c r="A963" i="27"/>
  <c r="I962" i="27" a="1"/>
  <c r="I962" i="27"/>
  <c r="H962" i="27"/>
  <c r="D962" i="27"/>
  <c r="A962" i="27"/>
  <c r="I961" i="27" a="1"/>
  <c r="I961" i="27"/>
  <c r="H961" i="27"/>
  <c r="D961" i="27"/>
  <c r="A961" i="27"/>
  <c r="I960" i="27" a="1"/>
  <c r="I960" i="27"/>
  <c r="H960" i="27"/>
  <c r="D960" i="27"/>
  <c r="A960" i="27"/>
  <c r="I959" i="27" a="1"/>
  <c r="I959" i="27"/>
  <c r="H959" i="27"/>
  <c r="D959" i="27"/>
  <c r="A959" i="27"/>
  <c r="I958" i="27" a="1"/>
  <c r="I958" i="27"/>
  <c r="H958" i="27"/>
  <c r="D958" i="27"/>
  <c r="A958" i="27"/>
  <c r="I957" i="27" a="1"/>
  <c r="I957" i="27"/>
  <c r="H957" i="27"/>
  <c r="D957" i="27"/>
  <c r="A957" i="27"/>
  <c r="I956" i="27" a="1"/>
  <c r="I956" i="27"/>
  <c r="H956" i="27"/>
  <c r="D956" i="27"/>
  <c r="A956" i="27"/>
  <c r="I955" i="27" a="1"/>
  <c r="I955" i="27"/>
  <c r="H955" i="27"/>
  <c r="D955" i="27"/>
  <c r="A955" i="27"/>
  <c r="I954" i="27" a="1"/>
  <c r="I954" i="27"/>
  <c r="H954" i="27"/>
  <c r="D954" i="27"/>
  <c r="A954" i="27"/>
  <c r="I953" i="27" a="1"/>
  <c r="I953" i="27"/>
  <c r="H953" i="27"/>
  <c r="D953" i="27"/>
  <c r="A953" i="27"/>
  <c r="I952" i="27" a="1"/>
  <c r="I952" i="27"/>
  <c r="H952" i="27"/>
  <c r="D952" i="27"/>
  <c r="A952" i="27"/>
  <c r="I951" i="27" a="1"/>
  <c r="I951" i="27"/>
  <c r="H951" i="27"/>
  <c r="D951" i="27"/>
  <c r="A951" i="27"/>
  <c r="I950" i="27" a="1"/>
  <c r="I950" i="27"/>
  <c r="H950" i="27"/>
  <c r="D950" i="27"/>
  <c r="A950" i="27"/>
  <c r="I949" i="27" a="1"/>
  <c r="I949" i="27"/>
  <c r="H949" i="27"/>
  <c r="D949" i="27"/>
  <c r="A949" i="27"/>
  <c r="I948" i="27" a="1"/>
  <c r="I948" i="27"/>
  <c r="H948" i="27"/>
  <c r="D948" i="27"/>
  <c r="A948" i="27"/>
  <c r="I947" i="27" a="1"/>
  <c r="I947" i="27"/>
  <c r="H947" i="27"/>
  <c r="D947" i="27"/>
  <c r="A947" i="27"/>
  <c r="I946" i="27" a="1"/>
  <c r="I946" i="27"/>
  <c r="H946" i="27"/>
  <c r="D946" i="27"/>
  <c r="A946" i="27"/>
  <c r="I945" i="27" a="1"/>
  <c r="I945" i="27"/>
  <c r="H945" i="27"/>
  <c r="D945" i="27"/>
  <c r="A945" i="27"/>
  <c r="I944" i="27" a="1"/>
  <c r="I944" i="27"/>
  <c r="H944" i="27"/>
  <c r="D944" i="27"/>
  <c r="A944" i="27"/>
  <c r="I943" i="27" a="1"/>
  <c r="I943" i="27"/>
  <c r="H943" i="27"/>
  <c r="D943" i="27"/>
  <c r="A943" i="27"/>
  <c r="I942" i="27" a="1"/>
  <c r="I942" i="27"/>
  <c r="H942" i="27"/>
  <c r="D942" i="27"/>
  <c r="A942" i="27"/>
  <c r="I941" i="27" a="1"/>
  <c r="I941" i="27"/>
  <c r="H941" i="27"/>
  <c r="D941" i="27"/>
  <c r="A941" i="27"/>
  <c r="I940" i="27" a="1"/>
  <c r="I940" i="27"/>
  <c r="H940" i="27"/>
  <c r="D940" i="27"/>
  <c r="A940" i="27"/>
  <c r="I939" i="27" a="1"/>
  <c r="I939" i="27"/>
  <c r="H939" i="27"/>
  <c r="D939" i="27"/>
  <c r="A939" i="27"/>
  <c r="I938" i="27" a="1"/>
  <c r="I938" i="27"/>
  <c r="H938" i="27"/>
  <c r="D938" i="27"/>
  <c r="A938" i="27"/>
  <c r="I937" i="27" a="1"/>
  <c r="I937" i="27"/>
  <c r="H937" i="27"/>
  <c r="D937" i="27"/>
  <c r="A937" i="27"/>
  <c r="I936" i="27" a="1"/>
  <c r="I936" i="27"/>
  <c r="H936" i="27"/>
  <c r="D936" i="27"/>
  <c r="A936" i="27"/>
  <c r="I935" i="27" a="1"/>
  <c r="I935" i="27"/>
  <c r="H935" i="27"/>
  <c r="D935" i="27"/>
  <c r="A935" i="27"/>
  <c r="I934" i="27" a="1"/>
  <c r="I934" i="27"/>
  <c r="H934" i="27"/>
  <c r="D934" i="27"/>
  <c r="A934" i="27"/>
  <c r="I933" i="27" a="1"/>
  <c r="I933" i="27"/>
  <c r="H933" i="27"/>
  <c r="D933" i="27"/>
  <c r="A933" i="27"/>
  <c r="I932" i="27" a="1"/>
  <c r="I932" i="27"/>
  <c r="H932" i="27"/>
  <c r="D932" i="27"/>
  <c r="A932" i="27"/>
  <c r="I931" i="27" a="1"/>
  <c r="I931" i="27"/>
  <c r="H931" i="27"/>
  <c r="D931" i="27"/>
  <c r="A931" i="27"/>
  <c r="I930" i="27" a="1"/>
  <c r="I930" i="27"/>
  <c r="H930" i="27"/>
  <c r="D930" i="27"/>
  <c r="A930" i="27"/>
  <c r="I929" i="27" a="1"/>
  <c r="I929" i="27"/>
  <c r="H929" i="27"/>
  <c r="D929" i="27"/>
  <c r="A929" i="27"/>
  <c r="I928" i="27" a="1"/>
  <c r="I928" i="27"/>
  <c r="H928" i="27"/>
  <c r="D928" i="27"/>
  <c r="A928" i="27"/>
  <c r="I927" i="27" a="1"/>
  <c r="I927" i="27"/>
  <c r="H927" i="27"/>
  <c r="D927" i="27"/>
  <c r="A927" i="27"/>
  <c r="I926" i="27" a="1"/>
  <c r="I926" i="27"/>
  <c r="H926" i="27"/>
  <c r="D926" i="27"/>
  <c r="A926" i="27"/>
  <c r="I925" i="27" a="1"/>
  <c r="I925" i="27"/>
  <c r="H925" i="27"/>
  <c r="D925" i="27"/>
  <c r="A925" i="27"/>
  <c r="I924" i="27" a="1"/>
  <c r="I924" i="27"/>
  <c r="H924" i="27"/>
  <c r="D924" i="27"/>
  <c r="A924" i="27"/>
  <c r="I923" i="27" a="1"/>
  <c r="I923" i="27"/>
  <c r="H923" i="27"/>
  <c r="D923" i="27"/>
  <c r="A923" i="27"/>
  <c r="I922" i="27" a="1"/>
  <c r="I922" i="27"/>
  <c r="H922" i="27"/>
  <c r="D922" i="27"/>
  <c r="A922" i="27"/>
  <c r="I921" i="27" a="1"/>
  <c r="I921" i="27"/>
  <c r="H921" i="27"/>
  <c r="D921" i="27"/>
  <c r="A921" i="27"/>
  <c r="I920" i="27" a="1"/>
  <c r="I920" i="27"/>
  <c r="H920" i="27"/>
  <c r="D920" i="27"/>
  <c r="A920" i="27"/>
  <c r="I919" i="27" a="1"/>
  <c r="I919" i="27"/>
  <c r="H919" i="27"/>
  <c r="D919" i="27"/>
  <c r="A919" i="27"/>
  <c r="I918" i="27" a="1"/>
  <c r="I918" i="27"/>
  <c r="H918" i="27"/>
  <c r="D918" i="27"/>
  <c r="A918" i="27"/>
  <c r="I917" i="27" a="1"/>
  <c r="I917" i="27"/>
  <c r="H917" i="27"/>
  <c r="D917" i="27"/>
  <c r="A917" i="27"/>
  <c r="I916" i="27" a="1"/>
  <c r="I916" i="27"/>
  <c r="H916" i="27"/>
  <c r="D916" i="27"/>
  <c r="A916" i="27"/>
  <c r="I915" i="27" a="1"/>
  <c r="I915" i="27"/>
  <c r="H915" i="27"/>
  <c r="D915" i="27"/>
  <c r="A915" i="27"/>
  <c r="I914" i="27" a="1"/>
  <c r="I914" i="27"/>
  <c r="H914" i="27"/>
  <c r="D914" i="27"/>
  <c r="A914" i="27"/>
  <c r="I913" i="27" a="1"/>
  <c r="I913" i="27"/>
  <c r="H913" i="27"/>
  <c r="D913" i="27"/>
  <c r="A913" i="27"/>
  <c r="I912" i="27" a="1"/>
  <c r="I912" i="27"/>
  <c r="H912" i="27"/>
  <c r="D912" i="27"/>
  <c r="A912" i="27"/>
  <c r="I911" i="27" a="1"/>
  <c r="I911" i="27"/>
  <c r="H911" i="27"/>
  <c r="D911" i="27"/>
  <c r="A911" i="27"/>
  <c r="I910" i="27" a="1"/>
  <c r="I910" i="27"/>
  <c r="H910" i="27"/>
  <c r="D910" i="27"/>
  <c r="A910" i="27"/>
  <c r="I909" i="27" a="1"/>
  <c r="I909" i="27"/>
  <c r="H909" i="27"/>
  <c r="D909" i="27"/>
  <c r="A909" i="27"/>
  <c r="I908" i="27" a="1"/>
  <c r="I908" i="27"/>
  <c r="H908" i="27"/>
  <c r="D908" i="27"/>
  <c r="A908" i="27"/>
  <c r="I907" i="27" a="1"/>
  <c r="I907" i="27"/>
  <c r="H907" i="27"/>
  <c r="D907" i="27"/>
  <c r="A907" i="27"/>
  <c r="I906" i="27" a="1"/>
  <c r="I906" i="27"/>
  <c r="H906" i="27"/>
  <c r="D906" i="27"/>
  <c r="A906" i="27"/>
  <c r="I905" i="27" a="1"/>
  <c r="I905" i="27"/>
  <c r="H905" i="27"/>
  <c r="D905" i="27"/>
  <c r="A905" i="27"/>
  <c r="I904" i="27" a="1"/>
  <c r="I904" i="27"/>
  <c r="H904" i="27"/>
  <c r="D904" i="27"/>
  <c r="A904" i="27"/>
  <c r="I903" i="27" a="1"/>
  <c r="I903" i="27"/>
  <c r="H903" i="27"/>
  <c r="D903" i="27"/>
  <c r="A903" i="27"/>
  <c r="I902" i="27" a="1"/>
  <c r="I902" i="27"/>
  <c r="H902" i="27"/>
  <c r="D902" i="27"/>
  <c r="A902" i="27"/>
  <c r="I901" i="27" a="1"/>
  <c r="I901" i="27"/>
  <c r="H901" i="27"/>
  <c r="D901" i="27"/>
  <c r="A901" i="27"/>
  <c r="I900" i="27" a="1"/>
  <c r="I900" i="27"/>
  <c r="H900" i="27"/>
  <c r="D900" i="27"/>
  <c r="A900" i="27"/>
  <c r="I899" i="27" a="1"/>
  <c r="I899" i="27"/>
  <c r="H899" i="27"/>
  <c r="D899" i="27"/>
  <c r="A899" i="27"/>
  <c r="I898" i="27" a="1"/>
  <c r="I898" i="27"/>
  <c r="H898" i="27"/>
  <c r="D898" i="27"/>
  <c r="A898" i="27"/>
  <c r="I897" i="27" a="1"/>
  <c r="I897" i="27"/>
  <c r="H897" i="27"/>
  <c r="D897" i="27"/>
  <c r="A897" i="27"/>
  <c r="I896" i="27" a="1"/>
  <c r="I896" i="27"/>
  <c r="H896" i="27"/>
  <c r="D896" i="27"/>
  <c r="A896" i="27"/>
  <c r="I895" i="27" a="1"/>
  <c r="I895" i="27"/>
  <c r="H895" i="27"/>
  <c r="D895" i="27"/>
  <c r="A895" i="27"/>
  <c r="I894" i="27" a="1"/>
  <c r="I894" i="27"/>
  <c r="H894" i="27"/>
  <c r="D894" i="27"/>
  <c r="A894" i="27"/>
  <c r="I893" i="27" a="1"/>
  <c r="I893" i="27"/>
  <c r="H893" i="27"/>
  <c r="D893" i="27"/>
  <c r="A893" i="27"/>
  <c r="I892" i="27" a="1"/>
  <c r="I892" i="27"/>
  <c r="H892" i="27"/>
  <c r="D892" i="27"/>
  <c r="A892" i="27"/>
  <c r="I891" i="27" a="1"/>
  <c r="I891" i="27"/>
  <c r="H891" i="27"/>
  <c r="D891" i="27"/>
  <c r="A891" i="27"/>
  <c r="I890" i="27" a="1"/>
  <c r="I890" i="27"/>
  <c r="H890" i="27"/>
  <c r="D890" i="27"/>
  <c r="A890" i="27"/>
  <c r="I889" i="27" a="1"/>
  <c r="I889" i="27"/>
  <c r="H889" i="27"/>
  <c r="D889" i="27"/>
  <c r="A889" i="27"/>
  <c r="I888" i="27" a="1"/>
  <c r="I888" i="27"/>
  <c r="H888" i="27"/>
  <c r="D888" i="27"/>
  <c r="A888" i="27"/>
  <c r="I887" i="27" a="1"/>
  <c r="I887" i="27"/>
  <c r="H887" i="27"/>
  <c r="D887" i="27"/>
  <c r="A887" i="27"/>
  <c r="I886" i="27" a="1"/>
  <c r="I886" i="27"/>
  <c r="H886" i="27"/>
  <c r="D886" i="27"/>
  <c r="A886" i="27"/>
  <c r="I885" i="27" a="1"/>
  <c r="I885" i="27"/>
  <c r="H885" i="27"/>
  <c r="D885" i="27"/>
  <c r="A885" i="27"/>
  <c r="I884" i="27" a="1"/>
  <c r="I884" i="27"/>
  <c r="H884" i="27"/>
  <c r="D884" i="27"/>
  <c r="A884" i="27"/>
  <c r="I883" i="27" a="1"/>
  <c r="I883" i="27"/>
  <c r="H883" i="27"/>
  <c r="D883" i="27"/>
  <c r="A883" i="27"/>
  <c r="I882" i="27" a="1"/>
  <c r="I882" i="27"/>
  <c r="H882" i="27"/>
  <c r="D882" i="27"/>
  <c r="A882" i="27"/>
  <c r="I881" i="27" a="1"/>
  <c r="I881" i="27"/>
  <c r="H881" i="27"/>
  <c r="D881" i="27"/>
  <c r="A881" i="27"/>
  <c r="I880" i="27" a="1"/>
  <c r="I880" i="27"/>
  <c r="H880" i="27"/>
  <c r="D880" i="27"/>
  <c r="A880" i="27"/>
  <c r="I879" i="27" a="1"/>
  <c r="I879" i="27"/>
  <c r="H879" i="27"/>
  <c r="D879" i="27"/>
  <c r="A879" i="27"/>
  <c r="I878" i="27" a="1"/>
  <c r="I878" i="27"/>
  <c r="H878" i="27"/>
  <c r="D878" i="27"/>
  <c r="A878" i="27"/>
  <c r="I877" i="27" a="1"/>
  <c r="I877" i="27"/>
  <c r="H877" i="27"/>
  <c r="D877" i="27"/>
  <c r="A877" i="27"/>
  <c r="I876" i="27" a="1"/>
  <c r="I876" i="27"/>
  <c r="H876" i="27"/>
  <c r="D876" i="27"/>
  <c r="A876" i="27"/>
  <c r="I875" i="27" a="1"/>
  <c r="I875" i="27"/>
  <c r="H875" i="27"/>
  <c r="D875" i="27"/>
  <c r="A875" i="27"/>
  <c r="I874" i="27" a="1"/>
  <c r="I874" i="27"/>
  <c r="H874" i="27"/>
  <c r="D874" i="27"/>
  <c r="A874" i="27"/>
  <c r="I873" i="27" a="1"/>
  <c r="I873" i="27"/>
  <c r="H873" i="27"/>
  <c r="D873" i="27"/>
  <c r="A873" i="27"/>
  <c r="I872" i="27" a="1"/>
  <c r="I872" i="27"/>
  <c r="H872" i="27"/>
  <c r="D872" i="27"/>
  <c r="A872" i="27"/>
  <c r="I871" i="27" a="1"/>
  <c r="I871" i="27"/>
  <c r="H871" i="27"/>
  <c r="D871" i="27"/>
  <c r="A871" i="27"/>
  <c r="I870" i="27" a="1"/>
  <c r="I870" i="27"/>
  <c r="H870" i="27"/>
  <c r="D870" i="27"/>
  <c r="A870" i="27"/>
  <c r="I869" i="27" a="1"/>
  <c r="I869" i="27"/>
  <c r="H869" i="27"/>
  <c r="D869" i="27"/>
  <c r="A869" i="27"/>
  <c r="I868" i="27" a="1"/>
  <c r="I868" i="27"/>
  <c r="H868" i="27"/>
  <c r="D868" i="27"/>
  <c r="A868" i="27"/>
  <c r="I867" i="27" a="1"/>
  <c r="I867" i="27"/>
  <c r="H867" i="27"/>
  <c r="D867" i="27"/>
  <c r="A867" i="27"/>
  <c r="I866" i="27" a="1"/>
  <c r="I866" i="27"/>
  <c r="H866" i="27"/>
  <c r="D866" i="27"/>
  <c r="A866" i="27"/>
  <c r="I865" i="27" a="1"/>
  <c r="I865" i="27"/>
  <c r="H865" i="27"/>
  <c r="D865" i="27"/>
  <c r="A865" i="27"/>
  <c r="I864" i="27" a="1"/>
  <c r="I864" i="27"/>
  <c r="H864" i="27"/>
  <c r="D864" i="27"/>
  <c r="A864" i="27"/>
  <c r="I863" i="27" a="1"/>
  <c r="I863" i="27"/>
  <c r="H863" i="27"/>
  <c r="D863" i="27"/>
  <c r="A863" i="27"/>
  <c r="I862" i="27" a="1"/>
  <c r="I862" i="27"/>
  <c r="H862" i="27"/>
  <c r="D862" i="27"/>
  <c r="A862" i="27"/>
  <c r="I861" i="27" a="1"/>
  <c r="I861" i="27"/>
  <c r="H861" i="27"/>
  <c r="D861" i="27"/>
  <c r="A861" i="27"/>
  <c r="I860" i="27" a="1"/>
  <c r="I860" i="27"/>
  <c r="H860" i="27"/>
  <c r="D860" i="27"/>
  <c r="A860" i="27"/>
  <c r="I859" i="27" a="1"/>
  <c r="I859" i="27"/>
  <c r="H859" i="27"/>
  <c r="D859" i="27"/>
  <c r="A859" i="27"/>
  <c r="I858" i="27" a="1"/>
  <c r="I858" i="27"/>
  <c r="H858" i="27"/>
  <c r="D858" i="27"/>
  <c r="A858" i="27"/>
  <c r="I857" i="27" a="1"/>
  <c r="I857" i="27"/>
  <c r="H857" i="27"/>
  <c r="D857" i="27"/>
  <c r="A857" i="27"/>
  <c r="I856" i="27" a="1"/>
  <c r="I856" i="27"/>
  <c r="H856" i="27"/>
  <c r="D856" i="27"/>
  <c r="A856" i="27"/>
  <c r="I855" i="27" a="1"/>
  <c r="I855" i="27"/>
  <c r="H855" i="27"/>
  <c r="D855" i="27"/>
  <c r="A855" i="27"/>
  <c r="I854" i="27" a="1"/>
  <c r="I854" i="27"/>
  <c r="H854" i="27"/>
  <c r="D854" i="27"/>
  <c r="A854" i="27"/>
  <c r="I853" i="27" a="1"/>
  <c r="I853" i="27"/>
  <c r="H853" i="27"/>
  <c r="D853" i="27"/>
  <c r="A853" i="27"/>
  <c r="I852" i="27" a="1"/>
  <c r="I852" i="27"/>
  <c r="H852" i="27"/>
  <c r="D852" i="27"/>
  <c r="A852" i="27"/>
  <c r="I851" i="27" a="1"/>
  <c r="I851" i="27"/>
  <c r="H851" i="27"/>
  <c r="D851" i="27"/>
  <c r="A851" i="27"/>
  <c r="I850" i="27" a="1"/>
  <c r="I850" i="27"/>
  <c r="H850" i="27"/>
  <c r="D850" i="27"/>
  <c r="A850" i="27"/>
  <c r="I849" i="27" a="1"/>
  <c r="I849" i="27"/>
  <c r="H849" i="27"/>
  <c r="D849" i="27"/>
  <c r="A849" i="27"/>
  <c r="I848" i="27" a="1"/>
  <c r="I848" i="27"/>
  <c r="H848" i="27"/>
  <c r="D848" i="27"/>
  <c r="A848" i="27"/>
  <c r="I847" i="27" a="1"/>
  <c r="I847" i="27"/>
  <c r="H847" i="27"/>
  <c r="D847" i="27"/>
  <c r="A847" i="27"/>
  <c r="I846" i="27" a="1"/>
  <c r="I846" i="27"/>
  <c r="H846" i="27"/>
  <c r="D846" i="27"/>
  <c r="A846" i="27"/>
  <c r="I845" i="27" a="1"/>
  <c r="I845" i="27"/>
  <c r="H845" i="27"/>
  <c r="D845" i="27"/>
  <c r="A845" i="27"/>
  <c r="I844" i="27" a="1"/>
  <c r="I844" i="27"/>
  <c r="H844" i="27"/>
  <c r="D844" i="27"/>
  <c r="A844" i="27"/>
  <c r="I843" i="27" a="1"/>
  <c r="I843" i="27"/>
  <c r="H843" i="27"/>
  <c r="D843" i="27"/>
  <c r="A843" i="27"/>
  <c r="I842" i="27" a="1"/>
  <c r="I842" i="27"/>
  <c r="H842" i="27"/>
  <c r="D842" i="27"/>
  <c r="A842" i="27"/>
  <c r="I841" i="27" a="1"/>
  <c r="I841" i="27"/>
  <c r="H841" i="27"/>
  <c r="D841" i="27"/>
  <c r="A841" i="27"/>
  <c r="I840" i="27" a="1"/>
  <c r="I840" i="27"/>
  <c r="H840" i="27"/>
  <c r="D840" i="27"/>
  <c r="A840" i="27"/>
  <c r="I839" i="27" a="1"/>
  <c r="I839" i="27"/>
  <c r="H839" i="27"/>
  <c r="D839" i="27"/>
  <c r="A839" i="27"/>
  <c r="I838" i="27" a="1"/>
  <c r="I838" i="27"/>
  <c r="H838" i="27"/>
  <c r="D838" i="27"/>
  <c r="A838" i="27"/>
  <c r="I837" i="27" a="1"/>
  <c r="I837" i="27"/>
  <c r="H837" i="27"/>
  <c r="D837" i="27"/>
  <c r="A837" i="27"/>
  <c r="I836" i="27" a="1"/>
  <c r="I836" i="27"/>
  <c r="H836" i="27"/>
  <c r="D836" i="27"/>
  <c r="A836" i="27"/>
  <c r="I835" i="27" a="1"/>
  <c r="I835" i="27"/>
  <c r="H835" i="27"/>
  <c r="D835" i="27"/>
  <c r="A835" i="27"/>
  <c r="I834" i="27" a="1"/>
  <c r="I834" i="27"/>
  <c r="H834" i="27"/>
  <c r="D834" i="27"/>
  <c r="A834" i="27"/>
  <c r="I833" i="27" a="1"/>
  <c r="I833" i="27"/>
  <c r="H833" i="27"/>
  <c r="D833" i="27"/>
  <c r="A833" i="27"/>
  <c r="I832" i="27" a="1"/>
  <c r="I832" i="27"/>
  <c r="H832" i="27"/>
  <c r="D832" i="27"/>
  <c r="A832" i="27"/>
  <c r="I831" i="27" a="1"/>
  <c r="I831" i="27"/>
  <c r="H831" i="27"/>
  <c r="D831" i="27"/>
  <c r="A831" i="27"/>
  <c r="I830" i="27" a="1"/>
  <c r="I830" i="27"/>
  <c r="H830" i="27"/>
  <c r="D830" i="27"/>
  <c r="A830" i="27"/>
  <c r="I829" i="27" a="1"/>
  <c r="I829" i="27"/>
  <c r="H829" i="27"/>
  <c r="D829" i="27"/>
  <c r="A829" i="27"/>
  <c r="I828" i="27" a="1"/>
  <c r="I828" i="27"/>
  <c r="H828" i="27"/>
  <c r="D828" i="27"/>
  <c r="A828" i="27"/>
  <c r="I827" i="27" a="1"/>
  <c r="I827" i="27"/>
  <c r="H827" i="27"/>
  <c r="D827" i="27"/>
  <c r="A827" i="27"/>
  <c r="I826" i="27" a="1"/>
  <c r="I826" i="27"/>
  <c r="H826" i="27"/>
  <c r="D826" i="27"/>
  <c r="A826" i="27"/>
  <c r="I825" i="27" a="1"/>
  <c r="I825" i="27"/>
  <c r="H825" i="27"/>
  <c r="D825" i="27"/>
  <c r="A825" i="27"/>
  <c r="I824" i="27" a="1"/>
  <c r="I824" i="27"/>
  <c r="H824" i="27"/>
  <c r="D824" i="27"/>
  <c r="A824" i="27"/>
  <c r="I823" i="27" a="1"/>
  <c r="I823" i="27"/>
  <c r="H823" i="27"/>
  <c r="D823" i="27"/>
  <c r="A823" i="27"/>
  <c r="I822" i="27" a="1"/>
  <c r="I822" i="27"/>
  <c r="H822" i="27"/>
  <c r="D822" i="27"/>
  <c r="A822" i="27"/>
  <c r="I821" i="27" a="1"/>
  <c r="I821" i="27"/>
  <c r="H821" i="27"/>
  <c r="D821" i="27"/>
  <c r="A821" i="27"/>
  <c r="I820" i="27" a="1"/>
  <c r="I820" i="27"/>
  <c r="H820" i="27"/>
  <c r="D820" i="27"/>
  <c r="A820" i="27"/>
  <c r="I819" i="27" a="1"/>
  <c r="I819" i="27"/>
  <c r="H819" i="27"/>
  <c r="D819" i="27"/>
  <c r="A819" i="27"/>
  <c r="I818" i="27" a="1"/>
  <c r="I818" i="27"/>
  <c r="H818" i="27"/>
  <c r="D818" i="27"/>
  <c r="A818" i="27"/>
  <c r="I817" i="27" a="1"/>
  <c r="I817" i="27"/>
  <c r="H817" i="27"/>
  <c r="D817" i="27"/>
  <c r="A817" i="27"/>
  <c r="I816" i="27" a="1"/>
  <c r="I816" i="27"/>
  <c r="H816" i="27"/>
  <c r="D816" i="27"/>
  <c r="A816" i="27"/>
  <c r="I815" i="27" a="1"/>
  <c r="I815" i="27"/>
  <c r="H815" i="27"/>
  <c r="D815" i="27"/>
  <c r="A815" i="27"/>
  <c r="I814" i="27" a="1"/>
  <c r="I814" i="27"/>
  <c r="H814" i="27"/>
  <c r="D814" i="27"/>
  <c r="A814" i="27"/>
  <c r="I813" i="27" a="1"/>
  <c r="I813" i="27"/>
  <c r="H813" i="27"/>
  <c r="D813" i="27"/>
  <c r="A813" i="27"/>
  <c r="I812" i="27" a="1"/>
  <c r="I812" i="27"/>
  <c r="H812" i="27"/>
  <c r="D812" i="27"/>
  <c r="A812" i="27"/>
  <c r="I811" i="27" a="1"/>
  <c r="I811" i="27"/>
  <c r="H811" i="27"/>
  <c r="D811" i="27"/>
  <c r="A811" i="27"/>
  <c r="I810" i="27" a="1"/>
  <c r="I810" i="27"/>
  <c r="H810" i="27"/>
  <c r="D810" i="27"/>
  <c r="A810" i="27"/>
  <c r="I809" i="27" a="1"/>
  <c r="I809" i="27"/>
  <c r="H809" i="27"/>
  <c r="D809" i="27"/>
  <c r="A809" i="27"/>
  <c r="I808" i="27" a="1"/>
  <c r="I808" i="27"/>
  <c r="H808" i="27"/>
  <c r="D808" i="27"/>
  <c r="A808" i="27"/>
  <c r="I807" i="27" a="1"/>
  <c r="I807" i="27"/>
  <c r="H807" i="27"/>
  <c r="D807" i="27"/>
  <c r="A807" i="27"/>
  <c r="I806" i="27" a="1"/>
  <c r="I806" i="27"/>
  <c r="H806" i="27"/>
  <c r="D806" i="27"/>
  <c r="A806" i="27"/>
  <c r="I805" i="27" a="1"/>
  <c r="I805" i="27"/>
  <c r="H805" i="27"/>
  <c r="D805" i="27"/>
  <c r="A805" i="27"/>
  <c r="I804" i="27" a="1"/>
  <c r="I804" i="27"/>
  <c r="H804" i="27"/>
  <c r="D804" i="27"/>
  <c r="A804" i="27"/>
  <c r="I803" i="27" a="1"/>
  <c r="I803" i="27"/>
  <c r="H803" i="27"/>
  <c r="D803" i="27"/>
  <c r="A803" i="27"/>
  <c r="I802" i="27" a="1"/>
  <c r="I802" i="27"/>
  <c r="H802" i="27"/>
  <c r="D802" i="27"/>
  <c r="A802" i="27"/>
  <c r="I801" i="27" a="1"/>
  <c r="I801" i="27"/>
  <c r="H801" i="27"/>
  <c r="D801" i="27"/>
  <c r="A801" i="27"/>
  <c r="I800" i="27" a="1"/>
  <c r="I800" i="27"/>
  <c r="H800" i="27"/>
  <c r="D800" i="27"/>
  <c r="A800" i="27"/>
  <c r="I799" i="27" a="1"/>
  <c r="I799" i="27"/>
  <c r="H799" i="27"/>
  <c r="D799" i="27"/>
  <c r="A799" i="27"/>
  <c r="I798" i="27" a="1"/>
  <c r="I798" i="27"/>
  <c r="H798" i="27"/>
  <c r="D798" i="27"/>
  <c r="A798" i="27"/>
  <c r="I797" i="27" a="1"/>
  <c r="I797" i="27"/>
  <c r="H797" i="27"/>
  <c r="D797" i="27"/>
  <c r="A797" i="27"/>
  <c r="I796" i="27" a="1"/>
  <c r="I796" i="27"/>
  <c r="H796" i="27"/>
  <c r="D796" i="27"/>
  <c r="A796" i="27"/>
  <c r="I795" i="27" a="1"/>
  <c r="I795" i="27"/>
  <c r="H795" i="27"/>
  <c r="D795" i="27"/>
  <c r="A795" i="27"/>
  <c r="I794" i="27" a="1"/>
  <c r="I794" i="27"/>
  <c r="H794" i="27"/>
  <c r="D794" i="27"/>
  <c r="A794" i="27"/>
  <c r="I793" i="27" a="1"/>
  <c r="I793" i="27"/>
  <c r="H793" i="27"/>
  <c r="D793" i="27"/>
  <c r="A793" i="27"/>
  <c r="I792" i="27" a="1"/>
  <c r="I792" i="27"/>
  <c r="H792" i="27"/>
  <c r="D792" i="27"/>
  <c r="A792" i="27"/>
  <c r="I791" i="27" a="1"/>
  <c r="I791" i="27"/>
  <c r="H791" i="27"/>
  <c r="D791" i="27"/>
  <c r="A791" i="27"/>
  <c r="I790" i="27" a="1"/>
  <c r="I790" i="27"/>
  <c r="H790" i="27"/>
  <c r="D790" i="27"/>
  <c r="A790" i="27"/>
  <c r="I789" i="27" a="1"/>
  <c r="I789" i="27"/>
  <c r="H789" i="27"/>
  <c r="D789" i="27"/>
  <c r="A789" i="27"/>
  <c r="I788" i="27" a="1"/>
  <c r="I788" i="27"/>
  <c r="H788" i="27"/>
  <c r="D788" i="27"/>
  <c r="A788" i="27"/>
  <c r="I787" i="27" a="1"/>
  <c r="I787" i="27"/>
  <c r="H787" i="27"/>
  <c r="D787" i="27"/>
  <c r="A787" i="27"/>
  <c r="I786" i="27" a="1"/>
  <c r="I786" i="27"/>
  <c r="H786" i="27"/>
  <c r="D786" i="27"/>
  <c r="A786" i="27"/>
  <c r="I785" i="27" a="1"/>
  <c r="I785" i="27"/>
  <c r="H785" i="27"/>
  <c r="D785" i="27"/>
  <c r="A785" i="27"/>
  <c r="I784" i="27" a="1"/>
  <c r="I784" i="27"/>
  <c r="H784" i="27"/>
  <c r="D784" i="27"/>
  <c r="A784" i="27"/>
  <c r="I783" i="27" a="1"/>
  <c r="I783" i="27"/>
  <c r="H783" i="27"/>
  <c r="D783" i="27"/>
  <c r="A783" i="27"/>
  <c r="I782" i="27" a="1"/>
  <c r="I782" i="27"/>
  <c r="H782" i="27"/>
  <c r="D782" i="27"/>
  <c r="A782" i="27"/>
  <c r="I781" i="27" a="1"/>
  <c r="I781" i="27"/>
  <c r="H781" i="27"/>
  <c r="D781" i="27"/>
  <c r="A781" i="27"/>
  <c r="I780" i="27" a="1"/>
  <c r="I780" i="27"/>
  <c r="H780" i="27"/>
  <c r="D780" i="27"/>
  <c r="A780" i="27"/>
  <c r="I779" i="27" a="1"/>
  <c r="I779" i="27"/>
  <c r="H779" i="27"/>
  <c r="D779" i="27"/>
  <c r="A779" i="27"/>
  <c r="I778" i="27" a="1"/>
  <c r="I778" i="27"/>
  <c r="H778" i="27"/>
  <c r="D778" i="27"/>
  <c r="A778" i="27"/>
  <c r="I777" i="27" a="1"/>
  <c r="I777" i="27"/>
  <c r="H777" i="27"/>
  <c r="D777" i="27"/>
  <c r="A777" i="27"/>
  <c r="I776" i="27" a="1"/>
  <c r="I776" i="27"/>
  <c r="H776" i="27"/>
  <c r="D776" i="27"/>
  <c r="A776" i="27"/>
  <c r="I775" i="27" a="1"/>
  <c r="I775" i="27"/>
  <c r="H775" i="27"/>
  <c r="D775" i="27"/>
  <c r="A775" i="27"/>
  <c r="I774" i="27" a="1"/>
  <c r="I774" i="27"/>
  <c r="H774" i="27"/>
  <c r="D774" i="27"/>
  <c r="A774" i="27"/>
  <c r="I773" i="27" a="1"/>
  <c r="I773" i="27"/>
  <c r="H773" i="27"/>
  <c r="D773" i="27"/>
  <c r="A773" i="27"/>
  <c r="I772" i="27" a="1"/>
  <c r="I772" i="27"/>
  <c r="H772" i="27"/>
  <c r="D772" i="27"/>
  <c r="A772" i="27"/>
  <c r="I771" i="27" a="1"/>
  <c r="I771" i="27"/>
  <c r="H771" i="27"/>
  <c r="D771" i="27"/>
  <c r="A771" i="27"/>
  <c r="I770" i="27" a="1"/>
  <c r="I770" i="27"/>
  <c r="H770" i="27"/>
  <c r="D770" i="27"/>
  <c r="A770" i="27"/>
  <c r="I769" i="27" a="1"/>
  <c r="I769" i="27"/>
  <c r="H769" i="27"/>
  <c r="D769" i="27"/>
  <c r="A769" i="27"/>
  <c r="I768" i="27" a="1"/>
  <c r="I768" i="27"/>
  <c r="H768" i="27"/>
  <c r="D768" i="27"/>
  <c r="A768" i="27"/>
  <c r="I767" i="27" a="1"/>
  <c r="I767" i="27"/>
  <c r="H767" i="27"/>
  <c r="D767" i="27"/>
  <c r="A767" i="27"/>
  <c r="I766" i="27" a="1"/>
  <c r="I766" i="27"/>
  <c r="H766" i="27"/>
  <c r="D766" i="27"/>
  <c r="A766" i="27"/>
  <c r="I765" i="27" a="1"/>
  <c r="I765" i="27"/>
  <c r="H765" i="27"/>
  <c r="D765" i="27"/>
  <c r="A765" i="27"/>
  <c r="I764" i="27" a="1"/>
  <c r="I764" i="27"/>
  <c r="H764" i="27"/>
  <c r="D764" i="27"/>
  <c r="A764" i="27"/>
  <c r="I763" i="27" a="1"/>
  <c r="I763" i="27"/>
  <c r="H763" i="27"/>
  <c r="D763" i="27"/>
  <c r="A763" i="27"/>
  <c r="I762" i="27" a="1"/>
  <c r="I762" i="27"/>
  <c r="H762" i="27"/>
  <c r="D762" i="27"/>
  <c r="A762" i="27"/>
  <c r="I761" i="27" a="1"/>
  <c r="I761" i="27"/>
  <c r="H761" i="27"/>
  <c r="D761" i="27"/>
  <c r="A761" i="27"/>
  <c r="I760" i="27" a="1"/>
  <c r="I760" i="27"/>
  <c r="H760" i="27"/>
  <c r="D760" i="27"/>
  <c r="A760" i="27"/>
  <c r="I759" i="27" a="1"/>
  <c r="I759" i="27"/>
  <c r="H759" i="27"/>
  <c r="D759" i="27"/>
  <c r="A759" i="27"/>
  <c r="I758" i="27" a="1"/>
  <c r="I758" i="27"/>
  <c r="H758" i="27"/>
  <c r="D758" i="27"/>
  <c r="A758" i="27"/>
  <c r="I757" i="27" a="1"/>
  <c r="I757" i="27"/>
  <c r="H757" i="27"/>
  <c r="D757" i="27"/>
  <c r="A757" i="27"/>
  <c r="I756" i="27" a="1"/>
  <c r="I756" i="27"/>
  <c r="H756" i="27"/>
  <c r="D756" i="27"/>
  <c r="A756" i="27"/>
  <c r="I755" i="27" a="1"/>
  <c r="I755" i="27"/>
  <c r="H755" i="27"/>
  <c r="D755" i="27"/>
  <c r="A755" i="27"/>
  <c r="I754" i="27" a="1"/>
  <c r="I754" i="27"/>
  <c r="H754" i="27"/>
  <c r="D754" i="27"/>
  <c r="A754" i="27"/>
  <c r="I753" i="27" a="1"/>
  <c r="I753" i="27"/>
  <c r="H753" i="27"/>
  <c r="D753" i="27"/>
  <c r="A753" i="27"/>
  <c r="I752" i="27" a="1"/>
  <c r="I752" i="27"/>
  <c r="H752" i="27"/>
  <c r="D752" i="27"/>
  <c r="A752" i="27"/>
  <c r="I751" i="27" a="1"/>
  <c r="I751" i="27"/>
  <c r="H751" i="27"/>
  <c r="D751" i="27"/>
  <c r="A751" i="27"/>
  <c r="I750" i="27" a="1"/>
  <c r="I750" i="27"/>
  <c r="H750" i="27"/>
  <c r="D750" i="27"/>
  <c r="A750" i="27"/>
  <c r="I749" i="27" a="1"/>
  <c r="I749" i="27"/>
  <c r="H749" i="27"/>
  <c r="D749" i="27"/>
  <c r="A749" i="27"/>
  <c r="I748" i="27" a="1"/>
  <c r="I748" i="27"/>
  <c r="H748" i="27"/>
  <c r="D748" i="27"/>
  <c r="A748" i="27"/>
  <c r="I747" i="27" a="1"/>
  <c r="I747" i="27"/>
  <c r="H747" i="27"/>
  <c r="D747" i="27"/>
  <c r="A747" i="27"/>
  <c r="I746" i="27" a="1"/>
  <c r="I746" i="27"/>
  <c r="H746" i="27"/>
  <c r="D746" i="27"/>
  <c r="A746" i="27"/>
  <c r="I745" i="27" a="1"/>
  <c r="I745" i="27"/>
  <c r="H745" i="27"/>
  <c r="D745" i="27"/>
  <c r="A745" i="27"/>
  <c r="I744" i="27" a="1"/>
  <c r="I744" i="27"/>
  <c r="H744" i="27"/>
  <c r="D744" i="27"/>
  <c r="A744" i="27"/>
  <c r="I743" i="27" a="1"/>
  <c r="I743" i="27"/>
  <c r="H743" i="27"/>
  <c r="D743" i="27"/>
  <c r="A743" i="27"/>
  <c r="I742" i="27" a="1"/>
  <c r="I742" i="27"/>
  <c r="H742" i="27"/>
  <c r="D742" i="27"/>
  <c r="A742" i="27"/>
  <c r="I741" i="27" a="1"/>
  <c r="I741" i="27"/>
  <c r="H741" i="27"/>
  <c r="D741" i="27"/>
  <c r="A741" i="27"/>
  <c r="I740" i="27" a="1"/>
  <c r="I740" i="27"/>
  <c r="H740" i="27"/>
  <c r="D740" i="27"/>
  <c r="A740" i="27"/>
  <c r="I739" i="27" a="1"/>
  <c r="I739" i="27"/>
  <c r="H739" i="27"/>
  <c r="D739" i="27"/>
  <c r="A739" i="27"/>
  <c r="I738" i="27" a="1"/>
  <c r="I738" i="27"/>
  <c r="H738" i="27"/>
  <c r="D738" i="27"/>
  <c r="A738" i="27"/>
  <c r="I737" i="27" a="1"/>
  <c r="I737" i="27"/>
  <c r="H737" i="27"/>
  <c r="D737" i="27"/>
  <c r="A737" i="27"/>
  <c r="I736" i="27" a="1"/>
  <c r="I736" i="27"/>
  <c r="H736" i="27"/>
  <c r="D736" i="27"/>
  <c r="A736" i="27"/>
  <c r="I735" i="27" a="1"/>
  <c r="I735" i="27"/>
  <c r="H735" i="27"/>
  <c r="D735" i="27"/>
  <c r="A735" i="27"/>
  <c r="I734" i="27" a="1"/>
  <c r="I734" i="27"/>
  <c r="H734" i="27"/>
  <c r="D734" i="27"/>
  <c r="A734" i="27"/>
  <c r="I733" i="27" a="1"/>
  <c r="I733" i="27"/>
  <c r="H733" i="27"/>
  <c r="D733" i="27"/>
  <c r="A733" i="27"/>
  <c r="I732" i="27" a="1"/>
  <c r="I732" i="27"/>
  <c r="H732" i="27"/>
  <c r="D732" i="27"/>
  <c r="A732" i="27"/>
  <c r="I731" i="27" a="1"/>
  <c r="I731" i="27"/>
  <c r="H731" i="27"/>
  <c r="D731" i="27"/>
  <c r="A731" i="27"/>
  <c r="I730" i="27" a="1"/>
  <c r="I730" i="27"/>
  <c r="H730" i="27"/>
  <c r="D730" i="27"/>
  <c r="A730" i="27"/>
  <c r="I729" i="27" a="1"/>
  <c r="I729" i="27"/>
  <c r="H729" i="27"/>
  <c r="D729" i="27"/>
  <c r="A729" i="27"/>
  <c r="I728" i="27" a="1"/>
  <c r="I728" i="27"/>
  <c r="H728" i="27"/>
  <c r="D728" i="27"/>
  <c r="A728" i="27"/>
  <c r="I727" i="27" a="1"/>
  <c r="I727" i="27"/>
  <c r="H727" i="27"/>
  <c r="D727" i="27"/>
  <c r="A727" i="27"/>
  <c r="I726" i="27" a="1"/>
  <c r="I726" i="27"/>
  <c r="H726" i="27"/>
  <c r="D726" i="27"/>
  <c r="A726" i="27"/>
  <c r="I725" i="27" a="1"/>
  <c r="I725" i="27"/>
  <c r="H725" i="27"/>
  <c r="D725" i="27"/>
  <c r="A725" i="27"/>
  <c r="I724" i="27" a="1"/>
  <c r="I724" i="27"/>
  <c r="H724" i="27"/>
  <c r="D724" i="27"/>
  <c r="A724" i="27"/>
  <c r="I723" i="27" a="1"/>
  <c r="I723" i="27"/>
  <c r="H723" i="27"/>
  <c r="D723" i="27"/>
  <c r="A723" i="27"/>
  <c r="I722" i="27" a="1"/>
  <c r="I722" i="27"/>
  <c r="H722" i="27"/>
  <c r="D722" i="27"/>
  <c r="A722" i="27"/>
  <c r="I721" i="27" a="1"/>
  <c r="I721" i="27"/>
  <c r="H721" i="27"/>
  <c r="D721" i="27"/>
  <c r="A721" i="27"/>
  <c r="I720" i="27" a="1"/>
  <c r="I720" i="27"/>
  <c r="H720" i="27"/>
  <c r="D720" i="27"/>
  <c r="A720" i="27"/>
  <c r="I719" i="27" a="1"/>
  <c r="I719" i="27"/>
  <c r="H719" i="27"/>
  <c r="D719" i="27"/>
  <c r="A719" i="27"/>
  <c r="I718" i="27" a="1"/>
  <c r="I718" i="27"/>
  <c r="H718" i="27"/>
  <c r="D718" i="27"/>
  <c r="A718" i="27"/>
  <c r="I717" i="27" a="1"/>
  <c r="I717" i="27"/>
  <c r="H717" i="27"/>
  <c r="D717" i="27"/>
  <c r="A717" i="27"/>
  <c r="I716" i="27" a="1"/>
  <c r="I716" i="27"/>
  <c r="H716" i="27"/>
  <c r="D716" i="27"/>
  <c r="A716" i="27"/>
  <c r="I715" i="27" a="1"/>
  <c r="I715" i="27"/>
  <c r="H715" i="27"/>
  <c r="D715" i="27"/>
  <c r="A715" i="27"/>
  <c r="I714" i="27" a="1"/>
  <c r="I714" i="27"/>
  <c r="H714" i="27"/>
  <c r="D714" i="27"/>
  <c r="A714" i="27"/>
  <c r="I713" i="27" a="1"/>
  <c r="I713" i="27"/>
  <c r="H713" i="27"/>
  <c r="D713" i="27"/>
  <c r="A713" i="27"/>
  <c r="I712" i="27" a="1"/>
  <c r="I712" i="27"/>
  <c r="H712" i="27"/>
  <c r="D712" i="27"/>
  <c r="A712" i="27"/>
  <c r="I711" i="27" a="1"/>
  <c r="I711" i="27"/>
  <c r="H711" i="27"/>
  <c r="D711" i="27"/>
  <c r="A711" i="27"/>
  <c r="I710" i="27" a="1"/>
  <c r="I710" i="27"/>
  <c r="H710" i="27"/>
  <c r="D710" i="27"/>
  <c r="A710" i="27"/>
  <c r="I709" i="27" a="1"/>
  <c r="I709" i="27"/>
  <c r="H709" i="27"/>
  <c r="D709" i="27"/>
  <c r="A709" i="27"/>
  <c r="I708" i="27" a="1"/>
  <c r="I708" i="27"/>
  <c r="H708" i="27"/>
  <c r="D708" i="27"/>
  <c r="A708" i="27"/>
  <c r="I707" i="27" a="1"/>
  <c r="I707" i="27"/>
  <c r="H707" i="27"/>
  <c r="D707" i="27"/>
  <c r="A707" i="27"/>
  <c r="I706" i="27" a="1"/>
  <c r="I706" i="27"/>
  <c r="H706" i="27"/>
  <c r="D706" i="27"/>
  <c r="A706" i="27"/>
  <c r="I705" i="27" a="1"/>
  <c r="I705" i="27"/>
  <c r="H705" i="27"/>
  <c r="D705" i="27"/>
  <c r="A705" i="27"/>
  <c r="I704" i="27" a="1"/>
  <c r="I704" i="27"/>
  <c r="H704" i="27"/>
  <c r="D704" i="27"/>
  <c r="A704" i="27"/>
  <c r="I703" i="27" a="1"/>
  <c r="I703" i="27"/>
  <c r="H703" i="27"/>
  <c r="D703" i="27"/>
  <c r="A703" i="27"/>
  <c r="I702" i="27" a="1"/>
  <c r="I702" i="27"/>
  <c r="H702" i="27"/>
  <c r="D702" i="27"/>
  <c r="A702" i="27"/>
  <c r="I701" i="27" a="1"/>
  <c r="I701" i="27"/>
  <c r="H701" i="27"/>
  <c r="D701" i="27"/>
  <c r="A701" i="27"/>
  <c r="I700" i="27" a="1"/>
  <c r="I700" i="27"/>
  <c r="H700" i="27"/>
  <c r="D700" i="27"/>
  <c r="A700" i="27"/>
  <c r="I699" i="27" a="1"/>
  <c r="I699" i="27"/>
  <c r="H699" i="27"/>
  <c r="D699" i="27"/>
  <c r="A699" i="27"/>
  <c r="I698" i="27" a="1"/>
  <c r="I698" i="27"/>
  <c r="H698" i="27"/>
  <c r="D698" i="27"/>
  <c r="A698" i="27"/>
  <c r="I697" i="27" a="1"/>
  <c r="I697" i="27"/>
  <c r="H697" i="27"/>
  <c r="D697" i="27"/>
  <c r="A697" i="27"/>
  <c r="I696" i="27" a="1"/>
  <c r="I696" i="27"/>
  <c r="H696" i="27"/>
  <c r="D696" i="27"/>
  <c r="A696" i="27"/>
  <c r="I695" i="27" a="1"/>
  <c r="I695" i="27"/>
  <c r="H695" i="27"/>
  <c r="D695" i="27"/>
  <c r="A695" i="27"/>
  <c r="I694" i="27" a="1"/>
  <c r="I694" i="27"/>
  <c r="H694" i="27"/>
  <c r="D694" i="27"/>
  <c r="A694" i="27"/>
  <c r="I693" i="27" a="1"/>
  <c r="I693" i="27"/>
  <c r="H693" i="27"/>
  <c r="D693" i="27"/>
  <c r="A693" i="27"/>
  <c r="I692" i="27" a="1"/>
  <c r="I692" i="27"/>
  <c r="H692" i="27"/>
  <c r="D692" i="27"/>
  <c r="A692" i="27"/>
  <c r="I691" i="27" a="1"/>
  <c r="I691" i="27"/>
  <c r="H691" i="27"/>
  <c r="D691" i="27"/>
  <c r="A691" i="27"/>
  <c r="I690" i="27" a="1"/>
  <c r="I690" i="27"/>
  <c r="H690" i="27"/>
  <c r="D690" i="27"/>
  <c r="A690" i="27"/>
  <c r="I689" i="27" a="1"/>
  <c r="I689" i="27"/>
  <c r="H689" i="27"/>
  <c r="D689" i="27"/>
  <c r="A689" i="27"/>
  <c r="I688" i="27" a="1"/>
  <c r="I688" i="27"/>
  <c r="H688" i="27"/>
  <c r="D688" i="27"/>
  <c r="A688" i="27"/>
  <c r="I687" i="27" a="1"/>
  <c r="I687" i="27"/>
  <c r="H687" i="27"/>
  <c r="D687" i="27"/>
  <c r="A687" i="27"/>
  <c r="I686" i="27" a="1"/>
  <c r="I686" i="27"/>
  <c r="H686" i="27"/>
  <c r="D686" i="27"/>
  <c r="A686" i="27"/>
  <c r="I685" i="27" a="1"/>
  <c r="I685" i="27"/>
  <c r="H685" i="27"/>
  <c r="D685" i="27"/>
  <c r="A685" i="27"/>
  <c r="I684" i="27" a="1"/>
  <c r="I684" i="27"/>
  <c r="H684" i="27"/>
  <c r="D684" i="27"/>
  <c r="A684" i="27"/>
  <c r="I683" i="27" a="1"/>
  <c r="I683" i="27"/>
  <c r="H683" i="27"/>
  <c r="D683" i="27"/>
  <c r="A683" i="27"/>
  <c r="I682" i="27" a="1"/>
  <c r="I682" i="27"/>
  <c r="H682" i="27"/>
  <c r="D682" i="27"/>
  <c r="A682" i="27"/>
  <c r="I681" i="27" a="1"/>
  <c r="I681" i="27"/>
  <c r="H681" i="27"/>
  <c r="D681" i="27"/>
  <c r="A681" i="27"/>
  <c r="I680" i="27" a="1"/>
  <c r="I680" i="27"/>
  <c r="H680" i="27"/>
  <c r="D680" i="27"/>
  <c r="A680" i="27"/>
  <c r="I679" i="27" a="1"/>
  <c r="I679" i="27"/>
  <c r="H679" i="27"/>
  <c r="D679" i="27"/>
  <c r="A679" i="27"/>
  <c r="I678" i="27" a="1"/>
  <c r="I678" i="27"/>
  <c r="H678" i="27"/>
  <c r="D678" i="27"/>
  <c r="A678" i="27"/>
  <c r="I677" i="27" a="1"/>
  <c r="I677" i="27"/>
  <c r="H677" i="27"/>
  <c r="D677" i="27"/>
  <c r="A677" i="27"/>
  <c r="I676" i="27" a="1"/>
  <c r="I676" i="27"/>
  <c r="H676" i="27"/>
  <c r="D676" i="27"/>
  <c r="A676" i="27"/>
  <c r="I675" i="27" a="1"/>
  <c r="I675" i="27"/>
  <c r="H675" i="27"/>
  <c r="D675" i="27"/>
  <c r="A675" i="27"/>
  <c r="I674" i="27" a="1"/>
  <c r="I674" i="27"/>
  <c r="H674" i="27"/>
  <c r="D674" i="27"/>
  <c r="A674" i="27"/>
  <c r="I673" i="27" a="1"/>
  <c r="I673" i="27"/>
  <c r="H673" i="27"/>
  <c r="D673" i="27"/>
  <c r="A673" i="27"/>
  <c r="I672" i="27" a="1"/>
  <c r="I672" i="27"/>
  <c r="H672" i="27"/>
  <c r="D672" i="27"/>
  <c r="A672" i="27"/>
  <c r="I671" i="27" a="1"/>
  <c r="I671" i="27"/>
  <c r="H671" i="27"/>
  <c r="D671" i="27"/>
  <c r="A671" i="27"/>
  <c r="I670" i="27" a="1"/>
  <c r="I670" i="27"/>
  <c r="H670" i="27"/>
  <c r="D670" i="27"/>
  <c r="A670" i="27"/>
  <c r="I669" i="27" a="1"/>
  <c r="I669" i="27"/>
  <c r="H669" i="27"/>
  <c r="D669" i="27"/>
  <c r="A669" i="27"/>
  <c r="I668" i="27" a="1"/>
  <c r="I668" i="27"/>
  <c r="H668" i="27"/>
  <c r="D668" i="27"/>
  <c r="A668" i="27"/>
  <c r="I667" i="27" a="1"/>
  <c r="I667" i="27"/>
  <c r="H667" i="27"/>
  <c r="D667" i="27"/>
  <c r="A667" i="27"/>
  <c r="I666" i="27" a="1"/>
  <c r="I666" i="27"/>
  <c r="H666" i="27"/>
  <c r="D666" i="27"/>
  <c r="A666" i="27"/>
  <c r="I665" i="27" a="1"/>
  <c r="I665" i="27"/>
  <c r="H665" i="27"/>
  <c r="D665" i="27"/>
  <c r="A665" i="27"/>
  <c r="I664" i="27" a="1"/>
  <c r="I664" i="27"/>
  <c r="H664" i="27"/>
  <c r="D664" i="27"/>
  <c r="A664" i="27"/>
  <c r="I663" i="27" a="1"/>
  <c r="I663" i="27"/>
  <c r="H663" i="27"/>
  <c r="D663" i="27"/>
  <c r="A663" i="27"/>
  <c r="I662" i="27" a="1"/>
  <c r="I662" i="27"/>
  <c r="H662" i="27"/>
  <c r="D662" i="27"/>
  <c r="A662" i="27"/>
  <c r="I661" i="27" a="1"/>
  <c r="I661" i="27"/>
  <c r="H661" i="27"/>
  <c r="D661" i="27"/>
  <c r="A661" i="27"/>
  <c r="I660" i="27" a="1"/>
  <c r="I660" i="27"/>
  <c r="H660" i="27"/>
  <c r="D660" i="27"/>
  <c r="A660" i="27"/>
  <c r="I659" i="27" a="1"/>
  <c r="I659" i="27"/>
  <c r="H659" i="27"/>
  <c r="D659" i="27"/>
  <c r="A659" i="27"/>
  <c r="I658" i="27" a="1"/>
  <c r="I658" i="27"/>
  <c r="H658" i="27"/>
  <c r="D658" i="27"/>
  <c r="A658" i="27"/>
  <c r="I657" i="27" a="1"/>
  <c r="I657" i="27"/>
  <c r="H657" i="27"/>
  <c r="D657" i="27"/>
  <c r="A657" i="27"/>
  <c r="I656" i="27" a="1"/>
  <c r="I656" i="27"/>
  <c r="H656" i="27"/>
  <c r="D656" i="27"/>
  <c r="A656" i="27"/>
  <c r="I655" i="27" a="1"/>
  <c r="I655" i="27"/>
  <c r="H655" i="27"/>
  <c r="D655" i="27"/>
  <c r="A655" i="27"/>
  <c r="I654" i="27" a="1"/>
  <c r="I654" i="27"/>
  <c r="H654" i="27"/>
  <c r="D654" i="27"/>
  <c r="A654" i="27"/>
  <c r="I653" i="27" a="1"/>
  <c r="I653" i="27"/>
  <c r="H653" i="27"/>
  <c r="D653" i="27"/>
  <c r="A653" i="27"/>
  <c r="I652" i="27" a="1"/>
  <c r="I652" i="27"/>
  <c r="H652" i="27"/>
  <c r="D652" i="27"/>
  <c r="A652" i="27"/>
  <c r="I651" i="27" a="1"/>
  <c r="I651" i="27"/>
  <c r="H651" i="27"/>
  <c r="D651" i="27"/>
  <c r="A651" i="27"/>
  <c r="I650" i="27" a="1"/>
  <c r="I650" i="27"/>
  <c r="H650" i="27"/>
  <c r="D650" i="27"/>
  <c r="A650" i="27"/>
  <c r="I649" i="27" a="1"/>
  <c r="I649" i="27"/>
  <c r="H649" i="27"/>
  <c r="D649" i="27"/>
  <c r="A649" i="27"/>
  <c r="I648" i="27" a="1"/>
  <c r="I648" i="27"/>
  <c r="H648" i="27"/>
  <c r="D648" i="27"/>
  <c r="A648" i="27"/>
  <c r="I647" i="27" a="1"/>
  <c r="I647" i="27"/>
  <c r="H647" i="27"/>
  <c r="D647" i="27"/>
  <c r="A647" i="27"/>
  <c r="I646" i="27" a="1"/>
  <c r="I646" i="27"/>
  <c r="H646" i="27"/>
  <c r="D646" i="27"/>
  <c r="A646" i="27"/>
  <c r="I645" i="27" a="1"/>
  <c r="I645" i="27"/>
  <c r="H645" i="27"/>
  <c r="D645" i="27"/>
  <c r="A645" i="27"/>
  <c r="I644" i="27" a="1"/>
  <c r="I644" i="27"/>
  <c r="H644" i="27"/>
  <c r="D644" i="27"/>
  <c r="A644" i="27"/>
  <c r="I643" i="27" a="1"/>
  <c r="I643" i="27"/>
  <c r="H643" i="27"/>
  <c r="D643" i="27"/>
  <c r="A643" i="27"/>
  <c r="I642" i="27" a="1"/>
  <c r="I642" i="27"/>
  <c r="H642" i="27"/>
  <c r="D642" i="27"/>
  <c r="A642" i="27"/>
  <c r="I641" i="27" a="1"/>
  <c r="I641" i="27"/>
  <c r="H641" i="27"/>
  <c r="D641" i="27"/>
  <c r="A641" i="27"/>
  <c r="I640" i="27" a="1"/>
  <c r="I640" i="27"/>
  <c r="H640" i="27"/>
  <c r="D640" i="27"/>
  <c r="A640" i="27"/>
  <c r="I639" i="27" a="1"/>
  <c r="I639" i="27"/>
  <c r="H639" i="27"/>
  <c r="D639" i="27"/>
  <c r="A639" i="27"/>
  <c r="I638" i="27" a="1"/>
  <c r="I638" i="27"/>
  <c r="H638" i="27"/>
  <c r="D638" i="27"/>
  <c r="A638" i="27"/>
  <c r="I637" i="27" a="1"/>
  <c r="I637" i="27"/>
  <c r="H637" i="27"/>
  <c r="D637" i="27"/>
  <c r="A637" i="27"/>
  <c r="I636" i="27" a="1"/>
  <c r="I636" i="27"/>
  <c r="H636" i="27"/>
  <c r="D636" i="27"/>
  <c r="A636" i="27"/>
  <c r="I635" i="27" a="1"/>
  <c r="I635" i="27"/>
  <c r="H635" i="27"/>
  <c r="D635" i="27"/>
  <c r="A635" i="27"/>
  <c r="I634" i="27" a="1"/>
  <c r="I634" i="27"/>
  <c r="H634" i="27"/>
  <c r="D634" i="27"/>
  <c r="A634" i="27"/>
  <c r="I633" i="27" a="1"/>
  <c r="I633" i="27"/>
  <c r="H633" i="27"/>
  <c r="D633" i="27"/>
  <c r="A633" i="27"/>
  <c r="I632" i="27" a="1"/>
  <c r="I632" i="27"/>
  <c r="H632" i="27"/>
  <c r="D632" i="27"/>
  <c r="A632" i="27"/>
  <c r="I631" i="27" a="1"/>
  <c r="I631" i="27"/>
  <c r="H631" i="27"/>
  <c r="D631" i="27"/>
  <c r="A631" i="27"/>
  <c r="I630" i="27" a="1"/>
  <c r="I630" i="27"/>
  <c r="H630" i="27"/>
  <c r="D630" i="27"/>
  <c r="A630" i="27"/>
  <c r="I629" i="27" a="1"/>
  <c r="I629" i="27"/>
  <c r="H629" i="27"/>
  <c r="D629" i="27"/>
  <c r="A629" i="27"/>
  <c r="I628" i="27" a="1"/>
  <c r="I628" i="27"/>
  <c r="H628" i="27"/>
  <c r="D628" i="27"/>
  <c r="A628" i="27"/>
  <c r="I627" i="27" a="1"/>
  <c r="I627" i="27"/>
  <c r="H627" i="27"/>
  <c r="D627" i="27"/>
  <c r="A627" i="27"/>
  <c r="I626" i="27" a="1"/>
  <c r="I626" i="27"/>
  <c r="H626" i="27"/>
  <c r="D626" i="27"/>
  <c r="A626" i="27"/>
  <c r="I625" i="27" a="1"/>
  <c r="I625" i="27"/>
  <c r="H625" i="27"/>
  <c r="D625" i="27"/>
  <c r="A625" i="27"/>
  <c r="I624" i="27" a="1"/>
  <c r="I624" i="27"/>
  <c r="H624" i="27"/>
  <c r="D624" i="27"/>
  <c r="A624" i="27"/>
  <c r="I623" i="27" a="1"/>
  <c r="I623" i="27"/>
  <c r="H623" i="27"/>
  <c r="D623" i="27"/>
  <c r="A623" i="27"/>
  <c r="I622" i="27" a="1"/>
  <c r="I622" i="27"/>
  <c r="H622" i="27"/>
  <c r="D622" i="27"/>
  <c r="A622" i="27"/>
  <c r="I621" i="27" a="1"/>
  <c r="I621" i="27"/>
  <c r="H621" i="27"/>
  <c r="D621" i="27"/>
  <c r="A621" i="27"/>
  <c r="I620" i="27" a="1"/>
  <c r="I620" i="27"/>
  <c r="H620" i="27"/>
  <c r="D620" i="27"/>
  <c r="A620" i="27"/>
  <c r="I619" i="27" a="1"/>
  <c r="I619" i="27"/>
  <c r="H619" i="27"/>
  <c r="D619" i="27"/>
  <c r="A619" i="27"/>
  <c r="I618" i="27" a="1"/>
  <c r="I618" i="27"/>
  <c r="H618" i="27"/>
  <c r="D618" i="27"/>
  <c r="A618" i="27"/>
  <c r="I617" i="27" a="1"/>
  <c r="I617" i="27"/>
  <c r="H617" i="27"/>
  <c r="D617" i="27"/>
  <c r="A617" i="27"/>
  <c r="I616" i="27" a="1"/>
  <c r="I616" i="27"/>
  <c r="H616" i="27"/>
  <c r="D616" i="27"/>
  <c r="A616" i="27"/>
  <c r="I615" i="27" a="1"/>
  <c r="I615" i="27"/>
  <c r="H615" i="27"/>
  <c r="D615" i="27"/>
  <c r="A615" i="27"/>
  <c r="I614" i="27" a="1"/>
  <c r="I614" i="27"/>
  <c r="H614" i="27"/>
  <c r="D614" i="27"/>
  <c r="A614" i="27"/>
  <c r="I613" i="27" a="1"/>
  <c r="I613" i="27"/>
  <c r="H613" i="27"/>
  <c r="D613" i="27"/>
  <c r="A613" i="27"/>
  <c r="I612" i="27" a="1"/>
  <c r="I612" i="27"/>
  <c r="H612" i="27"/>
  <c r="D612" i="27"/>
  <c r="A612" i="27"/>
  <c r="I611" i="27" a="1"/>
  <c r="I611" i="27"/>
  <c r="H611" i="27"/>
  <c r="D611" i="27"/>
  <c r="A611" i="27"/>
  <c r="I610" i="27" a="1"/>
  <c r="I610" i="27"/>
  <c r="H610" i="27"/>
  <c r="D610" i="27"/>
  <c r="A610" i="27"/>
  <c r="I609" i="27" a="1"/>
  <c r="I609" i="27"/>
  <c r="H609" i="27"/>
  <c r="D609" i="27"/>
  <c r="A609" i="27"/>
  <c r="I608" i="27" a="1"/>
  <c r="I608" i="27"/>
  <c r="H608" i="27"/>
  <c r="D608" i="27"/>
  <c r="A608" i="27"/>
  <c r="I607" i="27" a="1"/>
  <c r="I607" i="27"/>
  <c r="H607" i="27"/>
  <c r="D607" i="27"/>
  <c r="A607" i="27"/>
  <c r="I606" i="27" a="1"/>
  <c r="I606" i="27"/>
  <c r="H606" i="27"/>
  <c r="D606" i="27"/>
  <c r="A606" i="27"/>
  <c r="I605" i="27" a="1"/>
  <c r="I605" i="27"/>
  <c r="H605" i="27"/>
  <c r="D605" i="27"/>
  <c r="A605" i="27"/>
  <c r="I604" i="27" a="1"/>
  <c r="I604" i="27"/>
  <c r="H604" i="27"/>
  <c r="D604" i="27"/>
  <c r="A604" i="27"/>
  <c r="I603" i="27" a="1"/>
  <c r="I603" i="27"/>
  <c r="H603" i="27"/>
  <c r="D603" i="27"/>
  <c r="A603" i="27"/>
  <c r="I602" i="27" a="1"/>
  <c r="I602" i="27"/>
  <c r="H602" i="27"/>
  <c r="D602" i="27"/>
  <c r="A602" i="27"/>
  <c r="I601" i="27" a="1"/>
  <c r="I601" i="27"/>
  <c r="H601" i="27"/>
  <c r="D601" i="27"/>
  <c r="A601" i="27"/>
  <c r="I600" i="27" a="1"/>
  <c r="I600" i="27"/>
  <c r="H600" i="27"/>
  <c r="D600" i="27"/>
  <c r="A600" i="27"/>
  <c r="I599" i="27" a="1"/>
  <c r="I599" i="27"/>
  <c r="H599" i="27"/>
  <c r="D599" i="27"/>
  <c r="A599" i="27"/>
  <c r="I598" i="27" a="1"/>
  <c r="I598" i="27"/>
  <c r="H598" i="27"/>
  <c r="D598" i="27"/>
  <c r="A598" i="27"/>
  <c r="I597" i="27" a="1"/>
  <c r="I597" i="27"/>
  <c r="H597" i="27"/>
  <c r="D597" i="27"/>
  <c r="A597" i="27"/>
  <c r="I596" i="27" a="1"/>
  <c r="I596" i="27"/>
  <c r="H596" i="27"/>
  <c r="D596" i="27"/>
  <c r="A596" i="27"/>
  <c r="I595" i="27" a="1"/>
  <c r="I595" i="27"/>
  <c r="H595" i="27"/>
  <c r="D595" i="27"/>
  <c r="A595" i="27"/>
  <c r="I594" i="27" a="1"/>
  <c r="I594" i="27"/>
  <c r="H594" i="27"/>
  <c r="D594" i="27"/>
  <c r="A594" i="27"/>
  <c r="I593" i="27" a="1"/>
  <c r="I593" i="27"/>
  <c r="H593" i="27"/>
  <c r="D593" i="27"/>
  <c r="A593" i="27"/>
  <c r="I592" i="27" a="1"/>
  <c r="I592" i="27"/>
  <c r="H592" i="27"/>
  <c r="D592" i="27"/>
  <c r="A592" i="27"/>
  <c r="I591" i="27" a="1"/>
  <c r="I591" i="27"/>
  <c r="H591" i="27"/>
  <c r="D591" i="27"/>
  <c r="A591" i="27"/>
  <c r="I590" i="27" a="1"/>
  <c r="I590" i="27"/>
  <c r="H590" i="27"/>
  <c r="D590" i="27"/>
  <c r="A590" i="27"/>
  <c r="I589" i="27" a="1"/>
  <c r="I589" i="27"/>
  <c r="H589" i="27"/>
  <c r="D589" i="27"/>
  <c r="A589" i="27"/>
  <c r="I588" i="27" a="1"/>
  <c r="I588" i="27"/>
  <c r="H588" i="27"/>
  <c r="D588" i="27"/>
  <c r="A588" i="27"/>
  <c r="I587" i="27" a="1"/>
  <c r="I587" i="27"/>
  <c r="H587" i="27"/>
  <c r="D587" i="27"/>
  <c r="A587" i="27"/>
  <c r="I586" i="27" a="1"/>
  <c r="I586" i="27"/>
  <c r="H586" i="27"/>
  <c r="D586" i="27"/>
  <c r="A586" i="27"/>
  <c r="I585" i="27" a="1"/>
  <c r="I585" i="27"/>
  <c r="H585" i="27"/>
  <c r="D585" i="27"/>
  <c r="A585" i="27"/>
  <c r="I584" i="27" a="1"/>
  <c r="I584" i="27"/>
  <c r="H584" i="27"/>
  <c r="D584" i="27"/>
  <c r="A584" i="27"/>
  <c r="I583" i="27" a="1"/>
  <c r="I583" i="27"/>
  <c r="H583" i="27"/>
  <c r="D583" i="27"/>
  <c r="A583" i="27"/>
  <c r="I582" i="27" a="1"/>
  <c r="I582" i="27"/>
  <c r="H582" i="27"/>
  <c r="D582" i="27"/>
  <c r="A582" i="27"/>
  <c r="I581" i="27" a="1"/>
  <c r="I581" i="27"/>
  <c r="H581" i="27"/>
  <c r="D581" i="27"/>
  <c r="A581" i="27"/>
  <c r="I580" i="27" a="1"/>
  <c r="I580" i="27"/>
  <c r="H580" i="27"/>
  <c r="D580" i="27"/>
  <c r="A580" i="27"/>
  <c r="I579" i="27" a="1"/>
  <c r="I579" i="27"/>
  <c r="H579" i="27"/>
  <c r="D579" i="27"/>
  <c r="A579" i="27"/>
  <c r="I578" i="27" a="1"/>
  <c r="I578" i="27"/>
  <c r="H578" i="27"/>
  <c r="D578" i="27"/>
  <c r="A578" i="27"/>
  <c r="I577" i="27" a="1"/>
  <c r="I577" i="27"/>
  <c r="H577" i="27"/>
  <c r="D577" i="27"/>
  <c r="A577" i="27"/>
  <c r="I576" i="27" a="1"/>
  <c r="I576" i="27"/>
  <c r="H576" i="27"/>
  <c r="D576" i="27"/>
  <c r="A576" i="27"/>
  <c r="I575" i="27" a="1"/>
  <c r="I575" i="27"/>
  <c r="H575" i="27"/>
  <c r="D575" i="27"/>
  <c r="A575" i="27"/>
  <c r="I574" i="27" a="1"/>
  <c r="I574" i="27"/>
  <c r="H574" i="27"/>
  <c r="D574" i="27"/>
  <c r="A574" i="27"/>
  <c r="I573" i="27" a="1"/>
  <c r="I573" i="27"/>
  <c r="H573" i="27"/>
  <c r="D573" i="27"/>
  <c r="A573" i="27"/>
  <c r="I572" i="27" a="1"/>
  <c r="I572" i="27"/>
  <c r="H572" i="27"/>
  <c r="D572" i="27"/>
  <c r="A572" i="27"/>
  <c r="I571" i="27" a="1"/>
  <c r="I571" i="27"/>
  <c r="H571" i="27"/>
  <c r="D571" i="27"/>
  <c r="A571" i="27"/>
  <c r="I570" i="27" a="1"/>
  <c r="I570" i="27"/>
  <c r="H570" i="27"/>
  <c r="D570" i="27"/>
  <c r="A570" i="27"/>
  <c r="I569" i="27" a="1"/>
  <c r="I569" i="27"/>
  <c r="H569" i="27"/>
  <c r="D569" i="27"/>
  <c r="A569" i="27"/>
  <c r="I568" i="27" a="1"/>
  <c r="I568" i="27"/>
  <c r="H568" i="27"/>
  <c r="D568" i="27"/>
  <c r="A568" i="27"/>
  <c r="I567" i="27" a="1"/>
  <c r="I567" i="27"/>
  <c r="H567" i="27"/>
  <c r="D567" i="27"/>
  <c r="A567" i="27"/>
  <c r="I566" i="27" a="1"/>
  <c r="I566" i="27"/>
  <c r="H566" i="27"/>
  <c r="D566" i="27"/>
  <c r="A566" i="27"/>
  <c r="I565" i="27" a="1"/>
  <c r="I565" i="27"/>
  <c r="H565" i="27"/>
  <c r="D565" i="27"/>
  <c r="A565" i="27"/>
  <c r="I564" i="27" a="1"/>
  <c r="I564" i="27"/>
  <c r="H564" i="27"/>
  <c r="D564" i="27"/>
  <c r="A564" i="27"/>
  <c r="I563" i="27" a="1"/>
  <c r="I563" i="27"/>
  <c r="H563" i="27"/>
  <c r="D563" i="27"/>
  <c r="A563" i="27"/>
  <c r="I562" i="27" a="1"/>
  <c r="I562" i="27"/>
  <c r="H562" i="27"/>
  <c r="D562" i="27"/>
  <c r="A562" i="27"/>
  <c r="I561" i="27" a="1"/>
  <c r="I561" i="27"/>
  <c r="H561" i="27"/>
  <c r="D561" i="27"/>
  <c r="A561" i="27"/>
  <c r="I560" i="27" a="1"/>
  <c r="I560" i="27"/>
  <c r="H560" i="27"/>
  <c r="D560" i="27"/>
  <c r="A560" i="27"/>
  <c r="I559" i="27" a="1"/>
  <c r="I559" i="27"/>
  <c r="H559" i="27"/>
  <c r="D559" i="27"/>
  <c r="A559" i="27"/>
  <c r="I558" i="27" a="1"/>
  <c r="I558" i="27"/>
  <c r="H558" i="27"/>
  <c r="D558" i="27"/>
  <c r="A558" i="27"/>
  <c r="I557" i="27" a="1"/>
  <c r="I557" i="27"/>
  <c r="H557" i="27"/>
  <c r="D557" i="27"/>
  <c r="A557" i="27"/>
  <c r="I556" i="27" a="1"/>
  <c r="I556" i="27"/>
  <c r="H556" i="27"/>
  <c r="D556" i="27"/>
  <c r="A556" i="27"/>
  <c r="I555" i="27" a="1"/>
  <c r="I555" i="27"/>
  <c r="H555" i="27"/>
  <c r="D555" i="27"/>
  <c r="A555" i="27"/>
  <c r="I554" i="27" a="1"/>
  <c r="I554" i="27"/>
  <c r="H554" i="27"/>
  <c r="D554" i="27"/>
  <c r="A554" i="27"/>
  <c r="I553" i="27" a="1"/>
  <c r="I553" i="27"/>
  <c r="H553" i="27"/>
  <c r="D553" i="27"/>
  <c r="A553" i="27"/>
  <c r="I552" i="27" a="1"/>
  <c r="I552" i="27"/>
  <c r="H552" i="27"/>
  <c r="D552" i="27"/>
  <c r="A552" i="27"/>
  <c r="I551" i="27" a="1"/>
  <c r="I551" i="27"/>
  <c r="H551" i="27"/>
  <c r="D551" i="27"/>
  <c r="A551" i="27"/>
  <c r="I550" i="27" a="1"/>
  <c r="I550" i="27"/>
  <c r="H550" i="27"/>
  <c r="D550" i="27"/>
  <c r="A550" i="27"/>
  <c r="I549" i="27" a="1"/>
  <c r="I549" i="27"/>
  <c r="H549" i="27"/>
  <c r="D549" i="27"/>
  <c r="A549" i="27"/>
  <c r="I548" i="27" a="1"/>
  <c r="I548" i="27"/>
  <c r="H548" i="27"/>
  <c r="D548" i="27"/>
  <c r="A548" i="27"/>
  <c r="I547" i="27" a="1"/>
  <c r="I547" i="27"/>
  <c r="H547" i="27"/>
  <c r="D547" i="27"/>
  <c r="A547" i="27"/>
  <c r="I546" i="27" a="1"/>
  <c r="I546" i="27"/>
  <c r="H546" i="27"/>
  <c r="D546" i="27"/>
  <c r="A546" i="27"/>
  <c r="I545" i="27" a="1"/>
  <c r="I545" i="27"/>
  <c r="H545" i="27"/>
  <c r="D545" i="27"/>
  <c r="A545" i="27"/>
  <c r="I544" i="27" a="1"/>
  <c r="I544" i="27"/>
  <c r="H544" i="27"/>
  <c r="D544" i="27"/>
  <c r="A544" i="27"/>
  <c r="I543" i="27" a="1"/>
  <c r="I543" i="27"/>
  <c r="H543" i="27"/>
  <c r="D543" i="27"/>
  <c r="A543" i="27"/>
  <c r="I542" i="27" a="1"/>
  <c r="I542" i="27"/>
  <c r="H542" i="27"/>
  <c r="D542" i="27"/>
  <c r="A542" i="27"/>
  <c r="I541" i="27" a="1"/>
  <c r="I541" i="27"/>
  <c r="H541" i="27"/>
  <c r="D541" i="27"/>
  <c r="A541" i="27"/>
  <c r="I540" i="27" a="1"/>
  <c r="I540" i="27"/>
  <c r="H540" i="27"/>
  <c r="D540" i="27"/>
  <c r="A540" i="27"/>
  <c r="I539" i="27" a="1"/>
  <c r="I539" i="27"/>
  <c r="H539" i="27"/>
  <c r="D539" i="27"/>
  <c r="A539" i="27"/>
  <c r="I538" i="27" a="1"/>
  <c r="I538" i="27"/>
  <c r="H538" i="27"/>
  <c r="D538" i="27"/>
  <c r="A538" i="27"/>
  <c r="I537" i="27" a="1"/>
  <c r="I537" i="27"/>
  <c r="H537" i="27"/>
  <c r="D537" i="27"/>
  <c r="A537" i="27"/>
  <c r="I536" i="27" a="1"/>
  <c r="I536" i="27"/>
  <c r="H536" i="27"/>
  <c r="D536" i="27"/>
  <c r="A536" i="27"/>
  <c r="I535" i="27" a="1"/>
  <c r="I535" i="27"/>
  <c r="H535" i="27"/>
  <c r="D535" i="27"/>
  <c r="A535" i="27"/>
  <c r="I534" i="27" a="1"/>
  <c r="I534" i="27"/>
  <c r="H534" i="27"/>
  <c r="D534" i="27"/>
  <c r="A534" i="27"/>
  <c r="I533" i="27" a="1"/>
  <c r="I533" i="27"/>
  <c r="H533" i="27"/>
  <c r="D533" i="27"/>
  <c r="A533" i="27"/>
  <c r="I532" i="27" a="1"/>
  <c r="I532" i="27"/>
  <c r="H532" i="27"/>
  <c r="D532" i="27"/>
  <c r="A532" i="27"/>
  <c r="I531" i="27" a="1"/>
  <c r="I531" i="27"/>
  <c r="H531" i="27"/>
  <c r="D531" i="27"/>
  <c r="A531" i="27"/>
  <c r="I530" i="27" a="1"/>
  <c r="I530" i="27"/>
  <c r="H530" i="27"/>
  <c r="D530" i="27"/>
  <c r="A530" i="27"/>
  <c r="I529" i="27" a="1"/>
  <c r="I529" i="27"/>
  <c r="H529" i="27"/>
  <c r="D529" i="27"/>
  <c r="A529" i="27"/>
  <c r="I528" i="27" a="1"/>
  <c r="I528" i="27"/>
  <c r="H528" i="27"/>
  <c r="D528" i="27"/>
  <c r="A528" i="27"/>
  <c r="I527" i="27" a="1"/>
  <c r="I527" i="27"/>
  <c r="H527" i="27"/>
  <c r="D527" i="27"/>
  <c r="A527" i="27"/>
  <c r="I526" i="27" a="1"/>
  <c r="I526" i="27"/>
  <c r="H526" i="27"/>
  <c r="D526" i="27"/>
  <c r="A526" i="27"/>
  <c r="I525" i="27" a="1"/>
  <c r="I525" i="27"/>
  <c r="H525" i="27"/>
  <c r="D525" i="27"/>
  <c r="A525" i="27"/>
  <c r="I524" i="27" a="1"/>
  <c r="I524" i="27"/>
  <c r="H524" i="27"/>
  <c r="D524" i="27"/>
  <c r="A524" i="27"/>
  <c r="I523" i="27" a="1"/>
  <c r="I523" i="27"/>
  <c r="H523" i="27"/>
  <c r="D523" i="27"/>
  <c r="A523" i="27"/>
  <c r="I522" i="27" a="1"/>
  <c r="I522" i="27"/>
  <c r="H522" i="27"/>
  <c r="D522" i="27"/>
  <c r="A522" i="27"/>
  <c r="I521" i="27" a="1"/>
  <c r="I521" i="27"/>
  <c r="H521" i="27"/>
  <c r="D521" i="27"/>
  <c r="A521" i="27"/>
  <c r="I520" i="27" a="1"/>
  <c r="I520" i="27"/>
  <c r="H520" i="27"/>
  <c r="D520" i="27"/>
  <c r="A520" i="27"/>
  <c r="I519" i="27" a="1"/>
  <c r="I519" i="27"/>
  <c r="H519" i="27"/>
  <c r="D519" i="27"/>
  <c r="A519" i="27"/>
  <c r="I518" i="27" a="1"/>
  <c r="I518" i="27"/>
  <c r="H518" i="27"/>
  <c r="D518" i="27"/>
  <c r="A518" i="27"/>
  <c r="I517" i="27" a="1"/>
  <c r="I517" i="27"/>
  <c r="H517" i="27"/>
  <c r="D517" i="27"/>
  <c r="A517" i="27"/>
  <c r="I516" i="27" a="1"/>
  <c r="I516" i="27"/>
  <c r="H516" i="27"/>
  <c r="D516" i="27"/>
  <c r="A516" i="27"/>
  <c r="I515" i="27" a="1"/>
  <c r="I515" i="27"/>
  <c r="H515" i="27"/>
  <c r="D515" i="27"/>
  <c r="A515" i="27"/>
  <c r="I514" i="27" a="1"/>
  <c r="I514" i="27"/>
  <c r="H514" i="27"/>
  <c r="D514" i="27"/>
  <c r="A514" i="27"/>
  <c r="I513" i="27" a="1"/>
  <c r="I513" i="27"/>
  <c r="H513" i="27"/>
  <c r="D513" i="27"/>
  <c r="A513" i="27"/>
  <c r="I512" i="27" a="1"/>
  <c r="I512" i="27"/>
  <c r="H512" i="27"/>
  <c r="D512" i="27"/>
  <c r="A512" i="27"/>
  <c r="I511" i="27" a="1"/>
  <c r="I511" i="27"/>
  <c r="H511" i="27"/>
  <c r="D511" i="27"/>
  <c r="A511" i="27"/>
  <c r="I510" i="27" a="1"/>
  <c r="I510" i="27"/>
  <c r="H510" i="27"/>
  <c r="D510" i="27"/>
  <c r="A510" i="27"/>
  <c r="I509" i="27" a="1"/>
  <c r="I509" i="27"/>
  <c r="H509" i="27"/>
  <c r="D509" i="27"/>
  <c r="A509" i="27"/>
  <c r="I508" i="27" a="1"/>
  <c r="I508" i="27"/>
  <c r="H508" i="27"/>
  <c r="D508" i="27"/>
  <c r="A508" i="27"/>
  <c r="I507" i="27" a="1"/>
  <c r="I507" i="27"/>
  <c r="H507" i="27"/>
  <c r="D507" i="27"/>
  <c r="A507" i="27"/>
  <c r="I506" i="27" a="1"/>
  <c r="I506" i="27"/>
  <c r="H506" i="27"/>
  <c r="D506" i="27"/>
  <c r="A506" i="27"/>
  <c r="I505" i="27" a="1"/>
  <c r="I505" i="27"/>
  <c r="H505" i="27"/>
  <c r="D505" i="27"/>
  <c r="A505" i="27"/>
  <c r="I504" i="27" a="1"/>
  <c r="I504" i="27"/>
  <c r="H504" i="27"/>
  <c r="D504" i="27"/>
  <c r="A504" i="27"/>
  <c r="I503" i="27" a="1"/>
  <c r="I503" i="27"/>
  <c r="H503" i="27"/>
  <c r="D503" i="27"/>
  <c r="A503" i="27"/>
  <c r="I502" i="27" a="1"/>
  <c r="I502" i="27"/>
  <c r="H502" i="27"/>
  <c r="D502" i="27"/>
  <c r="A502" i="27"/>
  <c r="I501" i="27" a="1"/>
  <c r="I501" i="27"/>
  <c r="H501" i="27"/>
  <c r="D501" i="27"/>
  <c r="A501" i="27"/>
  <c r="I500" i="27" a="1"/>
  <c r="I500" i="27"/>
  <c r="H500" i="27"/>
  <c r="D500" i="27"/>
  <c r="A500" i="27"/>
  <c r="I499" i="27" a="1"/>
  <c r="I499" i="27"/>
  <c r="H499" i="27"/>
  <c r="D499" i="27"/>
  <c r="A499" i="27"/>
  <c r="I498" i="27" a="1"/>
  <c r="I498" i="27"/>
  <c r="H498" i="27"/>
  <c r="D498" i="27"/>
  <c r="A498" i="27"/>
  <c r="I497" i="27" a="1"/>
  <c r="I497" i="27"/>
  <c r="H497" i="27"/>
  <c r="D497" i="27"/>
  <c r="A497" i="27"/>
  <c r="I496" i="27" a="1"/>
  <c r="I496" i="27"/>
  <c r="H496" i="27"/>
  <c r="D496" i="27"/>
  <c r="A496" i="27"/>
  <c r="I495" i="27" a="1"/>
  <c r="I495" i="27"/>
  <c r="H495" i="27"/>
  <c r="D495" i="27"/>
  <c r="A495" i="27"/>
  <c r="I494" i="27" a="1"/>
  <c r="I494" i="27"/>
  <c r="H494" i="27"/>
  <c r="D494" i="27"/>
  <c r="A494" i="27"/>
  <c r="I493" i="27" a="1"/>
  <c r="I493" i="27"/>
  <c r="H493" i="27"/>
  <c r="D493" i="27"/>
  <c r="A493" i="27"/>
  <c r="I492" i="27" a="1"/>
  <c r="I492" i="27"/>
  <c r="H492" i="27"/>
  <c r="D492" i="27"/>
  <c r="A492" i="27"/>
  <c r="I491" i="27" a="1"/>
  <c r="I491" i="27"/>
  <c r="H491" i="27"/>
  <c r="D491" i="27"/>
  <c r="A491" i="27"/>
  <c r="I490" i="27" a="1"/>
  <c r="I490" i="27"/>
  <c r="H490" i="27"/>
  <c r="D490" i="27"/>
  <c r="A490" i="27"/>
  <c r="I489" i="27" a="1"/>
  <c r="I489" i="27"/>
  <c r="H489" i="27"/>
  <c r="D489" i="27"/>
  <c r="A489" i="27"/>
  <c r="I488" i="27" a="1"/>
  <c r="I488" i="27"/>
  <c r="H488" i="27"/>
  <c r="D488" i="27"/>
  <c r="A488" i="27"/>
  <c r="I487" i="27" a="1"/>
  <c r="I487" i="27"/>
  <c r="H487" i="27"/>
  <c r="D487" i="27"/>
  <c r="A487" i="27"/>
  <c r="I486" i="27" a="1"/>
  <c r="I486" i="27"/>
  <c r="H486" i="27"/>
  <c r="D486" i="27"/>
  <c r="A486" i="27"/>
  <c r="I485" i="27" a="1"/>
  <c r="I485" i="27"/>
  <c r="H485" i="27"/>
  <c r="D485" i="27"/>
  <c r="A485" i="27"/>
  <c r="I484" i="27" a="1"/>
  <c r="I484" i="27"/>
  <c r="H484" i="27"/>
  <c r="D484" i="27"/>
  <c r="A484" i="27"/>
  <c r="I483" i="27" a="1"/>
  <c r="I483" i="27"/>
  <c r="H483" i="27"/>
  <c r="D483" i="27"/>
  <c r="A483" i="27"/>
  <c r="I482" i="27" a="1"/>
  <c r="I482" i="27"/>
  <c r="H482" i="27"/>
  <c r="D482" i="27"/>
  <c r="A482" i="27"/>
  <c r="I481" i="27" a="1"/>
  <c r="I481" i="27"/>
  <c r="H481" i="27"/>
  <c r="D481" i="27"/>
  <c r="A481" i="27"/>
  <c r="I480" i="27" a="1"/>
  <c r="I480" i="27"/>
  <c r="H480" i="27"/>
  <c r="D480" i="27"/>
  <c r="A480" i="27"/>
  <c r="I479" i="27" a="1"/>
  <c r="I479" i="27"/>
  <c r="H479" i="27"/>
  <c r="D479" i="27"/>
  <c r="A479" i="27"/>
  <c r="I478" i="27" a="1"/>
  <c r="I478" i="27"/>
  <c r="H478" i="27"/>
  <c r="D478" i="27"/>
  <c r="A478" i="27"/>
  <c r="I477" i="27" a="1"/>
  <c r="I477" i="27"/>
  <c r="H477" i="27"/>
  <c r="D477" i="27"/>
  <c r="A477" i="27"/>
  <c r="I476" i="27" a="1"/>
  <c r="I476" i="27"/>
  <c r="H476" i="27"/>
  <c r="D476" i="27"/>
  <c r="A476" i="27"/>
  <c r="I475" i="27" a="1"/>
  <c r="I475" i="27"/>
  <c r="H475" i="27"/>
  <c r="D475" i="27"/>
  <c r="A475" i="27"/>
  <c r="I474" i="27" a="1"/>
  <c r="I474" i="27"/>
  <c r="H474" i="27"/>
  <c r="D474" i="27"/>
  <c r="A474" i="27"/>
  <c r="I473" i="27" a="1"/>
  <c r="I473" i="27"/>
  <c r="H473" i="27"/>
  <c r="D473" i="27"/>
  <c r="A473" i="27"/>
  <c r="I472" i="27" a="1"/>
  <c r="I472" i="27"/>
  <c r="H472" i="27"/>
  <c r="D472" i="27"/>
  <c r="A472" i="27"/>
  <c r="I471" i="27" a="1"/>
  <c r="I471" i="27"/>
  <c r="H471" i="27"/>
  <c r="D471" i="27"/>
  <c r="A471" i="27"/>
  <c r="I470" i="27" a="1"/>
  <c r="I470" i="27"/>
  <c r="H470" i="27"/>
  <c r="D470" i="27"/>
  <c r="A470" i="27"/>
  <c r="I469" i="27" a="1"/>
  <c r="I469" i="27"/>
  <c r="H469" i="27"/>
  <c r="D469" i="27"/>
  <c r="A469" i="27"/>
  <c r="I468" i="27" a="1"/>
  <c r="I468" i="27"/>
  <c r="H468" i="27"/>
  <c r="D468" i="27"/>
  <c r="A468" i="27"/>
  <c r="I467" i="27" a="1"/>
  <c r="I467" i="27"/>
  <c r="H467" i="27"/>
  <c r="D467" i="27"/>
  <c r="A467" i="27"/>
  <c r="I466" i="27" a="1"/>
  <c r="I466" i="27"/>
  <c r="H466" i="27"/>
  <c r="D466" i="27"/>
  <c r="A466" i="27"/>
  <c r="I465" i="27" a="1"/>
  <c r="I465" i="27"/>
  <c r="H465" i="27"/>
  <c r="D465" i="27"/>
  <c r="A465" i="27"/>
  <c r="I464" i="27" a="1"/>
  <c r="I464" i="27"/>
  <c r="H464" i="27"/>
  <c r="D464" i="27"/>
  <c r="A464" i="27"/>
  <c r="I463" i="27" a="1"/>
  <c r="I463" i="27"/>
  <c r="H463" i="27"/>
  <c r="D463" i="27"/>
  <c r="A463" i="27"/>
  <c r="I462" i="27" a="1"/>
  <c r="I462" i="27"/>
  <c r="H462" i="27"/>
  <c r="D462" i="27"/>
  <c r="A462" i="27"/>
  <c r="I461" i="27" a="1"/>
  <c r="I461" i="27"/>
  <c r="H461" i="27"/>
  <c r="D461" i="27"/>
  <c r="A461" i="27"/>
  <c r="I460" i="27" a="1"/>
  <c r="I460" i="27"/>
  <c r="H460" i="27"/>
  <c r="D460" i="27"/>
  <c r="A460" i="27"/>
  <c r="I459" i="27" a="1"/>
  <c r="I459" i="27"/>
  <c r="H459" i="27"/>
  <c r="D459" i="27"/>
  <c r="A459" i="27"/>
  <c r="I458" i="27" a="1"/>
  <c r="I458" i="27"/>
  <c r="H458" i="27"/>
  <c r="D458" i="27"/>
  <c r="A458" i="27"/>
  <c r="I457" i="27" a="1"/>
  <c r="I457" i="27"/>
  <c r="H457" i="27"/>
  <c r="D457" i="27"/>
  <c r="A457" i="27"/>
  <c r="I456" i="27" a="1"/>
  <c r="I456" i="27"/>
  <c r="H456" i="27"/>
  <c r="D456" i="27"/>
  <c r="A456" i="27"/>
  <c r="I455" i="27" a="1"/>
  <c r="I455" i="27"/>
  <c r="H455" i="27"/>
  <c r="D455" i="27"/>
  <c r="A455" i="27"/>
  <c r="I454" i="27" a="1"/>
  <c r="I454" i="27"/>
  <c r="H454" i="27"/>
  <c r="D454" i="27"/>
  <c r="A454" i="27"/>
  <c r="I453" i="27" a="1"/>
  <c r="I453" i="27"/>
  <c r="H453" i="27"/>
  <c r="D453" i="27"/>
  <c r="A453" i="27"/>
  <c r="I452" i="27" a="1"/>
  <c r="I452" i="27"/>
  <c r="H452" i="27"/>
  <c r="D452" i="27"/>
  <c r="A452" i="27"/>
  <c r="I451" i="27" a="1"/>
  <c r="I451" i="27"/>
  <c r="H451" i="27"/>
  <c r="D451" i="27"/>
  <c r="A451" i="27"/>
  <c r="I450" i="27" a="1"/>
  <c r="I450" i="27"/>
  <c r="H450" i="27"/>
  <c r="D450" i="27"/>
  <c r="A450" i="27"/>
  <c r="I449" i="27" a="1"/>
  <c r="I449" i="27"/>
  <c r="H449" i="27"/>
  <c r="D449" i="27"/>
  <c r="A449" i="27"/>
  <c r="I448" i="27" a="1"/>
  <c r="I448" i="27"/>
  <c r="H448" i="27"/>
  <c r="D448" i="27"/>
  <c r="A448" i="27"/>
  <c r="I447" i="27" a="1"/>
  <c r="I447" i="27"/>
  <c r="H447" i="27"/>
  <c r="D447" i="27"/>
  <c r="A447" i="27"/>
  <c r="I446" i="27" a="1"/>
  <c r="I446" i="27"/>
  <c r="H446" i="27"/>
  <c r="D446" i="27"/>
  <c r="A446" i="27"/>
  <c r="I445" i="27" a="1"/>
  <c r="I445" i="27"/>
  <c r="H445" i="27"/>
  <c r="D445" i="27"/>
  <c r="A445" i="27"/>
  <c r="I444" i="27" a="1"/>
  <c r="I444" i="27"/>
  <c r="H444" i="27"/>
  <c r="D444" i="27"/>
  <c r="A444" i="27"/>
  <c r="I443" i="27" a="1"/>
  <c r="I443" i="27"/>
  <c r="H443" i="27"/>
  <c r="D443" i="27"/>
  <c r="A443" i="27"/>
  <c r="I442" i="27" a="1"/>
  <c r="I442" i="27"/>
  <c r="H442" i="27"/>
  <c r="D442" i="27"/>
  <c r="A442" i="27"/>
  <c r="I441" i="27" a="1"/>
  <c r="I441" i="27"/>
  <c r="H441" i="27"/>
  <c r="D441" i="27"/>
  <c r="A441" i="27"/>
  <c r="I440" i="27" a="1"/>
  <c r="I440" i="27"/>
  <c r="H440" i="27"/>
  <c r="D440" i="27"/>
  <c r="A440" i="27"/>
  <c r="I439" i="27" a="1"/>
  <c r="I439" i="27"/>
  <c r="H439" i="27"/>
  <c r="D439" i="27"/>
  <c r="A439" i="27"/>
  <c r="I438" i="27" a="1"/>
  <c r="I438" i="27"/>
  <c r="H438" i="27"/>
  <c r="D438" i="27"/>
  <c r="A438" i="27"/>
  <c r="I437" i="27" a="1"/>
  <c r="I437" i="27"/>
  <c r="H437" i="27"/>
  <c r="D437" i="27"/>
  <c r="A437" i="27"/>
  <c r="I436" i="27" a="1"/>
  <c r="I436" i="27"/>
  <c r="H436" i="27"/>
  <c r="D436" i="27"/>
  <c r="A436" i="27"/>
  <c r="I435" i="27" a="1"/>
  <c r="I435" i="27"/>
  <c r="H435" i="27"/>
  <c r="D435" i="27"/>
  <c r="A435" i="27"/>
  <c r="I434" i="27" a="1"/>
  <c r="I434" i="27"/>
  <c r="H434" i="27"/>
  <c r="D434" i="27"/>
  <c r="A434" i="27"/>
  <c r="I433" i="27" a="1"/>
  <c r="I433" i="27"/>
  <c r="H433" i="27"/>
  <c r="D433" i="27"/>
  <c r="A433" i="27"/>
  <c r="I432" i="27" a="1"/>
  <c r="I432" i="27"/>
  <c r="H432" i="27"/>
  <c r="D432" i="27"/>
  <c r="A432" i="27"/>
  <c r="I431" i="27" a="1"/>
  <c r="I431" i="27"/>
  <c r="H431" i="27"/>
  <c r="D431" i="27"/>
  <c r="A431" i="27"/>
  <c r="I430" i="27" a="1"/>
  <c r="I430" i="27"/>
  <c r="H430" i="27"/>
  <c r="D430" i="27"/>
  <c r="A430" i="27"/>
  <c r="I429" i="27" a="1"/>
  <c r="I429" i="27"/>
  <c r="H429" i="27"/>
  <c r="D429" i="27"/>
  <c r="A429" i="27"/>
  <c r="I428" i="27" a="1"/>
  <c r="I428" i="27"/>
  <c r="H428" i="27"/>
  <c r="D428" i="27"/>
  <c r="A428" i="27"/>
  <c r="I427" i="27" a="1"/>
  <c r="I427" i="27"/>
  <c r="H427" i="27"/>
  <c r="D427" i="27"/>
  <c r="A427" i="27"/>
  <c r="I426" i="27" a="1"/>
  <c r="I426" i="27"/>
  <c r="H426" i="27"/>
  <c r="D426" i="27"/>
  <c r="A426" i="27"/>
  <c r="I425" i="27" a="1"/>
  <c r="I425" i="27"/>
  <c r="H425" i="27"/>
  <c r="D425" i="27"/>
  <c r="A425" i="27"/>
  <c r="I424" i="27" a="1"/>
  <c r="I424" i="27"/>
  <c r="H424" i="27"/>
  <c r="D424" i="27"/>
  <c r="A424" i="27"/>
  <c r="I423" i="27" a="1"/>
  <c r="I423" i="27"/>
  <c r="H423" i="27"/>
  <c r="D423" i="27"/>
  <c r="A423" i="27"/>
  <c r="I422" i="27" a="1"/>
  <c r="I422" i="27"/>
  <c r="H422" i="27"/>
  <c r="D422" i="27"/>
  <c r="A422" i="27"/>
  <c r="I421" i="27" a="1"/>
  <c r="I421" i="27"/>
  <c r="H421" i="27"/>
  <c r="D421" i="27"/>
  <c r="A421" i="27"/>
  <c r="I420" i="27" a="1"/>
  <c r="I420" i="27"/>
  <c r="H420" i="27"/>
  <c r="D420" i="27"/>
  <c r="A420" i="27"/>
  <c r="I419" i="27" a="1"/>
  <c r="I419" i="27"/>
  <c r="H419" i="27"/>
  <c r="D419" i="27"/>
  <c r="A419" i="27"/>
  <c r="I418" i="27" a="1"/>
  <c r="I418" i="27"/>
  <c r="H418" i="27"/>
  <c r="D418" i="27"/>
  <c r="A418" i="27"/>
  <c r="I417" i="27" a="1"/>
  <c r="I417" i="27"/>
  <c r="H417" i="27"/>
  <c r="D417" i="27"/>
  <c r="A417" i="27"/>
  <c r="I416" i="27" a="1"/>
  <c r="I416" i="27"/>
  <c r="H416" i="27"/>
  <c r="D416" i="27"/>
  <c r="A416" i="27"/>
  <c r="I415" i="27" a="1"/>
  <c r="I415" i="27"/>
  <c r="H415" i="27"/>
  <c r="D415" i="27"/>
  <c r="A415" i="27"/>
  <c r="I414" i="27" a="1"/>
  <c r="I414" i="27"/>
  <c r="H414" i="27"/>
  <c r="D414" i="27"/>
  <c r="A414" i="27"/>
  <c r="I413" i="27" a="1"/>
  <c r="I413" i="27"/>
  <c r="H413" i="27"/>
  <c r="D413" i="27"/>
  <c r="A413" i="27"/>
  <c r="I412" i="27" a="1"/>
  <c r="I412" i="27"/>
  <c r="H412" i="27"/>
  <c r="D412" i="27"/>
  <c r="A412" i="27"/>
  <c r="I411" i="27" a="1"/>
  <c r="I411" i="27"/>
  <c r="H411" i="27"/>
  <c r="D411" i="27"/>
  <c r="A411" i="27"/>
  <c r="I410" i="27" a="1"/>
  <c r="I410" i="27"/>
  <c r="H410" i="27"/>
  <c r="D410" i="27"/>
  <c r="A410" i="27"/>
  <c r="I409" i="27" a="1"/>
  <c r="I409" i="27"/>
  <c r="H409" i="27"/>
  <c r="D409" i="27"/>
  <c r="A409" i="27"/>
  <c r="I408" i="27" a="1"/>
  <c r="I408" i="27"/>
  <c r="H408" i="27"/>
  <c r="D408" i="27"/>
  <c r="A408" i="27"/>
  <c r="I407" i="27" a="1"/>
  <c r="I407" i="27"/>
  <c r="H407" i="27"/>
  <c r="D407" i="27"/>
  <c r="A407" i="27"/>
  <c r="I406" i="27" a="1"/>
  <c r="I406" i="27"/>
  <c r="H406" i="27"/>
  <c r="D406" i="27"/>
  <c r="A406" i="27"/>
  <c r="I405" i="27" a="1"/>
  <c r="I405" i="27"/>
  <c r="H405" i="27"/>
  <c r="D405" i="27"/>
  <c r="A405" i="27"/>
  <c r="I404" i="27" a="1"/>
  <c r="I404" i="27"/>
  <c r="H404" i="27"/>
  <c r="D404" i="27"/>
  <c r="A404" i="27"/>
  <c r="I403" i="27" a="1"/>
  <c r="I403" i="27"/>
  <c r="H403" i="27"/>
  <c r="D403" i="27"/>
  <c r="A403" i="27"/>
  <c r="I402" i="27" a="1"/>
  <c r="I402" i="27"/>
  <c r="H402" i="27"/>
  <c r="D402" i="27"/>
  <c r="A402" i="27"/>
  <c r="I401" i="27" a="1"/>
  <c r="I401" i="27"/>
  <c r="H401" i="27"/>
  <c r="D401" i="27"/>
  <c r="A401" i="27"/>
  <c r="I400" i="27" a="1"/>
  <c r="I400" i="27"/>
  <c r="H400" i="27"/>
  <c r="D400" i="27"/>
  <c r="A400" i="27"/>
  <c r="I399" i="27" a="1"/>
  <c r="I399" i="27"/>
  <c r="H399" i="27"/>
  <c r="D399" i="27"/>
  <c r="A399" i="27"/>
  <c r="I398" i="27" a="1"/>
  <c r="I398" i="27"/>
  <c r="H398" i="27"/>
  <c r="D398" i="27"/>
  <c r="A398" i="27"/>
  <c r="I397" i="27" a="1"/>
  <c r="I397" i="27"/>
  <c r="H397" i="27"/>
  <c r="D397" i="27"/>
  <c r="A397" i="27"/>
  <c r="I396" i="27" a="1"/>
  <c r="I396" i="27"/>
  <c r="H396" i="27"/>
  <c r="D396" i="27"/>
  <c r="A396" i="27"/>
  <c r="I395" i="27" a="1"/>
  <c r="I395" i="27"/>
  <c r="H395" i="27"/>
  <c r="D395" i="27"/>
  <c r="A395" i="27"/>
  <c r="I394" i="27" a="1"/>
  <c r="I394" i="27"/>
  <c r="H394" i="27"/>
  <c r="D394" i="27"/>
  <c r="A394" i="27"/>
  <c r="I393" i="27" a="1"/>
  <c r="I393" i="27"/>
  <c r="H393" i="27"/>
  <c r="D393" i="27"/>
  <c r="A393" i="27"/>
  <c r="I392" i="27" a="1"/>
  <c r="I392" i="27"/>
  <c r="H392" i="27"/>
  <c r="D392" i="27"/>
  <c r="A392" i="27"/>
  <c r="I391" i="27" a="1"/>
  <c r="I391" i="27"/>
  <c r="H391" i="27"/>
  <c r="D391" i="27"/>
  <c r="A391" i="27"/>
  <c r="I390" i="27" a="1"/>
  <c r="I390" i="27"/>
  <c r="H390" i="27"/>
  <c r="D390" i="27"/>
  <c r="A390" i="27"/>
  <c r="I389" i="27" a="1"/>
  <c r="I389" i="27"/>
  <c r="H389" i="27"/>
  <c r="D389" i="27"/>
  <c r="A389" i="27"/>
  <c r="I388" i="27" a="1"/>
  <c r="I388" i="27"/>
  <c r="H388" i="27"/>
  <c r="D388" i="27"/>
  <c r="A388" i="27"/>
  <c r="I387" i="27" a="1"/>
  <c r="I387" i="27"/>
  <c r="H387" i="27"/>
  <c r="D387" i="27"/>
  <c r="A387" i="27"/>
  <c r="I386" i="27" a="1"/>
  <c r="I386" i="27"/>
  <c r="H386" i="27"/>
  <c r="D386" i="27"/>
  <c r="A386" i="27"/>
  <c r="I385" i="27" a="1"/>
  <c r="I385" i="27"/>
  <c r="H385" i="27"/>
  <c r="D385" i="27"/>
  <c r="A385" i="27"/>
  <c r="I384" i="27" a="1"/>
  <c r="I384" i="27"/>
  <c r="H384" i="27"/>
  <c r="D384" i="27"/>
  <c r="A384" i="27"/>
  <c r="I383" i="27" a="1"/>
  <c r="I383" i="27"/>
  <c r="H383" i="27"/>
  <c r="D383" i="27"/>
  <c r="A383" i="27"/>
  <c r="I382" i="27" a="1"/>
  <c r="I382" i="27"/>
  <c r="H382" i="27"/>
  <c r="D382" i="27"/>
  <c r="A382" i="27"/>
  <c r="I381" i="27" a="1"/>
  <c r="I381" i="27"/>
  <c r="H381" i="27"/>
  <c r="D381" i="27"/>
  <c r="A381" i="27"/>
  <c r="I380" i="27" a="1"/>
  <c r="I380" i="27"/>
  <c r="H380" i="27"/>
  <c r="D380" i="27"/>
  <c r="A380" i="27"/>
  <c r="I379" i="27" a="1"/>
  <c r="I379" i="27"/>
  <c r="H379" i="27"/>
  <c r="D379" i="27"/>
  <c r="A379" i="27"/>
  <c r="I378" i="27" a="1"/>
  <c r="I378" i="27"/>
  <c r="H378" i="27"/>
  <c r="D378" i="27"/>
  <c r="A378" i="27"/>
  <c r="I377" i="27" a="1"/>
  <c r="I377" i="27"/>
  <c r="H377" i="27"/>
  <c r="D377" i="27"/>
  <c r="A377" i="27"/>
  <c r="I376" i="27" a="1"/>
  <c r="I376" i="27"/>
  <c r="H376" i="27"/>
  <c r="D376" i="27"/>
  <c r="A376" i="27"/>
  <c r="I375" i="27" a="1"/>
  <c r="I375" i="27"/>
  <c r="H375" i="27"/>
  <c r="D375" i="27"/>
  <c r="A375" i="27"/>
  <c r="I374" i="27" a="1"/>
  <c r="I374" i="27"/>
  <c r="H374" i="27"/>
  <c r="D374" i="27"/>
  <c r="A374" i="27"/>
  <c r="I373" i="27" a="1"/>
  <c r="I373" i="27"/>
  <c r="H373" i="27"/>
  <c r="D373" i="27"/>
  <c r="A373" i="27"/>
  <c r="I372" i="27" a="1"/>
  <c r="I372" i="27"/>
  <c r="H372" i="27"/>
  <c r="D372" i="27"/>
  <c r="A372" i="27"/>
  <c r="I371" i="27" a="1"/>
  <c r="I371" i="27"/>
  <c r="H371" i="27"/>
  <c r="D371" i="27"/>
  <c r="A371" i="27"/>
  <c r="I370" i="27" a="1"/>
  <c r="I370" i="27"/>
  <c r="H370" i="27"/>
  <c r="D370" i="27"/>
  <c r="A370" i="27"/>
  <c r="I369" i="27" a="1"/>
  <c r="I369" i="27"/>
  <c r="H369" i="27"/>
  <c r="D369" i="27"/>
  <c r="A369" i="27"/>
  <c r="I368" i="27" a="1"/>
  <c r="I368" i="27"/>
  <c r="H368" i="27"/>
  <c r="D368" i="27"/>
  <c r="A368" i="27"/>
  <c r="I367" i="27" a="1"/>
  <c r="I367" i="27"/>
  <c r="H367" i="27"/>
  <c r="D367" i="27"/>
  <c r="A367" i="27"/>
  <c r="I366" i="27" a="1"/>
  <c r="I366" i="27"/>
  <c r="H366" i="27"/>
  <c r="D366" i="27"/>
  <c r="A366" i="27"/>
  <c r="I365" i="27" a="1"/>
  <c r="I365" i="27"/>
  <c r="H365" i="27"/>
  <c r="D365" i="27"/>
  <c r="A365" i="27"/>
  <c r="I364" i="27" a="1"/>
  <c r="I364" i="27"/>
  <c r="H364" i="27"/>
  <c r="D364" i="27"/>
  <c r="A364" i="27"/>
  <c r="I363" i="27" a="1"/>
  <c r="I363" i="27"/>
  <c r="H363" i="27"/>
  <c r="D363" i="27"/>
  <c r="A363" i="27"/>
  <c r="I362" i="27" a="1"/>
  <c r="I362" i="27"/>
  <c r="H362" i="27"/>
  <c r="D362" i="27"/>
  <c r="A362" i="27"/>
  <c r="I361" i="27" a="1"/>
  <c r="I361" i="27"/>
  <c r="H361" i="27"/>
  <c r="D361" i="27"/>
  <c r="A361" i="27"/>
  <c r="I360" i="27" a="1"/>
  <c r="I360" i="27"/>
  <c r="H360" i="27"/>
  <c r="D360" i="27"/>
  <c r="A360" i="27"/>
  <c r="I359" i="27" a="1"/>
  <c r="I359" i="27"/>
  <c r="H359" i="27"/>
  <c r="D359" i="27"/>
  <c r="A359" i="27"/>
  <c r="I358" i="27" a="1"/>
  <c r="I358" i="27"/>
  <c r="H358" i="27"/>
  <c r="D358" i="27"/>
  <c r="A358" i="27"/>
  <c r="I357" i="27" a="1"/>
  <c r="I357" i="27"/>
  <c r="H357" i="27"/>
  <c r="D357" i="27"/>
  <c r="A357" i="27"/>
  <c r="I356" i="27" a="1"/>
  <c r="I356" i="27"/>
  <c r="H356" i="27"/>
  <c r="D356" i="27"/>
  <c r="A356" i="27"/>
  <c r="I355" i="27" a="1"/>
  <c r="I355" i="27"/>
  <c r="H355" i="27"/>
  <c r="D355" i="27"/>
  <c r="A355" i="27"/>
  <c r="I354" i="27" a="1"/>
  <c r="I354" i="27"/>
  <c r="H354" i="27"/>
  <c r="D354" i="27"/>
  <c r="A354" i="27"/>
  <c r="I353" i="27" a="1"/>
  <c r="I353" i="27"/>
  <c r="H353" i="27"/>
  <c r="D353" i="27"/>
  <c r="A353" i="27"/>
  <c r="I352" i="27" a="1"/>
  <c r="I352" i="27"/>
  <c r="H352" i="27"/>
  <c r="D352" i="27"/>
  <c r="A352" i="27"/>
  <c r="I351" i="27" a="1"/>
  <c r="I351" i="27"/>
  <c r="H351" i="27"/>
  <c r="D351" i="27"/>
  <c r="A351" i="27"/>
  <c r="I350" i="27" a="1"/>
  <c r="I350" i="27"/>
  <c r="H350" i="27"/>
  <c r="D350" i="27"/>
  <c r="A350" i="27"/>
  <c r="I349" i="27" a="1"/>
  <c r="I349" i="27"/>
  <c r="H349" i="27"/>
  <c r="D349" i="27"/>
  <c r="A349" i="27"/>
  <c r="I348" i="27" a="1"/>
  <c r="I348" i="27"/>
  <c r="H348" i="27"/>
  <c r="D348" i="27"/>
  <c r="A348" i="27"/>
  <c r="I347" i="27" a="1"/>
  <c r="I347" i="27"/>
  <c r="H347" i="27"/>
  <c r="D347" i="27"/>
  <c r="A347" i="27"/>
  <c r="I346" i="27" a="1"/>
  <c r="I346" i="27"/>
  <c r="H346" i="27"/>
  <c r="D346" i="27"/>
  <c r="A346" i="27"/>
  <c r="I345" i="27" a="1"/>
  <c r="I345" i="27"/>
  <c r="H345" i="27"/>
  <c r="D345" i="27"/>
  <c r="A345" i="27"/>
  <c r="I344" i="27" a="1"/>
  <c r="I344" i="27"/>
  <c r="H344" i="27"/>
  <c r="D344" i="27"/>
  <c r="A344" i="27"/>
  <c r="I343" i="27" a="1"/>
  <c r="I343" i="27"/>
  <c r="H343" i="27"/>
  <c r="D343" i="27"/>
  <c r="A343" i="27"/>
  <c r="I342" i="27" a="1"/>
  <c r="I342" i="27"/>
  <c r="H342" i="27"/>
  <c r="D342" i="27"/>
  <c r="A342" i="27"/>
  <c r="I341" i="27" a="1"/>
  <c r="I341" i="27"/>
  <c r="H341" i="27"/>
  <c r="D341" i="27"/>
  <c r="A341" i="27"/>
  <c r="I340" i="27" a="1"/>
  <c r="I340" i="27"/>
  <c r="H340" i="27"/>
  <c r="D340" i="27"/>
  <c r="A340" i="27"/>
  <c r="I339" i="27" a="1"/>
  <c r="I339" i="27"/>
  <c r="H339" i="27"/>
  <c r="D339" i="27"/>
  <c r="A339" i="27"/>
  <c r="I338" i="27" a="1"/>
  <c r="I338" i="27"/>
  <c r="H338" i="27"/>
  <c r="D338" i="27"/>
  <c r="A338" i="27"/>
  <c r="I337" i="27" a="1"/>
  <c r="I337" i="27"/>
  <c r="H337" i="27"/>
  <c r="D337" i="27"/>
  <c r="A337" i="27"/>
  <c r="I336" i="27" a="1"/>
  <c r="I336" i="27"/>
  <c r="H336" i="27"/>
  <c r="D336" i="27"/>
  <c r="A336" i="27"/>
  <c r="I335" i="27" a="1"/>
  <c r="I335" i="27"/>
  <c r="H335" i="27"/>
  <c r="D335" i="27"/>
  <c r="A335" i="27"/>
  <c r="I334" i="27" a="1"/>
  <c r="I334" i="27"/>
  <c r="H334" i="27"/>
  <c r="D334" i="27"/>
  <c r="A334" i="27"/>
  <c r="I333" i="27" a="1"/>
  <c r="I333" i="27"/>
  <c r="H333" i="27"/>
  <c r="D333" i="27"/>
  <c r="A333" i="27"/>
  <c r="I332" i="27" a="1"/>
  <c r="I332" i="27"/>
  <c r="H332" i="27"/>
  <c r="D332" i="27"/>
  <c r="A332" i="27"/>
  <c r="I331" i="27" a="1"/>
  <c r="I331" i="27"/>
  <c r="H331" i="27"/>
  <c r="D331" i="27"/>
  <c r="A331" i="27"/>
  <c r="I330" i="27" a="1"/>
  <c r="I330" i="27"/>
  <c r="H330" i="27"/>
  <c r="D330" i="27"/>
  <c r="A330" i="27"/>
  <c r="I329" i="27" a="1"/>
  <c r="I329" i="27"/>
  <c r="H329" i="27"/>
  <c r="D329" i="27"/>
  <c r="A329" i="27"/>
  <c r="I328" i="27" a="1"/>
  <c r="I328" i="27"/>
  <c r="H328" i="27"/>
  <c r="D328" i="27"/>
  <c r="A328" i="27"/>
  <c r="I327" i="27" a="1"/>
  <c r="I327" i="27"/>
  <c r="H327" i="27"/>
  <c r="D327" i="27"/>
  <c r="A327" i="27"/>
  <c r="I326" i="27" a="1"/>
  <c r="I326" i="27"/>
  <c r="H326" i="27"/>
  <c r="D326" i="27"/>
  <c r="A326" i="27"/>
  <c r="I325" i="27" a="1"/>
  <c r="I325" i="27"/>
  <c r="H325" i="27"/>
  <c r="D325" i="27"/>
  <c r="A325" i="27"/>
  <c r="I324" i="27" a="1"/>
  <c r="I324" i="27"/>
  <c r="H324" i="27"/>
  <c r="D324" i="27"/>
  <c r="A324" i="27"/>
  <c r="I323" i="27" a="1"/>
  <c r="I323" i="27"/>
  <c r="H323" i="27"/>
  <c r="D323" i="27"/>
  <c r="A323" i="27"/>
  <c r="I322" i="27" a="1"/>
  <c r="I322" i="27"/>
  <c r="H322" i="27"/>
  <c r="D322" i="27"/>
  <c r="A322" i="27"/>
  <c r="I321" i="27" a="1"/>
  <c r="I321" i="27"/>
  <c r="H321" i="27"/>
  <c r="D321" i="27"/>
  <c r="A321" i="27"/>
  <c r="I320" i="27" a="1"/>
  <c r="I320" i="27"/>
  <c r="H320" i="27"/>
  <c r="D320" i="27"/>
  <c r="A320" i="27"/>
  <c r="I319" i="27" a="1"/>
  <c r="I319" i="27"/>
  <c r="H319" i="27"/>
  <c r="D319" i="27"/>
  <c r="A319" i="27"/>
  <c r="I318" i="27" a="1"/>
  <c r="I318" i="27"/>
  <c r="H318" i="27"/>
  <c r="D318" i="27"/>
  <c r="A318" i="27"/>
  <c r="I317" i="27" a="1"/>
  <c r="I317" i="27"/>
  <c r="H317" i="27"/>
  <c r="D317" i="27"/>
  <c r="A317" i="27"/>
  <c r="I316" i="27" a="1"/>
  <c r="I316" i="27"/>
  <c r="H316" i="27"/>
  <c r="D316" i="27"/>
  <c r="A316" i="27"/>
  <c r="I315" i="27" a="1"/>
  <c r="I315" i="27"/>
  <c r="H315" i="27"/>
  <c r="D315" i="27"/>
  <c r="A315" i="27"/>
  <c r="I314" i="27" a="1"/>
  <c r="I314" i="27"/>
  <c r="H314" i="27"/>
  <c r="D314" i="27"/>
  <c r="A314" i="27"/>
  <c r="I313" i="27" a="1"/>
  <c r="I313" i="27"/>
  <c r="H313" i="27"/>
  <c r="D313" i="27"/>
  <c r="A313" i="27"/>
  <c r="I312" i="27" a="1"/>
  <c r="I312" i="27"/>
  <c r="H312" i="27"/>
  <c r="D312" i="27"/>
  <c r="A312" i="27"/>
  <c r="I311" i="27" a="1"/>
  <c r="I311" i="27"/>
  <c r="H311" i="27"/>
  <c r="D311" i="27"/>
  <c r="A311" i="27"/>
  <c r="I310" i="27" a="1"/>
  <c r="I310" i="27"/>
  <c r="H310" i="27"/>
  <c r="D310" i="27"/>
  <c r="A310" i="27"/>
  <c r="I309" i="27" a="1"/>
  <c r="I309" i="27"/>
  <c r="H309" i="27"/>
  <c r="D309" i="27"/>
  <c r="A309" i="27"/>
  <c r="I308" i="27" a="1"/>
  <c r="I308" i="27"/>
  <c r="H308" i="27"/>
  <c r="D308" i="27"/>
  <c r="A308" i="27"/>
  <c r="I307" i="27" a="1"/>
  <c r="I307" i="27"/>
  <c r="H307" i="27"/>
  <c r="D307" i="27"/>
  <c r="A307" i="27"/>
  <c r="I306" i="27" a="1"/>
  <c r="I306" i="27"/>
  <c r="H306" i="27"/>
  <c r="D306" i="27"/>
  <c r="A306" i="27"/>
  <c r="I305" i="27" a="1"/>
  <c r="I305" i="27"/>
  <c r="H305" i="27"/>
  <c r="D305" i="27"/>
  <c r="A305" i="27"/>
  <c r="I304" i="27" a="1"/>
  <c r="I304" i="27"/>
  <c r="H304" i="27"/>
  <c r="D304" i="27"/>
  <c r="A304" i="27"/>
  <c r="I303" i="27" a="1"/>
  <c r="I303" i="27"/>
  <c r="H303" i="27"/>
  <c r="D303" i="27"/>
  <c r="A303" i="27"/>
  <c r="I302" i="27" a="1"/>
  <c r="I302" i="27"/>
  <c r="H302" i="27"/>
  <c r="D302" i="27"/>
  <c r="A302" i="27"/>
  <c r="I301" i="27" a="1"/>
  <c r="I301" i="27"/>
  <c r="H301" i="27"/>
  <c r="D301" i="27"/>
  <c r="A301" i="27"/>
  <c r="I300" i="27" a="1"/>
  <c r="I300" i="27"/>
  <c r="H300" i="27"/>
  <c r="D300" i="27"/>
  <c r="A300" i="27"/>
  <c r="I299" i="27" a="1"/>
  <c r="I299" i="27"/>
  <c r="H299" i="27"/>
  <c r="D299" i="27"/>
  <c r="A299" i="27"/>
  <c r="I298" i="27" a="1"/>
  <c r="I298" i="27"/>
  <c r="H298" i="27"/>
  <c r="D298" i="27"/>
  <c r="A298" i="27"/>
  <c r="I297" i="27" a="1"/>
  <c r="I297" i="27"/>
  <c r="H297" i="27"/>
  <c r="D297" i="27"/>
  <c r="A297" i="27"/>
  <c r="I296" i="27" a="1"/>
  <c r="I296" i="27"/>
  <c r="H296" i="27"/>
  <c r="D296" i="27"/>
  <c r="A296" i="27"/>
  <c r="I295" i="27" a="1"/>
  <c r="I295" i="27"/>
  <c r="H295" i="27"/>
  <c r="D295" i="27"/>
  <c r="A295" i="27"/>
  <c r="I294" i="27" a="1"/>
  <c r="I294" i="27"/>
  <c r="H294" i="27"/>
  <c r="D294" i="27"/>
  <c r="A294" i="27"/>
  <c r="I293" i="27" a="1"/>
  <c r="I293" i="27"/>
  <c r="H293" i="27"/>
  <c r="D293" i="27"/>
  <c r="A293" i="27"/>
  <c r="I292" i="27" a="1"/>
  <c r="I292" i="27"/>
  <c r="H292" i="27"/>
  <c r="D292" i="27"/>
  <c r="A292" i="27"/>
  <c r="I291" i="27" a="1"/>
  <c r="I291" i="27"/>
  <c r="H291" i="27"/>
  <c r="D291" i="27"/>
  <c r="A291" i="27"/>
  <c r="I290" i="27" a="1"/>
  <c r="I290" i="27"/>
  <c r="H290" i="27"/>
  <c r="D290" i="27"/>
  <c r="A290" i="27"/>
  <c r="I289" i="27" a="1"/>
  <c r="I289" i="27"/>
  <c r="H289" i="27"/>
  <c r="D289" i="27"/>
  <c r="A289" i="27"/>
  <c r="I288" i="27" a="1"/>
  <c r="I288" i="27"/>
  <c r="H288" i="27"/>
  <c r="D288" i="27"/>
  <c r="A288" i="27"/>
  <c r="I287" i="27" a="1"/>
  <c r="I287" i="27"/>
  <c r="H287" i="27"/>
  <c r="D287" i="27"/>
  <c r="A287" i="27"/>
  <c r="I286" i="27" a="1"/>
  <c r="I286" i="27"/>
  <c r="H286" i="27"/>
  <c r="D286" i="27"/>
  <c r="A286" i="27"/>
  <c r="I285" i="27" a="1"/>
  <c r="I285" i="27"/>
  <c r="H285" i="27"/>
  <c r="D285" i="27"/>
  <c r="A285" i="27"/>
  <c r="I284" i="27" a="1"/>
  <c r="I284" i="27"/>
  <c r="H284" i="27"/>
  <c r="D284" i="27"/>
  <c r="A284" i="27"/>
  <c r="I283" i="27" a="1"/>
  <c r="I283" i="27"/>
  <c r="H283" i="27"/>
  <c r="D283" i="27"/>
  <c r="A283" i="27"/>
  <c r="I282" i="27" a="1"/>
  <c r="I282" i="27"/>
  <c r="H282" i="27"/>
  <c r="D282" i="27"/>
  <c r="A282" i="27"/>
  <c r="I281" i="27" a="1"/>
  <c r="I281" i="27"/>
  <c r="H281" i="27"/>
  <c r="D281" i="27"/>
  <c r="A281" i="27"/>
  <c r="I280" i="27" a="1"/>
  <c r="I280" i="27"/>
  <c r="H280" i="27"/>
  <c r="D280" i="27"/>
  <c r="A280" i="27"/>
  <c r="I279" i="27" a="1"/>
  <c r="I279" i="27"/>
  <c r="H279" i="27"/>
  <c r="D279" i="27"/>
  <c r="A279" i="27"/>
  <c r="I278" i="27" a="1"/>
  <c r="I278" i="27"/>
  <c r="H278" i="27"/>
  <c r="D278" i="27"/>
  <c r="A278" i="27"/>
  <c r="I277" i="27" a="1"/>
  <c r="I277" i="27"/>
  <c r="H277" i="27"/>
  <c r="D277" i="27"/>
  <c r="A277" i="27"/>
  <c r="I276" i="27" a="1"/>
  <c r="I276" i="27"/>
  <c r="H276" i="27"/>
  <c r="D276" i="27"/>
  <c r="A276" i="27"/>
  <c r="I275" i="27" a="1"/>
  <c r="I275" i="27"/>
  <c r="H275" i="27"/>
  <c r="D275" i="27"/>
  <c r="A275" i="27"/>
  <c r="I274" i="27" a="1"/>
  <c r="I274" i="27"/>
  <c r="H274" i="27"/>
  <c r="D274" i="27"/>
  <c r="A274" i="27"/>
  <c r="I273" i="27" a="1"/>
  <c r="I273" i="27"/>
  <c r="H273" i="27"/>
  <c r="D273" i="27"/>
  <c r="A273" i="27"/>
  <c r="I272" i="27" a="1"/>
  <c r="I272" i="27"/>
  <c r="H272" i="27"/>
  <c r="D272" i="27"/>
  <c r="A272" i="27"/>
  <c r="I271" i="27" a="1"/>
  <c r="I271" i="27"/>
  <c r="H271" i="27"/>
  <c r="D271" i="27"/>
  <c r="A271" i="27"/>
  <c r="I270" i="27" a="1"/>
  <c r="I270" i="27"/>
  <c r="H270" i="27"/>
  <c r="D270" i="27"/>
  <c r="A270" i="27"/>
  <c r="I269" i="27" a="1"/>
  <c r="I269" i="27"/>
  <c r="H269" i="27"/>
  <c r="D269" i="27"/>
  <c r="A269" i="27"/>
  <c r="I268" i="27" a="1"/>
  <c r="I268" i="27"/>
  <c r="H268" i="27"/>
  <c r="D268" i="27"/>
  <c r="A268" i="27"/>
  <c r="I267" i="27" a="1"/>
  <c r="I267" i="27"/>
  <c r="H267" i="27"/>
  <c r="D267" i="27"/>
  <c r="A267" i="27"/>
  <c r="I266" i="27" a="1"/>
  <c r="I266" i="27"/>
  <c r="H266" i="27"/>
  <c r="D266" i="27"/>
  <c r="A266" i="27"/>
  <c r="I265" i="27" a="1"/>
  <c r="I265" i="27"/>
  <c r="H265" i="27"/>
  <c r="D265" i="27"/>
  <c r="A265" i="27"/>
  <c r="I264" i="27" a="1"/>
  <c r="I264" i="27"/>
  <c r="H264" i="27"/>
  <c r="D264" i="27"/>
  <c r="A264" i="27"/>
  <c r="I263" i="27" a="1"/>
  <c r="I263" i="27"/>
  <c r="H263" i="27"/>
  <c r="D263" i="27"/>
  <c r="A263" i="27"/>
  <c r="I262" i="27" a="1"/>
  <c r="I262" i="27"/>
  <c r="H262" i="27"/>
  <c r="D262" i="27"/>
  <c r="A262" i="27"/>
  <c r="I261" i="27" a="1"/>
  <c r="I261" i="27"/>
  <c r="H261" i="27"/>
  <c r="D261" i="27"/>
  <c r="A261" i="27"/>
  <c r="I260" i="27" a="1"/>
  <c r="I260" i="27"/>
  <c r="H260" i="27"/>
  <c r="D260" i="27"/>
  <c r="A260" i="27"/>
  <c r="I259" i="27" a="1"/>
  <c r="I259" i="27"/>
  <c r="H259" i="27"/>
  <c r="D259" i="27"/>
  <c r="A259" i="27"/>
  <c r="I258" i="27" a="1"/>
  <c r="I258" i="27"/>
  <c r="H258" i="27"/>
  <c r="D258" i="27"/>
  <c r="A258" i="27"/>
  <c r="I257" i="27" a="1"/>
  <c r="I257" i="27"/>
  <c r="H257" i="27"/>
  <c r="D257" i="27"/>
  <c r="A257" i="27"/>
  <c r="I256" i="27" a="1"/>
  <c r="I256" i="27"/>
  <c r="H256" i="27"/>
  <c r="D256" i="27"/>
  <c r="A256" i="27"/>
  <c r="I255" i="27" a="1"/>
  <c r="I255" i="27"/>
  <c r="H255" i="27"/>
  <c r="D255" i="27"/>
  <c r="A255" i="27"/>
  <c r="I254" i="27" a="1"/>
  <c r="I254" i="27"/>
  <c r="H254" i="27"/>
  <c r="D254" i="27"/>
  <c r="A254" i="27"/>
  <c r="I253" i="27" a="1"/>
  <c r="I253" i="27"/>
  <c r="H253" i="27"/>
  <c r="D253" i="27"/>
  <c r="A253" i="27"/>
  <c r="I252" i="27" a="1"/>
  <c r="I252" i="27"/>
  <c r="H252" i="27"/>
  <c r="D252" i="27"/>
  <c r="A252" i="27"/>
  <c r="I251" i="27" a="1"/>
  <c r="I251" i="27"/>
  <c r="H251" i="27"/>
  <c r="D251" i="27"/>
  <c r="A251" i="27"/>
  <c r="I250" i="27" a="1"/>
  <c r="I250" i="27"/>
  <c r="H250" i="27"/>
  <c r="D250" i="27"/>
  <c r="A250" i="27"/>
  <c r="I249" i="27" a="1"/>
  <c r="I249" i="27"/>
  <c r="H249" i="27"/>
  <c r="D249" i="27"/>
  <c r="A249" i="27"/>
  <c r="I248" i="27" a="1"/>
  <c r="I248" i="27"/>
  <c r="H248" i="27"/>
  <c r="D248" i="27"/>
  <c r="A248" i="27"/>
  <c r="I247" i="27" a="1"/>
  <c r="I247" i="27"/>
  <c r="H247" i="27"/>
  <c r="D247" i="27"/>
  <c r="A247" i="27"/>
  <c r="I246" i="27" a="1"/>
  <c r="I246" i="27"/>
  <c r="H246" i="27"/>
  <c r="D246" i="27"/>
  <c r="A246" i="27"/>
  <c r="I245" i="27" a="1"/>
  <c r="I245" i="27"/>
  <c r="H245" i="27"/>
  <c r="D245" i="27"/>
  <c r="A245" i="27"/>
  <c r="I244" i="27" a="1"/>
  <c r="I244" i="27"/>
  <c r="H244" i="27"/>
  <c r="D244" i="27"/>
  <c r="A244" i="27"/>
  <c r="I243" i="27" a="1"/>
  <c r="I243" i="27"/>
  <c r="H243" i="27"/>
  <c r="D243" i="27"/>
  <c r="A243" i="27"/>
  <c r="I242" i="27" a="1"/>
  <c r="I242" i="27"/>
  <c r="H242" i="27"/>
  <c r="D242" i="27"/>
  <c r="A242" i="27"/>
  <c r="I241" i="27" a="1"/>
  <c r="I241" i="27"/>
  <c r="H241" i="27"/>
  <c r="D241" i="27"/>
  <c r="A241" i="27"/>
  <c r="I240" i="27" a="1"/>
  <c r="I240" i="27"/>
  <c r="H240" i="27"/>
  <c r="D240" i="27"/>
  <c r="A240" i="27"/>
  <c r="I239" i="27" a="1"/>
  <c r="I239" i="27"/>
  <c r="H239" i="27"/>
  <c r="D239" i="27"/>
  <c r="A239" i="27"/>
  <c r="I238" i="27" a="1"/>
  <c r="I238" i="27"/>
  <c r="H238" i="27"/>
  <c r="D238" i="27"/>
  <c r="A238" i="27"/>
  <c r="I237" i="27" a="1"/>
  <c r="I237" i="27"/>
  <c r="H237" i="27"/>
  <c r="D237" i="27"/>
  <c r="A237" i="27"/>
  <c r="I236" i="27" a="1"/>
  <c r="I236" i="27"/>
  <c r="H236" i="27"/>
  <c r="D236" i="27"/>
  <c r="A236" i="27"/>
  <c r="I235" i="27" a="1"/>
  <c r="I235" i="27"/>
  <c r="H235" i="27"/>
  <c r="D235" i="27"/>
  <c r="A235" i="27"/>
  <c r="I234" i="27" a="1"/>
  <c r="I234" i="27"/>
  <c r="H234" i="27"/>
  <c r="D234" i="27"/>
  <c r="A234" i="27"/>
  <c r="I233" i="27" a="1"/>
  <c r="I233" i="27"/>
  <c r="H233" i="27"/>
  <c r="D233" i="27"/>
  <c r="A233" i="27"/>
  <c r="I232" i="27" a="1"/>
  <c r="I232" i="27"/>
  <c r="H232" i="27"/>
  <c r="D232" i="27"/>
  <c r="A232" i="27"/>
  <c r="I231" i="27" a="1"/>
  <c r="I231" i="27"/>
  <c r="H231" i="27"/>
  <c r="D231" i="27"/>
  <c r="A231" i="27"/>
  <c r="I230" i="27" a="1"/>
  <c r="I230" i="27"/>
  <c r="H230" i="27"/>
  <c r="D230" i="27"/>
  <c r="A230" i="27"/>
  <c r="I229" i="27" a="1"/>
  <c r="I229" i="27"/>
  <c r="H229" i="27"/>
  <c r="D229" i="27"/>
  <c r="A229" i="27"/>
  <c r="I228" i="27" a="1"/>
  <c r="I228" i="27"/>
  <c r="H228" i="27"/>
  <c r="D228" i="27"/>
  <c r="A228" i="27"/>
  <c r="I227" i="27" a="1"/>
  <c r="I227" i="27"/>
  <c r="H227" i="27"/>
  <c r="D227" i="27"/>
  <c r="A227" i="27"/>
  <c r="I226" i="27" a="1"/>
  <c r="I226" i="27"/>
  <c r="H226" i="27"/>
  <c r="D226" i="27"/>
  <c r="A226" i="27"/>
  <c r="I225" i="27" a="1"/>
  <c r="I225" i="27"/>
  <c r="H225" i="27"/>
  <c r="D225" i="27"/>
  <c r="A225" i="27"/>
  <c r="I224" i="27" a="1"/>
  <c r="I224" i="27"/>
  <c r="H224" i="27"/>
  <c r="D224" i="27"/>
  <c r="A224" i="27"/>
  <c r="I223" i="27" a="1"/>
  <c r="I223" i="27"/>
  <c r="H223" i="27"/>
  <c r="D223" i="27"/>
  <c r="A223" i="27"/>
  <c r="I222" i="27" a="1"/>
  <c r="I222" i="27"/>
  <c r="H222" i="27"/>
  <c r="D222" i="27"/>
  <c r="A222" i="27"/>
  <c r="I221" i="27" a="1"/>
  <c r="I221" i="27"/>
  <c r="H221" i="27"/>
  <c r="D221" i="27"/>
  <c r="A221" i="27"/>
  <c r="I220" i="27" a="1"/>
  <c r="I220" i="27"/>
  <c r="H220" i="27"/>
  <c r="D220" i="27"/>
  <c r="A220" i="27"/>
  <c r="I219" i="27" a="1"/>
  <c r="I219" i="27"/>
  <c r="H219" i="27"/>
  <c r="D219" i="27"/>
  <c r="A219" i="27"/>
  <c r="I218" i="27" a="1"/>
  <c r="I218" i="27"/>
  <c r="H218" i="27"/>
  <c r="D218" i="27"/>
  <c r="A218" i="27"/>
  <c r="I217" i="27" a="1"/>
  <c r="I217" i="27"/>
  <c r="H217" i="27"/>
  <c r="D217" i="27"/>
  <c r="A217" i="27"/>
  <c r="I216" i="27" a="1"/>
  <c r="I216" i="27"/>
  <c r="H216" i="27"/>
  <c r="D216" i="27"/>
  <c r="A216" i="27"/>
  <c r="I215" i="27" a="1"/>
  <c r="I215" i="27"/>
  <c r="H215" i="27"/>
  <c r="D215" i="27"/>
  <c r="A215" i="27"/>
  <c r="I214" i="27" a="1"/>
  <c r="I214" i="27"/>
  <c r="H214" i="27"/>
  <c r="D214" i="27"/>
  <c r="A214" i="27"/>
  <c r="I213" i="27" a="1"/>
  <c r="I213" i="27"/>
  <c r="H213" i="27"/>
  <c r="D213" i="27"/>
  <c r="A213" i="27"/>
  <c r="I212" i="27" a="1"/>
  <c r="I212" i="27"/>
  <c r="H212" i="27"/>
  <c r="D212" i="27"/>
  <c r="A212" i="27"/>
  <c r="I211" i="27" a="1"/>
  <c r="I211" i="27"/>
  <c r="H211" i="27"/>
  <c r="D211" i="27"/>
  <c r="A211" i="27"/>
  <c r="I210" i="27" a="1"/>
  <c r="I210" i="27"/>
  <c r="H210" i="27"/>
  <c r="D210" i="27"/>
  <c r="A210" i="27"/>
  <c r="I209" i="27" a="1"/>
  <c r="I209" i="27"/>
  <c r="H209" i="27"/>
  <c r="D209" i="27"/>
  <c r="A209" i="27"/>
  <c r="I208" i="27" a="1"/>
  <c r="I208" i="27"/>
  <c r="H208" i="27"/>
  <c r="D208" i="27"/>
  <c r="A208" i="27"/>
  <c r="I207" i="27" a="1"/>
  <c r="I207" i="27"/>
  <c r="H207" i="27"/>
  <c r="D207" i="27"/>
  <c r="A207" i="27"/>
  <c r="I206" i="27" a="1"/>
  <c r="I206" i="27"/>
  <c r="H206" i="27"/>
  <c r="D206" i="27"/>
  <c r="A206" i="27"/>
  <c r="I205" i="27" a="1"/>
  <c r="I205" i="27"/>
  <c r="H205" i="27"/>
  <c r="D205" i="27"/>
  <c r="A205" i="27"/>
  <c r="I204" i="27" a="1"/>
  <c r="I204" i="27"/>
  <c r="H204" i="27"/>
  <c r="D204" i="27"/>
  <c r="A204" i="27"/>
  <c r="I203" i="27" a="1"/>
  <c r="I203" i="27"/>
  <c r="H203" i="27"/>
  <c r="D203" i="27"/>
  <c r="A203" i="27"/>
  <c r="I202" i="27" a="1"/>
  <c r="I202" i="27"/>
  <c r="H202" i="27"/>
  <c r="D202" i="27"/>
  <c r="A202" i="27"/>
  <c r="I201" i="27" a="1"/>
  <c r="I201" i="27"/>
  <c r="H201" i="27"/>
  <c r="D201" i="27"/>
  <c r="A201" i="27"/>
  <c r="I200" i="27" a="1"/>
  <c r="I200" i="27"/>
  <c r="H200" i="27"/>
  <c r="D200" i="27"/>
  <c r="A200" i="27"/>
  <c r="I199" i="27" a="1"/>
  <c r="I199" i="27"/>
  <c r="H199" i="27"/>
  <c r="D199" i="27"/>
  <c r="A199" i="27"/>
  <c r="I198" i="27" a="1"/>
  <c r="I198" i="27"/>
  <c r="H198" i="27"/>
  <c r="D198" i="27"/>
  <c r="A198" i="27"/>
  <c r="I197" i="27" a="1"/>
  <c r="I197" i="27"/>
  <c r="H197" i="27"/>
  <c r="D197" i="27"/>
  <c r="A197" i="27"/>
  <c r="I196" i="27" a="1"/>
  <c r="I196" i="27"/>
  <c r="H196" i="27"/>
  <c r="D196" i="27"/>
  <c r="A196" i="27"/>
  <c r="I195" i="27" a="1"/>
  <c r="I195" i="27"/>
  <c r="H195" i="27"/>
  <c r="D195" i="27"/>
  <c r="A195" i="27"/>
  <c r="I194" i="27" a="1"/>
  <c r="I194" i="27"/>
  <c r="H194" i="27"/>
  <c r="D194" i="27"/>
  <c r="A194" i="27"/>
  <c r="I193" i="27" a="1"/>
  <c r="I193" i="27"/>
  <c r="H193" i="27"/>
  <c r="D193" i="27"/>
  <c r="A193" i="27"/>
  <c r="I192" i="27" a="1"/>
  <c r="I192" i="27"/>
  <c r="H192" i="27"/>
  <c r="D192" i="27"/>
  <c r="A192" i="27"/>
  <c r="I191" i="27" a="1"/>
  <c r="I191" i="27"/>
  <c r="H191" i="27"/>
  <c r="D191" i="27"/>
  <c r="A191" i="27"/>
  <c r="I190" i="27" a="1"/>
  <c r="I190" i="27"/>
  <c r="H190" i="27"/>
  <c r="D190" i="27"/>
  <c r="A190" i="27"/>
  <c r="I189" i="27" a="1"/>
  <c r="I189" i="27"/>
  <c r="H189" i="27"/>
  <c r="D189" i="27"/>
  <c r="A189" i="27"/>
  <c r="I188" i="27" a="1"/>
  <c r="I188" i="27"/>
  <c r="H188" i="27"/>
  <c r="D188" i="27"/>
  <c r="A188" i="27"/>
  <c r="I187" i="27" a="1"/>
  <c r="I187" i="27"/>
  <c r="H187" i="27"/>
  <c r="D187" i="27"/>
  <c r="A187" i="27"/>
  <c r="I186" i="27" a="1"/>
  <c r="I186" i="27"/>
  <c r="H186" i="27"/>
  <c r="D186" i="27"/>
  <c r="A186" i="27"/>
  <c r="I185" i="27" a="1"/>
  <c r="I185" i="27"/>
  <c r="H185" i="27"/>
  <c r="D185" i="27"/>
  <c r="A185" i="27"/>
  <c r="I184" i="27" a="1"/>
  <c r="I184" i="27"/>
  <c r="H184" i="27"/>
  <c r="D184" i="27"/>
  <c r="A184" i="27"/>
  <c r="I183" i="27" a="1"/>
  <c r="I183" i="27"/>
  <c r="H183" i="27"/>
  <c r="D183" i="27"/>
  <c r="A183" i="27"/>
  <c r="I182" i="27" a="1"/>
  <c r="I182" i="27"/>
  <c r="H182" i="27"/>
  <c r="D182" i="27"/>
  <c r="A182" i="27"/>
  <c r="I181" i="27" a="1"/>
  <c r="I181" i="27"/>
  <c r="H181" i="27"/>
  <c r="D181" i="27"/>
  <c r="A181" i="27"/>
  <c r="I180" i="27" a="1"/>
  <c r="I180" i="27"/>
  <c r="H180" i="27"/>
  <c r="D180" i="27"/>
  <c r="A180" i="27"/>
  <c r="I179" i="27" a="1"/>
  <c r="I179" i="27"/>
  <c r="H179" i="27"/>
  <c r="D179" i="27"/>
  <c r="A179" i="27"/>
  <c r="I178" i="27" a="1"/>
  <c r="I178" i="27"/>
  <c r="H178" i="27"/>
  <c r="D178" i="27"/>
  <c r="A178" i="27"/>
  <c r="I177" i="27" a="1"/>
  <c r="I177" i="27"/>
  <c r="H177" i="27"/>
  <c r="D177" i="27"/>
  <c r="A177" i="27"/>
  <c r="I176" i="27" a="1"/>
  <c r="I176" i="27"/>
  <c r="H176" i="27"/>
  <c r="D176" i="27"/>
  <c r="A176" i="27"/>
  <c r="I175" i="27" a="1"/>
  <c r="I175" i="27"/>
  <c r="H175" i="27"/>
  <c r="D175" i="27"/>
  <c r="A175" i="27"/>
  <c r="I174" i="27" a="1"/>
  <c r="I174" i="27"/>
  <c r="H174" i="27"/>
  <c r="D174" i="27"/>
  <c r="A174" i="27"/>
  <c r="I173" i="27" a="1"/>
  <c r="I173" i="27"/>
  <c r="H173" i="27"/>
  <c r="D173" i="27"/>
  <c r="A173" i="27"/>
  <c r="I172" i="27" a="1"/>
  <c r="I172" i="27"/>
  <c r="H172" i="27"/>
  <c r="D172" i="27"/>
  <c r="A172" i="27"/>
  <c r="I171" i="27" a="1"/>
  <c r="I171" i="27"/>
  <c r="H171" i="27"/>
  <c r="D171" i="27"/>
  <c r="A171" i="27"/>
  <c r="I170" i="27" a="1"/>
  <c r="I170" i="27"/>
  <c r="H170" i="27"/>
  <c r="D170" i="27"/>
  <c r="A170" i="27"/>
  <c r="I169" i="27" a="1"/>
  <c r="I169" i="27"/>
  <c r="H169" i="27"/>
  <c r="D169" i="27"/>
  <c r="A169" i="27"/>
  <c r="I168" i="27" a="1"/>
  <c r="I168" i="27"/>
  <c r="H168" i="27"/>
  <c r="D168" i="27"/>
  <c r="A168" i="27"/>
  <c r="I167" i="27" a="1"/>
  <c r="I167" i="27"/>
  <c r="H167" i="27"/>
  <c r="D167" i="27"/>
  <c r="A167" i="27"/>
  <c r="I166" i="27" a="1"/>
  <c r="I166" i="27"/>
  <c r="H166" i="27"/>
  <c r="D166" i="27"/>
  <c r="A166" i="27"/>
  <c r="I165" i="27" a="1"/>
  <c r="I165" i="27"/>
  <c r="H165" i="27"/>
  <c r="D165" i="27"/>
  <c r="A165" i="27"/>
  <c r="I164" i="27" a="1"/>
  <c r="I164" i="27"/>
  <c r="H164" i="27"/>
  <c r="D164" i="27"/>
  <c r="A164" i="27"/>
  <c r="I163" i="27" a="1"/>
  <c r="I163" i="27"/>
  <c r="H163" i="27"/>
  <c r="D163" i="27"/>
  <c r="A163" i="27"/>
  <c r="I162" i="27" a="1"/>
  <c r="I162" i="27"/>
  <c r="H162" i="27"/>
  <c r="D162" i="27"/>
  <c r="A162" i="27"/>
  <c r="I161" i="27" a="1"/>
  <c r="I161" i="27"/>
  <c r="H161" i="27"/>
  <c r="D161" i="27"/>
  <c r="A161" i="27"/>
  <c r="I160" i="27" a="1"/>
  <c r="I160" i="27"/>
  <c r="H160" i="27"/>
  <c r="D160" i="27"/>
  <c r="A160" i="27"/>
  <c r="I159" i="27" a="1"/>
  <c r="I159" i="27"/>
  <c r="H159" i="27"/>
  <c r="D159" i="27"/>
  <c r="A159" i="27"/>
  <c r="I158" i="27" a="1"/>
  <c r="I158" i="27"/>
  <c r="H158" i="27"/>
  <c r="D158" i="27"/>
  <c r="A158" i="27"/>
  <c r="I157" i="27" a="1"/>
  <c r="I157" i="27"/>
  <c r="H157" i="27"/>
  <c r="D157" i="27"/>
  <c r="A157" i="27"/>
  <c r="I156" i="27" a="1"/>
  <c r="I156" i="27"/>
  <c r="H156" i="27"/>
  <c r="D156" i="27"/>
  <c r="A156" i="27"/>
  <c r="I155" i="27" a="1"/>
  <c r="I155" i="27"/>
  <c r="H155" i="27"/>
  <c r="D155" i="27"/>
  <c r="A155" i="27"/>
  <c r="I154" i="27" a="1"/>
  <c r="I154" i="27"/>
  <c r="H154" i="27"/>
  <c r="D154" i="27"/>
  <c r="A154" i="27"/>
  <c r="I153" i="27" a="1"/>
  <c r="I153" i="27"/>
  <c r="H153" i="27"/>
  <c r="D153" i="27"/>
  <c r="A153" i="27"/>
  <c r="I152" i="27" a="1"/>
  <c r="I152" i="27"/>
  <c r="H152" i="27"/>
  <c r="D152" i="27"/>
  <c r="A152" i="27"/>
  <c r="I151" i="27" a="1"/>
  <c r="I151" i="27"/>
  <c r="H151" i="27"/>
  <c r="D151" i="27"/>
  <c r="A151" i="27"/>
  <c r="I150" i="27" a="1"/>
  <c r="I150" i="27"/>
  <c r="H150" i="27"/>
  <c r="D150" i="27"/>
  <c r="A150" i="27"/>
  <c r="I149" i="27" a="1"/>
  <c r="I149" i="27"/>
  <c r="H149" i="27"/>
  <c r="D149" i="27"/>
  <c r="A149" i="27"/>
  <c r="I148" i="27" a="1"/>
  <c r="I148" i="27"/>
  <c r="H148" i="27"/>
  <c r="D148" i="27"/>
  <c r="A148" i="27"/>
  <c r="I147" i="27" a="1"/>
  <c r="I147" i="27"/>
  <c r="H147" i="27"/>
  <c r="D147" i="27"/>
  <c r="A147" i="27"/>
  <c r="I146" i="27" a="1"/>
  <c r="I146" i="27"/>
  <c r="H146" i="27"/>
  <c r="D146" i="27"/>
  <c r="A146" i="27"/>
  <c r="I145" i="27" a="1"/>
  <c r="I145" i="27"/>
  <c r="H145" i="27"/>
  <c r="D145" i="27"/>
  <c r="A145" i="27"/>
  <c r="I144" i="27" a="1"/>
  <c r="I144" i="27"/>
  <c r="H144" i="27"/>
  <c r="D144" i="27"/>
  <c r="A144" i="27"/>
  <c r="I143" i="27" a="1"/>
  <c r="I143" i="27"/>
  <c r="H143" i="27"/>
  <c r="D143" i="27"/>
  <c r="A143" i="27"/>
  <c r="I142" i="27" a="1"/>
  <c r="I142" i="27"/>
  <c r="H142" i="27"/>
  <c r="D142" i="27"/>
  <c r="A142" i="27"/>
  <c r="I141" i="27" a="1"/>
  <c r="I141" i="27"/>
  <c r="H141" i="27"/>
  <c r="D141" i="27"/>
  <c r="A141" i="27"/>
  <c r="I140" i="27" a="1"/>
  <c r="I140" i="27"/>
  <c r="H140" i="27"/>
  <c r="D140" i="27"/>
  <c r="A140" i="27"/>
  <c r="I139" i="27" a="1"/>
  <c r="I139" i="27"/>
  <c r="H139" i="27"/>
  <c r="D139" i="27"/>
  <c r="A139" i="27"/>
  <c r="I138" i="27" a="1"/>
  <c r="I138" i="27"/>
  <c r="H138" i="27"/>
  <c r="D138" i="27"/>
  <c r="A138" i="27"/>
  <c r="I137" i="27" a="1"/>
  <c r="I137" i="27"/>
  <c r="H137" i="27"/>
  <c r="D137" i="27"/>
  <c r="A137" i="27"/>
  <c r="I136" i="27" a="1"/>
  <c r="I136" i="27"/>
  <c r="H136" i="27"/>
  <c r="D136" i="27"/>
  <c r="A136" i="27"/>
  <c r="I135" i="27" a="1"/>
  <c r="I135" i="27"/>
  <c r="H135" i="27"/>
  <c r="D135" i="27"/>
  <c r="A135" i="27"/>
  <c r="I134" i="27" a="1"/>
  <c r="I134" i="27"/>
  <c r="H134" i="27"/>
  <c r="D134" i="27"/>
  <c r="A134" i="27"/>
  <c r="I133" i="27" a="1"/>
  <c r="I133" i="27"/>
  <c r="H133" i="27"/>
  <c r="D133" i="27"/>
  <c r="A133" i="27"/>
  <c r="I132" i="27" a="1"/>
  <c r="I132" i="27"/>
  <c r="H132" i="27"/>
  <c r="D132" i="27"/>
  <c r="A132" i="27"/>
  <c r="I131" i="27" a="1"/>
  <c r="I131" i="27"/>
  <c r="H131" i="27"/>
  <c r="D131" i="27"/>
  <c r="A131" i="27"/>
  <c r="I130" i="27" a="1"/>
  <c r="I130" i="27"/>
  <c r="H130" i="27"/>
  <c r="D130" i="27"/>
  <c r="A130" i="27"/>
  <c r="I129" i="27" a="1"/>
  <c r="I129" i="27"/>
  <c r="H129" i="27"/>
  <c r="D129" i="27"/>
  <c r="A129" i="27"/>
  <c r="I128" i="27" a="1"/>
  <c r="I128" i="27"/>
  <c r="H128" i="27"/>
  <c r="D128" i="27"/>
  <c r="A128" i="27"/>
  <c r="I127" i="27" a="1"/>
  <c r="I127" i="27"/>
  <c r="H127" i="27"/>
  <c r="D127" i="27"/>
  <c r="A127" i="27"/>
  <c r="I126" i="27" a="1"/>
  <c r="I126" i="27"/>
  <c r="H126" i="27"/>
  <c r="D126" i="27"/>
  <c r="A126" i="27"/>
  <c r="I125" i="27" a="1"/>
  <c r="I125" i="27"/>
  <c r="H125" i="27"/>
  <c r="D125" i="27"/>
  <c r="A125" i="27"/>
  <c r="I124" i="27" a="1"/>
  <c r="I124" i="27"/>
  <c r="H124" i="27"/>
  <c r="D124" i="27"/>
  <c r="A124" i="27"/>
  <c r="I123" i="27" a="1"/>
  <c r="I123" i="27"/>
  <c r="H123" i="27"/>
  <c r="D123" i="27"/>
  <c r="A123" i="27"/>
  <c r="I122" i="27" a="1"/>
  <c r="I122" i="27"/>
  <c r="H122" i="27"/>
  <c r="D122" i="27"/>
  <c r="A122" i="27"/>
  <c r="I121" i="27" a="1"/>
  <c r="I121" i="27"/>
  <c r="H121" i="27"/>
  <c r="D121" i="27"/>
  <c r="A121" i="27"/>
  <c r="I120" i="27" a="1"/>
  <c r="I120" i="27"/>
  <c r="H120" i="27"/>
  <c r="D120" i="27"/>
  <c r="A120" i="27"/>
  <c r="I119" i="27" a="1"/>
  <c r="I119" i="27"/>
  <c r="H119" i="27"/>
  <c r="D119" i="27"/>
  <c r="A119" i="27"/>
  <c r="I118" i="27" a="1"/>
  <c r="I118" i="27"/>
  <c r="H118" i="27"/>
  <c r="D118" i="27"/>
  <c r="A118" i="27"/>
  <c r="I117" i="27" a="1"/>
  <c r="I117" i="27"/>
  <c r="H117" i="27"/>
  <c r="D117" i="27"/>
  <c r="A117" i="27"/>
  <c r="I116" i="27" a="1"/>
  <c r="I116" i="27"/>
  <c r="H116" i="27"/>
  <c r="D116" i="27"/>
  <c r="A116" i="27"/>
  <c r="I115" i="27" a="1"/>
  <c r="I115" i="27"/>
  <c r="H115" i="27"/>
  <c r="D115" i="27"/>
  <c r="A115" i="27"/>
  <c r="I114" i="27" a="1"/>
  <c r="I114" i="27"/>
  <c r="H114" i="27"/>
  <c r="D114" i="27"/>
  <c r="A114" i="27"/>
  <c r="I113" i="27" a="1"/>
  <c r="I113" i="27"/>
  <c r="H113" i="27"/>
  <c r="D113" i="27"/>
  <c r="A113" i="27"/>
  <c r="I112" i="27" a="1"/>
  <c r="I112" i="27"/>
  <c r="H112" i="27"/>
  <c r="D112" i="27"/>
  <c r="A112" i="27"/>
  <c r="I111" i="27" a="1"/>
  <c r="I111" i="27"/>
  <c r="H111" i="27"/>
  <c r="D111" i="27"/>
  <c r="A111" i="27"/>
  <c r="I110" i="27" a="1"/>
  <c r="I110" i="27"/>
  <c r="H110" i="27"/>
  <c r="D110" i="27"/>
  <c r="A110" i="27"/>
  <c r="I109" i="27" a="1"/>
  <c r="I109" i="27"/>
  <c r="H109" i="27"/>
  <c r="D109" i="27"/>
  <c r="A109" i="27"/>
  <c r="I108" i="27" a="1"/>
  <c r="I108" i="27"/>
  <c r="H108" i="27"/>
  <c r="D108" i="27"/>
  <c r="A108" i="27"/>
  <c r="I107" i="27" a="1"/>
  <c r="I107" i="27"/>
  <c r="H107" i="27"/>
  <c r="D107" i="27"/>
  <c r="A107" i="27"/>
  <c r="I106" i="27" a="1"/>
  <c r="I106" i="27"/>
  <c r="H106" i="27"/>
  <c r="D106" i="27"/>
  <c r="A106" i="27"/>
  <c r="I105" i="27" a="1"/>
  <c r="I105" i="27"/>
  <c r="H105" i="27"/>
  <c r="D105" i="27"/>
  <c r="A105" i="27"/>
  <c r="I104" i="27" a="1"/>
  <c r="I104" i="27"/>
  <c r="H104" i="27"/>
  <c r="D104" i="27"/>
  <c r="A104" i="27"/>
  <c r="I103" i="27" a="1"/>
  <c r="I103" i="27"/>
  <c r="H103" i="27"/>
  <c r="D103" i="27"/>
  <c r="A103" i="27"/>
  <c r="I102" i="27" a="1"/>
  <c r="I102" i="27"/>
  <c r="H102" i="27"/>
  <c r="D102" i="27"/>
  <c r="A102" i="27"/>
  <c r="I101" i="27" a="1"/>
  <c r="I101" i="27"/>
  <c r="H101" i="27"/>
  <c r="D101" i="27"/>
  <c r="A101" i="27"/>
  <c r="I100" i="27" a="1"/>
  <c r="I100" i="27"/>
  <c r="H100" i="27"/>
  <c r="D100" i="27"/>
  <c r="A100" i="27"/>
  <c r="I99" i="27" a="1"/>
  <c r="I99" i="27"/>
  <c r="H99" i="27"/>
  <c r="D99" i="27"/>
  <c r="A99" i="27"/>
  <c r="I98" i="27" a="1"/>
  <c r="I98" i="27"/>
  <c r="H98" i="27"/>
  <c r="D98" i="27"/>
  <c r="A98" i="27"/>
  <c r="I97" i="27" a="1"/>
  <c r="I97" i="27"/>
  <c r="H97" i="27"/>
  <c r="D97" i="27"/>
  <c r="A97" i="27"/>
  <c r="I96" i="27" a="1"/>
  <c r="I96" i="27"/>
  <c r="H96" i="27"/>
  <c r="D96" i="27"/>
  <c r="A96" i="27"/>
  <c r="I95" i="27" a="1"/>
  <c r="I95" i="27"/>
  <c r="H95" i="27"/>
  <c r="D95" i="27"/>
  <c r="A95" i="27"/>
  <c r="I94" i="27" a="1"/>
  <c r="I94" i="27"/>
  <c r="H94" i="27"/>
  <c r="D94" i="27"/>
  <c r="A94" i="27"/>
  <c r="I93" i="27" a="1"/>
  <c r="I93" i="27"/>
  <c r="H93" i="27"/>
  <c r="D93" i="27"/>
  <c r="A93" i="27"/>
  <c r="I92" i="27" a="1"/>
  <c r="I92" i="27"/>
  <c r="H92" i="27"/>
  <c r="D92" i="27"/>
  <c r="A92" i="27"/>
  <c r="I91" i="27" a="1"/>
  <c r="I91" i="27"/>
  <c r="H91" i="27"/>
  <c r="D91" i="27"/>
  <c r="A91" i="27"/>
  <c r="I90" i="27" a="1"/>
  <c r="I90" i="27"/>
  <c r="H90" i="27"/>
  <c r="D90" i="27"/>
  <c r="A90" i="27"/>
  <c r="I89" i="27" a="1"/>
  <c r="I89" i="27"/>
  <c r="H89" i="27"/>
  <c r="D89" i="27"/>
  <c r="A89" i="27"/>
  <c r="I88" i="27" a="1"/>
  <c r="I88" i="27"/>
  <c r="H88" i="27"/>
  <c r="D88" i="27"/>
  <c r="A88" i="27"/>
  <c r="I87" i="27" a="1"/>
  <c r="I87" i="27"/>
  <c r="H87" i="27"/>
  <c r="D87" i="27"/>
  <c r="A87" i="27"/>
  <c r="I86" i="27" a="1"/>
  <c r="I86" i="27"/>
  <c r="H86" i="27"/>
  <c r="D86" i="27"/>
  <c r="A86" i="27"/>
  <c r="I85" i="27" a="1"/>
  <c r="I85" i="27"/>
  <c r="H85" i="27"/>
  <c r="D85" i="27"/>
  <c r="A85" i="27"/>
  <c r="I84" i="27" a="1"/>
  <c r="I84" i="27"/>
  <c r="H84" i="27"/>
  <c r="D84" i="27"/>
  <c r="A84" i="27"/>
  <c r="I83" i="27" a="1"/>
  <c r="I83" i="27"/>
  <c r="H83" i="27"/>
  <c r="D83" i="27"/>
  <c r="A83" i="27"/>
  <c r="I82" i="27" a="1"/>
  <c r="I82" i="27"/>
  <c r="H82" i="27"/>
  <c r="D82" i="27"/>
  <c r="A82" i="27"/>
  <c r="I81" i="27" a="1"/>
  <c r="I81" i="27"/>
  <c r="H81" i="27"/>
  <c r="D81" i="27"/>
  <c r="A81" i="27"/>
  <c r="I80" i="27" a="1"/>
  <c r="I80" i="27"/>
  <c r="H80" i="27"/>
  <c r="D80" i="27"/>
  <c r="A80" i="27"/>
  <c r="I79" i="27" a="1"/>
  <c r="I79" i="27"/>
  <c r="H79" i="27"/>
  <c r="D79" i="27"/>
  <c r="A79" i="27"/>
  <c r="I78" i="27" a="1"/>
  <c r="I78" i="27"/>
  <c r="H78" i="27"/>
  <c r="D78" i="27"/>
  <c r="A78" i="27"/>
  <c r="I77" i="27" a="1"/>
  <c r="I77" i="27"/>
  <c r="H77" i="27"/>
  <c r="D77" i="27"/>
  <c r="A77" i="27"/>
  <c r="I76" i="27" a="1"/>
  <c r="I76" i="27"/>
  <c r="H76" i="27"/>
  <c r="D76" i="27"/>
  <c r="A76" i="27"/>
  <c r="I75" i="27" a="1"/>
  <c r="I75" i="27"/>
  <c r="H75" i="27"/>
  <c r="D75" i="27"/>
  <c r="A75" i="27"/>
  <c r="I74" i="27" a="1"/>
  <c r="I74" i="27"/>
  <c r="H74" i="27"/>
  <c r="D74" i="27"/>
  <c r="A74" i="27"/>
  <c r="I73" i="27" a="1"/>
  <c r="I73" i="27"/>
  <c r="H73" i="27"/>
  <c r="D73" i="27"/>
  <c r="A73" i="27"/>
  <c r="I72" i="27" a="1"/>
  <c r="I72" i="27"/>
  <c r="H72" i="27"/>
  <c r="D72" i="27"/>
  <c r="A72" i="27"/>
  <c r="I71" i="27" a="1"/>
  <c r="I71" i="27"/>
  <c r="H71" i="27"/>
  <c r="D71" i="27"/>
  <c r="A71" i="27"/>
  <c r="I70" i="27" a="1"/>
  <c r="I70" i="27"/>
  <c r="H70" i="27"/>
  <c r="D70" i="27"/>
  <c r="A70" i="27"/>
  <c r="I69" i="27" a="1"/>
  <c r="I69" i="27"/>
  <c r="H69" i="27"/>
  <c r="D69" i="27"/>
  <c r="A69" i="27"/>
  <c r="I68" i="27" a="1"/>
  <c r="I68" i="27"/>
  <c r="H68" i="27"/>
  <c r="D68" i="27"/>
  <c r="A68" i="27"/>
  <c r="I67" i="27" a="1"/>
  <c r="I67" i="27"/>
  <c r="H67" i="27"/>
  <c r="D67" i="27"/>
  <c r="A67" i="27"/>
  <c r="I66" i="27" a="1"/>
  <c r="I66" i="27"/>
  <c r="H66" i="27"/>
  <c r="D66" i="27"/>
  <c r="A66" i="27"/>
  <c r="I65" i="27" a="1"/>
  <c r="I65" i="27"/>
  <c r="H65" i="27"/>
  <c r="D65" i="27"/>
  <c r="A65" i="27"/>
  <c r="I64" i="27" a="1"/>
  <c r="I64" i="27"/>
  <c r="H64" i="27"/>
  <c r="D64" i="27"/>
  <c r="A64" i="27"/>
  <c r="I63" i="27" a="1"/>
  <c r="I63" i="27"/>
  <c r="H63" i="27"/>
  <c r="D63" i="27"/>
  <c r="A63" i="27"/>
  <c r="I62" i="27" a="1"/>
  <c r="I62" i="27"/>
  <c r="H62" i="27"/>
  <c r="D62" i="27"/>
  <c r="A62" i="27"/>
  <c r="I61" i="27" a="1"/>
  <c r="I61" i="27"/>
  <c r="H61" i="27"/>
  <c r="D61" i="27"/>
  <c r="A61" i="27"/>
  <c r="I60" i="27" a="1"/>
  <c r="I60" i="27"/>
  <c r="H60" i="27"/>
  <c r="D60" i="27"/>
  <c r="A60" i="27"/>
  <c r="I59" i="27" a="1"/>
  <c r="I59" i="27"/>
  <c r="H59" i="27"/>
  <c r="D59" i="27"/>
  <c r="A59" i="27"/>
  <c r="I58" i="27" a="1"/>
  <c r="I58" i="27"/>
  <c r="H58" i="27"/>
  <c r="D58" i="27"/>
  <c r="A58" i="27"/>
  <c r="I57" i="27" a="1"/>
  <c r="I57" i="27"/>
  <c r="H57" i="27"/>
  <c r="D57" i="27"/>
  <c r="A57" i="27"/>
  <c r="I56" i="27" a="1"/>
  <c r="I56" i="27"/>
  <c r="H56" i="27"/>
  <c r="D56" i="27"/>
  <c r="A56" i="27"/>
  <c r="I55" i="27" a="1"/>
  <c r="I55" i="27"/>
  <c r="H55" i="27"/>
  <c r="D55" i="27"/>
  <c r="A55" i="27"/>
  <c r="I54" i="27" a="1"/>
  <c r="I54" i="27"/>
  <c r="H54" i="27"/>
  <c r="D54" i="27"/>
  <c r="A54" i="27"/>
  <c r="I53" i="27" a="1"/>
  <c r="I53" i="27"/>
  <c r="H53" i="27"/>
  <c r="D53" i="27"/>
  <c r="A53" i="27"/>
  <c r="I52" i="27" a="1"/>
  <c r="I52" i="27"/>
  <c r="H52" i="27"/>
  <c r="D52" i="27"/>
  <c r="A52" i="27"/>
  <c r="I51" i="27" a="1"/>
  <c r="I51" i="27"/>
  <c r="H51" i="27"/>
  <c r="D51" i="27"/>
  <c r="A51" i="27"/>
  <c r="I50" i="27" a="1"/>
  <c r="I50" i="27"/>
  <c r="H50" i="27"/>
  <c r="D50" i="27"/>
  <c r="A50" i="27"/>
  <c r="I49" i="27" a="1"/>
  <c r="I49" i="27"/>
  <c r="H49" i="27"/>
  <c r="D49" i="27"/>
  <c r="A49" i="27"/>
  <c r="I48" i="27" a="1"/>
  <c r="I48" i="27"/>
  <c r="H48" i="27"/>
  <c r="D48" i="27"/>
  <c r="A48" i="27"/>
  <c r="I47" i="27" a="1"/>
  <c r="I47" i="27"/>
  <c r="H47" i="27"/>
  <c r="D47" i="27"/>
  <c r="A47" i="27"/>
  <c r="I46" i="27" a="1"/>
  <c r="I46" i="27"/>
  <c r="H46" i="27"/>
  <c r="D46" i="27"/>
  <c r="A46" i="27"/>
  <c r="I45" i="27" a="1"/>
  <c r="I45" i="27"/>
  <c r="H45" i="27"/>
  <c r="D45" i="27"/>
  <c r="A45" i="27"/>
  <c r="I44" i="27" a="1"/>
  <c r="I44" i="27"/>
  <c r="H44" i="27"/>
  <c r="D44" i="27"/>
  <c r="A44" i="27"/>
  <c r="I43" i="27" a="1"/>
  <c r="I43" i="27"/>
  <c r="H43" i="27"/>
  <c r="D43" i="27"/>
  <c r="A43" i="27"/>
  <c r="I42" i="27" a="1"/>
  <c r="I42" i="27"/>
  <c r="H42" i="27"/>
  <c r="D42" i="27"/>
  <c r="A42" i="27"/>
  <c r="I41" i="27" a="1"/>
  <c r="I41" i="27"/>
  <c r="H41" i="27"/>
  <c r="D41" i="27"/>
  <c r="A41" i="27"/>
  <c r="I40" i="27" a="1"/>
  <c r="I40" i="27"/>
  <c r="H40" i="27"/>
  <c r="D40" i="27"/>
  <c r="A40" i="27"/>
  <c r="I39" i="27" a="1"/>
  <c r="I39" i="27"/>
  <c r="H39" i="27"/>
  <c r="D39" i="27"/>
  <c r="A39" i="27"/>
  <c r="I38" i="27" a="1"/>
  <c r="I38" i="27"/>
  <c r="H38" i="27"/>
  <c r="D38" i="27"/>
  <c r="A38" i="27"/>
  <c r="I37" i="27" a="1"/>
  <c r="I37" i="27"/>
  <c r="H37" i="27"/>
  <c r="D37" i="27"/>
  <c r="A37" i="27"/>
  <c r="I36" i="27" a="1"/>
  <c r="I36" i="27"/>
  <c r="H36" i="27"/>
  <c r="D36" i="27"/>
  <c r="A36" i="27"/>
  <c r="I35" i="27" a="1"/>
  <c r="I35" i="27"/>
  <c r="H35" i="27"/>
  <c r="D35" i="27"/>
  <c r="A35" i="27"/>
  <c r="I34" i="27" a="1"/>
  <c r="I34" i="27"/>
  <c r="H34" i="27"/>
  <c r="D34" i="27"/>
  <c r="A34" i="27"/>
  <c r="I33" i="27" a="1"/>
  <c r="I33" i="27"/>
  <c r="H33" i="27"/>
  <c r="D33" i="27"/>
  <c r="A33" i="27"/>
  <c r="I32" i="27" a="1"/>
  <c r="I32" i="27"/>
  <c r="H32" i="27"/>
  <c r="D32" i="27"/>
  <c r="A32" i="27"/>
  <c r="I31" i="27" a="1"/>
  <c r="I31" i="27"/>
  <c r="H31" i="27"/>
  <c r="D31" i="27"/>
  <c r="A31" i="27"/>
  <c r="I30" i="27" a="1"/>
  <c r="I30" i="27"/>
  <c r="H30" i="27"/>
  <c r="D30" i="27"/>
  <c r="A30" i="27"/>
  <c r="I29" i="27" a="1"/>
  <c r="I29" i="27"/>
  <c r="H29" i="27"/>
  <c r="D29" i="27"/>
  <c r="A29" i="27"/>
  <c r="I28" i="27" a="1"/>
  <c r="I28" i="27"/>
  <c r="H28" i="27"/>
  <c r="D28" i="27"/>
  <c r="A28" i="27"/>
  <c r="I27" i="27" a="1"/>
  <c r="I27" i="27"/>
  <c r="H27" i="27"/>
  <c r="D27" i="27"/>
  <c r="A27" i="27"/>
  <c r="I26" i="27" a="1"/>
  <c r="I26" i="27"/>
  <c r="H26" i="27"/>
  <c r="D26" i="27"/>
  <c r="A26" i="27"/>
  <c r="I25" i="27" a="1"/>
  <c r="I25" i="27"/>
  <c r="H25" i="27"/>
  <c r="D25" i="27"/>
  <c r="A25" i="27"/>
  <c r="I24" i="27" a="1"/>
  <c r="I24" i="27"/>
  <c r="H24" i="27"/>
  <c r="D24" i="27"/>
  <c r="A24" i="27"/>
  <c r="I23" i="27" a="1"/>
  <c r="I23" i="27"/>
  <c r="H23" i="27"/>
  <c r="D23" i="27"/>
  <c r="A23" i="27"/>
  <c r="I22" i="27" a="1"/>
  <c r="I22" i="27"/>
  <c r="H22" i="27"/>
  <c r="D22" i="27"/>
  <c r="A22" i="27"/>
  <c r="I21" i="27" a="1"/>
  <c r="I21" i="27"/>
  <c r="H21" i="27"/>
  <c r="D21" i="27"/>
  <c r="A21" i="27"/>
  <c r="I20" i="27" a="1"/>
  <c r="I20" i="27"/>
  <c r="H20" i="27"/>
  <c r="D20" i="27"/>
  <c r="A20" i="27"/>
  <c r="I19" i="27" a="1"/>
  <c r="I19" i="27"/>
  <c r="H19" i="27"/>
  <c r="D19" i="27"/>
  <c r="A19" i="27"/>
  <c r="I18" i="27" a="1"/>
  <c r="I18" i="27"/>
  <c r="H18" i="27"/>
  <c r="D18" i="27"/>
  <c r="A18" i="27"/>
  <c r="I17" i="27" a="1"/>
  <c r="I17" i="27"/>
  <c r="H17" i="27"/>
  <c r="D17" i="27"/>
  <c r="A17" i="27"/>
  <c r="I16" i="27" a="1"/>
  <c r="I16" i="27"/>
  <c r="H16" i="27"/>
  <c r="D16" i="27"/>
  <c r="A16" i="27"/>
  <c r="I15" i="27" a="1"/>
  <c r="I15" i="27"/>
  <c r="H15" i="27"/>
  <c r="D15" i="27"/>
  <c r="A15" i="27"/>
  <c r="I14" i="27" a="1"/>
  <c r="I14" i="27"/>
  <c r="H14" i="27"/>
  <c r="D14" i="27"/>
  <c r="A14" i="27"/>
  <c r="I13" i="27" a="1"/>
  <c r="I13" i="27"/>
  <c r="H13" i="27"/>
  <c r="D13" i="27"/>
  <c r="A13" i="27"/>
  <c r="I12" i="27" a="1"/>
  <c r="I12" i="27"/>
  <c r="H12" i="27"/>
  <c r="D12" i="27"/>
  <c r="A12" i="27"/>
  <c r="I11" i="27" a="1"/>
  <c r="I11" i="27"/>
  <c r="H11" i="27"/>
  <c r="D11" i="27"/>
  <c r="A11" i="27"/>
  <c r="I10" i="27" a="1"/>
  <c r="I10" i="27"/>
  <c r="H10" i="27"/>
  <c r="D10" i="27"/>
  <c r="A10" i="27"/>
  <c r="I9" i="27" a="1"/>
  <c r="I9" i="27"/>
  <c r="H9" i="27"/>
  <c r="D9" i="27"/>
  <c r="A9" i="27"/>
  <c r="I8" i="27" a="1"/>
  <c r="I8" i="27"/>
  <c r="H8" i="27"/>
  <c r="D8" i="27"/>
  <c r="A8" i="27"/>
  <c r="I7" i="27" a="1"/>
  <c r="I7" i="27"/>
  <c r="H7" i="27"/>
  <c r="D7" i="27"/>
  <c r="A7" i="27"/>
  <c r="I6" i="27" a="1"/>
  <c r="I6" i="27"/>
  <c r="H6" i="27"/>
  <c r="D6" i="27"/>
  <c r="A6" i="27"/>
  <c r="I5" i="27" a="1"/>
  <c r="I5" i="27"/>
  <c r="H5" i="27"/>
  <c r="D5" i="27"/>
  <c r="A5" i="27"/>
  <c r="I4" i="27" a="1"/>
  <c r="I4" i="27"/>
  <c r="H4" i="27"/>
  <c r="D4" i="27"/>
  <c r="A4" i="27"/>
  <c r="I3" i="27" a="1"/>
  <c r="I3" i="27"/>
  <c r="H3" i="27"/>
  <c r="D3" i="27"/>
  <c r="A3" i="27"/>
  <c r="I2" i="27" a="1"/>
  <c r="I2" i="27"/>
  <c r="H2" i="27"/>
  <c r="D2" i="27"/>
  <c r="H2999" i="62"/>
  <c r="H2998" i="62"/>
  <c r="H2997" i="62"/>
  <c r="H2996" i="62"/>
  <c r="H2995" i="62"/>
  <c r="H2994" i="62"/>
  <c r="H2993" i="62"/>
  <c r="H2992" i="62"/>
  <c r="H2991" i="62"/>
  <c r="H2990" i="62"/>
  <c r="H2989" i="62"/>
  <c r="H2988" i="62"/>
  <c r="H2987" i="62"/>
  <c r="H2986" i="62"/>
  <c r="H2985" i="62"/>
  <c r="H2984" i="62"/>
  <c r="H2983" i="62"/>
  <c r="H2982" i="62"/>
  <c r="H2981" i="62"/>
  <c r="H2980" i="62"/>
  <c r="H2979" i="62"/>
  <c r="H2978" i="62"/>
  <c r="H2977" i="62"/>
  <c r="H2976" i="62"/>
  <c r="H2975" i="62"/>
  <c r="H2974" i="62"/>
  <c r="H2973" i="62"/>
  <c r="H2972" i="62"/>
  <c r="H2971" i="62"/>
  <c r="H2970" i="62"/>
  <c r="H2969" i="62"/>
  <c r="H2968" i="62"/>
  <c r="H2967" i="62"/>
  <c r="H2966" i="62"/>
  <c r="H2965" i="62"/>
  <c r="H2964" i="62"/>
  <c r="H2963" i="62"/>
  <c r="H2962" i="62"/>
  <c r="H2961" i="62"/>
  <c r="H2960" i="62"/>
  <c r="H2959" i="62"/>
  <c r="H2958" i="62"/>
  <c r="H2957" i="62"/>
  <c r="H2956" i="62"/>
  <c r="H2955" i="62"/>
  <c r="H2954" i="62"/>
  <c r="H2953" i="62"/>
  <c r="H2952" i="62"/>
  <c r="H2951" i="62"/>
  <c r="H2950" i="62"/>
  <c r="H2949" i="62"/>
  <c r="H2948" i="62"/>
  <c r="H2947" i="62"/>
  <c r="H2946" i="62"/>
  <c r="H2945" i="62"/>
  <c r="H2944" i="62"/>
  <c r="H2943" i="62"/>
  <c r="H2942" i="62"/>
  <c r="H2941" i="62"/>
  <c r="H2940" i="62"/>
  <c r="H2939" i="62"/>
  <c r="H2938" i="62"/>
  <c r="H2937" i="62"/>
  <c r="H2936" i="62"/>
  <c r="H2935" i="62"/>
  <c r="H2934" i="62"/>
  <c r="H2933" i="62"/>
  <c r="H2932" i="62"/>
  <c r="H2931" i="62"/>
  <c r="H2930" i="62"/>
  <c r="H2929" i="62"/>
  <c r="H2928" i="62"/>
  <c r="H2927" i="62"/>
  <c r="H2926" i="62"/>
  <c r="H2925" i="62"/>
  <c r="H2924" i="62"/>
  <c r="H2923" i="62"/>
  <c r="H2922" i="62"/>
  <c r="H2921" i="62"/>
  <c r="H2920" i="62"/>
  <c r="H2919" i="62"/>
  <c r="H2918" i="62"/>
  <c r="H2917" i="62"/>
  <c r="H2916" i="62"/>
  <c r="H2915" i="62"/>
  <c r="H2914" i="62"/>
  <c r="H2913" i="62"/>
  <c r="H2912" i="62"/>
  <c r="H2911" i="62"/>
  <c r="H2910" i="62"/>
  <c r="H2909" i="62"/>
  <c r="H2908" i="62"/>
  <c r="H2907" i="62"/>
  <c r="H2906" i="62"/>
  <c r="H2905" i="62"/>
  <c r="H2904" i="62"/>
  <c r="H2903" i="62"/>
  <c r="H2902" i="62"/>
  <c r="H2901" i="62"/>
  <c r="H2900" i="62"/>
  <c r="H2899" i="62"/>
  <c r="H2898" i="62"/>
  <c r="H2897" i="62"/>
  <c r="H2896" i="62"/>
  <c r="H2895" i="62"/>
  <c r="H2894" i="62"/>
  <c r="H2893" i="62"/>
  <c r="H2892" i="62"/>
  <c r="H2891" i="62"/>
  <c r="H2890" i="62"/>
  <c r="H2889" i="62"/>
  <c r="H2888" i="62"/>
  <c r="H2887" i="62"/>
  <c r="H2886" i="62"/>
  <c r="H2885" i="62"/>
  <c r="H2884" i="62"/>
  <c r="H2883" i="62"/>
  <c r="H2882" i="62"/>
  <c r="H2881" i="62"/>
  <c r="H2880" i="62"/>
  <c r="H2879" i="62"/>
  <c r="H2878" i="62"/>
  <c r="H2877" i="62"/>
  <c r="H2876" i="62"/>
  <c r="H2875" i="62"/>
  <c r="H2874" i="62"/>
  <c r="H2873" i="62"/>
  <c r="H2872" i="62"/>
  <c r="H2871" i="62"/>
  <c r="H2870" i="62"/>
  <c r="H2869" i="62"/>
  <c r="H2868" i="62"/>
  <c r="H2867" i="62"/>
  <c r="H2866" i="62"/>
  <c r="H2865" i="62"/>
  <c r="H2864" i="62"/>
  <c r="H2863" i="62"/>
  <c r="H2862" i="62"/>
  <c r="H2861" i="62"/>
  <c r="H2860" i="62"/>
  <c r="H2859" i="62"/>
  <c r="H2858" i="62"/>
  <c r="H2857" i="62"/>
  <c r="H2856" i="62"/>
  <c r="H2855" i="62"/>
  <c r="H2854" i="62"/>
  <c r="H2853" i="62"/>
  <c r="H2852" i="62"/>
  <c r="H2851" i="62"/>
  <c r="H2850" i="62"/>
  <c r="H2849" i="62"/>
  <c r="H2848" i="62"/>
  <c r="H2847" i="62"/>
  <c r="H2846" i="62"/>
  <c r="H2845" i="62"/>
  <c r="H2844" i="62"/>
  <c r="H2843" i="62"/>
  <c r="H2842" i="62"/>
  <c r="H2841" i="62"/>
  <c r="H2840" i="62"/>
  <c r="H2839" i="62"/>
  <c r="H2838" i="62"/>
  <c r="H2837" i="62"/>
  <c r="H2836" i="62"/>
  <c r="H2835" i="62"/>
  <c r="H2834" i="62"/>
  <c r="H2833" i="62"/>
  <c r="H2832" i="62"/>
  <c r="H2831" i="62"/>
  <c r="H2830" i="62"/>
  <c r="H2829" i="62"/>
  <c r="H2828" i="62"/>
  <c r="H2827" i="62"/>
  <c r="H2826" i="62"/>
  <c r="H2825" i="62"/>
  <c r="H2824" i="62"/>
  <c r="H2823" i="62"/>
  <c r="H2822" i="62"/>
  <c r="H2821" i="62"/>
  <c r="H2820" i="62"/>
  <c r="H2819" i="62"/>
  <c r="H2818" i="62"/>
  <c r="H2817" i="62"/>
  <c r="H2816" i="62"/>
  <c r="H2815" i="62"/>
  <c r="H2814" i="62"/>
  <c r="H2813" i="62"/>
  <c r="H2812" i="62"/>
  <c r="H2811" i="62"/>
  <c r="H2810" i="62"/>
  <c r="H2809" i="62"/>
  <c r="H2808" i="62"/>
  <c r="H2807" i="62"/>
  <c r="H2806" i="62"/>
  <c r="H2805" i="62"/>
  <c r="H2804" i="62"/>
  <c r="H2803" i="62"/>
  <c r="H2802" i="62"/>
  <c r="H2801" i="62"/>
  <c r="H2800" i="62"/>
  <c r="H2799" i="62"/>
  <c r="H2798" i="62"/>
  <c r="H2797" i="62"/>
  <c r="H2796" i="62"/>
  <c r="H2795" i="62"/>
  <c r="H2794" i="62"/>
  <c r="H2793" i="62"/>
  <c r="H2792" i="62"/>
  <c r="H2791" i="62"/>
  <c r="H2790" i="62"/>
  <c r="H2789" i="62"/>
  <c r="H2788" i="62"/>
  <c r="H2787" i="62"/>
  <c r="H2786" i="62"/>
  <c r="H2785" i="62"/>
  <c r="H2784" i="62"/>
  <c r="H2783" i="62"/>
  <c r="H2782" i="62"/>
  <c r="H2781" i="62"/>
  <c r="H2780" i="62"/>
  <c r="H2779" i="62"/>
  <c r="H2778" i="62"/>
  <c r="H2777" i="62"/>
  <c r="H2776" i="62"/>
  <c r="H2775" i="62"/>
  <c r="H2774" i="62"/>
  <c r="H2773" i="62"/>
  <c r="H2772" i="62"/>
  <c r="H2771" i="62"/>
  <c r="H2770" i="62"/>
  <c r="H2769" i="62"/>
  <c r="H2768" i="62"/>
  <c r="H2767" i="62"/>
  <c r="H2766" i="62"/>
  <c r="H2765" i="62"/>
  <c r="H2764" i="62"/>
  <c r="H2763" i="62"/>
  <c r="H2762" i="62"/>
  <c r="H2761" i="62"/>
  <c r="H2760" i="62"/>
  <c r="H2759" i="62"/>
  <c r="H2758" i="62"/>
  <c r="H2757" i="62"/>
  <c r="H2756" i="62"/>
  <c r="H2755" i="62"/>
  <c r="H2754" i="62"/>
  <c r="H2753" i="62"/>
  <c r="H2752" i="62"/>
  <c r="H2751" i="62"/>
  <c r="H2750" i="62"/>
  <c r="H2749" i="62"/>
  <c r="H2748" i="62"/>
  <c r="H2747" i="62"/>
  <c r="H2746" i="62"/>
  <c r="H2745" i="62"/>
  <c r="H2744" i="62"/>
  <c r="H2743" i="62"/>
  <c r="H2742" i="62"/>
  <c r="H2741" i="62"/>
  <c r="H2740" i="62"/>
  <c r="H2739" i="62"/>
  <c r="H2738" i="62"/>
  <c r="H2737" i="62"/>
  <c r="H2736" i="62"/>
  <c r="H2735" i="62"/>
  <c r="H2734" i="62"/>
  <c r="H2733" i="62"/>
  <c r="H2732" i="62"/>
  <c r="H2731" i="62"/>
  <c r="H2730" i="62"/>
  <c r="H2729" i="62"/>
  <c r="H2728" i="62"/>
  <c r="H2727" i="62"/>
  <c r="H2726" i="62"/>
  <c r="H2725" i="62"/>
  <c r="H2724" i="62"/>
  <c r="H2723" i="62"/>
  <c r="H2722" i="62"/>
  <c r="H2721" i="62"/>
  <c r="H2720" i="62"/>
  <c r="H2719" i="62"/>
  <c r="H2718" i="62"/>
  <c r="H2717" i="62"/>
  <c r="H2716" i="62"/>
  <c r="H2715" i="62"/>
  <c r="H2714" i="62"/>
  <c r="H2713" i="62"/>
  <c r="H2712" i="62"/>
  <c r="H2711" i="62"/>
  <c r="H2710" i="62"/>
  <c r="H2709" i="62"/>
  <c r="H2708" i="62"/>
  <c r="H2707" i="62"/>
  <c r="H2706" i="62"/>
  <c r="H2705" i="62"/>
  <c r="H2704" i="62"/>
  <c r="H2703" i="62"/>
  <c r="H2702" i="62"/>
  <c r="H2701" i="62"/>
  <c r="H2700" i="62"/>
  <c r="H2699" i="62"/>
  <c r="H2698" i="62"/>
  <c r="H2697" i="62"/>
  <c r="H2696" i="62"/>
  <c r="H2695" i="62"/>
  <c r="H2694" i="62"/>
  <c r="H2693" i="62"/>
  <c r="H2692" i="62"/>
  <c r="H2691" i="62"/>
  <c r="H2690" i="62"/>
  <c r="H2689" i="62"/>
  <c r="H2688" i="62"/>
  <c r="H2687" i="62"/>
  <c r="H2686" i="62"/>
  <c r="H2685" i="62"/>
  <c r="H2684" i="62"/>
  <c r="H2683" i="62"/>
  <c r="H2682" i="62"/>
  <c r="H2681" i="62"/>
  <c r="H2680" i="62"/>
  <c r="H2679" i="62"/>
  <c r="H2678" i="62"/>
  <c r="H2677" i="62"/>
  <c r="H2676" i="62"/>
  <c r="H2675" i="62"/>
  <c r="H2674" i="62"/>
  <c r="H2673" i="62"/>
  <c r="H2672" i="62"/>
  <c r="H2671" i="62"/>
  <c r="H2670" i="62"/>
  <c r="H2669" i="62"/>
  <c r="H2668" i="62"/>
  <c r="H2667" i="62"/>
  <c r="H2666" i="62"/>
  <c r="H2665" i="62"/>
  <c r="H2664" i="62"/>
  <c r="H2663" i="62"/>
  <c r="H2662" i="62"/>
  <c r="H2661" i="62"/>
  <c r="H2660" i="62"/>
  <c r="H2659" i="62"/>
  <c r="H2658" i="62"/>
  <c r="H2657" i="62"/>
  <c r="H2656" i="62"/>
  <c r="H2655" i="62"/>
  <c r="H2654" i="62"/>
  <c r="H2653" i="62"/>
  <c r="H2652" i="62"/>
  <c r="H2651" i="62"/>
  <c r="H2650" i="62"/>
  <c r="H2649" i="62"/>
  <c r="H2648" i="62"/>
  <c r="H2647" i="62"/>
  <c r="H2646" i="62"/>
  <c r="H2645" i="62"/>
  <c r="H2644" i="62"/>
  <c r="H2643" i="62"/>
  <c r="H2642" i="62"/>
  <c r="H2641" i="62"/>
  <c r="H2640" i="62"/>
  <c r="H2639" i="62"/>
  <c r="H2638" i="62"/>
  <c r="H2637" i="62"/>
  <c r="H2636" i="62"/>
  <c r="H2635" i="62"/>
  <c r="H2634" i="62"/>
  <c r="H2633" i="62"/>
  <c r="H2632" i="62"/>
  <c r="H2631" i="62"/>
  <c r="H2630" i="62"/>
  <c r="H2629" i="62"/>
  <c r="H2628" i="62"/>
  <c r="H2627" i="62"/>
  <c r="H2626" i="62"/>
  <c r="H2625" i="62"/>
  <c r="H2624" i="62"/>
  <c r="H2623" i="62"/>
  <c r="H2622" i="62"/>
  <c r="H2621" i="62"/>
  <c r="H2620" i="62"/>
  <c r="H2619" i="62"/>
  <c r="H2618" i="62"/>
  <c r="H2617" i="62"/>
  <c r="H2616" i="62"/>
  <c r="H2615" i="62"/>
  <c r="H2614" i="62"/>
  <c r="H2613" i="62"/>
  <c r="H2612" i="62"/>
  <c r="H2611" i="62"/>
  <c r="H2610" i="62"/>
  <c r="H2609" i="62"/>
  <c r="H2608" i="62"/>
  <c r="H2607" i="62"/>
  <c r="H2606" i="62"/>
  <c r="H2605" i="62"/>
  <c r="H2604" i="62"/>
  <c r="H2603" i="62"/>
  <c r="H2602" i="62"/>
  <c r="H2601" i="62"/>
  <c r="H2600" i="62"/>
  <c r="H2599" i="62"/>
  <c r="H2598" i="62"/>
  <c r="H2597" i="62"/>
  <c r="H2596" i="62"/>
  <c r="H2595" i="62"/>
  <c r="H2594" i="62"/>
  <c r="H2593" i="62"/>
  <c r="H2592" i="62"/>
  <c r="H2591" i="62"/>
  <c r="H2590" i="62"/>
  <c r="H2589" i="62"/>
  <c r="H2588" i="62"/>
  <c r="H2587" i="62"/>
  <c r="H2586" i="62"/>
  <c r="H2585" i="62"/>
  <c r="H2584" i="62"/>
  <c r="H2583" i="62"/>
  <c r="H2582" i="62"/>
  <c r="H2581" i="62"/>
  <c r="H2580" i="62"/>
  <c r="H2579" i="62"/>
  <c r="H2578" i="62"/>
  <c r="H2577" i="62"/>
  <c r="H2576" i="62"/>
  <c r="H2575" i="62"/>
  <c r="H2574" i="62"/>
  <c r="H2573" i="62"/>
  <c r="H2572" i="62"/>
  <c r="H2571" i="62"/>
  <c r="H2570" i="62"/>
  <c r="H2569" i="62"/>
  <c r="H2568" i="62"/>
  <c r="H2567" i="62"/>
  <c r="H2566" i="62"/>
  <c r="H2565" i="62"/>
  <c r="H2564" i="62"/>
  <c r="H2563" i="62"/>
  <c r="H2562" i="62"/>
  <c r="H2561" i="62"/>
  <c r="H2560" i="62"/>
  <c r="H2559" i="62"/>
  <c r="H2558" i="62"/>
  <c r="H2557" i="62"/>
  <c r="H2556" i="62"/>
  <c r="H2555" i="62"/>
  <c r="H2554" i="62"/>
  <c r="H2553" i="62"/>
  <c r="H2552" i="62"/>
  <c r="H2551" i="62"/>
  <c r="H2550" i="62"/>
  <c r="H2549" i="62"/>
  <c r="H2548" i="62"/>
  <c r="H2547" i="62"/>
  <c r="H2546" i="62"/>
  <c r="H2545" i="62"/>
  <c r="H2544" i="62"/>
  <c r="H2543" i="62"/>
  <c r="H2542" i="62"/>
  <c r="H2541" i="62"/>
  <c r="H2540" i="62"/>
  <c r="H2539" i="62"/>
  <c r="H2538" i="62"/>
  <c r="H2537" i="62"/>
  <c r="H2536" i="62"/>
  <c r="H2535" i="62"/>
  <c r="H2534" i="62"/>
  <c r="H2533" i="62"/>
  <c r="H2532" i="62"/>
  <c r="H2531" i="62"/>
  <c r="H2530" i="62"/>
  <c r="H2529" i="62"/>
  <c r="H2528" i="62"/>
  <c r="H2527" i="62"/>
  <c r="H2526" i="62"/>
  <c r="H2525" i="62"/>
  <c r="H2524" i="62"/>
  <c r="H2523" i="62"/>
  <c r="H2522" i="62"/>
  <c r="H2521" i="62"/>
  <c r="H2520" i="62"/>
  <c r="H2519" i="62"/>
  <c r="H2518" i="62"/>
  <c r="H2517" i="62"/>
  <c r="H2516" i="62"/>
  <c r="H2515" i="62"/>
  <c r="H2514" i="62"/>
  <c r="H2513" i="62"/>
  <c r="H2512" i="62"/>
  <c r="H2511" i="62"/>
  <c r="H2510" i="62"/>
  <c r="H2509" i="62"/>
  <c r="H2508" i="62"/>
  <c r="H2507" i="62"/>
  <c r="H2506" i="62"/>
  <c r="H2505" i="62"/>
  <c r="H2504" i="62"/>
  <c r="H2503" i="62"/>
  <c r="H2502" i="62"/>
  <c r="H2501" i="62"/>
  <c r="H2500" i="62"/>
  <c r="H2499" i="62"/>
  <c r="H2498" i="62"/>
  <c r="H2497" i="62"/>
  <c r="H2496" i="62"/>
  <c r="H2495" i="62"/>
  <c r="H2494" i="62"/>
  <c r="H2493" i="62"/>
  <c r="H2492" i="62"/>
  <c r="H2491" i="62"/>
  <c r="H2490" i="62"/>
  <c r="H2489" i="62"/>
  <c r="H2488" i="62"/>
  <c r="H2487" i="62"/>
  <c r="H2486" i="62"/>
  <c r="H2485" i="62"/>
  <c r="H2484" i="62"/>
  <c r="H2483" i="62"/>
  <c r="H2482" i="62"/>
  <c r="H2481" i="62"/>
  <c r="H2480" i="62"/>
  <c r="H2479" i="62"/>
  <c r="H2478" i="62"/>
  <c r="H2477" i="62"/>
  <c r="H2476" i="62"/>
  <c r="H2475" i="62"/>
  <c r="H2474" i="62"/>
  <c r="H2473" i="62"/>
  <c r="H2472" i="62"/>
  <c r="H2471" i="62"/>
  <c r="H2470" i="62"/>
  <c r="H2469" i="62"/>
  <c r="H2468" i="62"/>
  <c r="H2467" i="62"/>
  <c r="H2466" i="62"/>
  <c r="H2465" i="62"/>
  <c r="H2464" i="62"/>
  <c r="H2463" i="62"/>
  <c r="H2462" i="62"/>
  <c r="H2461" i="62"/>
  <c r="H2460" i="62"/>
  <c r="H2459" i="62"/>
  <c r="H2458" i="62"/>
  <c r="H2457" i="62"/>
  <c r="H2456" i="62"/>
  <c r="H2455" i="62"/>
  <c r="H2454" i="62"/>
  <c r="H2453" i="62"/>
  <c r="H2452" i="62"/>
  <c r="H2451" i="62"/>
  <c r="H2450" i="62"/>
  <c r="H2449" i="62"/>
  <c r="H2448" i="62"/>
  <c r="H2447" i="62"/>
  <c r="H2446" i="62"/>
  <c r="H2445" i="62"/>
  <c r="H2444" i="62"/>
  <c r="H2443" i="62"/>
  <c r="H2442" i="62"/>
  <c r="H2441" i="62"/>
  <c r="H2440" i="62"/>
  <c r="H2439" i="62"/>
  <c r="H2438" i="62"/>
  <c r="H2437" i="62"/>
  <c r="H2436" i="62"/>
  <c r="H2435" i="62"/>
  <c r="H2434" i="62"/>
  <c r="H2433" i="62"/>
  <c r="H2432" i="62"/>
  <c r="H2431" i="62"/>
  <c r="H2430" i="62"/>
  <c r="H2429" i="62"/>
  <c r="H2428" i="62"/>
  <c r="H2427" i="62"/>
  <c r="H2426" i="62"/>
  <c r="H2425" i="62"/>
  <c r="H2424" i="62"/>
  <c r="H2423" i="62"/>
  <c r="H2422" i="62"/>
  <c r="H2421" i="62"/>
  <c r="H2420" i="62"/>
  <c r="H2419" i="62"/>
  <c r="H2418" i="62"/>
  <c r="H2417" i="62"/>
  <c r="H2416" i="62"/>
  <c r="H2415" i="62"/>
  <c r="H2414" i="62"/>
  <c r="H2413" i="62"/>
  <c r="H2412" i="62"/>
  <c r="H2411" i="62"/>
  <c r="H2410" i="62"/>
  <c r="H2409" i="62"/>
  <c r="H2408" i="62"/>
  <c r="H2407" i="62"/>
  <c r="H2406" i="62"/>
  <c r="H2405" i="62"/>
  <c r="H2404" i="62"/>
  <c r="H2403" i="62"/>
  <c r="H2402" i="62"/>
  <c r="H2401" i="62"/>
  <c r="H2400" i="62"/>
  <c r="H2399" i="62"/>
  <c r="H2398" i="62"/>
  <c r="H2397" i="62"/>
  <c r="H2396" i="62"/>
  <c r="H2395" i="62"/>
  <c r="H2394" i="62"/>
  <c r="H2393" i="62"/>
  <c r="H2392" i="62"/>
  <c r="H2391" i="62"/>
  <c r="H2390" i="62"/>
  <c r="H2389" i="62"/>
  <c r="H2388" i="62"/>
  <c r="H2387" i="62"/>
  <c r="H2386" i="62"/>
  <c r="H2385" i="62"/>
  <c r="H2384" i="62"/>
  <c r="H2383" i="62"/>
  <c r="H2382" i="62"/>
  <c r="H2381" i="62"/>
  <c r="H2380" i="62"/>
  <c r="H2379" i="62"/>
  <c r="H2378" i="62"/>
  <c r="H2377" i="62"/>
  <c r="H2376" i="62"/>
  <c r="H2375" i="62"/>
  <c r="H2374" i="62"/>
  <c r="H2373" i="62"/>
  <c r="H2372" i="62"/>
  <c r="H2371" i="62"/>
  <c r="H2370" i="62"/>
  <c r="H2369" i="62"/>
  <c r="H2368" i="62"/>
  <c r="H2367" i="62"/>
  <c r="H2366" i="62"/>
  <c r="H2365" i="62"/>
  <c r="H2364" i="62"/>
  <c r="H2363" i="62"/>
  <c r="H2362" i="62"/>
  <c r="H2361" i="62"/>
  <c r="H2360" i="62"/>
  <c r="H2359" i="62"/>
  <c r="H2358" i="62"/>
  <c r="H2357" i="62"/>
  <c r="H2356" i="62"/>
  <c r="H2355" i="62"/>
  <c r="H2354" i="62"/>
  <c r="H2353" i="62"/>
  <c r="H2352" i="62"/>
  <c r="H2351" i="62"/>
  <c r="H2350" i="62"/>
  <c r="H2349" i="62"/>
  <c r="H2348" i="62"/>
  <c r="H2347" i="62"/>
  <c r="H2346" i="62"/>
  <c r="H2345" i="62"/>
  <c r="H2344" i="62"/>
  <c r="H2343" i="62"/>
  <c r="H2342" i="62"/>
  <c r="H2341" i="62"/>
  <c r="H2340" i="62"/>
  <c r="H2339" i="62"/>
  <c r="H2338" i="62"/>
  <c r="H2337" i="62"/>
  <c r="H2336" i="62"/>
  <c r="H2335" i="62"/>
  <c r="H2334" i="62"/>
  <c r="H2333" i="62"/>
  <c r="H2332" i="62"/>
  <c r="H2331" i="62"/>
  <c r="H2330" i="62"/>
  <c r="H2329" i="62"/>
  <c r="H2328" i="62"/>
  <c r="H2327" i="62"/>
  <c r="H2326" i="62"/>
  <c r="H2325" i="62"/>
  <c r="H2324" i="62"/>
  <c r="H2323" i="62"/>
  <c r="H2322" i="62"/>
  <c r="H2321" i="62"/>
  <c r="H2320" i="62"/>
  <c r="H2319" i="62"/>
  <c r="H2318" i="62"/>
  <c r="H2317" i="62"/>
  <c r="H2316" i="62"/>
  <c r="H2315" i="62"/>
  <c r="H2314" i="62"/>
  <c r="H2313" i="62"/>
  <c r="H2312" i="62"/>
  <c r="H2311" i="62"/>
  <c r="H2310" i="62"/>
  <c r="H2309" i="62"/>
  <c r="H2308" i="62"/>
  <c r="H2307" i="62"/>
  <c r="H2306" i="62"/>
  <c r="H2305" i="62"/>
  <c r="H2304" i="62"/>
  <c r="H2303" i="62"/>
  <c r="H2302" i="62"/>
  <c r="H2301" i="62"/>
  <c r="H2300" i="62"/>
  <c r="H2299" i="62"/>
  <c r="H2298" i="62"/>
  <c r="H2297" i="62"/>
  <c r="H2296" i="62"/>
  <c r="H2295" i="62"/>
  <c r="H2294" i="62"/>
  <c r="H2293" i="62"/>
  <c r="H2292" i="62"/>
  <c r="H2291" i="62"/>
  <c r="H2290" i="62"/>
  <c r="H2289" i="62"/>
  <c r="H2288" i="62"/>
  <c r="H2287" i="62"/>
  <c r="H2286" i="62"/>
  <c r="H2285" i="62"/>
  <c r="H2284" i="62"/>
  <c r="H2283" i="62"/>
  <c r="H2282" i="62"/>
  <c r="H2281" i="62"/>
  <c r="H2280" i="62"/>
  <c r="H2279" i="62"/>
  <c r="H2278" i="62"/>
  <c r="H2277" i="62"/>
  <c r="H2276" i="62"/>
  <c r="H2275" i="62"/>
  <c r="H2274" i="62"/>
  <c r="H2273" i="62"/>
  <c r="H2272" i="62"/>
  <c r="H2271" i="62"/>
  <c r="H2270" i="62"/>
  <c r="H2269" i="62"/>
  <c r="H2268" i="62"/>
  <c r="H2267" i="62"/>
  <c r="H2266" i="62"/>
  <c r="H2265" i="62"/>
  <c r="H2264" i="62"/>
  <c r="H2263" i="62"/>
  <c r="H2262" i="62"/>
  <c r="H2261" i="62"/>
  <c r="H2260" i="62"/>
  <c r="H2259" i="62"/>
  <c r="H2258" i="62"/>
  <c r="H2257" i="62"/>
  <c r="H2256" i="62"/>
  <c r="H2255" i="62"/>
  <c r="H2254" i="62"/>
  <c r="H2253" i="62"/>
  <c r="H2252" i="62"/>
  <c r="H2251" i="62"/>
  <c r="H2250" i="62"/>
  <c r="H2249" i="62"/>
  <c r="H2248" i="62"/>
  <c r="H2247" i="62"/>
  <c r="H2246" i="62"/>
  <c r="H2245" i="62"/>
  <c r="H2244" i="62"/>
  <c r="H2243" i="62"/>
  <c r="H2242" i="62"/>
  <c r="H2241" i="62"/>
  <c r="H2240" i="62"/>
  <c r="H2239" i="62"/>
  <c r="H2238" i="62"/>
  <c r="H2237" i="62"/>
  <c r="H2236" i="62"/>
  <c r="H2235" i="62"/>
  <c r="H2234" i="62"/>
  <c r="H2233" i="62"/>
  <c r="H2232" i="62"/>
  <c r="H2231" i="62"/>
  <c r="H2230" i="62"/>
  <c r="H2229" i="62"/>
  <c r="H2228" i="62"/>
  <c r="H2227" i="62"/>
  <c r="H2226" i="62"/>
  <c r="H2225" i="62"/>
  <c r="H2224" i="62"/>
  <c r="H2223" i="62"/>
  <c r="H2222" i="62"/>
  <c r="H2221" i="62"/>
  <c r="H2220" i="62"/>
  <c r="H2219" i="62"/>
  <c r="H2218" i="62"/>
  <c r="H2217" i="62"/>
  <c r="H2216" i="62"/>
  <c r="H2215" i="62"/>
  <c r="H2214" i="62"/>
  <c r="H2213" i="62"/>
  <c r="H2212" i="62"/>
  <c r="H2211" i="62"/>
  <c r="H2210" i="62"/>
  <c r="H2209" i="62"/>
  <c r="H2208" i="62"/>
  <c r="H2207" i="62"/>
  <c r="H2206" i="62"/>
  <c r="H2205" i="62"/>
  <c r="H2204" i="62"/>
  <c r="H2203" i="62"/>
  <c r="H2202" i="62"/>
  <c r="H2201" i="62"/>
  <c r="H2200" i="62"/>
  <c r="H2199" i="62"/>
  <c r="H2198" i="62"/>
  <c r="H2197" i="62"/>
  <c r="H2196" i="62"/>
  <c r="H2195" i="62"/>
  <c r="H2194" i="62"/>
  <c r="H2193" i="62"/>
  <c r="H2192" i="62"/>
  <c r="H2191" i="62"/>
  <c r="H2190" i="62"/>
  <c r="H2189" i="62"/>
  <c r="H2188" i="62"/>
  <c r="H2187" i="62"/>
  <c r="H2186" i="62"/>
  <c r="H2185" i="62"/>
  <c r="H2184" i="62"/>
  <c r="H2183" i="62"/>
  <c r="H2182" i="62"/>
  <c r="H2181" i="62"/>
  <c r="H2180" i="62"/>
  <c r="H2179" i="62"/>
  <c r="H2178" i="62"/>
  <c r="H2177" i="62"/>
  <c r="H2176" i="62"/>
  <c r="H2175" i="62"/>
  <c r="H2174" i="62"/>
  <c r="H2173" i="62"/>
  <c r="H2172" i="62"/>
  <c r="H2171" i="62"/>
  <c r="H2170" i="62"/>
  <c r="H2169" i="62"/>
  <c r="H2168" i="62"/>
  <c r="H2167" i="62"/>
  <c r="H2166" i="62"/>
  <c r="H2165" i="62"/>
  <c r="H2164" i="62"/>
  <c r="H2163" i="62"/>
  <c r="H2162" i="62"/>
  <c r="H2161" i="62"/>
  <c r="H2160" i="62"/>
  <c r="H2159" i="62"/>
  <c r="H2158" i="62"/>
  <c r="H2157" i="62"/>
  <c r="H2156" i="62"/>
  <c r="H2155" i="62"/>
  <c r="H2154" i="62"/>
  <c r="H2153" i="62"/>
  <c r="H2152" i="62"/>
  <c r="H2151" i="62"/>
  <c r="H2150" i="62"/>
  <c r="H2149" i="62"/>
  <c r="H2148" i="62"/>
  <c r="H2147" i="62"/>
  <c r="H2146" i="62"/>
  <c r="H2145" i="62"/>
  <c r="H2144" i="62"/>
  <c r="H2143" i="62"/>
  <c r="H2142" i="62"/>
  <c r="H2141" i="62"/>
  <c r="H2140" i="62"/>
  <c r="H2139" i="62"/>
  <c r="H2138" i="62"/>
  <c r="H2137" i="62"/>
  <c r="H2136" i="62"/>
  <c r="H2135" i="62"/>
  <c r="H2134" i="62"/>
  <c r="H2133" i="62"/>
  <c r="H2132" i="62"/>
  <c r="H2131" i="62"/>
  <c r="H2130" i="62"/>
  <c r="H2129" i="62"/>
  <c r="H2128" i="62"/>
  <c r="H2127" i="62"/>
  <c r="H2126" i="62"/>
  <c r="H2125" i="62"/>
  <c r="H2124" i="62"/>
  <c r="H2123" i="62"/>
  <c r="H2122" i="62"/>
  <c r="H2121" i="62"/>
  <c r="H2120" i="62"/>
  <c r="H2119" i="62"/>
  <c r="H2118" i="62"/>
  <c r="H2117" i="62"/>
  <c r="H2116" i="62"/>
  <c r="H2115" i="62"/>
  <c r="H2114" i="62"/>
  <c r="H2113" i="62"/>
  <c r="H2112" i="62"/>
  <c r="H2111" i="62"/>
  <c r="H2110" i="62"/>
  <c r="H2109" i="62"/>
  <c r="H2108" i="62"/>
  <c r="H2107" i="62"/>
  <c r="H2106" i="62"/>
  <c r="H2105" i="62"/>
  <c r="H2104" i="62"/>
  <c r="H2103" i="62"/>
  <c r="H2102" i="62"/>
  <c r="H2101" i="62"/>
  <c r="H2100" i="62"/>
  <c r="H2099" i="62"/>
  <c r="H2098" i="62"/>
  <c r="H2097" i="62"/>
  <c r="H2096" i="62"/>
  <c r="H2095" i="62"/>
  <c r="H2094" i="62"/>
  <c r="H2093" i="62"/>
  <c r="H2092" i="62"/>
  <c r="H2091" i="62"/>
  <c r="H2090" i="62"/>
  <c r="H2089" i="62"/>
  <c r="H2088" i="62"/>
  <c r="H2087" i="62"/>
  <c r="H2086" i="62"/>
  <c r="H2085" i="62"/>
  <c r="H2084" i="62"/>
  <c r="H2083" i="62"/>
  <c r="H2082" i="62"/>
  <c r="H2081" i="62"/>
  <c r="H2080" i="62"/>
  <c r="H2079" i="62"/>
  <c r="H2078" i="62"/>
  <c r="H2077" i="62"/>
  <c r="H2076" i="62"/>
  <c r="H2075" i="62"/>
  <c r="H2074" i="62"/>
  <c r="H2073" i="62"/>
  <c r="H2072" i="62"/>
  <c r="H2071" i="62"/>
  <c r="H2070" i="62"/>
  <c r="H2069" i="62"/>
  <c r="H2068" i="62"/>
  <c r="H2067" i="62"/>
  <c r="H2066" i="62"/>
  <c r="H2065" i="62"/>
  <c r="H2064" i="62"/>
  <c r="H2063" i="62"/>
  <c r="H2062" i="62"/>
  <c r="H2061" i="62"/>
  <c r="H2060" i="62"/>
  <c r="H2059" i="62"/>
  <c r="H2058" i="62"/>
  <c r="H2057" i="62"/>
  <c r="H2056" i="62"/>
  <c r="H2055" i="62"/>
  <c r="H2054" i="62"/>
  <c r="H2053" i="62"/>
  <c r="H2052" i="62"/>
  <c r="H2051" i="62"/>
  <c r="H2050" i="62"/>
  <c r="H2049" i="62"/>
  <c r="H2048" i="62"/>
  <c r="H2047" i="62"/>
  <c r="H2046" i="62"/>
  <c r="H2045" i="62"/>
  <c r="H2044" i="62"/>
  <c r="H2043" i="62"/>
  <c r="H2042" i="62"/>
  <c r="H2041" i="62"/>
  <c r="H2040" i="62"/>
  <c r="H2039" i="62"/>
  <c r="H2038" i="62"/>
  <c r="H2037" i="62"/>
  <c r="H2036" i="62"/>
  <c r="H2035" i="62"/>
  <c r="H2034" i="62"/>
  <c r="H2033" i="62"/>
  <c r="H2032" i="62"/>
  <c r="H2031" i="62"/>
  <c r="H2030" i="62"/>
  <c r="H2029" i="62"/>
  <c r="H2028" i="62"/>
  <c r="H2027" i="62"/>
  <c r="H2026" i="62"/>
  <c r="H2025" i="62"/>
  <c r="H2024" i="62"/>
  <c r="H2023" i="62"/>
  <c r="H2022" i="62"/>
  <c r="H2021" i="62"/>
  <c r="H2020" i="62"/>
  <c r="H2019" i="62"/>
  <c r="H2018" i="62"/>
  <c r="H2017" i="62"/>
  <c r="H2016" i="62"/>
  <c r="H2015" i="62"/>
  <c r="H2014" i="62"/>
  <c r="H2013" i="62"/>
  <c r="H2012" i="62"/>
  <c r="H2011" i="62"/>
  <c r="H2010" i="62"/>
  <c r="H2009" i="62"/>
  <c r="H2008" i="62"/>
  <c r="H2007" i="62"/>
  <c r="H2006" i="62"/>
  <c r="H2005" i="62"/>
  <c r="H2004" i="62"/>
  <c r="H2003" i="62"/>
  <c r="H2002" i="62"/>
  <c r="H2001" i="62"/>
  <c r="H2000" i="62"/>
  <c r="H1999" i="62"/>
  <c r="H1998" i="62"/>
  <c r="H1997" i="62"/>
  <c r="H1996" i="62"/>
  <c r="H1995" i="62"/>
  <c r="H1994" i="62"/>
  <c r="H1993" i="62"/>
  <c r="H1992" i="62"/>
  <c r="H1991" i="62"/>
  <c r="H1990" i="62"/>
  <c r="H1989" i="62"/>
  <c r="H1988" i="62"/>
  <c r="H1987" i="62"/>
  <c r="H1986" i="62"/>
  <c r="H1985" i="62"/>
  <c r="H1984" i="62"/>
  <c r="H1983" i="62"/>
  <c r="H1982" i="62"/>
  <c r="H1981" i="62"/>
  <c r="H1980" i="62"/>
  <c r="H1979" i="62"/>
  <c r="H1978" i="62"/>
  <c r="H1977" i="62"/>
  <c r="H1976" i="62"/>
  <c r="H1975" i="62"/>
  <c r="H1974" i="62"/>
  <c r="H1973" i="62"/>
  <c r="H1972" i="62"/>
  <c r="H1971" i="62"/>
  <c r="H1970" i="62"/>
  <c r="H1969" i="62"/>
  <c r="H1968" i="62"/>
  <c r="H1967" i="62"/>
  <c r="H1966" i="62"/>
  <c r="H1965" i="62"/>
  <c r="H1964" i="62"/>
  <c r="H1963" i="62"/>
  <c r="H1962" i="62"/>
  <c r="H1961" i="62"/>
  <c r="H1960" i="62"/>
  <c r="H1959" i="62"/>
  <c r="H1958" i="62"/>
  <c r="H1957" i="62"/>
  <c r="H1956" i="62"/>
  <c r="H1955" i="62"/>
  <c r="H1954" i="62"/>
  <c r="H1953" i="62"/>
  <c r="H1952" i="62"/>
  <c r="H1951" i="62"/>
  <c r="H1950" i="62"/>
  <c r="H1949" i="62"/>
  <c r="H1948" i="62"/>
  <c r="H1947" i="62"/>
  <c r="H1946" i="62"/>
  <c r="H1945" i="62"/>
  <c r="H1944" i="62"/>
  <c r="H1943" i="62"/>
  <c r="H1942" i="62"/>
  <c r="H1941" i="62"/>
  <c r="H1940" i="62"/>
  <c r="H1939" i="62"/>
  <c r="H1938" i="62"/>
  <c r="H1937" i="62"/>
  <c r="H1936" i="62"/>
  <c r="H1935" i="62"/>
  <c r="H1934" i="62"/>
  <c r="H1933" i="62"/>
  <c r="H1932" i="62"/>
  <c r="H1931" i="62"/>
  <c r="H1930" i="62"/>
  <c r="H1929" i="62"/>
  <c r="H1928" i="62"/>
  <c r="H1927" i="62"/>
  <c r="H1926" i="62"/>
  <c r="H1925" i="62"/>
  <c r="H1924" i="62"/>
  <c r="H1923" i="62"/>
  <c r="H1922" i="62"/>
  <c r="H1921" i="62"/>
  <c r="H1920" i="62"/>
  <c r="H1919" i="62"/>
  <c r="H1918" i="62"/>
  <c r="H1917" i="62"/>
  <c r="H1916" i="62"/>
  <c r="H1915" i="62"/>
  <c r="H1914" i="62"/>
  <c r="H1913" i="62"/>
  <c r="H1912" i="62"/>
  <c r="H1911" i="62"/>
  <c r="H1910" i="62"/>
  <c r="H1909" i="62"/>
  <c r="H1908" i="62"/>
  <c r="H1907" i="62"/>
  <c r="H1906" i="62"/>
  <c r="H1905" i="62"/>
  <c r="H1904" i="62"/>
  <c r="H1903" i="62"/>
  <c r="H1902" i="62"/>
  <c r="H1901" i="62"/>
  <c r="H1900" i="62"/>
  <c r="H1899" i="62"/>
  <c r="H1898" i="62"/>
  <c r="H1897" i="62"/>
  <c r="H1896" i="62"/>
  <c r="H1895" i="62"/>
  <c r="H1894" i="62"/>
  <c r="H1893" i="62"/>
  <c r="H1892" i="62"/>
  <c r="H1891" i="62"/>
  <c r="H1890" i="62"/>
  <c r="H1889" i="62"/>
  <c r="H1888" i="62"/>
  <c r="H1887" i="62"/>
  <c r="H1886" i="62"/>
  <c r="H1885" i="62"/>
  <c r="H1884" i="62"/>
  <c r="H1883" i="62"/>
  <c r="H1882" i="62"/>
  <c r="H1881" i="62"/>
  <c r="H1880" i="62"/>
  <c r="H1879" i="62"/>
  <c r="H1878" i="62"/>
  <c r="H1877" i="62"/>
  <c r="H1876" i="62"/>
  <c r="H1875" i="62"/>
  <c r="H1874" i="62"/>
  <c r="H1873" i="62"/>
  <c r="H1872" i="62"/>
  <c r="H1871" i="62"/>
  <c r="H1870" i="62"/>
  <c r="H1869" i="62"/>
  <c r="H1868" i="62"/>
  <c r="H1867" i="62"/>
  <c r="H1866" i="62"/>
  <c r="H1865" i="62"/>
  <c r="H1864" i="62"/>
  <c r="H1863" i="62"/>
  <c r="H1862" i="62"/>
  <c r="H1861" i="62"/>
  <c r="H1860" i="62"/>
  <c r="H1859" i="62"/>
  <c r="H1858" i="62"/>
  <c r="H1857" i="62"/>
  <c r="H1856" i="62"/>
  <c r="H1855" i="62"/>
  <c r="H1854" i="62"/>
  <c r="H1853" i="62"/>
  <c r="H1852" i="62"/>
  <c r="H1851" i="62"/>
  <c r="H1850" i="62"/>
  <c r="H1849" i="62"/>
  <c r="H1848" i="62"/>
  <c r="H1847" i="62"/>
  <c r="H1846" i="62"/>
  <c r="H1845" i="62"/>
  <c r="H1844" i="62"/>
  <c r="H1843" i="62"/>
  <c r="H1842" i="62"/>
  <c r="H1841" i="62"/>
  <c r="H1840" i="62"/>
  <c r="H1839" i="62"/>
  <c r="H1838" i="62"/>
  <c r="H1837" i="62"/>
  <c r="H1836" i="62"/>
  <c r="H1835" i="62"/>
  <c r="H1834" i="62"/>
  <c r="H1833" i="62"/>
  <c r="H1832" i="62"/>
  <c r="H1831" i="62"/>
  <c r="H1830" i="62"/>
  <c r="H1829" i="62"/>
  <c r="H1828" i="62"/>
  <c r="H1827" i="62"/>
  <c r="H1826" i="62"/>
  <c r="H1825" i="62"/>
  <c r="H1824" i="62"/>
  <c r="H1823" i="62"/>
  <c r="H1822" i="62"/>
  <c r="H1821" i="62"/>
  <c r="H1820" i="62"/>
  <c r="H1819" i="62"/>
  <c r="H1818" i="62"/>
  <c r="H1817" i="62"/>
  <c r="H1816" i="62"/>
  <c r="H1815" i="62"/>
  <c r="H1814" i="62"/>
  <c r="H1813" i="62"/>
  <c r="H1812" i="62"/>
  <c r="H1811" i="62"/>
  <c r="H1810" i="62"/>
  <c r="H1809" i="62"/>
  <c r="H1808" i="62"/>
  <c r="H1807" i="62"/>
  <c r="H1806" i="62"/>
  <c r="H1805" i="62"/>
  <c r="H1804" i="62"/>
  <c r="H1803" i="62"/>
  <c r="H1802" i="62"/>
  <c r="H1801" i="62"/>
  <c r="H1800" i="62"/>
  <c r="H1799" i="62"/>
  <c r="H1798" i="62"/>
  <c r="H1797" i="62"/>
  <c r="H1796" i="62"/>
  <c r="H1795" i="62"/>
  <c r="H1794" i="62"/>
  <c r="H1793" i="62"/>
  <c r="H1792" i="62"/>
  <c r="H1791" i="62"/>
  <c r="H1790" i="62"/>
  <c r="H1789" i="62"/>
  <c r="H1788" i="62"/>
  <c r="H1787" i="62"/>
  <c r="H1786" i="62"/>
  <c r="H1785" i="62"/>
  <c r="H1784" i="62"/>
  <c r="H1783" i="62"/>
  <c r="H1782" i="62"/>
  <c r="H1781" i="62"/>
  <c r="H1780" i="62"/>
  <c r="H1779" i="62"/>
  <c r="H1778" i="62"/>
  <c r="H1777" i="62"/>
  <c r="H1776" i="62"/>
  <c r="H1775" i="62"/>
  <c r="H1774" i="62"/>
  <c r="H1773" i="62"/>
  <c r="H1772" i="62"/>
  <c r="H1771" i="62"/>
  <c r="H1770" i="62"/>
  <c r="H1769" i="62"/>
  <c r="H1768" i="62"/>
  <c r="H1767" i="62"/>
  <c r="H1766" i="62"/>
  <c r="H1765" i="62"/>
  <c r="H1764" i="62"/>
  <c r="H1763" i="62"/>
  <c r="H1762" i="62"/>
  <c r="H1761" i="62"/>
  <c r="H1760" i="62"/>
  <c r="H1759" i="62"/>
  <c r="H1758" i="62"/>
  <c r="H1757" i="62"/>
  <c r="H1756" i="62"/>
  <c r="H1755" i="62"/>
  <c r="H1754" i="62"/>
  <c r="H1753" i="62"/>
  <c r="H1752" i="62"/>
  <c r="H1751" i="62"/>
  <c r="H1750" i="62"/>
  <c r="H1749" i="62"/>
  <c r="H1748" i="62"/>
  <c r="H1747" i="62"/>
  <c r="H1746" i="62"/>
  <c r="H1745" i="62"/>
  <c r="H1744" i="62"/>
  <c r="H1743" i="62"/>
  <c r="H1742" i="62"/>
  <c r="H1741" i="62"/>
  <c r="H1740" i="62"/>
  <c r="H1739" i="62"/>
  <c r="H1738" i="62"/>
  <c r="H1737" i="62"/>
  <c r="H1736" i="62"/>
  <c r="H1735" i="62"/>
  <c r="H1734" i="62"/>
  <c r="H1733" i="62"/>
  <c r="H1732" i="62"/>
  <c r="H1731" i="62"/>
  <c r="H1730" i="62"/>
  <c r="H1729" i="62"/>
  <c r="H1728" i="62"/>
  <c r="H1727" i="62"/>
  <c r="H1726" i="62"/>
  <c r="H1725" i="62"/>
  <c r="H1724" i="62"/>
  <c r="H1723" i="62"/>
  <c r="H1722" i="62"/>
  <c r="H1721" i="62"/>
  <c r="H1720" i="62"/>
  <c r="H1719" i="62"/>
  <c r="H1718" i="62"/>
  <c r="H1717" i="62"/>
  <c r="H1716" i="62"/>
  <c r="H1715" i="62"/>
  <c r="H1714" i="62"/>
  <c r="H1713" i="62"/>
  <c r="H1712" i="62"/>
  <c r="H1711" i="62"/>
  <c r="H1710" i="62"/>
  <c r="H1709" i="62"/>
  <c r="H1708" i="62"/>
  <c r="H1707" i="62"/>
  <c r="H1706" i="62"/>
  <c r="H1705" i="62"/>
  <c r="H1704" i="62"/>
  <c r="H1703" i="62"/>
  <c r="H1702" i="62"/>
  <c r="H1701" i="62"/>
  <c r="H1700" i="62"/>
  <c r="H1699" i="62"/>
  <c r="H1698" i="62"/>
  <c r="H1697" i="62"/>
  <c r="H1696" i="62"/>
  <c r="H1695" i="62"/>
  <c r="H1694" i="62"/>
  <c r="H1693" i="62"/>
  <c r="H1692" i="62"/>
  <c r="H1691" i="62"/>
  <c r="H1690" i="62"/>
  <c r="H1689" i="62"/>
  <c r="H1688" i="62"/>
  <c r="H1687" i="62"/>
  <c r="H1686" i="62"/>
  <c r="H1685" i="62"/>
  <c r="H1684" i="62"/>
  <c r="H1683" i="62"/>
  <c r="H1682" i="62"/>
  <c r="H1681" i="62"/>
  <c r="H1680" i="62"/>
  <c r="H1679" i="62"/>
  <c r="H1678" i="62"/>
  <c r="H1677" i="62"/>
  <c r="H1676" i="62"/>
  <c r="H1675" i="62"/>
  <c r="H1674" i="62"/>
  <c r="H1673" i="62"/>
  <c r="H1672" i="62"/>
  <c r="H1671" i="62"/>
  <c r="H1670" i="62"/>
  <c r="H1669" i="62"/>
  <c r="H1668" i="62"/>
  <c r="H1667" i="62"/>
  <c r="H1666" i="62"/>
  <c r="H1665" i="62"/>
  <c r="H1664" i="62"/>
  <c r="H1663" i="62"/>
  <c r="H1662" i="62"/>
  <c r="H1661" i="62"/>
  <c r="H1660" i="62"/>
  <c r="H1659" i="62"/>
  <c r="H1658" i="62"/>
  <c r="H1657" i="62"/>
  <c r="H1656" i="62"/>
  <c r="H1655" i="62"/>
  <c r="H1654" i="62"/>
  <c r="H1653" i="62"/>
  <c r="H1652" i="62"/>
  <c r="H1651" i="62"/>
  <c r="H1650" i="62"/>
  <c r="H1649" i="62"/>
  <c r="H1648" i="62"/>
  <c r="H1647" i="62"/>
  <c r="H1646" i="62"/>
  <c r="H1645" i="62"/>
  <c r="H1644" i="62"/>
  <c r="H1643" i="62"/>
  <c r="H1642" i="62"/>
  <c r="H1641" i="62"/>
  <c r="H1640" i="62"/>
  <c r="H1639" i="62"/>
  <c r="H1638" i="62"/>
  <c r="H1637" i="62"/>
  <c r="H1636" i="62"/>
  <c r="H1635" i="62"/>
  <c r="H1634" i="62"/>
  <c r="H1633" i="62"/>
  <c r="H1632" i="62"/>
  <c r="H1631" i="62"/>
  <c r="H1630" i="62"/>
  <c r="H1629" i="62"/>
  <c r="H1628" i="62"/>
  <c r="H1627" i="62"/>
  <c r="H1626" i="62"/>
  <c r="H1625" i="62"/>
  <c r="H1624" i="62"/>
  <c r="H1623" i="62"/>
  <c r="H1622" i="62"/>
  <c r="H1621" i="62"/>
  <c r="H1620" i="62"/>
  <c r="H1619" i="62"/>
  <c r="H1618" i="62"/>
  <c r="H1617" i="62"/>
  <c r="H1616" i="62"/>
  <c r="H1615" i="62"/>
  <c r="H1614" i="62"/>
  <c r="H1613" i="62"/>
  <c r="H1612" i="62"/>
  <c r="H1611" i="62"/>
  <c r="H1610" i="62"/>
  <c r="H1609" i="62"/>
  <c r="H1608" i="62"/>
  <c r="H1607" i="62"/>
  <c r="H1606" i="62"/>
  <c r="H1605" i="62"/>
  <c r="H1604" i="62"/>
  <c r="H1603" i="62"/>
  <c r="H1602" i="62"/>
  <c r="H1601" i="62"/>
  <c r="H1600" i="62"/>
  <c r="H1599" i="62"/>
  <c r="H1598" i="62"/>
  <c r="H1597" i="62"/>
  <c r="H1596" i="62"/>
  <c r="H1595" i="62"/>
  <c r="H1594" i="62"/>
  <c r="H1593" i="62"/>
  <c r="H1592" i="62"/>
  <c r="H1591" i="62"/>
  <c r="H1590" i="62"/>
  <c r="H1589" i="62"/>
  <c r="H1588" i="62"/>
  <c r="H1587" i="62"/>
  <c r="H1586" i="62"/>
  <c r="H1585" i="62"/>
  <c r="H1584" i="62"/>
  <c r="H1583" i="62"/>
  <c r="H1582" i="62"/>
  <c r="H1581" i="62"/>
  <c r="H1580" i="62"/>
  <c r="H1579" i="62"/>
  <c r="H1578" i="62"/>
  <c r="H1577" i="62"/>
  <c r="P1576" i="62"/>
  <c r="O1576" i="62"/>
  <c r="N1576" i="62"/>
  <c r="M1576" i="62"/>
  <c r="L1576" i="62"/>
  <c r="K1576" i="62"/>
  <c r="J1576" i="62"/>
  <c r="H1576" i="62"/>
  <c r="P1575" i="62"/>
  <c r="O1575" i="62"/>
  <c r="N1575" i="62"/>
  <c r="M1575" i="62"/>
  <c r="L1575" i="62"/>
  <c r="K1575" i="62"/>
  <c r="J1575" i="62"/>
  <c r="H1575" i="62"/>
  <c r="P1574" i="62"/>
  <c r="O1574" i="62"/>
  <c r="N1574" i="62"/>
  <c r="M1574" i="62"/>
  <c r="L1574" i="62"/>
  <c r="K1574" i="62"/>
  <c r="J1574" i="62"/>
  <c r="H1574" i="62"/>
  <c r="P1573" i="62"/>
  <c r="O1573" i="62"/>
  <c r="N1573" i="62"/>
  <c r="M1573" i="62"/>
  <c r="L1573" i="62"/>
  <c r="K1573" i="62"/>
  <c r="J1573" i="62"/>
  <c r="H1573" i="62"/>
  <c r="P1572" i="62"/>
  <c r="O1572" i="62"/>
  <c r="N1572" i="62"/>
  <c r="M1572" i="62"/>
  <c r="L1572" i="62"/>
  <c r="K1572" i="62"/>
  <c r="J1572" i="62"/>
  <c r="H1572" i="62"/>
  <c r="P1571" i="62"/>
  <c r="O1571" i="62"/>
  <c r="N1571" i="62"/>
  <c r="M1571" i="62"/>
  <c r="L1571" i="62"/>
  <c r="K1571" i="62"/>
  <c r="J1571" i="62"/>
  <c r="H1571" i="62"/>
  <c r="P1570" i="62"/>
  <c r="O1570" i="62"/>
  <c r="N1570" i="62"/>
  <c r="M1570" i="62"/>
  <c r="L1570" i="62"/>
  <c r="K1570" i="62"/>
  <c r="J1570" i="62"/>
  <c r="H1570" i="62"/>
  <c r="P1569" i="62"/>
  <c r="O1569" i="62"/>
  <c r="N1569" i="62"/>
  <c r="M1569" i="62"/>
  <c r="L1569" i="62"/>
  <c r="K1569" i="62"/>
  <c r="J1569" i="62"/>
  <c r="H1569" i="62"/>
  <c r="P1568" i="62"/>
  <c r="O1568" i="62"/>
  <c r="N1568" i="62"/>
  <c r="M1568" i="62"/>
  <c r="L1568" i="62"/>
  <c r="K1568" i="62"/>
  <c r="J1568" i="62"/>
  <c r="H1568" i="62"/>
  <c r="P1567" i="62"/>
  <c r="O1567" i="62"/>
  <c r="N1567" i="62"/>
  <c r="M1567" i="62"/>
  <c r="L1567" i="62"/>
  <c r="K1567" i="62"/>
  <c r="J1567" i="62"/>
  <c r="H1567" i="62"/>
  <c r="P1566" i="62"/>
  <c r="O1566" i="62"/>
  <c r="N1566" i="62"/>
  <c r="M1566" i="62"/>
  <c r="L1566" i="62"/>
  <c r="K1566" i="62"/>
  <c r="J1566" i="62"/>
  <c r="H1566" i="62"/>
  <c r="P1565" i="62"/>
  <c r="O1565" i="62"/>
  <c r="N1565" i="62"/>
  <c r="M1565" i="62"/>
  <c r="L1565" i="62"/>
  <c r="K1565" i="62"/>
  <c r="J1565" i="62"/>
  <c r="H1565" i="62"/>
  <c r="P1564" i="62"/>
  <c r="O1564" i="62"/>
  <c r="N1564" i="62"/>
  <c r="M1564" i="62"/>
  <c r="L1564" i="62"/>
  <c r="K1564" i="62"/>
  <c r="J1564" i="62"/>
  <c r="H1564" i="62"/>
  <c r="P1563" i="62"/>
  <c r="O1563" i="62"/>
  <c r="N1563" i="62"/>
  <c r="M1563" i="62"/>
  <c r="L1563" i="62"/>
  <c r="K1563" i="62"/>
  <c r="J1563" i="62"/>
  <c r="H1563" i="62"/>
  <c r="P1562" i="62"/>
  <c r="O1562" i="62"/>
  <c r="N1562" i="62"/>
  <c r="M1562" i="62"/>
  <c r="L1562" i="62"/>
  <c r="K1562" i="62"/>
  <c r="J1562" i="62"/>
  <c r="H1562" i="62"/>
  <c r="P1561" i="62"/>
  <c r="O1561" i="62"/>
  <c r="N1561" i="62"/>
  <c r="M1561" i="62"/>
  <c r="L1561" i="62"/>
  <c r="K1561" i="62"/>
  <c r="J1561" i="62"/>
  <c r="H1561" i="62"/>
  <c r="P1560" i="62"/>
  <c r="O1560" i="62"/>
  <c r="N1560" i="62"/>
  <c r="M1560" i="62"/>
  <c r="L1560" i="62"/>
  <c r="K1560" i="62"/>
  <c r="J1560" i="62"/>
  <c r="H1560" i="62"/>
  <c r="P1559" i="62"/>
  <c r="O1559" i="62"/>
  <c r="N1559" i="62"/>
  <c r="M1559" i="62"/>
  <c r="L1559" i="62"/>
  <c r="K1559" i="62"/>
  <c r="J1559" i="62"/>
  <c r="H1559" i="62"/>
  <c r="P1558" i="62"/>
  <c r="O1558" i="62"/>
  <c r="N1558" i="62"/>
  <c r="M1558" i="62"/>
  <c r="L1558" i="62"/>
  <c r="K1558" i="62"/>
  <c r="J1558" i="62"/>
  <c r="H1558" i="62"/>
  <c r="P1557" i="62"/>
  <c r="O1557" i="62"/>
  <c r="N1557" i="62"/>
  <c r="M1557" i="62"/>
  <c r="L1557" i="62"/>
  <c r="K1557" i="62"/>
  <c r="J1557" i="62"/>
  <c r="H1557" i="62"/>
  <c r="P1556" i="62"/>
  <c r="O1556" i="62"/>
  <c r="N1556" i="62"/>
  <c r="M1556" i="62"/>
  <c r="L1556" i="62"/>
  <c r="K1556" i="62"/>
  <c r="J1556" i="62"/>
  <c r="H1556" i="62"/>
  <c r="P1555" i="62"/>
  <c r="O1555" i="62"/>
  <c r="N1555" i="62"/>
  <c r="M1555" i="62"/>
  <c r="L1555" i="62"/>
  <c r="K1555" i="62"/>
  <c r="J1555" i="62"/>
  <c r="H1555" i="62"/>
  <c r="P1554" i="62"/>
  <c r="O1554" i="62"/>
  <c r="N1554" i="62"/>
  <c r="M1554" i="62"/>
  <c r="L1554" i="62"/>
  <c r="K1554" i="62"/>
  <c r="J1554" i="62"/>
  <c r="H1554" i="62"/>
  <c r="P1553" i="62"/>
  <c r="O1553" i="62"/>
  <c r="N1553" i="62"/>
  <c r="M1553" i="62"/>
  <c r="L1553" i="62"/>
  <c r="K1553" i="62"/>
  <c r="J1553" i="62"/>
  <c r="H1553" i="62"/>
  <c r="P1552" i="62"/>
  <c r="O1552" i="62"/>
  <c r="N1552" i="62"/>
  <c r="M1552" i="62"/>
  <c r="L1552" i="62"/>
  <c r="K1552" i="62"/>
  <c r="J1552" i="62"/>
  <c r="H1552" i="62"/>
  <c r="P1551" i="62"/>
  <c r="O1551" i="62"/>
  <c r="N1551" i="62"/>
  <c r="M1551" i="62"/>
  <c r="L1551" i="62"/>
  <c r="K1551" i="62"/>
  <c r="J1551" i="62"/>
  <c r="H1551" i="62"/>
  <c r="P1550" i="62"/>
  <c r="O1550" i="62"/>
  <c r="N1550" i="62"/>
  <c r="M1550" i="62"/>
  <c r="L1550" i="62"/>
  <c r="K1550" i="62"/>
  <c r="J1550" i="62"/>
  <c r="H1550" i="62"/>
  <c r="P1549" i="62"/>
  <c r="O1549" i="62"/>
  <c r="N1549" i="62"/>
  <c r="M1549" i="62"/>
  <c r="L1549" i="62"/>
  <c r="K1549" i="62"/>
  <c r="J1549" i="62"/>
  <c r="H1549" i="62"/>
  <c r="P1548" i="62"/>
  <c r="O1548" i="62"/>
  <c r="N1548" i="62"/>
  <c r="M1548" i="62"/>
  <c r="L1548" i="62"/>
  <c r="K1548" i="62"/>
  <c r="J1548" i="62"/>
  <c r="H1548" i="62"/>
  <c r="P1547" i="62"/>
  <c r="O1547" i="62"/>
  <c r="N1547" i="62"/>
  <c r="M1547" i="62"/>
  <c r="L1547" i="62"/>
  <c r="K1547" i="62"/>
  <c r="J1547" i="62"/>
  <c r="H1547" i="62"/>
  <c r="P1546" i="62"/>
  <c r="O1546" i="62"/>
  <c r="N1546" i="62"/>
  <c r="M1546" i="62"/>
  <c r="L1546" i="62"/>
  <c r="K1546" i="62"/>
  <c r="J1546" i="62"/>
  <c r="H1546" i="62"/>
  <c r="P1545" i="62"/>
  <c r="O1545" i="62"/>
  <c r="N1545" i="62"/>
  <c r="M1545" i="62"/>
  <c r="L1545" i="62"/>
  <c r="K1545" i="62"/>
  <c r="J1545" i="62"/>
  <c r="H1545" i="62"/>
  <c r="P1544" i="62"/>
  <c r="O1544" i="62"/>
  <c r="N1544" i="62"/>
  <c r="M1544" i="62"/>
  <c r="L1544" i="62"/>
  <c r="K1544" i="62"/>
  <c r="J1544" i="62"/>
  <c r="H1544" i="62"/>
  <c r="P1543" i="62"/>
  <c r="O1543" i="62"/>
  <c r="N1543" i="62"/>
  <c r="M1543" i="62"/>
  <c r="L1543" i="62"/>
  <c r="K1543" i="62"/>
  <c r="J1543" i="62"/>
  <c r="H1543" i="62"/>
  <c r="P1542" i="62"/>
  <c r="O1542" i="62"/>
  <c r="N1542" i="62"/>
  <c r="M1542" i="62"/>
  <c r="L1542" i="62"/>
  <c r="K1542" i="62"/>
  <c r="J1542" i="62"/>
  <c r="H1542" i="62"/>
  <c r="P1541" i="62"/>
  <c r="O1541" i="62"/>
  <c r="N1541" i="62"/>
  <c r="M1541" i="62"/>
  <c r="L1541" i="62"/>
  <c r="K1541" i="62"/>
  <c r="J1541" i="62"/>
  <c r="H1541" i="62"/>
  <c r="P1540" i="62"/>
  <c r="O1540" i="62"/>
  <c r="N1540" i="62"/>
  <c r="M1540" i="62"/>
  <c r="L1540" i="62"/>
  <c r="K1540" i="62"/>
  <c r="J1540" i="62"/>
  <c r="H1540" i="62"/>
  <c r="P1539" i="62"/>
  <c r="O1539" i="62"/>
  <c r="N1539" i="62"/>
  <c r="M1539" i="62"/>
  <c r="L1539" i="62"/>
  <c r="K1539" i="62"/>
  <c r="J1539" i="62"/>
  <c r="H1539" i="62"/>
  <c r="P1538" i="62"/>
  <c r="O1538" i="62"/>
  <c r="N1538" i="62"/>
  <c r="M1538" i="62"/>
  <c r="L1538" i="62"/>
  <c r="K1538" i="62"/>
  <c r="J1538" i="62"/>
  <c r="H1538" i="62"/>
  <c r="P1537" i="62"/>
  <c r="O1537" i="62"/>
  <c r="N1537" i="62"/>
  <c r="M1537" i="62"/>
  <c r="L1537" i="62"/>
  <c r="K1537" i="62"/>
  <c r="J1537" i="62"/>
  <c r="H1537" i="62"/>
  <c r="P1536" i="62"/>
  <c r="O1536" i="62"/>
  <c r="N1536" i="62"/>
  <c r="M1536" i="62"/>
  <c r="L1536" i="62"/>
  <c r="K1536" i="62"/>
  <c r="J1536" i="62"/>
  <c r="H1536" i="62"/>
  <c r="P1535" i="62"/>
  <c r="O1535" i="62"/>
  <c r="N1535" i="62"/>
  <c r="M1535" i="62"/>
  <c r="L1535" i="62"/>
  <c r="K1535" i="62"/>
  <c r="J1535" i="62"/>
  <c r="H1535" i="62"/>
  <c r="P1534" i="62"/>
  <c r="O1534" i="62"/>
  <c r="N1534" i="62"/>
  <c r="M1534" i="62"/>
  <c r="L1534" i="62"/>
  <c r="K1534" i="62"/>
  <c r="J1534" i="62"/>
  <c r="H1534" i="62"/>
  <c r="P1533" i="62"/>
  <c r="O1533" i="62"/>
  <c r="N1533" i="62"/>
  <c r="M1533" i="62"/>
  <c r="L1533" i="62"/>
  <c r="K1533" i="62"/>
  <c r="J1533" i="62"/>
  <c r="H1533" i="62"/>
  <c r="P1532" i="62"/>
  <c r="O1532" i="62"/>
  <c r="N1532" i="62"/>
  <c r="M1532" i="62"/>
  <c r="L1532" i="62"/>
  <c r="K1532" i="62"/>
  <c r="J1532" i="62"/>
  <c r="H1532" i="62"/>
  <c r="P1531" i="62"/>
  <c r="O1531" i="62"/>
  <c r="N1531" i="62"/>
  <c r="M1531" i="62"/>
  <c r="L1531" i="62"/>
  <c r="K1531" i="62"/>
  <c r="J1531" i="62"/>
  <c r="H1531" i="62"/>
  <c r="P1530" i="62"/>
  <c r="O1530" i="62"/>
  <c r="N1530" i="62"/>
  <c r="M1530" i="62"/>
  <c r="L1530" i="62"/>
  <c r="K1530" i="62"/>
  <c r="J1530" i="62"/>
  <c r="H1530" i="62"/>
  <c r="P1529" i="62"/>
  <c r="O1529" i="62"/>
  <c r="N1529" i="62"/>
  <c r="M1529" i="62"/>
  <c r="L1529" i="62"/>
  <c r="K1529" i="62"/>
  <c r="J1529" i="62"/>
  <c r="H1529" i="62"/>
  <c r="P1528" i="62"/>
  <c r="O1528" i="62"/>
  <c r="N1528" i="62"/>
  <c r="M1528" i="62"/>
  <c r="L1528" i="62"/>
  <c r="K1528" i="62"/>
  <c r="J1528" i="62"/>
  <c r="H1528" i="62"/>
  <c r="P1527" i="62"/>
  <c r="O1527" i="62"/>
  <c r="N1527" i="62"/>
  <c r="M1527" i="62"/>
  <c r="L1527" i="62"/>
  <c r="K1527" i="62"/>
  <c r="J1527" i="62"/>
  <c r="H1527" i="62"/>
  <c r="P1526" i="62"/>
  <c r="O1526" i="62"/>
  <c r="N1526" i="62"/>
  <c r="M1526" i="62"/>
  <c r="L1526" i="62"/>
  <c r="K1526" i="62"/>
  <c r="J1526" i="62"/>
  <c r="H1526" i="62"/>
  <c r="P1525" i="62"/>
  <c r="O1525" i="62"/>
  <c r="N1525" i="62"/>
  <c r="M1525" i="62"/>
  <c r="L1525" i="62"/>
  <c r="K1525" i="62"/>
  <c r="J1525" i="62"/>
  <c r="H1525" i="62"/>
  <c r="P1524" i="62"/>
  <c r="O1524" i="62"/>
  <c r="N1524" i="62"/>
  <c r="M1524" i="62"/>
  <c r="L1524" i="62"/>
  <c r="K1524" i="62"/>
  <c r="J1524" i="62"/>
  <c r="H1524" i="62"/>
  <c r="P1523" i="62"/>
  <c r="O1523" i="62"/>
  <c r="N1523" i="62"/>
  <c r="M1523" i="62"/>
  <c r="L1523" i="62"/>
  <c r="K1523" i="62"/>
  <c r="J1523" i="62"/>
  <c r="H1523" i="62"/>
  <c r="P1522" i="62"/>
  <c r="O1522" i="62"/>
  <c r="N1522" i="62"/>
  <c r="M1522" i="62"/>
  <c r="L1522" i="62"/>
  <c r="K1522" i="62"/>
  <c r="J1522" i="62"/>
  <c r="H1522" i="62"/>
  <c r="P1521" i="62"/>
  <c r="O1521" i="62"/>
  <c r="N1521" i="62"/>
  <c r="M1521" i="62"/>
  <c r="L1521" i="62"/>
  <c r="K1521" i="62"/>
  <c r="J1521" i="62"/>
  <c r="H1521" i="62"/>
  <c r="P1520" i="62"/>
  <c r="O1520" i="62"/>
  <c r="N1520" i="62"/>
  <c r="M1520" i="62"/>
  <c r="L1520" i="62"/>
  <c r="K1520" i="62"/>
  <c r="J1520" i="62"/>
  <c r="H1520" i="62"/>
  <c r="P1519" i="62"/>
  <c r="O1519" i="62"/>
  <c r="N1519" i="62"/>
  <c r="M1519" i="62"/>
  <c r="L1519" i="62"/>
  <c r="K1519" i="62"/>
  <c r="J1519" i="62"/>
  <c r="H1519" i="62"/>
  <c r="P1518" i="62"/>
  <c r="O1518" i="62"/>
  <c r="N1518" i="62"/>
  <c r="M1518" i="62"/>
  <c r="L1518" i="62"/>
  <c r="K1518" i="62"/>
  <c r="J1518" i="62"/>
  <c r="H1518" i="62"/>
  <c r="P1517" i="62"/>
  <c r="O1517" i="62"/>
  <c r="N1517" i="62"/>
  <c r="M1517" i="62"/>
  <c r="L1517" i="62"/>
  <c r="K1517" i="62"/>
  <c r="J1517" i="62"/>
  <c r="H1517" i="62"/>
  <c r="P1516" i="62"/>
  <c r="O1516" i="62"/>
  <c r="N1516" i="62"/>
  <c r="M1516" i="62"/>
  <c r="L1516" i="62"/>
  <c r="K1516" i="62"/>
  <c r="J1516" i="62"/>
  <c r="H1516" i="62"/>
  <c r="P1515" i="62"/>
  <c r="O1515" i="62"/>
  <c r="N1515" i="62"/>
  <c r="M1515" i="62"/>
  <c r="L1515" i="62"/>
  <c r="K1515" i="62"/>
  <c r="J1515" i="62"/>
  <c r="H1515" i="62"/>
  <c r="P1514" i="62"/>
  <c r="O1514" i="62"/>
  <c r="N1514" i="62"/>
  <c r="M1514" i="62"/>
  <c r="L1514" i="62"/>
  <c r="K1514" i="62"/>
  <c r="J1514" i="62"/>
  <c r="H1514" i="62"/>
  <c r="P1513" i="62"/>
  <c r="O1513" i="62"/>
  <c r="N1513" i="62"/>
  <c r="M1513" i="62"/>
  <c r="L1513" i="62"/>
  <c r="K1513" i="62"/>
  <c r="J1513" i="62"/>
  <c r="H1513" i="62"/>
  <c r="P1512" i="62"/>
  <c r="O1512" i="62"/>
  <c r="N1512" i="62"/>
  <c r="M1512" i="62"/>
  <c r="L1512" i="62"/>
  <c r="K1512" i="62"/>
  <c r="J1512" i="62"/>
  <c r="H1512" i="62"/>
  <c r="P1511" i="62"/>
  <c r="O1511" i="62"/>
  <c r="N1511" i="62"/>
  <c r="M1511" i="62"/>
  <c r="L1511" i="62"/>
  <c r="K1511" i="62"/>
  <c r="J1511" i="62"/>
  <c r="H1511" i="62"/>
  <c r="P1510" i="62"/>
  <c r="O1510" i="62"/>
  <c r="N1510" i="62"/>
  <c r="M1510" i="62"/>
  <c r="L1510" i="62"/>
  <c r="K1510" i="62"/>
  <c r="J1510" i="62"/>
  <c r="H1510" i="62"/>
  <c r="P1509" i="62"/>
  <c r="O1509" i="62"/>
  <c r="N1509" i="62"/>
  <c r="M1509" i="62"/>
  <c r="L1509" i="62"/>
  <c r="K1509" i="62"/>
  <c r="J1509" i="62"/>
  <c r="H1509" i="62"/>
  <c r="P1508" i="62"/>
  <c r="O1508" i="62"/>
  <c r="N1508" i="62"/>
  <c r="M1508" i="62"/>
  <c r="L1508" i="62"/>
  <c r="K1508" i="62"/>
  <c r="J1508" i="62"/>
  <c r="H1508" i="62"/>
  <c r="P1507" i="62"/>
  <c r="O1507" i="62"/>
  <c r="N1507" i="62"/>
  <c r="M1507" i="62"/>
  <c r="L1507" i="62"/>
  <c r="K1507" i="62"/>
  <c r="J1507" i="62"/>
  <c r="H1507" i="62"/>
  <c r="P1506" i="62"/>
  <c r="O1506" i="62"/>
  <c r="N1506" i="62"/>
  <c r="M1506" i="62"/>
  <c r="L1506" i="62"/>
  <c r="K1506" i="62"/>
  <c r="J1506" i="62"/>
  <c r="H1506" i="62"/>
  <c r="P1505" i="62"/>
  <c r="O1505" i="62"/>
  <c r="N1505" i="62"/>
  <c r="M1505" i="62"/>
  <c r="L1505" i="62"/>
  <c r="K1505" i="62"/>
  <c r="J1505" i="62"/>
  <c r="H1505" i="62"/>
  <c r="P1504" i="62"/>
  <c r="O1504" i="62"/>
  <c r="N1504" i="62"/>
  <c r="M1504" i="62"/>
  <c r="L1504" i="62"/>
  <c r="K1504" i="62"/>
  <c r="J1504" i="62"/>
  <c r="H1504" i="62"/>
  <c r="P1503" i="62"/>
  <c r="O1503" i="62"/>
  <c r="N1503" i="62"/>
  <c r="M1503" i="62"/>
  <c r="L1503" i="62"/>
  <c r="K1503" i="62"/>
  <c r="J1503" i="62"/>
  <c r="H1503" i="62"/>
  <c r="P1502" i="62"/>
  <c r="O1502" i="62"/>
  <c r="N1502" i="62"/>
  <c r="M1502" i="62"/>
  <c r="L1502" i="62"/>
  <c r="K1502" i="62"/>
  <c r="J1502" i="62"/>
  <c r="H1502" i="62"/>
  <c r="P1501" i="62"/>
  <c r="O1501" i="62"/>
  <c r="N1501" i="62"/>
  <c r="M1501" i="62"/>
  <c r="L1501" i="62"/>
  <c r="K1501" i="62"/>
  <c r="J1501" i="62"/>
  <c r="H1501" i="62"/>
  <c r="P1500" i="62"/>
  <c r="O1500" i="62"/>
  <c r="N1500" i="62"/>
  <c r="M1500" i="62"/>
  <c r="L1500" i="62"/>
  <c r="K1500" i="62"/>
  <c r="J1500" i="62"/>
  <c r="H1500" i="62"/>
  <c r="P1499" i="62"/>
  <c r="O1499" i="62"/>
  <c r="N1499" i="62"/>
  <c r="M1499" i="62"/>
  <c r="L1499" i="62"/>
  <c r="K1499" i="62"/>
  <c r="J1499" i="62"/>
  <c r="H1499" i="62"/>
  <c r="P1498" i="62"/>
  <c r="O1498" i="62"/>
  <c r="N1498" i="62"/>
  <c r="M1498" i="62"/>
  <c r="L1498" i="62"/>
  <c r="K1498" i="62"/>
  <c r="J1498" i="62"/>
  <c r="H1498" i="62"/>
  <c r="P1497" i="62"/>
  <c r="O1497" i="62"/>
  <c r="N1497" i="62"/>
  <c r="M1497" i="62"/>
  <c r="L1497" i="62"/>
  <c r="K1497" i="62"/>
  <c r="J1497" i="62"/>
  <c r="H1497" i="62"/>
  <c r="P1496" i="62"/>
  <c r="O1496" i="62"/>
  <c r="N1496" i="62"/>
  <c r="M1496" i="62"/>
  <c r="L1496" i="62"/>
  <c r="K1496" i="62"/>
  <c r="J1496" i="62"/>
  <c r="H1496" i="62"/>
  <c r="P1495" i="62"/>
  <c r="O1495" i="62"/>
  <c r="N1495" i="62"/>
  <c r="M1495" i="62"/>
  <c r="L1495" i="62"/>
  <c r="K1495" i="62"/>
  <c r="J1495" i="62"/>
  <c r="H1495" i="62"/>
  <c r="P1494" i="62"/>
  <c r="O1494" i="62"/>
  <c r="N1494" i="62"/>
  <c r="M1494" i="62"/>
  <c r="L1494" i="62"/>
  <c r="K1494" i="62"/>
  <c r="J1494" i="62"/>
  <c r="H1494" i="62"/>
  <c r="P1493" i="62"/>
  <c r="O1493" i="62"/>
  <c r="N1493" i="62"/>
  <c r="M1493" i="62"/>
  <c r="L1493" i="62"/>
  <c r="K1493" i="62"/>
  <c r="J1493" i="62"/>
  <c r="H1493" i="62"/>
  <c r="P1492" i="62"/>
  <c r="O1492" i="62"/>
  <c r="N1492" i="62"/>
  <c r="M1492" i="62"/>
  <c r="L1492" i="62"/>
  <c r="K1492" i="62"/>
  <c r="J1492" i="62"/>
  <c r="H1492" i="62"/>
  <c r="P1491" i="62"/>
  <c r="O1491" i="62"/>
  <c r="N1491" i="62"/>
  <c r="M1491" i="62"/>
  <c r="L1491" i="62"/>
  <c r="K1491" i="62"/>
  <c r="J1491" i="62"/>
  <c r="H1491" i="62"/>
  <c r="P1490" i="62"/>
  <c r="O1490" i="62"/>
  <c r="N1490" i="62"/>
  <c r="M1490" i="62"/>
  <c r="L1490" i="62"/>
  <c r="K1490" i="62"/>
  <c r="J1490" i="62"/>
  <c r="H1490" i="62"/>
  <c r="P1489" i="62"/>
  <c r="O1489" i="62"/>
  <c r="N1489" i="62"/>
  <c r="M1489" i="62"/>
  <c r="L1489" i="62"/>
  <c r="K1489" i="62"/>
  <c r="J1489" i="62"/>
  <c r="H1489" i="62"/>
  <c r="P1488" i="62"/>
  <c r="O1488" i="62"/>
  <c r="N1488" i="62"/>
  <c r="M1488" i="62"/>
  <c r="L1488" i="62"/>
  <c r="K1488" i="62"/>
  <c r="J1488" i="62"/>
  <c r="H1488" i="62"/>
  <c r="P1487" i="62"/>
  <c r="O1487" i="62"/>
  <c r="N1487" i="62"/>
  <c r="M1487" i="62"/>
  <c r="L1487" i="62"/>
  <c r="K1487" i="62"/>
  <c r="J1487" i="62"/>
  <c r="H1487" i="62"/>
  <c r="P1486" i="62"/>
  <c r="O1486" i="62"/>
  <c r="N1486" i="62"/>
  <c r="M1486" i="62"/>
  <c r="L1486" i="62"/>
  <c r="K1486" i="62"/>
  <c r="J1486" i="62"/>
  <c r="H1486" i="62"/>
  <c r="P1485" i="62"/>
  <c r="O1485" i="62"/>
  <c r="N1485" i="62"/>
  <c r="M1485" i="62"/>
  <c r="L1485" i="62"/>
  <c r="K1485" i="62"/>
  <c r="J1485" i="62"/>
  <c r="H1485" i="62"/>
  <c r="P1484" i="62"/>
  <c r="O1484" i="62"/>
  <c r="N1484" i="62"/>
  <c r="M1484" i="62"/>
  <c r="L1484" i="62"/>
  <c r="K1484" i="62"/>
  <c r="J1484" i="62"/>
  <c r="H1484" i="62"/>
  <c r="P1483" i="62"/>
  <c r="O1483" i="62"/>
  <c r="N1483" i="62"/>
  <c r="M1483" i="62"/>
  <c r="L1483" i="62"/>
  <c r="K1483" i="62"/>
  <c r="J1483" i="62"/>
  <c r="H1483" i="62"/>
  <c r="P1482" i="62"/>
  <c r="O1482" i="62"/>
  <c r="N1482" i="62"/>
  <c r="M1482" i="62"/>
  <c r="L1482" i="62"/>
  <c r="K1482" i="62"/>
  <c r="J1482" i="62"/>
  <c r="H1482" i="62"/>
  <c r="P1481" i="62"/>
  <c r="O1481" i="62"/>
  <c r="N1481" i="62"/>
  <c r="M1481" i="62"/>
  <c r="L1481" i="62"/>
  <c r="K1481" i="62"/>
  <c r="J1481" i="62"/>
  <c r="H1481" i="62"/>
  <c r="P1480" i="62"/>
  <c r="O1480" i="62"/>
  <c r="N1480" i="62"/>
  <c r="M1480" i="62"/>
  <c r="L1480" i="62"/>
  <c r="K1480" i="62"/>
  <c r="J1480" i="62"/>
  <c r="H1480" i="62"/>
  <c r="P1479" i="62"/>
  <c r="O1479" i="62"/>
  <c r="N1479" i="62"/>
  <c r="M1479" i="62"/>
  <c r="L1479" i="62"/>
  <c r="K1479" i="62"/>
  <c r="J1479" i="62"/>
  <c r="H1479" i="62"/>
  <c r="P1478" i="62"/>
  <c r="O1478" i="62"/>
  <c r="N1478" i="62"/>
  <c r="M1478" i="62"/>
  <c r="L1478" i="62"/>
  <c r="K1478" i="62"/>
  <c r="J1478" i="62"/>
  <c r="H1478" i="62"/>
  <c r="P1477" i="62"/>
  <c r="O1477" i="62"/>
  <c r="N1477" i="62"/>
  <c r="M1477" i="62"/>
  <c r="L1477" i="62"/>
  <c r="K1477" i="62"/>
  <c r="J1477" i="62"/>
  <c r="H1477" i="62"/>
  <c r="P1476" i="62"/>
  <c r="O1476" i="62"/>
  <c r="N1476" i="62"/>
  <c r="M1476" i="62"/>
  <c r="L1476" i="62"/>
  <c r="K1476" i="62"/>
  <c r="J1476" i="62"/>
  <c r="H1476" i="62"/>
  <c r="P1475" i="62"/>
  <c r="O1475" i="62"/>
  <c r="N1475" i="62"/>
  <c r="M1475" i="62"/>
  <c r="L1475" i="62"/>
  <c r="K1475" i="62"/>
  <c r="J1475" i="62"/>
  <c r="H1475" i="62"/>
  <c r="P1474" i="62"/>
  <c r="O1474" i="62"/>
  <c r="N1474" i="62"/>
  <c r="M1474" i="62"/>
  <c r="L1474" i="62"/>
  <c r="K1474" i="62"/>
  <c r="J1474" i="62"/>
  <c r="H1474" i="62"/>
  <c r="P1473" i="62"/>
  <c r="O1473" i="62"/>
  <c r="N1473" i="62"/>
  <c r="M1473" i="62"/>
  <c r="L1473" i="62"/>
  <c r="K1473" i="62"/>
  <c r="J1473" i="62"/>
  <c r="H1473" i="62"/>
  <c r="P1472" i="62"/>
  <c r="O1472" i="62"/>
  <c r="N1472" i="62"/>
  <c r="M1472" i="62"/>
  <c r="L1472" i="62"/>
  <c r="K1472" i="62"/>
  <c r="J1472" i="62"/>
  <c r="H1472" i="62"/>
  <c r="P1471" i="62"/>
  <c r="O1471" i="62"/>
  <c r="N1471" i="62"/>
  <c r="M1471" i="62"/>
  <c r="L1471" i="62"/>
  <c r="K1471" i="62"/>
  <c r="J1471" i="62"/>
  <c r="H1471" i="62"/>
  <c r="P1470" i="62"/>
  <c r="O1470" i="62"/>
  <c r="N1470" i="62"/>
  <c r="M1470" i="62"/>
  <c r="L1470" i="62"/>
  <c r="K1470" i="62"/>
  <c r="J1470" i="62"/>
  <c r="H1470" i="62"/>
  <c r="P1469" i="62"/>
  <c r="O1469" i="62"/>
  <c r="N1469" i="62"/>
  <c r="M1469" i="62"/>
  <c r="L1469" i="62"/>
  <c r="K1469" i="62"/>
  <c r="J1469" i="62"/>
  <c r="H1469" i="62"/>
  <c r="P1468" i="62"/>
  <c r="O1468" i="62"/>
  <c r="N1468" i="62"/>
  <c r="M1468" i="62"/>
  <c r="L1468" i="62"/>
  <c r="K1468" i="62"/>
  <c r="J1468" i="62"/>
  <c r="H1468" i="62"/>
  <c r="P1467" i="62"/>
  <c r="O1467" i="62"/>
  <c r="N1467" i="62"/>
  <c r="M1467" i="62"/>
  <c r="L1467" i="62"/>
  <c r="K1467" i="62"/>
  <c r="J1467" i="62"/>
  <c r="H1467" i="62"/>
  <c r="P1466" i="62"/>
  <c r="O1466" i="62"/>
  <c r="N1466" i="62"/>
  <c r="M1466" i="62"/>
  <c r="L1466" i="62"/>
  <c r="K1466" i="62"/>
  <c r="J1466" i="62"/>
  <c r="H1466" i="62"/>
  <c r="P1465" i="62"/>
  <c r="O1465" i="62"/>
  <c r="N1465" i="62"/>
  <c r="M1465" i="62"/>
  <c r="L1465" i="62"/>
  <c r="K1465" i="62"/>
  <c r="J1465" i="62"/>
  <c r="H1465" i="62"/>
  <c r="P1464" i="62"/>
  <c r="O1464" i="62"/>
  <c r="N1464" i="62"/>
  <c r="M1464" i="62"/>
  <c r="L1464" i="62"/>
  <c r="K1464" i="62"/>
  <c r="J1464" i="62"/>
  <c r="H1464" i="62"/>
  <c r="P1463" i="62"/>
  <c r="O1463" i="62"/>
  <c r="N1463" i="62"/>
  <c r="M1463" i="62"/>
  <c r="L1463" i="62"/>
  <c r="K1463" i="62"/>
  <c r="J1463" i="62"/>
  <c r="H1463" i="62"/>
  <c r="P1462" i="62"/>
  <c r="O1462" i="62"/>
  <c r="N1462" i="62"/>
  <c r="M1462" i="62"/>
  <c r="L1462" i="62"/>
  <c r="K1462" i="62"/>
  <c r="J1462" i="62"/>
  <c r="H1462" i="62"/>
  <c r="P1461" i="62"/>
  <c r="O1461" i="62"/>
  <c r="N1461" i="62"/>
  <c r="M1461" i="62"/>
  <c r="L1461" i="62"/>
  <c r="K1461" i="62"/>
  <c r="J1461" i="62"/>
  <c r="H1461" i="62"/>
  <c r="P1460" i="62"/>
  <c r="O1460" i="62"/>
  <c r="N1460" i="62"/>
  <c r="M1460" i="62"/>
  <c r="L1460" i="62"/>
  <c r="K1460" i="62"/>
  <c r="J1460" i="62"/>
  <c r="H1460" i="62"/>
  <c r="P1459" i="62"/>
  <c r="O1459" i="62"/>
  <c r="N1459" i="62"/>
  <c r="M1459" i="62"/>
  <c r="L1459" i="62"/>
  <c r="K1459" i="62"/>
  <c r="J1459" i="62"/>
  <c r="H1459" i="62"/>
  <c r="P1458" i="62"/>
  <c r="O1458" i="62"/>
  <c r="N1458" i="62"/>
  <c r="M1458" i="62"/>
  <c r="L1458" i="62"/>
  <c r="K1458" i="62"/>
  <c r="J1458" i="62"/>
  <c r="H1458" i="62"/>
  <c r="P1457" i="62"/>
  <c r="O1457" i="62"/>
  <c r="N1457" i="62"/>
  <c r="M1457" i="62"/>
  <c r="L1457" i="62"/>
  <c r="K1457" i="62"/>
  <c r="J1457" i="62"/>
  <c r="H1457" i="62"/>
  <c r="P1456" i="62"/>
  <c r="O1456" i="62"/>
  <c r="N1456" i="62"/>
  <c r="M1456" i="62"/>
  <c r="L1456" i="62"/>
  <c r="K1456" i="62"/>
  <c r="J1456" i="62"/>
  <c r="H1456" i="62"/>
  <c r="P1455" i="62"/>
  <c r="O1455" i="62"/>
  <c r="N1455" i="62"/>
  <c r="M1455" i="62"/>
  <c r="L1455" i="62"/>
  <c r="K1455" i="62"/>
  <c r="J1455" i="62"/>
  <c r="H1455" i="62"/>
  <c r="P1454" i="62"/>
  <c r="O1454" i="62"/>
  <c r="N1454" i="62"/>
  <c r="M1454" i="62"/>
  <c r="L1454" i="62"/>
  <c r="K1454" i="62"/>
  <c r="J1454" i="62"/>
  <c r="H1454" i="62"/>
  <c r="P1453" i="62"/>
  <c r="O1453" i="62"/>
  <c r="N1453" i="62"/>
  <c r="M1453" i="62"/>
  <c r="L1453" i="62"/>
  <c r="K1453" i="62"/>
  <c r="J1453" i="62"/>
  <c r="H1453" i="62"/>
  <c r="P1452" i="62"/>
  <c r="O1452" i="62"/>
  <c r="N1452" i="62"/>
  <c r="M1452" i="62"/>
  <c r="L1452" i="62"/>
  <c r="K1452" i="62"/>
  <c r="J1452" i="62"/>
  <c r="H1452" i="62"/>
  <c r="P1451" i="62"/>
  <c r="O1451" i="62"/>
  <c r="N1451" i="62"/>
  <c r="M1451" i="62"/>
  <c r="L1451" i="62"/>
  <c r="K1451" i="62"/>
  <c r="J1451" i="62"/>
  <c r="H1451" i="62"/>
  <c r="P1450" i="62"/>
  <c r="O1450" i="62"/>
  <c r="N1450" i="62"/>
  <c r="M1450" i="62"/>
  <c r="L1450" i="62"/>
  <c r="K1450" i="62"/>
  <c r="J1450" i="62"/>
  <c r="H1450" i="62"/>
  <c r="P1449" i="62"/>
  <c r="O1449" i="62"/>
  <c r="N1449" i="62"/>
  <c r="M1449" i="62"/>
  <c r="L1449" i="62"/>
  <c r="K1449" i="62"/>
  <c r="J1449" i="62"/>
  <c r="H1449" i="62"/>
  <c r="P1448" i="62"/>
  <c r="O1448" i="62"/>
  <c r="N1448" i="62"/>
  <c r="M1448" i="62"/>
  <c r="L1448" i="62"/>
  <c r="K1448" i="62"/>
  <c r="J1448" i="62"/>
  <c r="H1448" i="62"/>
  <c r="P1447" i="62"/>
  <c r="O1447" i="62"/>
  <c r="N1447" i="62"/>
  <c r="M1447" i="62"/>
  <c r="L1447" i="62"/>
  <c r="K1447" i="62"/>
  <c r="J1447" i="62"/>
  <c r="H1447" i="62"/>
  <c r="P1446" i="62"/>
  <c r="O1446" i="62"/>
  <c r="N1446" i="62"/>
  <c r="M1446" i="62"/>
  <c r="L1446" i="62"/>
  <c r="K1446" i="62"/>
  <c r="J1446" i="62"/>
  <c r="H1446" i="62"/>
  <c r="P1445" i="62"/>
  <c r="O1445" i="62"/>
  <c r="N1445" i="62"/>
  <c r="M1445" i="62"/>
  <c r="L1445" i="62"/>
  <c r="K1445" i="62"/>
  <c r="J1445" i="62"/>
  <c r="H1445" i="62"/>
  <c r="P1444" i="62"/>
  <c r="O1444" i="62"/>
  <c r="N1444" i="62"/>
  <c r="M1444" i="62"/>
  <c r="L1444" i="62"/>
  <c r="K1444" i="62"/>
  <c r="J1444" i="62"/>
  <c r="H1444" i="62"/>
  <c r="P1443" i="62"/>
  <c r="O1443" i="62"/>
  <c r="N1443" i="62"/>
  <c r="M1443" i="62"/>
  <c r="L1443" i="62"/>
  <c r="K1443" i="62"/>
  <c r="J1443" i="62"/>
  <c r="H1443" i="62"/>
  <c r="P1442" i="62"/>
  <c r="O1442" i="62"/>
  <c r="N1442" i="62"/>
  <c r="M1442" i="62"/>
  <c r="L1442" i="62"/>
  <c r="K1442" i="62"/>
  <c r="J1442" i="62"/>
  <c r="H1442" i="62"/>
  <c r="P1441" i="62"/>
  <c r="O1441" i="62"/>
  <c r="N1441" i="62"/>
  <c r="M1441" i="62"/>
  <c r="L1441" i="62"/>
  <c r="K1441" i="62"/>
  <c r="J1441" i="62"/>
  <c r="H1441" i="62"/>
  <c r="P1440" i="62"/>
  <c r="O1440" i="62"/>
  <c r="N1440" i="62"/>
  <c r="M1440" i="62"/>
  <c r="L1440" i="62"/>
  <c r="K1440" i="62"/>
  <c r="J1440" i="62"/>
  <c r="H1440" i="62"/>
  <c r="P1439" i="62"/>
  <c r="O1439" i="62"/>
  <c r="N1439" i="62"/>
  <c r="M1439" i="62"/>
  <c r="L1439" i="62"/>
  <c r="K1439" i="62"/>
  <c r="J1439" i="62"/>
  <c r="H1439" i="62"/>
  <c r="P1438" i="62"/>
  <c r="O1438" i="62"/>
  <c r="N1438" i="62"/>
  <c r="M1438" i="62"/>
  <c r="L1438" i="62"/>
  <c r="K1438" i="62"/>
  <c r="J1438" i="62"/>
  <c r="H1438" i="62"/>
  <c r="P1437" i="62"/>
  <c r="O1437" i="62"/>
  <c r="N1437" i="62"/>
  <c r="M1437" i="62"/>
  <c r="L1437" i="62"/>
  <c r="K1437" i="62"/>
  <c r="J1437" i="62"/>
  <c r="H1437" i="62"/>
  <c r="P1436" i="62"/>
  <c r="O1436" i="62"/>
  <c r="N1436" i="62"/>
  <c r="M1436" i="62"/>
  <c r="L1436" i="62"/>
  <c r="K1436" i="62"/>
  <c r="J1436" i="62"/>
  <c r="H1436" i="62"/>
  <c r="P1435" i="62"/>
  <c r="O1435" i="62"/>
  <c r="N1435" i="62"/>
  <c r="M1435" i="62"/>
  <c r="L1435" i="62"/>
  <c r="K1435" i="62"/>
  <c r="J1435" i="62"/>
  <c r="H1435" i="62"/>
  <c r="P1434" i="62"/>
  <c r="O1434" i="62"/>
  <c r="N1434" i="62"/>
  <c r="M1434" i="62"/>
  <c r="L1434" i="62"/>
  <c r="K1434" i="62"/>
  <c r="J1434" i="62"/>
  <c r="H1434" i="62"/>
  <c r="P1433" i="62"/>
  <c r="O1433" i="62"/>
  <c r="N1433" i="62"/>
  <c r="M1433" i="62"/>
  <c r="L1433" i="62"/>
  <c r="K1433" i="62"/>
  <c r="J1433" i="62"/>
  <c r="H1433" i="62"/>
  <c r="P1432" i="62"/>
  <c r="O1432" i="62"/>
  <c r="N1432" i="62"/>
  <c r="M1432" i="62"/>
  <c r="L1432" i="62"/>
  <c r="K1432" i="62"/>
  <c r="J1432" i="62"/>
  <c r="H1432" i="62"/>
  <c r="P1431" i="62"/>
  <c r="O1431" i="62"/>
  <c r="N1431" i="62"/>
  <c r="M1431" i="62"/>
  <c r="L1431" i="62"/>
  <c r="K1431" i="62"/>
  <c r="J1431" i="62"/>
  <c r="H1431" i="62"/>
  <c r="P1430" i="62"/>
  <c r="O1430" i="62"/>
  <c r="N1430" i="62"/>
  <c r="M1430" i="62"/>
  <c r="L1430" i="62"/>
  <c r="K1430" i="62"/>
  <c r="J1430" i="62"/>
  <c r="H1430" i="62"/>
  <c r="P1429" i="62"/>
  <c r="O1429" i="62"/>
  <c r="N1429" i="62"/>
  <c r="M1429" i="62"/>
  <c r="L1429" i="62"/>
  <c r="K1429" i="62"/>
  <c r="J1429" i="62"/>
  <c r="H1429" i="62"/>
  <c r="P1428" i="62"/>
  <c r="O1428" i="62"/>
  <c r="N1428" i="62"/>
  <c r="M1428" i="62"/>
  <c r="L1428" i="62"/>
  <c r="K1428" i="62"/>
  <c r="J1428" i="62"/>
  <c r="H1428" i="62"/>
  <c r="P1427" i="62"/>
  <c r="O1427" i="62"/>
  <c r="N1427" i="62"/>
  <c r="M1427" i="62"/>
  <c r="L1427" i="62"/>
  <c r="K1427" i="62"/>
  <c r="J1427" i="62"/>
  <c r="H1427" i="62"/>
  <c r="P1426" i="62"/>
  <c r="O1426" i="62"/>
  <c r="N1426" i="62"/>
  <c r="M1426" i="62"/>
  <c r="L1426" i="62"/>
  <c r="K1426" i="62"/>
  <c r="J1426" i="62"/>
  <c r="H1426" i="62"/>
  <c r="P1425" i="62"/>
  <c r="O1425" i="62"/>
  <c r="N1425" i="62"/>
  <c r="M1425" i="62"/>
  <c r="L1425" i="62"/>
  <c r="K1425" i="62"/>
  <c r="J1425" i="62"/>
  <c r="H1425" i="62"/>
  <c r="P1424" i="62"/>
  <c r="O1424" i="62"/>
  <c r="N1424" i="62"/>
  <c r="M1424" i="62"/>
  <c r="L1424" i="62"/>
  <c r="K1424" i="62"/>
  <c r="J1424" i="62"/>
  <c r="H1424" i="62"/>
  <c r="P1423" i="62"/>
  <c r="O1423" i="62"/>
  <c r="N1423" i="62"/>
  <c r="M1423" i="62"/>
  <c r="L1423" i="62"/>
  <c r="K1423" i="62"/>
  <c r="J1423" i="62"/>
  <c r="H1423" i="62"/>
  <c r="P1422" i="62"/>
  <c r="O1422" i="62"/>
  <c r="N1422" i="62"/>
  <c r="M1422" i="62"/>
  <c r="L1422" i="62"/>
  <c r="K1422" i="62"/>
  <c r="J1422" i="62"/>
  <c r="H1422" i="62"/>
  <c r="P1421" i="62"/>
  <c r="O1421" i="62"/>
  <c r="N1421" i="62"/>
  <c r="M1421" i="62"/>
  <c r="L1421" i="62"/>
  <c r="K1421" i="62"/>
  <c r="J1421" i="62"/>
  <c r="H1421" i="62"/>
  <c r="P1420" i="62"/>
  <c r="O1420" i="62"/>
  <c r="N1420" i="62"/>
  <c r="M1420" i="62"/>
  <c r="L1420" i="62"/>
  <c r="K1420" i="62"/>
  <c r="J1420" i="62"/>
  <c r="H1420" i="62"/>
  <c r="P1419" i="62"/>
  <c r="O1419" i="62"/>
  <c r="N1419" i="62"/>
  <c r="M1419" i="62"/>
  <c r="L1419" i="62"/>
  <c r="K1419" i="62"/>
  <c r="J1419" i="62"/>
  <c r="H1419" i="62"/>
  <c r="P1418" i="62"/>
  <c r="O1418" i="62"/>
  <c r="N1418" i="62"/>
  <c r="M1418" i="62"/>
  <c r="L1418" i="62"/>
  <c r="K1418" i="62"/>
  <c r="J1418" i="62"/>
  <c r="H1418" i="62"/>
  <c r="P1417" i="62"/>
  <c r="O1417" i="62"/>
  <c r="N1417" i="62"/>
  <c r="M1417" i="62"/>
  <c r="L1417" i="62"/>
  <c r="K1417" i="62"/>
  <c r="J1417" i="62"/>
  <c r="H1417" i="62"/>
  <c r="P1416" i="62"/>
  <c r="O1416" i="62"/>
  <c r="N1416" i="62"/>
  <c r="M1416" i="62"/>
  <c r="L1416" i="62"/>
  <c r="K1416" i="62"/>
  <c r="J1416" i="62"/>
  <c r="H1416" i="62"/>
  <c r="P1415" i="62"/>
  <c r="O1415" i="62"/>
  <c r="N1415" i="62"/>
  <c r="M1415" i="62"/>
  <c r="L1415" i="62"/>
  <c r="K1415" i="62"/>
  <c r="J1415" i="62"/>
  <c r="H1415" i="62"/>
  <c r="P1414" i="62"/>
  <c r="O1414" i="62"/>
  <c r="N1414" i="62"/>
  <c r="M1414" i="62"/>
  <c r="L1414" i="62"/>
  <c r="K1414" i="62"/>
  <c r="J1414" i="62"/>
  <c r="H1414" i="62"/>
  <c r="P1413" i="62"/>
  <c r="O1413" i="62"/>
  <c r="N1413" i="62"/>
  <c r="M1413" i="62"/>
  <c r="L1413" i="62"/>
  <c r="K1413" i="62"/>
  <c r="J1413" i="62"/>
  <c r="H1413" i="62"/>
  <c r="P1412" i="62"/>
  <c r="O1412" i="62"/>
  <c r="N1412" i="62"/>
  <c r="M1412" i="62"/>
  <c r="L1412" i="62"/>
  <c r="K1412" i="62"/>
  <c r="J1412" i="62"/>
  <c r="H1412" i="62"/>
  <c r="P1411" i="62"/>
  <c r="O1411" i="62"/>
  <c r="N1411" i="62"/>
  <c r="M1411" i="62"/>
  <c r="L1411" i="62"/>
  <c r="K1411" i="62"/>
  <c r="J1411" i="62"/>
  <c r="H1411" i="62"/>
  <c r="P1410" i="62"/>
  <c r="O1410" i="62"/>
  <c r="N1410" i="62"/>
  <c r="M1410" i="62"/>
  <c r="L1410" i="62"/>
  <c r="K1410" i="62"/>
  <c r="J1410" i="62"/>
  <c r="H1410" i="62"/>
  <c r="P1409" i="62"/>
  <c r="O1409" i="62"/>
  <c r="N1409" i="62"/>
  <c r="M1409" i="62"/>
  <c r="L1409" i="62"/>
  <c r="K1409" i="62"/>
  <c r="J1409" i="62"/>
  <c r="H1409" i="62"/>
  <c r="P1408" i="62"/>
  <c r="O1408" i="62"/>
  <c r="N1408" i="62"/>
  <c r="M1408" i="62"/>
  <c r="L1408" i="62"/>
  <c r="K1408" i="62"/>
  <c r="J1408" i="62"/>
  <c r="H1408" i="62"/>
  <c r="P1407" i="62"/>
  <c r="O1407" i="62"/>
  <c r="N1407" i="62"/>
  <c r="M1407" i="62"/>
  <c r="L1407" i="62"/>
  <c r="K1407" i="62"/>
  <c r="J1407" i="62"/>
  <c r="H1407" i="62"/>
  <c r="P1406" i="62"/>
  <c r="O1406" i="62"/>
  <c r="N1406" i="62"/>
  <c r="M1406" i="62"/>
  <c r="L1406" i="62"/>
  <c r="K1406" i="62"/>
  <c r="J1406" i="62"/>
  <c r="H1406" i="62"/>
  <c r="P1405" i="62"/>
  <c r="O1405" i="62"/>
  <c r="N1405" i="62"/>
  <c r="M1405" i="62"/>
  <c r="L1405" i="62"/>
  <c r="K1405" i="62"/>
  <c r="J1405" i="62"/>
  <c r="H1405" i="62"/>
  <c r="P1404" i="62"/>
  <c r="O1404" i="62"/>
  <c r="N1404" i="62"/>
  <c r="M1404" i="62"/>
  <c r="L1404" i="62"/>
  <c r="K1404" i="62"/>
  <c r="J1404" i="62"/>
  <c r="H1404" i="62"/>
  <c r="P1403" i="62"/>
  <c r="O1403" i="62"/>
  <c r="N1403" i="62"/>
  <c r="M1403" i="62"/>
  <c r="L1403" i="62"/>
  <c r="K1403" i="62"/>
  <c r="J1403" i="62"/>
  <c r="H1403" i="62"/>
  <c r="P1402" i="62"/>
  <c r="O1402" i="62"/>
  <c r="N1402" i="62"/>
  <c r="M1402" i="62"/>
  <c r="L1402" i="62"/>
  <c r="K1402" i="62"/>
  <c r="J1402" i="62"/>
  <c r="H1402" i="62"/>
  <c r="P1401" i="62"/>
  <c r="O1401" i="62"/>
  <c r="N1401" i="62"/>
  <c r="M1401" i="62"/>
  <c r="L1401" i="62"/>
  <c r="K1401" i="62"/>
  <c r="J1401" i="62"/>
  <c r="H1401" i="62"/>
  <c r="P1400" i="62"/>
  <c r="O1400" i="62"/>
  <c r="N1400" i="62"/>
  <c r="M1400" i="62"/>
  <c r="L1400" i="62"/>
  <c r="K1400" i="62"/>
  <c r="J1400" i="62"/>
  <c r="H1400" i="62"/>
  <c r="P1399" i="62"/>
  <c r="O1399" i="62"/>
  <c r="N1399" i="62"/>
  <c r="M1399" i="62"/>
  <c r="L1399" i="62"/>
  <c r="K1399" i="62"/>
  <c r="J1399" i="62"/>
  <c r="H1399" i="62"/>
  <c r="P1398" i="62"/>
  <c r="O1398" i="62"/>
  <c r="N1398" i="62"/>
  <c r="M1398" i="62"/>
  <c r="L1398" i="62"/>
  <c r="K1398" i="62"/>
  <c r="J1398" i="62"/>
  <c r="H1398" i="62"/>
  <c r="P1397" i="62"/>
  <c r="O1397" i="62"/>
  <c r="N1397" i="62"/>
  <c r="M1397" i="62"/>
  <c r="L1397" i="62"/>
  <c r="K1397" i="62"/>
  <c r="J1397" i="62"/>
  <c r="H1397" i="62"/>
  <c r="P1396" i="62"/>
  <c r="O1396" i="62"/>
  <c r="N1396" i="62"/>
  <c r="M1396" i="62"/>
  <c r="L1396" i="62"/>
  <c r="K1396" i="62"/>
  <c r="J1396" i="62"/>
  <c r="H1396" i="62"/>
  <c r="P1395" i="62"/>
  <c r="O1395" i="62"/>
  <c r="N1395" i="62"/>
  <c r="M1395" i="62"/>
  <c r="L1395" i="62"/>
  <c r="K1395" i="62"/>
  <c r="J1395" i="62"/>
  <c r="H1395" i="62"/>
  <c r="P1394" i="62"/>
  <c r="O1394" i="62"/>
  <c r="N1394" i="62"/>
  <c r="M1394" i="62"/>
  <c r="L1394" i="62"/>
  <c r="K1394" i="62"/>
  <c r="J1394" i="62"/>
  <c r="H1394" i="62"/>
  <c r="P1393" i="62"/>
  <c r="O1393" i="62"/>
  <c r="N1393" i="62"/>
  <c r="M1393" i="62"/>
  <c r="L1393" i="62"/>
  <c r="K1393" i="62"/>
  <c r="J1393" i="62"/>
  <c r="H1393" i="62"/>
  <c r="P1392" i="62"/>
  <c r="O1392" i="62"/>
  <c r="N1392" i="62"/>
  <c r="M1392" i="62"/>
  <c r="L1392" i="62"/>
  <c r="K1392" i="62"/>
  <c r="J1392" i="62"/>
  <c r="H1392" i="62"/>
  <c r="P1391" i="62"/>
  <c r="O1391" i="62"/>
  <c r="N1391" i="62"/>
  <c r="M1391" i="62"/>
  <c r="L1391" i="62"/>
  <c r="K1391" i="62"/>
  <c r="J1391" i="62"/>
  <c r="H1391" i="62"/>
  <c r="P1390" i="62"/>
  <c r="O1390" i="62"/>
  <c r="N1390" i="62"/>
  <c r="M1390" i="62"/>
  <c r="L1390" i="62"/>
  <c r="K1390" i="62"/>
  <c r="J1390" i="62"/>
  <c r="H1390" i="62"/>
  <c r="P1389" i="62"/>
  <c r="O1389" i="62"/>
  <c r="N1389" i="62"/>
  <c r="M1389" i="62"/>
  <c r="L1389" i="62"/>
  <c r="K1389" i="62"/>
  <c r="J1389" i="62"/>
  <c r="H1389" i="62"/>
  <c r="P1388" i="62"/>
  <c r="O1388" i="62"/>
  <c r="N1388" i="62"/>
  <c r="M1388" i="62"/>
  <c r="L1388" i="62"/>
  <c r="K1388" i="62"/>
  <c r="J1388" i="62"/>
  <c r="H1388" i="62"/>
  <c r="P1387" i="62"/>
  <c r="O1387" i="62"/>
  <c r="N1387" i="62"/>
  <c r="M1387" i="62"/>
  <c r="L1387" i="62"/>
  <c r="K1387" i="62"/>
  <c r="J1387" i="62"/>
  <c r="H1387" i="62"/>
  <c r="P1386" i="62"/>
  <c r="O1386" i="62"/>
  <c r="N1386" i="62"/>
  <c r="M1386" i="62"/>
  <c r="L1386" i="62"/>
  <c r="K1386" i="62"/>
  <c r="J1386" i="62"/>
  <c r="H1386" i="62"/>
  <c r="P1385" i="62"/>
  <c r="O1385" i="62"/>
  <c r="N1385" i="62"/>
  <c r="M1385" i="62"/>
  <c r="L1385" i="62"/>
  <c r="K1385" i="62"/>
  <c r="J1385" i="62"/>
  <c r="H1385" i="62"/>
  <c r="P1384" i="62"/>
  <c r="O1384" i="62"/>
  <c r="N1384" i="62"/>
  <c r="M1384" i="62"/>
  <c r="L1384" i="62"/>
  <c r="K1384" i="62"/>
  <c r="J1384" i="62"/>
  <c r="H1384" i="62"/>
  <c r="P1383" i="62"/>
  <c r="O1383" i="62"/>
  <c r="N1383" i="62"/>
  <c r="M1383" i="62"/>
  <c r="L1383" i="62"/>
  <c r="K1383" i="62"/>
  <c r="J1383" i="62"/>
  <c r="H1383" i="62"/>
  <c r="P1382" i="62"/>
  <c r="O1382" i="62"/>
  <c r="N1382" i="62"/>
  <c r="M1382" i="62"/>
  <c r="L1382" i="62"/>
  <c r="K1382" i="62"/>
  <c r="J1382" i="62"/>
  <c r="H1382" i="62"/>
  <c r="P1381" i="62"/>
  <c r="O1381" i="62"/>
  <c r="N1381" i="62"/>
  <c r="M1381" i="62"/>
  <c r="L1381" i="62"/>
  <c r="K1381" i="62"/>
  <c r="J1381" i="62"/>
  <c r="H1381" i="62"/>
  <c r="P1380" i="62"/>
  <c r="O1380" i="62"/>
  <c r="N1380" i="62"/>
  <c r="M1380" i="62"/>
  <c r="L1380" i="62"/>
  <c r="K1380" i="62"/>
  <c r="J1380" i="62"/>
  <c r="H1380" i="62"/>
  <c r="P1379" i="62"/>
  <c r="O1379" i="62"/>
  <c r="N1379" i="62"/>
  <c r="M1379" i="62"/>
  <c r="L1379" i="62"/>
  <c r="K1379" i="62"/>
  <c r="J1379" i="62"/>
  <c r="H1379" i="62"/>
  <c r="P1378" i="62"/>
  <c r="O1378" i="62"/>
  <c r="N1378" i="62"/>
  <c r="M1378" i="62"/>
  <c r="L1378" i="62"/>
  <c r="K1378" i="62"/>
  <c r="J1378" i="62"/>
  <c r="H1378" i="62"/>
  <c r="P1377" i="62"/>
  <c r="O1377" i="62"/>
  <c r="N1377" i="62"/>
  <c r="M1377" i="62"/>
  <c r="L1377" i="62"/>
  <c r="K1377" i="62"/>
  <c r="J1377" i="62"/>
  <c r="H1377" i="62"/>
  <c r="P1376" i="62"/>
  <c r="O1376" i="62"/>
  <c r="N1376" i="62"/>
  <c r="M1376" i="62"/>
  <c r="L1376" i="62"/>
  <c r="K1376" i="62"/>
  <c r="J1376" i="62"/>
  <c r="H1376" i="62"/>
  <c r="P1375" i="62"/>
  <c r="O1375" i="62"/>
  <c r="N1375" i="62"/>
  <c r="M1375" i="62"/>
  <c r="L1375" i="62"/>
  <c r="K1375" i="62"/>
  <c r="J1375" i="62"/>
  <c r="H1375" i="62"/>
  <c r="P1374" i="62"/>
  <c r="O1374" i="62"/>
  <c r="N1374" i="62"/>
  <c r="M1374" i="62"/>
  <c r="L1374" i="62"/>
  <c r="K1374" i="62"/>
  <c r="J1374" i="62"/>
  <c r="H1374" i="62"/>
  <c r="P1373" i="62"/>
  <c r="O1373" i="62"/>
  <c r="N1373" i="62"/>
  <c r="M1373" i="62"/>
  <c r="L1373" i="62"/>
  <c r="K1373" i="62"/>
  <c r="J1373" i="62"/>
  <c r="H1373" i="62"/>
  <c r="P1372" i="62"/>
  <c r="O1372" i="62"/>
  <c r="N1372" i="62"/>
  <c r="M1372" i="62"/>
  <c r="L1372" i="62"/>
  <c r="K1372" i="62"/>
  <c r="J1372" i="62"/>
  <c r="H1372" i="62"/>
  <c r="P1371" i="62"/>
  <c r="O1371" i="62"/>
  <c r="N1371" i="62"/>
  <c r="M1371" i="62"/>
  <c r="L1371" i="62"/>
  <c r="K1371" i="62"/>
  <c r="J1371" i="62"/>
  <c r="H1371" i="62"/>
  <c r="P1370" i="62"/>
  <c r="O1370" i="62"/>
  <c r="N1370" i="62"/>
  <c r="M1370" i="62"/>
  <c r="L1370" i="62"/>
  <c r="K1370" i="62"/>
  <c r="J1370" i="62"/>
  <c r="H1370" i="62"/>
  <c r="P1369" i="62"/>
  <c r="O1369" i="62"/>
  <c r="N1369" i="62"/>
  <c r="M1369" i="62"/>
  <c r="L1369" i="62"/>
  <c r="K1369" i="62"/>
  <c r="J1369" i="62"/>
  <c r="H1369" i="62"/>
  <c r="P1368" i="62"/>
  <c r="O1368" i="62"/>
  <c r="N1368" i="62"/>
  <c r="M1368" i="62"/>
  <c r="L1368" i="62"/>
  <c r="K1368" i="62"/>
  <c r="J1368" i="62"/>
  <c r="H1368" i="62"/>
  <c r="P1367" i="62"/>
  <c r="O1367" i="62"/>
  <c r="N1367" i="62"/>
  <c r="M1367" i="62"/>
  <c r="L1367" i="62"/>
  <c r="K1367" i="62"/>
  <c r="J1367" i="62"/>
  <c r="H1367" i="62"/>
  <c r="P1366" i="62"/>
  <c r="O1366" i="62"/>
  <c r="N1366" i="62"/>
  <c r="M1366" i="62"/>
  <c r="L1366" i="62"/>
  <c r="K1366" i="62"/>
  <c r="J1366" i="62"/>
  <c r="H1366" i="62"/>
  <c r="P1365" i="62"/>
  <c r="O1365" i="62"/>
  <c r="N1365" i="62"/>
  <c r="M1365" i="62"/>
  <c r="L1365" i="62"/>
  <c r="K1365" i="62"/>
  <c r="J1365" i="62"/>
  <c r="H1365" i="62"/>
  <c r="P1364" i="62"/>
  <c r="O1364" i="62"/>
  <c r="N1364" i="62"/>
  <c r="M1364" i="62"/>
  <c r="L1364" i="62"/>
  <c r="K1364" i="62"/>
  <c r="J1364" i="62"/>
  <c r="H1364" i="62"/>
  <c r="P1363" i="62"/>
  <c r="O1363" i="62"/>
  <c r="N1363" i="62"/>
  <c r="M1363" i="62"/>
  <c r="L1363" i="62"/>
  <c r="K1363" i="62"/>
  <c r="J1363" i="62"/>
  <c r="H1363" i="62"/>
  <c r="P1362" i="62"/>
  <c r="O1362" i="62"/>
  <c r="N1362" i="62"/>
  <c r="M1362" i="62"/>
  <c r="L1362" i="62"/>
  <c r="K1362" i="62"/>
  <c r="J1362" i="62"/>
  <c r="H1362" i="62"/>
  <c r="P1361" i="62"/>
  <c r="O1361" i="62"/>
  <c r="N1361" i="62"/>
  <c r="M1361" i="62"/>
  <c r="L1361" i="62"/>
  <c r="K1361" i="62"/>
  <c r="J1361" i="62"/>
  <c r="H1361" i="62"/>
  <c r="P1360" i="62"/>
  <c r="O1360" i="62"/>
  <c r="N1360" i="62"/>
  <c r="M1360" i="62"/>
  <c r="L1360" i="62"/>
  <c r="K1360" i="62"/>
  <c r="J1360" i="62"/>
  <c r="H1360" i="62"/>
  <c r="P1359" i="62"/>
  <c r="O1359" i="62"/>
  <c r="N1359" i="62"/>
  <c r="M1359" i="62"/>
  <c r="L1359" i="62"/>
  <c r="K1359" i="62"/>
  <c r="J1359" i="62"/>
  <c r="H1359" i="62"/>
  <c r="P1358" i="62"/>
  <c r="O1358" i="62"/>
  <c r="N1358" i="62"/>
  <c r="M1358" i="62"/>
  <c r="L1358" i="62"/>
  <c r="K1358" i="62"/>
  <c r="J1358" i="62"/>
  <c r="H1358" i="62"/>
  <c r="P1357" i="62"/>
  <c r="O1357" i="62"/>
  <c r="N1357" i="62"/>
  <c r="M1357" i="62"/>
  <c r="L1357" i="62"/>
  <c r="K1357" i="62"/>
  <c r="J1357" i="62"/>
  <c r="H1357" i="62"/>
  <c r="P1356" i="62"/>
  <c r="O1356" i="62"/>
  <c r="N1356" i="62"/>
  <c r="M1356" i="62"/>
  <c r="L1356" i="62"/>
  <c r="K1356" i="62"/>
  <c r="J1356" i="62"/>
  <c r="H1356" i="62"/>
  <c r="P1355" i="62"/>
  <c r="O1355" i="62"/>
  <c r="N1355" i="62"/>
  <c r="M1355" i="62"/>
  <c r="L1355" i="62"/>
  <c r="K1355" i="62"/>
  <c r="J1355" i="62"/>
  <c r="H1355" i="62"/>
  <c r="P1354" i="62"/>
  <c r="O1354" i="62"/>
  <c r="N1354" i="62"/>
  <c r="M1354" i="62"/>
  <c r="L1354" i="62"/>
  <c r="K1354" i="62"/>
  <c r="J1354" i="62"/>
  <c r="H1354" i="62"/>
  <c r="P1353" i="62"/>
  <c r="O1353" i="62"/>
  <c r="N1353" i="62"/>
  <c r="M1353" i="62"/>
  <c r="L1353" i="62"/>
  <c r="K1353" i="62"/>
  <c r="J1353" i="62"/>
  <c r="H1353" i="62"/>
  <c r="P1352" i="62"/>
  <c r="O1352" i="62"/>
  <c r="N1352" i="62"/>
  <c r="M1352" i="62"/>
  <c r="L1352" i="62"/>
  <c r="K1352" i="62"/>
  <c r="J1352" i="62"/>
  <c r="H1352" i="62"/>
  <c r="P1351" i="62"/>
  <c r="O1351" i="62"/>
  <c r="N1351" i="62"/>
  <c r="M1351" i="62"/>
  <c r="L1351" i="62"/>
  <c r="K1351" i="62"/>
  <c r="J1351" i="62"/>
  <c r="H1351" i="62"/>
  <c r="P1350" i="62"/>
  <c r="O1350" i="62"/>
  <c r="N1350" i="62"/>
  <c r="M1350" i="62"/>
  <c r="L1350" i="62"/>
  <c r="K1350" i="62"/>
  <c r="J1350" i="62"/>
  <c r="H1350" i="62"/>
  <c r="P1349" i="62"/>
  <c r="O1349" i="62"/>
  <c r="N1349" i="62"/>
  <c r="M1349" i="62"/>
  <c r="L1349" i="62"/>
  <c r="K1349" i="62"/>
  <c r="J1349" i="62"/>
  <c r="H1349" i="62"/>
  <c r="P1348" i="62"/>
  <c r="O1348" i="62"/>
  <c r="N1348" i="62"/>
  <c r="M1348" i="62"/>
  <c r="L1348" i="62"/>
  <c r="K1348" i="62"/>
  <c r="J1348" i="62"/>
  <c r="H1348" i="62"/>
  <c r="P1347" i="62"/>
  <c r="O1347" i="62"/>
  <c r="N1347" i="62"/>
  <c r="M1347" i="62"/>
  <c r="L1347" i="62"/>
  <c r="K1347" i="62"/>
  <c r="J1347" i="62"/>
  <c r="H1347" i="62"/>
  <c r="P1346" i="62"/>
  <c r="O1346" i="62"/>
  <c r="N1346" i="62"/>
  <c r="M1346" i="62"/>
  <c r="L1346" i="62"/>
  <c r="K1346" i="62"/>
  <c r="J1346" i="62"/>
  <c r="H1346" i="62"/>
  <c r="P1345" i="62"/>
  <c r="O1345" i="62"/>
  <c r="N1345" i="62"/>
  <c r="M1345" i="62"/>
  <c r="L1345" i="62"/>
  <c r="K1345" i="62"/>
  <c r="J1345" i="62"/>
  <c r="H1345" i="62"/>
  <c r="P1344" i="62"/>
  <c r="O1344" i="62"/>
  <c r="N1344" i="62"/>
  <c r="M1344" i="62"/>
  <c r="L1344" i="62"/>
  <c r="K1344" i="62"/>
  <c r="J1344" i="62"/>
  <c r="H1344" i="62"/>
  <c r="P1343" i="62"/>
  <c r="O1343" i="62"/>
  <c r="N1343" i="62"/>
  <c r="M1343" i="62"/>
  <c r="L1343" i="62"/>
  <c r="K1343" i="62"/>
  <c r="J1343" i="62"/>
  <c r="H1343" i="62"/>
  <c r="P1342" i="62"/>
  <c r="O1342" i="62"/>
  <c r="N1342" i="62"/>
  <c r="M1342" i="62"/>
  <c r="L1342" i="62"/>
  <c r="K1342" i="62"/>
  <c r="J1342" i="62"/>
  <c r="H1342" i="62"/>
  <c r="P1341" i="62"/>
  <c r="O1341" i="62"/>
  <c r="N1341" i="62"/>
  <c r="M1341" i="62"/>
  <c r="L1341" i="62"/>
  <c r="K1341" i="62"/>
  <c r="J1341" i="62"/>
  <c r="H1341" i="62"/>
  <c r="P1340" i="62"/>
  <c r="O1340" i="62"/>
  <c r="N1340" i="62"/>
  <c r="M1340" i="62"/>
  <c r="L1340" i="62"/>
  <c r="K1340" i="62"/>
  <c r="J1340" i="62"/>
  <c r="H1340" i="62"/>
  <c r="P1339" i="62"/>
  <c r="O1339" i="62"/>
  <c r="N1339" i="62"/>
  <c r="M1339" i="62"/>
  <c r="L1339" i="62"/>
  <c r="K1339" i="62"/>
  <c r="J1339" i="62"/>
  <c r="H1339" i="62"/>
  <c r="P1338" i="62"/>
  <c r="O1338" i="62"/>
  <c r="N1338" i="62"/>
  <c r="M1338" i="62"/>
  <c r="L1338" i="62"/>
  <c r="K1338" i="62"/>
  <c r="J1338" i="62"/>
  <c r="H1338" i="62"/>
  <c r="P1337" i="62"/>
  <c r="O1337" i="62"/>
  <c r="N1337" i="62"/>
  <c r="M1337" i="62"/>
  <c r="L1337" i="62"/>
  <c r="K1337" i="62"/>
  <c r="J1337" i="62"/>
  <c r="H1337" i="62"/>
  <c r="P1336" i="62"/>
  <c r="O1336" i="62"/>
  <c r="N1336" i="62"/>
  <c r="M1336" i="62"/>
  <c r="L1336" i="62"/>
  <c r="K1336" i="62"/>
  <c r="J1336" i="62"/>
  <c r="H1336" i="62"/>
  <c r="P1335" i="62"/>
  <c r="O1335" i="62"/>
  <c r="N1335" i="62"/>
  <c r="M1335" i="62"/>
  <c r="L1335" i="62"/>
  <c r="K1335" i="62"/>
  <c r="J1335" i="62"/>
  <c r="H1335" i="62"/>
  <c r="P1334" i="62"/>
  <c r="O1334" i="62"/>
  <c r="N1334" i="62"/>
  <c r="M1334" i="62"/>
  <c r="L1334" i="62"/>
  <c r="K1334" i="62"/>
  <c r="J1334" i="62"/>
  <c r="H1334" i="62"/>
  <c r="P1333" i="62"/>
  <c r="O1333" i="62"/>
  <c r="N1333" i="62"/>
  <c r="M1333" i="62"/>
  <c r="L1333" i="62"/>
  <c r="K1333" i="62"/>
  <c r="J1333" i="62"/>
  <c r="H1333" i="62"/>
  <c r="P1332" i="62"/>
  <c r="O1332" i="62"/>
  <c r="N1332" i="62"/>
  <c r="M1332" i="62"/>
  <c r="L1332" i="62"/>
  <c r="K1332" i="62"/>
  <c r="J1332" i="62"/>
  <c r="H1332" i="62"/>
  <c r="P1331" i="62"/>
  <c r="O1331" i="62"/>
  <c r="N1331" i="62"/>
  <c r="M1331" i="62"/>
  <c r="L1331" i="62"/>
  <c r="K1331" i="62"/>
  <c r="J1331" i="62"/>
  <c r="H1331" i="62"/>
  <c r="P1330" i="62"/>
  <c r="O1330" i="62"/>
  <c r="N1330" i="62"/>
  <c r="M1330" i="62"/>
  <c r="L1330" i="62"/>
  <c r="K1330" i="62"/>
  <c r="J1330" i="62"/>
  <c r="H1330" i="62"/>
  <c r="P1329" i="62"/>
  <c r="O1329" i="62"/>
  <c r="N1329" i="62"/>
  <c r="M1329" i="62"/>
  <c r="L1329" i="62"/>
  <c r="K1329" i="62"/>
  <c r="J1329" i="62"/>
  <c r="H1329" i="62"/>
  <c r="P1328" i="62"/>
  <c r="O1328" i="62"/>
  <c r="N1328" i="62"/>
  <c r="M1328" i="62"/>
  <c r="L1328" i="62"/>
  <c r="K1328" i="62"/>
  <c r="J1328" i="62"/>
  <c r="H1328" i="62"/>
  <c r="P1327" i="62"/>
  <c r="O1327" i="62"/>
  <c r="N1327" i="62"/>
  <c r="M1327" i="62"/>
  <c r="L1327" i="62"/>
  <c r="K1327" i="62"/>
  <c r="J1327" i="62"/>
  <c r="H1327" i="62"/>
  <c r="P1326" i="62"/>
  <c r="O1326" i="62"/>
  <c r="N1326" i="62"/>
  <c r="M1326" i="62"/>
  <c r="L1326" i="62"/>
  <c r="K1326" i="62"/>
  <c r="J1326" i="62"/>
  <c r="H1326" i="62"/>
  <c r="P1325" i="62"/>
  <c r="O1325" i="62"/>
  <c r="N1325" i="62"/>
  <c r="M1325" i="62"/>
  <c r="L1325" i="62"/>
  <c r="K1325" i="62"/>
  <c r="J1325" i="62"/>
  <c r="H1325" i="62"/>
  <c r="P1324" i="62"/>
  <c r="O1324" i="62"/>
  <c r="N1324" i="62"/>
  <c r="M1324" i="62"/>
  <c r="L1324" i="62"/>
  <c r="K1324" i="62"/>
  <c r="J1324" i="62"/>
  <c r="H1324" i="62"/>
  <c r="P1323" i="62"/>
  <c r="O1323" i="62"/>
  <c r="N1323" i="62"/>
  <c r="M1323" i="62"/>
  <c r="L1323" i="62"/>
  <c r="K1323" i="62"/>
  <c r="J1323" i="62"/>
  <c r="H1323" i="62"/>
  <c r="P1322" i="62"/>
  <c r="O1322" i="62"/>
  <c r="N1322" i="62"/>
  <c r="M1322" i="62"/>
  <c r="L1322" i="62"/>
  <c r="K1322" i="62"/>
  <c r="J1322" i="62"/>
  <c r="H1322" i="62"/>
  <c r="P1321" i="62"/>
  <c r="O1321" i="62"/>
  <c r="N1321" i="62"/>
  <c r="M1321" i="62"/>
  <c r="L1321" i="62"/>
  <c r="K1321" i="62"/>
  <c r="J1321" i="62"/>
  <c r="H1321" i="62"/>
  <c r="P1320" i="62"/>
  <c r="O1320" i="62"/>
  <c r="N1320" i="62"/>
  <c r="M1320" i="62"/>
  <c r="L1320" i="62"/>
  <c r="K1320" i="62"/>
  <c r="J1320" i="62"/>
  <c r="H1320" i="62"/>
  <c r="P1319" i="62"/>
  <c r="O1319" i="62"/>
  <c r="N1319" i="62"/>
  <c r="M1319" i="62"/>
  <c r="L1319" i="62"/>
  <c r="K1319" i="62"/>
  <c r="J1319" i="62"/>
  <c r="H1319" i="62"/>
  <c r="P1318" i="62"/>
  <c r="O1318" i="62"/>
  <c r="N1318" i="62"/>
  <c r="M1318" i="62"/>
  <c r="L1318" i="62"/>
  <c r="K1318" i="62"/>
  <c r="J1318" i="62"/>
  <c r="H1318" i="62"/>
  <c r="P1317" i="62"/>
  <c r="O1317" i="62"/>
  <c r="N1317" i="62"/>
  <c r="M1317" i="62"/>
  <c r="L1317" i="62"/>
  <c r="K1317" i="62"/>
  <c r="J1317" i="62"/>
  <c r="H1317" i="62"/>
  <c r="P1316" i="62"/>
  <c r="O1316" i="62"/>
  <c r="N1316" i="62"/>
  <c r="M1316" i="62"/>
  <c r="L1316" i="62"/>
  <c r="K1316" i="62"/>
  <c r="J1316" i="62"/>
  <c r="H1316" i="62"/>
  <c r="P1315" i="62"/>
  <c r="O1315" i="62"/>
  <c r="N1315" i="62"/>
  <c r="M1315" i="62"/>
  <c r="L1315" i="62"/>
  <c r="K1315" i="62"/>
  <c r="J1315" i="62"/>
  <c r="H1315" i="62"/>
  <c r="P1314" i="62"/>
  <c r="O1314" i="62"/>
  <c r="N1314" i="62"/>
  <c r="M1314" i="62"/>
  <c r="L1314" i="62"/>
  <c r="K1314" i="62"/>
  <c r="J1314" i="62"/>
  <c r="H1314" i="62"/>
  <c r="P1313" i="62"/>
  <c r="O1313" i="62"/>
  <c r="N1313" i="62"/>
  <c r="M1313" i="62"/>
  <c r="L1313" i="62"/>
  <c r="K1313" i="62"/>
  <c r="J1313" i="62"/>
  <c r="H1313" i="62"/>
  <c r="P1312" i="62"/>
  <c r="O1312" i="62"/>
  <c r="N1312" i="62"/>
  <c r="M1312" i="62"/>
  <c r="L1312" i="62"/>
  <c r="K1312" i="62"/>
  <c r="J1312" i="62"/>
  <c r="H1312" i="62"/>
  <c r="P1311" i="62"/>
  <c r="O1311" i="62"/>
  <c r="N1311" i="62"/>
  <c r="M1311" i="62"/>
  <c r="L1311" i="62"/>
  <c r="K1311" i="62"/>
  <c r="J1311" i="62"/>
  <c r="H1311" i="62"/>
  <c r="P1310" i="62"/>
  <c r="O1310" i="62"/>
  <c r="N1310" i="62"/>
  <c r="M1310" i="62"/>
  <c r="L1310" i="62"/>
  <c r="K1310" i="62"/>
  <c r="J1310" i="62"/>
  <c r="H1310" i="62"/>
  <c r="P1309" i="62"/>
  <c r="O1309" i="62"/>
  <c r="N1309" i="62"/>
  <c r="M1309" i="62"/>
  <c r="L1309" i="62"/>
  <c r="K1309" i="62"/>
  <c r="J1309" i="62"/>
  <c r="H1309" i="62"/>
  <c r="P1308" i="62"/>
  <c r="O1308" i="62"/>
  <c r="N1308" i="62"/>
  <c r="M1308" i="62"/>
  <c r="L1308" i="62"/>
  <c r="K1308" i="62"/>
  <c r="J1308" i="62"/>
  <c r="H1308" i="62"/>
  <c r="P1307" i="62"/>
  <c r="O1307" i="62"/>
  <c r="N1307" i="62"/>
  <c r="M1307" i="62"/>
  <c r="L1307" i="62"/>
  <c r="K1307" i="62"/>
  <c r="J1307" i="62"/>
  <c r="H1307" i="62"/>
  <c r="P1306" i="62"/>
  <c r="O1306" i="62"/>
  <c r="N1306" i="62"/>
  <c r="M1306" i="62"/>
  <c r="L1306" i="62"/>
  <c r="K1306" i="62"/>
  <c r="J1306" i="62"/>
  <c r="H1306" i="62"/>
  <c r="P1305" i="62"/>
  <c r="O1305" i="62"/>
  <c r="N1305" i="62"/>
  <c r="M1305" i="62"/>
  <c r="L1305" i="62"/>
  <c r="K1305" i="62"/>
  <c r="J1305" i="62"/>
  <c r="H1305" i="62"/>
  <c r="P1304" i="62"/>
  <c r="O1304" i="62"/>
  <c r="N1304" i="62"/>
  <c r="M1304" i="62"/>
  <c r="L1304" i="62"/>
  <c r="K1304" i="62"/>
  <c r="J1304" i="62"/>
  <c r="H1304" i="62"/>
  <c r="P1303" i="62"/>
  <c r="O1303" i="62"/>
  <c r="N1303" i="62"/>
  <c r="M1303" i="62"/>
  <c r="L1303" i="62"/>
  <c r="K1303" i="62"/>
  <c r="J1303" i="62"/>
  <c r="H1303" i="62"/>
  <c r="P1302" i="62"/>
  <c r="O1302" i="62"/>
  <c r="N1302" i="62"/>
  <c r="M1302" i="62"/>
  <c r="L1302" i="62"/>
  <c r="K1302" i="62"/>
  <c r="J1302" i="62"/>
  <c r="H1302" i="62"/>
  <c r="P1301" i="62"/>
  <c r="O1301" i="62"/>
  <c r="N1301" i="62"/>
  <c r="M1301" i="62"/>
  <c r="L1301" i="62"/>
  <c r="K1301" i="62"/>
  <c r="J1301" i="62"/>
  <c r="H1301" i="62"/>
  <c r="P1300" i="62"/>
  <c r="O1300" i="62"/>
  <c r="N1300" i="62"/>
  <c r="M1300" i="62"/>
  <c r="L1300" i="62"/>
  <c r="K1300" i="62"/>
  <c r="J1300" i="62"/>
  <c r="H1300" i="62"/>
  <c r="P1299" i="62"/>
  <c r="O1299" i="62"/>
  <c r="N1299" i="62"/>
  <c r="M1299" i="62"/>
  <c r="L1299" i="62"/>
  <c r="K1299" i="62"/>
  <c r="J1299" i="62"/>
  <c r="H1299" i="62"/>
  <c r="P1298" i="62"/>
  <c r="O1298" i="62"/>
  <c r="N1298" i="62"/>
  <c r="M1298" i="62"/>
  <c r="L1298" i="62"/>
  <c r="K1298" i="62"/>
  <c r="J1298" i="62"/>
  <c r="H1298" i="62"/>
  <c r="P1297" i="62"/>
  <c r="O1297" i="62"/>
  <c r="N1297" i="62"/>
  <c r="M1297" i="62"/>
  <c r="L1297" i="62"/>
  <c r="K1297" i="62"/>
  <c r="J1297" i="62"/>
  <c r="H1297" i="62"/>
  <c r="P1296" i="62"/>
  <c r="O1296" i="62"/>
  <c r="N1296" i="62"/>
  <c r="M1296" i="62"/>
  <c r="L1296" i="62"/>
  <c r="K1296" i="62"/>
  <c r="J1296" i="62"/>
  <c r="H1296" i="62"/>
  <c r="P1295" i="62"/>
  <c r="O1295" i="62"/>
  <c r="N1295" i="62"/>
  <c r="M1295" i="62"/>
  <c r="L1295" i="62"/>
  <c r="K1295" i="62"/>
  <c r="J1295" i="62"/>
  <c r="H1295" i="62"/>
  <c r="P1294" i="62"/>
  <c r="O1294" i="62"/>
  <c r="N1294" i="62"/>
  <c r="M1294" i="62"/>
  <c r="L1294" i="62"/>
  <c r="K1294" i="62"/>
  <c r="J1294" i="62"/>
  <c r="H1294" i="62"/>
  <c r="P1293" i="62"/>
  <c r="O1293" i="62"/>
  <c r="N1293" i="62"/>
  <c r="M1293" i="62"/>
  <c r="L1293" i="62"/>
  <c r="K1293" i="62"/>
  <c r="J1293" i="62"/>
  <c r="H1293" i="62"/>
  <c r="P1292" i="62"/>
  <c r="O1292" i="62"/>
  <c r="N1292" i="62"/>
  <c r="M1292" i="62"/>
  <c r="L1292" i="62"/>
  <c r="K1292" i="62"/>
  <c r="J1292" i="62"/>
  <c r="H1292" i="62"/>
  <c r="P1291" i="62"/>
  <c r="O1291" i="62"/>
  <c r="N1291" i="62"/>
  <c r="M1291" i="62"/>
  <c r="L1291" i="62"/>
  <c r="K1291" i="62"/>
  <c r="J1291" i="62"/>
  <c r="H1291" i="62"/>
  <c r="P1290" i="62"/>
  <c r="O1290" i="62"/>
  <c r="N1290" i="62"/>
  <c r="M1290" i="62"/>
  <c r="L1290" i="62"/>
  <c r="K1290" i="62"/>
  <c r="J1290" i="62"/>
  <c r="H1290" i="62"/>
  <c r="P1289" i="62"/>
  <c r="O1289" i="62"/>
  <c r="N1289" i="62"/>
  <c r="M1289" i="62"/>
  <c r="L1289" i="62"/>
  <c r="K1289" i="62"/>
  <c r="J1289" i="62"/>
  <c r="H1289" i="62"/>
  <c r="P1288" i="62"/>
  <c r="O1288" i="62"/>
  <c r="N1288" i="62"/>
  <c r="M1288" i="62"/>
  <c r="L1288" i="62"/>
  <c r="K1288" i="62"/>
  <c r="J1288" i="62"/>
  <c r="H1288" i="62"/>
  <c r="P1287" i="62"/>
  <c r="O1287" i="62"/>
  <c r="N1287" i="62"/>
  <c r="M1287" i="62"/>
  <c r="L1287" i="62"/>
  <c r="K1287" i="62"/>
  <c r="J1287" i="62"/>
  <c r="H1287" i="62"/>
  <c r="P1286" i="62"/>
  <c r="O1286" i="62"/>
  <c r="N1286" i="62"/>
  <c r="M1286" i="62"/>
  <c r="L1286" i="62"/>
  <c r="K1286" i="62"/>
  <c r="J1286" i="62"/>
  <c r="H1286" i="62"/>
  <c r="P1285" i="62"/>
  <c r="O1285" i="62"/>
  <c r="N1285" i="62"/>
  <c r="M1285" i="62"/>
  <c r="L1285" i="62"/>
  <c r="K1285" i="62"/>
  <c r="J1285" i="62"/>
  <c r="H1285" i="62"/>
  <c r="P1284" i="62"/>
  <c r="O1284" i="62"/>
  <c r="N1284" i="62"/>
  <c r="M1284" i="62"/>
  <c r="L1284" i="62"/>
  <c r="K1284" i="62"/>
  <c r="J1284" i="62"/>
  <c r="H1284" i="62"/>
  <c r="P1283" i="62"/>
  <c r="O1283" i="62"/>
  <c r="N1283" i="62"/>
  <c r="M1283" i="62"/>
  <c r="L1283" i="62"/>
  <c r="K1283" i="62"/>
  <c r="J1283" i="62"/>
  <c r="H1283" i="62"/>
  <c r="P1282" i="62"/>
  <c r="O1282" i="62"/>
  <c r="N1282" i="62"/>
  <c r="M1282" i="62"/>
  <c r="L1282" i="62"/>
  <c r="K1282" i="62"/>
  <c r="J1282" i="62"/>
  <c r="H1282" i="62"/>
  <c r="P1281" i="62"/>
  <c r="O1281" i="62"/>
  <c r="N1281" i="62"/>
  <c r="M1281" i="62"/>
  <c r="L1281" i="62"/>
  <c r="K1281" i="62"/>
  <c r="J1281" i="62"/>
  <c r="H1281" i="62"/>
  <c r="P1280" i="62"/>
  <c r="O1280" i="62"/>
  <c r="N1280" i="62"/>
  <c r="M1280" i="62"/>
  <c r="L1280" i="62"/>
  <c r="K1280" i="62"/>
  <c r="J1280" i="62"/>
  <c r="H1280" i="62"/>
  <c r="P1279" i="62"/>
  <c r="O1279" i="62"/>
  <c r="N1279" i="62"/>
  <c r="M1279" i="62"/>
  <c r="L1279" i="62"/>
  <c r="K1279" i="62"/>
  <c r="J1279" i="62"/>
  <c r="H1279" i="62"/>
  <c r="P1278" i="62"/>
  <c r="O1278" i="62"/>
  <c r="N1278" i="62"/>
  <c r="M1278" i="62"/>
  <c r="L1278" i="62"/>
  <c r="K1278" i="62"/>
  <c r="J1278" i="62"/>
  <c r="H1278" i="62"/>
  <c r="P1277" i="62"/>
  <c r="O1277" i="62"/>
  <c r="N1277" i="62"/>
  <c r="M1277" i="62"/>
  <c r="L1277" i="62"/>
  <c r="K1277" i="62"/>
  <c r="J1277" i="62"/>
  <c r="H1277" i="62"/>
  <c r="P1276" i="62"/>
  <c r="O1276" i="62"/>
  <c r="N1276" i="62"/>
  <c r="M1276" i="62"/>
  <c r="L1276" i="62"/>
  <c r="K1276" i="62"/>
  <c r="J1276" i="62"/>
  <c r="H1276" i="62"/>
  <c r="P1275" i="62"/>
  <c r="O1275" i="62"/>
  <c r="N1275" i="62"/>
  <c r="M1275" i="62"/>
  <c r="L1275" i="62"/>
  <c r="K1275" i="62"/>
  <c r="J1275" i="62"/>
  <c r="H1275" i="62"/>
  <c r="P1274" i="62"/>
  <c r="O1274" i="62"/>
  <c r="N1274" i="62"/>
  <c r="M1274" i="62"/>
  <c r="L1274" i="62"/>
  <c r="K1274" i="62"/>
  <c r="J1274" i="62"/>
  <c r="H1274" i="62"/>
  <c r="P1273" i="62"/>
  <c r="O1273" i="62"/>
  <c r="N1273" i="62"/>
  <c r="M1273" i="62"/>
  <c r="L1273" i="62"/>
  <c r="K1273" i="62"/>
  <c r="J1273" i="62"/>
  <c r="H1273" i="62"/>
  <c r="P1272" i="62"/>
  <c r="O1272" i="62"/>
  <c r="N1272" i="62"/>
  <c r="M1272" i="62"/>
  <c r="L1272" i="62"/>
  <c r="K1272" i="62"/>
  <c r="J1272" i="62"/>
  <c r="H1272" i="62"/>
  <c r="P1271" i="62"/>
  <c r="O1271" i="62"/>
  <c r="N1271" i="62"/>
  <c r="M1271" i="62"/>
  <c r="L1271" i="62"/>
  <c r="K1271" i="62"/>
  <c r="J1271" i="62"/>
  <c r="H1271" i="62"/>
  <c r="P1270" i="62"/>
  <c r="O1270" i="62"/>
  <c r="N1270" i="62"/>
  <c r="M1270" i="62"/>
  <c r="L1270" i="62"/>
  <c r="K1270" i="62"/>
  <c r="J1270" i="62"/>
  <c r="H1270" i="62"/>
  <c r="P1269" i="62"/>
  <c r="O1269" i="62"/>
  <c r="N1269" i="62"/>
  <c r="M1269" i="62"/>
  <c r="L1269" i="62"/>
  <c r="K1269" i="62"/>
  <c r="J1269" i="62"/>
  <c r="H1269" i="62"/>
  <c r="P1268" i="62"/>
  <c r="O1268" i="62"/>
  <c r="N1268" i="62"/>
  <c r="M1268" i="62"/>
  <c r="L1268" i="62"/>
  <c r="K1268" i="62"/>
  <c r="J1268" i="62"/>
  <c r="H1268" i="62"/>
  <c r="P1267" i="62"/>
  <c r="O1267" i="62"/>
  <c r="N1267" i="62"/>
  <c r="M1267" i="62"/>
  <c r="L1267" i="62"/>
  <c r="K1267" i="62"/>
  <c r="J1267" i="62"/>
  <c r="H1267" i="62"/>
  <c r="P1266" i="62"/>
  <c r="O1266" i="62"/>
  <c r="N1266" i="62"/>
  <c r="M1266" i="62"/>
  <c r="L1266" i="62"/>
  <c r="K1266" i="62"/>
  <c r="J1266" i="62"/>
  <c r="H1266" i="62"/>
  <c r="P1265" i="62"/>
  <c r="O1265" i="62"/>
  <c r="N1265" i="62"/>
  <c r="M1265" i="62"/>
  <c r="L1265" i="62"/>
  <c r="K1265" i="62"/>
  <c r="J1265" i="62"/>
  <c r="H1265" i="62"/>
  <c r="P1264" i="62"/>
  <c r="O1264" i="62"/>
  <c r="N1264" i="62"/>
  <c r="M1264" i="62"/>
  <c r="L1264" i="62"/>
  <c r="K1264" i="62"/>
  <c r="J1264" i="62"/>
  <c r="H1264" i="62"/>
  <c r="P1263" i="62"/>
  <c r="O1263" i="62"/>
  <c r="N1263" i="62"/>
  <c r="M1263" i="62"/>
  <c r="L1263" i="62"/>
  <c r="K1263" i="62"/>
  <c r="J1263" i="62"/>
  <c r="H1263" i="62"/>
  <c r="P1262" i="62"/>
  <c r="O1262" i="62"/>
  <c r="N1262" i="62"/>
  <c r="M1262" i="62"/>
  <c r="L1262" i="62"/>
  <c r="K1262" i="62"/>
  <c r="J1262" i="62"/>
  <c r="H1262" i="62"/>
  <c r="P1261" i="62"/>
  <c r="O1261" i="62"/>
  <c r="N1261" i="62"/>
  <c r="M1261" i="62"/>
  <c r="L1261" i="62"/>
  <c r="K1261" i="62"/>
  <c r="J1261" i="62"/>
  <c r="H1261" i="62"/>
  <c r="P1260" i="62"/>
  <c r="O1260" i="62"/>
  <c r="N1260" i="62"/>
  <c r="M1260" i="62"/>
  <c r="L1260" i="62"/>
  <c r="K1260" i="62"/>
  <c r="J1260" i="62"/>
  <c r="H1260" i="62"/>
  <c r="P1259" i="62"/>
  <c r="O1259" i="62"/>
  <c r="N1259" i="62"/>
  <c r="M1259" i="62"/>
  <c r="L1259" i="62"/>
  <c r="K1259" i="62"/>
  <c r="J1259" i="62"/>
  <c r="H1259" i="62"/>
  <c r="P1258" i="62"/>
  <c r="O1258" i="62"/>
  <c r="N1258" i="62"/>
  <c r="M1258" i="62"/>
  <c r="L1258" i="62"/>
  <c r="K1258" i="62"/>
  <c r="J1258" i="62"/>
  <c r="H1258" i="62"/>
  <c r="P1257" i="62"/>
  <c r="O1257" i="62"/>
  <c r="N1257" i="62"/>
  <c r="M1257" i="62"/>
  <c r="L1257" i="62"/>
  <c r="K1257" i="62"/>
  <c r="J1257" i="62"/>
  <c r="H1257" i="62"/>
  <c r="P1256" i="62"/>
  <c r="O1256" i="62"/>
  <c r="N1256" i="62"/>
  <c r="M1256" i="62"/>
  <c r="L1256" i="62"/>
  <c r="K1256" i="62"/>
  <c r="J1256" i="62"/>
  <c r="H1256" i="62"/>
  <c r="P1255" i="62"/>
  <c r="O1255" i="62"/>
  <c r="N1255" i="62"/>
  <c r="M1255" i="62"/>
  <c r="L1255" i="62"/>
  <c r="K1255" i="62"/>
  <c r="J1255" i="62"/>
  <c r="H1255" i="62"/>
  <c r="P1254" i="62"/>
  <c r="O1254" i="62"/>
  <c r="N1254" i="62"/>
  <c r="M1254" i="62"/>
  <c r="L1254" i="62"/>
  <c r="K1254" i="62"/>
  <c r="J1254" i="62"/>
  <c r="H1254" i="62"/>
  <c r="P1253" i="62"/>
  <c r="O1253" i="62"/>
  <c r="N1253" i="62"/>
  <c r="M1253" i="62"/>
  <c r="L1253" i="62"/>
  <c r="K1253" i="62"/>
  <c r="J1253" i="62"/>
  <c r="H1253" i="62"/>
  <c r="P1252" i="62"/>
  <c r="O1252" i="62"/>
  <c r="N1252" i="62"/>
  <c r="M1252" i="62"/>
  <c r="L1252" i="62"/>
  <c r="K1252" i="62"/>
  <c r="J1252" i="62"/>
  <c r="H1252" i="62"/>
  <c r="P1251" i="62"/>
  <c r="O1251" i="62"/>
  <c r="N1251" i="62"/>
  <c r="M1251" i="62"/>
  <c r="L1251" i="62"/>
  <c r="K1251" i="62"/>
  <c r="J1251" i="62"/>
  <c r="H1251" i="62"/>
  <c r="P1250" i="62"/>
  <c r="O1250" i="62"/>
  <c r="N1250" i="62"/>
  <c r="M1250" i="62"/>
  <c r="L1250" i="62"/>
  <c r="K1250" i="62"/>
  <c r="J1250" i="62"/>
  <c r="H1250" i="62"/>
  <c r="P1249" i="62"/>
  <c r="O1249" i="62"/>
  <c r="N1249" i="62"/>
  <c r="M1249" i="62"/>
  <c r="L1249" i="62"/>
  <c r="K1249" i="62"/>
  <c r="J1249" i="62"/>
  <c r="H1249" i="62"/>
  <c r="P1248" i="62"/>
  <c r="O1248" i="62"/>
  <c r="N1248" i="62"/>
  <c r="M1248" i="62"/>
  <c r="L1248" i="62"/>
  <c r="K1248" i="62"/>
  <c r="J1248" i="62"/>
  <c r="H1248" i="62"/>
  <c r="P1247" i="62"/>
  <c r="O1247" i="62"/>
  <c r="N1247" i="62"/>
  <c r="M1247" i="62"/>
  <c r="L1247" i="62"/>
  <c r="K1247" i="62"/>
  <c r="J1247" i="62"/>
  <c r="H1247" i="62"/>
  <c r="P1246" i="62"/>
  <c r="O1246" i="62"/>
  <c r="N1246" i="62"/>
  <c r="M1246" i="62"/>
  <c r="L1246" i="62"/>
  <c r="K1246" i="62"/>
  <c r="J1246" i="62"/>
  <c r="H1246" i="62"/>
  <c r="P1245" i="62"/>
  <c r="O1245" i="62"/>
  <c r="N1245" i="62"/>
  <c r="M1245" i="62"/>
  <c r="L1245" i="62"/>
  <c r="K1245" i="62"/>
  <c r="J1245" i="62"/>
  <c r="H1245" i="62"/>
  <c r="P1244" i="62"/>
  <c r="O1244" i="62"/>
  <c r="N1244" i="62"/>
  <c r="M1244" i="62"/>
  <c r="L1244" i="62"/>
  <c r="K1244" i="62"/>
  <c r="J1244" i="62"/>
  <c r="H1244" i="62"/>
  <c r="P1243" i="62"/>
  <c r="O1243" i="62"/>
  <c r="N1243" i="62"/>
  <c r="M1243" i="62"/>
  <c r="L1243" i="62"/>
  <c r="K1243" i="62"/>
  <c r="J1243" i="62"/>
  <c r="H1243" i="62"/>
  <c r="P1242" i="62"/>
  <c r="O1242" i="62"/>
  <c r="N1242" i="62"/>
  <c r="M1242" i="62"/>
  <c r="L1242" i="62"/>
  <c r="K1242" i="62"/>
  <c r="J1242" i="62"/>
  <c r="H1242" i="62"/>
  <c r="P1241" i="62"/>
  <c r="O1241" i="62"/>
  <c r="N1241" i="62"/>
  <c r="M1241" i="62"/>
  <c r="L1241" i="62"/>
  <c r="K1241" i="62"/>
  <c r="J1241" i="62"/>
  <c r="H1241" i="62"/>
  <c r="P1240" i="62"/>
  <c r="O1240" i="62"/>
  <c r="N1240" i="62"/>
  <c r="M1240" i="62"/>
  <c r="L1240" i="62"/>
  <c r="K1240" i="62"/>
  <c r="J1240" i="62"/>
  <c r="H1240" i="62"/>
  <c r="P1239" i="62"/>
  <c r="O1239" i="62"/>
  <c r="N1239" i="62"/>
  <c r="M1239" i="62"/>
  <c r="L1239" i="62"/>
  <c r="K1239" i="62"/>
  <c r="J1239" i="62"/>
  <c r="H1239" i="62"/>
  <c r="P1238" i="62"/>
  <c r="O1238" i="62"/>
  <c r="N1238" i="62"/>
  <c r="M1238" i="62"/>
  <c r="L1238" i="62"/>
  <c r="K1238" i="62"/>
  <c r="J1238" i="62"/>
  <c r="H1238" i="62"/>
  <c r="P1237" i="62"/>
  <c r="O1237" i="62"/>
  <c r="N1237" i="62"/>
  <c r="M1237" i="62"/>
  <c r="L1237" i="62"/>
  <c r="K1237" i="62"/>
  <c r="J1237" i="62"/>
  <c r="H1237" i="62"/>
  <c r="P1236" i="62"/>
  <c r="O1236" i="62"/>
  <c r="N1236" i="62"/>
  <c r="M1236" i="62"/>
  <c r="L1236" i="62"/>
  <c r="K1236" i="62"/>
  <c r="J1236" i="62"/>
  <c r="H1236" i="62"/>
  <c r="P1235" i="62"/>
  <c r="O1235" i="62"/>
  <c r="N1235" i="62"/>
  <c r="M1235" i="62"/>
  <c r="L1235" i="62"/>
  <c r="K1235" i="62"/>
  <c r="J1235" i="62"/>
  <c r="H1235" i="62"/>
  <c r="P1234" i="62"/>
  <c r="O1234" i="62"/>
  <c r="N1234" i="62"/>
  <c r="M1234" i="62"/>
  <c r="L1234" i="62"/>
  <c r="K1234" i="62"/>
  <c r="J1234" i="62"/>
  <c r="H1234" i="62"/>
  <c r="P1233" i="62"/>
  <c r="O1233" i="62"/>
  <c r="N1233" i="62"/>
  <c r="M1233" i="62"/>
  <c r="L1233" i="62"/>
  <c r="K1233" i="62"/>
  <c r="J1233" i="62"/>
  <c r="H1233" i="62"/>
  <c r="P1232" i="62"/>
  <c r="O1232" i="62"/>
  <c r="N1232" i="62"/>
  <c r="M1232" i="62"/>
  <c r="L1232" i="62"/>
  <c r="K1232" i="62"/>
  <c r="J1232" i="62"/>
  <c r="H1232" i="62"/>
  <c r="P1231" i="62"/>
  <c r="O1231" i="62"/>
  <c r="N1231" i="62"/>
  <c r="M1231" i="62"/>
  <c r="L1231" i="62"/>
  <c r="K1231" i="62"/>
  <c r="J1231" i="62"/>
  <c r="H1231" i="62"/>
  <c r="P1230" i="62"/>
  <c r="O1230" i="62"/>
  <c r="N1230" i="62"/>
  <c r="M1230" i="62"/>
  <c r="L1230" i="62"/>
  <c r="K1230" i="62"/>
  <c r="J1230" i="62"/>
  <c r="H1230" i="62"/>
  <c r="P1229" i="62"/>
  <c r="O1229" i="62"/>
  <c r="N1229" i="62"/>
  <c r="M1229" i="62"/>
  <c r="L1229" i="62"/>
  <c r="K1229" i="62"/>
  <c r="J1229" i="62"/>
  <c r="H1229" i="62"/>
  <c r="P1228" i="62"/>
  <c r="O1228" i="62"/>
  <c r="N1228" i="62"/>
  <c r="M1228" i="62"/>
  <c r="L1228" i="62"/>
  <c r="K1228" i="62"/>
  <c r="J1228" i="62"/>
  <c r="H1228" i="62"/>
  <c r="P1227" i="62"/>
  <c r="O1227" i="62"/>
  <c r="N1227" i="62"/>
  <c r="M1227" i="62"/>
  <c r="L1227" i="62"/>
  <c r="K1227" i="62"/>
  <c r="J1227" i="62"/>
  <c r="H1227" i="62"/>
  <c r="P1226" i="62"/>
  <c r="O1226" i="62"/>
  <c r="N1226" i="62"/>
  <c r="M1226" i="62"/>
  <c r="L1226" i="62"/>
  <c r="K1226" i="62"/>
  <c r="J1226" i="62"/>
  <c r="H1226" i="62"/>
  <c r="P1225" i="62"/>
  <c r="O1225" i="62"/>
  <c r="N1225" i="62"/>
  <c r="M1225" i="62"/>
  <c r="L1225" i="62"/>
  <c r="K1225" i="62"/>
  <c r="J1225" i="62"/>
  <c r="H1225" i="62"/>
  <c r="P1224" i="62"/>
  <c r="O1224" i="62"/>
  <c r="N1224" i="62"/>
  <c r="M1224" i="62"/>
  <c r="L1224" i="62"/>
  <c r="K1224" i="62"/>
  <c r="J1224" i="62"/>
  <c r="H1224" i="62"/>
  <c r="P1223" i="62"/>
  <c r="O1223" i="62"/>
  <c r="N1223" i="62"/>
  <c r="M1223" i="62"/>
  <c r="L1223" i="62"/>
  <c r="K1223" i="62"/>
  <c r="J1223" i="62"/>
  <c r="H1223" i="62"/>
  <c r="P1222" i="62"/>
  <c r="O1222" i="62"/>
  <c r="N1222" i="62"/>
  <c r="M1222" i="62"/>
  <c r="L1222" i="62"/>
  <c r="K1222" i="62"/>
  <c r="J1222" i="62"/>
  <c r="H1222" i="62"/>
  <c r="P1221" i="62"/>
  <c r="O1221" i="62"/>
  <c r="N1221" i="62"/>
  <c r="M1221" i="62"/>
  <c r="L1221" i="62"/>
  <c r="K1221" i="62"/>
  <c r="J1221" i="62"/>
  <c r="H1221" i="62"/>
  <c r="P1220" i="62"/>
  <c r="O1220" i="62"/>
  <c r="N1220" i="62"/>
  <c r="M1220" i="62"/>
  <c r="L1220" i="62"/>
  <c r="K1220" i="62"/>
  <c r="J1220" i="62"/>
  <c r="H1220" i="62"/>
  <c r="P1219" i="62"/>
  <c r="O1219" i="62"/>
  <c r="N1219" i="62"/>
  <c r="M1219" i="62"/>
  <c r="L1219" i="62"/>
  <c r="K1219" i="62"/>
  <c r="J1219" i="62"/>
  <c r="H1219" i="62"/>
  <c r="P1218" i="62"/>
  <c r="O1218" i="62"/>
  <c r="N1218" i="62"/>
  <c r="M1218" i="62"/>
  <c r="L1218" i="62"/>
  <c r="K1218" i="62"/>
  <c r="J1218" i="62"/>
  <c r="H1218" i="62"/>
  <c r="P1217" i="62"/>
  <c r="O1217" i="62"/>
  <c r="N1217" i="62"/>
  <c r="M1217" i="62"/>
  <c r="L1217" i="62"/>
  <c r="K1217" i="62"/>
  <c r="J1217" i="62"/>
  <c r="H1217" i="62"/>
  <c r="P1216" i="62"/>
  <c r="O1216" i="62"/>
  <c r="N1216" i="62"/>
  <c r="M1216" i="62"/>
  <c r="L1216" i="62"/>
  <c r="K1216" i="62"/>
  <c r="J1216" i="62"/>
  <c r="H1216" i="62"/>
  <c r="P1215" i="62"/>
  <c r="O1215" i="62"/>
  <c r="N1215" i="62"/>
  <c r="M1215" i="62"/>
  <c r="L1215" i="62"/>
  <c r="K1215" i="62"/>
  <c r="J1215" i="62"/>
  <c r="H1215" i="62"/>
  <c r="P1214" i="62"/>
  <c r="O1214" i="62"/>
  <c r="N1214" i="62"/>
  <c r="M1214" i="62"/>
  <c r="L1214" i="62"/>
  <c r="K1214" i="62"/>
  <c r="J1214" i="62"/>
  <c r="H1214" i="62"/>
  <c r="P1213" i="62"/>
  <c r="O1213" i="62"/>
  <c r="N1213" i="62"/>
  <c r="M1213" i="62"/>
  <c r="L1213" i="62"/>
  <c r="K1213" i="62"/>
  <c r="J1213" i="62"/>
  <c r="H1213" i="62"/>
  <c r="P1212" i="62"/>
  <c r="O1212" i="62"/>
  <c r="N1212" i="62"/>
  <c r="M1212" i="62"/>
  <c r="L1212" i="62"/>
  <c r="K1212" i="62"/>
  <c r="J1212" i="62"/>
  <c r="H1212" i="62"/>
  <c r="P1211" i="62"/>
  <c r="O1211" i="62"/>
  <c r="N1211" i="62"/>
  <c r="M1211" i="62"/>
  <c r="L1211" i="62"/>
  <c r="K1211" i="62"/>
  <c r="J1211" i="62"/>
  <c r="H1211" i="62"/>
  <c r="P1210" i="62"/>
  <c r="O1210" i="62"/>
  <c r="N1210" i="62"/>
  <c r="M1210" i="62"/>
  <c r="L1210" i="62"/>
  <c r="K1210" i="62"/>
  <c r="J1210" i="62"/>
  <c r="H1210" i="62"/>
  <c r="P1209" i="62"/>
  <c r="O1209" i="62"/>
  <c r="N1209" i="62"/>
  <c r="M1209" i="62"/>
  <c r="L1209" i="62"/>
  <c r="K1209" i="62"/>
  <c r="J1209" i="62"/>
  <c r="H1209" i="62"/>
  <c r="P1208" i="62"/>
  <c r="O1208" i="62"/>
  <c r="N1208" i="62"/>
  <c r="M1208" i="62"/>
  <c r="L1208" i="62"/>
  <c r="K1208" i="62"/>
  <c r="J1208" i="62"/>
  <c r="H1208" i="62"/>
  <c r="P1207" i="62"/>
  <c r="O1207" i="62"/>
  <c r="N1207" i="62"/>
  <c r="M1207" i="62"/>
  <c r="L1207" i="62"/>
  <c r="K1207" i="62"/>
  <c r="J1207" i="62"/>
  <c r="H1207" i="62"/>
  <c r="P1206" i="62"/>
  <c r="O1206" i="62"/>
  <c r="N1206" i="62"/>
  <c r="M1206" i="62"/>
  <c r="L1206" i="62"/>
  <c r="K1206" i="62"/>
  <c r="J1206" i="62"/>
  <c r="H1206" i="62"/>
  <c r="P1205" i="62"/>
  <c r="O1205" i="62"/>
  <c r="N1205" i="62"/>
  <c r="M1205" i="62"/>
  <c r="L1205" i="62"/>
  <c r="K1205" i="62"/>
  <c r="J1205" i="62"/>
  <c r="H1205" i="62"/>
  <c r="P1204" i="62"/>
  <c r="O1204" i="62"/>
  <c r="N1204" i="62"/>
  <c r="M1204" i="62"/>
  <c r="L1204" i="62"/>
  <c r="K1204" i="62"/>
  <c r="J1204" i="62"/>
  <c r="H1204" i="62"/>
  <c r="P1203" i="62"/>
  <c r="O1203" i="62"/>
  <c r="N1203" i="62"/>
  <c r="M1203" i="62"/>
  <c r="L1203" i="62"/>
  <c r="K1203" i="62"/>
  <c r="J1203" i="62"/>
  <c r="H1203" i="62"/>
  <c r="P1202" i="62"/>
  <c r="O1202" i="62"/>
  <c r="N1202" i="62"/>
  <c r="M1202" i="62"/>
  <c r="L1202" i="62"/>
  <c r="K1202" i="62"/>
  <c r="J1202" i="62"/>
  <c r="H1202" i="62"/>
  <c r="P1201" i="62"/>
  <c r="O1201" i="62"/>
  <c r="N1201" i="62"/>
  <c r="M1201" i="62"/>
  <c r="L1201" i="62"/>
  <c r="K1201" i="62"/>
  <c r="J1201" i="62"/>
  <c r="H1201" i="62"/>
  <c r="P1200" i="62"/>
  <c r="O1200" i="62"/>
  <c r="N1200" i="62"/>
  <c r="M1200" i="62"/>
  <c r="L1200" i="62"/>
  <c r="K1200" i="62"/>
  <c r="J1200" i="62"/>
  <c r="H1200" i="62"/>
  <c r="P1199" i="62"/>
  <c r="O1199" i="62"/>
  <c r="N1199" i="62"/>
  <c r="M1199" i="62"/>
  <c r="L1199" i="62"/>
  <c r="K1199" i="62"/>
  <c r="J1199" i="62"/>
  <c r="H1199" i="62"/>
  <c r="P1198" i="62"/>
  <c r="O1198" i="62"/>
  <c r="N1198" i="62"/>
  <c r="M1198" i="62"/>
  <c r="L1198" i="62"/>
  <c r="K1198" i="62"/>
  <c r="J1198" i="62"/>
  <c r="H1198" i="62"/>
  <c r="P1197" i="62"/>
  <c r="O1197" i="62"/>
  <c r="N1197" i="62"/>
  <c r="M1197" i="62"/>
  <c r="L1197" i="62"/>
  <c r="K1197" i="62"/>
  <c r="J1197" i="62"/>
  <c r="H1197" i="62"/>
  <c r="P1196" i="62"/>
  <c r="O1196" i="62"/>
  <c r="N1196" i="62"/>
  <c r="M1196" i="62"/>
  <c r="L1196" i="62"/>
  <c r="K1196" i="62"/>
  <c r="J1196" i="62"/>
  <c r="H1196" i="62"/>
  <c r="P1195" i="62"/>
  <c r="O1195" i="62"/>
  <c r="N1195" i="62"/>
  <c r="M1195" i="62"/>
  <c r="L1195" i="62"/>
  <c r="K1195" i="62"/>
  <c r="J1195" i="62"/>
  <c r="H1195" i="62"/>
  <c r="P1194" i="62"/>
  <c r="O1194" i="62"/>
  <c r="N1194" i="62"/>
  <c r="M1194" i="62"/>
  <c r="L1194" i="62"/>
  <c r="K1194" i="62"/>
  <c r="J1194" i="62"/>
  <c r="H1194" i="62"/>
  <c r="P1193" i="62"/>
  <c r="O1193" i="62"/>
  <c r="N1193" i="62"/>
  <c r="M1193" i="62"/>
  <c r="L1193" i="62"/>
  <c r="K1193" i="62"/>
  <c r="J1193" i="62"/>
  <c r="H1193" i="62"/>
  <c r="P1192" i="62"/>
  <c r="O1192" i="62"/>
  <c r="N1192" i="62"/>
  <c r="M1192" i="62"/>
  <c r="L1192" i="62"/>
  <c r="K1192" i="62"/>
  <c r="J1192" i="62"/>
  <c r="H1192" i="62"/>
  <c r="P1191" i="62"/>
  <c r="O1191" i="62"/>
  <c r="N1191" i="62"/>
  <c r="M1191" i="62"/>
  <c r="L1191" i="62"/>
  <c r="K1191" i="62"/>
  <c r="J1191" i="62"/>
  <c r="H1191" i="62"/>
  <c r="P1190" i="62"/>
  <c r="O1190" i="62"/>
  <c r="N1190" i="62"/>
  <c r="M1190" i="62"/>
  <c r="L1190" i="62"/>
  <c r="K1190" i="62"/>
  <c r="J1190" i="62"/>
  <c r="H1190" i="62"/>
  <c r="P1189" i="62"/>
  <c r="O1189" i="62"/>
  <c r="N1189" i="62"/>
  <c r="M1189" i="62"/>
  <c r="L1189" i="62"/>
  <c r="K1189" i="62"/>
  <c r="J1189" i="62"/>
  <c r="H1189" i="62"/>
  <c r="P1188" i="62"/>
  <c r="O1188" i="62"/>
  <c r="N1188" i="62"/>
  <c r="M1188" i="62"/>
  <c r="L1188" i="62"/>
  <c r="K1188" i="62"/>
  <c r="J1188" i="62"/>
  <c r="H1188" i="62"/>
  <c r="P1187" i="62"/>
  <c r="O1187" i="62"/>
  <c r="N1187" i="62"/>
  <c r="M1187" i="62"/>
  <c r="L1187" i="62"/>
  <c r="K1187" i="62"/>
  <c r="J1187" i="62"/>
  <c r="H1187" i="62"/>
  <c r="P1186" i="62"/>
  <c r="O1186" i="62"/>
  <c r="N1186" i="62"/>
  <c r="M1186" i="62"/>
  <c r="L1186" i="62"/>
  <c r="K1186" i="62"/>
  <c r="J1186" i="62"/>
  <c r="H1186" i="62"/>
  <c r="P1185" i="62"/>
  <c r="O1185" i="62"/>
  <c r="N1185" i="62"/>
  <c r="M1185" i="62"/>
  <c r="L1185" i="62"/>
  <c r="K1185" i="62"/>
  <c r="J1185" i="62"/>
  <c r="H1185" i="62"/>
  <c r="P1184" i="62"/>
  <c r="O1184" i="62"/>
  <c r="N1184" i="62"/>
  <c r="M1184" i="62"/>
  <c r="L1184" i="62"/>
  <c r="K1184" i="62"/>
  <c r="J1184" i="62"/>
  <c r="H1184" i="62"/>
  <c r="P1183" i="62"/>
  <c r="O1183" i="62"/>
  <c r="N1183" i="62"/>
  <c r="M1183" i="62"/>
  <c r="L1183" i="62"/>
  <c r="K1183" i="62"/>
  <c r="J1183" i="62"/>
  <c r="H1183" i="62"/>
  <c r="P1182" i="62"/>
  <c r="O1182" i="62"/>
  <c r="N1182" i="62"/>
  <c r="M1182" i="62"/>
  <c r="L1182" i="62"/>
  <c r="K1182" i="62"/>
  <c r="J1182" i="62"/>
  <c r="H1182" i="62"/>
  <c r="P1181" i="62"/>
  <c r="O1181" i="62"/>
  <c r="N1181" i="62"/>
  <c r="M1181" i="62"/>
  <c r="L1181" i="62"/>
  <c r="K1181" i="62"/>
  <c r="J1181" i="62"/>
  <c r="H1181" i="62"/>
  <c r="P1180" i="62"/>
  <c r="O1180" i="62"/>
  <c r="N1180" i="62"/>
  <c r="M1180" i="62"/>
  <c r="L1180" i="62"/>
  <c r="K1180" i="62"/>
  <c r="J1180" i="62"/>
  <c r="H1180" i="62"/>
  <c r="P1179" i="62"/>
  <c r="O1179" i="62"/>
  <c r="N1179" i="62"/>
  <c r="M1179" i="62"/>
  <c r="L1179" i="62"/>
  <c r="K1179" i="62"/>
  <c r="J1179" i="62"/>
  <c r="H1179" i="62"/>
  <c r="P1178" i="62"/>
  <c r="O1178" i="62"/>
  <c r="N1178" i="62"/>
  <c r="M1178" i="62"/>
  <c r="L1178" i="62"/>
  <c r="K1178" i="62"/>
  <c r="J1178" i="62"/>
  <c r="H1178" i="62"/>
  <c r="P1177" i="62"/>
  <c r="O1177" i="62"/>
  <c r="N1177" i="62"/>
  <c r="M1177" i="62"/>
  <c r="L1177" i="62"/>
  <c r="K1177" i="62"/>
  <c r="J1177" i="62"/>
  <c r="H1177" i="62"/>
  <c r="P1176" i="62"/>
  <c r="O1176" i="62"/>
  <c r="N1176" i="62"/>
  <c r="M1176" i="62"/>
  <c r="L1176" i="62"/>
  <c r="K1176" i="62"/>
  <c r="J1176" i="62"/>
  <c r="H1176" i="62"/>
  <c r="P1175" i="62"/>
  <c r="O1175" i="62"/>
  <c r="N1175" i="62"/>
  <c r="M1175" i="62"/>
  <c r="L1175" i="62"/>
  <c r="K1175" i="62"/>
  <c r="J1175" i="62"/>
  <c r="H1175" i="62"/>
  <c r="P1174" i="62"/>
  <c r="O1174" i="62"/>
  <c r="N1174" i="62"/>
  <c r="M1174" i="62"/>
  <c r="L1174" i="62"/>
  <c r="K1174" i="62"/>
  <c r="J1174" i="62"/>
  <c r="H1174" i="62"/>
  <c r="P1173" i="62"/>
  <c r="O1173" i="62"/>
  <c r="N1173" i="62"/>
  <c r="M1173" i="62"/>
  <c r="L1173" i="62"/>
  <c r="K1173" i="62"/>
  <c r="J1173" i="62"/>
  <c r="H1173" i="62"/>
  <c r="P1172" i="62"/>
  <c r="O1172" i="62"/>
  <c r="N1172" i="62"/>
  <c r="M1172" i="62"/>
  <c r="L1172" i="62"/>
  <c r="K1172" i="62"/>
  <c r="J1172" i="62"/>
  <c r="H1172" i="62"/>
  <c r="P1171" i="62"/>
  <c r="O1171" i="62"/>
  <c r="N1171" i="62"/>
  <c r="M1171" i="62"/>
  <c r="L1171" i="62"/>
  <c r="K1171" i="62"/>
  <c r="J1171" i="62"/>
  <c r="H1171" i="62"/>
  <c r="P1170" i="62"/>
  <c r="O1170" i="62"/>
  <c r="N1170" i="62"/>
  <c r="M1170" i="62"/>
  <c r="L1170" i="62"/>
  <c r="K1170" i="62"/>
  <c r="J1170" i="62"/>
  <c r="H1170" i="62"/>
  <c r="P1169" i="62"/>
  <c r="O1169" i="62"/>
  <c r="N1169" i="62"/>
  <c r="M1169" i="62"/>
  <c r="L1169" i="62"/>
  <c r="K1169" i="62"/>
  <c r="J1169" i="62"/>
  <c r="H1169" i="62"/>
  <c r="P1168" i="62"/>
  <c r="O1168" i="62"/>
  <c r="N1168" i="62"/>
  <c r="M1168" i="62"/>
  <c r="L1168" i="62"/>
  <c r="K1168" i="62"/>
  <c r="J1168" i="62"/>
  <c r="H1168" i="62"/>
  <c r="P1167" i="62"/>
  <c r="O1167" i="62"/>
  <c r="N1167" i="62"/>
  <c r="M1167" i="62"/>
  <c r="L1167" i="62"/>
  <c r="K1167" i="62"/>
  <c r="J1167" i="62"/>
  <c r="H1167" i="62"/>
  <c r="P1166" i="62"/>
  <c r="O1166" i="62"/>
  <c r="N1166" i="62"/>
  <c r="M1166" i="62"/>
  <c r="L1166" i="62"/>
  <c r="K1166" i="62"/>
  <c r="J1166" i="62"/>
  <c r="H1166" i="62"/>
  <c r="P1165" i="62"/>
  <c r="O1165" i="62"/>
  <c r="N1165" i="62"/>
  <c r="M1165" i="62"/>
  <c r="L1165" i="62"/>
  <c r="K1165" i="62"/>
  <c r="J1165" i="62"/>
  <c r="H1165" i="62"/>
  <c r="P1164" i="62"/>
  <c r="O1164" i="62"/>
  <c r="N1164" i="62"/>
  <c r="M1164" i="62"/>
  <c r="L1164" i="62"/>
  <c r="K1164" i="62"/>
  <c r="J1164" i="62"/>
  <c r="H1164" i="62"/>
  <c r="P1163" i="62"/>
  <c r="O1163" i="62"/>
  <c r="N1163" i="62"/>
  <c r="M1163" i="62"/>
  <c r="L1163" i="62"/>
  <c r="K1163" i="62"/>
  <c r="J1163" i="62"/>
  <c r="H1163" i="62"/>
  <c r="P1162" i="62"/>
  <c r="O1162" i="62"/>
  <c r="N1162" i="62"/>
  <c r="M1162" i="62"/>
  <c r="L1162" i="62"/>
  <c r="K1162" i="62"/>
  <c r="J1162" i="62"/>
  <c r="H1162" i="62"/>
  <c r="P1161" i="62"/>
  <c r="O1161" i="62"/>
  <c r="N1161" i="62"/>
  <c r="M1161" i="62"/>
  <c r="L1161" i="62"/>
  <c r="K1161" i="62"/>
  <c r="J1161" i="62"/>
  <c r="H1161" i="62"/>
  <c r="P1160" i="62"/>
  <c r="O1160" i="62"/>
  <c r="N1160" i="62"/>
  <c r="M1160" i="62"/>
  <c r="L1160" i="62"/>
  <c r="K1160" i="62"/>
  <c r="J1160" i="62"/>
  <c r="H1160" i="62"/>
  <c r="P1159" i="62"/>
  <c r="O1159" i="62"/>
  <c r="N1159" i="62"/>
  <c r="M1159" i="62"/>
  <c r="L1159" i="62"/>
  <c r="K1159" i="62"/>
  <c r="J1159" i="62"/>
  <c r="H1159" i="62"/>
  <c r="P1158" i="62"/>
  <c r="O1158" i="62"/>
  <c r="N1158" i="62"/>
  <c r="M1158" i="62"/>
  <c r="L1158" i="62"/>
  <c r="K1158" i="62"/>
  <c r="J1158" i="62"/>
  <c r="H1158" i="62"/>
  <c r="P1157" i="62"/>
  <c r="O1157" i="62"/>
  <c r="N1157" i="62"/>
  <c r="M1157" i="62"/>
  <c r="L1157" i="62"/>
  <c r="K1157" i="62"/>
  <c r="J1157" i="62"/>
  <c r="H1157" i="62"/>
  <c r="P1156" i="62"/>
  <c r="O1156" i="62"/>
  <c r="N1156" i="62"/>
  <c r="M1156" i="62"/>
  <c r="L1156" i="62"/>
  <c r="K1156" i="62"/>
  <c r="J1156" i="62"/>
  <c r="H1156" i="62"/>
  <c r="P1155" i="62"/>
  <c r="O1155" i="62"/>
  <c r="N1155" i="62"/>
  <c r="M1155" i="62"/>
  <c r="L1155" i="62"/>
  <c r="K1155" i="62"/>
  <c r="J1155" i="62"/>
  <c r="H1155" i="62"/>
  <c r="P1154" i="62"/>
  <c r="O1154" i="62"/>
  <c r="N1154" i="62"/>
  <c r="M1154" i="62"/>
  <c r="L1154" i="62"/>
  <c r="K1154" i="62"/>
  <c r="J1154" i="62"/>
  <c r="H1154" i="62"/>
  <c r="P1153" i="62"/>
  <c r="O1153" i="62"/>
  <c r="N1153" i="62"/>
  <c r="M1153" i="62"/>
  <c r="L1153" i="62"/>
  <c r="K1153" i="62"/>
  <c r="J1153" i="62"/>
  <c r="H1153" i="62"/>
  <c r="P1152" i="62"/>
  <c r="O1152" i="62"/>
  <c r="N1152" i="62"/>
  <c r="M1152" i="62"/>
  <c r="L1152" i="62"/>
  <c r="K1152" i="62"/>
  <c r="J1152" i="62"/>
  <c r="H1152" i="62"/>
  <c r="P1151" i="62"/>
  <c r="O1151" i="62"/>
  <c r="N1151" i="62"/>
  <c r="M1151" i="62"/>
  <c r="L1151" i="62"/>
  <c r="K1151" i="62"/>
  <c r="J1151" i="62"/>
  <c r="H1151" i="62"/>
  <c r="P1150" i="62"/>
  <c r="O1150" i="62"/>
  <c r="N1150" i="62"/>
  <c r="M1150" i="62"/>
  <c r="L1150" i="62"/>
  <c r="K1150" i="62"/>
  <c r="J1150" i="62"/>
  <c r="H1150" i="62"/>
  <c r="P1149" i="62"/>
  <c r="O1149" i="62"/>
  <c r="N1149" i="62"/>
  <c r="M1149" i="62"/>
  <c r="L1149" i="62"/>
  <c r="K1149" i="62"/>
  <c r="J1149" i="62"/>
  <c r="H1149" i="62"/>
  <c r="P1148" i="62"/>
  <c r="O1148" i="62"/>
  <c r="N1148" i="62"/>
  <c r="M1148" i="62"/>
  <c r="L1148" i="62"/>
  <c r="K1148" i="62"/>
  <c r="J1148" i="62"/>
  <c r="H1148" i="62"/>
  <c r="P1147" i="62"/>
  <c r="O1147" i="62"/>
  <c r="N1147" i="62"/>
  <c r="M1147" i="62"/>
  <c r="L1147" i="62"/>
  <c r="K1147" i="62"/>
  <c r="J1147" i="62"/>
  <c r="H1147" i="62"/>
  <c r="P1146" i="62"/>
  <c r="O1146" i="62"/>
  <c r="N1146" i="62"/>
  <c r="M1146" i="62"/>
  <c r="L1146" i="62"/>
  <c r="K1146" i="62"/>
  <c r="J1146" i="62"/>
  <c r="H1146" i="62"/>
  <c r="P1145" i="62"/>
  <c r="O1145" i="62"/>
  <c r="N1145" i="62"/>
  <c r="M1145" i="62"/>
  <c r="L1145" i="62"/>
  <c r="K1145" i="62"/>
  <c r="J1145" i="62"/>
  <c r="H1145" i="62"/>
  <c r="P1144" i="62"/>
  <c r="O1144" i="62"/>
  <c r="N1144" i="62"/>
  <c r="M1144" i="62"/>
  <c r="L1144" i="62"/>
  <c r="K1144" i="62"/>
  <c r="J1144" i="62"/>
  <c r="H1144" i="62"/>
  <c r="P1143" i="62"/>
  <c r="O1143" i="62"/>
  <c r="N1143" i="62"/>
  <c r="M1143" i="62"/>
  <c r="L1143" i="62"/>
  <c r="K1143" i="62"/>
  <c r="J1143" i="62"/>
  <c r="H1143" i="62"/>
  <c r="P1142" i="62"/>
  <c r="O1142" i="62"/>
  <c r="N1142" i="62"/>
  <c r="M1142" i="62"/>
  <c r="L1142" i="62"/>
  <c r="K1142" i="62"/>
  <c r="J1142" i="62"/>
  <c r="H1142" i="62"/>
  <c r="P1141" i="62"/>
  <c r="O1141" i="62"/>
  <c r="N1141" i="62"/>
  <c r="M1141" i="62"/>
  <c r="L1141" i="62"/>
  <c r="K1141" i="62"/>
  <c r="J1141" i="62"/>
  <c r="H1141" i="62"/>
  <c r="P1140" i="62"/>
  <c r="O1140" i="62"/>
  <c r="N1140" i="62"/>
  <c r="M1140" i="62"/>
  <c r="L1140" i="62"/>
  <c r="K1140" i="62"/>
  <c r="J1140" i="62"/>
  <c r="H1140" i="62"/>
  <c r="P1139" i="62"/>
  <c r="O1139" i="62"/>
  <c r="N1139" i="62"/>
  <c r="M1139" i="62"/>
  <c r="L1139" i="62"/>
  <c r="K1139" i="62"/>
  <c r="J1139" i="62"/>
  <c r="H1139" i="62"/>
  <c r="P1138" i="62"/>
  <c r="O1138" i="62"/>
  <c r="N1138" i="62"/>
  <c r="M1138" i="62"/>
  <c r="L1138" i="62"/>
  <c r="K1138" i="62"/>
  <c r="J1138" i="62"/>
  <c r="H1138" i="62"/>
  <c r="P1137" i="62"/>
  <c r="O1137" i="62"/>
  <c r="N1137" i="62"/>
  <c r="M1137" i="62"/>
  <c r="L1137" i="62"/>
  <c r="K1137" i="62"/>
  <c r="J1137" i="62"/>
  <c r="H1137" i="62"/>
  <c r="P1136" i="62"/>
  <c r="O1136" i="62"/>
  <c r="N1136" i="62"/>
  <c r="M1136" i="62"/>
  <c r="L1136" i="62"/>
  <c r="K1136" i="62"/>
  <c r="J1136" i="62"/>
  <c r="H1136" i="62"/>
  <c r="P1135" i="62"/>
  <c r="O1135" i="62"/>
  <c r="N1135" i="62"/>
  <c r="M1135" i="62"/>
  <c r="L1135" i="62"/>
  <c r="K1135" i="62"/>
  <c r="J1135" i="62"/>
  <c r="H1135" i="62"/>
  <c r="P1134" i="62"/>
  <c r="O1134" i="62"/>
  <c r="N1134" i="62"/>
  <c r="M1134" i="62"/>
  <c r="L1134" i="62"/>
  <c r="K1134" i="62"/>
  <c r="J1134" i="62"/>
  <c r="H1134" i="62"/>
  <c r="P1133" i="62"/>
  <c r="O1133" i="62"/>
  <c r="N1133" i="62"/>
  <c r="M1133" i="62"/>
  <c r="L1133" i="62"/>
  <c r="K1133" i="62"/>
  <c r="J1133" i="62"/>
  <c r="H1133" i="62"/>
  <c r="P1132" i="62"/>
  <c r="O1132" i="62"/>
  <c r="N1132" i="62"/>
  <c r="M1132" i="62"/>
  <c r="L1132" i="62"/>
  <c r="K1132" i="62"/>
  <c r="J1132" i="62"/>
  <c r="H1132" i="62"/>
  <c r="P1131" i="62"/>
  <c r="O1131" i="62"/>
  <c r="N1131" i="62"/>
  <c r="M1131" i="62"/>
  <c r="L1131" i="62"/>
  <c r="K1131" i="62"/>
  <c r="J1131" i="62"/>
  <c r="H1131" i="62"/>
  <c r="P1130" i="62"/>
  <c r="O1130" i="62"/>
  <c r="N1130" i="62"/>
  <c r="M1130" i="62"/>
  <c r="L1130" i="62"/>
  <c r="K1130" i="62"/>
  <c r="J1130" i="62"/>
  <c r="H1130" i="62"/>
  <c r="P1129" i="62"/>
  <c r="O1129" i="62"/>
  <c r="N1129" i="62"/>
  <c r="M1129" i="62"/>
  <c r="L1129" i="62"/>
  <c r="K1129" i="62"/>
  <c r="J1129" i="62"/>
  <c r="H1129" i="62"/>
  <c r="P1128" i="62"/>
  <c r="O1128" i="62"/>
  <c r="N1128" i="62"/>
  <c r="M1128" i="62"/>
  <c r="L1128" i="62"/>
  <c r="K1128" i="62"/>
  <c r="J1128" i="62"/>
  <c r="H1128" i="62"/>
  <c r="P1127" i="62"/>
  <c r="O1127" i="62"/>
  <c r="N1127" i="62"/>
  <c r="M1127" i="62"/>
  <c r="L1127" i="62"/>
  <c r="K1127" i="62"/>
  <c r="J1127" i="62"/>
  <c r="H1127" i="62"/>
  <c r="P1126" i="62"/>
  <c r="O1126" i="62"/>
  <c r="N1126" i="62"/>
  <c r="M1126" i="62"/>
  <c r="L1126" i="62"/>
  <c r="K1126" i="62"/>
  <c r="J1126" i="62"/>
  <c r="H1126" i="62"/>
  <c r="P1125" i="62"/>
  <c r="O1125" i="62"/>
  <c r="N1125" i="62"/>
  <c r="M1125" i="62"/>
  <c r="L1125" i="62"/>
  <c r="K1125" i="62"/>
  <c r="J1125" i="62"/>
  <c r="H1125" i="62"/>
  <c r="P1124" i="62"/>
  <c r="O1124" i="62"/>
  <c r="N1124" i="62"/>
  <c r="M1124" i="62"/>
  <c r="L1124" i="62"/>
  <c r="K1124" i="62"/>
  <c r="J1124" i="62"/>
  <c r="H1124" i="62"/>
  <c r="P1123" i="62"/>
  <c r="O1123" i="62"/>
  <c r="N1123" i="62"/>
  <c r="M1123" i="62"/>
  <c r="L1123" i="62"/>
  <c r="K1123" i="62"/>
  <c r="J1123" i="62"/>
  <c r="H1123" i="62"/>
  <c r="P1122" i="62"/>
  <c r="O1122" i="62"/>
  <c r="N1122" i="62"/>
  <c r="M1122" i="62"/>
  <c r="L1122" i="62"/>
  <c r="K1122" i="62"/>
  <c r="J1122" i="62"/>
  <c r="H1122" i="62"/>
  <c r="P1121" i="62"/>
  <c r="O1121" i="62"/>
  <c r="N1121" i="62"/>
  <c r="M1121" i="62"/>
  <c r="L1121" i="62"/>
  <c r="K1121" i="62"/>
  <c r="J1121" i="62"/>
  <c r="H1121" i="62"/>
  <c r="P1120" i="62"/>
  <c r="O1120" i="62"/>
  <c r="N1120" i="62"/>
  <c r="M1120" i="62"/>
  <c r="L1120" i="62"/>
  <c r="K1120" i="62"/>
  <c r="J1120" i="62"/>
  <c r="H1120" i="62"/>
  <c r="P1119" i="62"/>
  <c r="O1119" i="62"/>
  <c r="N1119" i="62"/>
  <c r="M1119" i="62"/>
  <c r="L1119" i="62"/>
  <c r="K1119" i="62"/>
  <c r="J1119" i="62"/>
  <c r="H1119" i="62"/>
  <c r="P1118" i="62"/>
  <c r="O1118" i="62"/>
  <c r="N1118" i="62"/>
  <c r="M1118" i="62"/>
  <c r="L1118" i="62"/>
  <c r="K1118" i="62"/>
  <c r="J1118" i="62"/>
  <c r="H1118" i="62"/>
  <c r="P1117" i="62"/>
  <c r="O1117" i="62"/>
  <c r="N1117" i="62"/>
  <c r="M1117" i="62"/>
  <c r="L1117" i="62"/>
  <c r="K1117" i="62"/>
  <c r="J1117" i="62"/>
  <c r="H1117" i="62"/>
  <c r="P1116" i="62"/>
  <c r="O1116" i="62"/>
  <c r="N1116" i="62"/>
  <c r="M1116" i="62"/>
  <c r="L1116" i="62"/>
  <c r="K1116" i="62"/>
  <c r="J1116" i="62"/>
  <c r="H1116" i="62"/>
  <c r="P1115" i="62"/>
  <c r="O1115" i="62"/>
  <c r="N1115" i="62"/>
  <c r="M1115" i="62"/>
  <c r="L1115" i="62"/>
  <c r="K1115" i="62"/>
  <c r="J1115" i="62"/>
  <c r="H1115" i="62"/>
  <c r="P1114" i="62"/>
  <c r="O1114" i="62"/>
  <c r="N1114" i="62"/>
  <c r="M1114" i="62"/>
  <c r="L1114" i="62"/>
  <c r="K1114" i="62"/>
  <c r="J1114" i="62"/>
  <c r="H1114" i="62"/>
  <c r="P1113" i="62"/>
  <c r="O1113" i="62"/>
  <c r="N1113" i="62"/>
  <c r="M1113" i="62"/>
  <c r="L1113" i="62"/>
  <c r="K1113" i="62"/>
  <c r="J1113" i="62"/>
  <c r="H1113" i="62"/>
  <c r="P1112" i="62"/>
  <c r="O1112" i="62"/>
  <c r="N1112" i="62"/>
  <c r="M1112" i="62"/>
  <c r="L1112" i="62"/>
  <c r="K1112" i="62"/>
  <c r="J1112" i="62"/>
  <c r="H1112" i="62"/>
  <c r="P1111" i="62"/>
  <c r="O1111" i="62"/>
  <c r="N1111" i="62"/>
  <c r="M1111" i="62"/>
  <c r="L1111" i="62"/>
  <c r="K1111" i="62"/>
  <c r="J1111" i="62"/>
  <c r="H1111" i="62"/>
  <c r="P1110" i="62"/>
  <c r="O1110" i="62"/>
  <c r="N1110" i="62"/>
  <c r="M1110" i="62"/>
  <c r="L1110" i="62"/>
  <c r="K1110" i="62"/>
  <c r="J1110" i="62"/>
  <c r="H1110" i="62"/>
  <c r="P1109" i="62"/>
  <c r="O1109" i="62"/>
  <c r="N1109" i="62"/>
  <c r="M1109" i="62"/>
  <c r="L1109" i="62"/>
  <c r="K1109" i="62"/>
  <c r="J1109" i="62"/>
  <c r="H1109" i="62"/>
  <c r="P1108" i="62"/>
  <c r="O1108" i="62"/>
  <c r="N1108" i="62"/>
  <c r="M1108" i="62"/>
  <c r="L1108" i="62"/>
  <c r="K1108" i="62"/>
  <c r="J1108" i="62"/>
  <c r="H1108" i="62"/>
  <c r="P1107" i="62"/>
  <c r="O1107" i="62"/>
  <c r="N1107" i="62"/>
  <c r="M1107" i="62"/>
  <c r="L1107" i="62"/>
  <c r="K1107" i="62"/>
  <c r="J1107" i="62"/>
  <c r="H1107" i="62"/>
  <c r="P1106" i="62"/>
  <c r="O1106" i="62"/>
  <c r="N1106" i="62"/>
  <c r="M1106" i="62"/>
  <c r="L1106" i="62"/>
  <c r="K1106" i="62"/>
  <c r="J1106" i="62"/>
  <c r="H1106" i="62"/>
  <c r="P1105" i="62"/>
  <c r="O1105" i="62"/>
  <c r="N1105" i="62"/>
  <c r="M1105" i="62"/>
  <c r="L1105" i="62"/>
  <c r="K1105" i="62"/>
  <c r="J1105" i="62"/>
  <c r="H1105" i="62"/>
  <c r="P1104" i="62"/>
  <c r="O1104" i="62"/>
  <c r="N1104" i="62"/>
  <c r="M1104" i="62"/>
  <c r="L1104" i="62"/>
  <c r="K1104" i="62"/>
  <c r="J1104" i="62"/>
  <c r="H1104" i="62"/>
  <c r="P1103" i="62"/>
  <c r="O1103" i="62"/>
  <c r="N1103" i="62"/>
  <c r="M1103" i="62"/>
  <c r="L1103" i="62"/>
  <c r="K1103" i="62"/>
  <c r="J1103" i="62"/>
  <c r="H1103" i="62"/>
  <c r="P1102" i="62"/>
  <c r="O1102" i="62"/>
  <c r="N1102" i="62"/>
  <c r="M1102" i="62"/>
  <c r="L1102" i="62"/>
  <c r="K1102" i="62"/>
  <c r="J1102" i="62"/>
  <c r="H1102" i="62"/>
  <c r="P1101" i="62"/>
  <c r="O1101" i="62"/>
  <c r="N1101" i="62"/>
  <c r="M1101" i="62"/>
  <c r="L1101" i="62"/>
  <c r="K1101" i="62"/>
  <c r="J1101" i="62"/>
  <c r="H1101" i="62"/>
  <c r="P1100" i="62"/>
  <c r="O1100" i="62"/>
  <c r="N1100" i="62"/>
  <c r="M1100" i="62"/>
  <c r="L1100" i="62"/>
  <c r="K1100" i="62"/>
  <c r="J1100" i="62"/>
  <c r="H1100" i="62"/>
  <c r="P1099" i="62"/>
  <c r="O1099" i="62"/>
  <c r="N1099" i="62"/>
  <c r="M1099" i="62"/>
  <c r="L1099" i="62"/>
  <c r="K1099" i="62"/>
  <c r="J1099" i="62"/>
  <c r="H1099" i="62"/>
  <c r="P1098" i="62"/>
  <c r="O1098" i="62"/>
  <c r="N1098" i="62"/>
  <c r="M1098" i="62"/>
  <c r="L1098" i="62"/>
  <c r="K1098" i="62"/>
  <c r="J1098" i="62"/>
  <c r="H1098" i="62"/>
  <c r="P1097" i="62"/>
  <c r="O1097" i="62"/>
  <c r="N1097" i="62"/>
  <c r="M1097" i="62"/>
  <c r="L1097" i="62"/>
  <c r="K1097" i="62"/>
  <c r="J1097" i="62"/>
  <c r="H1097" i="62"/>
  <c r="P1096" i="62"/>
  <c r="O1096" i="62"/>
  <c r="N1096" i="62"/>
  <c r="M1096" i="62"/>
  <c r="L1096" i="62"/>
  <c r="K1096" i="62"/>
  <c r="J1096" i="62"/>
  <c r="H1096" i="62"/>
  <c r="P1095" i="62"/>
  <c r="O1095" i="62"/>
  <c r="N1095" i="62"/>
  <c r="M1095" i="62"/>
  <c r="L1095" i="62"/>
  <c r="K1095" i="62"/>
  <c r="J1095" i="62"/>
  <c r="H1095" i="62"/>
  <c r="P1094" i="62"/>
  <c r="O1094" i="62"/>
  <c r="N1094" i="62"/>
  <c r="M1094" i="62"/>
  <c r="L1094" i="62"/>
  <c r="K1094" i="62"/>
  <c r="J1094" i="62"/>
  <c r="H1094" i="62"/>
  <c r="P1093" i="62"/>
  <c r="O1093" i="62"/>
  <c r="N1093" i="62"/>
  <c r="M1093" i="62"/>
  <c r="L1093" i="62"/>
  <c r="K1093" i="62"/>
  <c r="J1093" i="62"/>
  <c r="H1093" i="62"/>
  <c r="P1092" i="62"/>
  <c r="O1092" i="62"/>
  <c r="N1092" i="62"/>
  <c r="M1092" i="62"/>
  <c r="L1092" i="62"/>
  <c r="K1092" i="62"/>
  <c r="J1092" i="62"/>
  <c r="H1092" i="62"/>
  <c r="P1091" i="62"/>
  <c r="O1091" i="62"/>
  <c r="N1091" i="62"/>
  <c r="M1091" i="62"/>
  <c r="L1091" i="62"/>
  <c r="K1091" i="62"/>
  <c r="J1091" i="62"/>
  <c r="H1091" i="62"/>
  <c r="P1090" i="62"/>
  <c r="O1090" i="62"/>
  <c r="N1090" i="62"/>
  <c r="M1090" i="62"/>
  <c r="L1090" i="62"/>
  <c r="K1090" i="62"/>
  <c r="J1090" i="62"/>
  <c r="H1090" i="62"/>
  <c r="P1089" i="62"/>
  <c r="O1089" i="62"/>
  <c r="N1089" i="62"/>
  <c r="M1089" i="62"/>
  <c r="L1089" i="62"/>
  <c r="K1089" i="62"/>
  <c r="J1089" i="62"/>
  <c r="H1089" i="62"/>
  <c r="P1088" i="62"/>
  <c r="O1088" i="62"/>
  <c r="N1088" i="62"/>
  <c r="M1088" i="62"/>
  <c r="L1088" i="62"/>
  <c r="K1088" i="62"/>
  <c r="J1088" i="62"/>
  <c r="H1088" i="62"/>
  <c r="P1087" i="62"/>
  <c r="O1087" i="62"/>
  <c r="N1087" i="62"/>
  <c r="M1087" i="62"/>
  <c r="L1087" i="62"/>
  <c r="K1087" i="62"/>
  <c r="J1087" i="62"/>
  <c r="H1087" i="62"/>
  <c r="P1086" i="62"/>
  <c r="O1086" i="62"/>
  <c r="N1086" i="62"/>
  <c r="M1086" i="62"/>
  <c r="L1086" i="62"/>
  <c r="K1086" i="62"/>
  <c r="J1086" i="62"/>
  <c r="H1086" i="62"/>
  <c r="P1085" i="62"/>
  <c r="O1085" i="62"/>
  <c r="N1085" i="62"/>
  <c r="M1085" i="62"/>
  <c r="L1085" i="62"/>
  <c r="K1085" i="62"/>
  <c r="J1085" i="62"/>
  <c r="H1085" i="62"/>
  <c r="P1084" i="62"/>
  <c r="O1084" i="62"/>
  <c r="N1084" i="62"/>
  <c r="M1084" i="62"/>
  <c r="L1084" i="62"/>
  <c r="K1084" i="62"/>
  <c r="J1084" i="62"/>
  <c r="H1084" i="62"/>
  <c r="P1083" i="62"/>
  <c r="O1083" i="62"/>
  <c r="N1083" i="62"/>
  <c r="M1083" i="62"/>
  <c r="L1083" i="62"/>
  <c r="K1083" i="62"/>
  <c r="J1083" i="62"/>
  <c r="H1083" i="62"/>
  <c r="P1082" i="62"/>
  <c r="O1082" i="62"/>
  <c r="N1082" i="62"/>
  <c r="M1082" i="62"/>
  <c r="L1082" i="62"/>
  <c r="K1082" i="62"/>
  <c r="J1082" i="62"/>
  <c r="H1082" i="62"/>
  <c r="P1081" i="62"/>
  <c r="O1081" i="62"/>
  <c r="N1081" i="62"/>
  <c r="M1081" i="62"/>
  <c r="L1081" i="62"/>
  <c r="K1081" i="62"/>
  <c r="J1081" i="62"/>
  <c r="H1081" i="62"/>
  <c r="P1080" i="62"/>
  <c r="O1080" i="62"/>
  <c r="N1080" i="62"/>
  <c r="M1080" i="62"/>
  <c r="L1080" i="62"/>
  <c r="K1080" i="62"/>
  <c r="J1080" i="62"/>
  <c r="H1080" i="62"/>
  <c r="P1079" i="62"/>
  <c r="O1079" i="62"/>
  <c r="N1079" i="62"/>
  <c r="M1079" i="62"/>
  <c r="L1079" i="62"/>
  <c r="K1079" i="62"/>
  <c r="J1079" i="62"/>
  <c r="H1079" i="62"/>
  <c r="P1078" i="62"/>
  <c r="O1078" i="62"/>
  <c r="N1078" i="62"/>
  <c r="M1078" i="62"/>
  <c r="L1078" i="62"/>
  <c r="K1078" i="62"/>
  <c r="J1078" i="62"/>
  <c r="H1078" i="62"/>
  <c r="P1077" i="62"/>
  <c r="O1077" i="62"/>
  <c r="N1077" i="62"/>
  <c r="M1077" i="62"/>
  <c r="L1077" i="62"/>
  <c r="K1077" i="62"/>
  <c r="J1077" i="62"/>
  <c r="H1077" i="62"/>
  <c r="P1076" i="62"/>
  <c r="O1076" i="62"/>
  <c r="N1076" i="62"/>
  <c r="M1076" i="62"/>
  <c r="L1076" i="62"/>
  <c r="K1076" i="62"/>
  <c r="J1076" i="62"/>
  <c r="H1076" i="62"/>
  <c r="P1075" i="62"/>
  <c r="O1075" i="62"/>
  <c r="N1075" i="62"/>
  <c r="M1075" i="62"/>
  <c r="L1075" i="62"/>
  <c r="K1075" i="62"/>
  <c r="J1075" i="62"/>
  <c r="H1075" i="62"/>
  <c r="P1074" i="62"/>
  <c r="O1074" i="62"/>
  <c r="N1074" i="62"/>
  <c r="M1074" i="62"/>
  <c r="L1074" i="62"/>
  <c r="K1074" i="62"/>
  <c r="J1074" i="62"/>
  <c r="H1074" i="62"/>
  <c r="P1073" i="62"/>
  <c r="O1073" i="62"/>
  <c r="N1073" i="62"/>
  <c r="M1073" i="62"/>
  <c r="L1073" i="62"/>
  <c r="K1073" i="62"/>
  <c r="J1073" i="62"/>
  <c r="H1073" i="62"/>
  <c r="P1072" i="62"/>
  <c r="O1072" i="62"/>
  <c r="N1072" i="62"/>
  <c r="M1072" i="62"/>
  <c r="L1072" i="62"/>
  <c r="K1072" i="62"/>
  <c r="J1072" i="62"/>
  <c r="H1072" i="62"/>
  <c r="P1071" i="62"/>
  <c r="O1071" i="62"/>
  <c r="N1071" i="62"/>
  <c r="M1071" i="62"/>
  <c r="L1071" i="62"/>
  <c r="K1071" i="62"/>
  <c r="J1071" i="62"/>
  <c r="H1071" i="62"/>
  <c r="P1070" i="62"/>
  <c r="O1070" i="62"/>
  <c r="N1070" i="62"/>
  <c r="M1070" i="62"/>
  <c r="L1070" i="62"/>
  <c r="K1070" i="62"/>
  <c r="J1070" i="62"/>
  <c r="H1070" i="62"/>
  <c r="P1069" i="62"/>
  <c r="O1069" i="62"/>
  <c r="N1069" i="62"/>
  <c r="M1069" i="62"/>
  <c r="L1069" i="62"/>
  <c r="K1069" i="62"/>
  <c r="J1069" i="62"/>
  <c r="H1069" i="62"/>
  <c r="P1068" i="62"/>
  <c r="O1068" i="62"/>
  <c r="N1068" i="62"/>
  <c r="M1068" i="62"/>
  <c r="L1068" i="62"/>
  <c r="K1068" i="62"/>
  <c r="J1068" i="62"/>
  <c r="H1068" i="62"/>
  <c r="P1067" i="62"/>
  <c r="O1067" i="62"/>
  <c r="N1067" i="62"/>
  <c r="M1067" i="62"/>
  <c r="L1067" i="62"/>
  <c r="K1067" i="62"/>
  <c r="J1067" i="62"/>
  <c r="H1067" i="62"/>
  <c r="P1066" i="62"/>
  <c r="O1066" i="62"/>
  <c r="N1066" i="62"/>
  <c r="M1066" i="62"/>
  <c r="L1066" i="62"/>
  <c r="K1066" i="62"/>
  <c r="J1066" i="62"/>
  <c r="H1066" i="62"/>
  <c r="P1065" i="62"/>
  <c r="O1065" i="62"/>
  <c r="N1065" i="62"/>
  <c r="M1065" i="62"/>
  <c r="L1065" i="62"/>
  <c r="K1065" i="62"/>
  <c r="J1065" i="62"/>
  <c r="H1065" i="62"/>
  <c r="P1064" i="62"/>
  <c r="O1064" i="62"/>
  <c r="N1064" i="62"/>
  <c r="M1064" i="62"/>
  <c r="L1064" i="62"/>
  <c r="K1064" i="62"/>
  <c r="J1064" i="62"/>
  <c r="H1064" i="62"/>
  <c r="P1063" i="62"/>
  <c r="O1063" i="62"/>
  <c r="N1063" i="62"/>
  <c r="M1063" i="62"/>
  <c r="L1063" i="62"/>
  <c r="K1063" i="62"/>
  <c r="J1063" i="62"/>
  <c r="H1063" i="62"/>
  <c r="P1062" i="62"/>
  <c r="O1062" i="62"/>
  <c r="N1062" i="62"/>
  <c r="M1062" i="62"/>
  <c r="L1062" i="62"/>
  <c r="K1062" i="62"/>
  <c r="J1062" i="62"/>
  <c r="H1062" i="62"/>
  <c r="P1061" i="62"/>
  <c r="O1061" i="62"/>
  <c r="N1061" i="62"/>
  <c r="M1061" i="62"/>
  <c r="L1061" i="62"/>
  <c r="K1061" i="62"/>
  <c r="J1061" i="62"/>
  <c r="H1061" i="62"/>
  <c r="P1060" i="62"/>
  <c r="O1060" i="62"/>
  <c r="N1060" i="62"/>
  <c r="M1060" i="62"/>
  <c r="L1060" i="62"/>
  <c r="K1060" i="62"/>
  <c r="J1060" i="62"/>
  <c r="H1060" i="62"/>
  <c r="P1059" i="62"/>
  <c r="O1059" i="62"/>
  <c r="N1059" i="62"/>
  <c r="M1059" i="62"/>
  <c r="L1059" i="62"/>
  <c r="K1059" i="62"/>
  <c r="J1059" i="62"/>
  <c r="H1059" i="62"/>
  <c r="P1058" i="62"/>
  <c r="O1058" i="62"/>
  <c r="N1058" i="62"/>
  <c r="M1058" i="62"/>
  <c r="L1058" i="62"/>
  <c r="K1058" i="62"/>
  <c r="J1058" i="62"/>
  <c r="H1058" i="62"/>
  <c r="P1057" i="62"/>
  <c r="O1057" i="62"/>
  <c r="N1057" i="62"/>
  <c r="M1057" i="62"/>
  <c r="L1057" i="62"/>
  <c r="K1057" i="62"/>
  <c r="J1057" i="62"/>
  <c r="H1057" i="62"/>
  <c r="P1056" i="62"/>
  <c r="O1056" i="62"/>
  <c r="N1056" i="62"/>
  <c r="M1056" i="62"/>
  <c r="L1056" i="62"/>
  <c r="K1056" i="62"/>
  <c r="J1056" i="62"/>
  <c r="H1056" i="62"/>
  <c r="P1055" i="62"/>
  <c r="O1055" i="62"/>
  <c r="N1055" i="62"/>
  <c r="M1055" i="62"/>
  <c r="L1055" i="62"/>
  <c r="K1055" i="62"/>
  <c r="J1055" i="62"/>
  <c r="H1055" i="62"/>
  <c r="P1054" i="62"/>
  <c r="O1054" i="62"/>
  <c r="N1054" i="62"/>
  <c r="M1054" i="62"/>
  <c r="L1054" i="62"/>
  <c r="K1054" i="62"/>
  <c r="J1054" i="62"/>
  <c r="H1054" i="62"/>
  <c r="P1053" i="62"/>
  <c r="O1053" i="62"/>
  <c r="N1053" i="62"/>
  <c r="M1053" i="62"/>
  <c r="L1053" i="62"/>
  <c r="K1053" i="62"/>
  <c r="J1053" i="62"/>
  <c r="H1053" i="62"/>
  <c r="P1052" i="62"/>
  <c r="O1052" i="62"/>
  <c r="N1052" i="62"/>
  <c r="M1052" i="62"/>
  <c r="L1052" i="62"/>
  <c r="K1052" i="62"/>
  <c r="J1052" i="62"/>
  <c r="H1052" i="62"/>
  <c r="P1051" i="62"/>
  <c r="O1051" i="62"/>
  <c r="N1051" i="62"/>
  <c r="M1051" i="62"/>
  <c r="L1051" i="62"/>
  <c r="K1051" i="62"/>
  <c r="J1051" i="62"/>
  <c r="H1051" i="62"/>
  <c r="P1050" i="62"/>
  <c r="O1050" i="62"/>
  <c r="N1050" i="62"/>
  <c r="M1050" i="62"/>
  <c r="L1050" i="62"/>
  <c r="K1050" i="62"/>
  <c r="J1050" i="62"/>
  <c r="H1050" i="62"/>
  <c r="P1049" i="62"/>
  <c r="O1049" i="62"/>
  <c r="N1049" i="62"/>
  <c r="M1049" i="62"/>
  <c r="L1049" i="62"/>
  <c r="K1049" i="62"/>
  <c r="J1049" i="62"/>
  <c r="H1049" i="62"/>
  <c r="P1048" i="62"/>
  <c r="O1048" i="62"/>
  <c r="N1048" i="62"/>
  <c r="M1048" i="62"/>
  <c r="L1048" i="62"/>
  <c r="K1048" i="62"/>
  <c r="J1048" i="62"/>
  <c r="H1048" i="62"/>
  <c r="P1047" i="62"/>
  <c r="O1047" i="62"/>
  <c r="N1047" i="62"/>
  <c r="M1047" i="62"/>
  <c r="L1047" i="62"/>
  <c r="K1047" i="62"/>
  <c r="J1047" i="62"/>
  <c r="H1047" i="62"/>
  <c r="P1046" i="62"/>
  <c r="O1046" i="62"/>
  <c r="N1046" i="62"/>
  <c r="M1046" i="62"/>
  <c r="L1046" i="62"/>
  <c r="K1046" i="62"/>
  <c r="J1046" i="62"/>
  <c r="H1046" i="62"/>
  <c r="P1045" i="62"/>
  <c r="O1045" i="62"/>
  <c r="N1045" i="62"/>
  <c r="M1045" i="62"/>
  <c r="L1045" i="62"/>
  <c r="K1045" i="62"/>
  <c r="J1045" i="62"/>
  <c r="H1045" i="62"/>
  <c r="P1044" i="62"/>
  <c r="O1044" i="62"/>
  <c r="N1044" i="62"/>
  <c r="M1044" i="62"/>
  <c r="L1044" i="62"/>
  <c r="K1044" i="62"/>
  <c r="J1044" i="62"/>
  <c r="H1044" i="62"/>
  <c r="P1043" i="62"/>
  <c r="O1043" i="62"/>
  <c r="N1043" i="62"/>
  <c r="M1043" i="62"/>
  <c r="L1043" i="62"/>
  <c r="K1043" i="62"/>
  <c r="J1043" i="62"/>
  <c r="H1043" i="62"/>
  <c r="P1042" i="62"/>
  <c r="O1042" i="62"/>
  <c r="N1042" i="62"/>
  <c r="M1042" i="62"/>
  <c r="L1042" i="62"/>
  <c r="K1042" i="62"/>
  <c r="J1042" i="62"/>
  <c r="H1042" i="62"/>
  <c r="P1041" i="62"/>
  <c r="O1041" i="62"/>
  <c r="N1041" i="62"/>
  <c r="M1041" i="62"/>
  <c r="L1041" i="62"/>
  <c r="K1041" i="62"/>
  <c r="J1041" i="62"/>
  <c r="H1041" i="62"/>
  <c r="P1040" i="62"/>
  <c r="O1040" i="62"/>
  <c r="N1040" i="62"/>
  <c r="M1040" i="62"/>
  <c r="L1040" i="62"/>
  <c r="K1040" i="62"/>
  <c r="J1040" i="62"/>
  <c r="H1040" i="62"/>
  <c r="P1039" i="62"/>
  <c r="O1039" i="62"/>
  <c r="N1039" i="62"/>
  <c r="M1039" i="62"/>
  <c r="L1039" i="62"/>
  <c r="K1039" i="62"/>
  <c r="J1039" i="62"/>
  <c r="H1039" i="62"/>
  <c r="P1038" i="62"/>
  <c r="O1038" i="62"/>
  <c r="N1038" i="62"/>
  <c r="M1038" i="62"/>
  <c r="L1038" i="62"/>
  <c r="K1038" i="62"/>
  <c r="J1038" i="62"/>
  <c r="H1038" i="62"/>
  <c r="P1037" i="62"/>
  <c r="O1037" i="62"/>
  <c r="N1037" i="62"/>
  <c r="M1037" i="62"/>
  <c r="L1037" i="62"/>
  <c r="K1037" i="62"/>
  <c r="J1037" i="62"/>
  <c r="H1037" i="62"/>
  <c r="P1036" i="62"/>
  <c r="O1036" i="62"/>
  <c r="N1036" i="62"/>
  <c r="M1036" i="62"/>
  <c r="L1036" i="62"/>
  <c r="K1036" i="62"/>
  <c r="J1036" i="62"/>
  <c r="H1036" i="62"/>
  <c r="P1035" i="62"/>
  <c r="O1035" i="62"/>
  <c r="N1035" i="62"/>
  <c r="M1035" i="62"/>
  <c r="L1035" i="62"/>
  <c r="K1035" i="62"/>
  <c r="J1035" i="62"/>
  <c r="H1035" i="62"/>
  <c r="P1034" i="62"/>
  <c r="O1034" i="62"/>
  <c r="N1034" i="62"/>
  <c r="M1034" i="62"/>
  <c r="L1034" i="62"/>
  <c r="K1034" i="62"/>
  <c r="J1034" i="62"/>
  <c r="H1034" i="62"/>
  <c r="P1033" i="62"/>
  <c r="O1033" i="62"/>
  <c r="N1033" i="62"/>
  <c r="M1033" i="62"/>
  <c r="L1033" i="62"/>
  <c r="K1033" i="62"/>
  <c r="J1033" i="62"/>
  <c r="H1033" i="62"/>
  <c r="P1032" i="62"/>
  <c r="O1032" i="62"/>
  <c r="N1032" i="62"/>
  <c r="M1032" i="62"/>
  <c r="L1032" i="62"/>
  <c r="K1032" i="62"/>
  <c r="J1032" i="62"/>
  <c r="H1032" i="62"/>
  <c r="P1031" i="62"/>
  <c r="O1031" i="62"/>
  <c r="N1031" i="62"/>
  <c r="M1031" i="62"/>
  <c r="L1031" i="62"/>
  <c r="K1031" i="62"/>
  <c r="J1031" i="62"/>
  <c r="H1031" i="62"/>
  <c r="P1030" i="62"/>
  <c r="O1030" i="62"/>
  <c r="N1030" i="62"/>
  <c r="M1030" i="62"/>
  <c r="L1030" i="62"/>
  <c r="K1030" i="62"/>
  <c r="J1030" i="62"/>
  <c r="H1030" i="62"/>
  <c r="P1029" i="62"/>
  <c r="O1029" i="62"/>
  <c r="N1029" i="62"/>
  <c r="M1029" i="62"/>
  <c r="L1029" i="62"/>
  <c r="K1029" i="62"/>
  <c r="J1029" i="62"/>
  <c r="H1029" i="62"/>
  <c r="P1028" i="62"/>
  <c r="O1028" i="62"/>
  <c r="N1028" i="62"/>
  <c r="M1028" i="62"/>
  <c r="L1028" i="62"/>
  <c r="K1028" i="62"/>
  <c r="J1028" i="62"/>
  <c r="H1028" i="62"/>
  <c r="P1027" i="62"/>
  <c r="O1027" i="62"/>
  <c r="N1027" i="62"/>
  <c r="M1027" i="62"/>
  <c r="L1027" i="62"/>
  <c r="K1027" i="62"/>
  <c r="J1027" i="62"/>
  <c r="H1027" i="62"/>
  <c r="P1026" i="62"/>
  <c r="O1026" i="62"/>
  <c r="N1026" i="62"/>
  <c r="M1026" i="62"/>
  <c r="L1026" i="62"/>
  <c r="K1026" i="62"/>
  <c r="J1026" i="62"/>
  <c r="H1026" i="62"/>
  <c r="P1025" i="62"/>
  <c r="O1025" i="62"/>
  <c r="N1025" i="62"/>
  <c r="M1025" i="62"/>
  <c r="L1025" i="62"/>
  <c r="K1025" i="62"/>
  <c r="J1025" i="62"/>
  <c r="H1025" i="62"/>
  <c r="P1024" i="62"/>
  <c r="O1024" i="62"/>
  <c r="N1024" i="62"/>
  <c r="M1024" i="62"/>
  <c r="L1024" i="62"/>
  <c r="K1024" i="62"/>
  <c r="J1024" i="62"/>
  <c r="H1024" i="62"/>
  <c r="P1023" i="62"/>
  <c r="O1023" i="62"/>
  <c r="N1023" i="62"/>
  <c r="M1023" i="62"/>
  <c r="L1023" i="62"/>
  <c r="K1023" i="62"/>
  <c r="J1023" i="62"/>
  <c r="H1023" i="62"/>
  <c r="P1022" i="62"/>
  <c r="O1022" i="62"/>
  <c r="N1022" i="62"/>
  <c r="M1022" i="62"/>
  <c r="L1022" i="62"/>
  <c r="K1022" i="62"/>
  <c r="J1022" i="62"/>
  <c r="H1022" i="62"/>
  <c r="P1021" i="62"/>
  <c r="O1021" i="62"/>
  <c r="N1021" i="62"/>
  <c r="M1021" i="62"/>
  <c r="L1021" i="62"/>
  <c r="K1021" i="62"/>
  <c r="J1021" i="62"/>
  <c r="H1021" i="62"/>
  <c r="P1020" i="62"/>
  <c r="O1020" i="62"/>
  <c r="N1020" i="62"/>
  <c r="M1020" i="62"/>
  <c r="L1020" i="62"/>
  <c r="K1020" i="62"/>
  <c r="J1020" i="62"/>
  <c r="H1020" i="62"/>
  <c r="P1019" i="62"/>
  <c r="O1019" i="62"/>
  <c r="N1019" i="62"/>
  <c r="M1019" i="62"/>
  <c r="L1019" i="62"/>
  <c r="K1019" i="62"/>
  <c r="J1019" i="62"/>
  <c r="H1019" i="62"/>
  <c r="P1018" i="62"/>
  <c r="O1018" i="62"/>
  <c r="N1018" i="62"/>
  <c r="M1018" i="62"/>
  <c r="L1018" i="62"/>
  <c r="K1018" i="62"/>
  <c r="J1018" i="62"/>
  <c r="H1018" i="62"/>
  <c r="P1017" i="62"/>
  <c r="O1017" i="62"/>
  <c r="N1017" i="62"/>
  <c r="M1017" i="62"/>
  <c r="L1017" i="62"/>
  <c r="K1017" i="62"/>
  <c r="J1017" i="62"/>
  <c r="H1017" i="62"/>
  <c r="P1016" i="62"/>
  <c r="O1016" i="62"/>
  <c r="N1016" i="62"/>
  <c r="M1016" i="62"/>
  <c r="L1016" i="62"/>
  <c r="K1016" i="62"/>
  <c r="J1016" i="62"/>
  <c r="H1016" i="62"/>
  <c r="P1015" i="62"/>
  <c r="O1015" i="62"/>
  <c r="N1015" i="62"/>
  <c r="M1015" i="62"/>
  <c r="L1015" i="62"/>
  <c r="K1015" i="62"/>
  <c r="J1015" i="62"/>
  <c r="H1015" i="62"/>
  <c r="P1014" i="62"/>
  <c r="O1014" i="62"/>
  <c r="N1014" i="62"/>
  <c r="M1014" i="62"/>
  <c r="L1014" i="62"/>
  <c r="K1014" i="62"/>
  <c r="J1014" i="62"/>
  <c r="H1014" i="62"/>
  <c r="P1013" i="62"/>
  <c r="O1013" i="62"/>
  <c r="N1013" i="62"/>
  <c r="M1013" i="62"/>
  <c r="L1013" i="62"/>
  <c r="K1013" i="62"/>
  <c r="J1013" i="62"/>
  <c r="H1013" i="62"/>
  <c r="P1012" i="62"/>
  <c r="O1012" i="62"/>
  <c r="N1012" i="62"/>
  <c r="M1012" i="62"/>
  <c r="L1012" i="62"/>
  <c r="K1012" i="62"/>
  <c r="J1012" i="62"/>
  <c r="H1012" i="62"/>
  <c r="P1011" i="62"/>
  <c r="O1011" i="62"/>
  <c r="N1011" i="62"/>
  <c r="M1011" i="62"/>
  <c r="L1011" i="62"/>
  <c r="K1011" i="62"/>
  <c r="J1011" i="62"/>
  <c r="H1011" i="62"/>
  <c r="P1010" i="62"/>
  <c r="O1010" i="62"/>
  <c r="N1010" i="62"/>
  <c r="M1010" i="62"/>
  <c r="L1010" i="62"/>
  <c r="K1010" i="62"/>
  <c r="J1010" i="62"/>
  <c r="H1010" i="62"/>
  <c r="P1009" i="62"/>
  <c r="O1009" i="62"/>
  <c r="N1009" i="62"/>
  <c r="M1009" i="62"/>
  <c r="L1009" i="62"/>
  <c r="K1009" i="62"/>
  <c r="J1009" i="62"/>
  <c r="H1009" i="62"/>
  <c r="P1008" i="62"/>
  <c r="O1008" i="62"/>
  <c r="N1008" i="62"/>
  <c r="M1008" i="62"/>
  <c r="L1008" i="62"/>
  <c r="K1008" i="62"/>
  <c r="J1008" i="62"/>
  <c r="H1008" i="62"/>
  <c r="P1007" i="62"/>
  <c r="O1007" i="62"/>
  <c r="N1007" i="62"/>
  <c r="M1007" i="62"/>
  <c r="L1007" i="62"/>
  <c r="K1007" i="62"/>
  <c r="J1007" i="62"/>
  <c r="H1007" i="62"/>
  <c r="P1006" i="62"/>
  <c r="O1006" i="62"/>
  <c r="N1006" i="62"/>
  <c r="M1006" i="62"/>
  <c r="L1006" i="62"/>
  <c r="K1006" i="62"/>
  <c r="J1006" i="62"/>
  <c r="H1006" i="62"/>
  <c r="P1005" i="62"/>
  <c r="O1005" i="62"/>
  <c r="N1005" i="62"/>
  <c r="M1005" i="62"/>
  <c r="L1005" i="62"/>
  <c r="K1005" i="62"/>
  <c r="J1005" i="62"/>
  <c r="H1005" i="62"/>
  <c r="P1004" i="62"/>
  <c r="O1004" i="62"/>
  <c r="N1004" i="62"/>
  <c r="M1004" i="62"/>
  <c r="L1004" i="62"/>
  <c r="K1004" i="62"/>
  <c r="J1004" i="62"/>
  <c r="H1004" i="62"/>
  <c r="P1003" i="62"/>
  <c r="O1003" i="62"/>
  <c r="N1003" i="62"/>
  <c r="M1003" i="62"/>
  <c r="L1003" i="62"/>
  <c r="K1003" i="62"/>
  <c r="J1003" i="62"/>
  <c r="H1003" i="62"/>
  <c r="P1002" i="62"/>
  <c r="O1002" i="62"/>
  <c r="N1002" i="62"/>
  <c r="M1002" i="62"/>
  <c r="L1002" i="62"/>
  <c r="K1002" i="62"/>
  <c r="J1002" i="62"/>
  <c r="H1002" i="62"/>
  <c r="P1001" i="62"/>
  <c r="O1001" i="62"/>
  <c r="N1001" i="62"/>
  <c r="M1001" i="62"/>
  <c r="L1001" i="62"/>
  <c r="K1001" i="62"/>
  <c r="J1001" i="62"/>
  <c r="H1001" i="62"/>
  <c r="P1000" i="62"/>
  <c r="O1000" i="62"/>
  <c r="N1000" i="62"/>
  <c r="M1000" i="62"/>
  <c r="L1000" i="62"/>
  <c r="K1000" i="62"/>
  <c r="J1000" i="62"/>
  <c r="H1000" i="62"/>
  <c r="P999" i="62"/>
  <c r="O999" i="62"/>
  <c r="N999" i="62"/>
  <c r="M999" i="62"/>
  <c r="L999" i="62"/>
  <c r="K999" i="62"/>
  <c r="J999" i="62"/>
  <c r="H999" i="62"/>
  <c r="P998" i="62"/>
  <c r="O998" i="62"/>
  <c r="N998" i="62"/>
  <c r="M998" i="62"/>
  <c r="L998" i="62"/>
  <c r="K998" i="62"/>
  <c r="J998" i="62"/>
  <c r="H998" i="62"/>
  <c r="P997" i="62"/>
  <c r="O997" i="62"/>
  <c r="N997" i="62"/>
  <c r="M997" i="62"/>
  <c r="L997" i="62"/>
  <c r="K997" i="62"/>
  <c r="J997" i="62"/>
  <c r="H997" i="62"/>
  <c r="P996" i="62"/>
  <c r="O996" i="62"/>
  <c r="N996" i="62"/>
  <c r="M996" i="62"/>
  <c r="L996" i="62"/>
  <c r="K996" i="62"/>
  <c r="J996" i="62"/>
  <c r="H996" i="62"/>
  <c r="P995" i="62"/>
  <c r="O995" i="62"/>
  <c r="N995" i="62"/>
  <c r="M995" i="62"/>
  <c r="L995" i="62"/>
  <c r="K995" i="62"/>
  <c r="J995" i="62"/>
  <c r="H995" i="62"/>
  <c r="P994" i="62"/>
  <c r="O994" i="62"/>
  <c r="N994" i="62"/>
  <c r="M994" i="62"/>
  <c r="L994" i="62"/>
  <c r="K994" i="62"/>
  <c r="J994" i="62"/>
  <c r="H994" i="62"/>
  <c r="P993" i="62"/>
  <c r="O993" i="62"/>
  <c r="N993" i="62"/>
  <c r="M993" i="62"/>
  <c r="L993" i="62"/>
  <c r="K993" i="62"/>
  <c r="J993" i="62"/>
  <c r="H993" i="62"/>
  <c r="P992" i="62"/>
  <c r="O992" i="62"/>
  <c r="N992" i="62"/>
  <c r="M992" i="62"/>
  <c r="L992" i="62"/>
  <c r="K992" i="62"/>
  <c r="J992" i="62"/>
  <c r="H992" i="62"/>
  <c r="P991" i="62"/>
  <c r="O991" i="62"/>
  <c r="N991" i="62"/>
  <c r="M991" i="62"/>
  <c r="L991" i="62"/>
  <c r="K991" i="62"/>
  <c r="J991" i="62"/>
  <c r="H991" i="62"/>
  <c r="P990" i="62"/>
  <c r="O990" i="62"/>
  <c r="N990" i="62"/>
  <c r="M990" i="62"/>
  <c r="L990" i="62"/>
  <c r="K990" i="62"/>
  <c r="J990" i="62"/>
  <c r="H990" i="62"/>
  <c r="P989" i="62"/>
  <c r="O989" i="62"/>
  <c r="N989" i="62"/>
  <c r="M989" i="62"/>
  <c r="L989" i="62"/>
  <c r="K989" i="62"/>
  <c r="J989" i="62"/>
  <c r="H989" i="62"/>
  <c r="P988" i="62"/>
  <c r="O988" i="62"/>
  <c r="N988" i="62"/>
  <c r="M988" i="62"/>
  <c r="L988" i="62"/>
  <c r="K988" i="62"/>
  <c r="J988" i="62"/>
  <c r="H988" i="62"/>
  <c r="P987" i="62"/>
  <c r="O987" i="62"/>
  <c r="N987" i="62"/>
  <c r="M987" i="62"/>
  <c r="L987" i="62"/>
  <c r="K987" i="62"/>
  <c r="J987" i="62"/>
  <c r="H987" i="62"/>
  <c r="P986" i="62"/>
  <c r="O986" i="62"/>
  <c r="N986" i="62"/>
  <c r="M986" i="62"/>
  <c r="L986" i="62"/>
  <c r="K986" i="62"/>
  <c r="J986" i="62"/>
  <c r="H986" i="62"/>
  <c r="P985" i="62"/>
  <c r="O985" i="62"/>
  <c r="N985" i="62"/>
  <c r="M985" i="62"/>
  <c r="L985" i="62"/>
  <c r="K985" i="62"/>
  <c r="J985" i="62"/>
  <c r="H985" i="62"/>
  <c r="P984" i="62"/>
  <c r="O984" i="62"/>
  <c r="N984" i="62"/>
  <c r="M984" i="62"/>
  <c r="L984" i="62"/>
  <c r="K984" i="62"/>
  <c r="J984" i="62"/>
  <c r="H984" i="62"/>
  <c r="P983" i="62"/>
  <c r="O983" i="62"/>
  <c r="N983" i="62"/>
  <c r="M983" i="62"/>
  <c r="L983" i="62"/>
  <c r="K983" i="62"/>
  <c r="J983" i="62"/>
  <c r="H983" i="62"/>
  <c r="P982" i="62"/>
  <c r="O982" i="62"/>
  <c r="N982" i="62"/>
  <c r="M982" i="62"/>
  <c r="L982" i="62"/>
  <c r="K982" i="62"/>
  <c r="J982" i="62"/>
  <c r="H982" i="62"/>
  <c r="P981" i="62"/>
  <c r="O981" i="62"/>
  <c r="N981" i="62"/>
  <c r="M981" i="62"/>
  <c r="L981" i="62"/>
  <c r="K981" i="62"/>
  <c r="J981" i="62"/>
  <c r="H981" i="62"/>
  <c r="P980" i="62"/>
  <c r="O980" i="62"/>
  <c r="N980" i="62"/>
  <c r="M980" i="62"/>
  <c r="L980" i="62"/>
  <c r="K980" i="62"/>
  <c r="J980" i="62"/>
  <c r="H980" i="62"/>
  <c r="P979" i="62"/>
  <c r="O979" i="62"/>
  <c r="N979" i="62"/>
  <c r="M979" i="62"/>
  <c r="L979" i="62"/>
  <c r="K979" i="62"/>
  <c r="J979" i="62"/>
  <c r="H979" i="62"/>
  <c r="P978" i="62"/>
  <c r="O978" i="62"/>
  <c r="N978" i="62"/>
  <c r="M978" i="62"/>
  <c r="L978" i="62"/>
  <c r="K978" i="62"/>
  <c r="J978" i="62"/>
  <c r="H978" i="62"/>
  <c r="P977" i="62"/>
  <c r="O977" i="62"/>
  <c r="N977" i="62"/>
  <c r="M977" i="62"/>
  <c r="L977" i="62"/>
  <c r="K977" i="62"/>
  <c r="J977" i="62"/>
  <c r="H977" i="62"/>
  <c r="P976" i="62"/>
  <c r="O976" i="62"/>
  <c r="N976" i="62"/>
  <c r="M976" i="62"/>
  <c r="L976" i="62"/>
  <c r="K976" i="62"/>
  <c r="J976" i="62"/>
  <c r="H976" i="62"/>
  <c r="P975" i="62"/>
  <c r="O975" i="62"/>
  <c r="N975" i="62"/>
  <c r="M975" i="62"/>
  <c r="L975" i="62"/>
  <c r="K975" i="62"/>
  <c r="J975" i="62"/>
  <c r="H975" i="62"/>
  <c r="P974" i="62"/>
  <c r="O974" i="62"/>
  <c r="N974" i="62"/>
  <c r="M974" i="62"/>
  <c r="L974" i="62"/>
  <c r="K974" i="62"/>
  <c r="J974" i="62"/>
  <c r="H974" i="62"/>
  <c r="P973" i="62"/>
  <c r="O973" i="62"/>
  <c r="N973" i="62"/>
  <c r="M973" i="62"/>
  <c r="L973" i="62"/>
  <c r="K973" i="62"/>
  <c r="J973" i="62"/>
  <c r="H973" i="62"/>
  <c r="P972" i="62"/>
  <c r="O972" i="62"/>
  <c r="N972" i="62"/>
  <c r="M972" i="62"/>
  <c r="L972" i="62"/>
  <c r="K972" i="62"/>
  <c r="J972" i="62"/>
  <c r="H972" i="62"/>
  <c r="P971" i="62"/>
  <c r="O971" i="62"/>
  <c r="N971" i="62"/>
  <c r="M971" i="62"/>
  <c r="L971" i="62"/>
  <c r="K971" i="62"/>
  <c r="J971" i="62"/>
  <c r="H971" i="62"/>
  <c r="P970" i="62"/>
  <c r="O970" i="62"/>
  <c r="N970" i="62"/>
  <c r="M970" i="62"/>
  <c r="L970" i="62"/>
  <c r="K970" i="62"/>
  <c r="J970" i="62"/>
  <c r="H970" i="62"/>
  <c r="P969" i="62"/>
  <c r="O969" i="62"/>
  <c r="N969" i="62"/>
  <c r="M969" i="62"/>
  <c r="L969" i="62"/>
  <c r="K969" i="62"/>
  <c r="J969" i="62"/>
  <c r="H969" i="62"/>
  <c r="P968" i="62"/>
  <c r="O968" i="62"/>
  <c r="N968" i="62"/>
  <c r="M968" i="62"/>
  <c r="L968" i="62"/>
  <c r="K968" i="62"/>
  <c r="J968" i="62"/>
  <c r="H968" i="62"/>
  <c r="P967" i="62"/>
  <c r="O967" i="62"/>
  <c r="N967" i="62"/>
  <c r="M967" i="62"/>
  <c r="L967" i="62"/>
  <c r="K967" i="62"/>
  <c r="J967" i="62"/>
  <c r="H967" i="62"/>
  <c r="P966" i="62"/>
  <c r="O966" i="62"/>
  <c r="N966" i="62"/>
  <c r="M966" i="62"/>
  <c r="L966" i="62"/>
  <c r="K966" i="62"/>
  <c r="J966" i="62"/>
  <c r="H966" i="62"/>
  <c r="P965" i="62"/>
  <c r="O965" i="62"/>
  <c r="N965" i="62"/>
  <c r="M965" i="62"/>
  <c r="L965" i="62"/>
  <c r="K965" i="62"/>
  <c r="J965" i="62"/>
  <c r="H965" i="62"/>
  <c r="P964" i="62"/>
  <c r="O964" i="62"/>
  <c r="N964" i="62"/>
  <c r="M964" i="62"/>
  <c r="L964" i="62"/>
  <c r="K964" i="62"/>
  <c r="J964" i="62"/>
  <c r="H964" i="62"/>
  <c r="P963" i="62"/>
  <c r="O963" i="62"/>
  <c r="N963" i="62"/>
  <c r="M963" i="62"/>
  <c r="L963" i="62"/>
  <c r="K963" i="62"/>
  <c r="J963" i="62"/>
  <c r="H963" i="62"/>
  <c r="P962" i="62"/>
  <c r="O962" i="62"/>
  <c r="N962" i="62"/>
  <c r="M962" i="62"/>
  <c r="L962" i="62"/>
  <c r="K962" i="62"/>
  <c r="J962" i="62"/>
  <c r="H962" i="62"/>
  <c r="P961" i="62"/>
  <c r="O961" i="62"/>
  <c r="N961" i="62"/>
  <c r="M961" i="62"/>
  <c r="L961" i="62"/>
  <c r="K961" i="62"/>
  <c r="J961" i="62"/>
  <c r="H961" i="62"/>
  <c r="P960" i="62"/>
  <c r="O960" i="62"/>
  <c r="N960" i="62"/>
  <c r="M960" i="62"/>
  <c r="L960" i="62"/>
  <c r="K960" i="62"/>
  <c r="J960" i="62"/>
  <c r="H960" i="62"/>
  <c r="P959" i="62"/>
  <c r="O959" i="62"/>
  <c r="N959" i="62"/>
  <c r="M959" i="62"/>
  <c r="L959" i="62"/>
  <c r="K959" i="62"/>
  <c r="J959" i="62"/>
  <c r="H959" i="62"/>
  <c r="P958" i="62"/>
  <c r="O958" i="62"/>
  <c r="N958" i="62"/>
  <c r="M958" i="62"/>
  <c r="L958" i="62"/>
  <c r="K958" i="62"/>
  <c r="J958" i="62"/>
  <c r="H958" i="62"/>
  <c r="P957" i="62"/>
  <c r="O957" i="62"/>
  <c r="N957" i="62"/>
  <c r="M957" i="62"/>
  <c r="L957" i="62"/>
  <c r="K957" i="62"/>
  <c r="J957" i="62"/>
  <c r="H957" i="62"/>
  <c r="P956" i="62"/>
  <c r="O956" i="62"/>
  <c r="N956" i="62"/>
  <c r="M956" i="62"/>
  <c r="L956" i="62"/>
  <c r="K956" i="62"/>
  <c r="J956" i="62"/>
  <c r="H956" i="62"/>
  <c r="P955" i="62"/>
  <c r="O955" i="62"/>
  <c r="N955" i="62"/>
  <c r="M955" i="62"/>
  <c r="L955" i="62"/>
  <c r="K955" i="62"/>
  <c r="J955" i="62"/>
  <c r="H955" i="62"/>
  <c r="P954" i="62"/>
  <c r="O954" i="62"/>
  <c r="N954" i="62"/>
  <c r="M954" i="62"/>
  <c r="L954" i="62"/>
  <c r="K954" i="62"/>
  <c r="J954" i="62"/>
  <c r="H954" i="62"/>
  <c r="P953" i="62"/>
  <c r="O953" i="62"/>
  <c r="N953" i="62"/>
  <c r="M953" i="62"/>
  <c r="L953" i="62"/>
  <c r="K953" i="62"/>
  <c r="J953" i="62"/>
  <c r="H953" i="62"/>
  <c r="P952" i="62"/>
  <c r="O952" i="62"/>
  <c r="N952" i="62"/>
  <c r="M952" i="62"/>
  <c r="L952" i="62"/>
  <c r="K952" i="62"/>
  <c r="J952" i="62"/>
  <c r="H952" i="62"/>
  <c r="P951" i="62"/>
  <c r="O951" i="62"/>
  <c r="N951" i="62"/>
  <c r="M951" i="62"/>
  <c r="L951" i="62"/>
  <c r="K951" i="62"/>
  <c r="J951" i="62"/>
  <c r="H951" i="62"/>
  <c r="P950" i="62"/>
  <c r="O950" i="62"/>
  <c r="N950" i="62"/>
  <c r="M950" i="62"/>
  <c r="L950" i="62"/>
  <c r="K950" i="62"/>
  <c r="J950" i="62"/>
  <c r="H950" i="62"/>
  <c r="P949" i="62"/>
  <c r="O949" i="62"/>
  <c r="N949" i="62"/>
  <c r="M949" i="62"/>
  <c r="L949" i="62"/>
  <c r="K949" i="62"/>
  <c r="J949" i="62"/>
  <c r="H949" i="62"/>
  <c r="P948" i="62"/>
  <c r="O948" i="62"/>
  <c r="N948" i="62"/>
  <c r="M948" i="62"/>
  <c r="L948" i="62"/>
  <c r="K948" i="62"/>
  <c r="J948" i="62"/>
  <c r="H948" i="62"/>
  <c r="P947" i="62"/>
  <c r="O947" i="62"/>
  <c r="N947" i="62"/>
  <c r="M947" i="62"/>
  <c r="L947" i="62"/>
  <c r="K947" i="62"/>
  <c r="J947" i="62"/>
  <c r="H947" i="62"/>
  <c r="P946" i="62"/>
  <c r="O946" i="62"/>
  <c r="N946" i="62"/>
  <c r="M946" i="62"/>
  <c r="L946" i="62"/>
  <c r="K946" i="62"/>
  <c r="J946" i="62"/>
  <c r="H946" i="62"/>
  <c r="P945" i="62"/>
  <c r="O945" i="62"/>
  <c r="N945" i="62"/>
  <c r="M945" i="62"/>
  <c r="L945" i="62"/>
  <c r="K945" i="62"/>
  <c r="J945" i="62"/>
  <c r="H945" i="62"/>
  <c r="P944" i="62"/>
  <c r="O944" i="62"/>
  <c r="N944" i="62"/>
  <c r="M944" i="62"/>
  <c r="L944" i="62"/>
  <c r="K944" i="62"/>
  <c r="J944" i="62"/>
  <c r="H944" i="62"/>
  <c r="P943" i="62"/>
  <c r="O943" i="62"/>
  <c r="N943" i="62"/>
  <c r="M943" i="62"/>
  <c r="L943" i="62"/>
  <c r="K943" i="62"/>
  <c r="J943" i="62"/>
  <c r="H943" i="62"/>
  <c r="P942" i="62"/>
  <c r="O942" i="62"/>
  <c r="N942" i="62"/>
  <c r="M942" i="62"/>
  <c r="L942" i="62"/>
  <c r="K942" i="62"/>
  <c r="J942" i="62"/>
  <c r="H942" i="62"/>
  <c r="P941" i="62"/>
  <c r="O941" i="62"/>
  <c r="N941" i="62"/>
  <c r="M941" i="62"/>
  <c r="L941" i="62"/>
  <c r="K941" i="62"/>
  <c r="J941" i="62"/>
  <c r="H941" i="62"/>
  <c r="P940" i="62"/>
  <c r="O940" i="62"/>
  <c r="N940" i="62"/>
  <c r="M940" i="62"/>
  <c r="L940" i="62"/>
  <c r="K940" i="62"/>
  <c r="J940" i="62"/>
  <c r="H940" i="62"/>
  <c r="P939" i="62"/>
  <c r="O939" i="62"/>
  <c r="N939" i="62"/>
  <c r="M939" i="62"/>
  <c r="L939" i="62"/>
  <c r="K939" i="62"/>
  <c r="J939" i="62"/>
  <c r="H939" i="62"/>
  <c r="P938" i="62"/>
  <c r="O938" i="62"/>
  <c r="N938" i="62"/>
  <c r="M938" i="62"/>
  <c r="L938" i="62"/>
  <c r="K938" i="62"/>
  <c r="J938" i="62"/>
  <c r="H938" i="62"/>
  <c r="P937" i="62"/>
  <c r="O937" i="62"/>
  <c r="N937" i="62"/>
  <c r="M937" i="62"/>
  <c r="L937" i="62"/>
  <c r="K937" i="62"/>
  <c r="J937" i="62"/>
  <c r="H937" i="62"/>
  <c r="P936" i="62"/>
  <c r="O936" i="62"/>
  <c r="N936" i="62"/>
  <c r="M936" i="62"/>
  <c r="L936" i="62"/>
  <c r="K936" i="62"/>
  <c r="J936" i="62"/>
  <c r="H936" i="62"/>
  <c r="P935" i="62"/>
  <c r="O935" i="62"/>
  <c r="N935" i="62"/>
  <c r="M935" i="62"/>
  <c r="L935" i="62"/>
  <c r="K935" i="62"/>
  <c r="J935" i="62"/>
  <c r="H935" i="62"/>
  <c r="P934" i="62"/>
  <c r="O934" i="62"/>
  <c r="N934" i="62"/>
  <c r="M934" i="62"/>
  <c r="L934" i="62"/>
  <c r="K934" i="62"/>
  <c r="J934" i="62"/>
  <c r="H934" i="62"/>
  <c r="P933" i="62"/>
  <c r="O933" i="62"/>
  <c r="N933" i="62"/>
  <c r="M933" i="62"/>
  <c r="L933" i="62"/>
  <c r="K933" i="62"/>
  <c r="J933" i="62"/>
  <c r="H933" i="62"/>
  <c r="P932" i="62"/>
  <c r="O932" i="62"/>
  <c r="N932" i="62"/>
  <c r="M932" i="62"/>
  <c r="L932" i="62"/>
  <c r="K932" i="62"/>
  <c r="J932" i="62"/>
  <c r="H932" i="62"/>
  <c r="P931" i="62"/>
  <c r="O931" i="62"/>
  <c r="N931" i="62"/>
  <c r="M931" i="62"/>
  <c r="L931" i="62"/>
  <c r="K931" i="62"/>
  <c r="J931" i="62"/>
  <c r="H931" i="62"/>
  <c r="P930" i="62"/>
  <c r="O930" i="62"/>
  <c r="N930" i="62"/>
  <c r="M930" i="62"/>
  <c r="L930" i="62"/>
  <c r="K930" i="62"/>
  <c r="J930" i="62"/>
  <c r="H930" i="62"/>
  <c r="P929" i="62"/>
  <c r="O929" i="62"/>
  <c r="N929" i="62"/>
  <c r="M929" i="62"/>
  <c r="L929" i="62"/>
  <c r="K929" i="62"/>
  <c r="J929" i="62"/>
  <c r="H929" i="62"/>
  <c r="P928" i="62"/>
  <c r="O928" i="62"/>
  <c r="N928" i="62"/>
  <c r="M928" i="62"/>
  <c r="L928" i="62"/>
  <c r="K928" i="62"/>
  <c r="J928" i="62"/>
  <c r="H928" i="62"/>
  <c r="P927" i="62"/>
  <c r="O927" i="62"/>
  <c r="N927" i="62"/>
  <c r="M927" i="62"/>
  <c r="L927" i="62"/>
  <c r="K927" i="62"/>
  <c r="J927" i="62"/>
  <c r="H927" i="62"/>
  <c r="P926" i="62"/>
  <c r="O926" i="62"/>
  <c r="N926" i="62"/>
  <c r="M926" i="62"/>
  <c r="L926" i="62"/>
  <c r="K926" i="62"/>
  <c r="J926" i="62"/>
  <c r="H926" i="62"/>
  <c r="P925" i="62"/>
  <c r="O925" i="62"/>
  <c r="N925" i="62"/>
  <c r="M925" i="62"/>
  <c r="L925" i="62"/>
  <c r="K925" i="62"/>
  <c r="J925" i="62"/>
  <c r="H925" i="62"/>
  <c r="P924" i="62"/>
  <c r="O924" i="62"/>
  <c r="N924" i="62"/>
  <c r="M924" i="62"/>
  <c r="L924" i="62"/>
  <c r="K924" i="62"/>
  <c r="J924" i="62"/>
  <c r="H924" i="62"/>
  <c r="P923" i="62"/>
  <c r="O923" i="62"/>
  <c r="N923" i="62"/>
  <c r="M923" i="62"/>
  <c r="L923" i="62"/>
  <c r="K923" i="62"/>
  <c r="J923" i="62"/>
  <c r="H923" i="62"/>
  <c r="P922" i="62"/>
  <c r="O922" i="62"/>
  <c r="N922" i="62"/>
  <c r="M922" i="62"/>
  <c r="L922" i="62"/>
  <c r="K922" i="62"/>
  <c r="J922" i="62"/>
  <c r="H922" i="62"/>
  <c r="P921" i="62"/>
  <c r="O921" i="62"/>
  <c r="N921" i="62"/>
  <c r="M921" i="62"/>
  <c r="L921" i="62"/>
  <c r="K921" i="62"/>
  <c r="J921" i="62"/>
  <c r="H921" i="62"/>
  <c r="P920" i="62"/>
  <c r="O920" i="62"/>
  <c r="N920" i="62"/>
  <c r="M920" i="62"/>
  <c r="L920" i="62"/>
  <c r="K920" i="62"/>
  <c r="J920" i="62"/>
  <c r="H920" i="62"/>
  <c r="P919" i="62"/>
  <c r="O919" i="62"/>
  <c r="N919" i="62"/>
  <c r="M919" i="62"/>
  <c r="L919" i="62"/>
  <c r="K919" i="62"/>
  <c r="J919" i="62"/>
  <c r="H919" i="62"/>
  <c r="P918" i="62"/>
  <c r="O918" i="62"/>
  <c r="N918" i="62"/>
  <c r="M918" i="62"/>
  <c r="L918" i="62"/>
  <c r="K918" i="62"/>
  <c r="J918" i="62"/>
  <c r="H918" i="62"/>
  <c r="P917" i="62"/>
  <c r="O917" i="62"/>
  <c r="N917" i="62"/>
  <c r="M917" i="62"/>
  <c r="L917" i="62"/>
  <c r="K917" i="62"/>
  <c r="J917" i="62"/>
  <c r="H917" i="62"/>
  <c r="P916" i="62"/>
  <c r="O916" i="62"/>
  <c r="N916" i="62"/>
  <c r="M916" i="62"/>
  <c r="L916" i="62"/>
  <c r="K916" i="62"/>
  <c r="J916" i="62"/>
  <c r="H916" i="62"/>
  <c r="P915" i="62"/>
  <c r="O915" i="62"/>
  <c r="N915" i="62"/>
  <c r="M915" i="62"/>
  <c r="L915" i="62"/>
  <c r="K915" i="62"/>
  <c r="J915" i="62"/>
  <c r="H915" i="62"/>
  <c r="P914" i="62"/>
  <c r="O914" i="62"/>
  <c r="N914" i="62"/>
  <c r="M914" i="62"/>
  <c r="L914" i="62"/>
  <c r="K914" i="62"/>
  <c r="J914" i="62"/>
  <c r="H914" i="62"/>
  <c r="P913" i="62"/>
  <c r="O913" i="62"/>
  <c r="N913" i="62"/>
  <c r="M913" i="62"/>
  <c r="L913" i="62"/>
  <c r="K913" i="62"/>
  <c r="J913" i="62"/>
  <c r="H913" i="62"/>
  <c r="P912" i="62"/>
  <c r="O912" i="62"/>
  <c r="N912" i="62"/>
  <c r="M912" i="62"/>
  <c r="L912" i="62"/>
  <c r="K912" i="62"/>
  <c r="J912" i="62"/>
  <c r="H912" i="62"/>
  <c r="P911" i="62"/>
  <c r="O911" i="62"/>
  <c r="N911" i="62"/>
  <c r="M911" i="62"/>
  <c r="L911" i="62"/>
  <c r="K911" i="62"/>
  <c r="J911" i="62"/>
  <c r="H911" i="62"/>
  <c r="P910" i="62"/>
  <c r="O910" i="62"/>
  <c r="N910" i="62"/>
  <c r="M910" i="62"/>
  <c r="L910" i="62"/>
  <c r="K910" i="62"/>
  <c r="J910" i="62"/>
  <c r="H910" i="62"/>
  <c r="P909" i="62"/>
  <c r="O909" i="62"/>
  <c r="N909" i="62"/>
  <c r="M909" i="62"/>
  <c r="L909" i="62"/>
  <c r="K909" i="62"/>
  <c r="J909" i="62"/>
  <c r="H909" i="62"/>
  <c r="P908" i="62"/>
  <c r="O908" i="62"/>
  <c r="N908" i="62"/>
  <c r="M908" i="62"/>
  <c r="L908" i="62"/>
  <c r="K908" i="62"/>
  <c r="J908" i="62"/>
  <c r="H908" i="62"/>
  <c r="P907" i="62"/>
  <c r="O907" i="62"/>
  <c r="N907" i="62"/>
  <c r="M907" i="62"/>
  <c r="L907" i="62"/>
  <c r="K907" i="62"/>
  <c r="J907" i="62"/>
  <c r="H907" i="62"/>
  <c r="P906" i="62"/>
  <c r="O906" i="62"/>
  <c r="N906" i="62"/>
  <c r="M906" i="62"/>
  <c r="L906" i="62"/>
  <c r="K906" i="62"/>
  <c r="J906" i="62"/>
  <c r="H906" i="62"/>
  <c r="P905" i="62"/>
  <c r="O905" i="62"/>
  <c r="N905" i="62"/>
  <c r="M905" i="62"/>
  <c r="L905" i="62"/>
  <c r="K905" i="62"/>
  <c r="J905" i="62"/>
  <c r="H905" i="62"/>
  <c r="P904" i="62"/>
  <c r="O904" i="62"/>
  <c r="N904" i="62"/>
  <c r="M904" i="62"/>
  <c r="L904" i="62"/>
  <c r="K904" i="62"/>
  <c r="J904" i="62"/>
  <c r="H904" i="62"/>
  <c r="P903" i="62"/>
  <c r="O903" i="62"/>
  <c r="N903" i="62"/>
  <c r="M903" i="62"/>
  <c r="L903" i="62"/>
  <c r="K903" i="62"/>
  <c r="J903" i="62"/>
  <c r="H903" i="62"/>
  <c r="P902" i="62"/>
  <c r="O902" i="62"/>
  <c r="N902" i="62"/>
  <c r="M902" i="62"/>
  <c r="L902" i="62"/>
  <c r="K902" i="62"/>
  <c r="J902" i="62"/>
  <c r="H902" i="62"/>
  <c r="P901" i="62"/>
  <c r="O901" i="62"/>
  <c r="N901" i="62"/>
  <c r="M901" i="62"/>
  <c r="L901" i="62"/>
  <c r="K901" i="62"/>
  <c r="J901" i="62"/>
  <c r="H901" i="62"/>
  <c r="P900" i="62"/>
  <c r="O900" i="62"/>
  <c r="N900" i="62"/>
  <c r="M900" i="62"/>
  <c r="L900" i="62"/>
  <c r="K900" i="62"/>
  <c r="J900" i="62"/>
  <c r="H900" i="62"/>
  <c r="P899" i="62"/>
  <c r="O899" i="62"/>
  <c r="N899" i="62"/>
  <c r="M899" i="62"/>
  <c r="L899" i="62"/>
  <c r="K899" i="62"/>
  <c r="J899" i="62"/>
  <c r="H899" i="62"/>
  <c r="P898" i="62"/>
  <c r="O898" i="62"/>
  <c r="N898" i="62"/>
  <c r="M898" i="62"/>
  <c r="L898" i="62"/>
  <c r="K898" i="62"/>
  <c r="J898" i="62"/>
  <c r="H898" i="62"/>
  <c r="P897" i="62"/>
  <c r="O897" i="62"/>
  <c r="N897" i="62"/>
  <c r="M897" i="62"/>
  <c r="L897" i="62"/>
  <c r="K897" i="62"/>
  <c r="J897" i="62"/>
  <c r="H897" i="62"/>
  <c r="P896" i="62"/>
  <c r="O896" i="62"/>
  <c r="N896" i="62"/>
  <c r="M896" i="62"/>
  <c r="L896" i="62"/>
  <c r="K896" i="62"/>
  <c r="J896" i="62"/>
  <c r="H896" i="62"/>
  <c r="P895" i="62"/>
  <c r="O895" i="62"/>
  <c r="N895" i="62"/>
  <c r="M895" i="62"/>
  <c r="L895" i="62"/>
  <c r="K895" i="62"/>
  <c r="J895" i="62"/>
  <c r="H895" i="62"/>
  <c r="P894" i="62"/>
  <c r="O894" i="62"/>
  <c r="N894" i="62"/>
  <c r="M894" i="62"/>
  <c r="L894" i="62"/>
  <c r="K894" i="62"/>
  <c r="J894" i="62"/>
  <c r="H894" i="62"/>
  <c r="P893" i="62"/>
  <c r="O893" i="62"/>
  <c r="N893" i="62"/>
  <c r="M893" i="62"/>
  <c r="L893" i="62"/>
  <c r="K893" i="62"/>
  <c r="J893" i="62"/>
  <c r="H893" i="62"/>
  <c r="P892" i="62"/>
  <c r="O892" i="62"/>
  <c r="N892" i="62"/>
  <c r="M892" i="62"/>
  <c r="L892" i="62"/>
  <c r="K892" i="62"/>
  <c r="J892" i="62"/>
  <c r="H892" i="62"/>
  <c r="P891" i="62"/>
  <c r="O891" i="62"/>
  <c r="N891" i="62"/>
  <c r="M891" i="62"/>
  <c r="L891" i="62"/>
  <c r="K891" i="62"/>
  <c r="J891" i="62"/>
  <c r="H891" i="62"/>
  <c r="P890" i="62"/>
  <c r="O890" i="62"/>
  <c r="N890" i="62"/>
  <c r="M890" i="62"/>
  <c r="L890" i="62"/>
  <c r="K890" i="62"/>
  <c r="J890" i="62"/>
  <c r="H890" i="62"/>
  <c r="P889" i="62"/>
  <c r="O889" i="62"/>
  <c r="N889" i="62"/>
  <c r="M889" i="62"/>
  <c r="L889" i="62"/>
  <c r="K889" i="62"/>
  <c r="J889" i="62"/>
  <c r="H889" i="62"/>
  <c r="P888" i="62"/>
  <c r="O888" i="62"/>
  <c r="N888" i="62"/>
  <c r="M888" i="62"/>
  <c r="L888" i="62"/>
  <c r="K888" i="62"/>
  <c r="J888" i="62"/>
  <c r="H888" i="62"/>
  <c r="P887" i="62"/>
  <c r="O887" i="62"/>
  <c r="N887" i="62"/>
  <c r="M887" i="62"/>
  <c r="L887" i="62"/>
  <c r="K887" i="62"/>
  <c r="J887" i="62"/>
  <c r="H887" i="62"/>
  <c r="P886" i="62"/>
  <c r="O886" i="62"/>
  <c r="N886" i="62"/>
  <c r="M886" i="62"/>
  <c r="L886" i="62"/>
  <c r="K886" i="62"/>
  <c r="J886" i="62"/>
  <c r="H886" i="62"/>
  <c r="P885" i="62"/>
  <c r="O885" i="62"/>
  <c r="N885" i="62"/>
  <c r="M885" i="62"/>
  <c r="L885" i="62"/>
  <c r="K885" i="62"/>
  <c r="J885" i="62"/>
  <c r="H885" i="62"/>
  <c r="P884" i="62"/>
  <c r="O884" i="62"/>
  <c r="N884" i="62"/>
  <c r="M884" i="62"/>
  <c r="L884" i="62"/>
  <c r="K884" i="62"/>
  <c r="J884" i="62"/>
  <c r="H884" i="62"/>
  <c r="P883" i="62"/>
  <c r="O883" i="62"/>
  <c r="N883" i="62"/>
  <c r="M883" i="62"/>
  <c r="L883" i="62"/>
  <c r="K883" i="62"/>
  <c r="J883" i="62"/>
  <c r="P882" i="62"/>
  <c r="O882" i="62"/>
  <c r="N882" i="62"/>
  <c r="M882" i="62"/>
  <c r="L882" i="62"/>
  <c r="K882" i="62"/>
  <c r="J882" i="62"/>
  <c r="P881" i="62"/>
  <c r="O881" i="62"/>
  <c r="N881" i="62"/>
  <c r="M881" i="62"/>
  <c r="L881" i="62"/>
  <c r="K881" i="62"/>
  <c r="J881" i="62"/>
  <c r="P880" i="62"/>
  <c r="O880" i="62"/>
  <c r="N880" i="62"/>
  <c r="M880" i="62"/>
  <c r="L880" i="62"/>
  <c r="K880" i="62"/>
  <c r="J880" i="62"/>
  <c r="H880" i="62"/>
  <c r="P879" i="62"/>
  <c r="O879" i="62"/>
  <c r="N879" i="62"/>
  <c r="M879" i="62"/>
  <c r="L879" i="62"/>
  <c r="K879" i="62"/>
  <c r="J879" i="62"/>
  <c r="H879" i="62"/>
  <c r="P878" i="62"/>
  <c r="O878" i="62"/>
  <c r="N878" i="62"/>
  <c r="M878" i="62"/>
  <c r="L878" i="62"/>
  <c r="K878" i="62"/>
  <c r="J878" i="62"/>
  <c r="H878" i="62"/>
  <c r="P877" i="62"/>
  <c r="O877" i="62"/>
  <c r="N877" i="62"/>
  <c r="M877" i="62"/>
  <c r="L877" i="62"/>
  <c r="K877" i="62"/>
  <c r="J877" i="62"/>
  <c r="H877" i="62"/>
  <c r="P876" i="62"/>
  <c r="O876" i="62"/>
  <c r="N876" i="62"/>
  <c r="M876" i="62"/>
  <c r="L876" i="62"/>
  <c r="K876" i="62"/>
  <c r="J876" i="62"/>
  <c r="H876" i="62"/>
  <c r="P875" i="62"/>
  <c r="O875" i="62"/>
  <c r="N875" i="62"/>
  <c r="M875" i="62"/>
  <c r="L875" i="62"/>
  <c r="K875" i="62"/>
  <c r="J875" i="62"/>
  <c r="H875" i="62"/>
  <c r="P874" i="62"/>
  <c r="O874" i="62"/>
  <c r="N874" i="62"/>
  <c r="M874" i="62"/>
  <c r="L874" i="62"/>
  <c r="K874" i="62"/>
  <c r="J874" i="62"/>
  <c r="H874" i="62"/>
  <c r="P873" i="62"/>
  <c r="O873" i="62"/>
  <c r="N873" i="62"/>
  <c r="M873" i="62"/>
  <c r="L873" i="62"/>
  <c r="K873" i="62"/>
  <c r="J873" i="62"/>
  <c r="H873" i="62"/>
  <c r="P872" i="62"/>
  <c r="O872" i="62"/>
  <c r="N872" i="62"/>
  <c r="M872" i="62"/>
  <c r="L872" i="62"/>
  <c r="K872" i="62"/>
  <c r="J872" i="62"/>
  <c r="H872" i="62"/>
  <c r="P871" i="62"/>
  <c r="O871" i="62"/>
  <c r="N871" i="62"/>
  <c r="M871" i="62"/>
  <c r="L871" i="62"/>
  <c r="K871" i="62"/>
  <c r="J871" i="62"/>
  <c r="H871" i="62"/>
  <c r="P870" i="62"/>
  <c r="O870" i="62"/>
  <c r="N870" i="62"/>
  <c r="M870" i="62"/>
  <c r="L870" i="62"/>
  <c r="K870" i="62"/>
  <c r="J870" i="62"/>
  <c r="H870" i="62"/>
  <c r="P869" i="62"/>
  <c r="O869" i="62"/>
  <c r="N869" i="62"/>
  <c r="M869" i="62"/>
  <c r="L869" i="62"/>
  <c r="K869" i="62"/>
  <c r="J869" i="62"/>
  <c r="H869" i="62"/>
  <c r="P868" i="62"/>
  <c r="O868" i="62"/>
  <c r="N868" i="62"/>
  <c r="M868" i="62"/>
  <c r="L868" i="62"/>
  <c r="K868" i="62"/>
  <c r="J868" i="62"/>
  <c r="H868" i="62"/>
  <c r="P867" i="62"/>
  <c r="O867" i="62"/>
  <c r="N867" i="62"/>
  <c r="M867" i="62"/>
  <c r="L867" i="62"/>
  <c r="K867" i="62"/>
  <c r="J867" i="62"/>
  <c r="H867" i="62"/>
  <c r="P866" i="62"/>
  <c r="O866" i="62"/>
  <c r="N866" i="62"/>
  <c r="M866" i="62"/>
  <c r="L866" i="62"/>
  <c r="K866" i="62"/>
  <c r="J866" i="62"/>
  <c r="H866" i="62"/>
  <c r="P865" i="62"/>
  <c r="O865" i="62"/>
  <c r="N865" i="62"/>
  <c r="M865" i="62"/>
  <c r="L865" i="62"/>
  <c r="K865" i="62"/>
  <c r="J865" i="62"/>
  <c r="H865" i="62"/>
  <c r="P864" i="62"/>
  <c r="O864" i="62"/>
  <c r="N864" i="62"/>
  <c r="M864" i="62"/>
  <c r="L864" i="62"/>
  <c r="K864" i="62"/>
  <c r="J864" i="62"/>
  <c r="H864" i="62"/>
  <c r="P863" i="62"/>
  <c r="O863" i="62"/>
  <c r="N863" i="62"/>
  <c r="M863" i="62"/>
  <c r="L863" i="62"/>
  <c r="K863" i="62"/>
  <c r="J863" i="62"/>
  <c r="H863" i="62"/>
  <c r="P862" i="62"/>
  <c r="O862" i="62"/>
  <c r="N862" i="62"/>
  <c r="M862" i="62"/>
  <c r="L862" i="62"/>
  <c r="K862" i="62"/>
  <c r="J862" i="62"/>
  <c r="H862" i="62"/>
  <c r="P861" i="62"/>
  <c r="O861" i="62"/>
  <c r="N861" i="62"/>
  <c r="M861" i="62"/>
  <c r="L861" i="62"/>
  <c r="K861" i="62"/>
  <c r="J861" i="62"/>
  <c r="H861" i="62"/>
  <c r="P860" i="62"/>
  <c r="O860" i="62"/>
  <c r="N860" i="62"/>
  <c r="M860" i="62"/>
  <c r="L860" i="62"/>
  <c r="K860" i="62"/>
  <c r="J860" i="62"/>
  <c r="H860" i="62"/>
  <c r="P859" i="62"/>
  <c r="O859" i="62"/>
  <c r="N859" i="62"/>
  <c r="M859" i="62"/>
  <c r="L859" i="62"/>
  <c r="K859" i="62"/>
  <c r="J859" i="62"/>
  <c r="H859" i="62"/>
  <c r="P858" i="62"/>
  <c r="O858" i="62"/>
  <c r="N858" i="62"/>
  <c r="M858" i="62"/>
  <c r="L858" i="62"/>
  <c r="K858" i="62"/>
  <c r="J858" i="62"/>
  <c r="H858" i="62"/>
  <c r="P857" i="62"/>
  <c r="O857" i="62"/>
  <c r="N857" i="62"/>
  <c r="M857" i="62"/>
  <c r="L857" i="62"/>
  <c r="K857" i="62"/>
  <c r="J857" i="62"/>
  <c r="H857" i="62"/>
  <c r="P856" i="62"/>
  <c r="O856" i="62"/>
  <c r="N856" i="62"/>
  <c r="M856" i="62"/>
  <c r="L856" i="62"/>
  <c r="K856" i="62"/>
  <c r="J856" i="62"/>
  <c r="H856" i="62"/>
  <c r="P855" i="62"/>
  <c r="O855" i="62"/>
  <c r="N855" i="62"/>
  <c r="M855" i="62"/>
  <c r="L855" i="62"/>
  <c r="K855" i="62"/>
  <c r="J855" i="62"/>
  <c r="H855" i="62"/>
  <c r="P854" i="62"/>
  <c r="O854" i="62"/>
  <c r="N854" i="62"/>
  <c r="M854" i="62"/>
  <c r="L854" i="62"/>
  <c r="K854" i="62"/>
  <c r="J854" i="62"/>
  <c r="H854" i="62"/>
  <c r="P853" i="62"/>
  <c r="O853" i="62"/>
  <c r="N853" i="62"/>
  <c r="M853" i="62"/>
  <c r="L853" i="62"/>
  <c r="K853" i="62"/>
  <c r="J853" i="62"/>
  <c r="H853" i="62"/>
  <c r="P852" i="62"/>
  <c r="O852" i="62"/>
  <c r="N852" i="62"/>
  <c r="M852" i="62"/>
  <c r="L852" i="62"/>
  <c r="K852" i="62"/>
  <c r="J852" i="62"/>
  <c r="H852" i="62"/>
  <c r="P851" i="62"/>
  <c r="O851" i="62"/>
  <c r="N851" i="62"/>
  <c r="M851" i="62"/>
  <c r="L851" i="62"/>
  <c r="K851" i="62"/>
  <c r="J851" i="62"/>
  <c r="H851" i="62"/>
  <c r="P850" i="62"/>
  <c r="O850" i="62"/>
  <c r="N850" i="62"/>
  <c r="M850" i="62"/>
  <c r="L850" i="62"/>
  <c r="K850" i="62"/>
  <c r="J850" i="62"/>
  <c r="H850" i="62"/>
  <c r="P849" i="62"/>
  <c r="O849" i="62"/>
  <c r="N849" i="62"/>
  <c r="M849" i="62"/>
  <c r="L849" i="62"/>
  <c r="K849" i="62"/>
  <c r="J849" i="62"/>
  <c r="H849" i="62"/>
  <c r="P848" i="62"/>
  <c r="O848" i="62"/>
  <c r="N848" i="62"/>
  <c r="M848" i="62"/>
  <c r="L848" i="62"/>
  <c r="K848" i="62"/>
  <c r="J848" i="62"/>
  <c r="H848" i="62"/>
  <c r="P847" i="62"/>
  <c r="O847" i="62"/>
  <c r="N847" i="62"/>
  <c r="M847" i="62"/>
  <c r="L847" i="62"/>
  <c r="K847" i="62"/>
  <c r="J847" i="62"/>
  <c r="H847" i="62"/>
  <c r="P846" i="62"/>
  <c r="O846" i="62"/>
  <c r="N846" i="62"/>
  <c r="M846" i="62"/>
  <c r="L846" i="62"/>
  <c r="K846" i="62"/>
  <c r="J846" i="62"/>
  <c r="H846" i="62"/>
  <c r="P845" i="62"/>
  <c r="O845" i="62"/>
  <c r="N845" i="62"/>
  <c r="M845" i="62"/>
  <c r="L845" i="62"/>
  <c r="K845" i="62"/>
  <c r="J845" i="62"/>
  <c r="H845" i="62"/>
  <c r="P844" i="62"/>
  <c r="O844" i="62"/>
  <c r="N844" i="62"/>
  <c r="M844" i="62"/>
  <c r="L844" i="62"/>
  <c r="K844" i="62"/>
  <c r="J844" i="62"/>
  <c r="H844" i="62"/>
  <c r="P843" i="62"/>
  <c r="O843" i="62"/>
  <c r="N843" i="62"/>
  <c r="M843" i="62"/>
  <c r="L843" i="62"/>
  <c r="K843" i="62"/>
  <c r="J843" i="62"/>
  <c r="H843" i="62"/>
  <c r="P842" i="62"/>
  <c r="O842" i="62"/>
  <c r="N842" i="62"/>
  <c r="M842" i="62"/>
  <c r="L842" i="62"/>
  <c r="K842" i="62"/>
  <c r="J842" i="62"/>
  <c r="H842" i="62"/>
  <c r="P841" i="62"/>
  <c r="O841" i="62"/>
  <c r="N841" i="62"/>
  <c r="M841" i="62"/>
  <c r="L841" i="62"/>
  <c r="K841" i="62"/>
  <c r="J841" i="62"/>
  <c r="H841" i="62"/>
  <c r="P840" i="62"/>
  <c r="O840" i="62"/>
  <c r="N840" i="62"/>
  <c r="M840" i="62"/>
  <c r="L840" i="62"/>
  <c r="K840" i="62"/>
  <c r="J840" i="62"/>
  <c r="H840" i="62"/>
  <c r="P839" i="62"/>
  <c r="O839" i="62"/>
  <c r="N839" i="62"/>
  <c r="M839" i="62"/>
  <c r="L839" i="62"/>
  <c r="K839" i="62"/>
  <c r="J839" i="62"/>
  <c r="H839" i="62"/>
  <c r="P838" i="62"/>
  <c r="O838" i="62"/>
  <c r="N838" i="62"/>
  <c r="M838" i="62"/>
  <c r="L838" i="62"/>
  <c r="K838" i="62"/>
  <c r="J838" i="62"/>
  <c r="H838" i="62"/>
  <c r="P837" i="62"/>
  <c r="O837" i="62"/>
  <c r="N837" i="62"/>
  <c r="M837" i="62"/>
  <c r="L837" i="62"/>
  <c r="K837" i="62"/>
  <c r="J837" i="62"/>
  <c r="H837" i="62"/>
  <c r="P836" i="62"/>
  <c r="O836" i="62"/>
  <c r="N836" i="62"/>
  <c r="M836" i="62"/>
  <c r="L836" i="62"/>
  <c r="K836" i="62"/>
  <c r="J836" i="62"/>
  <c r="H836" i="62"/>
  <c r="P835" i="62"/>
  <c r="O835" i="62"/>
  <c r="N835" i="62"/>
  <c r="M835" i="62"/>
  <c r="L835" i="62"/>
  <c r="K835" i="62"/>
  <c r="J835" i="62"/>
  <c r="H835" i="62"/>
  <c r="P834" i="62"/>
  <c r="O834" i="62"/>
  <c r="N834" i="62"/>
  <c r="M834" i="62"/>
  <c r="L834" i="62"/>
  <c r="K834" i="62"/>
  <c r="J834" i="62"/>
  <c r="H834" i="62"/>
  <c r="P833" i="62"/>
  <c r="O833" i="62"/>
  <c r="N833" i="62"/>
  <c r="M833" i="62"/>
  <c r="L833" i="62"/>
  <c r="K833" i="62"/>
  <c r="J833" i="62"/>
  <c r="H833" i="62"/>
  <c r="P832" i="62"/>
  <c r="O832" i="62"/>
  <c r="N832" i="62"/>
  <c r="M832" i="62"/>
  <c r="L832" i="62"/>
  <c r="K832" i="62"/>
  <c r="J832" i="62"/>
  <c r="H832" i="62"/>
  <c r="P831" i="62"/>
  <c r="O831" i="62"/>
  <c r="N831" i="62"/>
  <c r="M831" i="62"/>
  <c r="L831" i="62"/>
  <c r="K831" i="62"/>
  <c r="J831" i="62"/>
  <c r="H831" i="62"/>
  <c r="P830" i="62"/>
  <c r="O830" i="62"/>
  <c r="N830" i="62"/>
  <c r="M830" i="62"/>
  <c r="L830" i="62"/>
  <c r="K830" i="62"/>
  <c r="J830" i="62"/>
  <c r="H830" i="62"/>
  <c r="P829" i="62"/>
  <c r="O829" i="62"/>
  <c r="N829" i="62"/>
  <c r="M829" i="62"/>
  <c r="L829" i="62"/>
  <c r="K829" i="62"/>
  <c r="J829" i="62"/>
  <c r="H829" i="62"/>
  <c r="P828" i="62"/>
  <c r="O828" i="62"/>
  <c r="N828" i="62"/>
  <c r="M828" i="62"/>
  <c r="L828" i="62"/>
  <c r="K828" i="62"/>
  <c r="J828" i="62"/>
  <c r="H828" i="62"/>
  <c r="P827" i="62"/>
  <c r="O827" i="62"/>
  <c r="N827" i="62"/>
  <c r="M827" i="62"/>
  <c r="L827" i="62"/>
  <c r="K827" i="62"/>
  <c r="J827" i="62"/>
  <c r="H827" i="62"/>
  <c r="P826" i="62"/>
  <c r="O826" i="62"/>
  <c r="N826" i="62"/>
  <c r="M826" i="62"/>
  <c r="L826" i="62"/>
  <c r="K826" i="62"/>
  <c r="J826" i="62"/>
  <c r="H826" i="62"/>
  <c r="P825" i="62"/>
  <c r="O825" i="62"/>
  <c r="N825" i="62"/>
  <c r="M825" i="62"/>
  <c r="L825" i="62"/>
  <c r="K825" i="62"/>
  <c r="J825" i="62"/>
  <c r="H825" i="62"/>
  <c r="P824" i="62"/>
  <c r="O824" i="62"/>
  <c r="N824" i="62"/>
  <c r="M824" i="62"/>
  <c r="L824" i="62"/>
  <c r="K824" i="62"/>
  <c r="J824" i="62"/>
  <c r="H824" i="62"/>
  <c r="P823" i="62"/>
  <c r="O823" i="62"/>
  <c r="N823" i="62"/>
  <c r="M823" i="62"/>
  <c r="L823" i="62"/>
  <c r="K823" i="62"/>
  <c r="J823" i="62"/>
  <c r="H823" i="62"/>
  <c r="P822" i="62"/>
  <c r="O822" i="62"/>
  <c r="N822" i="62"/>
  <c r="M822" i="62"/>
  <c r="L822" i="62"/>
  <c r="K822" i="62"/>
  <c r="J822" i="62"/>
  <c r="H822" i="62"/>
  <c r="P821" i="62"/>
  <c r="O821" i="62"/>
  <c r="N821" i="62"/>
  <c r="M821" i="62"/>
  <c r="L821" i="62"/>
  <c r="K821" i="62"/>
  <c r="J821" i="62"/>
  <c r="H821" i="62"/>
  <c r="P820" i="62"/>
  <c r="O820" i="62"/>
  <c r="N820" i="62"/>
  <c r="M820" i="62"/>
  <c r="L820" i="62"/>
  <c r="K820" i="62"/>
  <c r="J820" i="62"/>
  <c r="H820" i="62"/>
  <c r="P819" i="62"/>
  <c r="O819" i="62"/>
  <c r="N819" i="62"/>
  <c r="M819" i="62"/>
  <c r="L819" i="62"/>
  <c r="K819" i="62"/>
  <c r="J819" i="62"/>
  <c r="H819" i="62"/>
  <c r="P818" i="62"/>
  <c r="O818" i="62"/>
  <c r="N818" i="62"/>
  <c r="M818" i="62"/>
  <c r="L818" i="62"/>
  <c r="K818" i="62"/>
  <c r="J818" i="62"/>
  <c r="H818" i="62"/>
  <c r="P817" i="62"/>
  <c r="O817" i="62"/>
  <c r="N817" i="62"/>
  <c r="M817" i="62"/>
  <c r="L817" i="62"/>
  <c r="K817" i="62"/>
  <c r="J817" i="62"/>
  <c r="H817" i="62"/>
  <c r="P816" i="62"/>
  <c r="O816" i="62"/>
  <c r="N816" i="62"/>
  <c r="M816" i="62"/>
  <c r="L816" i="62"/>
  <c r="K816" i="62"/>
  <c r="J816" i="62"/>
  <c r="H816" i="62"/>
  <c r="P815" i="62"/>
  <c r="O815" i="62"/>
  <c r="N815" i="62"/>
  <c r="M815" i="62"/>
  <c r="L815" i="62"/>
  <c r="K815" i="62"/>
  <c r="J815" i="62"/>
  <c r="H815" i="62"/>
  <c r="P814" i="62"/>
  <c r="O814" i="62"/>
  <c r="N814" i="62"/>
  <c r="M814" i="62"/>
  <c r="L814" i="62"/>
  <c r="K814" i="62"/>
  <c r="J814" i="62"/>
  <c r="H814" i="62"/>
  <c r="P813" i="62"/>
  <c r="O813" i="62"/>
  <c r="N813" i="62"/>
  <c r="M813" i="62"/>
  <c r="L813" i="62"/>
  <c r="K813" i="62"/>
  <c r="J813" i="62"/>
  <c r="H813" i="62"/>
  <c r="P812" i="62"/>
  <c r="O812" i="62"/>
  <c r="N812" i="62"/>
  <c r="M812" i="62"/>
  <c r="L812" i="62"/>
  <c r="K812" i="62"/>
  <c r="J812" i="62"/>
  <c r="H812" i="62"/>
  <c r="P811" i="62"/>
  <c r="O811" i="62"/>
  <c r="N811" i="62"/>
  <c r="M811" i="62"/>
  <c r="L811" i="62"/>
  <c r="K811" i="62"/>
  <c r="J811" i="62"/>
  <c r="H811" i="62"/>
  <c r="P810" i="62"/>
  <c r="O810" i="62"/>
  <c r="N810" i="62"/>
  <c r="M810" i="62"/>
  <c r="L810" i="62"/>
  <c r="K810" i="62"/>
  <c r="J810" i="62"/>
  <c r="H810" i="62"/>
  <c r="P809" i="62"/>
  <c r="O809" i="62"/>
  <c r="N809" i="62"/>
  <c r="M809" i="62"/>
  <c r="L809" i="62"/>
  <c r="K809" i="62"/>
  <c r="J809" i="62"/>
  <c r="H809" i="62"/>
  <c r="P808" i="62"/>
  <c r="O808" i="62"/>
  <c r="N808" i="62"/>
  <c r="M808" i="62"/>
  <c r="L808" i="62"/>
  <c r="K808" i="62"/>
  <c r="J808" i="62"/>
  <c r="H808" i="62"/>
  <c r="P807" i="62"/>
  <c r="O807" i="62"/>
  <c r="N807" i="62"/>
  <c r="M807" i="62"/>
  <c r="L807" i="62"/>
  <c r="K807" i="62"/>
  <c r="J807" i="62"/>
  <c r="H807" i="62"/>
  <c r="P806" i="62"/>
  <c r="O806" i="62"/>
  <c r="N806" i="62"/>
  <c r="M806" i="62"/>
  <c r="L806" i="62"/>
  <c r="K806" i="62"/>
  <c r="J806" i="62"/>
  <c r="H806" i="62"/>
  <c r="P805" i="62"/>
  <c r="O805" i="62"/>
  <c r="N805" i="62"/>
  <c r="M805" i="62"/>
  <c r="L805" i="62"/>
  <c r="K805" i="62"/>
  <c r="J805" i="62"/>
  <c r="H805" i="62"/>
  <c r="P804" i="62"/>
  <c r="O804" i="62"/>
  <c r="N804" i="62"/>
  <c r="M804" i="62"/>
  <c r="L804" i="62"/>
  <c r="K804" i="62"/>
  <c r="J804" i="62"/>
  <c r="H804" i="62"/>
  <c r="P803" i="62"/>
  <c r="O803" i="62"/>
  <c r="N803" i="62"/>
  <c r="M803" i="62"/>
  <c r="L803" i="62"/>
  <c r="K803" i="62"/>
  <c r="J803" i="62"/>
  <c r="H803" i="62"/>
  <c r="P802" i="62"/>
  <c r="O802" i="62"/>
  <c r="N802" i="62"/>
  <c r="M802" i="62"/>
  <c r="L802" i="62"/>
  <c r="K802" i="62"/>
  <c r="J802" i="62"/>
  <c r="H802" i="62"/>
  <c r="P801" i="62"/>
  <c r="O801" i="62"/>
  <c r="N801" i="62"/>
  <c r="M801" i="62"/>
  <c r="L801" i="62"/>
  <c r="K801" i="62"/>
  <c r="J801" i="62"/>
  <c r="H801" i="62"/>
  <c r="P800" i="62"/>
  <c r="O800" i="62"/>
  <c r="N800" i="62"/>
  <c r="M800" i="62"/>
  <c r="L800" i="62"/>
  <c r="K800" i="62"/>
  <c r="J800" i="62"/>
  <c r="H800" i="62"/>
  <c r="P799" i="62"/>
  <c r="O799" i="62"/>
  <c r="N799" i="62"/>
  <c r="M799" i="62"/>
  <c r="L799" i="62"/>
  <c r="K799" i="62"/>
  <c r="J799" i="62"/>
  <c r="H799" i="62"/>
  <c r="P798" i="62"/>
  <c r="O798" i="62"/>
  <c r="N798" i="62"/>
  <c r="M798" i="62"/>
  <c r="L798" i="62"/>
  <c r="K798" i="62"/>
  <c r="J798" i="62"/>
  <c r="H798" i="62"/>
  <c r="P797" i="62"/>
  <c r="O797" i="62"/>
  <c r="N797" i="62"/>
  <c r="M797" i="62"/>
  <c r="L797" i="62"/>
  <c r="K797" i="62"/>
  <c r="J797" i="62"/>
  <c r="H797" i="62"/>
  <c r="P796" i="62"/>
  <c r="O796" i="62"/>
  <c r="N796" i="62"/>
  <c r="M796" i="62"/>
  <c r="L796" i="62"/>
  <c r="K796" i="62"/>
  <c r="J796" i="62"/>
  <c r="H796" i="62"/>
  <c r="P795" i="62"/>
  <c r="O795" i="62"/>
  <c r="N795" i="62"/>
  <c r="M795" i="62"/>
  <c r="L795" i="62"/>
  <c r="K795" i="62"/>
  <c r="J795" i="62"/>
  <c r="H795" i="62"/>
  <c r="P794" i="62"/>
  <c r="O794" i="62"/>
  <c r="N794" i="62"/>
  <c r="M794" i="62"/>
  <c r="L794" i="62"/>
  <c r="K794" i="62"/>
  <c r="J794" i="62"/>
  <c r="H794" i="62"/>
  <c r="P793" i="62"/>
  <c r="O793" i="62"/>
  <c r="N793" i="62"/>
  <c r="M793" i="62"/>
  <c r="L793" i="62"/>
  <c r="K793" i="62"/>
  <c r="J793" i="62"/>
  <c r="H793" i="62"/>
  <c r="P792" i="62"/>
  <c r="O792" i="62"/>
  <c r="N792" i="62"/>
  <c r="M792" i="62"/>
  <c r="L792" i="62"/>
  <c r="K792" i="62"/>
  <c r="J792" i="62"/>
  <c r="H792" i="62"/>
  <c r="P791" i="62"/>
  <c r="O791" i="62"/>
  <c r="N791" i="62"/>
  <c r="M791" i="62"/>
  <c r="L791" i="62"/>
  <c r="K791" i="62"/>
  <c r="J791" i="62"/>
  <c r="H791" i="62"/>
  <c r="P790" i="62"/>
  <c r="O790" i="62"/>
  <c r="N790" i="62"/>
  <c r="M790" i="62"/>
  <c r="L790" i="62"/>
  <c r="K790" i="62"/>
  <c r="J790" i="62"/>
  <c r="H790" i="62"/>
  <c r="P789" i="62"/>
  <c r="O789" i="62"/>
  <c r="N789" i="62"/>
  <c r="M789" i="62"/>
  <c r="L789" i="62"/>
  <c r="K789" i="62"/>
  <c r="J789" i="62"/>
  <c r="H789" i="62"/>
  <c r="P788" i="62"/>
  <c r="O788" i="62"/>
  <c r="N788" i="62"/>
  <c r="M788" i="62"/>
  <c r="L788" i="62"/>
  <c r="K788" i="62"/>
  <c r="J788" i="62"/>
  <c r="H788" i="62"/>
  <c r="P787" i="62"/>
  <c r="O787" i="62"/>
  <c r="N787" i="62"/>
  <c r="M787" i="62"/>
  <c r="L787" i="62"/>
  <c r="K787" i="62"/>
  <c r="J787" i="62"/>
  <c r="H787" i="62"/>
  <c r="P786" i="62"/>
  <c r="O786" i="62"/>
  <c r="N786" i="62"/>
  <c r="M786" i="62"/>
  <c r="L786" i="62"/>
  <c r="K786" i="62"/>
  <c r="J786" i="62"/>
  <c r="H786" i="62"/>
  <c r="P785" i="62"/>
  <c r="O785" i="62"/>
  <c r="N785" i="62"/>
  <c r="M785" i="62"/>
  <c r="L785" i="62"/>
  <c r="K785" i="62"/>
  <c r="J785" i="62"/>
  <c r="H785" i="62"/>
  <c r="P784" i="62"/>
  <c r="O784" i="62"/>
  <c r="N784" i="62"/>
  <c r="M784" i="62"/>
  <c r="L784" i="62"/>
  <c r="K784" i="62"/>
  <c r="J784" i="62"/>
  <c r="H784" i="62"/>
  <c r="P783" i="62"/>
  <c r="O783" i="62"/>
  <c r="N783" i="62"/>
  <c r="M783" i="62"/>
  <c r="L783" i="62"/>
  <c r="K783" i="62"/>
  <c r="J783" i="62"/>
  <c r="H783" i="62"/>
  <c r="P782" i="62"/>
  <c r="O782" i="62"/>
  <c r="N782" i="62"/>
  <c r="M782" i="62"/>
  <c r="L782" i="62"/>
  <c r="K782" i="62"/>
  <c r="J782" i="62"/>
  <c r="H782" i="62"/>
  <c r="P781" i="62"/>
  <c r="O781" i="62"/>
  <c r="N781" i="62"/>
  <c r="M781" i="62"/>
  <c r="L781" i="62"/>
  <c r="K781" i="62"/>
  <c r="J781" i="62"/>
  <c r="H781" i="62"/>
  <c r="P780" i="62"/>
  <c r="O780" i="62"/>
  <c r="N780" i="62"/>
  <c r="M780" i="62"/>
  <c r="L780" i="62"/>
  <c r="K780" i="62"/>
  <c r="J780" i="62"/>
  <c r="H780" i="62"/>
  <c r="P779" i="62"/>
  <c r="O779" i="62"/>
  <c r="N779" i="62"/>
  <c r="M779" i="62"/>
  <c r="L779" i="62"/>
  <c r="K779" i="62"/>
  <c r="J779" i="62"/>
  <c r="H779" i="62"/>
  <c r="P778" i="62"/>
  <c r="O778" i="62"/>
  <c r="N778" i="62"/>
  <c r="M778" i="62"/>
  <c r="L778" i="62"/>
  <c r="K778" i="62"/>
  <c r="J778" i="62"/>
  <c r="H778" i="62"/>
  <c r="P777" i="62"/>
  <c r="O777" i="62"/>
  <c r="N777" i="62"/>
  <c r="M777" i="62"/>
  <c r="L777" i="62"/>
  <c r="K777" i="62"/>
  <c r="J777" i="62"/>
  <c r="H777" i="62"/>
  <c r="P776" i="62"/>
  <c r="O776" i="62"/>
  <c r="N776" i="62"/>
  <c r="M776" i="62"/>
  <c r="L776" i="62"/>
  <c r="K776" i="62"/>
  <c r="J776" i="62"/>
  <c r="H776" i="62"/>
  <c r="P775" i="62"/>
  <c r="O775" i="62"/>
  <c r="N775" i="62"/>
  <c r="M775" i="62"/>
  <c r="L775" i="62"/>
  <c r="K775" i="62"/>
  <c r="J775" i="62"/>
  <c r="H775" i="62"/>
  <c r="P774" i="62"/>
  <c r="O774" i="62"/>
  <c r="N774" i="62"/>
  <c r="M774" i="62"/>
  <c r="L774" i="62"/>
  <c r="K774" i="62"/>
  <c r="J774" i="62"/>
  <c r="H774" i="62"/>
  <c r="P773" i="62"/>
  <c r="O773" i="62"/>
  <c r="N773" i="62"/>
  <c r="M773" i="62"/>
  <c r="L773" i="62"/>
  <c r="K773" i="62"/>
  <c r="J773" i="62"/>
  <c r="H773" i="62"/>
  <c r="P772" i="62"/>
  <c r="O772" i="62"/>
  <c r="N772" i="62"/>
  <c r="M772" i="62"/>
  <c r="L772" i="62"/>
  <c r="K772" i="62"/>
  <c r="J772" i="62"/>
  <c r="H772" i="62"/>
  <c r="P771" i="62"/>
  <c r="O771" i="62"/>
  <c r="N771" i="62"/>
  <c r="M771" i="62"/>
  <c r="L771" i="62"/>
  <c r="K771" i="62"/>
  <c r="J771" i="62"/>
  <c r="H771" i="62"/>
  <c r="P770" i="62"/>
  <c r="O770" i="62"/>
  <c r="N770" i="62"/>
  <c r="M770" i="62"/>
  <c r="L770" i="62"/>
  <c r="K770" i="62"/>
  <c r="J770" i="62"/>
  <c r="H770" i="62"/>
  <c r="P769" i="62"/>
  <c r="O769" i="62"/>
  <c r="N769" i="62"/>
  <c r="M769" i="62"/>
  <c r="L769" i="62"/>
  <c r="K769" i="62"/>
  <c r="J769" i="62"/>
  <c r="H769" i="62"/>
  <c r="P768" i="62"/>
  <c r="O768" i="62"/>
  <c r="N768" i="62"/>
  <c r="M768" i="62"/>
  <c r="L768" i="62"/>
  <c r="K768" i="62"/>
  <c r="J768" i="62"/>
  <c r="H768" i="62"/>
  <c r="P767" i="62"/>
  <c r="O767" i="62"/>
  <c r="N767" i="62"/>
  <c r="M767" i="62"/>
  <c r="L767" i="62"/>
  <c r="K767" i="62"/>
  <c r="J767" i="62"/>
  <c r="H767" i="62"/>
  <c r="P766" i="62"/>
  <c r="O766" i="62"/>
  <c r="N766" i="62"/>
  <c r="M766" i="62"/>
  <c r="L766" i="62"/>
  <c r="K766" i="62"/>
  <c r="J766" i="62"/>
  <c r="H766" i="62"/>
  <c r="P765" i="62"/>
  <c r="O765" i="62"/>
  <c r="N765" i="62"/>
  <c r="M765" i="62"/>
  <c r="L765" i="62"/>
  <c r="K765" i="62"/>
  <c r="J765" i="62"/>
  <c r="H765" i="62"/>
  <c r="P764" i="62"/>
  <c r="O764" i="62"/>
  <c r="N764" i="62"/>
  <c r="M764" i="62"/>
  <c r="L764" i="62"/>
  <c r="K764" i="62"/>
  <c r="J764" i="62"/>
  <c r="H764" i="62"/>
  <c r="P763" i="62"/>
  <c r="O763" i="62"/>
  <c r="N763" i="62"/>
  <c r="M763" i="62"/>
  <c r="L763" i="62"/>
  <c r="K763" i="62"/>
  <c r="J763" i="62"/>
  <c r="H763" i="62"/>
  <c r="P762" i="62"/>
  <c r="O762" i="62"/>
  <c r="N762" i="62"/>
  <c r="M762" i="62"/>
  <c r="L762" i="62"/>
  <c r="K762" i="62"/>
  <c r="J762" i="62"/>
  <c r="H762" i="62"/>
  <c r="P761" i="62"/>
  <c r="O761" i="62"/>
  <c r="N761" i="62"/>
  <c r="M761" i="62"/>
  <c r="L761" i="62"/>
  <c r="K761" i="62"/>
  <c r="J761" i="62"/>
  <c r="H761" i="62"/>
  <c r="P760" i="62"/>
  <c r="O760" i="62"/>
  <c r="N760" i="62"/>
  <c r="M760" i="62"/>
  <c r="L760" i="62"/>
  <c r="K760" i="62"/>
  <c r="J760" i="62"/>
  <c r="H760" i="62"/>
  <c r="P759" i="62"/>
  <c r="O759" i="62"/>
  <c r="N759" i="62"/>
  <c r="M759" i="62"/>
  <c r="L759" i="62"/>
  <c r="K759" i="62"/>
  <c r="J759" i="62"/>
  <c r="H759" i="62"/>
  <c r="P758" i="62"/>
  <c r="O758" i="62"/>
  <c r="N758" i="62"/>
  <c r="M758" i="62"/>
  <c r="L758" i="62"/>
  <c r="K758" i="62"/>
  <c r="J758" i="62"/>
  <c r="H758" i="62"/>
  <c r="P757" i="62"/>
  <c r="O757" i="62"/>
  <c r="N757" i="62"/>
  <c r="M757" i="62"/>
  <c r="L757" i="62"/>
  <c r="K757" i="62"/>
  <c r="J757" i="62"/>
  <c r="H757" i="62"/>
  <c r="P756" i="62"/>
  <c r="O756" i="62"/>
  <c r="N756" i="62"/>
  <c r="M756" i="62"/>
  <c r="L756" i="62"/>
  <c r="K756" i="62"/>
  <c r="J756" i="62"/>
  <c r="H756" i="62"/>
  <c r="P755" i="62"/>
  <c r="O755" i="62"/>
  <c r="N755" i="62"/>
  <c r="M755" i="62"/>
  <c r="L755" i="62"/>
  <c r="K755" i="62"/>
  <c r="J755" i="62"/>
  <c r="H755" i="62"/>
  <c r="P754" i="62"/>
  <c r="O754" i="62"/>
  <c r="N754" i="62"/>
  <c r="M754" i="62"/>
  <c r="L754" i="62"/>
  <c r="K754" i="62"/>
  <c r="J754" i="62"/>
  <c r="H754" i="62"/>
  <c r="P753" i="62"/>
  <c r="O753" i="62"/>
  <c r="N753" i="62"/>
  <c r="M753" i="62"/>
  <c r="L753" i="62"/>
  <c r="K753" i="62"/>
  <c r="J753" i="62"/>
  <c r="H753" i="62"/>
  <c r="P752" i="62"/>
  <c r="O752" i="62"/>
  <c r="N752" i="62"/>
  <c r="M752" i="62"/>
  <c r="L752" i="62"/>
  <c r="K752" i="62"/>
  <c r="J752" i="62"/>
  <c r="H752" i="62"/>
  <c r="P751" i="62"/>
  <c r="O751" i="62"/>
  <c r="N751" i="62"/>
  <c r="M751" i="62"/>
  <c r="L751" i="62"/>
  <c r="K751" i="62"/>
  <c r="J751" i="62"/>
  <c r="H751" i="62"/>
  <c r="P750" i="62"/>
  <c r="O750" i="62"/>
  <c r="N750" i="62"/>
  <c r="M750" i="62"/>
  <c r="L750" i="62"/>
  <c r="K750" i="62"/>
  <c r="J750" i="62"/>
  <c r="H750" i="62"/>
  <c r="P749" i="62"/>
  <c r="O749" i="62"/>
  <c r="N749" i="62"/>
  <c r="M749" i="62"/>
  <c r="L749" i="62"/>
  <c r="K749" i="62"/>
  <c r="J749" i="62"/>
  <c r="H749" i="62"/>
  <c r="P748" i="62"/>
  <c r="O748" i="62"/>
  <c r="N748" i="62"/>
  <c r="M748" i="62"/>
  <c r="L748" i="62"/>
  <c r="K748" i="62"/>
  <c r="J748" i="62"/>
  <c r="H748" i="62"/>
  <c r="P747" i="62"/>
  <c r="O747" i="62"/>
  <c r="N747" i="62"/>
  <c r="M747" i="62"/>
  <c r="L747" i="62"/>
  <c r="K747" i="62"/>
  <c r="J747" i="62"/>
  <c r="H747" i="62"/>
  <c r="P746" i="62"/>
  <c r="O746" i="62"/>
  <c r="N746" i="62"/>
  <c r="M746" i="62"/>
  <c r="L746" i="62"/>
  <c r="K746" i="62"/>
  <c r="J746" i="62"/>
  <c r="H746" i="62"/>
  <c r="P745" i="62"/>
  <c r="O745" i="62"/>
  <c r="N745" i="62"/>
  <c r="M745" i="62"/>
  <c r="L745" i="62"/>
  <c r="K745" i="62"/>
  <c r="J745" i="62"/>
  <c r="H745" i="62"/>
  <c r="P744" i="62"/>
  <c r="O744" i="62"/>
  <c r="N744" i="62"/>
  <c r="M744" i="62"/>
  <c r="L744" i="62"/>
  <c r="K744" i="62"/>
  <c r="J744" i="62"/>
  <c r="H744" i="62"/>
  <c r="P743" i="62"/>
  <c r="O743" i="62"/>
  <c r="N743" i="62"/>
  <c r="M743" i="62"/>
  <c r="L743" i="62"/>
  <c r="K743" i="62"/>
  <c r="J743" i="62"/>
  <c r="H743" i="62"/>
  <c r="P742" i="62"/>
  <c r="O742" i="62"/>
  <c r="N742" i="62"/>
  <c r="M742" i="62"/>
  <c r="L742" i="62"/>
  <c r="K742" i="62"/>
  <c r="J742" i="62"/>
  <c r="H742" i="62"/>
  <c r="P741" i="62"/>
  <c r="O741" i="62"/>
  <c r="N741" i="62"/>
  <c r="M741" i="62"/>
  <c r="L741" i="62"/>
  <c r="K741" i="62"/>
  <c r="J741" i="62"/>
  <c r="H741" i="62"/>
  <c r="P740" i="62"/>
  <c r="O740" i="62"/>
  <c r="N740" i="62"/>
  <c r="M740" i="62"/>
  <c r="L740" i="62"/>
  <c r="K740" i="62"/>
  <c r="J740" i="62"/>
  <c r="H740" i="62"/>
  <c r="P739" i="62"/>
  <c r="O739" i="62"/>
  <c r="N739" i="62"/>
  <c r="M739" i="62"/>
  <c r="L739" i="62"/>
  <c r="K739" i="62"/>
  <c r="J739" i="62"/>
  <c r="H739" i="62"/>
  <c r="P738" i="62"/>
  <c r="O738" i="62"/>
  <c r="N738" i="62"/>
  <c r="M738" i="62"/>
  <c r="L738" i="62"/>
  <c r="K738" i="62"/>
  <c r="J738" i="62"/>
  <c r="H738" i="62"/>
  <c r="P737" i="62"/>
  <c r="O737" i="62"/>
  <c r="N737" i="62"/>
  <c r="M737" i="62"/>
  <c r="L737" i="62"/>
  <c r="K737" i="62"/>
  <c r="J737" i="62"/>
  <c r="H737" i="62"/>
  <c r="P736" i="62"/>
  <c r="O736" i="62"/>
  <c r="N736" i="62"/>
  <c r="M736" i="62"/>
  <c r="L736" i="62"/>
  <c r="K736" i="62"/>
  <c r="J736" i="62"/>
  <c r="H736" i="62"/>
  <c r="P735" i="62"/>
  <c r="O735" i="62"/>
  <c r="N735" i="62"/>
  <c r="M735" i="62"/>
  <c r="L735" i="62"/>
  <c r="K735" i="62"/>
  <c r="J735" i="62"/>
  <c r="H735" i="62"/>
  <c r="P734" i="62"/>
  <c r="O734" i="62"/>
  <c r="N734" i="62"/>
  <c r="M734" i="62"/>
  <c r="L734" i="62"/>
  <c r="K734" i="62"/>
  <c r="J734" i="62"/>
  <c r="H734" i="62"/>
  <c r="P733" i="62"/>
  <c r="O733" i="62"/>
  <c r="N733" i="62"/>
  <c r="M733" i="62"/>
  <c r="L733" i="62"/>
  <c r="K733" i="62"/>
  <c r="J733" i="62"/>
  <c r="H733" i="62"/>
  <c r="P732" i="62"/>
  <c r="O732" i="62"/>
  <c r="N732" i="62"/>
  <c r="M732" i="62"/>
  <c r="L732" i="62"/>
  <c r="K732" i="62"/>
  <c r="J732" i="62"/>
  <c r="H732" i="62"/>
  <c r="P731" i="62"/>
  <c r="O731" i="62"/>
  <c r="N731" i="62"/>
  <c r="M731" i="62"/>
  <c r="L731" i="62"/>
  <c r="K731" i="62"/>
  <c r="J731" i="62"/>
  <c r="H731" i="62"/>
  <c r="P730" i="62"/>
  <c r="O730" i="62"/>
  <c r="N730" i="62"/>
  <c r="M730" i="62"/>
  <c r="L730" i="62"/>
  <c r="K730" i="62"/>
  <c r="J730" i="62"/>
  <c r="H730" i="62"/>
  <c r="P729" i="62"/>
  <c r="O729" i="62"/>
  <c r="N729" i="62"/>
  <c r="M729" i="62"/>
  <c r="L729" i="62"/>
  <c r="K729" i="62"/>
  <c r="J729" i="62"/>
  <c r="H729" i="62"/>
  <c r="P728" i="62"/>
  <c r="O728" i="62"/>
  <c r="N728" i="62"/>
  <c r="M728" i="62"/>
  <c r="L728" i="62"/>
  <c r="K728" i="62"/>
  <c r="J728" i="62"/>
  <c r="H728" i="62"/>
  <c r="P727" i="62"/>
  <c r="O727" i="62"/>
  <c r="N727" i="62"/>
  <c r="M727" i="62"/>
  <c r="L727" i="62"/>
  <c r="K727" i="62"/>
  <c r="J727" i="62"/>
  <c r="H727" i="62"/>
  <c r="P726" i="62"/>
  <c r="O726" i="62"/>
  <c r="N726" i="62"/>
  <c r="M726" i="62"/>
  <c r="L726" i="62"/>
  <c r="K726" i="62"/>
  <c r="J726" i="62"/>
  <c r="H726" i="62"/>
  <c r="P725" i="62"/>
  <c r="O725" i="62"/>
  <c r="N725" i="62"/>
  <c r="M725" i="62"/>
  <c r="L725" i="62"/>
  <c r="K725" i="62"/>
  <c r="J725" i="62"/>
  <c r="H725" i="62"/>
  <c r="P724" i="62"/>
  <c r="O724" i="62"/>
  <c r="N724" i="62"/>
  <c r="M724" i="62"/>
  <c r="L724" i="62"/>
  <c r="K724" i="62"/>
  <c r="J724" i="62"/>
  <c r="H724" i="62"/>
  <c r="P723" i="62"/>
  <c r="O723" i="62"/>
  <c r="N723" i="62"/>
  <c r="M723" i="62"/>
  <c r="L723" i="62"/>
  <c r="K723" i="62"/>
  <c r="J723" i="62"/>
  <c r="H723" i="62"/>
  <c r="P722" i="62"/>
  <c r="O722" i="62"/>
  <c r="N722" i="62"/>
  <c r="M722" i="62"/>
  <c r="L722" i="62"/>
  <c r="K722" i="62"/>
  <c r="J722" i="62"/>
  <c r="H722" i="62"/>
  <c r="P721" i="62"/>
  <c r="O721" i="62"/>
  <c r="N721" i="62"/>
  <c r="M721" i="62"/>
  <c r="L721" i="62"/>
  <c r="K721" i="62"/>
  <c r="J721" i="62"/>
  <c r="H721" i="62"/>
  <c r="P720" i="62"/>
  <c r="O720" i="62"/>
  <c r="N720" i="62"/>
  <c r="M720" i="62"/>
  <c r="L720" i="62"/>
  <c r="K720" i="62"/>
  <c r="J720" i="62"/>
  <c r="H720" i="62"/>
  <c r="P719" i="62"/>
  <c r="O719" i="62"/>
  <c r="N719" i="62"/>
  <c r="M719" i="62"/>
  <c r="L719" i="62"/>
  <c r="K719" i="62"/>
  <c r="J719" i="62"/>
  <c r="H719" i="62"/>
  <c r="P718" i="62"/>
  <c r="O718" i="62"/>
  <c r="N718" i="62"/>
  <c r="M718" i="62"/>
  <c r="L718" i="62"/>
  <c r="K718" i="62"/>
  <c r="J718" i="62"/>
  <c r="H718" i="62"/>
  <c r="P717" i="62"/>
  <c r="O717" i="62"/>
  <c r="N717" i="62"/>
  <c r="M717" i="62"/>
  <c r="L717" i="62"/>
  <c r="K717" i="62"/>
  <c r="J717" i="62"/>
  <c r="H717" i="62"/>
  <c r="P716" i="62"/>
  <c r="O716" i="62"/>
  <c r="N716" i="62"/>
  <c r="M716" i="62"/>
  <c r="L716" i="62"/>
  <c r="K716" i="62"/>
  <c r="J716" i="62"/>
  <c r="H716" i="62"/>
  <c r="P715" i="62"/>
  <c r="O715" i="62"/>
  <c r="N715" i="62"/>
  <c r="M715" i="62"/>
  <c r="L715" i="62"/>
  <c r="K715" i="62"/>
  <c r="J715" i="62"/>
  <c r="H715" i="62"/>
  <c r="P714" i="62"/>
  <c r="O714" i="62"/>
  <c r="N714" i="62"/>
  <c r="M714" i="62"/>
  <c r="L714" i="62"/>
  <c r="K714" i="62"/>
  <c r="J714" i="62"/>
  <c r="H714" i="62"/>
  <c r="P713" i="62"/>
  <c r="O713" i="62"/>
  <c r="N713" i="62"/>
  <c r="M713" i="62"/>
  <c r="L713" i="62"/>
  <c r="K713" i="62"/>
  <c r="J713" i="62"/>
  <c r="H713" i="62"/>
  <c r="P712" i="62"/>
  <c r="O712" i="62"/>
  <c r="N712" i="62"/>
  <c r="M712" i="62"/>
  <c r="L712" i="62"/>
  <c r="K712" i="62"/>
  <c r="J712" i="62"/>
  <c r="H712" i="62"/>
  <c r="P711" i="62"/>
  <c r="O711" i="62"/>
  <c r="N711" i="62"/>
  <c r="M711" i="62"/>
  <c r="L711" i="62"/>
  <c r="K711" i="62"/>
  <c r="J711" i="62"/>
  <c r="H711" i="62"/>
  <c r="P710" i="62"/>
  <c r="O710" i="62"/>
  <c r="N710" i="62"/>
  <c r="M710" i="62"/>
  <c r="L710" i="62"/>
  <c r="K710" i="62"/>
  <c r="J710" i="62"/>
  <c r="H710" i="62"/>
  <c r="P709" i="62"/>
  <c r="O709" i="62"/>
  <c r="N709" i="62"/>
  <c r="M709" i="62"/>
  <c r="L709" i="62"/>
  <c r="K709" i="62"/>
  <c r="J709" i="62"/>
  <c r="H709" i="62"/>
  <c r="P708" i="62"/>
  <c r="O708" i="62"/>
  <c r="N708" i="62"/>
  <c r="M708" i="62"/>
  <c r="L708" i="62"/>
  <c r="K708" i="62"/>
  <c r="J708" i="62"/>
  <c r="H708" i="62"/>
  <c r="P707" i="62"/>
  <c r="O707" i="62"/>
  <c r="N707" i="62"/>
  <c r="M707" i="62"/>
  <c r="L707" i="62"/>
  <c r="K707" i="62"/>
  <c r="J707" i="62"/>
  <c r="H707" i="62"/>
  <c r="P706" i="62"/>
  <c r="O706" i="62"/>
  <c r="N706" i="62"/>
  <c r="M706" i="62"/>
  <c r="L706" i="62"/>
  <c r="K706" i="62"/>
  <c r="J706" i="62"/>
  <c r="H706" i="62"/>
  <c r="P705" i="62"/>
  <c r="O705" i="62"/>
  <c r="N705" i="62"/>
  <c r="M705" i="62"/>
  <c r="L705" i="62"/>
  <c r="K705" i="62"/>
  <c r="J705" i="62"/>
  <c r="H705" i="62"/>
  <c r="P704" i="62"/>
  <c r="O704" i="62"/>
  <c r="N704" i="62"/>
  <c r="M704" i="62"/>
  <c r="L704" i="62"/>
  <c r="K704" i="62"/>
  <c r="J704" i="62"/>
  <c r="H704" i="62"/>
  <c r="P703" i="62"/>
  <c r="O703" i="62"/>
  <c r="N703" i="62"/>
  <c r="M703" i="62"/>
  <c r="L703" i="62"/>
  <c r="K703" i="62"/>
  <c r="J703" i="62"/>
  <c r="H703" i="62"/>
  <c r="P702" i="62"/>
  <c r="O702" i="62"/>
  <c r="N702" i="62"/>
  <c r="M702" i="62"/>
  <c r="L702" i="62"/>
  <c r="K702" i="62"/>
  <c r="J702" i="62"/>
  <c r="H702" i="62"/>
  <c r="P701" i="62"/>
  <c r="O701" i="62"/>
  <c r="N701" i="62"/>
  <c r="M701" i="62"/>
  <c r="L701" i="62"/>
  <c r="K701" i="62"/>
  <c r="J701" i="62"/>
  <c r="H701" i="62"/>
  <c r="P700" i="62"/>
  <c r="O700" i="62"/>
  <c r="N700" i="62"/>
  <c r="M700" i="62"/>
  <c r="L700" i="62"/>
  <c r="K700" i="62"/>
  <c r="J700" i="62"/>
  <c r="H700" i="62"/>
  <c r="P699" i="62"/>
  <c r="O699" i="62"/>
  <c r="N699" i="62"/>
  <c r="M699" i="62"/>
  <c r="L699" i="62"/>
  <c r="K699" i="62"/>
  <c r="J699" i="62"/>
  <c r="H699" i="62"/>
  <c r="P698" i="62"/>
  <c r="O698" i="62"/>
  <c r="N698" i="62"/>
  <c r="M698" i="62"/>
  <c r="L698" i="62"/>
  <c r="K698" i="62"/>
  <c r="J698" i="62"/>
  <c r="H698" i="62"/>
  <c r="P697" i="62"/>
  <c r="O697" i="62"/>
  <c r="N697" i="62"/>
  <c r="M697" i="62"/>
  <c r="L697" i="62"/>
  <c r="K697" i="62"/>
  <c r="J697" i="62"/>
  <c r="H697" i="62"/>
  <c r="P696" i="62"/>
  <c r="O696" i="62"/>
  <c r="N696" i="62"/>
  <c r="M696" i="62"/>
  <c r="L696" i="62"/>
  <c r="K696" i="62"/>
  <c r="J696" i="62"/>
  <c r="H696" i="62"/>
  <c r="P695" i="62"/>
  <c r="O695" i="62"/>
  <c r="N695" i="62"/>
  <c r="M695" i="62"/>
  <c r="L695" i="62"/>
  <c r="K695" i="62"/>
  <c r="J695" i="62"/>
  <c r="H695" i="62"/>
  <c r="P694" i="62"/>
  <c r="O694" i="62"/>
  <c r="N694" i="62"/>
  <c r="M694" i="62"/>
  <c r="L694" i="62"/>
  <c r="K694" i="62"/>
  <c r="J694" i="62"/>
  <c r="H694" i="62"/>
  <c r="P693" i="62"/>
  <c r="O693" i="62"/>
  <c r="N693" i="62"/>
  <c r="M693" i="62"/>
  <c r="L693" i="62"/>
  <c r="K693" i="62"/>
  <c r="J693" i="62"/>
  <c r="H693" i="62"/>
  <c r="P692" i="62"/>
  <c r="O692" i="62"/>
  <c r="N692" i="62"/>
  <c r="M692" i="62"/>
  <c r="L692" i="62"/>
  <c r="K692" i="62"/>
  <c r="J692" i="62"/>
  <c r="H692" i="62"/>
  <c r="P691" i="62"/>
  <c r="O691" i="62"/>
  <c r="N691" i="62"/>
  <c r="M691" i="62"/>
  <c r="L691" i="62"/>
  <c r="K691" i="62"/>
  <c r="J691" i="62"/>
  <c r="H691" i="62"/>
  <c r="P690" i="62"/>
  <c r="O690" i="62"/>
  <c r="N690" i="62"/>
  <c r="M690" i="62"/>
  <c r="L690" i="62"/>
  <c r="K690" i="62"/>
  <c r="J690" i="62"/>
  <c r="H690" i="62"/>
  <c r="P689" i="62"/>
  <c r="O689" i="62"/>
  <c r="N689" i="62"/>
  <c r="M689" i="62"/>
  <c r="L689" i="62"/>
  <c r="K689" i="62"/>
  <c r="J689" i="62"/>
  <c r="H689" i="62"/>
  <c r="P688" i="62"/>
  <c r="O688" i="62"/>
  <c r="N688" i="62"/>
  <c r="M688" i="62"/>
  <c r="L688" i="62"/>
  <c r="K688" i="62"/>
  <c r="J688" i="62"/>
  <c r="H688" i="62"/>
  <c r="P687" i="62"/>
  <c r="O687" i="62"/>
  <c r="N687" i="62"/>
  <c r="M687" i="62"/>
  <c r="L687" i="62"/>
  <c r="K687" i="62"/>
  <c r="J687" i="62"/>
  <c r="H687" i="62"/>
  <c r="P686" i="62"/>
  <c r="O686" i="62"/>
  <c r="N686" i="62"/>
  <c r="M686" i="62"/>
  <c r="L686" i="62"/>
  <c r="K686" i="62"/>
  <c r="J686" i="62"/>
  <c r="H686" i="62"/>
  <c r="P685" i="62"/>
  <c r="O685" i="62"/>
  <c r="N685" i="62"/>
  <c r="M685" i="62"/>
  <c r="L685" i="62"/>
  <c r="K685" i="62"/>
  <c r="J685" i="62"/>
  <c r="H685" i="62"/>
  <c r="P684" i="62"/>
  <c r="O684" i="62"/>
  <c r="N684" i="62"/>
  <c r="M684" i="62"/>
  <c r="L684" i="62"/>
  <c r="K684" i="62"/>
  <c r="J684" i="62"/>
  <c r="H684" i="62"/>
  <c r="P683" i="62"/>
  <c r="O683" i="62"/>
  <c r="N683" i="62"/>
  <c r="M683" i="62"/>
  <c r="L683" i="62"/>
  <c r="K683" i="62"/>
  <c r="J683" i="62"/>
  <c r="H683" i="62"/>
  <c r="P682" i="62"/>
  <c r="O682" i="62"/>
  <c r="N682" i="62"/>
  <c r="M682" i="62"/>
  <c r="L682" i="62"/>
  <c r="K682" i="62"/>
  <c r="J682" i="62"/>
  <c r="H682" i="62"/>
  <c r="P681" i="62"/>
  <c r="O681" i="62"/>
  <c r="N681" i="62"/>
  <c r="M681" i="62"/>
  <c r="L681" i="62"/>
  <c r="K681" i="62"/>
  <c r="J681" i="62"/>
  <c r="H681" i="62"/>
  <c r="P680" i="62"/>
  <c r="O680" i="62"/>
  <c r="N680" i="62"/>
  <c r="M680" i="62"/>
  <c r="L680" i="62"/>
  <c r="K680" i="62"/>
  <c r="J680" i="62"/>
  <c r="H680" i="62"/>
  <c r="P679" i="62"/>
  <c r="O679" i="62"/>
  <c r="N679" i="62"/>
  <c r="M679" i="62"/>
  <c r="L679" i="62"/>
  <c r="K679" i="62"/>
  <c r="J679" i="62"/>
  <c r="H679" i="62"/>
  <c r="P678" i="62"/>
  <c r="O678" i="62"/>
  <c r="N678" i="62"/>
  <c r="M678" i="62"/>
  <c r="L678" i="62"/>
  <c r="K678" i="62"/>
  <c r="J678" i="62"/>
  <c r="H678" i="62"/>
  <c r="P677" i="62"/>
  <c r="O677" i="62"/>
  <c r="N677" i="62"/>
  <c r="M677" i="62"/>
  <c r="L677" i="62"/>
  <c r="K677" i="62"/>
  <c r="J677" i="62"/>
  <c r="H677" i="62"/>
  <c r="P676" i="62"/>
  <c r="O676" i="62"/>
  <c r="N676" i="62"/>
  <c r="M676" i="62"/>
  <c r="L676" i="62"/>
  <c r="K676" i="62"/>
  <c r="J676" i="62"/>
  <c r="H676" i="62"/>
  <c r="P675" i="62"/>
  <c r="O675" i="62"/>
  <c r="N675" i="62"/>
  <c r="M675" i="62"/>
  <c r="L675" i="62"/>
  <c r="K675" i="62"/>
  <c r="J675" i="62"/>
  <c r="H675" i="62"/>
  <c r="P674" i="62"/>
  <c r="O674" i="62"/>
  <c r="N674" i="62"/>
  <c r="M674" i="62"/>
  <c r="L674" i="62"/>
  <c r="K674" i="62"/>
  <c r="J674" i="62"/>
  <c r="H674" i="62"/>
  <c r="P673" i="62"/>
  <c r="O673" i="62"/>
  <c r="N673" i="62"/>
  <c r="M673" i="62"/>
  <c r="L673" i="62"/>
  <c r="K673" i="62"/>
  <c r="J673" i="62"/>
  <c r="H673" i="62"/>
  <c r="P672" i="62"/>
  <c r="O672" i="62"/>
  <c r="N672" i="62"/>
  <c r="M672" i="62"/>
  <c r="L672" i="62"/>
  <c r="K672" i="62"/>
  <c r="J672" i="62"/>
  <c r="H672" i="62"/>
  <c r="P671" i="62"/>
  <c r="O671" i="62"/>
  <c r="N671" i="62"/>
  <c r="M671" i="62"/>
  <c r="L671" i="62"/>
  <c r="K671" i="62"/>
  <c r="J671" i="62"/>
  <c r="H671" i="62"/>
  <c r="P670" i="62"/>
  <c r="O670" i="62"/>
  <c r="N670" i="62"/>
  <c r="M670" i="62"/>
  <c r="L670" i="62"/>
  <c r="K670" i="62"/>
  <c r="J670" i="62"/>
  <c r="H670" i="62"/>
  <c r="P669" i="62"/>
  <c r="O669" i="62"/>
  <c r="N669" i="62"/>
  <c r="M669" i="62"/>
  <c r="L669" i="62"/>
  <c r="K669" i="62"/>
  <c r="J669" i="62"/>
  <c r="H669" i="62"/>
  <c r="P668" i="62"/>
  <c r="O668" i="62"/>
  <c r="N668" i="62"/>
  <c r="M668" i="62"/>
  <c r="L668" i="62"/>
  <c r="K668" i="62"/>
  <c r="J668" i="62"/>
  <c r="H668" i="62"/>
  <c r="P667" i="62"/>
  <c r="O667" i="62"/>
  <c r="N667" i="62"/>
  <c r="M667" i="62"/>
  <c r="L667" i="62"/>
  <c r="K667" i="62"/>
  <c r="J667" i="62"/>
  <c r="H667" i="62"/>
  <c r="P666" i="62"/>
  <c r="O666" i="62"/>
  <c r="N666" i="62"/>
  <c r="M666" i="62"/>
  <c r="L666" i="62"/>
  <c r="K666" i="62"/>
  <c r="J666" i="62"/>
  <c r="H666" i="62"/>
  <c r="P665" i="62"/>
  <c r="O665" i="62"/>
  <c r="N665" i="62"/>
  <c r="M665" i="62"/>
  <c r="L665" i="62"/>
  <c r="K665" i="62"/>
  <c r="J665" i="62"/>
  <c r="H665" i="62"/>
  <c r="P664" i="62"/>
  <c r="O664" i="62"/>
  <c r="N664" i="62"/>
  <c r="M664" i="62"/>
  <c r="L664" i="62"/>
  <c r="K664" i="62"/>
  <c r="J664" i="62"/>
  <c r="H664" i="62"/>
  <c r="P663" i="62"/>
  <c r="O663" i="62"/>
  <c r="N663" i="62"/>
  <c r="M663" i="62"/>
  <c r="L663" i="62"/>
  <c r="K663" i="62"/>
  <c r="J663" i="62"/>
  <c r="H663" i="62"/>
  <c r="P662" i="62"/>
  <c r="O662" i="62"/>
  <c r="N662" i="62"/>
  <c r="M662" i="62"/>
  <c r="L662" i="62"/>
  <c r="K662" i="62"/>
  <c r="J662" i="62"/>
  <c r="H662" i="62"/>
  <c r="P661" i="62"/>
  <c r="O661" i="62"/>
  <c r="N661" i="62"/>
  <c r="M661" i="62"/>
  <c r="L661" i="62"/>
  <c r="K661" i="62"/>
  <c r="J661" i="62"/>
  <c r="H661" i="62"/>
  <c r="P660" i="62"/>
  <c r="O660" i="62"/>
  <c r="N660" i="62"/>
  <c r="M660" i="62"/>
  <c r="L660" i="62"/>
  <c r="K660" i="62"/>
  <c r="J660" i="62"/>
  <c r="H660" i="62"/>
  <c r="P659" i="62"/>
  <c r="O659" i="62"/>
  <c r="N659" i="62"/>
  <c r="M659" i="62"/>
  <c r="L659" i="62"/>
  <c r="K659" i="62"/>
  <c r="J659" i="62"/>
  <c r="H659" i="62"/>
  <c r="P658" i="62"/>
  <c r="O658" i="62"/>
  <c r="N658" i="62"/>
  <c r="M658" i="62"/>
  <c r="L658" i="62"/>
  <c r="K658" i="62"/>
  <c r="J658" i="62"/>
  <c r="H658" i="62"/>
  <c r="P657" i="62"/>
  <c r="O657" i="62"/>
  <c r="N657" i="62"/>
  <c r="M657" i="62"/>
  <c r="L657" i="62"/>
  <c r="K657" i="62"/>
  <c r="J657" i="62"/>
  <c r="H657" i="62"/>
  <c r="P656" i="62"/>
  <c r="O656" i="62"/>
  <c r="N656" i="62"/>
  <c r="M656" i="62"/>
  <c r="L656" i="62"/>
  <c r="K656" i="62"/>
  <c r="J656" i="62"/>
  <c r="H656" i="62"/>
  <c r="P655" i="62"/>
  <c r="O655" i="62"/>
  <c r="N655" i="62"/>
  <c r="M655" i="62"/>
  <c r="L655" i="62"/>
  <c r="K655" i="62"/>
  <c r="J655" i="62"/>
  <c r="H655" i="62"/>
  <c r="P654" i="62"/>
  <c r="O654" i="62"/>
  <c r="N654" i="62"/>
  <c r="M654" i="62"/>
  <c r="L654" i="62"/>
  <c r="K654" i="62"/>
  <c r="J654" i="62"/>
  <c r="H654" i="62"/>
  <c r="P653" i="62"/>
  <c r="O653" i="62"/>
  <c r="N653" i="62"/>
  <c r="M653" i="62"/>
  <c r="L653" i="62"/>
  <c r="K653" i="62"/>
  <c r="J653" i="62"/>
  <c r="H653" i="62"/>
  <c r="P652" i="62"/>
  <c r="O652" i="62"/>
  <c r="N652" i="62"/>
  <c r="M652" i="62"/>
  <c r="L652" i="62"/>
  <c r="K652" i="62"/>
  <c r="J652" i="62"/>
  <c r="H652" i="62"/>
  <c r="P651" i="62"/>
  <c r="O651" i="62"/>
  <c r="N651" i="62"/>
  <c r="M651" i="62"/>
  <c r="L651" i="62"/>
  <c r="K651" i="62"/>
  <c r="J651" i="62"/>
  <c r="H651" i="62"/>
  <c r="P650" i="62"/>
  <c r="O650" i="62"/>
  <c r="N650" i="62"/>
  <c r="M650" i="62"/>
  <c r="L650" i="62"/>
  <c r="K650" i="62"/>
  <c r="J650" i="62"/>
  <c r="H650" i="62"/>
  <c r="P649" i="62"/>
  <c r="O649" i="62"/>
  <c r="N649" i="62"/>
  <c r="M649" i="62"/>
  <c r="L649" i="62"/>
  <c r="K649" i="62"/>
  <c r="J649" i="62"/>
  <c r="H649" i="62"/>
  <c r="P648" i="62"/>
  <c r="O648" i="62"/>
  <c r="N648" i="62"/>
  <c r="M648" i="62"/>
  <c r="L648" i="62"/>
  <c r="K648" i="62"/>
  <c r="J648" i="62"/>
  <c r="H648" i="62"/>
  <c r="P647" i="62"/>
  <c r="O647" i="62"/>
  <c r="N647" i="62"/>
  <c r="M647" i="62"/>
  <c r="L647" i="62"/>
  <c r="K647" i="62"/>
  <c r="J647" i="62"/>
  <c r="H647" i="62"/>
  <c r="P646" i="62"/>
  <c r="O646" i="62"/>
  <c r="N646" i="62"/>
  <c r="M646" i="62"/>
  <c r="L646" i="62"/>
  <c r="K646" i="62"/>
  <c r="J646" i="62"/>
  <c r="H646" i="62"/>
  <c r="P645" i="62"/>
  <c r="O645" i="62"/>
  <c r="N645" i="62"/>
  <c r="M645" i="62"/>
  <c r="L645" i="62"/>
  <c r="K645" i="62"/>
  <c r="J645" i="62"/>
  <c r="H645" i="62"/>
  <c r="P644" i="62"/>
  <c r="O644" i="62"/>
  <c r="N644" i="62"/>
  <c r="M644" i="62"/>
  <c r="L644" i="62"/>
  <c r="K644" i="62"/>
  <c r="J644" i="62"/>
  <c r="H644" i="62"/>
  <c r="P643" i="62"/>
  <c r="O643" i="62"/>
  <c r="N643" i="62"/>
  <c r="M643" i="62"/>
  <c r="L643" i="62"/>
  <c r="K643" i="62"/>
  <c r="J643" i="62"/>
  <c r="H643" i="62"/>
  <c r="P642" i="62"/>
  <c r="O642" i="62"/>
  <c r="N642" i="62"/>
  <c r="M642" i="62"/>
  <c r="L642" i="62"/>
  <c r="K642" i="62"/>
  <c r="J642" i="62"/>
  <c r="H642" i="62"/>
  <c r="P641" i="62"/>
  <c r="O641" i="62"/>
  <c r="N641" i="62"/>
  <c r="M641" i="62"/>
  <c r="L641" i="62"/>
  <c r="K641" i="62"/>
  <c r="J641" i="62"/>
  <c r="H641" i="62"/>
  <c r="P640" i="62"/>
  <c r="O640" i="62"/>
  <c r="N640" i="62"/>
  <c r="M640" i="62"/>
  <c r="L640" i="62"/>
  <c r="K640" i="62"/>
  <c r="J640" i="62"/>
  <c r="H640" i="62"/>
  <c r="P639" i="62"/>
  <c r="O639" i="62"/>
  <c r="N639" i="62"/>
  <c r="M639" i="62"/>
  <c r="L639" i="62"/>
  <c r="K639" i="62"/>
  <c r="J639" i="62"/>
  <c r="H639" i="62"/>
  <c r="P638" i="62"/>
  <c r="O638" i="62"/>
  <c r="N638" i="62"/>
  <c r="M638" i="62"/>
  <c r="L638" i="62"/>
  <c r="K638" i="62"/>
  <c r="J638" i="62"/>
  <c r="H638" i="62"/>
  <c r="P637" i="62"/>
  <c r="O637" i="62"/>
  <c r="N637" i="62"/>
  <c r="M637" i="62"/>
  <c r="L637" i="62"/>
  <c r="K637" i="62"/>
  <c r="J637" i="62"/>
  <c r="H637" i="62"/>
  <c r="P636" i="62"/>
  <c r="O636" i="62"/>
  <c r="N636" i="62"/>
  <c r="M636" i="62"/>
  <c r="L636" i="62"/>
  <c r="K636" i="62"/>
  <c r="J636" i="62"/>
  <c r="H636" i="62"/>
  <c r="P635" i="62"/>
  <c r="O635" i="62"/>
  <c r="N635" i="62"/>
  <c r="M635" i="62"/>
  <c r="L635" i="62"/>
  <c r="K635" i="62"/>
  <c r="J635" i="62"/>
  <c r="H635" i="62"/>
  <c r="P634" i="62"/>
  <c r="O634" i="62"/>
  <c r="N634" i="62"/>
  <c r="M634" i="62"/>
  <c r="L634" i="62"/>
  <c r="K634" i="62"/>
  <c r="J634" i="62"/>
  <c r="H634" i="62"/>
  <c r="P633" i="62"/>
  <c r="O633" i="62"/>
  <c r="N633" i="62"/>
  <c r="M633" i="62"/>
  <c r="L633" i="62"/>
  <c r="K633" i="62"/>
  <c r="J633" i="62"/>
  <c r="H633" i="62"/>
  <c r="P632" i="62"/>
  <c r="O632" i="62"/>
  <c r="N632" i="62"/>
  <c r="M632" i="62"/>
  <c r="L632" i="62"/>
  <c r="K632" i="62"/>
  <c r="J632" i="62"/>
  <c r="H632" i="62"/>
  <c r="P631" i="62"/>
  <c r="O631" i="62"/>
  <c r="N631" i="62"/>
  <c r="M631" i="62"/>
  <c r="L631" i="62"/>
  <c r="K631" i="62"/>
  <c r="J631" i="62"/>
  <c r="H631" i="62"/>
  <c r="P630" i="62"/>
  <c r="O630" i="62"/>
  <c r="N630" i="62"/>
  <c r="M630" i="62"/>
  <c r="L630" i="62"/>
  <c r="K630" i="62"/>
  <c r="J630" i="62"/>
  <c r="H630" i="62"/>
  <c r="P629" i="62"/>
  <c r="O629" i="62"/>
  <c r="N629" i="62"/>
  <c r="M629" i="62"/>
  <c r="L629" i="62"/>
  <c r="K629" i="62"/>
  <c r="J629" i="62"/>
  <c r="H629" i="62"/>
  <c r="P628" i="62"/>
  <c r="O628" i="62"/>
  <c r="N628" i="62"/>
  <c r="M628" i="62"/>
  <c r="L628" i="62"/>
  <c r="K628" i="62"/>
  <c r="J628" i="62"/>
  <c r="H628" i="62"/>
  <c r="P627" i="62"/>
  <c r="O627" i="62"/>
  <c r="N627" i="62"/>
  <c r="M627" i="62"/>
  <c r="L627" i="62"/>
  <c r="K627" i="62"/>
  <c r="J627" i="62"/>
  <c r="H627" i="62"/>
  <c r="P626" i="62"/>
  <c r="O626" i="62"/>
  <c r="N626" i="62"/>
  <c r="M626" i="62"/>
  <c r="L626" i="62"/>
  <c r="K626" i="62"/>
  <c r="J626" i="62"/>
  <c r="H626" i="62"/>
  <c r="P625" i="62"/>
  <c r="O625" i="62"/>
  <c r="N625" i="62"/>
  <c r="M625" i="62"/>
  <c r="L625" i="62"/>
  <c r="K625" i="62"/>
  <c r="J625" i="62"/>
  <c r="H625" i="62"/>
  <c r="P624" i="62"/>
  <c r="O624" i="62"/>
  <c r="N624" i="62"/>
  <c r="M624" i="62"/>
  <c r="L624" i="62"/>
  <c r="K624" i="62"/>
  <c r="J624" i="62"/>
  <c r="H624" i="62"/>
  <c r="P623" i="62"/>
  <c r="O623" i="62"/>
  <c r="N623" i="62"/>
  <c r="M623" i="62"/>
  <c r="L623" i="62"/>
  <c r="K623" i="62"/>
  <c r="J623" i="62"/>
  <c r="H623" i="62"/>
  <c r="P622" i="62"/>
  <c r="O622" i="62"/>
  <c r="N622" i="62"/>
  <c r="M622" i="62"/>
  <c r="L622" i="62"/>
  <c r="K622" i="62"/>
  <c r="J622" i="62"/>
  <c r="H622" i="62"/>
  <c r="P621" i="62"/>
  <c r="O621" i="62"/>
  <c r="N621" i="62"/>
  <c r="M621" i="62"/>
  <c r="L621" i="62"/>
  <c r="K621" i="62"/>
  <c r="J621" i="62"/>
  <c r="H621" i="62"/>
  <c r="P620" i="62"/>
  <c r="O620" i="62"/>
  <c r="N620" i="62"/>
  <c r="M620" i="62"/>
  <c r="L620" i="62"/>
  <c r="K620" i="62"/>
  <c r="J620" i="62"/>
  <c r="H620" i="62"/>
  <c r="P619" i="62"/>
  <c r="O619" i="62"/>
  <c r="N619" i="62"/>
  <c r="M619" i="62"/>
  <c r="L619" i="62"/>
  <c r="K619" i="62"/>
  <c r="J619" i="62"/>
  <c r="H619" i="62"/>
  <c r="P618" i="62"/>
  <c r="O618" i="62"/>
  <c r="N618" i="62"/>
  <c r="M618" i="62"/>
  <c r="L618" i="62"/>
  <c r="K618" i="62"/>
  <c r="J618" i="62"/>
  <c r="H618" i="62"/>
  <c r="P617" i="62"/>
  <c r="O617" i="62"/>
  <c r="N617" i="62"/>
  <c r="M617" i="62"/>
  <c r="L617" i="62"/>
  <c r="K617" i="62"/>
  <c r="J617" i="62"/>
  <c r="H617" i="62"/>
  <c r="P616" i="62"/>
  <c r="O616" i="62"/>
  <c r="N616" i="62"/>
  <c r="M616" i="62"/>
  <c r="L616" i="62"/>
  <c r="K616" i="62"/>
  <c r="J616" i="62"/>
  <c r="H616" i="62"/>
  <c r="P615" i="62"/>
  <c r="O615" i="62"/>
  <c r="N615" i="62"/>
  <c r="M615" i="62"/>
  <c r="L615" i="62"/>
  <c r="K615" i="62"/>
  <c r="J615" i="62"/>
  <c r="H615" i="62"/>
  <c r="P614" i="62"/>
  <c r="O614" i="62"/>
  <c r="N614" i="62"/>
  <c r="M614" i="62"/>
  <c r="L614" i="62"/>
  <c r="K614" i="62"/>
  <c r="J614" i="62"/>
  <c r="H614" i="62"/>
  <c r="P613" i="62"/>
  <c r="O613" i="62"/>
  <c r="N613" i="62"/>
  <c r="M613" i="62"/>
  <c r="L613" i="62"/>
  <c r="K613" i="62"/>
  <c r="J613" i="62"/>
  <c r="H613" i="62"/>
  <c r="P612" i="62"/>
  <c r="O612" i="62"/>
  <c r="N612" i="62"/>
  <c r="M612" i="62"/>
  <c r="L612" i="62"/>
  <c r="K612" i="62"/>
  <c r="J612" i="62"/>
  <c r="H612" i="62"/>
  <c r="P611" i="62"/>
  <c r="O611" i="62"/>
  <c r="N611" i="62"/>
  <c r="M611" i="62"/>
  <c r="L611" i="62"/>
  <c r="K611" i="62"/>
  <c r="J611" i="62"/>
  <c r="H611" i="62"/>
  <c r="P610" i="62"/>
  <c r="O610" i="62"/>
  <c r="N610" i="62"/>
  <c r="M610" i="62"/>
  <c r="L610" i="62"/>
  <c r="K610" i="62"/>
  <c r="J610" i="62"/>
  <c r="H610" i="62"/>
  <c r="P609" i="62"/>
  <c r="O609" i="62"/>
  <c r="N609" i="62"/>
  <c r="M609" i="62"/>
  <c r="L609" i="62"/>
  <c r="K609" i="62"/>
  <c r="J609" i="62"/>
  <c r="H609" i="62"/>
  <c r="P608" i="62"/>
  <c r="O608" i="62"/>
  <c r="N608" i="62"/>
  <c r="M608" i="62"/>
  <c r="L608" i="62"/>
  <c r="K608" i="62"/>
  <c r="J608" i="62"/>
  <c r="H608" i="62"/>
  <c r="P607" i="62"/>
  <c r="O607" i="62"/>
  <c r="N607" i="62"/>
  <c r="M607" i="62"/>
  <c r="L607" i="62"/>
  <c r="K607" i="62"/>
  <c r="J607" i="62"/>
  <c r="H607" i="62"/>
  <c r="P606" i="62"/>
  <c r="O606" i="62"/>
  <c r="N606" i="62"/>
  <c r="M606" i="62"/>
  <c r="L606" i="62"/>
  <c r="K606" i="62"/>
  <c r="J606" i="62"/>
  <c r="H606" i="62"/>
  <c r="P605" i="62"/>
  <c r="O605" i="62"/>
  <c r="N605" i="62"/>
  <c r="M605" i="62"/>
  <c r="L605" i="62"/>
  <c r="K605" i="62"/>
  <c r="J605" i="62"/>
  <c r="H605" i="62"/>
  <c r="P604" i="62"/>
  <c r="O604" i="62"/>
  <c r="N604" i="62"/>
  <c r="M604" i="62"/>
  <c r="L604" i="62"/>
  <c r="K604" i="62"/>
  <c r="J604" i="62"/>
  <c r="H604" i="62"/>
  <c r="P603" i="62"/>
  <c r="O603" i="62"/>
  <c r="N603" i="62"/>
  <c r="M603" i="62"/>
  <c r="L603" i="62"/>
  <c r="K603" i="62"/>
  <c r="J603" i="62"/>
  <c r="H603" i="62"/>
  <c r="P602" i="62"/>
  <c r="O602" i="62"/>
  <c r="N602" i="62"/>
  <c r="M602" i="62"/>
  <c r="L602" i="62"/>
  <c r="K602" i="62"/>
  <c r="J602" i="62"/>
  <c r="H602" i="62"/>
  <c r="P601" i="62"/>
  <c r="O601" i="62"/>
  <c r="N601" i="62"/>
  <c r="M601" i="62"/>
  <c r="L601" i="62"/>
  <c r="K601" i="62"/>
  <c r="J601" i="62"/>
  <c r="H601" i="62"/>
  <c r="P600" i="62"/>
  <c r="O600" i="62"/>
  <c r="N600" i="62"/>
  <c r="M600" i="62"/>
  <c r="L600" i="62"/>
  <c r="K600" i="62"/>
  <c r="J600" i="62"/>
  <c r="H600" i="62"/>
  <c r="P599" i="62"/>
  <c r="O599" i="62"/>
  <c r="N599" i="62"/>
  <c r="M599" i="62"/>
  <c r="L599" i="62"/>
  <c r="K599" i="62"/>
  <c r="J599" i="62"/>
  <c r="H599" i="62"/>
  <c r="P598" i="62"/>
  <c r="O598" i="62"/>
  <c r="N598" i="62"/>
  <c r="M598" i="62"/>
  <c r="L598" i="62"/>
  <c r="K598" i="62"/>
  <c r="J598" i="62"/>
  <c r="H598" i="62"/>
  <c r="P597" i="62"/>
  <c r="O597" i="62"/>
  <c r="N597" i="62"/>
  <c r="M597" i="62"/>
  <c r="L597" i="62"/>
  <c r="K597" i="62"/>
  <c r="J597" i="62"/>
  <c r="H597" i="62"/>
  <c r="P596" i="62"/>
  <c r="O596" i="62"/>
  <c r="N596" i="62"/>
  <c r="M596" i="62"/>
  <c r="L596" i="62"/>
  <c r="K596" i="62"/>
  <c r="J596" i="62"/>
  <c r="H596" i="62"/>
  <c r="P595" i="62"/>
  <c r="O595" i="62"/>
  <c r="N595" i="62"/>
  <c r="M595" i="62"/>
  <c r="L595" i="62"/>
  <c r="K595" i="62"/>
  <c r="J595" i="62"/>
  <c r="H595" i="62"/>
  <c r="P594" i="62"/>
  <c r="O594" i="62"/>
  <c r="N594" i="62"/>
  <c r="M594" i="62"/>
  <c r="L594" i="62"/>
  <c r="K594" i="62"/>
  <c r="J594" i="62"/>
  <c r="H594" i="62"/>
  <c r="P593" i="62"/>
  <c r="O593" i="62"/>
  <c r="N593" i="62"/>
  <c r="M593" i="62"/>
  <c r="L593" i="62"/>
  <c r="K593" i="62"/>
  <c r="J593" i="62"/>
  <c r="H593" i="62"/>
  <c r="P592" i="62"/>
  <c r="O592" i="62"/>
  <c r="N592" i="62"/>
  <c r="M592" i="62"/>
  <c r="L592" i="62"/>
  <c r="K592" i="62"/>
  <c r="J592" i="62"/>
  <c r="H592" i="62"/>
  <c r="P591" i="62"/>
  <c r="O591" i="62"/>
  <c r="N591" i="62"/>
  <c r="M591" i="62"/>
  <c r="L591" i="62"/>
  <c r="K591" i="62"/>
  <c r="J591" i="62"/>
  <c r="H591" i="62"/>
  <c r="P590" i="62"/>
  <c r="O590" i="62"/>
  <c r="N590" i="62"/>
  <c r="M590" i="62"/>
  <c r="L590" i="62"/>
  <c r="K590" i="62"/>
  <c r="J590" i="62"/>
  <c r="H590" i="62"/>
  <c r="P589" i="62"/>
  <c r="O589" i="62"/>
  <c r="N589" i="62"/>
  <c r="M589" i="62"/>
  <c r="L589" i="62"/>
  <c r="K589" i="62"/>
  <c r="J589" i="62"/>
  <c r="H589" i="62"/>
  <c r="P588" i="62"/>
  <c r="O588" i="62"/>
  <c r="N588" i="62"/>
  <c r="M588" i="62"/>
  <c r="L588" i="62"/>
  <c r="K588" i="62"/>
  <c r="J588" i="62"/>
  <c r="H588" i="62"/>
  <c r="P587" i="62"/>
  <c r="O587" i="62"/>
  <c r="N587" i="62"/>
  <c r="M587" i="62"/>
  <c r="L587" i="62"/>
  <c r="K587" i="62"/>
  <c r="J587" i="62"/>
  <c r="H587" i="62"/>
  <c r="P586" i="62"/>
  <c r="O586" i="62"/>
  <c r="N586" i="62"/>
  <c r="M586" i="62"/>
  <c r="L586" i="62"/>
  <c r="K586" i="62"/>
  <c r="J586" i="62"/>
  <c r="H586" i="62"/>
  <c r="P585" i="62"/>
  <c r="O585" i="62"/>
  <c r="N585" i="62"/>
  <c r="M585" i="62"/>
  <c r="L585" i="62"/>
  <c r="K585" i="62"/>
  <c r="J585" i="62"/>
  <c r="H585" i="62"/>
  <c r="P584" i="62"/>
  <c r="O584" i="62"/>
  <c r="N584" i="62"/>
  <c r="M584" i="62"/>
  <c r="L584" i="62"/>
  <c r="K584" i="62"/>
  <c r="J584" i="62"/>
  <c r="H584" i="62"/>
  <c r="P583" i="62"/>
  <c r="O583" i="62"/>
  <c r="N583" i="62"/>
  <c r="M583" i="62"/>
  <c r="L583" i="62"/>
  <c r="K583" i="62"/>
  <c r="J583" i="62"/>
  <c r="H583" i="62"/>
  <c r="P582" i="62"/>
  <c r="O582" i="62"/>
  <c r="N582" i="62"/>
  <c r="M582" i="62"/>
  <c r="L582" i="62"/>
  <c r="K582" i="62"/>
  <c r="J582" i="62"/>
  <c r="H582" i="62"/>
  <c r="P581" i="62"/>
  <c r="O581" i="62"/>
  <c r="N581" i="62"/>
  <c r="M581" i="62"/>
  <c r="L581" i="62"/>
  <c r="K581" i="62"/>
  <c r="J581" i="62"/>
  <c r="H581" i="62"/>
  <c r="P580" i="62"/>
  <c r="O580" i="62"/>
  <c r="N580" i="62"/>
  <c r="M580" i="62"/>
  <c r="L580" i="62"/>
  <c r="K580" i="62"/>
  <c r="J580" i="62"/>
  <c r="H580" i="62"/>
  <c r="P579" i="62"/>
  <c r="O579" i="62"/>
  <c r="N579" i="62"/>
  <c r="M579" i="62"/>
  <c r="L579" i="62"/>
  <c r="K579" i="62"/>
  <c r="J579" i="62"/>
  <c r="H579" i="62"/>
  <c r="P578" i="62"/>
  <c r="O578" i="62"/>
  <c r="N578" i="62"/>
  <c r="M578" i="62"/>
  <c r="L578" i="62"/>
  <c r="K578" i="62"/>
  <c r="J578" i="62"/>
  <c r="H578" i="62"/>
  <c r="P577" i="62"/>
  <c r="O577" i="62"/>
  <c r="N577" i="62"/>
  <c r="M577" i="62"/>
  <c r="L577" i="62"/>
  <c r="K577" i="62"/>
  <c r="J577" i="62"/>
  <c r="H577" i="62"/>
  <c r="P576" i="62"/>
  <c r="O576" i="62"/>
  <c r="N576" i="62"/>
  <c r="M576" i="62"/>
  <c r="L576" i="62"/>
  <c r="K576" i="62"/>
  <c r="J576" i="62"/>
  <c r="H576" i="62"/>
  <c r="P575" i="62"/>
  <c r="O575" i="62"/>
  <c r="N575" i="62"/>
  <c r="M575" i="62"/>
  <c r="L575" i="62"/>
  <c r="K575" i="62"/>
  <c r="J575" i="62"/>
  <c r="H575" i="62"/>
  <c r="P574" i="62"/>
  <c r="O574" i="62"/>
  <c r="N574" i="62"/>
  <c r="M574" i="62"/>
  <c r="L574" i="62"/>
  <c r="K574" i="62"/>
  <c r="J574" i="62"/>
  <c r="H574" i="62"/>
  <c r="P573" i="62"/>
  <c r="O573" i="62"/>
  <c r="N573" i="62"/>
  <c r="M573" i="62"/>
  <c r="L573" i="62"/>
  <c r="K573" i="62"/>
  <c r="J573" i="62"/>
  <c r="H573" i="62"/>
  <c r="P572" i="62"/>
  <c r="O572" i="62"/>
  <c r="N572" i="62"/>
  <c r="M572" i="62"/>
  <c r="L572" i="62"/>
  <c r="K572" i="62"/>
  <c r="J572" i="62"/>
  <c r="H572" i="62"/>
  <c r="P571" i="62"/>
  <c r="O571" i="62"/>
  <c r="N571" i="62"/>
  <c r="M571" i="62"/>
  <c r="L571" i="62"/>
  <c r="K571" i="62"/>
  <c r="J571" i="62"/>
  <c r="H571" i="62"/>
  <c r="P570" i="62"/>
  <c r="O570" i="62"/>
  <c r="N570" i="62"/>
  <c r="M570" i="62"/>
  <c r="L570" i="62"/>
  <c r="K570" i="62"/>
  <c r="J570" i="62"/>
  <c r="H570" i="62"/>
  <c r="P569" i="62"/>
  <c r="O569" i="62"/>
  <c r="N569" i="62"/>
  <c r="M569" i="62"/>
  <c r="L569" i="62"/>
  <c r="K569" i="62"/>
  <c r="J569" i="62"/>
  <c r="H569" i="62"/>
  <c r="P568" i="62"/>
  <c r="O568" i="62"/>
  <c r="N568" i="62"/>
  <c r="M568" i="62"/>
  <c r="L568" i="62"/>
  <c r="K568" i="62"/>
  <c r="J568" i="62"/>
  <c r="H568" i="62"/>
  <c r="P567" i="62"/>
  <c r="O567" i="62"/>
  <c r="N567" i="62"/>
  <c r="M567" i="62"/>
  <c r="L567" i="62"/>
  <c r="K567" i="62"/>
  <c r="J567" i="62"/>
  <c r="H567" i="62"/>
  <c r="P566" i="62"/>
  <c r="O566" i="62"/>
  <c r="N566" i="62"/>
  <c r="M566" i="62"/>
  <c r="L566" i="62"/>
  <c r="K566" i="62"/>
  <c r="J566" i="62"/>
  <c r="H566" i="62"/>
  <c r="P565" i="62"/>
  <c r="O565" i="62"/>
  <c r="N565" i="62"/>
  <c r="M565" i="62"/>
  <c r="L565" i="62"/>
  <c r="K565" i="62"/>
  <c r="J565" i="62"/>
  <c r="H565" i="62"/>
  <c r="P564" i="62"/>
  <c r="O564" i="62"/>
  <c r="N564" i="62"/>
  <c r="M564" i="62"/>
  <c r="L564" i="62"/>
  <c r="K564" i="62"/>
  <c r="J564" i="62"/>
  <c r="H564" i="62"/>
  <c r="P563" i="62"/>
  <c r="O563" i="62"/>
  <c r="N563" i="62"/>
  <c r="M563" i="62"/>
  <c r="L563" i="62"/>
  <c r="K563" i="62"/>
  <c r="J563" i="62"/>
  <c r="H563" i="62"/>
  <c r="P562" i="62"/>
  <c r="O562" i="62"/>
  <c r="N562" i="62"/>
  <c r="M562" i="62"/>
  <c r="L562" i="62"/>
  <c r="K562" i="62"/>
  <c r="J562" i="62"/>
  <c r="H562" i="62"/>
  <c r="P561" i="62"/>
  <c r="O561" i="62"/>
  <c r="N561" i="62"/>
  <c r="M561" i="62"/>
  <c r="L561" i="62"/>
  <c r="K561" i="62"/>
  <c r="J561" i="62"/>
  <c r="H561" i="62"/>
  <c r="P560" i="62"/>
  <c r="O560" i="62"/>
  <c r="N560" i="62"/>
  <c r="M560" i="62"/>
  <c r="L560" i="62"/>
  <c r="K560" i="62"/>
  <c r="J560" i="62"/>
  <c r="H560" i="62"/>
  <c r="P559" i="62"/>
  <c r="O559" i="62"/>
  <c r="N559" i="62"/>
  <c r="M559" i="62"/>
  <c r="L559" i="62"/>
  <c r="K559" i="62"/>
  <c r="J559" i="62"/>
  <c r="H559" i="62"/>
  <c r="P558" i="62"/>
  <c r="O558" i="62"/>
  <c r="N558" i="62"/>
  <c r="M558" i="62"/>
  <c r="L558" i="62"/>
  <c r="K558" i="62"/>
  <c r="J558" i="62"/>
  <c r="H558" i="62"/>
  <c r="P557" i="62"/>
  <c r="O557" i="62"/>
  <c r="N557" i="62"/>
  <c r="M557" i="62"/>
  <c r="L557" i="62"/>
  <c r="K557" i="62"/>
  <c r="J557" i="62"/>
  <c r="H557" i="62"/>
  <c r="P556" i="62"/>
  <c r="O556" i="62"/>
  <c r="N556" i="62"/>
  <c r="M556" i="62"/>
  <c r="L556" i="62"/>
  <c r="K556" i="62"/>
  <c r="J556" i="62"/>
  <c r="H556" i="62"/>
  <c r="P555" i="62"/>
  <c r="O555" i="62"/>
  <c r="N555" i="62"/>
  <c r="M555" i="62"/>
  <c r="L555" i="62"/>
  <c r="K555" i="62"/>
  <c r="J555" i="62"/>
  <c r="H555" i="62"/>
  <c r="P554" i="62"/>
  <c r="O554" i="62"/>
  <c r="N554" i="62"/>
  <c r="M554" i="62"/>
  <c r="L554" i="62"/>
  <c r="K554" i="62"/>
  <c r="J554" i="62"/>
  <c r="H554" i="62"/>
  <c r="P553" i="62"/>
  <c r="O553" i="62"/>
  <c r="N553" i="62"/>
  <c r="M553" i="62"/>
  <c r="L553" i="62"/>
  <c r="K553" i="62"/>
  <c r="J553" i="62"/>
  <c r="H553" i="62"/>
  <c r="P552" i="62"/>
  <c r="O552" i="62"/>
  <c r="N552" i="62"/>
  <c r="M552" i="62"/>
  <c r="L552" i="62"/>
  <c r="K552" i="62"/>
  <c r="J552" i="62"/>
  <c r="H552" i="62"/>
  <c r="P551" i="62"/>
  <c r="O551" i="62"/>
  <c r="N551" i="62"/>
  <c r="M551" i="62"/>
  <c r="L551" i="62"/>
  <c r="K551" i="62"/>
  <c r="J551" i="62"/>
  <c r="H551" i="62"/>
  <c r="P550" i="62"/>
  <c r="O550" i="62"/>
  <c r="N550" i="62"/>
  <c r="M550" i="62"/>
  <c r="L550" i="62"/>
  <c r="K550" i="62"/>
  <c r="J550" i="62"/>
  <c r="H550" i="62"/>
  <c r="P549" i="62"/>
  <c r="O549" i="62"/>
  <c r="N549" i="62"/>
  <c r="M549" i="62"/>
  <c r="L549" i="62"/>
  <c r="K549" i="62"/>
  <c r="J549" i="62"/>
  <c r="H549" i="62"/>
  <c r="P548" i="62"/>
  <c r="O548" i="62"/>
  <c r="N548" i="62"/>
  <c r="M548" i="62"/>
  <c r="L548" i="62"/>
  <c r="K548" i="62"/>
  <c r="J548" i="62"/>
  <c r="H548" i="62"/>
  <c r="P547" i="62"/>
  <c r="O547" i="62"/>
  <c r="N547" i="62"/>
  <c r="M547" i="62"/>
  <c r="L547" i="62"/>
  <c r="K547" i="62"/>
  <c r="J547" i="62"/>
  <c r="H547" i="62"/>
  <c r="P546" i="62"/>
  <c r="O546" i="62"/>
  <c r="N546" i="62"/>
  <c r="M546" i="62"/>
  <c r="L546" i="62"/>
  <c r="K546" i="62"/>
  <c r="J546" i="62"/>
  <c r="H546" i="62"/>
  <c r="P545" i="62"/>
  <c r="O545" i="62"/>
  <c r="N545" i="62"/>
  <c r="M545" i="62"/>
  <c r="L545" i="62"/>
  <c r="K545" i="62"/>
  <c r="J545" i="62"/>
  <c r="H545" i="62"/>
  <c r="P544" i="62"/>
  <c r="O544" i="62"/>
  <c r="N544" i="62"/>
  <c r="M544" i="62"/>
  <c r="L544" i="62"/>
  <c r="K544" i="62"/>
  <c r="J544" i="62"/>
  <c r="H544" i="62"/>
  <c r="P543" i="62"/>
  <c r="O543" i="62"/>
  <c r="N543" i="62"/>
  <c r="M543" i="62"/>
  <c r="L543" i="62"/>
  <c r="K543" i="62"/>
  <c r="J543" i="62"/>
  <c r="H543" i="62"/>
  <c r="P542" i="62"/>
  <c r="O542" i="62"/>
  <c r="N542" i="62"/>
  <c r="M542" i="62"/>
  <c r="L542" i="62"/>
  <c r="K542" i="62"/>
  <c r="J542" i="62"/>
  <c r="H542" i="62"/>
  <c r="P541" i="62"/>
  <c r="O541" i="62"/>
  <c r="N541" i="62"/>
  <c r="M541" i="62"/>
  <c r="L541" i="62"/>
  <c r="K541" i="62"/>
  <c r="J541" i="62"/>
  <c r="H541" i="62"/>
  <c r="P540" i="62"/>
  <c r="O540" i="62"/>
  <c r="N540" i="62"/>
  <c r="M540" i="62"/>
  <c r="L540" i="62"/>
  <c r="K540" i="62"/>
  <c r="J540" i="62"/>
  <c r="H540" i="62"/>
  <c r="P539" i="62"/>
  <c r="O539" i="62"/>
  <c r="N539" i="62"/>
  <c r="M539" i="62"/>
  <c r="L539" i="62"/>
  <c r="K539" i="62"/>
  <c r="J539" i="62"/>
  <c r="H539" i="62"/>
  <c r="P538" i="62"/>
  <c r="O538" i="62"/>
  <c r="N538" i="62"/>
  <c r="M538" i="62"/>
  <c r="L538" i="62"/>
  <c r="K538" i="62"/>
  <c r="J538" i="62"/>
  <c r="H538" i="62"/>
  <c r="P537" i="62"/>
  <c r="O537" i="62"/>
  <c r="N537" i="62"/>
  <c r="M537" i="62"/>
  <c r="L537" i="62"/>
  <c r="K537" i="62"/>
  <c r="J537" i="62"/>
  <c r="H537" i="62"/>
  <c r="P536" i="62"/>
  <c r="O536" i="62"/>
  <c r="N536" i="62"/>
  <c r="M536" i="62"/>
  <c r="L536" i="62"/>
  <c r="K536" i="62"/>
  <c r="J536" i="62"/>
  <c r="H536" i="62"/>
  <c r="P535" i="62"/>
  <c r="O535" i="62"/>
  <c r="N535" i="62"/>
  <c r="M535" i="62"/>
  <c r="L535" i="62"/>
  <c r="K535" i="62"/>
  <c r="J535" i="62"/>
  <c r="H535" i="62"/>
  <c r="P534" i="62"/>
  <c r="O534" i="62"/>
  <c r="N534" i="62"/>
  <c r="M534" i="62"/>
  <c r="L534" i="62"/>
  <c r="K534" i="62"/>
  <c r="J534" i="62"/>
  <c r="H534" i="62"/>
  <c r="P533" i="62"/>
  <c r="O533" i="62"/>
  <c r="N533" i="62"/>
  <c r="M533" i="62"/>
  <c r="L533" i="62"/>
  <c r="K533" i="62"/>
  <c r="J533" i="62"/>
  <c r="H533" i="62"/>
  <c r="P532" i="62"/>
  <c r="O532" i="62"/>
  <c r="N532" i="62"/>
  <c r="M532" i="62"/>
  <c r="L532" i="62"/>
  <c r="K532" i="62"/>
  <c r="J532" i="62"/>
  <c r="H532" i="62"/>
  <c r="P531" i="62"/>
  <c r="O531" i="62"/>
  <c r="N531" i="62"/>
  <c r="M531" i="62"/>
  <c r="L531" i="62"/>
  <c r="K531" i="62"/>
  <c r="J531" i="62"/>
  <c r="H531" i="62"/>
  <c r="P530" i="62"/>
  <c r="O530" i="62"/>
  <c r="N530" i="62"/>
  <c r="M530" i="62"/>
  <c r="L530" i="62"/>
  <c r="K530" i="62"/>
  <c r="J530" i="62"/>
  <c r="H530" i="62"/>
  <c r="P529" i="62"/>
  <c r="O529" i="62"/>
  <c r="N529" i="62"/>
  <c r="M529" i="62"/>
  <c r="L529" i="62"/>
  <c r="K529" i="62"/>
  <c r="J529" i="62"/>
  <c r="H529" i="62"/>
  <c r="P528" i="62"/>
  <c r="O528" i="62"/>
  <c r="N528" i="62"/>
  <c r="M528" i="62"/>
  <c r="L528" i="62"/>
  <c r="K528" i="62"/>
  <c r="J528" i="62"/>
  <c r="H528" i="62"/>
  <c r="P527" i="62"/>
  <c r="O527" i="62"/>
  <c r="N527" i="62"/>
  <c r="M527" i="62"/>
  <c r="L527" i="62"/>
  <c r="K527" i="62"/>
  <c r="J527" i="62"/>
  <c r="H527" i="62"/>
  <c r="P526" i="62"/>
  <c r="O526" i="62"/>
  <c r="N526" i="62"/>
  <c r="M526" i="62"/>
  <c r="L526" i="62"/>
  <c r="K526" i="62"/>
  <c r="J526" i="62"/>
  <c r="H526" i="62"/>
  <c r="P525" i="62"/>
  <c r="O525" i="62"/>
  <c r="N525" i="62"/>
  <c r="M525" i="62"/>
  <c r="L525" i="62"/>
  <c r="K525" i="62"/>
  <c r="J525" i="62"/>
  <c r="H525" i="62"/>
  <c r="P524" i="62"/>
  <c r="O524" i="62"/>
  <c r="N524" i="62"/>
  <c r="M524" i="62"/>
  <c r="L524" i="62"/>
  <c r="K524" i="62"/>
  <c r="J524" i="62"/>
  <c r="H524" i="62"/>
  <c r="P523" i="62"/>
  <c r="O523" i="62"/>
  <c r="N523" i="62"/>
  <c r="M523" i="62"/>
  <c r="L523" i="62"/>
  <c r="K523" i="62"/>
  <c r="J523" i="62"/>
  <c r="H523" i="62"/>
  <c r="P522" i="62"/>
  <c r="O522" i="62"/>
  <c r="N522" i="62"/>
  <c r="M522" i="62"/>
  <c r="L522" i="62"/>
  <c r="K522" i="62"/>
  <c r="J522" i="62"/>
  <c r="H522" i="62"/>
  <c r="P521" i="62"/>
  <c r="O521" i="62"/>
  <c r="N521" i="62"/>
  <c r="M521" i="62"/>
  <c r="L521" i="62"/>
  <c r="K521" i="62"/>
  <c r="J521" i="62"/>
  <c r="H521" i="62"/>
  <c r="P520" i="62"/>
  <c r="O520" i="62"/>
  <c r="N520" i="62"/>
  <c r="M520" i="62"/>
  <c r="L520" i="62"/>
  <c r="K520" i="62"/>
  <c r="J520" i="62"/>
  <c r="H520" i="62"/>
  <c r="P519" i="62"/>
  <c r="O519" i="62"/>
  <c r="N519" i="62"/>
  <c r="M519" i="62"/>
  <c r="L519" i="62"/>
  <c r="K519" i="62"/>
  <c r="J519" i="62"/>
  <c r="H519" i="62"/>
  <c r="P518" i="62"/>
  <c r="O518" i="62"/>
  <c r="N518" i="62"/>
  <c r="M518" i="62"/>
  <c r="L518" i="62"/>
  <c r="K518" i="62"/>
  <c r="J518" i="62"/>
  <c r="H518" i="62"/>
  <c r="P517" i="62"/>
  <c r="O517" i="62"/>
  <c r="N517" i="62"/>
  <c r="M517" i="62"/>
  <c r="L517" i="62"/>
  <c r="K517" i="62"/>
  <c r="J517" i="62"/>
  <c r="H517" i="62"/>
  <c r="P516" i="62"/>
  <c r="O516" i="62"/>
  <c r="N516" i="62"/>
  <c r="M516" i="62"/>
  <c r="L516" i="62"/>
  <c r="K516" i="62"/>
  <c r="J516" i="62"/>
  <c r="H516" i="62"/>
  <c r="P515" i="62"/>
  <c r="O515" i="62"/>
  <c r="N515" i="62"/>
  <c r="M515" i="62"/>
  <c r="L515" i="62"/>
  <c r="K515" i="62"/>
  <c r="J515" i="62"/>
  <c r="H515" i="62"/>
  <c r="P514" i="62"/>
  <c r="O514" i="62"/>
  <c r="N514" i="62"/>
  <c r="M514" i="62"/>
  <c r="L514" i="62"/>
  <c r="K514" i="62"/>
  <c r="J514" i="62"/>
  <c r="H514" i="62"/>
  <c r="P513" i="62"/>
  <c r="O513" i="62"/>
  <c r="N513" i="62"/>
  <c r="M513" i="62"/>
  <c r="L513" i="62"/>
  <c r="K513" i="62"/>
  <c r="J513" i="62"/>
  <c r="H513" i="62"/>
  <c r="P512" i="62"/>
  <c r="O512" i="62"/>
  <c r="N512" i="62"/>
  <c r="M512" i="62"/>
  <c r="L512" i="62"/>
  <c r="K512" i="62"/>
  <c r="J512" i="62"/>
  <c r="H512" i="62"/>
  <c r="P511" i="62"/>
  <c r="O511" i="62"/>
  <c r="N511" i="62"/>
  <c r="M511" i="62"/>
  <c r="L511" i="62"/>
  <c r="K511" i="62"/>
  <c r="J511" i="62"/>
  <c r="H511" i="62"/>
  <c r="P510" i="62"/>
  <c r="O510" i="62"/>
  <c r="N510" i="62"/>
  <c r="M510" i="62"/>
  <c r="L510" i="62"/>
  <c r="K510" i="62"/>
  <c r="J510" i="62"/>
  <c r="H510" i="62"/>
  <c r="P509" i="62"/>
  <c r="O509" i="62"/>
  <c r="N509" i="62"/>
  <c r="M509" i="62"/>
  <c r="L509" i="62"/>
  <c r="K509" i="62"/>
  <c r="J509" i="62"/>
  <c r="H509" i="62"/>
  <c r="P508" i="62"/>
  <c r="O508" i="62"/>
  <c r="N508" i="62"/>
  <c r="M508" i="62"/>
  <c r="L508" i="62"/>
  <c r="K508" i="62"/>
  <c r="J508" i="62"/>
  <c r="H508" i="62"/>
  <c r="P507" i="62"/>
  <c r="O507" i="62"/>
  <c r="N507" i="62"/>
  <c r="M507" i="62"/>
  <c r="L507" i="62"/>
  <c r="K507" i="62"/>
  <c r="J507" i="62"/>
  <c r="H507" i="62"/>
  <c r="P506" i="62"/>
  <c r="O506" i="62"/>
  <c r="N506" i="62"/>
  <c r="M506" i="62"/>
  <c r="L506" i="62"/>
  <c r="K506" i="62"/>
  <c r="J506" i="62"/>
  <c r="H506" i="62"/>
  <c r="P505" i="62"/>
  <c r="O505" i="62"/>
  <c r="N505" i="62"/>
  <c r="M505" i="62"/>
  <c r="L505" i="62"/>
  <c r="K505" i="62"/>
  <c r="J505" i="62"/>
  <c r="H505" i="62"/>
  <c r="P504" i="62"/>
  <c r="O504" i="62"/>
  <c r="N504" i="62"/>
  <c r="M504" i="62"/>
  <c r="L504" i="62"/>
  <c r="K504" i="62"/>
  <c r="J504" i="62"/>
  <c r="H504" i="62"/>
  <c r="P503" i="62"/>
  <c r="O503" i="62"/>
  <c r="N503" i="62"/>
  <c r="M503" i="62"/>
  <c r="L503" i="62"/>
  <c r="K503" i="62"/>
  <c r="J503" i="62"/>
  <c r="H503" i="62"/>
  <c r="P502" i="62"/>
  <c r="O502" i="62"/>
  <c r="N502" i="62"/>
  <c r="M502" i="62"/>
  <c r="L502" i="62"/>
  <c r="K502" i="62"/>
  <c r="J502" i="62"/>
  <c r="H502" i="62"/>
  <c r="P501" i="62"/>
  <c r="O501" i="62"/>
  <c r="N501" i="62"/>
  <c r="M501" i="62"/>
  <c r="L501" i="62"/>
  <c r="K501" i="62"/>
  <c r="J501" i="62"/>
  <c r="H501" i="62"/>
  <c r="P500" i="62"/>
  <c r="O500" i="62"/>
  <c r="N500" i="62"/>
  <c r="M500" i="62"/>
  <c r="L500" i="62"/>
  <c r="K500" i="62"/>
  <c r="J500" i="62"/>
  <c r="H500" i="62"/>
  <c r="P499" i="62"/>
  <c r="O499" i="62"/>
  <c r="N499" i="62"/>
  <c r="M499" i="62"/>
  <c r="L499" i="62"/>
  <c r="K499" i="62"/>
  <c r="J499" i="62"/>
  <c r="H499" i="62"/>
  <c r="P498" i="62"/>
  <c r="O498" i="62"/>
  <c r="N498" i="62"/>
  <c r="M498" i="62"/>
  <c r="L498" i="62"/>
  <c r="K498" i="62"/>
  <c r="J498" i="62"/>
  <c r="H498" i="62"/>
  <c r="P497" i="62"/>
  <c r="O497" i="62"/>
  <c r="N497" i="62"/>
  <c r="M497" i="62"/>
  <c r="L497" i="62"/>
  <c r="K497" i="62"/>
  <c r="J497" i="62"/>
  <c r="H497" i="62"/>
  <c r="P496" i="62"/>
  <c r="O496" i="62"/>
  <c r="N496" i="62"/>
  <c r="M496" i="62"/>
  <c r="L496" i="62"/>
  <c r="K496" i="62"/>
  <c r="J496" i="62"/>
  <c r="H496" i="62"/>
  <c r="P495" i="62"/>
  <c r="O495" i="62"/>
  <c r="N495" i="62"/>
  <c r="M495" i="62"/>
  <c r="L495" i="62"/>
  <c r="K495" i="62"/>
  <c r="J495" i="62"/>
  <c r="H495" i="62"/>
  <c r="P494" i="62"/>
  <c r="O494" i="62"/>
  <c r="N494" i="62"/>
  <c r="M494" i="62"/>
  <c r="L494" i="62"/>
  <c r="K494" i="62"/>
  <c r="J494" i="62"/>
  <c r="H494" i="62"/>
  <c r="P493" i="62"/>
  <c r="O493" i="62"/>
  <c r="N493" i="62"/>
  <c r="M493" i="62"/>
  <c r="L493" i="62"/>
  <c r="K493" i="62"/>
  <c r="J493" i="62"/>
  <c r="H493" i="62"/>
  <c r="P492" i="62"/>
  <c r="O492" i="62"/>
  <c r="N492" i="62"/>
  <c r="M492" i="62"/>
  <c r="L492" i="62"/>
  <c r="K492" i="62"/>
  <c r="J492" i="62"/>
  <c r="H492" i="62"/>
  <c r="P491" i="62"/>
  <c r="O491" i="62"/>
  <c r="N491" i="62"/>
  <c r="M491" i="62"/>
  <c r="L491" i="62"/>
  <c r="K491" i="62"/>
  <c r="J491" i="62"/>
  <c r="H491" i="62"/>
  <c r="P490" i="62"/>
  <c r="O490" i="62"/>
  <c r="N490" i="62"/>
  <c r="M490" i="62"/>
  <c r="L490" i="62"/>
  <c r="K490" i="62"/>
  <c r="J490" i="62"/>
  <c r="H490" i="62"/>
  <c r="P489" i="62"/>
  <c r="O489" i="62"/>
  <c r="N489" i="62"/>
  <c r="M489" i="62"/>
  <c r="L489" i="62"/>
  <c r="K489" i="62"/>
  <c r="J489" i="62"/>
  <c r="H489" i="62"/>
  <c r="P488" i="62"/>
  <c r="O488" i="62"/>
  <c r="N488" i="62"/>
  <c r="M488" i="62"/>
  <c r="L488" i="62"/>
  <c r="K488" i="62"/>
  <c r="J488" i="62"/>
  <c r="H488" i="62"/>
  <c r="P487" i="62"/>
  <c r="O487" i="62"/>
  <c r="N487" i="62"/>
  <c r="M487" i="62"/>
  <c r="L487" i="62"/>
  <c r="K487" i="62"/>
  <c r="J487" i="62"/>
  <c r="H487" i="62"/>
  <c r="P486" i="62"/>
  <c r="O486" i="62"/>
  <c r="N486" i="62"/>
  <c r="M486" i="62"/>
  <c r="L486" i="62"/>
  <c r="K486" i="62"/>
  <c r="J486" i="62"/>
  <c r="H486" i="62"/>
  <c r="P485" i="62"/>
  <c r="O485" i="62"/>
  <c r="N485" i="62"/>
  <c r="M485" i="62"/>
  <c r="L485" i="62"/>
  <c r="K485" i="62"/>
  <c r="J485" i="62"/>
  <c r="H485" i="62"/>
  <c r="P484" i="62"/>
  <c r="O484" i="62"/>
  <c r="N484" i="62"/>
  <c r="M484" i="62"/>
  <c r="L484" i="62"/>
  <c r="K484" i="62"/>
  <c r="J484" i="62"/>
  <c r="H484" i="62"/>
  <c r="P483" i="62"/>
  <c r="O483" i="62"/>
  <c r="N483" i="62"/>
  <c r="M483" i="62"/>
  <c r="L483" i="62"/>
  <c r="K483" i="62"/>
  <c r="J483" i="62"/>
  <c r="H483" i="62"/>
  <c r="P482" i="62"/>
  <c r="O482" i="62"/>
  <c r="N482" i="62"/>
  <c r="M482" i="62"/>
  <c r="L482" i="62"/>
  <c r="K482" i="62"/>
  <c r="J482" i="62"/>
  <c r="H482" i="62"/>
  <c r="P481" i="62"/>
  <c r="O481" i="62"/>
  <c r="N481" i="62"/>
  <c r="M481" i="62"/>
  <c r="L481" i="62"/>
  <c r="K481" i="62"/>
  <c r="J481" i="62"/>
  <c r="H481" i="62"/>
  <c r="P480" i="62"/>
  <c r="O480" i="62"/>
  <c r="N480" i="62"/>
  <c r="M480" i="62"/>
  <c r="L480" i="62"/>
  <c r="K480" i="62"/>
  <c r="J480" i="62"/>
  <c r="H480" i="62"/>
  <c r="P479" i="62"/>
  <c r="O479" i="62"/>
  <c r="N479" i="62"/>
  <c r="M479" i="62"/>
  <c r="L479" i="62"/>
  <c r="K479" i="62"/>
  <c r="J479" i="62"/>
  <c r="H479" i="62"/>
  <c r="P478" i="62"/>
  <c r="O478" i="62"/>
  <c r="N478" i="62"/>
  <c r="M478" i="62"/>
  <c r="L478" i="62"/>
  <c r="K478" i="62"/>
  <c r="J478" i="62"/>
  <c r="H478" i="62"/>
  <c r="P477" i="62"/>
  <c r="O477" i="62"/>
  <c r="N477" i="62"/>
  <c r="M477" i="62"/>
  <c r="L477" i="62"/>
  <c r="K477" i="62"/>
  <c r="J477" i="62"/>
  <c r="H477" i="62"/>
  <c r="P476" i="62"/>
  <c r="O476" i="62"/>
  <c r="N476" i="62"/>
  <c r="M476" i="62"/>
  <c r="L476" i="62"/>
  <c r="K476" i="62"/>
  <c r="J476" i="62"/>
  <c r="H476" i="62"/>
  <c r="P475" i="62"/>
  <c r="O475" i="62"/>
  <c r="N475" i="62"/>
  <c r="M475" i="62"/>
  <c r="L475" i="62"/>
  <c r="K475" i="62"/>
  <c r="J475" i="62"/>
  <c r="H475" i="62"/>
  <c r="P474" i="62"/>
  <c r="O474" i="62"/>
  <c r="N474" i="62"/>
  <c r="M474" i="62"/>
  <c r="L474" i="62"/>
  <c r="K474" i="62"/>
  <c r="J474" i="62"/>
  <c r="H474" i="62"/>
  <c r="P473" i="62"/>
  <c r="O473" i="62"/>
  <c r="N473" i="62"/>
  <c r="M473" i="62"/>
  <c r="L473" i="62"/>
  <c r="K473" i="62"/>
  <c r="J473" i="62"/>
  <c r="H473" i="62"/>
  <c r="P472" i="62"/>
  <c r="O472" i="62"/>
  <c r="N472" i="62"/>
  <c r="M472" i="62"/>
  <c r="L472" i="62"/>
  <c r="K472" i="62"/>
  <c r="J472" i="62"/>
  <c r="H472" i="62"/>
  <c r="P471" i="62"/>
  <c r="O471" i="62"/>
  <c r="N471" i="62"/>
  <c r="M471" i="62"/>
  <c r="L471" i="62"/>
  <c r="K471" i="62"/>
  <c r="J471" i="62"/>
  <c r="H471" i="62"/>
  <c r="P470" i="62"/>
  <c r="O470" i="62"/>
  <c r="N470" i="62"/>
  <c r="M470" i="62"/>
  <c r="L470" i="62"/>
  <c r="K470" i="62"/>
  <c r="J470" i="62"/>
  <c r="H470" i="62"/>
  <c r="P469" i="62"/>
  <c r="O469" i="62"/>
  <c r="N469" i="62"/>
  <c r="M469" i="62"/>
  <c r="L469" i="62"/>
  <c r="K469" i="62"/>
  <c r="J469" i="62"/>
  <c r="H469" i="62"/>
  <c r="P468" i="62"/>
  <c r="O468" i="62"/>
  <c r="N468" i="62"/>
  <c r="M468" i="62"/>
  <c r="L468" i="62"/>
  <c r="K468" i="62"/>
  <c r="J468" i="62"/>
  <c r="H468" i="62"/>
  <c r="P467" i="62"/>
  <c r="O467" i="62"/>
  <c r="N467" i="62"/>
  <c r="M467" i="62"/>
  <c r="L467" i="62"/>
  <c r="K467" i="62"/>
  <c r="J467" i="62"/>
  <c r="H467" i="62"/>
  <c r="P466" i="62"/>
  <c r="O466" i="62"/>
  <c r="N466" i="62"/>
  <c r="M466" i="62"/>
  <c r="L466" i="62"/>
  <c r="K466" i="62"/>
  <c r="J466" i="62"/>
  <c r="H466" i="62"/>
  <c r="P465" i="62"/>
  <c r="O465" i="62"/>
  <c r="N465" i="62"/>
  <c r="M465" i="62"/>
  <c r="L465" i="62"/>
  <c r="K465" i="62"/>
  <c r="J465" i="62"/>
  <c r="H465" i="62"/>
  <c r="P464" i="62"/>
  <c r="O464" i="62"/>
  <c r="N464" i="62"/>
  <c r="M464" i="62"/>
  <c r="L464" i="62"/>
  <c r="K464" i="62"/>
  <c r="J464" i="62"/>
  <c r="H464" i="62"/>
  <c r="P463" i="62"/>
  <c r="O463" i="62"/>
  <c r="N463" i="62"/>
  <c r="M463" i="62"/>
  <c r="L463" i="62"/>
  <c r="K463" i="62"/>
  <c r="J463" i="62"/>
  <c r="H463" i="62"/>
  <c r="P462" i="62"/>
  <c r="O462" i="62"/>
  <c r="N462" i="62"/>
  <c r="M462" i="62"/>
  <c r="L462" i="62"/>
  <c r="K462" i="62"/>
  <c r="J462" i="62"/>
  <c r="H462" i="62"/>
  <c r="P461" i="62"/>
  <c r="O461" i="62"/>
  <c r="N461" i="62"/>
  <c r="M461" i="62"/>
  <c r="L461" i="62"/>
  <c r="K461" i="62"/>
  <c r="J461" i="62"/>
  <c r="H461" i="62"/>
  <c r="P460" i="62"/>
  <c r="O460" i="62"/>
  <c r="N460" i="62"/>
  <c r="M460" i="62"/>
  <c r="L460" i="62"/>
  <c r="K460" i="62"/>
  <c r="J460" i="62"/>
  <c r="H460" i="62"/>
  <c r="P459" i="62"/>
  <c r="O459" i="62"/>
  <c r="N459" i="62"/>
  <c r="M459" i="62"/>
  <c r="L459" i="62"/>
  <c r="K459" i="62"/>
  <c r="J459" i="62"/>
  <c r="H459" i="62"/>
  <c r="P458" i="62"/>
  <c r="O458" i="62"/>
  <c r="N458" i="62"/>
  <c r="M458" i="62"/>
  <c r="L458" i="62"/>
  <c r="K458" i="62"/>
  <c r="J458" i="62"/>
  <c r="H458" i="62"/>
  <c r="P457" i="62"/>
  <c r="O457" i="62"/>
  <c r="N457" i="62"/>
  <c r="M457" i="62"/>
  <c r="L457" i="62"/>
  <c r="K457" i="62"/>
  <c r="J457" i="62"/>
  <c r="H457" i="62"/>
  <c r="P456" i="62"/>
  <c r="O456" i="62"/>
  <c r="N456" i="62"/>
  <c r="M456" i="62"/>
  <c r="L456" i="62"/>
  <c r="K456" i="62"/>
  <c r="J456" i="62"/>
  <c r="H456" i="62"/>
  <c r="P455" i="62"/>
  <c r="O455" i="62"/>
  <c r="N455" i="62"/>
  <c r="M455" i="62"/>
  <c r="L455" i="62"/>
  <c r="K455" i="62"/>
  <c r="J455" i="62"/>
  <c r="H455" i="62"/>
  <c r="P454" i="62"/>
  <c r="O454" i="62"/>
  <c r="N454" i="62"/>
  <c r="M454" i="62"/>
  <c r="L454" i="62"/>
  <c r="K454" i="62"/>
  <c r="J454" i="62"/>
  <c r="H454" i="62"/>
  <c r="P453" i="62"/>
  <c r="O453" i="62"/>
  <c r="N453" i="62"/>
  <c r="M453" i="62"/>
  <c r="L453" i="62"/>
  <c r="K453" i="62"/>
  <c r="J453" i="62"/>
  <c r="H453" i="62"/>
  <c r="P452" i="62"/>
  <c r="O452" i="62"/>
  <c r="N452" i="62"/>
  <c r="M452" i="62"/>
  <c r="L452" i="62"/>
  <c r="K452" i="62"/>
  <c r="J452" i="62"/>
  <c r="H452" i="62"/>
  <c r="P451" i="62"/>
  <c r="O451" i="62"/>
  <c r="N451" i="62"/>
  <c r="M451" i="62"/>
  <c r="L451" i="62"/>
  <c r="K451" i="62"/>
  <c r="J451" i="62"/>
  <c r="H451" i="62"/>
  <c r="P450" i="62"/>
  <c r="O450" i="62"/>
  <c r="N450" i="62"/>
  <c r="M450" i="62"/>
  <c r="L450" i="62"/>
  <c r="K450" i="62"/>
  <c r="J450" i="62"/>
  <c r="H450" i="62"/>
  <c r="P449" i="62"/>
  <c r="O449" i="62"/>
  <c r="N449" i="62"/>
  <c r="M449" i="62"/>
  <c r="L449" i="62"/>
  <c r="K449" i="62"/>
  <c r="J449" i="62"/>
  <c r="H449" i="62"/>
  <c r="P448" i="62"/>
  <c r="O448" i="62"/>
  <c r="N448" i="62"/>
  <c r="M448" i="62"/>
  <c r="L448" i="62"/>
  <c r="K448" i="62"/>
  <c r="J448" i="62"/>
  <c r="H448" i="62"/>
  <c r="P447" i="62"/>
  <c r="O447" i="62"/>
  <c r="N447" i="62"/>
  <c r="M447" i="62"/>
  <c r="L447" i="62"/>
  <c r="K447" i="62"/>
  <c r="J447" i="62"/>
  <c r="H447" i="62"/>
  <c r="P446" i="62"/>
  <c r="O446" i="62"/>
  <c r="N446" i="62"/>
  <c r="M446" i="62"/>
  <c r="L446" i="62"/>
  <c r="K446" i="62"/>
  <c r="J446" i="62"/>
  <c r="H446" i="62"/>
  <c r="P445" i="62"/>
  <c r="O445" i="62"/>
  <c r="N445" i="62"/>
  <c r="M445" i="62"/>
  <c r="L445" i="62"/>
  <c r="K445" i="62"/>
  <c r="J445" i="62"/>
  <c r="H445" i="62"/>
  <c r="P444" i="62"/>
  <c r="O444" i="62"/>
  <c r="N444" i="62"/>
  <c r="M444" i="62"/>
  <c r="L444" i="62"/>
  <c r="K444" i="62"/>
  <c r="J444" i="62"/>
  <c r="H444" i="62"/>
  <c r="P443" i="62"/>
  <c r="O443" i="62"/>
  <c r="N443" i="62"/>
  <c r="M443" i="62"/>
  <c r="L443" i="62"/>
  <c r="K443" i="62"/>
  <c r="J443" i="62"/>
  <c r="H443" i="62"/>
  <c r="P442" i="62"/>
  <c r="O442" i="62"/>
  <c r="N442" i="62"/>
  <c r="M442" i="62"/>
  <c r="L442" i="62"/>
  <c r="K442" i="62"/>
  <c r="J442" i="62"/>
  <c r="H442" i="62"/>
  <c r="P441" i="62"/>
  <c r="O441" i="62"/>
  <c r="N441" i="62"/>
  <c r="M441" i="62"/>
  <c r="L441" i="62"/>
  <c r="K441" i="62"/>
  <c r="J441" i="62"/>
  <c r="H441" i="62"/>
  <c r="P440" i="62"/>
  <c r="O440" i="62"/>
  <c r="N440" i="62"/>
  <c r="M440" i="62"/>
  <c r="L440" i="62"/>
  <c r="K440" i="62"/>
  <c r="J440" i="62"/>
  <c r="H440" i="62"/>
  <c r="P439" i="62"/>
  <c r="O439" i="62"/>
  <c r="N439" i="62"/>
  <c r="M439" i="62"/>
  <c r="L439" i="62"/>
  <c r="K439" i="62"/>
  <c r="J439" i="62"/>
  <c r="H439" i="62"/>
  <c r="P438" i="62"/>
  <c r="O438" i="62"/>
  <c r="N438" i="62"/>
  <c r="M438" i="62"/>
  <c r="L438" i="62"/>
  <c r="K438" i="62"/>
  <c r="J438" i="62"/>
  <c r="H438" i="62"/>
  <c r="P437" i="62"/>
  <c r="O437" i="62"/>
  <c r="N437" i="62"/>
  <c r="M437" i="62"/>
  <c r="L437" i="62"/>
  <c r="K437" i="62"/>
  <c r="J437" i="62"/>
  <c r="H437" i="62"/>
  <c r="P436" i="62"/>
  <c r="O436" i="62"/>
  <c r="N436" i="62"/>
  <c r="M436" i="62"/>
  <c r="L436" i="62"/>
  <c r="K436" i="62"/>
  <c r="J436" i="62"/>
  <c r="H436" i="62"/>
  <c r="P435" i="62"/>
  <c r="O435" i="62"/>
  <c r="N435" i="62"/>
  <c r="M435" i="62"/>
  <c r="L435" i="62"/>
  <c r="K435" i="62"/>
  <c r="J435" i="62"/>
  <c r="H435" i="62"/>
  <c r="P434" i="62"/>
  <c r="O434" i="62"/>
  <c r="N434" i="62"/>
  <c r="M434" i="62"/>
  <c r="L434" i="62"/>
  <c r="K434" i="62"/>
  <c r="J434" i="62"/>
  <c r="H434" i="62"/>
  <c r="P433" i="62"/>
  <c r="O433" i="62"/>
  <c r="N433" i="62"/>
  <c r="M433" i="62"/>
  <c r="L433" i="62"/>
  <c r="K433" i="62"/>
  <c r="J433" i="62"/>
  <c r="H433" i="62"/>
  <c r="P432" i="62"/>
  <c r="O432" i="62"/>
  <c r="N432" i="62"/>
  <c r="M432" i="62"/>
  <c r="L432" i="62"/>
  <c r="K432" i="62"/>
  <c r="J432" i="62"/>
  <c r="H432" i="62"/>
  <c r="P431" i="62"/>
  <c r="O431" i="62"/>
  <c r="N431" i="62"/>
  <c r="M431" i="62"/>
  <c r="L431" i="62"/>
  <c r="K431" i="62"/>
  <c r="J431" i="62"/>
  <c r="H431" i="62"/>
  <c r="P430" i="62"/>
  <c r="O430" i="62"/>
  <c r="N430" i="62"/>
  <c r="M430" i="62"/>
  <c r="L430" i="62"/>
  <c r="K430" i="62"/>
  <c r="J430" i="62"/>
  <c r="H430" i="62"/>
  <c r="P429" i="62"/>
  <c r="O429" i="62"/>
  <c r="N429" i="62"/>
  <c r="M429" i="62"/>
  <c r="L429" i="62"/>
  <c r="K429" i="62"/>
  <c r="J429" i="62"/>
  <c r="H429" i="62"/>
  <c r="P428" i="62"/>
  <c r="O428" i="62"/>
  <c r="N428" i="62"/>
  <c r="M428" i="62"/>
  <c r="L428" i="62"/>
  <c r="K428" i="62"/>
  <c r="J428" i="62"/>
  <c r="H428" i="62"/>
  <c r="P427" i="62"/>
  <c r="O427" i="62"/>
  <c r="N427" i="62"/>
  <c r="M427" i="62"/>
  <c r="L427" i="62"/>
  <c r="K427" i="62"/>
  <c r="J427" i="62"/>
  <c r="H427" i="62"/>
  <c r="P426" i="62"/>
  <c r="O426" i="62"/>
  <c r="N426" i="62"/>
  <c r="M426" i="62"/>
  <c r="L426" i="62"/>
  <c r="K426" i="62"/>
  <c r="J426" i="62"/>
  <c r="H426" i="62"/>
  <c r="P425" i="62"/>
  <c r="O425" i="62"/>
  <c r="N425" i="62"/>
  <c r="M425" i="62"/>
  <c r="L425" i="62"/>
  <c r="K425" i="62"/>
  <c r="J425" i="62"/>
  <c r="H425" i="62"/>
  <c r="P424" i="62"/>
  <c r="O424" i="62"/>
  <c r="N424" i="62"/>
  <c r="M424" i="62"/>
  <c r="L424" i="62"/>
  <c r="K424" i="62"/>
  <c r="J424" i="62"/>
  <c r="H424" i="62"/>
  <c r="P423" i="62"/>
  <c r="O423" i="62"/>
  <c r="N423" i="62"/>
  <c r="M423" i="62"/>
  <c r="L423" i="62"/>
  <c r="K423" i="62"/>
  <c r="J423" i="62"/>
  <c r="H423" i="62"/>
  <c r="P422" i="62"/>
  <c r="O422" i="62"/>
  <c r="N422" i="62"/>
  <c r="M422" i="62"/>
  <c r="L422" i="62"/>
  <c r="K422" i="62"/>
  <c r="J422" i="62"/>
  <c r="H422" i="62"/>
  <c r="P421" i="62"/>
  <c r="O421" i="62"/>
  <c r="N421" i="62"/>
  <c r="M421" i="62"/>
  <c r="L421" i="62"/>
  <c r="K421" i="62"/>
  <c r="J421" i="62"/>
  <c r="H421" i="62"/>
  <c r="P420" i="62"/>
  <c r="O420" i="62"/>
  <c r="N420" i="62"/>
  <c r="M420" i="62"/>
  <c r="L420" i="62"/>
  <c r="K420" i="62"/>
  <c r="J420" i="62"/>
  <c r="H420" i="62"/>
  <c r="P419" i="62"/>
  <c r="O419" i="62"/>
  <c r="N419" i="62"/>
  <c r="M419" i="62"/>
  <c r="L419" i="62"/>
  <c r="K419" i="62"/>
  <c r="J419" i="62"/>
  <c r="H419" i="62"/>
  <c r="P418" i="62"/>
  <c r="O418" i="62"/>
  <c r="N418" i="62"/>
  <c r="M418" i="62"/>
  <c r="L418" i="62"/>
  <c r="K418" i="62"/>
  <c r="J418" i="62"/>
  <c r="H418" i="62"/>
  <c r="P417" i="62"/>
  <c r="O417" i="62"/>
  <c r="N417" i="62"/>
  <c r="M417" i="62"/>
  <c r="L417" i="62"/>
  <c r="K417" i="62"/>
  <c r="J417" i="62"/>
  <c r="H417" i="62"/>
  <c r="P416" i="62"/>
  <c r="O416" i="62"/>
  <c r="N416" i="62"/>
  <c r="M416" i="62"/>
  <c r="L416" i="62"/>
  <c r="K416" i="62"/>
  <c r="J416" i="62"/>
  <c r="H416" i="62"/>
  <c r="P415" i="62"/>
  <c r="O415" i="62"/>
  <c r="N415" i="62"/>
  <c r="M415" i="62"/>
  <c r="L415" i="62"/>
  <c r="K415" i="62"/>
  <c r="J415" i="62"/>
  <c r="H415" i="62"/>
  <c r="P414" i="62"/>
  <c r="O414" i="62"/>
  <c r="N414" i="62"/>
  <c r="M414" i="62"/>
  <c r="L414" i="62"/>
  <c r="K414" i="62"/>
  <c r="J414" i="62"/>
  <c r="H414" i="62"/>
  <c r="P413" i="62"/>
  <c r="O413" i="62"/>
  <c r="N413" i="62"/>
  <c r="M413" i="62"/>
  <c r="L413" i="62"/>
  <c r="K413" i="62"/>
  <c r="J413" i="62"/>
  <c r="H413" i="62"/>
  <c r="P412" i="62"/>
  <c r="O412" i="62"/>
  <c r="N412" i="62"/>
  <c r="M412" i="62"/>
  <c r="L412" i="62"/>
  <c r="K412" i="62"/>
  <c r="J412" i="62"/>
  <c r="H412" i="62"/>
  <c r="P411" i="62"/>
  <c r="O411" i="62"/>
  <c r="N411" i="62"/>
  <c r="M411" i="62"/>
  <c r="L411" i="62"/>
  <c r="K411" i="62"/>
  <c r="J411" i="62"/>
  <c r="H411" i="62"/>
  <c r="P410" i="62"/>
  <c r="O410" i="62"/>
  <c r="N410" i="62"/>
  <c r="M410" i="62"/>
  <c r="L410" i="62"/>
  <c r="K410" i="62"/>
  <c r="J410" i="62"/>
  <c r="H410" i="62"/>
  <c r="P409" i="62"/>
  <c r="O409" i="62"/>
  <c r="N409" i="62"/>
  <c r="M409" i="62"/>
  <c r="L409" i="62"/>
  <c r="K409" i="62"/>
  <c r="J409" i="62"/>
  <c r="H409" i="62"/>
  <c r="P408" i="62"/>
  <c r="O408" i="62"/>
  <c r="N408" i="62"/>
  <c r="M408" i="62"/>
  <c r="L408" i="62"/>
  <c r="K408" i="62"/>
  <c r="J408" i="62"/>
  <c r="H408" i="62"/>
  <c r="P407" i="62"/>
  <c r="O407" i="62"/>
  <c r="N407" i="62"/>
  <c r="M407" i="62"/>
  <c r="L407" i="62"/>
  <c r="K407" i="62"/>
  <c r="J407" i="62"/>
  <c r="H407" i="62"/>
  <c r="P406" i="62"/>
  <c r="O406" i="62"/>
  <c r="N406" i="62"/>
  <c r="M406" i="62"/>
  <c r="L406" i="62"/>
  <c r="K406" i="62"/>
  <c r="J406" i="62"/>
  <c r="H406" i="62"/>
  <c r="P405" i="62"/>
  <c r="O405" i="62"/>
  <c r="N405" i="62"/>
  <c r="M405" i="62"/>
  <c r="L405" i="62"/>
  <c r="K405" i="62"/>
  <c r="J405" i="62"/>
  <c r="H405" i="62"/>
  <c r="P404" i="62"/>
  <c r="O404" i="62"/>
  <c r="N404" i="62"/>
  <c r="M404" i="62"/>
  <c r="L404" i="62"/>
  <c r="K404" i="62"/>
  <c r="J404" i="62"/>
  <c r="H404" i="62"/>
  <c r="P403" i="62"/>
  <c r="O403" i="62"/>
  <c r="N403" i="62"/>
  <c r="M403" i="62"/>
  <c r="L403" i="62"/>
  <c r="K403" i="62"/>
  <c r="J403" i="62"/>
  <c r="H403" i="62"/>
  <c r="P402" i="62"/>
  <c r="O402" i="62"/>
  <c r="N402" i="62"/>
  <c r="M402" i="62"/>
  <c r="L402" i="62"/>
  <c r="K402" i="62"/>
  <c r="J402" i="62"/>
  <c r="H402" i="62"/>
  <c r="P401" i="62"/>
  <c r="O401" i="62"/>
  <c r="N401" i="62"/>
  <c r="M401" i="62"/>
  <c r="L401" i="62"/>
  <c r="K401" i="62"/>
  <c r="J401" i="62"/>
  <c r="H401" i="62"/>
  <c r="P400" i="62"/>
  <c r="O400" i="62"/>
  <c r="N400" i="62"/>
  <c r="M400" i="62"/>
  <c r="L400" i="62"/>
  <c r="K400" i="62"/>
  <c r="J400" i="62"/>
  <c r="H400" i="62"/>
  <c r="P399" i="62"/>
  <c r="O399" i="62"/>
  <c r="N399" i="62"/>
  <c r="M399" i="62"/>
  <c r="L399" i="62"/>
  <c r="K399" i="62"/>
  <c r="J399" i="62"/>
  <c r="H399" i="62"/>
  <c r="P398" i="62"/>
  <c r="O398" i="62"/>
  <c r="N398" i="62"/>
  <c r="M398" i="62"/>
  <c r="L398" i="62"/>
  <c r="K398" i="62"/>
  <c r="J398" i="62"/>
  <c r="H398" i="62"/>
  <c r="P397" i="62"/>
  <c r="O397" i="62"/>
  <c r="N397" i="62"/>
  <c r="M397" i="62"/>
  <c r="L397" i="62"/>
  <c r="K397" i="62"/>
  <c r="J397" i="62"/>
  <c r="H397" i="62"/>
  <c r="P396" i="62"/>
  <c r="O396" i="62"/>
  <c r="N396" i="62"/>
  <c r="M396" i="62"/>
  <c r="L396" i="62"/>
  <c r="K396" i="62"/>
  <c r="J396" i="62"/>
  <c r="H396" i="62"/>
  <c r="P395" i="62"/>
  <c r="O395" i="62"/>
  <c r="N395" i="62"/>
  <c r="M395" i="62"/>
  <c r="L395" i="62"/>
  <c r="K395" i="62"/>
  <c r="J395" i="62"/>
  <c r="H395" i="62"/>
  <c r="P394" i="62"/>
  <c r="O394" i="62"/>
  <c r="N394" i="62"/>
  <c r="M394" i="62"/>
  <c r="L394" i="62"/>
  <c r="K394" i="62"/>
  <c r="J394" i="62"/>
  <c r="H394" i="62"/>
  <c r="P393" i="62"/>
  <c r="O393" i="62"/>
  <c r="N393" i="62"/>
  <c r="M393" i="62"/>
  <c r="L393" i="62"/>
  <c r="K393" i="62"/>
  <c r="J393" i="62"/>
  <c r="H393" i="62"/>
  <c r="P392" i="62"/>
  <c r="O392" i="62"/>
  <c r="N392" i="62"/>
  <c r="M392" i="62"/>
  <c r="L392" i="62"/>
  <c r="K392" i="62"/>
  <c r="J392" i="62"/>
  <c r="H392" i="62"/>
  <c r="P391" i="62"/>
  <c r="O391" i="62"/>
  <c r="N391" i="62"/>
  <c r="M391" i="62"/>
  <c r="L391" i="62"/>
  <c r="K391" i="62"/>
  <c r="J391" i="62"/>
  <c r="H391" i="62"/>
  <c r="P390" i="62"/>
  <c r="O390" i="62"/>
  <c r="N390" i="62"/>
  <c r="M390" i="62"/>
  <c r="L390" i="62"/>
  <c r="K390" i="62"/>
  <c r="J390" i="62"/>
  <c r="H390" i="62"/>
  <c r="P389" i="62"/>
  <c r="O389" i="62"/>
  <c r="N389" i="62"/>
  <c r="M389" i="62"/>
  <c r="L389" i="62"/>
  <c r="K389" i="62"/>
  <c r="J389" i="62"/>
  <c r="H389" i="62"/>
  <c r="P388" i="62"/>
  <c r="O388" i="62"/>
  <c r="N388" i="62"/>
  <c r="M388" i="62"/>
  <c r="L388" i="62"/>
  <c r="K388" i="62"/>
  <c r="J388" i="62"/>
  <c r="H388" i="62"/>
  <c r="P387" i="62"/>
  <c r="O387" i="62"/>
  <c r="N387" i="62"/>
  <c r="M387" i="62"/>
  <c r="L387" i="62"/>
  <c r="K387" i="62"/>
  <c r="J387" i="62"/>
  <c r="H387" i="62"/>
  <c r="P386" i="62"/>
  <c r="O386" i="62"/>
  <c r="N386" i="62"/>
  <c r="M386" i="62"/>
  <c r="L386" i="62"/>
  <c r="K386" i="62"/>
  <c r="J386" i="62"/>
  <c r="H386" i="62"/>
  <c r="P385" i="62"/>
  <c r="O385" i="62"/>
  <c r="N385" i="62"/>
  <c r="M385" i="62"/>
  <c r="L385" i="62"/>
  <c r="K385" i="62"/>
  <c r="J385" i="62"/>
  <c r="H385" i="62"/>
  <c r="P384" i="62"/>
  <c r="O384" i="62"/>
  <c r="N384" i="62"/>
  <c r="M384" i="62"/>
  <c r="L384" i="62"/>
  <c r="K384" i="62"/>
  <c r="J384" i="62"/>
  <c r="H384" i="62"/>
  <c r="P383" i="62"/>
  <c r="O383" i="62"/>
  <c r="N383" i="62"/>
  <c r="M383" i="62"/>
  <c r="L383" i="62"/>
  <c r="K383" i="62"/>
  <c r="J383" i="62"/>
  <c r="H383" i="62"/>
  <c r="P382" i="62"/>
  <c r="O382" i="62"/>
  <c r="N382" i="62"/>
  <c r="M382" i="62"/>
  <c r="L382" i="62"/>
  <c r="K382" i="62"/>
  <c r="J382" i="62"/>
  <c r="H382" i="62"/>
  <c r="P381" i="62"/>
  <c r="O381" i="62"/>
  <c r="N381" i="62"/>
  <c r="M381" i="62"/>
  <c r="L381" i="62"/>
  <c r="K381" i="62"/>
  <c r="J381" i="62"/>
  <c r="H381" i="62"/>
  <c r="P380" i="62"/>
  <c r="O380" i="62"/>
  <c r="N380" i="62"/>
  <c r="M380" i="62"/>
  <c r="L380" i="62"/>
  <c r="K380" i="62"/>
  <c r="J380" i="62"/>
  <c r="H380" i="62"/>
  <c r="P379" i="62"/>
  <c r="O379" i="62"/>
  <c r="N379" i="62"/>
  <c r="M379" i="62"/>
  <c r="L379" i="62"/>
  <c r="K379" i="62"/>
  <c r="J379" i="62"/>
  <c r="H379" i="62"/>
  <c r="P378" i="62"/>
  <c r="O378" i="62"/>
  <c r="N378" i="62"/>
  <c r="M378" i="62"/>
  <c r="L378" i="62"/>
  <c r="K378" i="62"/>
  <c r="J378" i="62"/>
  <c r="H378" i="62"/>
  <c r="P377" i="62"/>
  <c r="O377" i="62"/>
  <c r="N377" i="62"/>
  <c r="M377" i="62"/>
  <c r="L377" i="62"/>
  <c r="K377" i="62"/>
  <c r="J377" i="62"/>
  <c r="H377" i="62"/>
  <c r="P376" i="62"/>
  <c r="O376" i="62"/>
  <c r="N376" i="62"/>
  <c r="M376" i="62"/>
  <c r="L376" i="62"/>
  <c r="K376" i="62"/>
  <c r="J376" i="62"/>
  <c r="H376" i="62"/>
  <c r="P375" i="62"/>
  <c r="O375" i="62"/>
  <c r="N375" i="62"/>
  <c r="M375" i="62"/>
  <c r="L375" i="62"/>
  <c r="K375" i="62"/>
  <c r="J375" i="62"/>
  <c r="H375" i="62"/>
  <c r="P374" i="62"/>
  <c r="O374" i="62"/>
  <c r="N374" i="62"/>
  <c r="M374" i="62"/>
  <c r="L374" i="62"/>
  <c r="K374" i="62"/>
  <c r="J374" i="62"/>
  <c r="H374" i="62"/>
  <c r="P373" i="62"/>
  <c r="O373" i="62"/>
  <c r="N373" i="62"/>
  <c r="M373" i="62"/>
  <c r="L373" i="62"/>
  <c r="K373" i="62"/>
  <c r="J373" i="62"/>
  <c r="H373" i="62"/>
  <c r="P372" i="62"/>
  <c r="O372" i="62"/>
  <c r="N372" i="62"/>
  <c r="M372" i="62"/>
  <c r="L372" i="62"/>
  <c r="K372" i="62"/>
  <c r="J372" i="62"/>
  <c r="H372" i="62"/>
  <c r="P371" i="62"/>
  <c r="O371" i="62"/>
  <c r="N371" i="62"/>
  <c r="M371" i="62"/>
  <c r="L371" i="62"/>
  <c r="K371" i="62"/>
  <c r="J371" i="62"/>
  <c r="H371" i="62"/>
  <c r="P370" i="62"/>
  <c r="O370" i="62"/>
  <c r="N370" i="62"/>
  <c r="M370" i="62"/>
  <c r="L370" i="62"/>
  <c r="K370" i="62"/>
  <c r="J370" i="62"/>
  <c r="H370" i="62"/>
  <c r="P369" i="62"/>
  <c r="O369" i="62"/>
  <c r="N369" i="62"/>
  <c r="M369" i="62"/>
  <c r="L369" i="62"/>
  <c r="K369" i="62"/>
  <c r="J369" i="62"/>
  <c r="H369" i="62"/>
  <c r="P368" i="62"/>
  <c r="O368" i="62"/>
  <c r="N368" i="62"/>
  <c r="M368" i="62"/>
  <c r="L368" i="62"/>
  <c r="K368" i="62"/>
  <c r="J368" i="62"/>
  <c r="H368" i="62"/>
  <c r="P367" i="62"/>
  <c r="O367" i="62"/>
  <c r="N367" i="62"/>
  <c r="M367" i="62"/>
  <c r="L367" i="62"/>
  <c r="K367" i="62"/>
  <c r="J367" i="62"/>
  <c r="H367" i="62"/>
  <c r="P366" i="62"/>
  <c r="O366" i="62"/>
  <c r="N366" i="62"/>
  <c r="M366" i="62"/>
  <c r="L366" i="62"/>
  <c r="K366" i="62"/>
  <c r="J366" i="62"/>
  <c r="H366" i="62"/>
  <c r="P365" i="62"/>
  <c r="O365" i="62"/>
  <c r="N365" i="62"/>
  <c r="M365" i="62"/>
  <c r="L365" i="62"/>
  <c r="K365" i="62"/>
  <c r="J365" i="62"/>
  <c r="H365" i="62"/>
  <c r="P364" i="62"/>
  <c r="O364" i="62"/>
  <c r="N364" i="62"/>
  <c r="M364" i="62"/>
  <c r="L364" i="62"/>
  <c r="K364" i="62"/>
  <c r="J364" i="62"/>
  <c r="H364" i="62"/>
  <c r="P363" i="62"/>
  <c r="O363" i="62"/>
  <c r="N363" i="62"/>
  <c r="M363" i="62"/>
  <c r="L363" i="62"/>
  <c r="K363" i="62"/>
  <c r="J363" i="62"/>
  <c r="H363" i="62"/>
  <c r="P362" i="62"/>
  <c r="O362" i="62"/>
  <c r="N362" i="62"/>
  <c r="M362" i="62"/>
  <c r="L362" i="62"/>
  <c r="K362" i="62"/>
  <c r="J362" i="62"/>
  <c r="H362" i="62"/>
  <c r="P361" i="62"/>
  <c r="O361" i="62"/>
  <c r="N361" i="62"/>
  <c r="M361" i="62"/>
  <c r="L361" i="62"/>
  <c r="K361" i="62"/>
  <c r="J361" i="62"/>
  <c r="H361" i="62"/>
  <c r="P360" i="62"/>
  <c r="O360" i="62"/>
  <c r="N360" i="62"/>
  <c r="M360" i="62"/>
  <c r="L360" i="62"/>
  <c r="K360" i="62"/>
  <c r="J360" i="62"/>
  <c r="H360" i="62"/>
  <c r="P359" i="62"/>
  <c r="O359" i="62"/>
  <c r="N359" i="62"/>
  <c r="M359" i="62"/>
  <c r="L359" i="62"/>
  <c r="K359" i="62"/>
  <c r="J359" i="62"/>
  <c r="H359" i="62"/>
  <c r="P358" i="62"/>
  <c r="O358" i="62"/>
  <c r="N358" i="62"/>
  <c r="M358" i="62"/>
  <c r="L358" i="62"/>
  <c r="K358" i="62"/>
  <c r="J358" i="62"/>
  <c r="H358" i="62"/>
  <c r="P357" i="62"/>
  <c r="O357" i="62"/>
  <c r="N357" i="62"/>
  <c r="M357" i="62"/>
  <c r="L357" i="62"/>
  <c r="K357" i="62"/>
  <c r="J357" i="62"/>
  <c r="H357" i="62"/>
  <c r="P356" i="62"/>
  <c r="O356" i="62"/>
  <c r="N356" i="62"/>
  <c r="M356" i="62"/>
  <c r="L356" i="62"/>
  <c r="K356" i="62"/>
  <c r="J356" i="62"/>
  <c r="H356" i="62"/>
  <c r="P355" i="62"/>
  <c r="O355" i="62"/>
  <c r="N355" i="62"/>
  <c r="M355" i="62"/>
  <c r="L355" i="62"/>
  <c r="K355" i="62"/>
  <c r="J355" i="62"/>
  <c r="H355" i="62"/>
  <c r="P354" i="62"/>
  <c r="O354" i="62"/>
  <c r="N354" i="62"/>
  <c r="M354" i="62"/>
  <c r="L354" i="62"/>
  <c r="K354" i="62"/>
  <c r="J354" i="62"/>
  <c r="H354" i="62"/>
  <c r="P353" i="62"/>
  <c r="O353" i="62"/>
  <c r="N353" i="62"/>
  <c r="M353" i="62"/>
  <c r="L353" i="62"/>
  <c r="K353" i="62"/>
  <c r="J353" i="62"/>
  <c r="H353" i="62"/>
  <c r="P352" i="62"/>
  <c r="O352" i="62"/>
  <c r="N352" i="62"/>
  <c r="M352" i="62"/>
  <c r="L352" i="62"/>
  <c r="K352" i="62"/>
  <c r="J352" i="62"/>
  <c r="H352" i="62"/>
  <c r="P351" i="62"/>
  <c r="O351" i="62"/>
  <c r="N351" i="62"/>
  <c r="M351" i="62"/>
  <c r="L351" i="62"/>
  <c r="K351" i="62"/>
  <c r="J351" i="62"/>
  <c r="H351" i="62"/>
  <c r="P350" i="62"/>
  <c r="O350" i="62"/>
  <c r="N350" i="62"/>
  <c r="M350" i="62"/>
  <c r="L350" i="62"/>
  <c r="K350" i="62"/>
  <c r="J350" i="62"/>
  <c r="H350" i="62"/>
  <c r="P349" i="62"/>
  <c r="O349" i="62"/>
  <c r="N349" i="62"/>
  <c r="M349" i="62"/>
  <c r="L349" i="62"/>
  <c r="K349" i="62"/>
  <c r="J349" i="62"/>
  <c r="H349" i="62"/>
  <c r="P348" i="62"/>
  <c r="O348" i="62"/>
  <c r="N348" i="62"/>
  <c r="M348" i="62"/>
  <c r="L348" i="62"/>
  <c r="K348" i="62"/>
  <c r="J348" i="62"/>
  <c r="H348" i="62"/>
  <c r="P347" i="62"/>
  <c r="O347" i="62"/>
  <c r="N347" i="62"/>
  <c r="M347" i="62"/>
  <c r="L347" i="62"/>
  <c r="K347" i="62"/>
  <c r="J347" i="62"/>
  <c r="H347" i="62"/>
  <c r="P346" i="62"/>
  <c r="O346" i="62"/>
  <c r="N346" i="62"/>
  <c r="M346" i="62"/>
  <c r="L346" i="62"/>
  <c r="K346" i="62"/>
  <c r="J346" i="62"/>
  <c r="H346" i="62"/>
  <c r="P345" i="62"/>
  <c r="O345" i="62"/>
  <c r="N345" i="62"/>
  <c r="M345" i="62"/>
  <c r="L345" i="62"/>
  <c r="K345" i="62"/>
  <c r="J345" i="62"/>
  <c r="H345" i="62"/>
  <c r="P344" i="62"/>
  <c r="O344" i="62"/>
  <c r="N344" i="62"/>
  <c r="M344" i="62"/>
  <c r="L344" i="62"/>
  <c r="K344" i="62"/>
  <c r="J344" i="62"/>
  <c r="H344" i="62"/>
  <c r="P343" i="62"/>
  <c r="O343" i="62"/>
  <c r="N343" i="62"/>
  <c r="M343" i="62"/>
  <c r="L343" i="62"/>
  <c r="K343" i="62"/>
  <c r="J343" i="62"/>
  <c r="H343" i="62"/>
  <c r="P342" i="62"/>
  <c r="O342" i="62"/>
  <c r="N342" i="62"/>
  <c r="M342" i="62"/>
  <c r="L342" i="62"/>
  <c r="K342" i="62"/>
  <c r="J342" i="62"/>
  <c r="H342" i="62"/>
  <c r="P341" i="62"/>
  <c r="O341" i="62"/>
  <c r="N341" i="62"/>
  <c r="M341" i="62"/>
  <c r="L341" i="62"/>
  <c r="K341" i="62"/>
  <c r="J341" i="62"/>
  <c r="H341" i="62"/>
  <c r="P340" i="62"/>
  <c r="O340" i="62"/>
  <c r="N340" i="62"/>
  <c r="M340" i="62"/>
  <c r="L340" i="62"/>
  <c r="K340" i="62"/>
  <c r="J340" i="62"/>
  <c r="H340" i="62"/>
  <c r="P339" i="62"/>
  <c r="O339" i="62"/>
  <c r="N339" i="62"/>
  <c r="M339" i="62"/>
  <c r="L339" i="62"/>
  <c r="K339" i="62"/>
  <c r="J339" i="62"/>
  <c r="H339" i="62"/>
  <c r="P338" i="62"/>
  <c r="O338" i="62"/>
  <c r="N338" i="62"/>
  <c r="M338" i="62"/>
  <c r="L338" i="62"/>
  <c r="K338" i="62"/>
  <c r="J338" i="62"/>
  <c r="H338" i="62"/>
  <c r="P337" i="62"/>
  <c r="O337" i="62"/>
  <c r="N337" i="62"/>
  <c r="M337" i="62"/>
  <c r="L337" i="62"/>
  <c r="K337" i="62"/>
  <c r="J337" i="62"/>
  <c r="H337" i="62"/>
  <c r="P336" i="62"/>
  <c r="O336" i="62"/>
  <c r="N336" i="62"/>
  <c r="M336" i="62"/>
  <c r="L336" i="62"/>
  <c r="K336" i="62"/>
  <c r="J336" i="62"/>
  <c r="H336" i="62"/>
  <c r="P335" i="62"/>
  <c r="O335" i="62"/>
  <c r="N335" i="62"/>
  <c r="M335" i="62"/>
  <c r="L335" i="62"/>
  <c r="K335" i="62"/>
  <c r="J335" i="62"/>
  <c r="H335" i="62"/>
  <c r="P334" i="62"/>
  <c r="O334" i="62"/>
  <c r="N334" i="62"/>
  <c r="M334" i="62"/>
  <c r="L334" i="62"/>
  <c r="K334" i="62"/>
  <c r="J334" i="62"/>
  <c r="H334" i="62"/>
  <c r="P333" i="62"/>
  <c r="O333" i="62"/>
  <c r="N333" i="62"/>
  <c r="M333" i="62"/>
  <c r="L333" i="62"/>
  <c r="K333" i="62"/>
  <c r="J333" i="62"/>
  <c r="H333" i="62"/>
  <c r="P332" i="62"/>
  <c r="O332" i="62"/>
  <c r="N332" i="62"/>
  <c r="M332" i="62"/>
  <c r="L332" i="62"/>
  <c r="K332" i="62"/>
  <c r="J332" i="62"/>
  <c r="H332" i="62"/>
  <c r="P331" i="62"/>
  <c r="O331" i="62"/>
  <c r="N331" i="62"/>
  <c r="M331" i="62"/>
  <c r="L331" i="62"/>
  <c r="K331" i="62"/>
  <c r="J331" i="62"/>
  <c r="H331" i="62"/>
  <c r="P330" i="62"/>
  <c r="O330" i="62"/>
  <c r="N330" i="62"/>
  <c r="M330" i="62"/>
  <c r="L330" i="62"/>
  <c r="K330" i="62"/>
  <c r="J330" i="62"/>
  <c r="H330" i="62"/>
  <c r="P329" i="62"/>
  <c r="O329" i="62"/>
  <c r="N329" i="62"/>
  <c r="M329" i="62"/>
  <c r="L329" i="62"/>
  <c r="K329" i="62"/>
  <c r="J329" i="62"/>
  <c r="H329" i="62"/>
  <c r="P328" i="62"/>
  <c r="O328" i="62"/>
  <c r="N328" i="62"/>
  <c r="M328" i="62"/>
  <c r="L328" i="62"/>
  <c r="K328" i="62"/>
  <c r="J328" i="62"/>
  <c r="H328" i="62"/>
  <c r="P327" i="62"/>
  <c r="O327" i="62"/>
  <c r="N327" i="62"/>
  <c r="M327" i="62"/>
  <c r="L327" i="62"/>
  <c r="K327" i="62"/>
  <c r="J327" i="62"/>
  <c r="H327" i="62"/>
  <c r="P326" i="62"/>
  <c r="O326" i="62"/>
  <c r="N326" i="62"/>
  <c r="M326" i="62"/>
  <c r="L326" i="62"/>
  <c r="K326" i="62"/>
  <c r="J326" i="62"/>
  <c r="H326" i="62"/>
  <c r="P325" i="62"/>
  <c r="O325" i="62"/>
  <c r="N325" i="62"/>
  <c r="M325" i="62"/>
  <c r="L325" i="62"/>
  <c r="K325" i="62"/>
  <c r="J325" i="62"/>
  <c r="H325" i="62"/>
  <c r="P324" i="62"/>
  <c r="O324" i="62"/>
  <c r="N324" i="62"/>
  <c r="M324" i="62"/>
  <c r="L324" i="62"/>
  <c r="K324" i="62"/>
  <c r="J324" i="62"/>
  <c r="H324" i="62"/>
  <c r="P323" i="62"/>
  <c r="O323" i="62"/>
  <c r="N323" i="62"/>
  <c r="M323" i="62"/>
  <c r="L323" i="62"/>
  <c r="K323" i="62"/>
  <c r="J323" i="62"/>
  <c r="H323" i="62"/>
  <c r="P322" i="62"/>
  <c r="O322" i="62"/>
  <c r="N322" i="62"/>
  <c r="M322" i="62"/>
  <c r="L322" i="62"/>
  <c r="K322" i="62"/>
  <c r="J322" i="62"/>
  <c r="H322" i="62"/>
  <c r="P321" i="62"/>
  <c r="O321" i="62"/>
  <c r="N321" i="62"/>
  <c r="M321" i="62"/>
  <c r="L321" i="62"/>
  <c r="K321" i="62"/>
  <c r="J321" i="62"/>
  <c r="H321" i="62"/>
  <c r="P320" i="62"/>
  <c r="O320" i="62"/>
  <c r="N320" i="62"/>
  <c r="M320" i="62"/>
  <c r="L320" i="62"/>
  <c r="K320" i="62"/>
  <c r="J320" i="62"/>
  <c r="H320" i="62"/>
  <c r="P319" i="62"/>
  <c r="O319" i="62"/>
  <c r="N319" i="62"/>
  <c r="M319" i="62"/>
  <c r="L319" i="62"/>
  <c r="K319" i="62"/>
  <c r="J319" i="62"/>
  <c r="H319" i="62"/>
  <c r="P318" i="62"/>
  <c r="O318" i="62"/>
  <c r="N318" i="62"/>
  <c r="M318" i="62"/>
  <c r="L318" i="62"/>
  <c r="K318" i="62"/>
  <c r="J318" i="62"/>
  <c r="H318" i="62"/>
  <c r="P317" i="62"/>
  <c r="O317" i="62"/>
  <c r="N317" i="62"/>
  <c r="M317" i="62"/>
  <c r="L317" i="62"/>
  <c r="K317" i="62"/>
  <c r="J317" i="62"/>
  <c r="H317" i="62"/>
  <c r="P316" i="62"/>
  <c r="O316" i="62"/>
  <c r="N316" i="62"/>
  <c r="M316" i="62"/>
  <c r="L316" i="62"/>
  <c r="K316" i="62"/>
  <c r="J316" i="62"/>
  <c r="H316" i="62"/>
  <c r="P315" i="62"/>
  <c r="O315" i="62"/>
  <c r="N315" i="62"/>
  <c r="M315" i="62"/>
  <c r="L315" i="62"/>
  <c r="K315" i="62"/>
  <c r="J315" i="62"/>
  <c r="H315" i="62"/>
  <c r="P314" i="62"/>
  <c r="O314" i="62"/>
  <c r="N314" i="62"/>
  <c r="M314" i="62"/>
  <c r="L314" i="62"/>
  <c r="K314" i="62"/>
  <c r="J314" i="62"/>
  <c r="H314" i="62"/>
  <c r="P313" i="62"/>
  <c r="O313" i="62"/>
  <c r="N313" i="62"/>
  <c r="M313" i="62"/>
  <c r="L313" i="62"/>
  <c r="K313" i="62"/>
  <c r="J313" i="62"/>
  <c r="H313" i="62"/>
  <c r="P312" i="62"/>
  <c r="O312" i="62"/>
  <c r="N312" i="62"/>
  <c r="M312" i="62"/>
  <c r="L312" i="62"/>
  <c r="K312" i="62"/>
  <c r="J312" i="62"/>
  <c r="H312" i="62"/>
  <c r="P311" i="62"/>
  <c r="O311" i="62"/>
  <c r="N311" i="62"/>
  <c r="M311" i="62"/>
  <c r="L311" i="62"/>
  <c r="K311" i="62"/>
  <c r="J311" i="62"/>
  <c r="H311" i="62"/>
  <c r="P310" i="62"/>
  <c r="O310" i="62"/>
  <c r="N310" i="62"/>
  <c r="M310" i="62"/>
  <c r="L310" i="62"/>
  <c r="K310" i="62"/>
  <c r="J310" i="62"/>
  <c r="H310" i="62"/>
  <c r="P309" i="62"/>
  <c r="O309" i="62"/>
  <c r="N309" i="62"/>
  <c r="M309" i="62"/>
  <c r="L309" i="62"/>
  <c r="K309" i="62"/>
  <c r="J309" i="62"/>
  <c r="H309" i="62"/>
  <c r="P308" i="62"/>
  <c r="O308" i="62"/>
  <c r="N308" i="62"/>
  <c r="M308" i="62"/>
  <c r="L308" i="62"/>
  <c r="K308" i="62"/>
  <c r="J308" i="62"/>
  <c r="H308" i="62"/>
  <c r="P307" i="62"/>
  <c r="O307" i="62"/>
  <c r="N307" i="62"/>
  <c r="M307" i="62"/>
  <c r="L307" i="62"/>
  <c r="K307" i="62"/>
  <c r="J307" i="62"/>
  <c r="H307" i="62"/>
  <c r="P306" i="62"/>
  <c r="O306" i="62"/>
  <c r="N306" i="62"/>
  <c r="M306" i="62"/>
  <c r="L306" i="62"/>
  <c r="K306" i="62"/>
  <c r="J306" i="62"/>
  <c r="H306" i="62"/>
  <c r="P305" i="62"/>
  <c r="O305" i="62"/>
  <c r="N305" i="62"/>
  <c r="M305" i="62"/>
  <c r="L305" i="62"/>
  <c r="K305" i="62"/>
  <c r="J305" i="62"/>
  <c r="H305" i="62"/>
  <c r="P304" i="62"/>
  <c r="O304" i="62"/>
  <c r="N304" i="62"/>
  <c r="M304" i="62"/>
  <c r="L304" i="62"/>
  <c r="K304" i="62"/>
  <c r="J304" i="62"/>
  <c r="H304" i="62"/>
  <c r="P303" i="62"/>
  <c r="O303" i="62"/>
  <c r="N303" i="62"/>
  <c r="M303" i="62"/>
  <c r="L303" i="62"/>
  <c r="K303" i="62"/>
  <c r="J303" i="62"/>
  <c r="H303" i="62"/>
  <c r="P302" i="62"/>
  <c r="O302" i="62"/>
  <c r="N302" i="62"/>
  <c r="M302" i="62"/>
  <c r="L302" i="62"/>
  <c r="K302" i="62"/>
  <c r="J302" i="62"/>
  <c r="H302" i="62"/>
  <c r="P301" i="62"/>
  <c r="O301" i="62"/>
  <c r="N301" i="62"/>
  <c r="M301" i="62"/>
  <c r="L301" i="62"/>
  <c r="K301" i="62"/>
  <c r="J301" i="62"/>
  <c r="H301" i="62"/>
  <c r="P300" i="62"/>
  <c r="O300" i="62"/>
  <c r="N300" i="62"/>
  <c r="M300" i="62"/>
  <c r="L300" i="62"/>
  <c r="K300" i="62"/>
  <c r="J300" i="62"/>
  <c r="H300" i="62"/>
  <c r="P299" i="62"/>
  <c r="O299" i="62"/>
  <c r="N299" i="62"/>
  <c r="M299" i="62"/>
  <c r="L299" i="62"/>
  <c r="K299" i="62"/>
  <c r="J299" i="62"/>
  <c r="H299" i="62"/>
  <c r="P298" i="62"/>
  <c r="O298" i="62"/>
  <c r="N298" i="62"/>
  <c r="M298" i="62"/>
  <c r="L298" i="62"/>
  <c r="K298" i="62"/>
  <c r="J298" i="62"/>
  <c r="H298" i="62"/>
  <c r="P297" i="62"/>
  <c r="O297" i="62"/>
  <c r="N297" i="62"/>
  <c r="M297" i="62"/>
  <c r="L297" i="62"/>
  <c r="K297" i="62"/>
  <c r="J297" i="62"/>
  <c r="H297" i="62"/>
  <c r="P296" i="62"/>
  <c r="O296" i="62"/>
  <c r="N296" i="62"/>
  <c r="M296" i="62"/>
  <c r="L296" i="62"/>
  <c r="K296" i="62"/>
  <c r="J296" i="62"/>
  <c r="H296" i="62"/>
  <c r="P295" i="62"/>
  <c r="O295" i="62"/>
  <c r="N295" i="62"/>
  <c r="M295" i="62"/>
  <c r="L295" i="62"/>
  <c r="K295" i="62"/>
  <c r="J295" i="62"/>
  <c r="H295" i="62"/>
  <c r="P294" i="62"/>
  <c r="O294" i="62"/>
  <c r="N294" i="62"/>
  <c r="M294" i="62"/>
  <c r="L294" i="62"/>
  <c r="K294" i="62"/>
  <c r="J294" i="62"/>
  <c r="H294" i="62"/>
  <c r="P293" i="62"/>
  <c r="O293" i="62"/>
  <c r="N293" i="62"/>
  <c r="M293" i="62"/>
  <c r="L293" i="62"/>
  <c r="K293" i="62"/>
  <c r="J293" i="62"/>
  <c r="H293" i="62"/>
  <c r="P292" i="62"/>
  <c r="O292" i="62"/>
  <c r="N292" i="62"/>
  <c r="M292" i="62"/>
  <c r="L292" i="62"/>
  <c r="K292" i="62"/>
  <c r="J292" i="62"/>
  <c r="H292" i="62"/>
  <c r="P291" i="62"/>
  <c r="O291" i="62"/>
  <c r="N291" i="62"/>
  <c r="M291" i="62"/>
  <c r="L291" i="62"/>
  <c r="K291" i="62"/>
  <c r="J291" i="62"/>
  <c r="H291" i="62"/>
  <c r="P290" i="62"/>
  <c r="O290" i="62"/>
  <c r="N290" i="62"/>
  <c r="M290" i="62"/>
  <c r="L290" i="62"/>
  <c r="K290" i="62"/>
  <c r="J290" i="62"/>
  <c r="H290" i="62"/>
  <c r="P289" i="62"/>
  <c r="O289" i="62"/>
  <c r="N289" i="62"/>
  <c r="M289" i="62"/>
  <c r="L289" i="62"/>
  <c r="K289" i="62"/>
  <c r="J289" i="62"/>
  <c r="H289" i="62"/>
  <c r="P288" i="62"/>
  <c r="O288" i="62"/>
  <c r="N288" i="62"/>
  <c r="M288" i="62"/>
  <c r="L288" i="62"/>
  <c r="K288" i="62"/>
  <c r="J288" i="62"/>
  <c r="H288" i="62"/>
  <c r="P287" i="62"/>
  <c r="O287" i="62"/>
  <c r="N287" i="62"/>
  <c r="M287" i="62"/>
  <c r="L287" i="62"/>
  <c r="K287" i="62"/>
  <c r="J287" i="62"/>
  <c r="H287" i="62"/>
  <c r="P286" i="62"/>
  <c r="O286" i="62"/>
  <c r="N286" i="62"/>
  <c r="M286" i="62"/>
  <c r="L286" i="62"/>
  <c r="K286" i="62"/>
  <c r="J286" i="62"/>
  <c r="H286" i="62"/>
  <c r="P285" i="62"/>
  <c r="O285" i="62"/>
  <c r="N285" i="62"/>
  <c r="M285" i="62"/>
  <c r="L285" i="62"/>
  <c r="K285" i="62"/>
  <c r="J285" i="62"/>
  <c r="H285" i="62"/>
  <c r="P284" i="62"/>
  <c r="O284" i="62"/>
  <c r="N284" i="62"/>
  <c r="M284" i="62"/>
  <c r="L284" i="62"/>
  <c r="K284" i="62"/>
  <c r="J284" i="62"/>
  <c r="H284" i="62"/>
  <c r="P283" i="62"/>
  <c r="O283" i="62"/>
  <c r="N283" i="62"/>
  <c r="M283" i="62"/>
  <c r="L283" i="62"/>
  <c r="K283" i="62"/>
  <c r="J283" i="62"/>
  <c r="H283" i="62"/>
  <c r="P282" i="62"/>
  <c r="O282" i="62"/>
  <c r="N282" i="62"/>
  <c r="M282" i="62"/>
  <c r="L282" i="62"/>
  <c r="K282" i="62"/>
  <c r="J282" i="62"/>
  <c r="H282" i="62"/>
  <c r="P281" i="62"/>
  <c r="O281" i="62"/>
  <c r="N281" i="62"/>
  <c r="M281" i="62"/>
  <c r="L281" i="62"/>
  <c r="K281" i="62"/>
  <c r="J281" i="62"/>
  <c r="H281" i="62"/>
  <c r="P280" i="62"/>
  <c r="O280" i="62"/>
  <c r="N280" i="62"/>
  <c r="M280" i="62"/>
  <c r="L280" i="62"/>
  <c r="K280" i="62"/>
  <c r="J280" i="62"/>
  <c r="H280" i="62"/>
  <c r="P279" i="62"/>
  <c r="O279" i="62"/>
  <c r="N279" i="62"/>
  <c r="M279" i="62"/>
  <c r="L279" i="62"/>
  <c r="K279" i="62"/>
  <c r="J279" i="62"/>
  <c r="H279" i="62"/>
  <c r="P278" i="62"/>
  <c r="O278" i="62"/>
  <c r="N278" i="62"/>
  <c r="M278" i="62"/>
  <c r="L278" i="62"/>
  <c r="K278" i="62"/>
  <c r="J278" i="62"/>
  <c r="H278" i="62"/>
  <c r="P277" i="62"/>
  <c r="O277" i="62"/>
  <c r="N277" i="62"/>
  <c r="M277" i="62"/>
  <c r="L277" i="62"/>
  <c r="K277" i="62"/>
  <c r="J277" i="62"/>
  <c r="H277" i="62"/>
  <c r="P276" i="62"/>
  <c r="O276" i="62"/>
  <c r="N276" i="62"/>
  <c r="M276" i="62"/>
  <c r="L276" i="62"/>
  <c r="K276" i="62"/>
  <c r="J276" i="62"/>
  <c r="H276" i="62"/>
  <c r="P275" i="62"/>
  <c r="O275" i="62"/>
  <c r="N275" i="62"/>
  <c r="M275" i="62"/>
  <c r="L275" i="62"/>
  <c r="K275" i="62"/>
  <c r="J275" i="62"/>
  <c r="H275" i="62"/>
  <c r="P274" i="62"/>
  <c r="O274" i="62"/>
  <c r="N274" i="62"/>
  <c r="M274" i="62"/>
  <c r="L274" i="62"/>
  <c r="K274" i="62"/>
  <c r="J274" i="62"/>
  <c r="H274" i="62"/>
  <c r="P273" i="62"/>
  <c r="O273" i="62"/>
  <c r="N273" i="62"/>
  <c r="M273" i="62"/>
  <c r="L273" i="62"/>
  <c r="K273" i="62"/>
  <c r="J273" i="62"/>
  <c r="H273" i="62"/>
  <c r="P272" i="62"/>
  <c r="O272" i="62"/>
  <c r="N272" i="62"/>
  <c r="M272" i="62"/>
  <c r="L272" i="62"/>
  <c r="K272" i="62"/>
  <c r="J272" i="62"/>
  <c r="H272" i="62"/>
  <c r="P271" i="62"/>
  <c r="O271" i="62"/>
  <c r="N271" i="62"/>
  <c r="M271" i="62"/>
  <c r="L271" i="62"/>
  <c r="K271" i="62"/>
  <c r="J271" i="62"/>
  <c r="H271" i="62"/>
  <c r="P270" i="62"/>
  <c r="O270" i="62"/>
  <c r="N270" i="62"/>
  <c r="M270" i="62"/>
  <c r="L270" i="62"/>
  <c r="K270" i="62"/>
  <c r="J270" i="62"/>
  <c r="H270" i="62"/>
  <c r="P269" i="62"/>
  <c r="O269" i="62"/>
  <c r="N269" i="62"/>
  <c r="M269" i="62"/>
  <c r="L269" i="62"/>
  <c r="K269" i="62"/>
  <c r="J269" i="62"/>
  <c r="H269" i="62"/>
  <c r="P268" i="62"/>
  <c r="O268" i="62"/>
  <c r="N268" i="62"/>
  <c r="M268" i="62"/>
  <c r="L268" i="62"/>
  <c r="K268" i="62"/>
  <c r="J268" i="62"/>
  <c r="H268" i="62"/>
  <c r="P267" i="62"/>
  <c r="O267" i="62"/>
  <c r="N267" i="62"/>
  <c r="M267" i="62"/>
  <c r="L267" i="62"/>
  <c r="K267" i="62"/>
  <c r="J267" i="62"/>
  <c r="H267" i="62"/>
  <c r="P266" i="62"/>
  <c r="O266" i="62"/>
  <c r="N266" i="62"/>
  <c r="M266" i="62"/>
  <c r="L266" i="62"/>
  <c r="K266" i="62"/>
  <c r="J266" i="62"/>
  <c r="H266" i="62"/>
  <c r="P265" i="62"/>
  <c r="O265" i="62"/>
  <c r="N265" i="62"/>
  <c r="M265" i="62"/>
  <c r="L265" i="62"/>
  <c r="K265" i="62"/>
  <c r="J265" i="62"/>
  <c r="H265" i="62"/>
  <c r="P264" i="62"/>
  <c r="O264" i="62"/>
  <c r="N264" i="62"/>
  <c r="M264" i="62"/>
  <c r="L264" i="62"/>
  <c r="K264" i="62"/>
  <c r="J264" i="62"/>
  <c r="H264" i="62"/>
  <c r="P263" i="62"/>
  <c r="O263" i="62"/>
  <c r="N263" i="62"/>
  <c r="M263" i="62"/>
  <c r="L263" i="62"/>
  <c r="K263" i="62"/>
  <c r="J263" i="62"/>
  <c r="H263" i="62"/>
  <c r="P262" i="62"/>
  <c r="O262" i="62"/>
  <c r="N262" i="62"/>
  <c r="M262" i="62"/>
  <c r="L262" i="62"/>
  <c r="K262" i="62"/>
  <c r="J262" i="62"/>
  <c r="H262" i="62"/>
  <c r="P261" i="62"/>
  <c r="O261" i="62"/>
  <c r="N261" i="62"/>
  <c r="M261" i="62"/>
  <c r="L261" i="62"/>
  <c r="K261" i="62"/>
  <c r="J261" i="62"/>
  <c r="H261" i="62"/>
  <c r="P260" i="62"/>
  <c r="O260" i="62"/>
  <c r="N260" i="62"/>
  <c r="M260" i="62"/>
  <c r="L260" i="62"/>
  <c r="K260" i="62"/>
  <c r="J260" i="62"/>
  <c r="H260" i="62"/>
  <c r="P259" i="62"/>
  <c r="O259" i="62"/>
  <c r="N259" i="62"/>
  <c r="M259" i="62"/>
  <c r="L259" i="62"/>
  <c r="K259" i="62"/>
  <c r="J259" i="62"/>
  <c r="H259" i="62"/>
  <c r="P258" i="62"/>
  <c r="O258" i="62"/>
  <c r="N258" i="62"/>
  <c r="M258" i="62"/>
  <c r="L258" i="62"/>
  <c r="K258" i="62"/>
  <c r="J258" i="62"/>
  <c r="H258" i="62"/>
  <c r="P257" i="62"/>
  <c r="O257" i="62"/>
  <c r="N257" i="62"/>
  <c r="M257" i="62"/>
  <c r="L257" i="62"/>
  <c r="K257" i="62"/>
  <c r="J257" i="62"/>
  <c r="H257" i="62"/>
  <c r="P256" i="62"/>
  <c r="O256" i="62"/>
  <c r="N256" i="62"/>
  <c r="M256" i="62"/>
  <c r="L256" i="62"/>
  <c r="K256" i="62"/>
  <c r="J256" i="62"/>
  <c r="H256" i="62"/>
  <c r="P255" i="62"/>
  <c r="O255" i="62"/>
  <c r="N255" i="62"/>
  <c r="M255" i="62"/>
  <c r="L255" i="62"/>
  <c r="K255" i="62"/>
  <c r="J255" i="62"/>
  <c r="H255" i="62"/>
  <c r="P254" i="62"/>
  <c r="O254" i="62"/>
  <c r="N254" i="62"/>
  <c r="M254" i="62"/>
  <c r="L254" i="62"/>
  <c r="K254" i="62"/>
  <c r="J254" i="62"/>
  <c r="H254" i="62"/>
  <c r="P253" i="62"/>
  <c r="O253" i="62"/>
  <c r="N253" i="62"/>
  <c r="M253" i="62"/>
  <c r="L253" i="62"/>
  <c r="K253" i="62"/>
  <c r="J253" i="62"/>
  <c r="H253" i="62"/>
  <c r="P252" i="62"/>
  <c r="O252" i="62"/>
  <c r="N252" i="62"/>
  <c r="M252" i="62"/>
  <c r="L252" i="62"/>
  <c r="K252" i="62"/>
  <c r="J252" i="62"/>
  <c r="H252" i="62"/>
  <c r="P251" i="62"/>
  <c r="O251" i="62"/>
  <c r="N251" i="62"/>
  <c r="M251" i="62"/>
  <c r="L251" i="62"/>
  <c r="K251" i="62"/>
  <c r="J251" i="62"/>
  <c r="H251" i="62"/>
  <c r="P250" i="62"/>
  <c r="O250" i="62"/>
  <c r="N250" i="62"/>
  <c r="M250" i="62"/>
  <c r="L250" i="62"/>
  <c r="K250" i="62"/>
  <c r="J250" i="62"/>
  <c r="H250" i="62"/>
  <c r="P249" i="62"/>
  <c r="O249" i="62"/>
  <c r="N249" i="62"/>
  <c r="M249" i="62"/>
  <c r="L249" i="62"/>
  <c r="K249" i="62"/>
  <c r="J249" i="62"/>
  <c r="H249" i="62"/>
  <c r="P248" i="62"/>
  <c r="O248" i="62"/>
  <c r="N248" i="62"/>
  <c r="M248" i="62"/>
  <c r="L248" i="62"/>
  <c r="K248" i="62"/>
  <c r="J248" i="62"/>
  <c r="H248" i="62"/>
  <c r="P247" i="62"/>
  <c r="O247" i="62"/>
  <c r="N247" i="62"/>
  <c r="M247" i="62"/>
  <c r="L247" i="62"/>
  <c r="K247" i="62"/>
  <c r="J247" i="62"/>
  <c r="H247" i="62"/>
  <c r="P246" i="62"/>
  <c r="O246" i="62"/>
  <c r="N246" i="62"/>
  <c r="M246" i="62"/>
  <c r="L246" i="62"/>
  <c r="K246" i="62"/>
  <c r="J246" i="62"/>
  <c r="H246" i="62"/>
  <c r="P245" i="62"/>
  <c r="O245" i="62"/>
  <c r="N245" i="62"/>
  <c r="M245" i="62"/>
  <c r="L245" i="62"/>
  <c r="K245" i="62"/>
  <c r="J245" i="62"/>
  <c r="H245" i="62"/>
  <c r="P244" i="62"/>
  <c r="O244" i="62"/>
  <c r="N244" i="62"/>
  <c r="M244" i="62"/>
  <c r="L244" i="62"/>
  <c r="K244" i="62"/>
  <c r="J244" i="62"/>
  <c r="H244" i="62"/>
  <c r="P243" i="62"/>
  <c r="O243" i="62"/>
  <c r="N243" i="62"/>
  <c r="M243" i="62"/>
  <c r="L243" i="62"/>
  <c r="K243" i="62"/>
  <c r="J243" i="62"/>
  <c r="H243" i="62"/>
  <c r="P242" i="62"/>
  <c r="O242" i="62"/>
  <c r="N242" i="62"/>
  <c r="M242" i="62"/>
  <c r="L242" i="62"/>
  <c r="K242" i="62"/>
  <c r="J242" i="62"/>
  <c r="H242" i="62"/>
  <c r="P241" i="62"/>
  <c r="O241" i="62"/>
  <c r="N241" i="62"/>
  <c r="M241" i="62"/>
  <c r="L241" i="62"/>
  <c r="K241" i="62"/>
  <c r="J241" i="62"/>
  <c r="H241" i="62"/>
  <c r="P240" i="62"/>
  <c r="O240" i="62"/>
  <c r="N240" i="62"/>
  <c r="M240" i="62"/>
  <c r="L240" i="62"/>
  <c r="K240" i="62"/>
  <c r="J240" i="62"/>
  <c r="H240" i="62"/>
  <c r="P239" i="62"/>
  <c r="O239" i="62"/>
  <c r="N239" i="62"/>
  <c r="M239" i="62"/>
  <c r="L239" i="62"/>
  <c r="K239" i="62"/>
  <c r="J239" i="62"/>
  <c r="H239" i="62"/>
  <c r="P238" i="62"/>
  <c r="O238" i="62"/>
  <c r="N238" i="62"/>
  <c r="M238" i="62"/>
  <c r="L238" i="62"/>
  <c r="K238" i="62"/>
  <c r="J238" i="62"/>
  <c r="H238" i="62"/>
  <c r="P237" i="62"/>
  <c r="O237" i="62"/>
  <c r="N237" i="62"/>
  <c r="M237" i="62"/>
  <c r="L237" i="62"/>
  <c r="K237" i="62"/>
  <c r="J237" i="62"/>
  <c r="H237" i="62"/>
  <c r="P236" i="62"/>
  <c r="O236" i="62"/>
  <c r="N236" i="62"/>
  <c r="M236" i="62"/>
  <c r="L236" i="62"/>
  <c r="K236" i="62"/>
  <c r="J236" i="62"/>
  <c r="H236" i="62"/>
  <c r="P235" i="62"/>
  <c r="O235" i="62"/>
  <c r="N235" i="62"/>
  <c r="M235" i="62"/>
  <c r="L235" i="62"/>
  <c r="K235" i="62"/>
  <c r="J235" i="62"/>
  <c r="H235" i="62"/>
  <c r="P234" i="62"/>
  <c r="O234" i="62"/>
  <c r="N234" i="62"/>
  <c r="M234" i="62"/>
  <c r="L234" i="62"/>
  <c r="K234" i="62"/>
  <c r="J234" i="62"/>
  <c r="H234" i="62"/>
  <c r="P233" i="62"/>
  <c r="O233" i="62"/>
  <c r="N233" i="62"/>
  <c r="M233" i="62"/>
  <c r="L233" i="62"/>
  <c r="K233" i="62"/>
  <c r="J233" i="62"/>
  <c r="H233" i="62"/>
  <c r="P232" i="62"/>
  <c r="O232" i="62"/>
  <c r="N232" i="62"/>
  <c r="M232" i="62"/>
  <c r="L232" i="62"/>
  <c r="K232" i="62"/>
  <c r="J232" i="62"/>
  <c r="H232" i="62"/>
  <c r="P231" i="62"/>
  <c r="O231" i="62"/>
  <c r="N231" i="62"/>
  <c r="M231" i="62"/>
  <c r="L231" i="62"/>
  <c r="K231" i="62"/>
  <c r="J231" i="62"/>
  <c r="H231" i="62"/>
  <c r="P230" i="62"/>
  <c r="O230" i="62"/>
  <c r="N230" i="62"/>
  <c r="M230" i="62"/>
  <c r="L230" i="62"/>
  <c r="K230" i="62"/>
  <c r="J230" i="62"/>
  <c r="H230" i="62"/>
  <c r="P229" i="62"/>
  <c r="O229" i="62"/>
  <c r="N229" i="62"/>
  <c r="M229" i="62"/>
  <c r="L229" i="62"/>
  <c r="K229" i="62"/>
  <c r="J229" i="62"/>
  <c r="H229" i="62"/>
  <c r="P228" i="62"/>
  <c r="O228" i="62"/>
  <c r="N228" i="62"/>
  <c r="M228" i="62"/>
  <c r="L228" i="62"/>
  <c r="K228" i="62"/>
  <c r="J228" i="62"/>
  <c r="H228" i="62"/>
  <c r="P227" i="62"/>
  <c r="O227" i="62"/>
  <c r="N227" i="62"/>
  <c r="M227" i="62"/>
  <c r="L227" i="62"/>
  <c r="K227" i="62"/>
  <c r="J227" i="62"/>
  <c r="H227" i="62"/>
  <c r="P226" i="62"/>
  <c r="O226" i="62"/>
  <c r="N226" i="62"/>
  <c r="M226" i="62"/>
  <c r="L226" i="62"/>
  <c r="K226" i="62"/>
  <c r="J226" i="62"/>
  <c r="H226" i="62"/>
  <c r="P225" i="62"/>
  <c r="O225" i="62"/>
  <c r="N225" i="62"/>
  <c r="M225" i="62"/>
  <c r="L225" i="62"/>
  <c r="K225" i="62"/>
  <c r="J225" i="62"/>
  <c r="H225" i="62"/>
  <c r="P224" i="62"/>
  <c r="O224" i="62"/>
  <c r="N224" i="62"/>
  <c r="M224" i="62"/>
  <c r="L224" i="62"/>
  <c r="K224" i="62"/>
  <c r="J224" i="62"/>
  <c r="H224" i="62"/>
  <c r="P223" i="62"/>
  <c r="O223" i="62"/>
  <c r="N223" i="62"/>
  <c r="M223" i="62"/>
  <c r="L223" i="62"/>
  <c r="K223" i="62"/>
  <c r="J223" i="62"/>
  <c r="H223" i="62"/>
  <c r="P222" i="62"/>
  <c r="O222" i="62"/>
  <c r="N222" i="62"/>
  <c r="M222" i="62"/>
  <c r="L222" i="62"/>
  <c r="K222" i="62"/>
  <c r="J222" i="62"/>
  <c r="H222" i="62"/>
  <c r="P221" i="62"/>
  <c r="O221" i="62"/>
  <c r="N221" i="62"/>
  <c r="M221" i="62"/>
  <c r="L221" i="62"/>
  <c r="K221" i="62"/>
  <c r="J221" i="62"/>
  <c r="H221" i="62"/>
  <c r="P220" i="62"/>
  <c r="O220" i="62"/>
  <c r="N220" i="62"/>
  <c r="M220" i="62"/>
  <c r="L220" i="62"/>
  <c r="K220" i="62"/>
  <c r="J220" i="62"/>
  <c r="H220" i="62"/>
  <c r="P219" i="62"/>
  <c r="O219" i="62"/>
  <c r="N219" i="62"/>
  <c r="M219" i="62"/>
  <c r="L219" i="62"/>
  <c r="K219" i="62"/>
  <c r="J219" i="62"/>
  <c r="H219" i="62"/>
  <c r="P218" i="62"/>
  <c r="O218" i="62"/>
  <c r="N218" i="62"/>
  <c r="M218" i="62"/>
  <c r="L218" i="62"/>
  <c r="K218" i="62"/>
  <c r="J218" i="62"/>
  <c r="H218" i="62"/>
  <c r="P217" i="62"/>
  <c r="O217" i="62"/>
  <c r="N217" i="62"/>
  <c r="M217" i="62"/>
  <c r="L217" i="62"/>
  <c r="K217" i="62"/>
  <c r="J217" i="62"/>
  <c r="H217" i="62"/>
  <c r="P216" i="62"/>
  <c r="O216" i="62"/>
  <c r="N216" i="62"/>
  <c r="M216" i="62"/>
  <c r="L216" i="62"/>
  <c r="K216" i="62"/>
  <c r="J216" i="62"/>
  <c r="H216" i="62"/>
  <c r="P215" i="62"/>
  <c r="O215" i="62"/>
  <c r="N215" i="62"/>
  <c r="M215" i="62"/>
  <c r="L215" i="62"/>
  <c r="K215" i="62"/>
  <c r="J215" i="62"/>
  <c r="H215" i="62"/>
  <c r="P214" i="62"/>
  <c r="O214" i="62"/>
  <c r="N214" i="62"/>
  <c r="M214" i="62"/>
  <c r="L214" i="62"/>
  <c r="K214" i="62"/>
  <c r="J214" i="62"/>
  <c r="H214" i="62"/>
  <c r="P213" i="62"/>
  <c r="O213" i="62"/>
  <c r="N213" i="62"/>
  <c r="M213" i="62"/>
  <c r="L213" i="62"/>
  <c r="K213" i="62"/>
  <c r="J213" i="62"/>
  <c r="H213" i="62"/>
  <c r="P212" i="62"/>
  <c r="O212" i="62"/>
  <c r="N212" i="62"/>
  <c r="M212" i="62"/>
  <c r="L212" i="62"/>
  <c r="K212" i="62"/>
  <c r="J212" i="62"/>
  <c r="H212" i="62"/>
  <c r="P211" i="62"/>
  <c r="O211" i="62"/>
  <c r="N211" i="62"/>
  <c r="M211" i="62"/>
  <c r="L211" i="62"/>
  <c r="K211" i="62"/>
  <c r="J211" i="62"/>
  <c r="H211" i="62"/>
  <c r="P210" i="62"/>
  <c r="O210" i="62"/>
  <c r="N210" i="62"/>
  <c r="M210" i="62"/>
  <c r="L210" i="62"/>
  <c r="K210" i="62"/>
  <c r="J210" i="62"/>
  <c r="H210" i="62"/>
  <c r="P209" i="62"/>
  <c r="O209" i="62"/>
  <c r="N209" i="62"/>
  <c r="M209" i="62"/>
  <c r="L209" i="62"/>
  <c r="K209" i="62"/>
  <c r="J209" i="62"/>
  <c r="H209" i="62"/>
  <c r="P208" i="62"/>
  <c r="O208" i="62"/>
  <c r="N208" i="62"/>
  <c r="M208" i="62"/>
  <c r="L208" i="62"/>
  <c r="K208" i="62"/>
  <c r="J208" i="62"/>
  <c r="H208" i="62"/>
  <c r="P207" i="62"/>
  <c r="O207" i="62"/>
  <c r="N207" i="62"/>
  <c r="M207" i="62"/>
  <c r="L207" i="62"/>
  <c r="K207" i="62"/>
  <c r="J207" i="62"/>
  <c r="H207" i="62"/>
  <c r="P206" i="62"/>
  <c r="O206" i="62"/>
  <c r="N206" i="62"/>
  <c r="M206" i="62"/>
  <c r="L206" i="62"/>
  <c r="K206" i="62"/>
  <c r="J206" i="62"/>
  <c r="H206" i="62"/>
  <c r="P205" i="62"/>
  <c r="O205" i="62"/>
  <c r="N205" i="62"/>
  <c r="M205" i="62"/>
  <c r="L205" i="62"/>
  <c r="K205" i="62"/>
  <c r="J205" i="62"/>
  <c r="H205" i="62"/>
  <c r="P204" i="62"/>
  <c r="O204" i="62"/>
  <c r="N204" i="62"/>
  <c r="M204" i="62"/>
  <c r="L204" i="62"/>
  <c r="K204" i="62"/>
  <c r="J204" i="62"/>
  <c r="H204" i="62"/>
  <c r="P203" i="62"/>
  <c r="O203" i="62"/>
  <c r="N203" i="62"/>
  <c r="M203" i="62"/>
  <c r="L203" i="62"/>
  <c r="K203" i="62"/>
  <c r="J203" i="62"/>
  <c r="H203" i="62"/>
  <c r="P202" i="62"/>
  <c r="O202" i="62"/>
  <c r="N202" i="62"/>
  <c r="M202" i="62"/>
  <c r="L202" i="62"/>
  <c r="K202" i="62"/>
  <c r="J202" i="62"/>
  <c r="H202" i="62"/>
  <c r="P201" i="62"/>
  <c r="O201" i="62"/>
  <c r="N201" i="62"/>
  <c r="M201" i="62"/>
  <c r="L201" i="62"/>
  <c r="K201" i="62"/>
  <c r="J201" i="62"/>
  <c r="H201" i="62"/>
  <c r="P200" i="62"/>
  <c r="O200" i="62"/>
  <c r="N200" i="62"/>
  <c r="M200" i="62"/>
  <c r="L200" i="62"/>
  <c r="K200" i="62"/>
  <c r="J200" i="62"/>
  <c r="H200" i="62"/>
  <c r="P199" i="62"/>
  <c r="O199" i="62"/>
  <c r="N199" i="62"/>
  <c r="M199" i="62"/>
  <c r="L199" i="62"/>
  <c r="K199" i="62"/>
  <c r="J199" i="62"/>
  <c r="H199" i="62"/>
  <c r="P198" i="62"/>
  <c r="O198" i="62"/>
  <c r="N198" i="62"/>
  <c r="M198" i="62"/>
  <c r="L198" i="62"/>
  <c r="K198" i="62"/>
  <c r="J198" i="62"/>
  <c r="H198" i="62"/>
  <c r="P197" i="62"/>
  <c r="O197" i="62"/>
  <c r="N197" i="62"/>
  <c r="M197" i="62"/>
  <c r="L197" i="62"/>
  <c r="K197" i="62"/>
  <c r="J197" i="62"/>
  <c r="H197" i="62"/>
  <c r="P196" i="62"/>
  <c r="O196" i="62"/>
  <c r="N196" i="62"/>
  <c r="M196" i="62"/>
  <c r="L196" i="62"/>
  <c r="K196" i="62"/>
  <c r="J196" i="62"/>
  <c r="H196" i="62"/>
  <c r="P195" i="62"/>
  <c r="O195" i="62"/>
  <c r="N195" i="62"/>
  <c r="M195" i="62"/>
  <c r="L195" i="62"/>
  <c r="K195" i="62"/>
  <c r="J195" i="62"/>
  <c r="H195" i="62"/>
  <c r="P194" i="62"/>
  <c r="O194" i="62"/>
  <c r="N194" i="62"/>
  <c r="M194" i="62"/>
  <c r="L194" i="62"/>
  <c r="K194" i="62"/>
  <c r="J194" i="62"/>
  <c r="H194" i="62"/>
  <c r="P193" i="62"/>
  <c r="O193" i="62"/>
  <c r="N193" i="62"/>
  <c r="M193" i="62"/>
  <c r="L193" i="62"/>
  <c r="K193" i="62"/>
  <c r="J193" i="62"/>
  <c r="H193" i="62"/>
  <c r="P192" i="62"/>
  <c r="O192" i="62"/>
  <c r="N192" i="62"/>
  <c r="M192" i="62"/>
  <c r="L192" i="62"/>
  <c r="K192" i="62"/>
  <c r="J192" i="62"/>
  <c r="H192" i="62"/>
  <c r="P191" i="62"/>
  <c r="O191" i="62"/>
  <c r="N191" i="62"/>
  <c r="M191" i="62"/>
  <c r="L191" i="62"/>
  <c r="K191" i="62"/>
  <c r="J191" i="62"/>
  <c r="H191" i="62"/>
  <c r="P190" i="62"/>
  <c r="O190" i="62"/>
  <c r="N190" i="62"/>
  <c r="M190" i="62"/>
  <c r="L190" i="62"/>
  <c r="K190" i="62"/>
  <c r="J190" i="62"/>
  <c r="H190" i="62"/>
  <c r="P189" i="62"/>
  <c r="O189" i="62"/>
  <c r="N189" i="62"/>
  <c r="M189" i="62"/>
  <c r="L189" i="62"/>
  <c r="K189" i="62"/>
  <c r="J189" i="62"/>
  <c r="H189" i="62"/>
  <c r="P188" i="62"/>
  <c r="O188" i="62"/>
  <c r="N188" i="62"/>
  <c r="M188" i="62"/>
  <c r="L188" i="62"/>
  <c r="K188" i="62"/>
  <c r="J188" i="62"/>
  <c r="H188" i="62"/>
  <c r="P187" i="62"/>
  <c r="O187" i="62"/>
  <c r="N187" i="62"/>
  <c r="M187" i="62"/>
  <c r="L187" i="62"/>
  <c r="K187" i="62"/>
  <c r="J187" i="62"/>
  <c r="H187" i="62"/>
  <c r="P186" i="62"/>
  <c r="O186" i="62"/>
  <c r="N186" i="62"/>
  <c r="M186" i="62"/>
  <c r="L186" i="62"/>
  <c r="K186" i="62"/>
  <c r="J186" i="62"/>
  <c r="H186" i="62"/>
  <c r="P185" i="62"/>
  <c r="O185" i="62"/>
  <c r="N185" i="62"/>
  <c r="M185" i="62"/>
  <c r="L185" i="62"/>
  <c r="K185" i="62"/>
  <c r="J185" i="62"/>
  <c r="H185" i="62"/>
  <c r="P184" i="62"/>
  <c r="O184" i="62"/>
  <c r="N184" i="62"/>
  <c r="M184" i="62"/>
  <c r="L184" i="62"/>
  <c r="K184" i="62"/>
  <c r="J184" i="62"/>
  <c r="H184" i="62"/>
  <c r="P183" i="62"/>
  <c r="O183" i="62"/>
  <c r="N183" i="62"/>
  <c r="M183" i="62"/>
  <c r="L183" i="62"/>
  <c r="K183" i="62"/>
  <c r="J183" i="62"/>
  <c r="H183" i="62"/>
  <c r="P182" i="62"/>
  <c r="O182" i="62"/>
  <c r="N182" i="62"/>
  <c r="M182" i="62"/>
  <c r="L182" i="62"/>
  <c r="K182" i="62"/>
  <c r="J182" i="62"/>
  <c r="H182" i="62"/>
  <c r="P181" i="62"/>
  <c r="O181" i="62"/>
  <c r="N181" i="62"/>
  <c r="M181" i="62"/>
  <c r="L181" i="62"/>
  <c r="K181" i="62"/>
  <c r="J181" i="62"/>
  <c r="H181" i="62"/>
  <c r="P180" i="62"/>
  <c r="O180" i="62"/>
  <c r="N180" i="62"/>
  <c r="M180" i="62"/>
  <c r="L180" i="62"/>
  <c r="K180" i="62"/>
  <c r="J180" i="62"/>
  <c r="H180" i="62"/>
  <c r="P179" i="62"/>
  <c r="O179" i="62"/>
  <c r="N179" i="62"/>
  <c r="M179" i="62"/>
  <c r="L179" i="62"/>
  <c r="K179" i="62"/>
  <c r="J179" i="62"/>
  <c r="H179" i="62"/>
  <c r="P178" i="62"/>
  <c r="O178" i="62"/>
  <c r="N178" i="62"/>
  <c r="M178" i="62"/>
  <c r="L178" i="62"/>
  <c r="K178" i="62"/>
  <c r="J178" i="62"/>
  <c r="H178" i="62"/>
  <c r="P177" i="62"/>
  <c r="O177" i="62"/>
  <c r="N177" i="62"/>
  <c r="M177" i="62"/>
  <c r="L177" i="62"/>
  <c r="K177" i="62"/>
  <c r="J177" i="62"/>
  <c r="H177" i="62"/>
  <c r="P176" i="62"/>
  <c r="O176" i="62"/>
  <c r="N176" i="62"/>
  <c r="M176" i="62"/>
  <c r="L176" i="62"/>
  <c r="K176" i="62"/>
  <c r="J176" i="62"/>
  <c r="H176" i="62"/>
  <c r="P175" i="62"/>
  <c r="O175" i="62"/>
  <c r="N175" i="62"/>
  <c r="M175" i="62"/>
  <c r="L175" i="62"/>
  <c r="K175" i="62"/>
  <c r="J175" i="62"/>
  <c r="H175" i="62"/>
  <c r="P174" i="62"/>
  <c r="O174" i="62"/>
  <c r="N174" i="62"/>
  <c r="M174" i="62"/>
  <c r="L174" i="62"/>
  <c r="K174" i="62"/>
  <c r="J174" i="62"/>
  <c r="H174" i="62"/>
  <c r="P173" i="62"/>
  <c r="O173" i="62"/>
  <c r="N173" i="62"/>
  <c r="M173" i="62"/>
  <c r="L173" i="62"/>
  <c r="K173" i="62"/>
  <c r="J173" i="62"/>
  <c r="H173" i="62"/>
  <c r="P172" i="62"/>
  <c r="O172" i="62"/>
  <c r="N172" i="62"/>
  <c r="M172" i="62"/>
  <c r="L172" i="62"/>
  <c r="K172" i="62"/>
  <c r="J172" i="62"/>
  <c r="H172" i="62"/>
  <c r="P171" i="62"/>
  <c r="O171" i="62"/>
  <c r="N171" i="62"/>
  <c r="M171" i="62"/>
  <c r="L171" i="62"/>
  <c r="K171" i="62"/>
  <c r="J171" i="62"/>
  <c r="H171" i="62"/>
  <c r="P170" i="62"/>
  <c r="O170" i="62"/>
  <c r="N170" i="62"/>
  <c r="M170" i="62"/>
  <c r="L170" i="62"/>
  <c r="K170" i="62"/>
  <c r="J170" i="62"/>
  <c r="H170" i="62"/>
  <c r="P169" i="62"/>
  <c r="O169" i="62"/>
  <c r="N169" i="62"/>
  <c r="M169" i="62"/>
  <c r="L169" i="62"/>
  <c r="K169" i="62"/>
  <c r="J169" i="62"/>
  <c r="H169" i="62"/>
  <c r="P168" i="62"/>
  <c r="O168" i="62"/>
  <c r="N168" i="62"/>
  <c r="M168" i="62"/>
  <c r="L168" i="62"/>
  <c r="K168" i="62"/>
  <c r="J168" i="62"/>
  <c r="H168" i="62"/>
  <c r="P167" i="62"/>
  <c r="O167" i="62"/>
  <c r="N167" i="62"/>
  <c r="M167" i="62"/>
  <c r="L167" i="62"/>
  <c r="K167" i="62"/>
  <c r="J167" i="62"/>
  <c r="H167" i="62"/>
  <c r="P166" i="62"/>
  <c r="O166" i="62"/>
  <c r="N166" i="62"/>
  <c r="M166" i="62"/>
  <c r="L166" i="62"/>
  <c r="K166" i="62"/>
  <c r="J166" i="62"/>
  <c r="H166" i="62"/>
  <c r="P165" i="62"/>
  <c r="O165" i="62"/>
  <c r="N165" i="62"/>
  <c r="M165" i="62"/>
  <c r="L165" i="62"/>
  <c r="K165" i="62"/>
  <c r="J165" i="62"/>
  <c r="H165" i="62"/>
  <c r="P164" i="62"/>
  <c r="O164" i="62"/>
  <c r="N164" i="62"/>
  <c r="M164" i="62"/>
  <c r="L164" i="62"/>
  <c r="K164" i="62"/>
  <c r="J164" i="62"/>
  <c r="H164" i="62"/>
  <c r="P163" i="62"/>
  <c r="O163" i="62"/>
  <c r="N163" i="62"/>
  <c r="M163" i="62"/>
  <c r="L163" i="62"/>
  <c r="K163" i="62"/>
  <c r="J163" i="62"/>
  <c r="H163" i="62"/>
  <c r="P162" i="62"/>
  <c r="O162" i="62"/>
  <c r="N162" i="62"/>
  <c r="M162" i="62"/>
  <c r="L162" i="62"/>
  <c r="K162" i="62"/>
  <c r="J162" i="62"/>
  <c r="H162" i="62"/>
  <c r="P161" i="62"/>
  <c r="O161" i="62"/>
  <c r="N161" i="62"/>
  <c r="M161" i="62"/>
  <c r="L161" i="62"/>
  <c r="K161" i="62"/>
  <c r="J161" i="62"/>
  <c r="H161" i="62"/>
  <c r="P160" i="62"/>
  <c r="O160" i="62"/>
  <c r="N160" i="62"/>
  <c r="M160" i="62"/>
  <c r="L160" i="62"/>
  <c r="K160" i="62"/>
  <c r="J160" i="62"/>
  <c r="H160" i="62"/>
  <c r="P159" i="62"/>
  <c r="O159" i="62"/>
  <c r="N159" i="62"/>
  <c r="M159" i="62"/>
  <c r="L159" i="62"/>
  <c r="K159" i="62"/>
  <c r="J159" i="62"/>
  <c r="H159" i="62"/>
  <c r="P158" i="62"/>
  <c r="O158" i="62"/>
  <c r="N158" i="62"/>
  <c r="M158" i="62"/>
  <c r="L158" i="62"/>
  <c r="K158" i="62"/>
  <c r="J158" i="62"/>
  <c r="H158" i="62"/>
  <c r="P157" i="62"/>
  <c r="O157" i="62"/>
  <c r="N157" i="62"/>
  <c r="M157" i="62"/>
  <c r="L157" i="62"/>
  <c r="K157" i="62"/>
  <c r="J157" i="62"/>
  <c r="H157" i="62"/>
  <c r="P156" i="62"/>
  <c r="O156" i="62"/>
  <c r="N156" i="62"/>
  <c r="M156" i="62"/>
  <c r="L156" i="62"/>
  <c r="K156" i="62"/>
  <c r="J156" i="62"/>
  <c r="H156" i="62"/>
  <c r="P155" i="62"/>
  <c r="O155" i="62"/>
  <c r="N155" i="62"/>
  <c r="M155" i="62"/>
  <c r="L155" i="62"/>
  <c r="K155" i="62"/>
  <c r="J155" i="62"/>
  <c r="H155" i="62"/>
  <c r="P154" i="62"/>
  <c r="O154" i="62"/>
  <c r="N154" i="62"/>
  <c r="M154" i="62"/>
  <c r="L154" i="62"/>
  <c r="K154" i="62"/>
  <c r="J154" i="62"/>
  <c r="H154" i="62"/>
  <c r="P153" i="62"/>
  <c r="O153" i="62"/>
  <c r="N153" i="62"/>
  <c r="M153" i="62"/>
  <c r="L153" i="62"/>
  <c r="K153" i="62"/>
  <c r="J153" i="62"/>
  <c r="H153" i="62"/>
  <c r="P152" i="62"/>
  <c r="O152" i="62"/>
  <c r="N152" i="62"/>
  <c r="M152" i="62"/>
  <c r="L152" i="62"/>
  <c r="K152" i="62"/>
  <c r="J152" i="62"/>
  <c r="H152" i="62"/>
  <c r="P151" i="62"/>
  <c r="O151" i="62"/>
  <c r="N151" i="62"/>
  <c r="M151" i="62"/>
  <c r="L151" i="62"/>
  <c r="K151" i="62"/>
  <c r="J151" i="62"/>
  <c r="H151" i="62"/>
  <c r="P150" i="62"/>
  <c r="O150" i="62"/>
  <c r="N150" i="62"/>
  <c r="M150" i="62"/>
  <c r="L150" i="62"/>
  <c r="K150" i="62"/>
  <c r="J150" i="62"/>
  <c r="H150" i="62"/>
  <c r="P149" i="62"/>
  <c r="O149" i="62"/>
  <c r="N149" i="62"/>
  <c r="M149" i="62"/>
  <c r="L149" i="62"/>
  <c r="K149" i="62"/>
  <c r="J149" i="62"/>
  <c r="H149" i="62"/>
  <c r="P148" i="62"/>
  <c r="O148" i="62"/>
  <c r="N148" i="62"/>
  <c r="M148" i="62"/>
  <c r="L148" i="62"/>
  <c r="K148" i="62"/>
  <c r="J148" i="62"/>
  <c r="H148" i="62"/>
  <c r="P147" i="62"/>
  <c r="O147" i="62"/>
  <c r="N147" i="62"/>
  <c r="M147" i="62"/>
  <c r="L147" i="62"/>
  <c r="K147" i="62"/>
  <c r="J147" i="62"/>
  <c r="H147" i="62"/>
  <c r="P146" i="62"/>
  <c r="O146" i="62"/>
  <c r="N146" i="62"/>
  <c r="M146" i="62"/>
  <c r="L146" i="62"/>
  <c r="K146" i="62"/>
  <c r="J146" i="62"/>
  <c r="H146" i="62"/>
  <c r="P145" i="62"/>
  <c r="O145" i="62"/>
  <c r="N145" i="62"/>
  <c r="M145" i="62"/>
  <c r="L145" i="62"/>
  <c r="K145" i="62"/>
  <c r="J145" i="62"/>
  <c r="H145" i="62"/>
  <c r="P144" i="62"/>
  <c r="O144" i="62"/>
  <c r="N144" i="62"/>
  <c r="M144" i="62"/>
  <c r="L144" i="62"/>
  <c r="K144" i="62"/>
  <c r="J144" i="62"/>
  <c r="H144" i="62"/>
  <c r="P143" i="62"/>
  <c r="O143" i="62"/>
  <c r="N143" i="62"/>
  <c r="M143" i="62"/>
  <c r="L143" i="62"/>
  <c r="K143" i="62"/>
  <c r="J143" i="62"/>
  <c r="H143" i="62"/>
  <c r="P142" i="62"/>
  <c r="O142" i="62"/>
  <c r="N142" i="62"/>
  <c r="M142" i="62"/>
  <c r="L142" i="62"/>
  <c r="K142" i="62"/>
  <c r="J142" i="62"/>
  <c r="H142" i="62"/>
  <c r="P141" i="62"/>
  <c r="O141" i="62"/>
  <c r="N141" i="62"/>
  <c r="M141" i="62"/>
  <c r="L141" i="62"/>
  <c r="K141" i="62"/>
  <c r="J141" i="62"/>
  <c r="H141" i="62"/>
  <c r="P140" i="62"/>
  <c r="O140" i="62"/>
  <c r="N140" i="62"/>
  <c r="M140" i="62"/>
  <c r="L140" i="62"/>
  <c r="K140" i="62"/>
  <c r="J140" i="62"/>
  <c r="H140" i="62"/>
  <c r="P139" i="62"/>
  <c r="O139" i="62"/>
  <c r="N139" i="62"/>
  <c r="M139" i="62"/>
  <c r="L139" i="62"/>
  <c r="K139" i="62"/>
  <c r="J139" i="62"/>
  <c r="H139" i="62"/>
  <c r="P138" i="62"/>
  <c r="O138" i="62"/>
  <c r="N138" i="62"/>
  <c r="M138" i="62"/>
  <c r="L138" i="62"/>
  <c r="K138" i="62"/>
  <c r="J138" i="62"/>
  <c r="H138" i="62"/>
  <c r="P137" i="62"/>
  <c r="O137" i="62"/>
  <c r="N137" i="62"/>
  <c r="M137" i="62"/>
  <c r="L137" i="62"/>
  <c r="K137" i="62"/>
  <c r="J137" i="62"/>
  <c r="H137" i="62"/>
  <c r="P136" i="62"/>
  <c r="O136" i="62"/>
  <c r="N136" i="62"/>
  <c r="M136" i="62"/>
  <c r="L136" i="62"/>
  <c r="K136" i="62"/>
  <c r="J136" i="62"/>
  <c r="H136" i="62"/>
  <c r="P135" i="62"/>
  <c r="O135" i="62"/>
  <c r="N135" i="62"/>
  <c r="M135" i="62"/>
  <c r="L135" i="62"/>
  <c r="K135" i="62"/>
  <c r="J135" i="62"/>
  <c r="H135" i="62"/>
  <c r="P134" i="62"/>
  <c r="O134" i="62"/>
  <c r="N134" i="62"/>
  <c r="M134" i="62"/>
  <c r="L134" i="62"/>
  <c r="K134" i="62"/>
  <c r="J134" i="62"/>
  <c r="H134" i="62"/>
  <c r="P133" i="62"/>
  <c r="O133" i="62"/>
  <c r="N133" i="62"/>
  <c r="M133" i="62"/>
  <c r="L133" i="62"/>
  <c r="K133" i="62"/>
  <c r="J133" i="62"/>
  <c r="H133" i="62"/>
  <c r="P132" i="62"/>
  <c r="O132" i="62"/>
  <c r="N132" i="62"/>
  <c r="M132" i="62"/>
  <c r="L132" i="62"/>
  <c r="K132" i="62"/>
  <c r="J132" i="62"/>
  <c r="H132" i="62"/>
  <c r="P131" i="62"/>
  <c r="O131" i="62"/>
  <c r="N131" i="62"/>
  <c r="M131" i="62"/>
  <c r="L131" i="62"/>
  <c r="K131" i="62"/>
  <c r="J131" i="62"/>
  <c r="H131" i="62"/>
  <c r="P130" i="62"/>
  <c r="O130" i="62"/>
  <c r="N130" i="62"/>
  <c r="M130" i="62"/>
  <c r="L130" i="62"/>
  <c r="K130" i="62"/>
  <c r="J130" i="62"/>
  <c r="H130" i="62"/>
  <c r="P129" i="62"/>
  <c r="O129" i="62"/>
  <c r="N129" i="62"/>
  <c r="M129" i="62"/>
  <c r="L129" i="62"/>
  <c r="K129" i="62"/>
  <c r="J129" i="62"/>
  <c r="H129" i="62"/>
  <c r="P128" i="62"/>
  <c r="O128" i="62"/>
  <c r="N128" i="62"/>
  <c r="M128" i="62"/>
  <c r="L128" i="62"/>
  <c r="K128" i="62"/>
  <c r="J128" i="62"/>
  <c r="H128" i="62"/>
  <c r="P127" i="62"/>
  <c r="O127" i="62"/>
  <c r="N127" i="62"/>
  <c r="M127" i="62"/>
  <c r="L127" i="62"/>
  <c r="K127" i="62"/>
  <c r="J127" i="62"/>
  <c r="H127" i="62"/>
  <c r="P126" i="62"/>
  <c r="O126" i="62"/>
  <c r="N126" i="62"/>
  <c r="M126" i="62"/>
  <c r="L126" i="62"/>
  <c r="K126" i="62"/>
  <c r="J126" i="62"/>
  <c r="H126" i="62"/>
  <c r="P125" i="62"/>
  <c r="O125" i="62"/>
  <c r="N125" i="62"/>
  <c r="M125" i="62"/>
  <c r="L125" i="62"/>
  <c r="K125" i="62"/>
  <c r="J125" i="62"/>
  <c r="H125" i="62"/>
  <c r="P124" i="62"/>
  <c r="O124" i="62"/>
  <c r="N124" i="62"/>
  <c r="M124" i="62"/>
  <c r="L124" i="62"/>
  <c r="K124" i="62"/>
  <c r="J124" i="62"/>
  <c r="H124" i="62"/>
  <c r="P123" i="62"/>
  <c r="O123" i="62"/>
  <c r="N123" i="62"/>
  <c r="M123" i="62"/>
  <c r="L123" i="62"/>
  <c r="K123" i="62"/>
  <c r="J123" i="62"/>
  <c r="H123" i="62"/>
  <c r="P122" i="62"/>
  <c r="O122" i="62"/>
  <c r="N122" i="62"/>
  <c r="M122" i="62"/>
  <c r="L122" i="62"/>
  <c r="K122" i="62"/>
  <c r="J122" i="62"/>
  <c r="H122" i="62"/>
  <c r="P121" i="62"/>
  <c r="O121" i="62"/>
  <c r="N121" i="62"/>
  <c r="M121" i="62"/>
  <c r="L121" i="62"/>
  <c r="K121" i="62"/>
  <c r="J121" i="62"/>
  <c r="H121" i="62"/>
  <c r="P120" i="62"/>
  <c r="O120" i="62"/>
  <c r="N120" i="62"/>
  <c r="M120" i="62"/>
  <c r="L120" i="62"/>
  <c r="K120" i="62"/>
  <c r="J120" i="62"/>
  <c r="H120" i="62"/>
  <c r="P119" i="62"/>
  <c r="O119" i="62"/>
  <c r="N119" i="62"/>
  <c r="M119" i="62"/>
  <c r="L119" i="62"/>
  <c r="K119" i="62"/>
  <c r="J119" i="62"/>
  <c r="H119" i="62"/>
  <c r="P118" i="62"/>
  <c r="O118" i="62"/>
  <c r="N118" i="62"/>
  <c r="M118" i="62"/>
  <c r="L118" i="62"/>
  <c r="K118" i="62"/>
  <c r="J118" i="62"/>
  <c r="H118" i="62"/>
  <c r="P117" i="62"/>
  <c r="O117" i="62"/>
  <c r="N117" i="62"/>
  <c r="M117" i="62"/>
  <c r="L117" i="62"/>
  <c r="K117" i="62"/>
  <c r="J117" i="62"/>
  <c r="H117" i="62"/>
  <c r="P116" i="62"/>
  <c r="O116" i="62"/>
  <c r="N116" i="62"/>
  <c r="M116" i="62"/>
  <c r="L116" i="62"/>
  <c r="K116" i="62"/>
  <c r="J116" i="62"/>
  <c r="H116" i="62"/>
  <c r="P115" i="62"/>
  <c r="O115" i="62"/>
  <c r="N115" i="62"/>
  <c r="M115" i="62"/>
  <c r="L115" i="62"/>
  <c r="K115" i="62"/>
  <c r="J115" i="62"/>
  <c r="H115" i="62"/>
  <c r="P114" i="62"/>
  <c r="O114" i="62"/>
  <c r="N114" i="62"/>
  <c r="M114" i="62"/>
  <c r="L114" i="62"/>
  <c r="K114" i="62"/>
  <c r="J114" i="62"/>
  <c r="H114" i="62"/>
  <c r="P113" i="62"/>
  <c r="O113" i="62"/>
  <c r="N113" i="62"/>
  <c r="M113" i="62"/>
  <c r="L113" i="62"/>
  <c r="K113" i="62"/>
  <c r="J113" i="62"/>
  <c r="H113" i="62"/>
  <c r="P112" i="62"/>
  <c r="O112" i="62"/>
  <c r="N112" i="62"/>
  <c r="M112" i="62"/>
  <c r="L112" i="62"/>
  <c r="K112" i="62"/>
  <c r="J112" i="62"/>
  <c r="H112" i="62"/>
  <c r="P111" i="62"/>
  <c r="O111" i="62"/>
  <c r="N111" i="62"/>
  <c r="M111" i="62"/>
  <c r="L111" i="62"/>
  <c r="K111" i="62"/>
  <c r="J111" i="62"/>
  <c r="H111" i="62"/>
  <c r="P110" i="62"/>
  <c r="O110" i="62"/>
  <c r="N110" i="62"/>
  <c r="M110" i="62"/>
  <c r="L110" i="62"/>
  <c r="K110" i="62"/>
  <c r="J110" i="62"/>
  <c r="H110" i="62"/>
  <c r="P109" i="62"/>
  <c r="O109" i="62"/>
  <c r="N109" i="62"/>
  <c r="M109" i="62"/>
  <c r="L109" i="62"/>
  <c r="K109" i="62"/>
  <c r="J109" i="62"/>
  <c r="H109" i="62"/>
  <c r="P108" i="62"/>
  <c r="O108" i="62"/>
  <c r="N108" i="62"/>
  <c r="M108" i="62"/>
  <c r="L108" i="62"/>
  <c r="K108" i="62"/>
  <c r="J108" i="62"/>
  <c r="H108" i="62"/>
  <c r="P107" i="62"/>
  <c r="O107" i="62"/>
  <c r="N107" i="62"/>
  <c r="M107" i="62"/>
  <c r="L107" i="62"/>
  <c r="K107" i="62"/>
  <c r="J107" i="62"/>
  <c r="H107" i="62"/>
  <c r="P106" i="62"/>
  <c r="O106" i="62"/>
  <c r="N106" i="62"/>
  <c r="M106" i="62"/>
  <c r="L106" i="62"/>
  <c r="K106" i="62"/>
  <c r="J106" i="62"/>
  <c r="H106" i="62"/>
  <c r="P105" i="62"/>
  <c r="O105" i="62"/>
  <c r="N105" i="62"/>
  <c r="M105" i="62"/>
  <c r="L105" i="62"/>
  <c r="K105" i="62"/>
  <c r="J105" i="62"/>
  <c r="H105" i="62"/>
  <c r="P104" i="62"/>
  <c r="O104" i="62"/>
  <c r="N104" i="62"/>
  <c r="M104" i="62"/>
  <c r="L104" i="62"/>
  <c r="K104" i="62"/>
  <c r="J104" i="62"/>
  <c r="H104" i="62"/>
  <c r="P103" i="62"/>
  <c r="O103" i="62"/>
  <c r="N103" i="62"/>
  <c r="M103" i="62"/>
  <c r="L103" i="62"/>
  <c r="K103" i="62"/>
  <c r="J103" i="62"/>
  <c r="H103" i="62"/>
  <c r="P102" i="62"/>
  <c r="O102" i="62"/>
  <c r="N102" i="62"/>
  <c r="M102" i="62"/>
  <c r="L102" i="62"/>
  <c r="K102" i="62"/>
  <c r="J102" i="62"/>
  <c r="H102" i="62"/>
  <c r="P101" i="62"/>
  <c r="O101" i="62"/>
  <c r="N101" i="62"/>
  <c r="M101" i="62"/>
  <c r="L101" i="62"/>
  <c r="K101" i="62"/>
  <c r="J101" i="62"/>
  <c r="H101" i="62"/>
  <c r="P100" i="62"/>
  <c r="O100" i="62"/>
  <c r="N100" i="62"/>
  <c r="M100" i="62"/>
  <c r="L100" i="62"/>
  <c r="K100" i="62"/>
  <c r="J100" i="62"/>
  <c r="H100" i="62"/>
  <c r="P99" i="62"/>
  <c r="O99" i="62"/>
  <c r="N99" i="62"/>
  <c r="M99" i="62"/>
  <c r="L99" i="62"/>
  <c r="K99" i="62"/>
  <c r="J99" i="62"/>
  <c r="H99" i="62"/>
  <c r="P98" i="62"/>
  <c r="O98" i="62"/>
  <c r="N98" i="62"/>
  <c r="M98" i="62"/>
  <c r="L98" i="62"/>
  <c r="K98" i="62"/>
  <c r="J98" i="62"/>
  <c r="H98" i="62"/>
  <c r="P97" i="62"/>
  <c r="O97" i="62"/>
  <c r="N97" i="62"/>
  <c r="M97" i="62"/>
  <c r="L97" i="62"/>
  <c r="K97" i="62"/>
  <c r="J97" i="62"/>
  <c r="H97" i="62"/>
  <c r="P96" i="62"/>
  <c r="O96" i="62"/>
  <c r="N96" i="62"/>
  <c r="M96" i="62"/>
  <c r="L96" i="62"/>
  <c r="K96" i="62"/>
  <c r="J96" i="62"/>
  <c r="H96" i="62"/>
  <c r="P95" i="62"/>
  <c r="O95" i="62"/>
  <c r="N95" i="62"/>
  <c r="M95" i="62"/>
  <c r="L95" i="62"/>
  <c r="K95" i="62"/>
  <c r="J95" i="62"/>
  <c r="H95" i="62"/>
  <c r="P94" i="62"/>
  <c r="O94" i="62"/>
  <c r="N94" i="62"/>
  <c r="M94" i="62"/>
  <c r="L94" i="62"/>
  <c r="K94" i="62"/>
  <c r="J94" i="62"/>
  <c r="H94" i="62"/>
  <c r="P93" i="62"/>
  <c r="O93" i="62"/>
  <c r="N93" i="62"/>
  <c r="M93" i="62"/>
  <c r="L93" i="62"/>
  <c r="K93" i="62"/>
  <c r="J93" i="62"/>
  <c r="H93" i="62"/>
  <c r="P92" i="62"/>
  <c r="O92" i="62"/>
  <c r="N92" i="62"/>
  <c r="M92" i="62"/>
  <c r="L92" i="62"/>
  <c r="K92" i="62"/>
  <c r="J92" i="62"/>
  <c r="H92" i="62"/>
  <c r="P91" i="62"/>
  <c r="O91" i="62"/>
  <c r="N91" i="62"/>
  <c r="M91" i="62"/>
  <c r="L91" i="62"/>
  <c r="K91" i="62"/>
  <c r="J91" i="62"/>
  <c r="H91" i="62"/>
  <c r="P90" i="62"/>
  <c r="O90" i="62"/>
  <c r="N90" i="62"/>
  <c r="M90" i="62"/>
  <c r="L90" i="62"/>
  <c r="K90" i="62"/>
  <c r="J90" i="62"/>
  <c r="H90" i="62"/>
  <c r="P89" i="62"/>
  <c r="O89" i="62"/>
  <c r="N89" i="62"/>
  <c r="M89" i="62"/>
  <c r="L89" i="62"/>
  <c r="K89" i="62"/>
  <c r="J89" i="62"/>
  <c r="H89" i="62"/>
  <c r="P88" i="62"/>
  <c r="O88" i="62"/>
  <c r="N88" i="62"/>
  <c r="M88" i="62"/>
  <c r="L88" i="62"/>
  <c r="K88" i="62"/>
  <c r="J88" i="62"/>
  <c r="H88" i="62"/>
  <c r="P87" i="62"/>
  <c r="O87" i="62"/>
  <c r="N87" i="62"/>
  <c r="M87" i="62"/>
  <c r="L87" i="62"/>
  <c r="K87" i="62"/>
  <c r="J87" i="62"/>
  <c r="H87" i="62"/>
  <c r="P86" i="62"/>
  <c r="O86" i="62"/>
  <c r="N86" i="62"/>
  <c r="M86" i="62"/>
  <c r="L86" i="62"/>
  <c r="K86" i="62"/>
  <c r="J86" i="62"/>
  <c r="H86" i="62"/>
  <c r="P85" i="62"/>
  <c r="O85" i="62"/>
  <c r="N85" i="62"/>
  <c r="M85" i="62"/>
  <c r="L85" i="62"/>
  <c r="K85" i="62"/>
  <c r="J85" i="62"/>
  <c r="H85" i="62"/>
  <c r="P84" i="62"/>
  <c r="O84" i="62"/>
  <c r="N84" i="62"/>
  <c r="M84" i="62"/>
  <c r="L84" i="62"/>
  <c r="K84" i="62"/>
  <c r="J84" i="62"/>
  <c r="H84" i="62"/>
  <c r="P83" i="62"/>
  <c r="O83" i="62"/>
  <c r="N83" i="62"/>
  <c r="M83" i="62"/>
  <c r="L83" i="62"/>
  <c r="K83" i="62"/>
  <c r="J83" i="62"/>
  <c r="H83" i="62"/>
  <c r="P82" i="62"/>
  <c r="O82" i="62"/>
  <c r="N82" i="62"/>
  <c r="M82" i="62"/>
  <c r="L82" i="62"/>
  <c r="K82" i="62"/>
  <c r="J82" i="62"/>
  <c r="H82" i="62"/>
  <c r="P81" i="62"/>
  <c r="O81" i="62"/>
  <c r="N81" i="62"/>
  <c r="M81" i="62"/>
  <c r="L81" i="62"/>
  <c r="K81" i="62"/>
  <c r="J81" i="62"/>
  <c r="H81" i="62"/>
  <c r="P80" i="62"/>
  <c r="O80" i="62"/>
  <c r="N80" i="62"/>
  <c r="M80" i="62"/>
  <c r="L80" i="62"/>
  <c r="K80" i="62"/>
  <c r="J80" i="62"/>
  <c r="H80" i="62"/>
  <c r="P79" i="62"/>
  <c r="O79" i="62"/>
  <c r="N79" i="62"/>
  <c r="M79" i="62"/>
  <c r="L79" i="62"/>
  <c r="K79" i="62"/>
  <c r="J79" i="62"/>
  <c r="H79" i="62"/>
  <c r="P78" i="62"/>
  <c r="O78" i="62"/>
  <c r="N78" i="62"/>
  <c r="M78" i="62"/>
  <c r="L78" i="62"/>
  <c r="K78" i="62"/>
  <c r="J78" i="62"/>
  <c r="H78" i="62"/>
  <c r="P77" i="62"/>
  <c r="O77" i="62"/>
  <c r="N77" i="62"/>
  <c r="M77" i="62"/>
  <c r="L77" i="62"/>
  <c r="K77" i="62"/>
  <c r="J77" i="62"/>
  <c r="H77" i="62"/>
  <c r="P76" i="62"/>
  <c r="O76" i="62"/>
  <c r="N76" i="62"/>
  <c r="M76" i="62"/>
  <c r="L76" i="62"/>
  <c r="K76" i="62"/>
  <c r="J76" i="62"/>
  <c r="H76" i="62"/>
  <c r="P75" i="62"/>
  <c r="O75" i="62"/>
  <c r="N75" i="62"/>
  <c r="M75" i="62"/>
  <c r="L75" i="62"/>
  <c r="K75" i="62"/>
  <c r="J75" i="62"/>
  <c r="H75" i="62"/>
  <c r="P74" i="62"/>
  <c r="O74" i="62"/>
  <c r="N74" i="62"/>
  <c r="M74" i="62"/>
  <c r="L74" i="62"/>
  <c r="K74" i="62"/>
  <c r="J74" i="62"/>
  <c r="H74" i="62"/>
  <c r="P73" i="62"/>
  <c r="O73" i="62"/>
  <c r="N73" i="62"/>
  <c r="M73" i="62"/>
  <c r="L73" i="62"/>
  <c r="K73" i="62"/>
  <c r="J73" i="62"/>
  <c r="H73" i="62"/>
  <c r="P72" i="62"/>
  <c r="O72" i="62"/>
  <c r="N72" i="62"/>
  <c r="M72" i="62"/>
  <c r="L72" i="62"/>
  <c r="K72" i="62"/>
  <c r="J72" i="62"/>
  <c r="H72" i="62"/>
  <c r="P71" i="62"/>
  <c r="O71" i="62"/>
  <c r="N71" i="62"/>
  <c r="M71" i="62"/>
  <c r="L71" i="62"/>
  <c r="K71" i="62"/>
  <c r="J71" i="62"/>
  <c r="H71" i="62"/>
  <c r="P70" i="62"/>
  <c r="O70" i="62"/>
  <c r="N70" i="62"/>
  <c r="M70" i="62"/>
  <c r="L70" i="62"/>
  <c r="K70" i="62"/>
  <c r="J70" i="62"/>
  <c r="H70" i="62"/>
  <c r="P69" i="62"/>
  <c r="O69" i="62"/>
  <c r="N69" i="62"/>
  <c r="M69" i="62"/>
  <c r="L69" i="62"/>
  <c r="K69" i="62"/>
  <c r="J69" i="62"/>
  <c r="H69" i="62"/>
  <c r="P68" i="62"/>
  <c r="O68" i="62"/>
  <c r="N68" i="62"/>
  <c r="M68" i="62"/>
  <c r="L68" i="62"/>
  <c r="K68" i="62"/>
  <c r="J68" i="62"/>
  <c r="H68" i="62"/>
  <c r="P67" i="62"/>
  <c r="O67" i="62"/>
  <c r="N67" i="62"/>
  <c r="M67" i="62"/>
  <c r="L67" i="62"/>
  <c r="K67" i="62"/>
  <c r="J67" i="62"/>
  <c r="H67" i="62"/>
  <c r="P66" i="62"/>
  <c r="O66" i="62"/>
  <c r="N66" i="62"/>
  <c r="M66" i="62"/>
  <c r="L66" i="62"/>
  <c r="K66" i="62"/>
  <c r="J66" i="62"/>
  <c r="H66" i="62"/>
  <c r="P65" i="62"/>
  <c r="O65" i="62"/>
  <c r="N65" i="62"/>
  <c r="M65" i="62"/>
  <c r="L65" i="62"/>
  <c r="K65" i="62"/>
  <c r="J65" i="62"/>
  <c r="H65" i="62"/>
  <c r="P64" i="62"/>
  <c r="O64" i="62"/>
  <c r="N64" i="62"/>
  <c r="M64" i="62"/>
  <c r="L64" i="62"/>
  <c r="K64" i="62"/>
  <c r="J64" i="62"/>
  <c r="H64" i="62"/>
  <c r="P63" i="62"/>
  <c r="O63" i="62"/>
  <c r="N63" i="62"/>
  <c r="M63" i="62"/>
  <c r="L63" i="62"/>
  <c r="K63" i="62"/>
  <c r="J63" i="62"/>
  <c r="H63" i="62"/>
  <c r="P62" i="62"/>
  <c r="O62" i="62"/>
  <c r="N62" i="62"/>
  <c r="M62" i="62"/>
  <c r="L62" i="62"/>
  <c r="K62" i="62"/>
  <c r="J62" i="62"/>
  <c r="H62" i="62"/>
  <c r="P61" i="62"/>
  <c r="O61" i="62"/>
  <c r="N61" i="62"/>
  <c r="M61" i="62"/>
  <c r="L61" i="62"/>
  <c r="K61" i="62"/>
  <c r="J61" i="62"/>
  <c r="H61" i="62"/>
  <c r="P60" i="62"/>
  <c r="O60" i="62"/>
  <c r="N60" i="62"/>
  <c r="M60" i="62"/>
  <c r="L60" i="62"/>
  <c r="K60" i="62"/>
  <c r="J60" i="62"/>
  <c r="H60" i="62"/>
  <c r="P59" i="62"/>
  <c r="O59" i="62"/>
  <c r="N59" i="62"/>
  <c r="M59" i="62"/>
  <c r="L59" i="62"/>
  <c r="K59" i="62"/>
  <c r="J59" i="62"/>
  <c r="H59" i="62"/>
  <c r="P58" i="62"/>
  <c r="O58" i="62"/>
  <c r="N58" i="62"/>
  <c r="M58" i="62"/>
  <c r="L58" i="62"/>
  <c r="K58" i="62"/>
  <c r="J58" i="62"/>
  <c r="H58" i="62"/>
  <c r="P57" i="62"/>
  <c r="O57" i="62"/>
  <c r="N57" i="62"/>
  <c r="M57" i="62"/>
  <c r="L57" i="62"/>
  <c r="K57" i="62"/>
  <c r="J57" i="62"/>
  <c r="H57" i="62"/>
  <c r="P56" i="62"/>
  <c r="O56" i="62"/>
  <c r="N56" i="62"/>
  <c r="M56" i="62"/>
  <c r="L56" i="62"/>
  <c r="K56" i="62"/>
  <c r="J56" i="62"/>
  <c r="H56" i="62"/>
  <c r="P55" i="62"/>
  <c r="O55" i="62"/>
  <c r="N55" i="62"/>
  <c r="M55" i="62"/>
  <c r="L55" i="62"/>
  <c r="K55" i="62"/>
  <c r="J55" i="62"/>
  <c r="H55" i="62"/>
  <c r="P54" i="62"/>
  <c r="O54" i="62"/>
  <c r="N54" i="62"/>
  <c r="M54" i="62"/>
  <c r="L54" i="62"/>
  <c r="K54" i="62"/>
  <c r="J54" i="62"/>
  <c r="H54" i="62"/>
  <c r="P53" i="62"/>
  <c r="O53" i="62"/>
  <c r="N53" i="62"/>
  <c r="M53" i="62"/>
  <c r="L53" i="62"/>
  <c r="K53" i="62"/>
  <c r="J53" i="62"/>
  <c r="H53" i="62"/>
  <c r="P52" i="62"/>
  <c r="O52" i="62"/>
  <c r="N52" i="62"/>
  <c r="M52" i="62"/>
  <c r="L52" i="62"/>
  <c r="K52" i="62"/>
  <c r="J52" i="62"/>
  <c r="H52" i="62"/>
  <c r="P51" i="62"/>
  <c r="O51" i="62"/>
  <c r="N51" i="62"/>
  <c r="M51" i="62"/>
  <c r="L51" i="62"/>
  <c r="K51" i="62"/>
  <c r="J51" i="62"/>
  <c r="H51" i="62"/>
  <c r="P50" i="62"/>
  <c r="O50" i="62"/>
  <c r="N50" i="62"/>
  <c r="M50" i="62"/>
  <c r="L50" i="62"/>
  <c r="K50" i="62"/>
  <c r="J50" i="62"/>
  <c r="H50" i="62"/>
  <c r="P49" i="62"/>
  <c r="O49" i="62"/>
  <c r="N49" i="62"/>
  <c r="M49" i="62"/>
  <c r="L49" i="62"/>
  <c r="K49" i="62"/>
  <c r="J49" i="62"/>
  <c r="H49" i="62"/>
  <c r="P48" i="62"/>
  <c r="O48" i="62"/>
  <c r="N48" i="62"/>
  <c r="M48" i="62"/>
  <c r="L48" i="62"/>
  <c r="K48" i="62"/>
  <c r="J48" i="62"/>
  <c r="H48" i="62"/>
  <c r="P47" i="62"/>
  <c r="O47" i="62"/>
  <c r="N47" i="62"/>
  <c r="M47" i="62"/>
  <c r="L47" i="62"/>
  <c r="K47" i="62"/>
  <c r="J47" i="62"/>
  <c r="H47" i="62"/>
  <c r="P46" i="62"/>
  <c r="O46" i="62"/>
  <c r="N46" i="62"/>
  <c r="M46" i="62"/>
  <c r="L46" i="62"/>
  <c r="K46" i="62"/>
  <c r="J46" i="62"/>
  <c r="H46" i="62"/>
  <c r="P45" i="62"/>
  <c r="O45" i="62"/>
  <c r="N45" i="62"/>
  <c r="M45" i="62"/>
  <c r="L45" i="62"/>
  <c r="K45" i="62"/>
  <c r="J45" i="62"/>
  <c r="H45" i="62"/>
  <c r="P44" i="62"/>
  <c r="O44" i="62"/>
  <c r="N44" i="62"/>
  <c r="M44" i="62"/>
  <c r="L44" i="62"/>
  <c r="K44" i="62"/>
  <c r="J44" i="62"/>
  <c r="H44" i="62"/>
  <c r="P43" i="62"/>
  <c r="O43" i="62"/>
  <c r="N43" i="62"/>
  <c r="M43" i="62"/>
  <c r="L43" i="62"/>
  <c r="K43" i="62"/>
  <c r="J43" i="62"/>
  <c r="H43" i="62"/>
  <c r="P42" i="62"/>
  <c r="O42" i="62"/>
  <c r="N42" i="62"/>
  <c r="M42" i="62"/>
  <c r="L42" i="62"/>
  <c r="K42" i="62"/>
  <c r="J42" i="62"/>
  <c r="H42" i="62"/>
  <c r="P41" i="62"/>
  <c r="O41" i="62"/>
  <c r="N41" i="62"/>
  <c r="M41" i="62"/>
  <c r="L41" i="62"/>
  <c r="K41" i="62"/>
  <c r="J41" i="62"/>
  <c r="H41" i="62"/>
  <c r="P40" i="62"/>
  <c r="O40" i="62"/>
  <c r="N40" i="62"/>
  <c r="M40" i="62"/>
  <c r="L40" i="62"/>
  <c r="K40" i="62"/>
  <c r="J40" i="62"/>
  <c r="H40" i="62"/>
  <c r="P39" i="62"/>
  <c r="O39" i="62"/>
  <c r="N39" i="62"/>
  <c r="M39" i="62"/>
  <c r="L39" i="62"/>
  <c r="K39" i="62"/>
  <c r="J39" i="62"/>
  <c r="H39" i="62"/>
  <c r="P38" i="62"/>
  <c r="O38" i="62"/>
  <c r="N38" i="62"/>
  <c r="M38" i="62"/>
  <c r="L38" i="62"/>
  <c r="K38" i="62"/>
  <c r="J38" i="62"/>
  <c r="H38" i="62"/>
  <c r="P37" i="62"/>
  <c r="O37" i="62"/>
  <c r="N37" i="62"/>
  <c r="M37" i="62"/>
  <c r="L37" i="62"/>
  <c r="K37" i="62"/>
  <c r="J37" i="62"/>
  <c r="H37" i="62"/>
  <c r="P36" i="62"/>
  <c r="O36" i="62"/>
  <c r="N36" i="62"/>
  <c r="M36" i="62"/>
  <c r="L36" i="62"/>
  <c r="K36" i="62"/>
  <c r="J36" i="62"/>
  <c r="H36" i="62"/>
  <c r="P35" i="62"/>
  <c r="O35" i="62"/>
  <c r="N35" i="62"/>
  <c r="M35" i="62"/>
  <c r="L35" i="62"/>
  <c r="K35" i="62"/>
  <c r="J35" i="62"/>
  <c r="H35" i="62"/>
  <c r="P34" i="62"/>
  <c r="O34" i="62"/>
  <c r="N34" i="62"/>
  <c r="M34" i="62"/>
  <c r="L34" i="62"/>
  <c r="K34" i="62"/>
  <c r="J34" i="62"/>
  <c r="H34" i="62"/>
  <c r="P33" i="62"/>
  <c r="O33" i="62"/>
  <c r="N33" i="62"/>
  <c r="M33" i="62"/>
  <c r="L33" i="62"/>
  <c r="K33" i="62"/>
  <c r="J33" i="62"/>
  <c r="H33" i="62"/>
  <c r="P32" i="62"/>
  <c r="O32" i="62"/>
  <c r="N32" i="62"/>
  <c r="M32" i="62"/>
  <c r="L32" i="62"/>
  <c r="K32" i="62"/>
  <c r="J32" i="62"/>
  <c r="H32" i="62"/>
  <c r="P31" i="62"/>
  <c r="O31" i="62"/>
  <c r="N31" i="62"/>
  <c r="M31" i="62"/>
  <c r="L31" i="62"/>
  <c r="K31" i="62"/>
  <c r="J31" i="62"/>
  <c r="H31" i="62"/>
  <c r="P30" i="62"/>
  <c r="O30" i="62"/>
  <c r="N30" i="62"/>
  <c r="M30" i="62"/>
  <c r="L30" i="62"/>
  <c r="K30" i="62"/>
  <c r="J30" i="62"/>
  <c r="H30" i="62"/>
  <c r="P29" i="62"/>
  <c r="O29" i="62"/>
  <c r="N29" i="62"/>
  <c r="M29" i="62"/>
  <c r="L29" i="62"/>
  <c r="K29" i="62"/>
  <c r="J29" i="62"/>
  <c r="H29" i="62"/>
  <c r="P28" i="62"/>
  <c r="O28" i="62"/>
  <c r="N28" i="62"/>
  <c r="M28" i="62"/>
  <c r="L28" i="62"/>
  <c r="K28" i="62"/>
  <c r="J28" i="62"/>
  <c r="H28" i="62"/>
  <c r="P27" i="62"/>
  <c r="O27" i="62"/>
  <c r="N27" i="62"/>
  <c r="M27" i="62"/>
  <c r="L27" i="62"/>
  <c r="K27" i="62"/>
  <c r="J27" i="62"/>
  <c r="H27" i="62"/>
  <c r="P26" i="62"/>
  <c r="O26" i="62"/>
  <c r="N26" i="62"/>
  <c r="M26" i="62"/>
  <c r="L26" i="62"/>
  <c r="K26" i="62"/>
  <c r="J26" i="62"/>
  <c r="H26" i="62"/>
  <c r="P25" i="62"/>
  <c r="O25" i="62"/>
  <c r="N25" i="62"/>
  <c r="M25" i="62"/>
  <c r="L25" i="62"/>
  <c r="K25" i="62"/>
  <c r="J25" i="62"/>
  <c r="H25" i="62"/>
  <c r="P24" i="62"/>
  <c r="O24" i="62"/>
  <c r="N24" i="62"/>
  <c r="M24" i="62"/>
  <c r="L24" i="62"/>
  <c r="K24" i="62"/>
  <c r="J24" i="62"/>
  <c r="H24" i="62"/>
  <c r="P23" i="62"/>
  <c r="O23" i="62"/>
  <c r="N23" i="62"/>
  <c r="M23" i="62"/>
  <c r="L23" i="62"/>
  <c r="K23" i="62"/>
  <c r="J23" i="62"/>
  <c r="H23" i="62"/>
  <c r="P22" i="62"/>
  <c r="O22" i="62"/>
  <c r="N22" i="62"/>
  <c r="M22" i="62"/>
  <c r="L22" i="62"/>
  <c r="K22" i="62"/>
  <c r="J22" i="62"/>
  <c r="H22" i="62"/>
  <c r="P21" i="62"/>
  <c r="O21" i="62"/>
  <c r="N21" i="62"/>
  <c r="M21" i="62"/>
  <c r="L21" i="62"/>
  <c r="K21" i="62"/>
  <c r="J21" i="62"/>
  <c r="H21" i="62"/>
  <c r="P20" i="62"/>
  <c r="O20" i="62"/>
  <c r="N20" i="62"/>
  <c r="M20" i="62"/>
  <c r="L20" i="62"/>
  <c r="K20" i="62"/>
  <c r="J20" i="62"/>
  <c r="H20" i="62"/>
  <c r="P19" i="62"/>
  <c r="O19" i="62"/>
  <c r="N19" i="62"/>
  <c r="M19" i="62"/>
  <c r="L19" i="62"/>
  <c r="K19" i="62"/>
  <c r="J19" i="62"/>
  <c r="H19" i="62"/>
  <c r="P18" i="62"/>
  <c r="O18" i="62"/>
  <c r="N18" i="62"/>
  <c r="M18" i="62"/>
  <c r="L18" i="62"/>
  <c r="K18" i="62"/>
  <c r="J18" i="62"/>
  <c r="H18" i="62"/>
  <c r="P17" i="62"/>
  <c r="O17" i="62"/>
  <c r="N17" i="62"/>
  <c r="M17" i="62"/>
  <c r="L17" i="62"/>
  <c r="K17" i="62"/>
  <c r="J17" i="62"/>
  <c r="H17" i="62"/>
  <c r="P16" i="62"/>
  <c r="O16" i="62"/>
  <c r="N16" i="62"/>
  <c r="M16" i="62"/>
  <c r="L16" i="62"/>
  <c r="K16" i="62"/>
  <c r="J16" i="62"/>
  <c r="H16" i="62"/>
  <c r="P15" i="62"/>
  <c r="O15" i="62"/>
  <c r="N15" i="62"/>
  <c r="M15" i="62"/>
  <c r="L15" i="62"/>
  <c r="K15" i="62"/>
  <c r="J15" i="62"/>
  <c r="H15" i="62"/>
  <c r="P14" i="62"/>
  <c r="O14" i="62"/>
  <c r="N14" i="62"/>
  <c r="M14" i="62"/>
  <c r="L14" i="62"/>
  <c r="K14" i="62"/>
  <c r="J14" i="62"/>
  <c r="H14" i="62"/>
  <c r="P13" i="62"/>
  <c r="O13" i="62"/>
  <c r="N13" i="62"/>
  <c r="M13" i="62"/>
  <c r="L13" i="62"/>
  <c r="K13" i="62"/>
  <c r="J13" i="62"/>
  <c r="H13" i="62"/>
  <c r="P12" i="62"/>
  <c r="O12" i="62"/>
  <c r="N12" i="62"/>
  <c r="M12" i="62"/>
  <c r="L12" i="62"/>
  <c r="K12" i="62"/>
  <c r="J12" i="62"/>
  <c r="H12" i="62"/>
  <c r="P11" i="62"/>
  <c r="O11" i="62"/>
  <c r="N11" i="62"/>
  <c r="M11" i="62"/>
  <c r="L11" i="62"/>
  <c r="K11" i="62"/>
  <c r="J11" i="62"/>
  <c r="H11" i="62"/>
  <c r="P10" i="62"/>
  <c r="O10" i="62"/>
  <c r="N10" i="62"/>
  <c r="M10" i="62"/>
  <c r="L10" i="62"/>
  <c r="K10" i="62"/>
  <c r="J10" i="62"/>
  <c r="H10" i="62"/>
  <c r="P9" i="62"/>
  <c r="O9" i="62"/>
  <c r="N9" i="62"/>
  <c r="M9" i="62"/>
  <c r="L9" i="62"/>
  <c r="K9" i="62"/>
  <c r="J9" i="62"/>
  <c r="H9" i="62"/>
  <c r="P8" i="62"/>
  <c r="O8" i="62"/>
  <c r="N8" i="62"/>
  <c r="M8" i="62"/>
  <c r="L8" i="62"/>
  <c r="K8" i="62"/>
  <c r="J8" i="62"/>
  <c r="H8" i="62"/>
  <c r="P7" i="62"/>
  <c r="O7" i="62"/>
  <c r="N7" i="62"/>
  <c r="M7" i="62"/>
  <c r="L7" i="62"/>
  <c r="K7" i="62"/>
  <c r="J7" i="62"/>
  <c r="H7" i="62"/>
  <c r="P6" i="62"/>
  <c r="O6" i="62"/>
  <c r="N6" i="62"/>
  <c r="M6" i="62"/>
  <c r="L6" i="62"/>
  <c r="K6" i="62"/>
  <c r="J6" i="62"/>
  <c r="H6" i="62"/>
  <c r="P5" i="62"/>
  <c r="O5" i="62"/>
  <c r="N5" i="62"/>
  <c r="M5" i="62"/>
  <c r="L5" i="62"/>
  <c r="K5" i="62"/>
  <c r="J5" i="62"/>
  <c r="H5" i="62"/>
  <c r="P4" i="62"/>
  <c r="O4" i="62"/>
  <c r="N4" i="62"/>
  <c r="M4" i="62"/>
  <c r="L4" i="62"/>
  <c r="K4" i="62"/>
  <c r="J4" i="62"/>
  <c r="H4" i="62"/>
  <c r="I2" i="62"/>
  <c r="H2" i="62"/>
  <c r="G2" i="62"/>
  <c r="F2" i="62"/>
  <c r="E2" i="62"/>
  <c r="U259" i="22"/>
  <c r="T259" i="22"/>
  <c r="S259" i="22"/>
  <c r="O259" i="22"/>
  <c r="N259" i="22"/>
  <c r="M259" i="22"/>
  <c r="F259" i="22"/>
  <c r="B259" i="22"/>
  <c r="A259" i="22"/>
  <c r="U258" i="22"/>
  <c r="T258" i="22"/>
  <c r="S258" i="22"/>
  <c r="O258" i="22"/>
  <c r="N258" i="22"/>
  <c r="M258" i="22"/>
  <c r="F258" i="22"/>
  <c r="B258" i="22"/>
  <c r="A258" i="22"/>
  <c r="U257" i="22"/>
  <c r="T257" i="22"/>
  <c r="S257" i="22"/>
  <c r="O257" i="22"/>
  <c r="N257" i="22"/>
  <c r="M257" i="22"/>
  <c r="B257" i="22"/>
  <c r="A257" i="22"/>
  <c r="U256" i="22"/>
  <c r="T256" i="22"/>
  <c r="S256" i="22"/>
  <c r="O256" i="22"/>
  <c r="N256" i="22"/>
  <c r="M256" i="22"/>
  <c r="B256" i="22"/>
  <c r="A256" i="22"/>
  <c r="U255" i="22"/>
  <c r="T255" i="22"/>
  <c r="S255" i="22"/>
  <c r="O255" i="22"/>
  <c r="N255" i="22"/>
  <c r="M255" i="22"/>
  <c r="B255" i="22"/>
  <c r="A255" i="22"/>
  <c r="U254" i="22"/>
  <c r="T254" i="22"/>
  <c r="S254" i="22"/>
  <c r="O254" i="22"/>
  <c r="N254" i="22"/>
  <c r="M254" i="22"/>
  <c r="F254" i="22"/>
  <c r="D254" i="22"/>
  <c r="B254" i="22"/>
  <c r="A254" i="22"/>
  <c r="U253" i="22"/>
  <c r="T253" i="22"/>
  <c r="S253" i="22"/>
  <c r="O253" i="22"/>
  <c r="N253" i="22"/>
  <c r="M253" i="22"/>
  <c r="F253" i="22"/>
  <c r="D253" i="22"/>
  <c r="B253" i="22"/>
  <c r="A253" i="22"/>
  <c r="U252" i="22"/>
  <c r="T252" i="22"/>
  <c r="S252" i="22"/>
  <c r="O252" i="22"/>
  <c r="N252" i="22"/>
  <c r="M252" i="22"/>
  <c r="F252" i="22"/>
  <c r="D252" i="22"/>
  <c r="B252" i="22"/>
  <c r="A252" i="22"/>
  <c r="U251" i="22"/>
  <c r="T251" i="22"/>
  <c r="S251" i="22"/>
  <c r="O251" i="22"/>
  <c r="N251" i="22"/>
  <c r="M251" i="22"/>
  <c r="F251" i="22"/>
  <c r="D251" i="22"/>
  <c r="B251" i="22"/>
  <c r="A251" i="22"/>
  <c r="U250" i="22"/>
  <c r="T250" i="22"/>
  <c r="S250" i="22"/>
  <c r="O250" i="22"/>
  <c r="N250" i="22"/>
  <c r="M250" i="22"/>
  <c r="F250" i="22"/>
  <c r="D250" i="22"/>
  <c r="B250" i="22"/>
  <c r="A250" i="22"/>
  <c r="U249" i="22"/>
  <c r="T249" i="22"/>
  <c r="S249" i="22"/>
  <c r="O249" i="22"/>
  <c r="N249" i="22"/>
  <c r="M249" i="22"/>
  <c r="F249" i="22"/>
  <c r="D249" i="22"/>
  <c r="B249" i="22"/>
  <c r="A249" i="22"/>
  <c r="U248" i="22"/>
  <c r="T248" i="22"/>
  <c r="S248" i="22"/>
  <c r="O248" i="22"/>
  <c r="N248" i="22"/>
  <c r="M248" i="22"/>
  <c r="F248" i="22"/>
  <c r="D248" i="22"/>
  <c r="B248" i="22"/>
  <c r="A248" i="22"/>
  <c r="U247" i="22"/>
  <c r="T247" i="22"/>
  <c r="S247" i="22"/>
  <c r="O247" i="22"/>
  <c r="N247" i="22"/>
  <c r="M247" i="22"/>
  <c r="F247" i="22"/>
  <c r="D247" i="22"/>
  <c r="B247" i="22"/>
  <c r="A247" i="22"/>
  <c r="U246" i="22"/>
  <c r="T246" i="22"/>
  <c r="S246" i="22"/>
  <c r="O246" i="22"/>
  <c r="N246" i="22"/>
  <c r="M246" i="22"/>
  <c r="F246" i="22"/>
  <c r="D246" i="22"/>
  <c r="B246" i="22"/>
  <c r="A246" i="22"/>
  <c r="U245" i="22"/>
  <c r="T245" i="22"/>
  <c r="S245" i="22"/>
  <c r="O245" i="22"/>
  <c r="N245" i="22"/>
  <c r="M245" i="22"/>
  <c r="F245" i="22"/>
  <c r="D245" i="22"/>
  <c r="B245" i="22"/>
  <c r="A245" i="22"/>
  <c r="U244" i="22"/>
  <c r="T244" i="22"/>
  <c r="S244" i="22"/>
  <c r="O244" i="22"/>
  <c r="N244" i="22"/>
  <c r="M244" i="22"/>
  <c r="F244" i="22"/>
  <c r="D244" i="22"/>
  <c r="B244" i="22"/>
  <c r="A244" i="22"/>
  <c r="U243" i="22"/>
  <c r="T243" i="22"/>
  <c r="S243" i="22"/>
  <c r="O243" i="22"/>
  <c r="N243" i="22"/>
  <c r="M243" i="22"/>
  <c r="F243" i="22"/>
  <c r="D243" i="22"/>
  <c r="B243" i="22"/>
  <c r="A243" i="22"/>
  <c r="U242" i="22"/>
  <c r="T242" i="22"/>
  <c r="S242" i="22"/>
  <c r="O242" i="22"/>
  <c r="N242" i="22"/>
  <c r="M242" i="22"/>
  <c r="F242" i="22"/>
  <c r="D242" i="22"/>
  <c r="B242" i="22"/>
  <c r="A242" i="22"/>
  <c r="U241" i="22"/>
  <c r="T241" i="22"/>
  <c r="S241" i="22"/>
  <c r="O241" i="22"/>
  <c r="N241" i="22"/>
  <c r="M241" i="22"/>
  <c r="F241" i="22"/>
  <c r="D241" i="22"/>
  <c r="B241" i="22"/>
  <c r="A241" i="22"/>
  <c r="U240" i="22"/>
  <c r="T240" i="22"/>
  <c r="S240" i="22"/>
  <c r="O240" i="22"/>
  <c r="N240" i="22"/>
  <c r="M240" i="22"/>
  <c r="F240" i="22"/>
  <c r="D240" i="22"/>
  <c r="B240" i="22"/>
  <c r="A240" i="22"/>
  <c r="U239" i="22"/>
  <c r="T239" i="22"/>
  <c r="S239" i="22"/>
  <c r="O239" i="22"/>
  <c r="N239" i="22"/>
  <c r="M239" i="22"/>
  <c r="F239" i="22"/>
  <c r="D239" i="22"/>
  <c r="B239" i="22"/>
  <c r="A239" i="22"/>
  <c r="U238" i="22"/>
  <c r="T238" i="22"/>
  <c r="S238" i="22"/>
  <c r="O238" i="22"/>
  <c r="N238" i="22"/>
  <c r="M238" i="22"/>
  <c r="F238" i="22"/>
  <c r="D238" i="22"/>
  <c r="B238" i="22"/>
  <c r="A238" i="22"/>
  <c r="U237" i="22"/>
  <c r="T237" i="22"/>
  <c r="S237" i="22"/>
  <c r="O237" i="22"/>
  <c r="N237" i="22"/>
  <c r="M237" i="22"/>
  <c r="F237" i="22"/>
  <c r="D237" i="22"/>
  <c r="B237" i="22"/>
  <c r="A237" i="22"/>
  <c r="U236" i="22"/>
  <c r="T236" i="22"/>
  <c r="S236" i="22"/>
  <c r="O236" i="22"/>
  <c r="N236" i="22"/>
  <c r="M236" i="22"/>
  <c r="F236" i="22"/>
  <c r="D236" i="22"/>
  <c r="B236" i="22"/>
  <c r="A236" i="22"/>
  <c r="U235" i="22"/>
  <c r="T235" i="22"/>
  <c r="S235" i="22"/>
  <c r="O235" i="22"/>
  <c r="N235" i="22"/>
  <c r="M235" i="22"/>
  <c r="F235" i="22"/>
  <c r="D235" i="22"/>
  <c r="B235" i="22"/>
  <c r="A235" i="22"/>
  <c r="U234" i="22"/>
  <c r="T234" i="22"/>
  <c r="S234" i="22"/>
  <c r="O234" i="22"/>
  <c r="N234" i="22"/>
  <c r="M234" i="22"/>
  <c r="F234" i="22"/>
  <c r="D234" i="22"/>
  <c r="B234" i="22"/>
  <c r="A234" i="22"/>
  <c r="U233" i="22"/>
  <c r="T233" i="22"/>
  <c r="S233" i="22"/>
  <c r="O233" i="22"/>
  <c r="N233" i="22"/>
  <c r="M233" i="22"/>
  <c r="F233" i="22"/>
  <c r="D233" i="22"/>
  <c r="B233" i="22"/>
  <c r="A233" i="22"/>
  <c r="U232" i="22"/>
  <c r="T232" i="22"/>
  <c r="S232" i="22"/>
  <c r="O232" i="22"/>
  <c r="N232" i="22"/>
  <c r="M232" i="22"/>
  <c r="F232" i="22"/>
  <c r="D232" i="22"/>
  <c r="B232" i="22"/>
  <c r="A232" i="22"/>
  <c r="U231" i="22"/>
  <c r="T231" i="22"/>
  <c r="S231" i="22"/>
  <c r="O231" i="22"/>
  <c r="N231" i="22"/>
  <c r="M231" i="22"/>
  <c r="F231" i="22"/>
  <c r="D231" i="22"/>
  <c r="B231" i="22"/>
  <c r="A231" i="22"/>
  <c r="U230" i="22"/>
  <c r="T230" i="22"/>
  <c r="S230" i="22"/>
  <c r="O230" i="22"/>
  <c r="N230" i="22"/>
  <c r="M230" i="22"/>
  <c r="F230" i="22"/>
  <c r="D230" i="22"/>
  <c r="B230" i="22"/>
  <c r="A230" i="22"/>
  <c r="U229" i="22"/>
  <c r="T229" i="22"/>
  <c r="S229" i="22"/>
  <c r="O229" i="22"/>
  <c r="N229" i="22"/>
  <c r="M229" i="22"/>
  <c r="F229" i="22"/>
  <c r="D229" i="22"/>
  <c r="B229" i="22"/>
  <c r="A229" i="22"/>
  <c r="U228" i="22"/>
  <c r="T228" i="22"/>
  <c r="S228" i="22"/>
  <c r="O228" i="22"/>
  <c r="N228" i="22"/>
  <c r="M228" i="22"/>
  <c r="F228" i="22"/>
  <c r="D228" i="22"/>
  <c r="B228" i="22"/>
  <c r="A228" i="22"/>
  <c r="U227" i="22"/>
  <c r="T227" i="22"/>
  <c r="S227" i="22"/>
  <c r="O227" i="22"/>
  <c r="N227" i="22"/>
  <c r="M227" i="22"/>
  <c r="F227" i="22"/>
  <c r="D227" i="22"/>
  <c r="B227" i="22"/>
  <c r="A227" i="22"/>
  <c r="U226" i="22"/>
  <c r="T226" i="22"/>
  <c r="S226" i="22"/>
  <c r="O226" i="22"/>
  <c r="N226" i="22"/>
  <c r="M226" i="22"/>
  <c r="F226" i="22"/>
  <c r="D226" i="22"/>
  <c r="B226" i="22"/>
  <c r="A226" i="22"/>
  <c r="U225" i="22"/>
  <c r="T225" i="22"/>
  <c r="S225" i="22"/>
  <c r="O225" i="22"/>
  <c r="N225" i="22"/>
  <c r="M225" i="22"/>
  <c r="F225" i="22"/>
  <c r="D225" i="22"/>
  <c r="B225" i="22"/>
  <c r="A225" i="22"/>
  <c r="U224" i="22"/>
  <c r="T224" i="22"/>
  <c r="S224" i="22"/>
  <c r="O224" i="22"/>
  <c r="N224" i="22"/>
  <c r="M224" i="22"/>
  <c r="F224" i="22"/>
  <c r="D224" i="22"/>
  <c r="B224" i="22"/>
  <c r="A224" i="22"/>
  <c r="U223" i="22"/>
  <c r="T223" i="22"/>
  <c r="S223" i="22"/>
  <c r="O223" i="22"/>
  <c r="N223" i="22"/>
  <c r="M223" i="22"/>
  <c r="F223" i="22"/>
  <c r="D223" i="22"/>
  <c r="B223" i="22"/>
  <c r="A223" i="22"/>
  <c r="U222" i="22"/>
  <c r="T222" i="22"/>
  <c r="S222" i="22"/>
  <c r="O222" i="22"/>
  <c r="N222" i="22"/>
  <c r="M222" i="22"/>
  <c r="F222" i="22"/>
  <c r="D222" i="22"/>
  <c r="B222" i="22"/>
  <c r="A222" i="22"/>
  <c r="U221" i="22"/>
  <c r="T221" i="22"/>
  <c r="S221" i="22"/>
  <c r="O221" i="22"/>
  <c r="N221" i="22"/>
  <c r="M221" i="22"/>
  <c r="F221" i="22"/>
  <c r="D221" i="22"/>
  <c r="B221" i="22"/>
  <c r="A221" i="22"/>
  <c r="U220" i="22"/>
  <c r="T220" i="22"/>
  <c r="S220" i="22"/>
  <c r="O220" i="22"/>
  <c r="N220" i="22"/>
  <c r="M220" i="22"/>
  <c r="F220" i="22"/>
  <c r="D220" i="22"/>
  <c r="B220" i="22"/>
  <c r="A220" i="22"/>
  <c r="U219" i="22"/>
  <c r="T219" i="22"/>
  <c r="S219" i="22"/>
  <c r="O219" i="22"/>
  <c r="N219" i="22"/>
  <c r="M219" i="22"/>
  <c r="F219" i="22"/>
  <c r="D219" i="22"/>
  <c r="B219" i="22"/>
  <c r="A219" i="22"/>
  <c r="U218" i="22"/>
  <c r="T218" i="22"/>
  <c r="S218" i="22"/>
  <c r="O218" i="22"/>
  <c r="N218" i="22"/>
  <c r="M218" i="22"/>
  <c r="F218" i="22"/>
  <c r="D218" i="22"/>
  <c r="B218" i="22"/>
  <c r="A218" i="22"/>
  <c r="U217" i="22"/>
  <c r="T217" i="22"/>
  <c r="S217" i="22"/>
  <c r="O217" i="22"/>
  <c r="N217" i="22"/>
  <c r="M217" i="22"/>
  <c r="F217" i="22"/>
  <c r="D217" i="22"/>
  <c r="B217" i="22"/>
  <c r="A217" i="22"/>
  <c r="U216" i="22"/>
  <c r="T216" i="22"/>
  <c r="S216" i="22"/>
  <c r="O216" i="22"/>
  <c r="N216" i="22"/>
  <c r="M216" i="22"/>
  <c r="F216" i="22"/>
  <c r="D216" i="22"/>
  <c r="B216" i="22"/>
  <c r="A216" i="22"/>
  <c r="U215" i="22"/>
  <c r="T215" i="22"/>
  <c r="S215" i="22"/>
  <c r="O215" i="22"/>
  <c r="N215" i="22"/>
  <c r="M215" i="22"/>
  <c r="F215" i="22"/>
  <c r="D215" i="22"/>
  <c r="B215" i="22"/>
  <c r="A215" i="22"/>
  <c r="U214" i="22"/>
  <c r="T214" i="22"/>
  <c r="S214" i="22"/>
  <c r="O214" i="22"/>
  <c r="N214" i="22"/>
  <c r="M214" i="22"/>
  <c r="F214" i="22"/>
  <c r="D214" i="22"/>
  <c r="B214" i="22"/>
  <c r="A214" i="22"/>
  <c r="U213" i="22"/>
  <c r="T213" i="22"/>
  <c r="S213" i="22"/>
  <c r="O213" i="22"/>
  <c r="N213" i="22"/>
  <c r="M213" i="22"/>
  <c r="F213" i="22"/>
  <c r="D213" i="22"/>
  <c r="B213" i="22"/>
  <c r="A213" i="22"/>
  <c r="U212" i="22"/>
  <c r="T212" i="22"/>
  <c r="S212" i="22"/>
  <c r="O212" i="22"/>
  <c r="N212" i="22"/>
  <c r="M212" i="22"/>
  <c r="F212" i="22"/>
  <c r="D212" i="22"/>
  <c r="B212" i="22"/>
  <c r="A212" i="22"/>
  <c r="U211" i="22"/>
  <c r="T211" i="22"/>
  <c r="S211" i="22"/>
  <c r="O211" i="22"/>
  <c r="N211" i="22"/>
  <c r="M211" i="22"/>
  <c r="F211" i="22"/>
  <c r="D211" i="22"/>
  <c r="B211" i="22"/>
  <c r="A211" i="22"/>
  <c r="U210" i="22"/>
  <c r="T210" i="22"/>
  <c r="S210" i="22"/>
  <c r="O210" i="22"/>
  <c r="N210" i="22"/>
  <c r="M210" i="22"/>
  <c r="F210" i="22"/>
  <c r="D210" i="22"/>
  <c r="B210" i="22"/>
  <c r="A210" i="22"/>
  <c r="U209" i="22"/>
  <c r="T209" i="22"/>
  <c r="S209" i="22"/>
  <c r="O209" i="22"/>
  <c r="N209" i="22"/>
  <c r="M209" i="22"/>
  <c r="F209" i="22"/>
  <c r="D209" i="22"/>
  <c r="B209" i="22"/>
  <c r="A209" i="22"/>
  <c r="U208" i="22"/>
  <c r="T208" i="22"/>
  <c r="S208" i="22"/>
  <c r="O208" i="22"/>
  <c r="N208" i="22"/>
  <c r="M208" i="22"/>
  <c r="F208" i="22"/>
  <c r="D208" i="22"/>
  <c r="B208" i="22"/>
  <c r="A208" i="22"/>
  <c r="U207" i="22"/>
  <c r="T207" i="22"/>
  <c r="S207" i="22"/>
  <c r="O207" i="22"/>
  <c r="N207" i="22"/>
  <c r="M207" i="22"/>
  <c r="F207" i="22"/>
  <c r="D207" i="22"/>
  <c r="B207" i="22"/>
  <c r="A207" i="22"/>
  <c r="U206" i="22"/>
  <c r="T206" i="22"/>
  <c r="S206" i="22"/>
  <c r="O206" i="22"/>
  <c r="N206" i="22"/>
  <c r="M206" i="22"/>
  <c r="F206" i="22"/>
  <c r="D206" i="22"/>
  <c r="B206" i="22"/>
  <c r="A206" i="22"/>
  <c r="U205" i="22"/>
  <c r="T205" i="22"/>
  <c r="S205" i="22"/>
  <c r="O205" i="22"/>
  <c r="N205" i="22"/>
  <c r="M205" i="22"/>
  <c r="F205" i="22"/>
  <c r="D205" i="22"/>
  <c r="B205" i="22"/>
  <c r="A205" i="22"/>
  <c r="U204" i="22"/>
  <c r="T204" i="22"/>
  <c r="S204" i="22"/>
  <c r="O204" i="22"/>
  <c r="N204" i="22"/>
  <c r="M204" i="22"/>
  <c r="F204" i="22"/>
  <c r="D204" i="22"/>
  <c r="B204" i="22"/>
  <c r="A204" i="22"/>
  <c r="U203" i="22"/>
  <c r="T203" i="22"/>
  <c r="S203" i="22"/>
  <c r="O203" i="22"/>
  <c r="N203" i="22"/>
  <c r="M203" i="22"/>
  <c r="F203" i="22"/>
  <c r="D203" i="22"/>
  <c r="B203" i="22"/>
  <c r="A203" i="22"/>
  <c r="U202" i="22"/>
  <c r="T202" i="22"/>
  <c r="S202" i="22"/>
  <c r="O202" i="22"/>
  <c r="N202" i="22"/>
  <c r="M202" i="22"/>
  <c r="F202" i="22"/>
  <c r="D202" i="22"/>
  <c r="B202" i="22"/>
  <c r="A202" i="22"/>
  <c r="U201" i="22"/>
  <c r="T201" i="22"/>
  <c r="S201" i="22"/>
  <c r="O201" i="22"/>
  <c r="N201" i="22"/>
  <c r="M201" i="22"/>
  <c r="F201" i="22"/>
  <c r="D201" i="22"/>
  <c r="B201" i="22"/>
  <c r="A201" i="22"/>
  <c r="U200" i="22"/>
  <c r="T200" i="22"/>
  <c r="S200" i="22"/>
  <c r="O200" i="22"/>
  <c r="N200" i="22"/>
  <c r="M200" i="22"/>
  <c r="F200" i="22"/>
  <c r="D200" i="22"/>
  <c r="B200" i="22"/>
  <c r="A200" i="22"/>
  <c r="U199" i="22"/>
  <c r="T199" i="22"/>
  <c r="S199" i="22"/>
  <c r="O199" i="22"/>
  <c r="N199" i="22"/>
  <c r="M199" i="22"/>
  <c r="F199" i="22"/>
  <c r="D199" i="22"/>
  <c r="B199" i="22"/>
  <c r="A199" i="22"/>
  <c r="U198" i="22"/>
  <c r="T198" i="22"/>
  <c r="S198" i="22"/>
  <c r="O198" i="22"/>
  <c r="N198" i="22"/>
  <c r="M198" i="22"/>
  <c r="F198" i="22"/>
  <c r="D198" i="22"/>
  <c r="B198" i="22"/>
  <c r="A198" i="22"/>
  <c r="U197" i="22"/>
  <c r="T197" i="22"/>
  <c r="S197" i="22"/>
  <c r="O197" i="22"/>
  <c r="N197" i="22"/>
  <c r="M197" i="22"/>
  <c r="F197" i="22"/>
  <c r="D197" i="22"/>
  <c r="B197" i="22"/>
  <c r="A197" i="22"/>
  <c r="U196" i="22"/>
  <c r="T196" i="22"/>
  <c r="S196" i="22"/>
  <c r="O196" i="22"/>
  <c r="N196" i="22"/>
  <c r="M196" i="22"/>
  <c r="F196" i="22"/>
  <c r="D196" i="22"/>
  <c r="B196" i="22"/>
  <c r="A196" i="22"/>
  <c r="U195" i="22"/>
  <c r="T195" i="22"/>
  <c r="S195" i="22"/>
  <c r="O195" i="22"/>
  <c r="N195" i="22"/>
  <c r="M195" i="22"/>
  <c r="F195" i="22"/>
  <c r="D195" i="22"/>
  <c r="B195" i="22"/>
  <c r="A195" i="22"/>
  <c r="U194" i="22"/>
  <c r="T194" i="22"/>
  <c r="S194" i="22"/>
  <c r="O194" i="22"/>
  <c r="N194" i="22"/>
  <c r="M194" i="22"/>
  <c r="F194" i="22"/>
  <c r="D194" i="22"/>
  <c r="B194" i="22"/>
  <c r="A194" i="22"/>
  <c r="U193" i="22"/>
  <c r="T193" i="22"/>
  <c r="S193" i="22"/>
  <c r="O193" i="22"/>
  <c r="N193" i="22"/>
  <c r="M193" i="22"/>
  <c r="F193" i="22"/>
  <c r="D193" i="22"/>
  <c r="B193" i="22"/>
  <c r="A193" i="22"/>
  <c r="U192" i="22"/>
  <c r="T192" i="22"/>
  <c r="S192" i="22"/>
  <c r="O192" i="22"/>
  <c r="N192" i="22"/>
  <c r="M192" i="22"/>
  <c r="F192" i="22"/>
  <c r="D192" i="22"/>
  <c r="B192" i="22"/>
  <c r="A192" i="22"/>
  <c r="U191" i="22"/>
  <c r="T191" i="22"/>
  <c r="S191" i="22"/>
  <c r="O191" i="22"/>
  <c r="N191" i="22"/>
  <c r="M191" i="22"/>
  <c r="F191" i="22"/>
  <c r="D191" i="22"/>
  <c r="B191" i="22"/>
  <c r="A191" i="22"/>
  <c r="U190" i="22"/>
  <c r="T190" i="22"/>
  <c r="S190" i="22"/>
  <c r="O190" i="22"/>
  <c r="N190" i="22"/>
  <c r="M190" i="22"/>
  <c r="F190" i="22"/>
  <c r="D190" i="22"/>
  <c r="B190" i="22"/>
  <c r="A190" i="22"/>
  <c r="U189" i="22"/>
  <c r="T189" i="22"/>
  <c r="S189" i="22"/>
  <c r="O189" i="22"/>
  <c r="N189" i="22"/>
  <c r="M189" i="22"/>
  <c r="F189" i="22"/>
  <c r="D189" i="22"/>
  <c r="B189" i="22"/>
  <c r="A189" i="22"/>
  <c r="U188" i="22"/>
  <c r="T188" i="22"/>
  <c r="S188" i="22"/>
  <c r="O188" i="22"/>
  <c r="N188" i="22"/>
  <c r="M188" i="22"/>
  <c r="F188" i="22"/>
  <c r="D188" i="22"/>
  <c r="B188" i="22"/>
  <c r="A188" i="22"/>
  <c r="U187" i="22"/>
  <c r="T187" i="22"/>
  <c r="S187" i="22"/>
  <c r="O187" i="22"/>
  <c r="N187" i="22"/>
  <c r="M187" i="22"/>
  <c r="F187" i="22"/>
  <c r="D187" i="22"/>
  <c r="B187" i="22"/>
  <c r="A187" i="22"/>
  <c r="U186" i="22"/>
  <c r="T186" i="22"/>
  <c r="S186" i="22"/>
  <c r="O186" i="22"/>
  <c r="N186" i="22"/>
  <c r="M186" i="22"/>
  <c r="F186" i="22"/>
  <c r="D186" i="22"/>
  <c r="B186" i="22"/>
  <c r="A186" i="22"/>
  <c r="U185" i="22"/>
  <c r="T185" i="22"/>
  <c r="S185" i="22"/>
  <c r="O185" i="22"/>
  <c r="N185" i="22"/>
  <c r="M185" i="22"/>
  <c r="F185" i="22"/>
  <c r="D185" i="22"/>
  <c r="B185" i="22"/>
  <c r="A185" i="22"/>
  <c r="U184" i="22"/>
  <c r="T184" i="22"/>
  <c r="S184" i="22"/>
  <c r="O184" i="22"/>
  <c r="N184" i="22"/>
  <c r="M184" i="22"/>
  <c r="F184" i="22"/>
  <c r="D184" i="22"/>
  <c r="B184" i="22"/>
  <c r="A184" i="22"/>
  <c r="U183" i="22"/>
  <c r="T183" i="22"/>
  <c r="S183" i="22"/>
  <c r="O183" i="22"/>
  <c r="N183" i="22"/>
  <c r="M183" i="22"/>
  <c r="F183" i="22"/>
  <c r="D183" i="22"/>
  <c r="B183" i="22"/>
  <c r="A183" i="22"/>
  <c r="U182" i="22"/>
  <c r="T182" i="22"/>
  <c r="S182" i="22"/>
  <c r="O182" i="22"/>
  <c r="N182" i="22"/>
  <c r="M182" i="22"/>
  <c r="F182" i="22"/>
  <c r="D182" i="22"/>
  <c r="B182" i="22"/>
  <c r="A182" i="22"/>
  <c r="U181" i="22"/>
  <c r="T181" i="22"/>
  <c r="S181" i="22"/>
  <c r="O181" i="22"/>
  <c r="N181" i="22"/>
  <c r="M181" i="22"/>
  <c r="F181" i="22"/>
  <c r="D181" i="22"/>
  <c r="B181" i="22"/>
  <c r="A181" i="22"/>
  <c r="U180" i="22"/>
  <c r="T180" i="22"/>
  <c r="S180" i="22"/>
  <c r="O180" i="22"/>
  <c r="N180" i="22"/>
  <c r="M180" i="22"/>
  <c r="F180" i="22"/>
  <c r="D180" i="22"/>
  <c r="B180" i="22"/>
  <c r="A180" i="22"/>
  <c r="U179" i="22"/>
  <c r="T179" i="22"/>
  <c r="S179" i="22"/>
  <c r="O179" i="22"/>
  <c r="N179" i="22"/>
  <c r="M179" i="22"/>
  <c r="F179" i="22"/>
  <c r="D179" i="22"/>
  <c r="B179" i="22"/>
  <c r="A179" i="22"/>
  <c r="U178" i="22"/>
  <c r="T178" i="22"/>
  <c r="S178" i="22"/>
  <c r="O178" i="22"/>
  <c r="N178" i="22"/>
  <c r="M178" i="22"/>
  <c r="F178" i="22"/>
  <c r="D178" i="22"/>
  <c r="B178" i="22"/>
  <c r="A178" i="22"/>
  <c r="U177" i="22"/>
  <c r="T177" i="22"/>
  <c r="S177" i="22"/>
  <c r="O177" i="22"/>
  <c r="N177" i="22"/>
  <c r="M177" i="22"/>
  <c r="F177" i="22"/>
  <c r="D177" i="22"/>
  <c r="B177" i="22"/>
  <c r="A177" i="22"/>
  <c r="U176" i="22"/>
  <c r="T176" i="22"/>
  <c r="S176" i="22"/>
  <c r="O176" i="22"/>
  <c r="N176" i="22"/>
  <c r="M176" i="22"/>
  <c r="F176" i="22"/>
  <c r="D176" i="22"/>
  <c r="B176" i="22"/>
  <c r="A176" i="22"/>
  <c r="U175" i="22"/>
  <c r="T175" i="22"/>
  <c r="S175" i="22"/>
  <c r="O175" i="22"/>
  <c r="N175" i="22"/>
  <c r="M175" i="22"/>
  <c r="F175" i="22"/>
  <c r="D175" i="22"/>
  <c r="B175" i="22"/>
  <c r="A175" i="22"/>
  <c r="U174" i="22"/>
  <c r="T174" i="22"/>
  <c r="S174" i="22"/>
  <c r="O174" i="22"/>
  <c r="N174" i="22"/>
  <c r="M174" i="22"/>
  <c r="F174" i="22"/>
  <c r="D174" i="22"/>
  <c r="B174" i="22"/>
  <c r="A174" i="22"/>
  <c r="U173" i="22"/>
  <c r="T173" i="22"/>
  <c r="S173" i="22"/>
  <c r="O173" i="22"/>
  <c r="N173" i="22"/>
  <c r="M173" i="22"/>
  <c r="F173" i="22"/>
  <c r="D173" i="22"/>
  <c r="B173" i="22"/>
  <c r="A173" i="22"/>
  <c r="U172" i="22"/>
  <c r="T172" i="22"/>
  <c r="S172" i="22"/>
  <c r="O172" i="22"/>
  <c r="N172" i="22"/>
  <c r="M172" i="22"/>
  <c r="F172" i="22"/>
  <c r="D172" i="22"/>
  <c r="B172" i="22"/>
  <c r="A172" i="22"/>
  <c r="U171" i="22"/>
  <c r="T171" i="22"/>
  <c r="S171" i="22"/>
  <c r="O171" i="22"/>
  <c r="N171" i="22"/>
  <c r="M171" i="22"/>
  <c r="F171" i="22"/>
  <c r="D171" i="22"/>
  <c r="B171" i="22"/>
  <c r="A171" i="22"/>
  <c r="U170" i="22"/>
  <c r="T170" i="22"/>
  <c r="S170" i="22"/>
  <c r="O170" i="22"/>
  <c r="N170" i="22"/>
  <c r="M170" i="22"/>
  <c r="F170" i="22"/>
  <c r="D170" i="22"/>
  <c r="B170" i="22"/>
  <c r="A170" i="22"/>
  <c r="U169" i="22"/>
  <c r="T169" i="22"/>
  <c r="S169" i="22"/>
  <c r="O169" i="22"/>
  <c r="N169" i="22"/>
  <c r="M169" i="22"/>
  <c r="F169" i="22"/>
  <c r="D169" i="22"/>
  <c r="B169" i="22"/>
  <c r="A169" i="22"/>
  <c r="U168" i="22"/>
  <c r="T168" i="22"/>
  <c r="S168" i="22"/>
  <c r="O168" i="22"/>
  <c r="N168" i="22"/>
  <c r="M168" i="22"/>
  <c r="F168" i="22"/>
  <c r="D168" i="22"/>
  <c r="B168" i="22"/>
  <c r="A168" i="22"/>
  <c r="U167" i="22"/>
  <c r="T167" i="22"/>
  <c r="S167" i="22"/>
  <c r="O167" i="22"/>
  <c r="N167" i="22"/>
  <c r="M167" i="22"/>
  <c r="F167" i="22"/>
  <c r="D167" i="22"/>
  <c r="B167" i="22"/>
  <c r="A167" i="22"/>
  <c r="U166" i="22"/>
  <c r="T166" i="22"/>
  <c r="S166" i="22"/>
  <c r="O166" i="22"/>
  <c r="N166" i="22"/>
  <c r="M166" i="22"/>
  <c r="F166" i="22"/>
  <c r="D166" i="22"/>
  <c r="B166" i="22"/>
  <c r="A166" i="22"/>
  <c r="U165" i="22"/>
  <c r="T165" i="22"/>
  <c r="S165" i="22"/>
  <c r="O165" i="22"/>
  <c r="N165" i="22"/>
  <c r="M165" i="22"/>
  <c r="F165" i="22"/>
  <c r="D165" i="22"/>
  <c r="B165" i="22"/>
  <c r="A165" i="22"/>
  <c r="U164" i="22"/>
  <c r="T164" i="22"/>
  <c r="S164" i="22"/>
  <c r="O164" i="22"/>
  <c r="N164" i="22"/>
  <c r="M164" i="22"/>
  <c r="F164" i="22"/>
  <c r="D164" i="22"/>
  <c r="B164" i="22"/>
  <c r="A164" i="22"/>
  <c r="U163" i="22"/>
  <c r="T163" i="22"/>
  <c r="S163" i="22"/>
  <c r="O163" i="22"/>
  <c r="N163" i="22"/>
  <c r="M163" i="22"/>
  <c r="F163" i="22"/>
  <c r="D163" i="22"/>
  <c r="B163" i="22"/>
  <c r="A163" i="22"/>
  <c r="U162" i="22"/>
  <c r="T162" i="22"/>
  <c r="S162" i="22"/>
  <c r="O162" i="22"/>
  <c r="N162" i="22"/>
  <c r="M162" i="22"/>
  <c r="F162" i="22"/>
  <c r="D162" i="22"/>
  <c r="B162" i="22"/>
  <c r="A162" i="22"/>
  <c r="Z161" i="22"/>
  <c r="X161" i="22"/>
  <c r="V161" i="22"/>
  <c r="U161" i="22"/>
  <c r="T161" i="22"/>
  <c r="S161" i="22"/>
  <c r="O161" i="22"/>
  <c r="N161" i="22"/>
  <c r="M161" i="22"/>
  <c r="F161" i="22"/>
  <c r="D161" i="22"/>
  <c r="B161" i="22"/>
  <c r="A161" i="22"/>
  <c r="Z160" i="22"/>
  <c r="X160" i="22"/>
  <c r="V160" i="22"/>
  <c r="U160" i="22"/>
  <c r="T160" i="22"/>
  <c r="S160" i="22"/>
  <c r="O160" i="22"/>
  <c r="N160" i="22"/>
  <c r="M160" i="22"/>
  <c r="F160" i="22"/>
  <c r="D160" i="22"/>
  <c r="B160" i="22"/>
  <c r="A160" i="22"/>
  <c r="Z159" i="22"/>
  <c r="X159" i="22"/>
  <c r="V159" i="22"/>
  <c r="U159" i="22"/>
  <c r="T159" i="22"/>
  <c r="S159" i="22"/>
  <c r="O159" i="22"/>
  <c r="N159" i="22"/>
  <c r="M159" i="22"/>
  <c r="F159" i="22"/>
  <c r="D159" i="22"/>
  <c r="B159" i="22"/>
  <c r="A159" i="22"/>
  <c r="Z158" i="22"/>
  <c r="X158" i="22"/>
  <c r="V158" i="22"/>
  <c r="U158" i="22"/>
  <c r="T158" i="22"/>
  <c r="S158" i="22"/>
  <c r="O158" i="22"/>
  <c r="N158" i="22"/>
  <c r="M158" i="22"/>
  <c r="F158" i="22"/>
  <c r="D158" i="22"/>
  <c r="B158" i="22"/>
  <c r="A158" i="22"/>
  <c r="Z157" i="22"/>
  <c r="X157" i="22"/>
  <c r="V157" i="22"/>
  <c r="U157" i="22"/>
  <c r="T157" i="22"/>
  <c r="S157" i="22"/>
  <c r="O157" i="22"/>
  <c r="N157" i="22"/>
  <c r="M157" i="22"/>
  <c r="F157" i="22"/>
  <c r="D157" i="22"/>
  <c r="B157" i="22"/>
  <c r="A157" i="22"/>
  <c r="Z156" i="22"/>
  <c r="X156" i="22"/>
  <c r="V156" i="22"/>
  <c r="U156" i="22"/>
  <c r="T156" i="22"/>
  <c r="S156" i="22"/>
  <c r="O156" i="22"/>
  <c r="N156" i="22"/>
  <c r="M156" i="22"/>
  <c r="F156" i="22"/>
  <c r="D156" i="22"/>
  <c r="B156" i="22"/>
  <c r="A156" i="22"/>
  <c r="Z155" i="22"/>
  <c r="X155" i="22"/>
  <c r="V155" i="22"/>
  <c r="U155" i="22"/>
  <c r="T155" i="22"/>
  <c r="S155" i="22"/>
  <c r="O155" i="22"/>
  <c r="N155" i="22"/>
  <c r="M155" i="22"/>
  <c r="F155" i="22"/>
  <c r="D155" i="22"/>
  <c r="B155" i="22"/>
  <c r="A155" i="22"/>
  <c r="Z154" i="22"/>
  <c r="X154" i="22"/>
  <c r="V154" i="22"/>
  <c r="U154" i="22"/>
  <c r="T154" i="22"/>
  <c r="S154" i="22"/>
  <c r="O154" i="22"/>
  <c r="N154" i="22"/>
  <c r="M154" i="22"/>
  <c r="F154" i="22"/>
  <c r="D154" i="22"/>
  <c r="B154" i="22"/>
  <c r="A154" i="22"/>
  <c r="Z153" i="22"/>
  <c r="X153" i="22"/>
  <c r="V153" i="22"/>
  <c r="U153" i="22"/>
  <c r="T153" i="22"/>
  <c r="S153" i="22"/>
  <c r="O153" i="22"/>
  <c r="N153" i="22"/>
  <c r="M153" i="22"/>
  <c r="F153" i="22"/>
  <c r="D153" i="22"/>
  <c r="B153" i="22"/>
  <c r="A153" i="22"/>
  <c r="Z152" i="22"/>
  <c r="X152" i="22"/>
  <c r="V152" i="22"/>
  <c r="U152" i="22"/>
  <c r="T152" i="22"/>
  <c r="S152" i="22"/>
  <c r="O152" i="22"/>
  <c r="N152" i="22"/>
  <c r="M152" i="22"/>
  <c r="F152" i="22"/>
  <c r="D152" i="22"/>
  <c r="B152" i="22"/>
  <c r="A152" i="22"/>
  <c r="U151" i="22"/>
  <c r="T151" i="22"/>
  <c r="S151" i="22"/>
  <c r="O151" i="22"/>
  <c r="N151" i="22"/>
  <c r="M151" i="22"/>
  <c r="F151" i="22"/>
  <c r="D151" i="22"/>
  <c r="B151" i="22"/>
  <c r="A151" i="22"/>
  <c r="Z150" i="22"/>
  <c r="X150" i="22"/>
  <c r="V150" i="22"/>
  <c r="U150" i="22"/>
  <c r="T150" i="22"/>
  <c r="S150" i="22"/>
  <c r="O150" i="22"/>
  <c r="N150" i="22"/>
  <c r="M150" i="22"/>
  <c r="F150" i="22"/>
  <c r="D150" i="22"/>
  <c r="B150" i="22"/>
  <c r="A150" i="22"/>
  <c r="U149" i="22"/>
  <c r="T149" i="22"/>
  <c r="S149" i="22"/>
  <c r="O149" i="22"/>
  <c r="N149" i="22"/>
  <c r="M149" i="22"/>
  <c r="F149" i="22"/>
  <c r="D149" i="22"/>
  <c r="B149" i="22"/>
  <c r="A149" i="22"/>
  <c r="Z148" i="22"/>
  <c r="X148" i="22"/>
  <c r="V148" i="22"/>
  <c r="U148" i="22"/>
  <c r="T148" i="22"/>
  <c r="S148" i="22"/>
  <c r="O148" i="22"/>
  <c r="N148" i="22"/>
  <c r="M148" i="22"/>
  <c r="F148" i="22"/>
  <c r="D148" i="22"/>
  <c r="B148" i="22"/>
  <c r="A148" i="22"/>
  <c r="Z147" i="22"/>
  <c r="X147" i="22"/>
  <c r="V147" i="22"/>
  <c r="U147" i="22"/>
  <c r="T147" i="22"/>
  <c r="S147" i="22"/>
  <c r="O147" i="22"/>
  <c r="N147" i="22"/>
  <c r="M147" i="22"/>
  <c r="F147" i="22"/>
  <c r="D147" i="22"/>
  <c r="B147" i="22"/>
  <c r="A147" i="22"/>
  <c r="Z146" i="22"/>
  <c r="X146" i="22"/>
  <c r="V146" i="22"/>
  <c r="U146" i="22"/>
  <c r="T146" i="22"/>
  <c r="S146" i="22"/>
  <c r="O146" i="22"/>
  <c r="N146" i="22"/>
  <c r="M146" i="22"/>
  <c r="F146" i="22"/>
  <c r="D146" i="22"/>
  <c r="B146" i="22"/>
  <c r="A146" i="22"/>
  <c r="Z145" i="22"/>
  <c r="X145" i="22"/>
  <c r="V145" i="22"/>
  <c r="U145" i="22"/>
  <c r="T145" i="22"/>
  <c r="S145" i="22"/>
  <c r="O145" i="22"/>
  <c r="N145" i="22"/>
  <c r="M145" i="22"/>
  <c r="F145" i="22"/>
  <c r="D145" i="22"/>
  <c r="B145" i="22"/>
  <c r="A145" i="22"/>
  <c r="Z144" i="22"/>
  <c r="X144" i="22"/>
  <c r="V144" i="22"/>
  <c r="U144" i="22"/>
  <c r="T144" i="22"/>
  <c r="S144" i="22"/>
  <c r="O144" i="22"/>
  <c r="N144" i="22"/>
  <c r="M144" i="22"/>
  <c r="F144" i="22"/>
  <c r="D144" i="22"/>
  <c r="B144" i="22"/>
  <c r="A144" i="22"/>
  <c r="Z143" i="22"/>
  <c r="X143" i="22"/>
  <c r="V143" i="22"/>
  <c r="U143" i="22"/>
  <c r="T143" i="22"/>
  <c r="S143" i="22"/>
  <c r="O143" i="22"/>
  <c r="N143" i="22"/>
  <c r="M143" i="22"/>
  <c r="F143" i="22"/>
  <c r="D143" i="22"/>
  <c r="B143" i="22"/>
  <c r="A143" i="22"/>
  <c r="Z142" i="22"/>
  <c r="X142" i="22"/>
  <c r="V142" i="22"/>
  <c r="U142" i="22"/>
  <c r="T142" i="22"/>
  <c r="S142" i="22"/>
  <c r="O142" i="22"/>
  <c r="N142" i="22"/>
  <c r="M142" i="22"/>
  <c r="F142" i="22"/>
  <c r="D142" i="22"/>
  <c r="B142" i="22"/>
  <c r="A142" i="22"/>
  <c r="Z141" i="22"/>
  <c r="X141" i="22"/>
  <c r="V141" i="22"/>
  <c r="U141" i="22"/>
  <c r="T141" i="22"/>
  <c r="S141" i="22"/>
  <c r="O141" i="22"/>
  <c r="N141" i="22"/>
  <c r="M141" i="22"/>
  <c r="F141" i="22"/>
  <c r="D141" i="22"/>
  <c r="B141" i="22"/>
  <c r="A141" i="22"/>
  <c r="Z140" i="22"/>
  <c r="X140" i="22"/>
  <c r="V140" i="22"/>
  <c r="U140" i="22"/>
  <c r="T140" i="22"/>
  <c r="S140" i="22"/>
  <c r="O140" i="22"/>
  <c r="N140" i="22"/>
  <c r="M140" i="22"/>
  <c r="F140" i="22"/>
  <c r="D140" i="22"/>
  <c r="B140" i="22"/>
  <c r="A140" i="22"/>
  <c r="Z139" i="22"/>
  <c r="X139" i="22"/>
  <c r="V139" i="22"/>
  <c r="U139" i="22"/>
  <c r="T139" i="22"/>
  <c r="S139" i="22"/>
  <c r="O139" i="22"/>
  <c r="N139" i="22"/>
  <c r="M139" i="22"/>
  <c r="F139" i="22"/>
  <c r="D139" i="22"/>
  <c r="B139" i="22"/>
  <c r="A139" i="22"/>
  <c r="Z138" i="22"/>
  <c r="X138" i="22"/>
  <c r="V138" i="22"/>
  <c r="U138" i="22"/>
  <c r="T138" i="22"/>
  <c r="S138" i="22"/>
  <c r="O138" i="22"/>
  <c r="N138" i="22"/>
  <c r="M138" i="22"/>
  <c r="F138" i="22"/>
  <c r="D138" i="22"/>
  <c r="B138" i="22"/>
  <c r="A138" i="22"/>
  <c r="Z137" i="22"/>
  <c r="X137" i="22"/>
  <c r="V137" i="22"/>
  <c r="U137" i="22"/>
  <c r="T137" i="22"/>
  <c r="S137" i="22"/>
  <c r="O137" i="22"/>
  <c r="N137" i="22"/>
  <c r="M137" i="22"/>
  <c r="F137" i="22"/>
  <c r="D137" i="22"/>
  <c r="B137" i="22"/>
  <c r="A137" i="22"/>
  <c r="Z136" i="22"/>
  <c r="X136" i="22"/>
  <c r="V136" i="22"/>
  <c r="U136" i="22"/>
  <c r="T136" i="22"/>
  <c r="S136" i="22"/>
  <c r="O136" i="22"/>
  <c r="N136" i="22"/>
  <c r="M136" i="22"/>
  <c r="F136" i="22"/>
  <c r="D136" i="22"/>
  <c r="B136" i="22"/>
  <c r="A136" i="22"/>
  <c r="Z135" i="22"/>
  <c r="X135" i="22"/>
  <c r="V135" i="22"/>
  <c r="U135" i="22"/>
  <c r="T135" i="22"/>
  <c r="S135" i="22"/>
  <c r="O135" i="22"/>
  <c r="N135" i="22"/>
  <c r="M135" i="22"/>
  <c r="F135" i="22"/>
  <c r="D135" i="22"/>
  <c r="B135" i="22"/>
  <c r="A135" i="22"/>
  <c r="Z134" i="22"/>
  <c r="X134" i="22"/>
  <c r="V134" i="22"/>
  <c r="U134" i="22"/>
  <c r="T134" i="22"/>
  <c r="S134" i="22"/>
  <c r="O134" i="22"/>
  <c r="N134" i="22"/>
  <c r="M134" i="22"/>
  <c r="F134" i="22"/>
  <c r="D134" i="22"/>
  <c r="B134" i="22"/>
  <c r="A134" i="22"/>
  <c r="Z133" i="22"/>
  <c r="X133" i="22"/>
  <c r="V133" i="22"/>
  <c r="U133" i="22"/>
  <c r="T133" i="22"/>
  <c r="S133" i="22"/>
  <c r="O133" i="22"/>
  <c r="N133" i="22"/>
  <c r="M133" i="22"/>
  <c r="F133" i="22"/>
  <c r="D133" i="22"/>
  <c r="B133" i="22"/>
  <c r="A133" i="22"/>
  <c r="Z132" i="22"/>
  <c r="X132" i="22"/>
  <c r="V132" i="22"/>
  <c r="U132" i="22"/>
  <c r="T132" i="22"/>
  <c r="S132" i="22"/>
  <c r="O132" i="22"/>
  <c r="N132" i="22"/>
  <c r="M132" i="22"/>
  <c r="F132" i="22"/>
  <c r="D132" i="22"/>
  <c r="B132" i="22"/>
  <c r="A132" i="22"/>
  <c r="Z131" i="22"/>
  <c r="X131" i="22"/>
  <c r="V131" i="22"/>
  <c r="U131" i="22"/>
  <c r="T131" i="22"/>
  <c r="S131" i="22"/>
  <c r="O131" i="22"/>
  <c r="N131" i="22"/>
  <c r="M131" i="22"/>
  <c r="F131" i="22"/>
  <c r="D131" i="22"/>
  <c r="B131" i="22"/>
  <c r="A131" i="22"/>
  <c r="Z130" i="22"/>
  <c r="X130" i="22"/>
  <c r="V130" i="22"/>
  <c r="U130" i="22"/>
  <c r="T130" i="22"/>
  <c r="S130" i="22"/>
  <c r="O130" i="22"/>
  <c r="N130" i="22"/>
  <c r="M130" i="22"/>
  <c r="F130" i="22"/>
  <c r="D130" i="22"/>
  <c r="B130" i="22"/>
  <c r="A130" i="22"/>
  <c r="Z129" i="22"/>
  <c r="X129" i="22"/>
  <c r="V129" i="22"/>
  <c r="U129" i="22"/>
  <c r="T129" i="22"/>
  <c r="S129" i="22"/>
  <c r="O129" i="22"/>
  <c r="N129" i="22"/>
  <c r="M129" i="22"/>
  <c r="F129" i="22"/>
  <c r="D129" i="22"/>
  <c r="B129" i="22"/>
  <c r="A129" i="22"/>
  <c r="Z128" i="22"/>
  <c r="X128" i="22"/>
  <c r="V128" i="22"/>
  <c r="U128" i="22"/>
  <c r="T128" i="22"/>
  <c r="S128" i="22"/>
  <c r="O128" i="22"/>
  <c r="N128" i="22"/>
  <c r="M128" i="22"/>
  <c r="F128" i="22"/>
  <c r="D128" i="22"/>
  <c r="B128" i="22"/>
  <c r="A128" i="22"/>
  <c r="Z127" i="22"/>
  <c r="X127" i="22"/>
  <c r="V127" i="22"/>
  <c r="U127" i="22"/>
  <c r="T127" i="22"/>
  <c r="S127" i="22"/>
  <c r="O127" i="22"/>
  <c r="N127" i="22"/>
  <c r="M127" i="22"/>
  <c r="F127" i="22"/>
  <c r="D127" i="22"/>
  <c r="B127" i="22"/>
  <c r="A127" i="22"/>
  <c r="Z126" i="22"/>
  <c r="X126" i="22"/>
  <c r="V126" i="22"/>
  <c r="U126" i="22"/>
  <c r="T126" i="22"/>
  <c r="S126" i="22"/>
  <c r="O126" i="22"/>
  <c r="N126" i="22"/>
  <c r="M126" i="22"/>
  <c r="F126" i="22"/>
  <c r="D126" i="22"/>
  <c r="B126" i="22"/>
  <c r="A126" i="22"/>
  <c r="Z125" i="22"/>
  <c r="X125" i="22"/>
  <c r="V125" i="22"/>
  <c r="U125" i="22"/>
  <c r="T125" i="22"/>
  <c r="S125" i="22"/>
  <c r="O125" i="22"/>
  <c r="N125" i="22"/>
  <c r="M125" i="22"/>
  <c r="F125" i="22"/>
  <c r="D125" i="22"/>
  <c r="B125" i="22"/>
  <c r="A125" i="22"/>
  <c r="Z124" i="22"/>
  <c r="X124" i="22"/>
  <c r="V124" i="22"/>
  <c r="U124" i="22"/>
  <c r="T124" i="22"/>
  <c r="S124" i="22"/>
  <c r="O124" i="22"/>
  <c r="N124" i="22"/>
  <c r="M124" i="22"/>
  <c r="F124" i="22"/>
  <c r="D124" i="22"/>
  <c r="B124" i="22"/>
  <c r="A124" i="22"/>
  <c r="Z123" i="22"/>
  <c r="X123" i="22"/>
  <c r="V123" i="22"/>
  <c r="U123" i="22"/>
  <c r="T123" i="22"/>
  <c r="S123" i="22"/>
  <c r="O123" i="22"/>
  <c r="N123" i="22"/>
  <c r="M123" i="22"/>
  <c r="F123" i="22"/>
  <c r="D123" i="22"/>
  <c r="B123" i="22"/>
  <c r="A123" i="22"/>
  <c r="Z122" i="22"/>
  <c r="X122" i="22"/>
  <c r="V122" i="22"/>
  <c r="U122" i="22"/>
  <c r="T122" i="22"/>
  <c r="S122" i="22"/>
  <c r="O122" i="22"/>
  <c r="N122" i="22"/>
  <c r="M122" i="22"/>
  <c r="F122" i="22"/>
  <c r="D122" i="22"/>
  <c r="B122" i="22"/>
  <c r="A122" i="22"/>
  <c r="Z121" i="22"/>
  <c r="X121" i="22"/>
  <c r="V121" i="22"/>
  <c r="U121" i="22"/>
  <c r="T121" i="22"/>
  <c r="S121" i="22"/>
  <c r="O121" i="22"/>
  <c r="N121" i="22"/>
  <c r="M121" i="22"/>
  <c r="F121" i="22"/>
  <c r="D121" i="22"/>
  <c r="B121" i="22"/>
  <c r="A121" i="22"/>
  <c r="Z120" i="22"/>
  <c r="X120" i="22"/>
  <c r="V120" i="22"/>
  <c r="U120" i="22"/>
  <c r="T120" i="22"/>
  <c r="S120" i="22"/>
  <c r="O120" i="22"/>
  <c r="N120" i="22"/>
  <c r="M120" i="22"/>
  <c r="F120" i="22"/>
  <c r="D120" i="22"/>
  <c r="B120" i="22"/>
  <c r="A120" i="22"/>
  <c r="Z119" i="22"/>
  <c r="X119" i="22"/>
  <c r="V119" i="22"/>
  <c r="U119" i="22"/>
  <c r="T119" i="22"/>
  <c r="S119" i="22"/>
  <c r="O119" i="22"/>
  <c r="N119" i="22"/>
  <c r="M119" i="22"/>
  <c r="F119" i="22"/>
  <c r="D119" i="22"/>
  <c r="B119" i="22"/>
  <c r="A119" i="22"/>
  <c r="Z118" i="22"/>
  <c r="X118" i="22"/>
  <c r="V118" i="22"/>
  <c r="U118" i="22"/>
  <c r="T118" i="22"/>
  <c r="S118" i="22"/>
  <c r="O118" i="22"/>
  <c r="N118" i="22"/>
  <c r="M118" i="22"/>
  <c r="F118" i="22"/>
  <c r="D118" i="22"/>
  <c r="B118" i="22"/>
  <c r="A118" i="22"/>
  <c r="Z117" i="22"/>
  <c r="X117" i="22"/>
  <c r="V117" i="22"/>
  <c r="U117" i="22"/>
  <c r="T117" i="22"/>
  <c r="S117" i="22"/>
  <c r="O117" i="22"/>
  <c r="N117" i="22"/>
  <c r="M117" i="22"/>
  <c r="F117" i="22"/>
  <c r="D117" i="22"/>
  <c r="B117" i="22"/>
  <c r="A117" i="22"/>
  <c r="Z116" i="22"/>
  <c r="X116" i="22"/>
  <c r="V116" i="22"/>
  <c r="U116" i="22"/>
  <c r="T116" i="22"/>
  <c r="S116" i="22"/>
  <c r="O116" i="22"/>
  <c r="N116" i="22"/>
  <c r="M116" i="22"/>
  <c r="F116" i="22"/>
  <c r="D116" i="22"/>
  <c r="B116" i="22"/>
  <c r="A116" i="22"/>
  <c r="Z115" i="22"/>
  <c r="X115" i="22"/>
  <c r="V115" i="22"/>
  <c r="U115" i="22"/>
  <c r="T115" i="22"/>
  <c r="S115" i="22"/>
  <c r="O115" i="22"/>
  <c r="N115" i="22"/>
  <c r="M115" i="22"/>
  <c r="F115" i="22"/>
  <c r="D115" i="22"/>
  <c r="B115" i="22"/>
  <c r="A115" i="22"/>
  <c r="Z114" i="22"/>
  <c r="X114" i="22"/>
  <c r="V114" i="22"/>
  <c r="U114" i="22"/>
  <c r="T114" i="22"/>
  <c r="S114" i="22"/>
  <c r="O114" i="22"/>
  <c r="N114" i="22"/>
  <c r="M114" i="22"/>
  <c r="F114" i="22"/>
  <c r="D114" i="22"/>
  <c r="B114" i="22"/>
  <c r="A114" i="22"/>
  <c r="Z113" i="22"/>
  <c r="X113" i="22"/>
  <c r="V113" i="22"/>
  <c r="U113" i="22"/>
  <c r="T113" i="22"/>
  <c r="S113" i="22"/>
  <c r="O113" i="22"/>
  <c r="N113" i="22"/>
  <c r="M113" i="22"/>
  <c r="F113" i="22"/>
  <c r="D113" i="22"/>
  <c r="B113" i="22"/>
  <c r="A113" i="22"/>
  <c r="Z112" i="22"/>
  <c r="X112" i="22"/>
  <c r="V112" i="22"/>
  <c r="U112" i="22"/>
  <c r="T112" i="22"/>
  <c r="S112" i="22"/>
  <c r="O112" i="22"/>
  <c r="N112" i="22"/>
  <c r="M112" i="22"/>
  <c r="F112" i="22"/>
  <c r="D112" i="22"/>
  <c r="B112" i="22"/>
  <c r="A112" i="22"/>
  <c r="Z111" i="22"/>
  <c r="X111" i="22"/>
  <c r="V111" i="22"/>
  <c r="U111" i="22"/>
  <c r="T111" i="22"/>
  <c r="S111" i="22"/>
  <c r="O111" i="22"/>
  <c r="N111" i="22"/>
  <c r="M111" i="22"/>
  <c r="F111" i="22"/>
  <c r="D111" i="22"/>
  <c r="B111" i="22"/>
  <c r="A111" i="22"/>
  <c r="Z110" i="22"/>
  <c r="X110" i="22"/>
  <c r="V110" i="22"/>
  <c r="U110" i="22"/>
  <c r="T110" i="22"/>
  <c r="S110" i="22"/>
  <c r="O110" i="22"/>
  <c r="N110" i="22"/>
  <c r="M110" i="22"/>
  <c r="F110" i="22"/>
  <c r="D110" i="22"/>
  <c r="B110" i="22"/>
  <c r="A110" i="22"/>
  <c r="Z109" i="22"/>
  <c r="X109" i="22"/>
  <c r="V109" i="22"/>
  <c r="U109" i="22"/>
  <c r="T109" i="22"/>
  <c r="S109" i="22"/>
  <c r="O109" i="22"/>
  <c r="N109" i="22"/>
  <c r="M109" i="22"/>
  <c r="F109" i="22"/>
  <c r="D109" i="22"/>
  <c r="B109" i="22"/>
  <c r="A109" i="22"/>
  <c r="Z108" i="22"/>
  <c r="X108" i="22"/>
  <c r="V108" i="22"/>
  <c r="U108" i="22"/>
  <c r="T108" i="22"/>
  <c r="S108" i="22"/>
  <c r="O108" i="22"/>
  <c r="N108" i="22"/>
  <c r="M108" i="22"/>
  <c r="F108" i="22"/>
  <c r="D108" i="22"/>
  <c r="B108" i="22"/>
  <c r="A108" i="22"/>
  <c r="Z107" i="22"/>
  <c r="X107" i="22"/>
  <c r="V107" i="22"/>
  <c r="U107" i="22"/>
  <c r="T107" i="22"/>
  <c r="S107" i="22"/>
  <c r="O107" i="22"/>
  <c r="N107" i="22"/>
  <c r="M107" i="22"/>
  <c r="F107" i="22"/>
  <c r="D107" i="22"/>
  <c r="B107" i="22"/>
  <c r="A107" i="22"/>
  <c r="Z106" i="22"/>
  <c r="X106" i="22"/>
  <c r="V106" i="22"/>
  <c r="U106" i="22"/>
  <c r="T106" i="22"/>
  <c r="S106" i="22"/>
  <c r="O106" i="22"/>
  <c r="N106" i="22"/>
  <c r="M106" i="22"/>
  <c r="F106" i="22"/>
  <c r="D106" i="22"/>
  <c r="B106" i="22"/>
  <c r="A106" i="22"/>
  <c r="Z105" i="22"/>
  <c r="X105" i="22"/>
  <c r="V105" i="22"/>
  <c r="U105" i="22"/>
  <c r="T105" i="22"/>
  <c r="S105" i="22"/>
  <c r="O105" i="22"/>
  <c r="N105" i="22"/>
  <c r="M105" i="22"/>
  <c r="F105" i="22"/>
  <c r="D105" i="22"/>
  <c r="B105" i="22"/>
  <c r="A105" i="22"/>
  <c r="Z104" i="22"/>
  <c r="X104" i="22"/>
  <c r="V104" i="22"/>
  <c r="U104" i="22"/>
  <c r="T104" i="22"/>
  <c r="S104" i="22"/>
  <c r="O104" i="22"/>
  <c r="N104" i="22"/>
  <c r="M104" i="22"/>
  <c r="F104" i="22"/>
  <c r="D104" i="22"/>
  <c r="B104" i="22"/>
  <c r="A104" i="22"/>
  <c r="Z103" i="22"/>
  <c r="X103" i="22"/>
  <c r="V103" i="22"/>
  <c r="U103" i="22"/>
  <c r="T103" i="22"/>
  <c r="S103" i="22"/>
  <c r="O103" i="22"/>
  <c r="N103" i="22"/>
  <c r="M103" i="22"/>
  <c r="F103" i="22"/>
  <c r="D103" i="22"/>
  <c r="B103" i="22"/>
  <c r="A103" i="22"/>
  <c r="Z102" i="22"/>
  <c r="X102" i="22"/>
  <c r="V102" i="22"/>
  <c r="U102" i="22"/>
  <c r="T102" i="22"/>
  <c r="S102" i="22"/>
  <c r="O102" i="22"/>
  <c r="N102" i="22"/>
  <c r="M102" i="22"/>
  <c r="F102" i="22"/>
  <c r="D102" i="22"/>
  <c r="B102" i="22"/>
  <c r="A102" i="22"/>
  <c r="Z101" i="22"/>
  <c r="X101" i="22"/>
  <c r="V101" i="22"/>
  <c r="U101" i="22"/>
  <c r="T101" i="22"/>
  <c r="S101" i="22"/>
  <c r="O101" i="22"/>
  <c r="N101" i="22"/>
  <c r="M101" i="22"/>
  <c r="F101" i="22"/>
  <c r="D101" i="22"/>
  <c r="B101" i="22"/>
  <c r="A101" i="22"/>
  <c r="Z100" i="22"/>
  <c r="X100" i="22"/>
  <c r="V100" i="22"/>
  <c r="U100" i="22"/>
  <c r="T100" i="22"/>
  <c r="S100" i="22"/>
  <c r="O100" i="22"/>
  <c r="N100" i="22"/>
  <c r="M100" i="22"/>
  <c r="F100" i="22"/>
  <c r="E100" i="22"/>
  <c r="D100" i="22"/>
  <c r="B100" i="22"/>
  <c r="A100" i="22"/>
  <c r="Z99" i="22"/>
  <c r="X99" i="22"/>
  <c r="V99" i="22"/>
  <c r="U99" i="22"/>
  <c r="T99" i="22"/>
  <c r="S99" i="22"/>
  <c r="O99" i="22"/>
  <c r="N99" i="22"/>
  <c r="M99" i="22"/>
  <c r="F99" i="22"/>
  <c r="E99" i="22"/>
  <c r="D99" i="22"/>
  <c r="B99" i="22"/>
  <c r="A99" i="22"/>
  <c r="Z98" i="22"/>
  <c r="X98" i="22"/>
  <c r="V98" i="22"/>
  <c r="U98" i="22"/>
  <c r="T98" i="22"/>
  <c r="S98" i="22"/>
  <c r="O98" i="22"/>
  <c r="N98" i="22"/>
  <c r="M98" i="22"/>
  <c r="F98" i="22"/>
  <c r="D98" i="22"/>
  <c r="B98" i="22"/>
  <c r="A98" i="22"/>
  <c r="Z97" i="22"/>
  <c r="X97" i="22"/>
  <c r="V97" i="22"/>
  <c r="U97" i="22"/>
  <c r="T97" i="22"/>
  <c r="S97" i="22"/>
  <c r="O97" i="22"/>
  <c r="N97" i="22"/>
  <c r="M97" i="22"/>
  <c r="F97" i="22"/>
  <c r="D97" i="22"/>
  <c r="B97" i="22"/>
  <c r="A97" i="22"/>
  <c r="Z96" i="22"/>
  <c r="X96" i="22"/>
  <c r="V96" i="22"/>
  <c r="U96" i="22"/>
  <c r="T96" i="22"/>
  <c r="S96" i="22"/>
  <c r="O96" i="22"/>
  <c r="N96" i="22"/>
  <c r="M96" i="22"/>
  <c r="F96" i="22"/>
  <c r="E96" i="22"/>
  <c r="D96" i="22"/>
  <c r="B96" i="22"/>
  <c r="A96" i="22"/>
  <c r="Z95" i="22"/>
  <c r="X95" i="22"/>
  <c r="V95" i="22"/>
  <c r="U95" i="22"/>
  <c r="T95" i="22"/>
  <c r="S95" i="22"/>
  <c r="O95" i="22"/>
  <c r="N95" i="22"/>
  <c r="M95" i="22"/>
  <c r="F95" i="22"/>
  <c r="E95" i="22"/>
  <c r="D95" i="22"/>
  <c r="B95" i="22"/>
  <c r="A95" i="22"/>
  <c r="Z94" i="22"/>
  <c r="X94" i="22"/>
  <c r="V94" i="22"/>
  <c r="U94" i="22"/>
  <c r="T94" i="22"/>
  <c r="S94" i="22"/>
  <c r="O94" i="22"/>
  <c r="N94" i="22"/>
  <c r="M94" i="22"/>
  <c r="F94" i="22"/>
  <c r="E94" i="22"/>
  <c r="D94" i="22"/>
  <c r="B94" i="22"/>
  <c r="A94" i="22"/>
  <c r="Z93" i="22"/>
  <c r="X93" i="22"/>
  <c r="V93" i="22"/>
  <c r="U93" i="22"/>
  <c r="T93" i="22"/>
  <c r="S93" i="22"/>
  <c r="O93" i="22"/>
  <c r="N93" i="22"/>
  <c r="M93" i="22"/>
  <c r="F93" i="22"/>
  <c r="E93" i="22"/>
  <c r="D93" i="22"/>
  <c r="B93" i="22"/>
  <c r="A93" i="22"/>
  <c r="Z92" i="22"/>
  <c r="X92" i="22"/>
  <c r="V92" i="22"/>
  <c r="U92" i="22"/>
  <c r="T92" i="22"/>
  <c r="S92" i="22"/>
  <c r="O92" i="22"/>
  <c r="N92" i="22"/>
  <c r="M92" i="22"/>
  <c r="F92" i="22"/>
  <c r="E92" i="22"/>
  <c r="D92" i="22"/>
  <c r="B92" i="22"/>
  <c r="A92" i="22"/>
  <c r="Z91" i="22"/>
  <c r="X91" i="22"/>
  <c r="V91" i="22"/>
  <c r="U91" i="22"/>
  <c r="T91" i="22"/>
  <c r="S91" i="22"/>
  <c r="O91" i="22"/>
  <c r="N91" i="22"/>
  <c r="M91" i="22"/>
  <c r="F91" i="22"/>
  <c r="E91" i="22"/>
  <c r="D91" i="22"/>
  <c r="B91" i="22"/>
  <c r="A91" i="22"/>
  <c r="Z90" i="22"/>
  <c r="X90" i="22"/>
  <c r="V90" i="22"/>
  <c r="U90" i="22"/>
  <c r="T90" i="22"/>
  <c r="S90" i="22"/>
  <c r="O90" i="22"/>
  <c r="N90" i="22"/>
  <c r="M90" i="22"/>
  <c r="F90" i="22"/>
  <c r="E90" i="22"/>
  <c r="D90" i="22"/>
  <c r="B90" i="22"/>
  <c r="A90" i="22"/>
  <c r="Z89" i="22"/>
  <c r="X89" i="22"/>
  <c r="V89" i="22"/>
  <c r="U89" i="22"/>
  <c r="T89" i="22"/>
  <c r="S89" i="22"/>
  <c r="O89" i="22"/>
  <c r="N89" i="22"/>
  <c r="M89" i="22"/>
  <c r="F89" i="22"/>
  <c r="E89" i="22"/>
  <c r="D89" i="22"/>
  <c r="B89" i="22"/>
  <c r="A89" i="22"/>
  <c r="Z88" i="22"/>
  <c r="X88" i="22"/>
  <c r="U88" i="22"/>
  <c r="T88" i="22"/>
  <c r="S88" i="22"/>
  <c r="O88" i="22"/>
  <c r="N88" i="22"/>
  <c r="M88" i="22"/>
  <c r="F88" i="22"/>
  <c r="E88" i="22"/>
  <c r="D88" i="22"/>
  <c r="B88" i="22"/>
  <c r="A88" i="22"/>
  <c r="Z87" i="22"/>
  <c r="X87" i="22"/>
  <c r="U87" i="22"/>
  <c r="T87" i="22"/>
  <c r="S87" i="22"/>
  <c r="O87" i="22"/>
  <c r="N87" i="22"/>
  <c r="M87" i="22"/>
  <c r="F87" i="22"/>
  <c r="E87" i="22"/>
  <c r="D87" i="22"/>
  <c r="B87" i="22"/>
  <c r="A87" i="22"/>
  <c r="Z86" i="22"/>
  <c r="X86" i="22"/>
  <c r="V86" i="22"/>
  <c r="U86" i="22"/>
  <c r="T86" i="22"/>
  <c r="S86" i="22"/>
  <c r="O86" i="22"/>
  <c r="N86" i="22"/>
  <c r="M86" i="22"/>
  <c r="F86" i="22"/>
  <c r="E86" i="22"/>
  <c r="D86" i="22"/>
  <c r="B86" i="22"/>
  <c r="A86" i="22"/>
  <c r="Z85" i="22"/>
  <c r="X85" i="22"/>
  <c r="V85" i="22"/>
  <c r="U85" i="22"/>
  <c r="T85" i="22"/>
  <c r="S85" i="22"/>
  <c r="O85" i="22"/>
  <c r="N85" i="22"/>
  <c r="M85" i="22"/>
  <c r="F85" i="22"/>
  <c r="E85" i="22"/>
  <c r="D85" i="22"/>
  <c r="B85" i="22"/>
  <c r="A85" i="22"/>
  <c r="Z84" i="22"/>
  <c r="X84" i="22"/>
  <c r="V84" i="22"/>
  <c r="U84" i="22"/>
  <c r="T84" i="22"/>
  <c r="S84" i="22"/>
  <c r="O84" i="22"/>
  <c r="N84" i="22"/>
  <c r="M84" i="22"/>
  <c r="F84" i="22"/>
  <c r="E84" i="22"/>
  <c r="D84" i="22"/>
  <c r="B84" i="22"/>
  <c r="A84" i="22"/>
  <c r="Z83" i="22"/>
  <c r="X83" i="22"/>
  <c r="U83" i="22"/>
  <c r="T83" i="22"/>
  <c r="S83" i="22"/>
  <c r="O83" i="22"/>
  <c r="N83" i="22"/>
  <c r="M83" i="22"/>
  <c r="F83" i="22"/>
  <c r="E83" i="22"/>
  <c r="D83" i="22"/>
  <c r="B83" i="22"/>
  <c r="A83" i="22"/>
  <c r="Z82" i="22"/>
  <c r="X82" i="22"/>
  <c r="V82" i="22"/>
  <c r="U82" i="22"/>
  <c r="T82" i="22"/>
  <c r="S82" i="22"/>
  <c r="O82" i="22"/>
  <c r="N82" i="22"/>
  <c r="M82" i="22"/>
  <c r="F82" i="22"/>
  <c r="E82" i="22"/>
  <c r="D82" i="22"/>
  <c r="B82" i="22"/>
  <c r="A82" i="22"/>
  <c r="Z81" i="22"/>
  <c r="X81" i="22"/>
  <c r="V81" i="22"/>
  <c r="U81" i="22"/>
  <c r="T81" i="22"/>
  <c r="S81" i="22"/>
  <c r="O81" i="22"/>
  <c r="N81" i="22"/>
  <c r="M81" i="22"/>
  <c r="F81" i="22"/>
  <c r="E81" i="22"/>
  <c r="D81" i="22"/>
  <c r="B81" i="22"/>
  <c r="A81" i="22"/>
  <c r="Z80" i="22"/>
  <c r="X80" i="22"/>
  <c r="V80" i="22"/>
  <c r="U80" i="22"/>
  <c r="T80" i="22"/>
  <c r="S80" i="22"/>
  <c r="O80" i="22"/>
  <c r="N80" i="22"/>
  <c r="M80" i="22"/>
  <c r="F80" i="22"/>
  <c r="E80" i="22"/>
  <c r="D80" i="22"/>
  <c r="B80" i="22"/>
  <c r="A80" i="22"/>
  <c r="Z79" i="22"/>
  <c r="X79" i="22"/>
  <c r="V79" i="22"/>
  <c r="U79" i="22"/>
  <c r="T79" i="22"/>
  <c r="S79" i="22"/>
  <c r="O79" i="22"/>
  <c r="N79" i="22"/>
  <c r="M79" i="22"/>
  <c r="F79" i="22"/>
  <c r="E79" i="22"/>
  <c r="D79" i="22"/>
  <c r="B79" i="22"/>
  <c r="A79" i="22"/>
  <c r="Z78" i="22"/>
  <c r="X78" i="22"/>
  <c r="V78" i="22"/>
  <c r="U78" i="22"/>
  <c r="T78" i="22"/>
  <c r="S78" i="22"/>
  <c r="O78" i="22"/>
  <c r="N78" i="22"/>
  <c r="M78" i="22"/>
  <c r="F78" i="22"/>
  <c r="E78" i="22"/>
  <c r="D78" i="22"/>
  <c r="B78" i="22"/>
  <c r="A78" i="22"/>
  <c r="Z77" i="22"/>
  <c r="X77" i="22"/>
  <c r="V77" i="22"/>
  <c r="U77" i="22"/>
  <c r="T77" i="22"/>
  <c r="S77" i="22"/>
  <c r="O77" i="22"/>
  <c r="N77" i="22"/>
  <c r="M77" i="22"/>
  <c r="F77" i="22"/>
  <c r="E77" i="22"/>
  <c r="D77" i="22"/>
  <c r="B77" i="22"/>
  <c r="A77" i="22"/>
  <c r="Z76" i="22"/>
  <c r="X76" i="22"/>
  <c r="V76" i="22"/>
  <c r="U76" i="22"/>
  <c r="T76" i="22"/>
  <c r="S76" i="22"/>
  <c r="O76" i="22"/>
  <c r="N76" i="22"/>
  <c r="M76" i="22"/>
  <c r="F76" i="22"/>
  <c r="E76" i="22"/>
  <c r="D76" i="22"/>
  <c r="B76" i="22"/>
  <c r="A76" i="22"/>
  <c r="Z75" i="22"/>
  <c r="X75" i="22"/>
  <c r="V75" i="22"/>
  <c r="U75" i="22"/>
  <c r="T75" i="22"/>
  <c r="S75" i="22"/>
  <c r="O75" i="22"/>
  <c r="N75" i="22"/>
  <c r="M75" i="22"/>
  <c r="F75" i="22"/>
  <c r="E75" i="22"/>
  <c r="D75" i="22"/>
  <c r="B75" i="22"/>
  <c r="A75" i="22"/>
  <c r="U74" i="22"/>
  <c r="T74" i="22"/>
  <c r="S74" i="22"/>
  <c r="O74" i="22"/>
  <c r="N74" i="22"/>
  <c r="M74" i="22"/>
  <c r="F74" i="22"/>
  <c r="E74" i="22"/>
  <c r="D74" i="22"/>
  <c r="B74" i="22"/>
  <c r="A74" i="22"/>
  <c r="U73" i="22"/>
  <c r="T73" i="22"/>
  <c r="S73" i="22"/>
  <c r="O73" i="22"/>
  <c r="N73" i="22"/>
  <c r="M73" i="22"/>
  <c r="F73" i="22"/>
  <c r="E73" i="22"/>
  <c r="D73" i="22"/>
  <c r="B73" i="22"/>
  <c r="A73" i="22"/>
  <c r="Z72" i="22"/>
  <c r="X72" i="22"/>
  <c r="V72" i="22"/>
  <c r="U72" i="22"/>
  <c r="T72" i="22"/>
  <c r="S72" i="22"/>
  <c r="O72" i="22"/>
  <c r="N72" i="22"/>
  <c r="M72" i="22"/>
  <c r="F72" i="22"/>
  <c r="E72" i="22"/>
  <c r="D72" i="22"/>
  <c r="B72" i="22"/>
  <c r="A72" i="22"/>
  <c r="Z71" i="22"/>
  <c r="X71" i="22"/>
  <c r="V71" i="22"/>
  <c r="U71" i="22"/>
  <c r="T71" i="22"/>
  <c r="S71" i="22"/>
  <c r="O71" i="22"/>
  <c r="N71" i="22"/>
  <c r="M71" i="22"/>
  <c r="F71" i="22"/>
  <c r="E71" i="22"/>
  <c r="D71" i="22"/>
  <c r="B71" i="22"/>
  <c r="A71" i="22"/>
  <c r="Z70" i="22"/>
  <c r="X70" i="22"/>
  <c r="V70" i="22"/>
  <c r="U70" i="22"/>
  <c r="T70" i="22"/>
  <c r="S70" i="22"/>
  <c r="O70" i="22"/>
  <c r="N70" i="22"/>
  <c r="M70" i="22"/>
  <c r="F70" i="22"/>
  <c r="E70" i="22"/>
  <c r="D70" i="22"/>
  <c r="B70" i="22"/>
  <c r="A70" i="22"/>
  <c r="U69" i="22"/>
  <c r="T69" i="22"/>
  <c r="S69" i="22"/>
  <c r="O69" i="22"/>
  <c r="N69" i="22"/>
  <c r="M69" i="22"/>
  <c r="F69" i="22"/>
  <c r="E69" i="22"/>
  <c r="D69" i="22"/>
  <c r="B69" i="22"/>
  <c r="A69" i="22"/>
  <c r="Z68" i="22"/>
  <c r="X68" i="22"/>
  <c r="V68" i="22"/>
  <c r="U68" i="22"/>
  <c r="T68" i="22"/>
  <c r="S68" i="22"/>
  <c r="O68" i="22"/>
  <c r="N68" i="22"/>
  <c r="M68" i="22"/>
  <c r="F68" i="22"/>
  <c r="E68" i="22"/>
  <c r="D68" i="22"/>
  <c r="B68" i="22"/>
  <c r="A68" i="22"/>
  <c r="Z67" i="22"/>
  <c r="X67" i="22"/>
  <c r="V67" i="22"/>
  <c r="U67" i="22"/>
  <c r="T67" i="22"/>
  <c r="S67" i="22"/>
  <c r="O67" i="22"/>
  <c r="N67" i="22"/>
  <c r="M67" i="22"/>
  <c r="F67" i="22"/>
  <c r="E67" i="22"/>
  <c r="D67" i="22"/>
  <c r="B67" i="22"/>
  <c r="A67" i="22"/>
  <c r="Z66" i="22"/>
  <c r="X66" i="22"/>
  <c r="V66" i="22"/>
  <c r="U66" i="22"/>
  <c r="T66" i="22"/>
  <c r="S66" i="22"/>
  <c r="O66" i="22"/>
  <c r="N66" i="22"/>
  <c r="M66" i="22"/>
  <c r="F66" i="22"/>
  <c r="E66" i="22"/>
  <c r="D66" i="22"/>
  <c r="B66" i="22"/>
  <c r="A66" i="22"/>
  <c r="Z65" i="22"/>
  <c r="X65" i="22"/>
  <c r="V65" i="22"/>
  <c r="U65" i="22"/>
  <c r="T65" i="22"/>
  <c r="S65" i="22"/>
  <c r="O65" i="22"/>
  <c r="N65" i="22"/>
  <c r="M65" i="22"/>
  <c r="G65" i="22"/>
  <c r="F65" i="22"/>
  <c r="E65" i="22"/>
  <c r="D65" i="22"/>
  <c r="B65" i="22"/>
  <c r="A65" i="22"/>
  <c r="Z64" i="22"/>
  <c r="X64" i="22"/>
  <c r="V64" i="22"/>
  <c r="U64" i="22"/>
  <c r="T64" i="22"/>
  <c r="S64" i="22"/>
  <c r="O64" i="22"/>
  <c r="N64" i="22"/>
  <c r="M64" i="22"/>
  <c r="G64" i="22"/>
  <c r="F64" i="22"/>
  <c r="E64" i="22"/>
  <c r="D64" i="22"/>
  <c r="B64" i="22"/>
  <c r="A64" i="22"/>
  <c r="Z63" i="22"/>
  <c r="X63" i="22"/>
  <c r="V63" i="22"/>
  <c r="U63" i="22"/>
  <c r="T63" i="22"/>
  <c r="S63" i="22"/>
  <c r="O63" i="22"/>
  <c r="N63" i="22"/>
  <c r="M63" i="22"/>
  <c r="G63" i="22"/>
  <c r="F63" i="22"/>
  <c r="E63" i="22"/>
  <c r="D63" i="22"/>
  <c r="B63" i="22"/>
  <c r="A63" i="22"/>
  <c r="Z62" i="22"/>
  <c r="X62" i="22"/>
  <c r="V62" i="22"/>
  <c r="U62" i="22"/>
  <c r="T62" i="22"/>
  <c r="S62" i="22"/>
  <c r="O62" i="22"/>
  <c r="N62" i="22"/>
  <c r="M62" i="22"/>
  <c r="G62" i="22"/>
  <c r="F62" i="22"/>
  <c r="E62" i="22"/>
  <c r="D62" i="22"/>
  <c r="B62" i="22"/>
  <c r="A62" i="22"/>
  <c r="Z61" i="22"/>
  <c r="X61" i="22"/>
  <c r="U61" i="22"/>
  <c r="T61" i="22"/>
  <c r="S61" i="22"/>
  <c r="O61" i="22"/>
  <c r="N61" i="22"/>
  <c r="M61" i="22"/>
  <c r="G61" i="22"/>
  <c r="F61" i="22"/>
  <c r="E61" i="22"/>
  <c r="D61" i="22"/>
  <c r="B61" i="22"/>
  <c r="A61" i="22"/>
  <c r="Z60" i="22"/>
  <c r="X60" i="22"/>
  <c r="V60" i="22"/>
  <c r="U60" i="22"/>
  <c r="T60" i="22"/>
  <c r="S60" i="22"/>
  <c r="O60" i="22"/>
  <c r="N60" i="22"/>
  <c r="M60" i="22"/>
  <c r="G60" i="22"/>
  <c r="F60" i="22"/>
  <c r="E60" i="22"/>
  <c r="D60" i="22"/>
  <c r="B60" i="22"/>
  <c r="A60" i="22"/>
  <c r="Z59" i="22"/>
  <c r="X59" i="22"/>
  <c r="V59" i="22"/>
  <c r="U59" i="22"/>
  <c r="T59" i="22"/>
  <c r="S59" i="22"/>
  <c r="O59" i="22"/>
  <c r="N59" i="22"/>
  <c r="M59" i="22"/>
  <c r="G59" i="22"/>
  <c r="F59" i="22"/>
  <c r="E59" i="22"/>
  <c r="D59" i="22"/>
  <c r="B59" i="22"/>
  <c r="A59" i="22"/>
  <c r="Z58" i="22"/>
  <c r="X58" i="22"/>
  <c r="V58" i="22"/>
  <c r="U58" i="22"/>
  <c r="T58" i="22"/>
  <c r="S58" i="22"/>
  <c r="O58" i="22"/>
  <c r="N58" i="22"/>
  <c r="M58" i="22"/>
  <c r="G58" i="22"/>
  <c r="F58" i="22"/>
  <c r="E58" i="22"/>
  <c r="D58" i="22"/>
  <c r="B58" i="22"/>
  <c r="A58" i="22"/>
  <c r="Z57" i="22"/>
  <c r="X57" i="22"/>
  <c r="V57" i="22"/>
  <c r="U57" i="22"/>
  <c r="T57" i="22"/>
  <c r="S57" i="22"/>
  <c r="O57" i="22"/>
  <c r="N57" i="22"/>
  <c r="M57" i="22"/>
  <c r="G57" i="22"/>
  <c r="F57" i="22"/>
  <c r="E57" i="22"/>
  <c r="D57" i="22"/>
  <c r="B57" i="22"/>
  <c r="A57" i="22"/>
  <c r="Z56" i="22"/>
  <c r="X56" i="22"/>
  <c r="V56" i="22"/>
  <c r="U56" i="22"/>
  <c r="T56" i="22"/>
  <c r="S56" i="22"/>
  <c r="O56" i="22"/>
  <c r="N56" i="22"/>
  <c r="M56" i="22"/>
  <c r="G56" i="22"/>
  <c r="F56" i="22"/>
  <c r="E56" i="22"/>
  <c r="D56" i="22"/>
  <c r="B56" i="22"/>
  <c r="A56" i="22"/>
  <c r="Z55" i="22"/>
  <c r="X55" i="22"/>
  <c r="V55" i="22"/>
  <c r="U55" i="22"/>
  <c r="T55" i="22"/>
  <c r="S55" i="22"/>
  <c r="O55" i="22"/>
  <c r="N55" i="22"/>
  <c r="M55" i="22"/>
  <c r="G55" i="22"/>
  <c r="F55" i="22"/>
  <c r="E55" i="22"/>
  <c r="D55" i="22"/>
  <c r="B55" i="22"/>
  <c r="A55" i="22"/>
  <c r="Z54" i="22"/>
  <c r="X54" i="22"/>
  <c r="V54" i="22"/>
  <c r="U54" i="22"/>
  <c r="T54" i="22"/>
  <c r="S54" i="22"/>
  <c r="O54" i="22"/>
  <c r="N54" i="22"/>
  <c r="M54" i="22"/>
  <c r="G54" i="22"/>
  <c r="F54" i="22"/>
  <c r="E54" i="22"/>
  <c r="D54" i="22"/>
  <c r="B54" i="22"/>
  <c r="A54" i="22"/>
  <c r="Z53" i="22"/>
  <c r="X53" i="22"/>
  <c r="V53" i="22"/>
  <c r="U53" i="22"/>
  <c r="T53" i="22"/>
  <c r="S53" i="22"/>
  <c r="O53" i="22"/>
  <c r="N53" i="22"/>
  <c r="M53" i="22"/>
  <c r="G53" i="22"/>
  <c r="F53" i="22"/>
  <c r="E53" i="22"/>
  <c r="D53" i="22"/>
  <c r="B53" i="22"/>
  <c r="A53" i="22"/>
  <c r="Z52" i="22"/>
  <c r="X52" i="22"/>
  <c r="U52" i="22"/>
  <c r="T52" i="22"/>
  <c r="S52" i="22"/>
  <c r="O52" i="22"/>
  <c r="N52" i="22"/>
  <c r="M52" i="22"/>
  <c r="G52" i="22"/>
  <c r="F52" i="22"/>
  <c r="E52" i="22"/>
  <c r="D52" i="22"/>
  <c r="B52" i="22"/>
  <c r="A52" i="22"/>
  <c r="Z51" i="22"/>
  <c r="X51" i="22"/>
  <c r="U51" i="22"/>
  <c r="T51" i="22"/>
  <c r="S51" i="22"/>
  <c r="O51" i="22"/>
  <c r="N51" i="22"/>
  <c r="M51" i="22"/>
  <c r="G51" i="22"/>
  <c r="F51" i="22"/>
  <c r="E51" i="22"/>
  <c r="D51" i="22"/>
  <c r="B51" i="22"/>
  <c r="A51" i="22"/>
  <c r="Z50" i="22"/>
  <c r="X50" i="22"/>
  <c r="V50" i="22"/>
  <c r="U50" i="22"/>
  <c r="T50" i="22"/>
  <c r="S50" i="22"/>
  <c r="O50" i="22"/>
  <c r="N50" i="22"/>
  <c r="M50" i="22"/>
  <c r="G50" i="22"/>
  <c r="F50" i="22"/>
  <c r="E50" i="22"/>
  <c r="D50" i="22"/>
  <c r="B50" i="22"/>
  <c r="A50" i="22"/>
  <c r="Z49" i="22"/>
  <c r="X49" i="22"/>
  <c r="V49" i="22"/>
  <c r="U49" i="22"/>
  <c r="T49" i="22"/>
  <c r="S49" i="22"/>
  <c r="O49" i="22"/>
  <c r="N49" i="22"/>
  <c r="M49" i="22"/>
  <c r="G49" i="22"/>
  <c r="F49" i="22"/>
  <c r="E49" i="22"/>
  <c r="D49" i="22"/>
  <c r="B49" i="22"/>
  <c r="A49" i="22"/>
  <c r="Z48" i="22"/>
  <c r="X48" i="22"/>
  <c r="V48" i="22"/>
  <c r="U48" i="22"/>
  <c r="T48" i="22"/>
  <c r="S48" i="22"/>
  <c r="O48" i="22"/>
  <c r="N48" i="22"/>
  <c r="M48" i="22"/>
  <c r="G48" i="22"/>
  <c r="F48" i="22"/>
  <c r="E48" i="22"/>
  <c r="D48" i="22"/>
  <c r="B48" i="22"/>
  <c r="A48" i="22"/>
  <c r="Z47" i="22"/>
  <c r="X47" i="22"/>
  <c r="V47" i="22"/>
  <c r="U47" i="22"/>
  <c r="T47" i="22"/>
  <c r="S47" i="22"/>
  <c r="O47" i="22"/>
  <c r="N47" i="22"/>
  <c r="M47" i="22"/>
  <c r="G47" i="22"/>
  <c r="F47" i="22"/>
  <c r="E47" i="22"/>
  <c r="D47" i="22"/>
  <c r="B47" i="22"/>
  <c r="A47" i="22"/>
  <c r="Z46" i="22"/>
  <c r="X46" i="22"/>
  <c r="V46" i="22"/>
  <c r="U46" i="22"/>
  <c r="T46" i="22"/>
  <c r="S46" i="22"/>
  <c r="O46" i="22"/>
  <c r="N46" i="22"/>
  <c r="M46" i="22"/>
  <c r="G46" i="22"/>
  <c r="F46" i="22"/>
  <c r="E46" i="22"/>
  <c r="D46" i="22"/>
  <c r="B46" i="22"/>
  <c r="A46" i="22"/>
  <c r="Z45" i="22"/>
  <c r="X45" i="22"/>
  <c r="V45" i="22"/>
  <c r="U45" i="22"/>
  <c r="T45" i="22"/>
  <c r="S45" i="22"/>
  <c r="O45" i="22"/>
  <c r="N45" i="22"/>
  <c r="M45" i="22"/>
  <c r="G45" i="22"/>
  <c r="F45" i="22"/>
  <c r="E45" i="22"/>
  <c r="D45" i="22"/>
  <c r="B45" i="22"/>
  <c r="A45" i="22"/>
  <c r="Z44" i="22"/>
  <c r="X44" i="22"/>
  <c r="V44" i="22"/>
  <c r="U44" i="22"/>
  <c r="T44" i="22"/>
  <c r="S44" i="22"/>
  <c r="O44" i="22"/>
  <c r="N44" i="22"/>
  <c r="M44" i="22"/>
  <c r="G44" i="22"/>
  <c r="F44" i="22"/>
  <c r="E44" i="22"/>
  <c r="D44" i="22"/>
  <c r="B44" i="22"/>
  <c r="A44" i="22"/>
  <c r="Z43" i="22"/>
  <c r="X43" i="22"/>
  <c r="V43" i="22"/>
  <c r="U43" i="22"/>
  <c r="T43" i="22"/>
  <c r="S43" i="22"/>
  <c r="O43" i="22"/>
  <c r="N43" i="22"/>
  <c r="M43" i="22"/>
  <c r="G43" i="22"/>
  <c r="F43" i="22"/>
  <c r="E43" i="22"/>
  <c r="D43" i="22"/>
  <c r="B43" i="22"/>
  <c r="A43" i="22"/>
  <c r="Z42" i="22"/>
  <c r="X42" i="22"/>
  <c r="V42" i="22"/>
  <c r="U42" i="22"/>
  <c r="T42" i="22"/>
  <c r="S42" i="22"/>
  <c r="O42" i="22"/>
  <c r="N42" i="22"/>
  <c r="M42" i="22"/>
  <c r="G42" i="22"/>
  <c r="F42" i="22"/>
  <c r="E42" i="22"/>
  <c r="D42" i="22"/>
  <c r="B42" i="22"/>
  <c r="A42" i="22"/>
  <c r="Z41" i="22"/>
  <c r="X41" i="22"/>
  <c r="V41" i="22"/>
  <c r="U41" i="22"/>
  <c r="T41" i="22"/>
  <c r="S41" i="22"/>
  <c r="O41" i="22"/>
  <c r="N41" i="22"/>
  <c r="M41" i="22"/>
  <c r="G41" i="22"/>
  <c r="F41" i="22"/>
  <c r="E41" i="22"/>
  <c r="D41" i="22"/>
  <c r="B41" i="22"/>
  <c r="A41" i="22"/>
  <c r="Z40" i="22"/>
  <c r="X40" i="22"/>
  <c r="V40" i="22"/>
  <c r="U40" i="22"/>
  <c r="T40" i="22"/>
  <c r="S40" i="22"/>
  <c r="O40" i="22"/>
  <c r="N40" i="22"/>
  <c r="M40" i="22"/>
  <c r="G40" i="22"/>
  <c r="F40" i="22"/>
  <c r="E40" i="22"/>
  <c r="D40" i="22"/>
  <c r="B40" i="22"/>
  <c r="A40" i="22"/>
  <c r="Z39" i="22"/>
  <c r="X39" i="22"/>
  <c r="V39" i="22"/>
  <c r="U39" i="22"/>
  <c r="T39" i="22"/>
  <c r="S39" i="22"/>
  <c r="O39" i="22"/>
  <c r="N39" i="22"/>
  <c r="M39" i="22"/>
  <c r="G39" i="22"/>
  <c r="F39" i="22"/>
  <c r="E39" i="22"/>
  <c r="D39" i="22"/>
  <c r="B39" i="22"/>
  <c r="A39" i="22"/>
  <c r="Z38" i="22"/>
  <c r="X38" i="22"/>
  <c r="V38" i="22"/>
  <c r="U38" i="22"/>
  <c r="T38" i="22"/>
  <c r="S38" i="22"/>
  <c r="O38" i="22"/>
  <c r="N38" i="22"/>
  <c r="M38" i="22"/>
  <c r="G38" i="22"/>
  <c r="F38" i="22"/>
  <c r="E38" i="22"/>
  <c r="D38" i="22"/>
  <c r="B38" i="22"/>
  <c r="A38" i="22"/>
  <c r="Z37" i="22"/>
  <c r="X37" i="22"/>
  <c r="V37" i="22"/>
  <c r="U37" i="22"/>
  <c r="T37" i="22"/>
  <c r="S37" i="22"/>
  <c r="O37" i="22"/>
  <c r="N37" i="22"/>
  <c r="M37" i="22"/>
  <c r="G37" i="22"/>
  <c r="F37" i="22"/>
  <c r="E37" i="22"/>
  <c r="D37" i="22"/>
  <c r="B37" i="22"/>
  <c r="A37" i="22"/>
  <c r="Z36" i="22"/>
  <c r="X36" i="22"/>
  <c r="V36" i="22"/>
  <c r="U36" i="22"/>
  <c r="T36" i="22"/>
  <c r="S36" i="22"/>
  <c r="O36" i="22"/>
  <c r="N36" i="22"/>
  <c r="M36" i="22"/>
  <c r="G36" i="22"/>
  <c r="F36" i="22"/>
  <c r="E36" i="22"/>
  <c r="D36" i="22"/>
  <c r="B36" i="22"/>
  <c r="A36" i="22"/>
  <c r="Z35" i="22"/>
  <c r="X35" i="22"/>
  <c r="V35" i="22"/>
  <c r="U35" i="22"/>
  <c r="T35" i="22"/>
  <c r="S35" i="22"/>
  <c r="O35" i="22"/>
  <c r="N35" i="22"/>
  <c r="M35" i="22"/>
  <c r="G35" i="22"/>
  <c r="F35" i="22"/>
  <c r="E35" i="22"/>
  <c r="D35" i="22"/>
  <c r="B35" i="22"/>
  <c r="A35" i="22"/>
  <c r="Z34" i="22"/>
  <c r="X34" i="22"/>
  <c r="V34" i="22"/>
  <c r="U34" i="22"/>
  <c r="T34" i="22"/>
  <c r="S34" i="22"/>
  <c r="O34" i="22"/>
  <c r="N34" i="22"/>
  <c r="M34" i="22"/>
  <c r="G34" i="22"/>
  <c r="F34" i="22"/>
  <c r="E34" i="22"/>
  <c r="D34" i="22"/>
  <c r="B34" i="22"/>
  <c r="A34" i="22"/>
  <c r="Z33" i="22"/>
  <c r="X33" i="22"/>
  <c r="V33" i="22"/>
  <c r="U33" i="22"/>
  <c r="T33" i="22"/>
  <c r="S33" i="22"/>
  <c r="O33" i="22"/>
  <c r="N33" i="22"/>
  <c r="M33" i="22"/>
  <c r="G33" i="22"/>
  <c r="F33" i="22"/>
  <c r="E33" i="22"/>
  <c r="D33" i="22"/>
  <c r="B33" i="22"/>
  <c r="A33" i="22"/>
  <c r="Z32" i="22"/>
  <c r="X32" i="22"/>
  <c r="V32" i="22"/>
  <c r="U32" i="22"/>
  <c r="T32" i="22"/>
  <c r="S32" i="22"/>
  <c r="O32" i="22"/>
  <c r="N32" i="22"/>
  <c r="M32" i="22"/>
  <c r="G32" i="22"/>
  <c r="F32" i="22"/>
  <c r="E32" i="22"/>
  <c r="D32" i="22"/>
  <c r="B32" i="22"/>
  <c r="A32" i="22"/>
  <c r="Z31" i="22"/>
  <c r="X31" i="22"/>
  <c r="V31" i="22"/>
  <c r="U31" i="22"/>
  <c r="T31" i="22"/>
  <c r="S31" i="22"/>
  <c r="O31" i="22"/>
  <c r="N31" i="22"/>
  <c r="M31" i="22"/>
  <c r="G31" i="22"/>
  <c r="F31" i="22"/>
  <c r="E31" i="22"/>
  <c r="D31" i="22"/>
  <c r="B31" i="22"/>
  <c r="A31" i="22"/>
  <c r="Z30" i="22"/>
  <c r="X30" i="22"/>
  <c r="V30" i="22"/>
  <c r="U30" i="22"/>
  <c r="T30" i="22"/>
  <c r="S30" i="22"/>
  <c r="O30" i="22"/>
  <c r="N30" i="22"/>
  <c r="M30" i="22"/>
  <c r="G30" i="22"/>
  <c r="F30" i="22"/>
  <c r="E30" i="22"/>
  <c r="D30" i="22"/>
  <c r="B30" i="22"/>
  <c r="A30" i="22"/>
  <c r="Z29" i="22"/>
  <c r="X29" i="22"/>
  <c r="V29" i="22"/>
  <c r="U29" i="22"/>
  <c r="T29" i="22"/>
  <c r="S29" i="22"/>
  <c r="O29" i="22"/>
  <c r="N29" i="22"/>
  <c r="M29" i="22"/>
  <c r="G29" i="22"/>
  <c r="F29" i="22"/>
  <c r="E29" i="22"/>
  <c r="D29" i="22"/>
  <c r="B29" i="22"/>
  <c r="A29" i="22"/>
  <c r="Z28" i="22"/>
  <c r="X28" i="22"/>
  <c r="V28" i="22"/>
  <c r="U28" i="22"/>
  <c r="T28" i="22"/>
  <c r="S28" i="22"/>
  <c r="O28" i="22"/>
  <c r="N28" i="22"/>
  <c r="M28" i="22"/>
  <c r="G28" i="22"/>
  <c r="F28" i="22"/>
  <c r="E28" i="22"/>
  <c r="D28" i="22"/>
  <c r="B28" i="22"/>
  <c r="A28" i="22"/>
  <c r="Z27" i="22"/>
  <c r="X27" i="22"/>
  <c r="V27" i="22"/>
  <c r="U27" i="22"/>
  <c r="T27" i="22"/>
  <c r="S27" i="22"/>
  <c r="O27" i="22"/>
  <c r="N27" i="22"/>
  <c r="M27" i="22"/>
  <c r="G27" i="22"/>
  <c r="F27" i="22"/>
  <c r="E27" i="22"/>
  <c r="D27" i="22"/>
  <c r="B27" i="22"/>
  <c r="A27" i="22"/>
  <c r="Z26" i="22"/>
  <c r="X26" i="22"/>
  <c r="V26" i="22"/>
  <c r="U26" i="22"/>
  <c r="T26" i="22"/>
  <c r="S26" i="22"/>
  <c r="O26" i="22"/>
  <c r="N26" i="22"/>
  <c r="M26" i="22"/>
  <c r="G26" i="22"/>
  <c r="F26" i="22"/>
  <c r="E26" i="22"/>
  <c r="D26" i="22"/>
  <c r="B26" i="22"/>
  <c r="A26" i="22"/>
  <c r="Z25" i="22"/>
  <c r="X25" i="22"/>
  <c r="V25" i="22"/>
  <c r="U25" i="22"/>
  <c r="T25" i="22"/>
  <c r="S25" i="22"/>
  <c r="O25" i="22"/>
  <c r="N25" i="22"/>
  <c r="M25" i="22"/>
  <c r="G25" i="22"/>
  <c r="F25" i="22"/>
  <c r="E25" i="22"/>
  <c r="D25" i="22"/>
  <c r="B25" i="22"/>
  <c r="A25" i="22"/>
  <c r="Z24" i="22"/>
  <c r="X24" i="22"/>
  <c r="V24" i="22"/>
  <c r="U24" i="22"/>
  <c r="T24" i="22"/>
  <c r="S24" i="22"/>
  <c r="O24" i="22"/>
  <c r="N24" i="22"/>
  <c r="M24" i="22"/>
  <c r="F24" i="22"/>
  <c r="E24" i="22"/>
  <c r="D24" i="22"/>
  <c r="B24" i="22"/>
  <c r="A24" i="22"/>
  <c r="Z23" i="22"/>
  <c r="X23" i="22"/>
  <c r="V23" i="22"/>
  <c r="U23" i="22"/>
  <c r="T23" i="22"/>
  <c r="S23" i="22"/>
  <c r="O23" i="22"/>
  <c r="N23" i="22"/>
  <c r="M23" i="22"/>
  <c r="F23" i="22"/>
  <c r="E23" i="22"/>
  <c r="D23" i="22"/>
  <c r="B23" i="22"/>
  <c r="A23" i="22"/>
  <c r="Z22" i="22"/>
  <c r="X22" i="22"/>
  <c r="V22" i="22"/>
  <c r="U22" i="22"/>
  <c r="T22" i="22"/>
  <c r="S22" i="22"/>
  <c r="O22" i="22"/>
  <c r="N22" i="22"/>
  <c r="M22" i="22"/>
  <c r="F22" i="22"/>
  <c r="E22" i="22"/>
  <c r="D22" i="22"/>
  <c r="B22" i="22"/>
  <c r="A22" i="22"/>
  <c r="Z21" i="22"/>
  <c r="X21" i="22"/>
  <c r="V21" i="22"/>
  <c r="U21" i="22"/>
  <c r="T21" i="22"/>
  <c r="S21" i="22"/>
  <c r="O21" i="22"/>
  <c r="N21" i="22"/>
  <c r="M21" i="22"/>
  <c r="F21" i="22"/>
  <c r="E21" i="22"/>
  <c r="D21" i="22"/>
  <c r="B21" i="22"/>
  <c r="A21" i="22"/>
  <c r="Z20" i="22"/>
  <c r="X20" i="22"/>
  <c r="V20" i="22"/>
  <c r="U20" i="22"/>
  <c r="T20" i="22"/>
  <c r="S20" i="22"/>
  <c r="O20" i="22"/>
  <c r="N20" i="22"/>
  <c r="M20" i="22"/>
  <c r="F20" i="22"/>
  <c r="E20" i="22"/>
  <c r="D20" i="22"/>
  <c r="B20" i="22"/>
  <c r="A20" i="22"/>
  <c r="Z19" i="22"/>
  <c r="X19" i="22"/>
  <c r="U19" i="22"/>
  <c r="T19" i="22"/>
  <c r="S19" i="22"/>
  <c r="O19" i="22"/>
  <c r="N19" i="22"/>
  <c r="M19" i="22"/>
  <c r="G19" i="22"/>
  <c r="F19" i="22"/>
  <c r="E19" i="22"/>
  <c r="D19" i="22"/>
  <c r="B19" i="22"/>
  <c r="A19" i="22"/>
  <c r="Z18" i="22"/>
  <c r="X18" i="22"/>
  <c r="V18" i="22"/>
  <c r="U18" i="22"/>
  <c r="T18" i="22"/>
  <c r="S18" i="22"/>
  <c r="O18" i="22"/>
  <c r="N18" i="22"/>
  <c r="M18" i="22"/>
  <c r="G18" i="22"/>
  <c r="F18" i="22"/>
  <c r="E18" i="22"/>
  <c r="D18" i="22"/>
  <c r="B18" i="22"/>
  <c r="A18" i="22"/>
  <c r="Z17" i="22"/>
  <c r="X17" i="22"/>
  <c r="U17" i="22"/>
  <c r="T17" i="22"/>
  <c r="S17" i="22"/>
  <c r="O17" i="22"/>
  <c r="N17" i="22"/>
  <c r="M17" i="22"/>
  <c r="G17" i="22"/>
  <c r="F17" i="22"/>
  <c r="E17" i="22"/>
  <c r="D17" i="22"/>
  <c r="B17" i="22"/>
  <c r="A17" i="22"/>
  <c r="Z16" i="22"/>
  <c r="X16" i="22"/>
  <c r="V16" i="22"/>
  <c r="U16" i="22"/>
  <c r="T16" i="22"/>
  <c r="S16" i="22"/>
  <c r="O16" i="22"/>
  <c r="N16" i="22"/>
  <c r="M16" i="22"/>
  <c r="G16" i="22"/>
  <c r="F16" i="22"/>
  <c r="E16" i="22"/>
  <c r="D16" i="22"/>
  <c r="B16" i="22"/>
  <c r="A16" i="22"/>
  <c r="Z15" i="22"/>
  <c r="X15" i="22"/>
  <c r="V15" i="22"/>
  <c r="U15" i="22"/>
  <c r="T15" i="22"/>
  <c r="S15" i="22"/>
  <c r="O15" i="22"/>
  <c r="N15" i="22"/>
  <c r="M15" i="22"/>
  <c r="G15" i="22"/>
  <c r="F15" i="22"/>
  <c r="E15" i="22"/>
  <c r="D15" i="22"/>
  <c r="B15" i="22"/>
  <c r="A15" i="22"/>
  <c r="Z14" i="22"/>
  <c r="X14" i="22"/>
  <c r="V14" i="22"/>
  <c r="U14" i="22"/>
  <c r="T14" i="22"/>
  <c r="S14" i="22"/>
  <c r="O14" i="22"/>
  <c r="N14" i="22"/>
  <c r="M14" i="22"/>
  <c r="G14" i="22"/>
  <c r="F14" i="22"/>
  <c r="E14" i="22"/>
  <c r="D14" i="22"/>
  <c r="B14" i="22"/>
  <c r="A14" i="22"/>
  <c r="Z13" i="22"/>
  <c r="X13" i="22"/>
  <c r="V13" i="22"/>
  <c r="U13" i="22"/>
  <c r="T13" i="22"/>
  <c r="S13" i="22"/>
  <c r="O13" i="22"/>
  <c r="N13" i="22"/>
  <c r="M13" i="22"/>
  <c r="G13" i="22"/>
  <c r="F13" i="22"/>
  <c r="E13" i="22"/>
  <c r="D13" i="22"/>
  <c r="B13" i="22"/>
  <c r="A13" i="22"/>
  <c r="Z12" i="22"/>
  <c r="X12" i="22"/>
  <c r="V12" i="22"/>
  <c r="U12" i="22"/>
  <c r="T12" i="22"/>
  <c r="S12" i="22"/>
  <c r="O12" i="22"/>
  <c r="N12" i="22"/>
  <c r="M12" i="22"/>
  <c r="G12" i="22"/>
  <c r="F12" i="22"/>
  <c r="E12" i="22"/>
  <c r="D12" i="22"/>
  <c r="B12" i="22"/>
  <c r="A12" i="22"/>
  <c r="U11" i="22"/>
  <c r="T11" i="22"/>
  <c r="O11" i="22"/>
  <c r="N11" i="22"/>
  <c r="M11" i="22"/>
  <c r="G11" i="22"/>
  <c r="F11" i="22"/>
  <c r="E11" i="22"/>
  <c r="D11" i="22"/>
  <c r="B11" i="22"/>
  <c r="A11" i="22"/>
  <c r="Z10" i="22"/>
  <c r="X10" i="22"/>
  <c r="V10" i="22"/>
  <c r="U10" i="22"/>
  <c r="T10" i="22"/>
  <c r="S10" i="22"/>
  <c r="O10" i="22"/>
  <c r="N10" i="22"/>
  <c r="M10" i="22"/>
  <c r="G10" i="22"/>
  <c r="F10" i="22"/>
  <c r="E10" i="22"/>
  <c r="D10" i="22"/>
  <c r="B10" i="22"/>
  <c r="A10" i="22"/>
  <c r="Z9" i="22"/>
  <c r="X9" i="22"/>
  <c r="V9" i="22"/>
  <c r="U9" i="22"/>
  <c r="T9" i="22"/>
  <c r="S9" i="22"/>
  <c r="O9" i="22"/>
  <c r="N9" i="22"/>
  <c r="M9" i="22"/>
  <c r="G9" i="22"/>
  <c r="F9" i="22"/>
  <c r="E9" i="22"/>
  <c r="D9" i="22"/>
  <c r="B9" i="22"/>
  <c r="A9" i="22"/>
  <c r="Z8" i="22"/>
  <c r="X8" i="22"/>
  <c r="V8" i="22"/>
  <c r="U8" i="22"/>
  <c r="T8" i="22"/>
  <c r="S8" i="22"/>
  <c r="O8" i="22"/>
  <c r="N8" i="22"/>
  <c r="M8" i="22"/>
  <c r="G8" i="22"/>
  <c r="F8" i="22"/>
  <c r="E8" i="22"/>
  <c r="D8" i="22"/>
  <c r="B8" i="22"/>
  <c r="A8" i="22"/>
  <c r="Z7" i="22"/>
  <c r="X7" i="22"/>
  <c r="V7" i="22"/>
  <c r="U7" i="22"/>
  <c r="T7" i="22"/>
  <c r="S7" i="22"/>
  <c r="O7" i="22"/>
  <c r="N7" i="22"/>
  <c r="M7" i="22"/>
  <c r="G7" i="22"/>
  <c r="F7" i="22"/>
  <c r="E7" i="22"/>
  <c r="D7" i="22"/>
  <c r="B7" i="22"/>
  <c r="A7" i="22"/>
  <c r="Z6" i="22"/>
  <c r="X6" i="22"/>
  <c r="V6" i="22"/>
  <c r="U6" i="22"/>
  <c r="T6" i="22"/>
  <c r="S6" i="22"/>
  <c r="O6" i="22"/>
  <c r="N6" i="22"/>
  <c r="M6" i="22"/>
  <c r="G6" i="22"/>
  <c r="F6" i="22"/>
  <c r="E6" i="22"/>
  <c r="D6" i="22"/>
  <c r="B6" i="22"/>
  <c r="A6" i="22"/>
  <c r="Z5" i="22"/>
  <c r="X5" i="22"/>
  <c r="V5" i="22"/>
  <c r="U5" i="22"/>
  <c r="T5" i="22"/>
  <c r="S5" i="22"/>
  <c r="O5" i="22"/>
  <c r="N5" i="22"/>
  <c r="M5" i="22"/>
  <c r="G5" i="22"/>
  <c r="F5" i="22"/>
  <c r="E5" i="22"/>
  <c r="D5" i="22"/>
  <c r="B5" i="22"/>
  <c r="A5" i="22"/>
  <c r="Z4" i="22"/>
  <c r="X4" i="22"/>
  <c r="V4" i="22"/>
  <c r="U4" i="22"/>
  <c r="T4" i="22"/>
  <c r="S4" i="22"/>
  <c r="O4" i="22"/>
  <c r="N4" i="22"/>
  <c r="M4" i="22"/>
  <c r="G4" i="22"/>
  <c r="F4" i="22"/>
  <c r="E4" i="22"/>
  <c r="D4" i="22"/>
  <c r="B4" i="22"/>
  <c r="A4" i="22"/>
  <c r="G2" i="22"/>
  <c r="F2" i="22"/>
  <c r="L1" i="22"/>
  <c r="F1" i="22"/>
  <c r="Y919" i="21"/>
  <c r="X919" i="21"/>
  <c r="W919" i="21"/>
  <c r="V919" i="21"/>
  <c r="T919" i="21"/>
  <c r="P919" i="21"/>
  <c r="N919" i="21"/>
  <c r="M919" i="21"/>
  <c r="L919" i="21"/>
  <c r="K919" i="21"/>
  <c r="J919" i="21"/>
  <c r="I919" i="21"/>
  <c r="H919" i="21"/>
  <c r="G919" i="21"/>
  <c r="F919" i="21"/>
  <c r="E919" i="21"/>
  <c r="D919" i="21"/>
  <c r="B919" i="21"/>
  <c r="A919" i="21"/>
  <c r="Y918" i="21"/>
  <c r="X918" i="21"/>
  <c r="W918" i="21"/>
  <c r="V918" i="21"/>
  <c r="T918" i="21"/>
  <c r="S918" i="21"/>
  <c r="R918" i="21"/>
  <c r="Q918" i="21"/>
  <c r="P918" i="21"/>
  <c r="N918" i="21"/>
  <c r="M918" i="21"/>
  <c r="L918" i="21"/>
  <c r="K918" i="21"/>
  <c r="J918" i="21"/>
  <c r="I918" i="21"/>
  <c r="H918" i="21"/>
  <c r="G918" i="21"/>
  <c r="F918" i="21"/>
  <c r="E918" i="21"/>
  <c r="D918" i="21"/>
  <c r="B918" i="21"/>
  <c r="A918" i="21"/>
  <c r="Y917" i="21"/>
  <c r="X917" i="21"/>
  <c r="W917" i="21"/>
  <c r="V917" i="21"/>
  <c r="T917" i="21"/>
  <c r="S917" i="21"/>
  <c r="R917" i="21"/>
  <c r="Q917" i="21"/>
  <c r="P917" i="21"/>
  <c r="N917" i="21"/>
  <c r="M917" i="21"/>
  <c r="L917" i="21"/>
  <c r="K917" i="21"/>
  <c r="J917" i="21"/>
  <c r="I917" i="21"/>
  <c r="H917" i="21"/>
  <c r="G917" i="21"/>
  <c r="F917" i="21"/>
  <c r="E917" i="21"/>
  <c r="D917" i="21"/>
  <c r="B917" i="21"/>
  <c r="A917" i="21"/>
  <c r="Y916" i="21"/>
  <c r="X916" i="21"/>
  <c r="W916" i="21"/>
  <c r="V916" i="21"/>
  <c r="T916" i="21"/>
  <c r="S916" i="21"/>
  <c r="R916" i="21"/>
  <c r="Q916" i="21"/>
  <c r="P916" i="21"/>
  <c r="N916" i="21"/>
  <c r="M916" i="21"/>
  <c r="L916" i="21"/>
  <c r="K916" i="21"/>
  <c r="J916" i="21"/>
  <c r="I916" i="21"/>
  <c r="H916" i="21"/>
  <c r="G916" i="21"/>
  <c r="F916" i="21"/>
  <c r="E916" i="21"/>
  <c r="D916" i="21"/>
  <c r="B916" i="21"/>
  <c r="A916" i="21"/>
  <c r="Y915" i="21"/>
  <c r="X915" i="21"/>
  <c r="W915" i="21"/>
  <c r="V915" i="21"/>
  <c r="T915" i="21"/>
  <c r="S915" i="21"/>
  <c r="R915" i="21"/>
  <c r="Q915" i="21"/>
  <c r="P915" i="21"/>
  <c r="N915" i="21"/>
  <c r="M915" i="21"/>
  <c r="L915" i="21"/>
  <c r="K915" i="21"/>
  <c r="J915" i="21"/>
  <c r="I915" i="21"/>
  <c r="H915" i="21"/>
  <c r="G915" i="21"/>
  <c r="F915" i="21"/>
  <c r="E915" i="21"/>
  <c r="D915" i="21"/>
  <c r="B915" i="21"/>
  <c r="A915" i="21"/>
  <c r="Y914" i="21"/>
  <c r="X914" i="21"/>
  <c r="W914" i="21"/>
  <c r="V914" i="21"/>
  <c r="T914" i="21"/>
  <c r="S914" i="21"/>
  <c r="R914" i="21"/>
  <c r="Q914" i="21"/>
  <c r="P914" i="21"/>
  <c r="N914" i="21"/>
  <c r="M914" i="21"/>
  <c r="L914" i="21"/>
  <c r="K914" i="21"/>
  <c r="J914" i="21"/>
  <c r="I914" i="21"/>
  <c r="H914" i="21"/>
  <c r="G914" i="21"/>
  <c r="F914" i="21"/>
  <c r="E914" i="21"/>
  <c r="D914" i="21"/>
  <c r="B914" i="21"/>
  <c r="A914" i="21"/>
  <c r="Y913" i="21"/>
  <c r="X913" i="21"/>
  <c r="W913" i="21"/>
  <c r="V913" i="21"/>
  <c r="T913" i="21"/>
  <c r="S913" i="21"/>
  <c r="R913" i="21"/>
  <c r="Q913" i="21"/>
  <c r="P913" i="21"/>
  <c r="N913" i="21"/>
  <c r="M913" i="21"/>
  <c r="L913" i="21"/>
  <c r="K913" i="21"/>
  <c r="J913" i="21"/>
  <c r="I913" i="21"/>
  <c r="H913" i="21"/>
  <c r="G913" i="21"/>
  <c r="F913" i="21"/>
  <c r="E913" i="21"/>
  <c r="D913" i="21"/>
  <c r="B913" i="21"/>
  <c r="A913" i="21"/>
  <c r="Y912" i="21"/>
  <c r="X912" i="21"/>
  <c r="W912" i="21"/>
  <c r="V912" i="21"/>
  <c r="T912" i="21"/>
  <c r="S912" i="21"/>
  <c r="R912" i="21"/>
  <c r="Q912" i="21"/>
  <c r="P912" i="21"/>
  <c r="N912" i="21"/>
  <c r="M912" i="21"/>
  <c r="L912" i="21"/>
  <c r="K912" i="21"/>
  <c r="J912" i="21"/>
  <c r="I912" i="21"/>
  <c r="H912" i="21"/>
  <c r="G912" i="21"/>
  <c r="F912" i="21"/>
  <c r="E912" i="21"/>
  <c r="D912" i="21"/>
  <c r="B912" i="21"/>
  <c r="A912" i="21"/>
  <c r="Y911" i="21"/>
  <c r="X911" i="21"/>
  <c r="W911" i="21"/>
  <c r="V911" i="21"/>
  <c r="T911" i="21"/>
  <c r="S911" i="21"/>
  <c r="R911" i="21"/>
  <c r="Q911" i="21"/>
  <c r="P911" i="21"/>
  <c r="N911" i="21"/>
  <c r="M911" i="21"/>
  <c r="L911" i="21"/>
  <c r="K911" i="21"/>
  <c r="J911" i="21"/>
  <c r="I911" i="21"/>
  <c r="H911" i="21"/>
  <c r="G911" i="21"/>
  <c r="F911" i="21"/>
  <c r="E911" i="21"/>
  <c r="D911" i="21"/>
  <c r="B911" i="21"/>
  <c r="A911" i="21"/>
  <c r="Y910" i="21"/>
  <c r="X910" i="21"/>
  <c r="W910" i="21"/>
  <c r="V910" i="21"/>
  <c r="T910" i="21"/>
  <c r="S910" i="21"/>
  <c r="R910" i="21"/>
  <c r="Q910" i="21"/>
  <c r="P910" i="21"/>
  <c r="N910" i="21"/>
  <c r="M910" i="21"/>
  <c r="L910" i="21"/>
  <c r="K910" i="21"/>
  <c r="J910" i="21"/>
  <c r="I910" i="21"/>
  <c r="H910" i="21"/>
  <c r="G910" i="21"/>
  <c r="F910" i="21"/>
  <c r="E910" i="21"/>
  <c r="D910" i="21"/>
  <c r="B910" i="21"/>
  <c r="A910" i="21"/>
  <c r="Y909" i="21"/>
  <c r="X909" i="21"/>
  <c r="W909" i="21"/>
  <c r="V909" i="21"/>
  <c r="T909" i="21"/>
  <c r="S909" i="21"/>
  <c r="R909" i="21"/>
  <c r="Q909" i="21"/>
  <c r="P909" i="21"/>
  <c r="N909" i="21"/>
  <c r="M909" i="21"/>
  <c r="L909" i="21"/>
  <c r="K909" i="21"/>
  <c r="J909" i="21"/>
  <c r="I909" i="21"/>
  <c r="H909" i="21"/>
  <c r="G909" i="21"/>
  <c r="F909" i="21"/>
  <c r="E909" i="21"/>
  <c r="D909" i="21"/>
  <c r="B909" i="21"/>
  <c r="A909" i="21"/>
  <c r="Y908" i="21"/>
  <c r="X908" i="21"/>
  <c r="W908" i="21"/>
  <c r="V908" i="21"/>
  <c r="T908" i="21"/>
  <c r="S908" i="21"/>
  <c r="R908" i="21"/>
  <c r="Q908" i="21"/>
  <c r="P908" i="21"/>
  <c r="N908" i="21"/>
  <c r="M908" i="21"/>
  <c r="L908" i="21"/>
  <c r="K908" i="21"/>
  <c r="J908" i="21"/>
  <c r="I908" i="21"/>
  <c r="H908" i="21"/>
  <c r="G908" i="21"/>
  <c r="F908" i="21"/>
  <c r="E908" i="21"/>
  <c r="D908" i="21"/>
  <c r="B908" i="21"/>
  <c r="A908" i="21"/>
  <c r="Y907" i="21"/>
  <c r="X907" i="21"/>
  <c r="W907" i="21"/>
  <c r="V907" i="21"/>
  <c r="T907" i="21"/>
  <c r="S907" i="21"/>
  <c r="R907" i="21"/>
  <c r="Q907" i="21"/>
  <c r="P907" i="21"/>
  <c r="N907" i="21"/>
  <c r="M907" i="21"/>
  <c r="L907" i="21"/>
  <c r="K907" i="21"/>
  <c r="J907" i="21"/>
  <c r="I907" i="21"/>
  <c r="H907" i="21"/>
  <c r="G907" i="21"/>
  <c r="F907" i="21"/>
  <c r="E907" i="21"/>
  <c r="D907" i="21"/>
  <c r="B907" i="21"/>
  <c r="A907" i="21"/>
  <c r="Y906" i="21"/>
  <c r="X906" i="21"/>
  <c r="W906" i="21"/>
  <c r="V906" i="21"/>
  <c r="T906" i="21"/>
  <c r="S906" i="21"/>
  <c r="R906" i="21"/>
  <c r="Q906" i="21"/>
  <c r="P906" i="21"/>
  <c r="N906" i="21"/>
  <c r="M906" i="21"/>
  <c r="L906" i="21"/>
  <c r="K906" i="21"/>
  <c r="J906" i="21"/>
  <c r="I906" i="21"/>
  <c r="H906" i="21"/>
  <c r="G906" i="21"/>
  <c r="F906" i="21"/>
  <c r="E906" i="21"/>
  <c r="D906" i="21"/>
  <c r="B906" i="21"/>
  <c r="A906" i="21"/>
  <c r="Y905" i="21"/>
  <c r="X905" i="21"/>
  <c r="W905" i="21"/>
  <c r="V905" i="21"/>
  <c r="T905" i="21"/>
  <c r="S905" i="21"/>
  <c r="R905" i="21"/>
  <c r="Q905" i="21"/>
  <c r="P905" i="21"/>
  <c r="N905" i="21"/>
  <c r="M905" i="21"/>
  <c r="L905" i="21"/>
  <c r="K905" i="21"/>
  <c r="J905" i="21"/>
  <c r="I905" i="21"/>
  <c r="H905" i="21"/>
  <c r="G905" i="21"/>
  <c r="F905" i="21"/>
  <c r="E905" i="21"/>
  <c r="D905" i="21"/>
  <c r="B905" i="21"/>
  <c r="A905" i="21"/>
  <c r="Y904" i="21"/>
  <c r="X904" i="21"/>
  <c r="W904" i="21"/>
  <c r="V904" i="21"/>
  <c r="T904" i="21"/>
  <c r="S904" i="21"/>
  <c r="R904" i="21"/>
  <c r="Q904" i="21"/>
  <c r="P904" i="21"/>
  <c r="N904" i="21"/>
  <c r="M904" i="21"/>
  <c r="L904" i="21"/>
  <c r="K904" i="21"/>
  <c r="J904" i="21"/>
  <c r="I904" i="21"/>
  <c r="H904" i="21"/>
  <c r="G904" i="21"/>
  <c r="F904" i="21"/>
  <c r="E904" i="21"/>
  <c r="D904" i="21"/>
  <c r="B904" i="21"/>
  <c r="A904" i="21"/>
  <c r="Y903" i="21"/>
  <c r="X903" i="21"/>
  <c r="W903" i="21"/>
  <c r="V903" i="21"/>
  <c r="T903" i="21"/>
  <c r="S903" i="21"/>
  <c r="R903" i="21"/>
  <c r="Q903" i="21"/>
  <c r="P903" i="21"/>
  <c r="N903" i="21"/>
  <c r="M903" i="21"/>
  <c r="L903" i="21"/>
  <c r="K903" i="21"/>
  <c r="J903" i="21"/>
  <c r="I903" i="21"/>
  <c r="H903" i="21"/>
  <c r="G903" i="21"/>
  <c r="F903" i="21"/>
  <c r="E903" i="21"/>
  <c r="D903" i="21"/>
  <c r="B903" i="21"/>
  <c r="A903" i="21"/>
  <c r="Y902" i="21"/>
  <c r="X902" i="21"/>
  <c r="W902" i="21"/>
  <c r="V902" i="21"/>
  <c r="T902" i="21"/>
  <c r="S902" i="21"/>
  <c r="R902" i="21"/>
  <c r="Q902" i="21"/>
  <c r="P902" i="21"/>
  <c r="N902" i="21"/>
  <c r="M902" i="21"/>
  <c r="L902" i="21"/>
  <c r="K902" i="21"/>
  <c r="J902" i="21"/>
  <c r="I902" i="21"/>
  <c r="H902" i="21"/>
  <c r="G902" i="21"/>
  <c r="F902" i="21"/>
  <c r="E902" i="21"/>
  <c r="D902" i="21"/>
  <c r="B902" i="21"/>
  <c r="A902" i="21"/>
  <c r="Y901" i="21"/>
  <c r="X901" i="21"/>
  <c r="W901" i="21"/>
  <c r="V901" i="21"/>
  <c r="T901" i="21"/>
  <c r="S901" i="21"/>
  <c r="R901" i="21"/>
  <c r="Q901" i="21"/>
  <c r="P901" i="21"/>
  <c r="N901" i="21"/>
  <c r="M901" i="21"/>
  <c r="L901" i="21"/>
  <c r="K901" i="21"/>
  <c r="J901" i="21"/>
  <c r="I901" i="21"/>
  <c r="H901" i="21"/>
  <c r="G901" i="21"/>
  <c r="F901" i="21"/>
  <c r="E901" i="21"/>
  <c r="D901" i="21"/>
  <c r="B901" i="21"/>
  <c r="A901" i="21"/>
  <c r="Y900" i="21"/>
  <c r="X900" i="21"/>
  <c r="W900" i="21"/>
  <c r="V900" i="21"/>
  <c r="T900" i="21"/>
  <c r="S900" i="21"/>
  <c r="R900" i="21"/>
  <c r="Q900" i="21"/>
  <c r="P900" i="21"/>
  <c r="N900" i="21"/>
  <c r="M900" i="21"/>
  <c r="L900" i="21"/>
  <c r="K900" i="21"/>
  <c r="J900" i="21"/>
  <c r="I900" i="21"/>
  <c r="H900" i="21"/>
  <c r="G900" i="21"/>
  <c r="F900" i="21"/>
  <c r="E900" i="21"/>
  <c r="D900" i="21"/>
  <c r="B900" i="21"/>
  <c r="A900" i="21"/>
  <c r="Y899" i="21"/>
  <c r="X899" i="21"/>
  <c r="W899" i="21"/>
  <c r="V899" i="21"/>
  <c r="T899" i="21"/>
  <c r="S899" i="21"/>
  <c r="R899" i="21"/>
  <c r="Q899" i="21"/>
  <c r="P899" i="21"/>
  <c r="N899" i="21"/>
  <c r="M899" i="21"/>
  <c r="L899" i="21"/>
  <c r="K899" i="21"/>
  <c r="J899" i="21"/>
  <c r="I899" i="21"/>
  <c r="H899" i="21"/>
  <c r="G899" i="21"/>
  <c r="F899" i="21"/>
  <c r="E899" i="21"/>
  <c r="D899" i="21"/>
  <c r="B899" i="21"/>
  <c r="A899" i="21"/>
  <c r="Y898" i="21"/>
  <c r="X898" i="21"/>
  <c r="W898" i="21"/>
  <c r="V898" i="21"/>
  <c r="T898" i="21"/>
  <c r="S898" i="21"/>
  <c r="R898" i="21"/>
  <c r="Q898" i="21"/>
  <c r="P898" i="21"/>
  <c r="N898" i="21"/>
  <c r="M898" i="21"/>
  <c r="L898" i="21"/>
  <c r="K898" i="21"/>
  <c r="J898" i="21"/>
  <c r="I898" i="21"/>
  <c r="H898" i="21"/>
  <c r="G898" i="21"/>
  <c r="F898" i="21"/>
  <c r="E898" i="21"/>
  <c r="D898" i="21"/>
  <c r="B898" i="21"/>
  <c r="A898" i="21"/>
  <c r="Y897" i="21"/>
  <c r="X897" i="21"/>
  <c r="W897" i="21"/>
  <c r="V897" i="21"/>
  <c r="T897" i="21"/>
  <c r="S897" i="21"/>
  <c r="R897" i="21"/>
  <c r="Q897" i="21"/>
  <c r="P897" i="21"/>
  <c r="N897" i="21"/>
  <c r="M897" i="21"/>
  <c r="L897" i="21"/>
  <c r="K897" i="21"/>
  <c r="J897" i="21"/>
  <c r="I897" i="21"/>
  <c r="H897" i="21"/>
  <c r="G897" i="21"/>
  <c r="F897" i="21"/>
  <c r="E897" i="21"/>
  <c r="D897" i="21"/>
  <c r="B897" i="21"/>
  <c r="A897" i="21"/>
  <c r="Y896" i="21"/>
  <c r="X896" i="21"/>
  <c r="W896" i="21"/>
  <c r="V896" i="21"/>
  <c r="T896" i="21"/>
  <c r="S896" i="21"/>
  <c r="R896" i="21"/>
  <c r="Q896" i="21"/>
  <c r="P896" i="21"/>
  <c r="N896" i="21"/>
  <c r="M896" i="21"/>
  <c r="L896" i="21"/>
  <c r="K896" i="21"/>
  <c r="J896" i="21"/>
  <c r="I896" i="21"/>
  <c r="H896" i="21"/>
  <c r="G896" i="21"/>
  <c r="F896" i="21"/>
  <c r="E896" i="21"/>
  <c r="D896" i="21"/>
  <c r="B896" i="21"/>
  <c r="A896" i="21"/>
  <c r="Y895" i="21"/>
  <c r="X895" i="21"/>
  <c r="W895" i="21"/>
  <c r="V895" i="21"/>
  <c r="T895" i="21"/>
  <c r="S895" i="21"/>
  <c r="R895" i="21"/>
  <c r="Q895" i="21"/>
  <c r="P895" i="21"/>
  <c r="N895" i="21"/>
  <c r="M895" i="21"/>
  <c r="L895" i="21"/>
  <c r="K895" i="21"/>
  <c r="J895" i="21"/>
  <c r="I895" i="21"/>
  <c r="H895" i="21"/>
  <c r="G895" i="21"/>
  <c r="F895" i="21"/>
  <c r="E895" i="21"/>
  <c r="D895" i="21"/>
  <c r="B895" i="21"/>
  <c r="A895" i="21"/>
  <c r="Y894" i="21"/>
  <c r="X894" i="21"/>
  <c r="W894" i="21"/>
  <c r="V894" i="21"/>
  <c r="T894" i="21"/>
  <c r="S894" i="21"/>
  <c r="R894" i="21"/>
  <c r="Q894" i="21"/>
  <c r="P894" i="21"/>
  <c r="N894" i="21"/>
  <c r="M894" i="21"/>
  <c r="L894" i="21"/>
  <c r="K894" i="21"/>
  <c r="J894" i="21"/>
  <c r="I894" i="21"/>
  <c r="H894" i="21"/>
  <c r="G894" i="21"/>
  <c r="F894" i="21"/>
  <c r="E894" i="21"/>
  <c r="D894" i="21"/>
  <c r="B894" i="21"/>
  <c r="A894" i="21"/>
  <c r="Y893" i="21"/>
  <c r="X893" i="21"/>
  <c r="W893" i="21"/>
  <c r="V893" i="21"/>
  <c r="T893" i="21"/>
  <c r="S893" i="21"/>
  <c r="R893" i="21"/>
  <c r="Q893" i="21"/>
  <c r="P893" i="21"/>
  <c r="N893" i="21"/>
  <c r="M893" i="21"/>
  <c r="L893" i="21"/>
  <c r="K893" i="21"/>
  <c r="J893" i="21"/>
  <c r="I893" i="21"/>
  <c r="H893" i="21"/>
  <c r="G893" i="21"/>
  <c r="F893" i="21"/>
  <c r="E893" i="21"/>
  <c r="D893" i="21"/>
  <c r="B893" i="21"/>
  <c r="A893" i="21"/>
  <c r="Y892" i="21"/>
  <c r="X892" i="21"/>
  <c r="W892" i="21"/>
  <c r="V892" i="21"/>
  <c r="T892" i="21"/>
  <c r="S892" i="21"/>
  <c r="R892" i="21"/>
  <c r="Q892" i="21"/>
  <c r="P892" i="21"/>
  <c r="N892" i="21"/>
  <c r="M892" i="21"/>
  <c r="L892" i="21"/>
  <c r="K892" i="21"/>
  <c r="J892" i="21"/>
  <c r="I892" i="21"/>
  <c r="H892" i="21"/>
  <c r="G892" i="21"/>
  <c r="F892" i="21"/>
  <c r="E892" i="21"/>
  <c r="D892" i="21"/>
  <c r="B892" i="21"/>
  <c r="A892" i="21"/>
  <c r="Y891" i="21"/>
  <c r="X891" i="21"/>
  <c r="W891" i="21"/>
  <c r="V891" i="21"/>
  <c r="T891" i="21"/>
  <c r="S891" i="21"/>
  <c r="R891" i="21"/>
  <c r="Q891" i="21"/>
  <c r="P891" i="21"/>
  <c r="N891" i="21"/>
  <c r="M891" i="21"/>
  <c r="L891" i="21"/>
  <c r="K891" i="21"/>
  <c r="J891" i="21"/>
  <c r="I891" i="21"/>
  <c r="H891" i="21"/>
  <c r="G891" i="21"/>
  <c r="F891" i="21"/>
  <c r="E891" i="21"/>
  <c r="D891" i="21"/>
  <c r="B891" i="21"/>
  <c r="A891" i="21"/>
  <c r="Y890" i="21"/>
  <c r="X890" i="21"/>
  <c r="W890" i="21"/>
  <c r="V890" i="21"/>
  <c r="T890" i="21"/>
  <c r="S890" i="21"/>
  <c r="R890" i="21"/>
  <c r="Q890" i="21"/>
  <c r="P890" i="21"/>
  <c r="N890" i="21"/>
  <c r="M890" i="21"/>
  <c r="L890" i="21"/>
  <c r="K890" i="21"/>
  <c r="J890" i="21"/>
  <c r="I890" i="21"/>
  <c r="H890" i="21"/>
  <c r="G890" i="21"/>
  <c r="F890" i="21"/>
  <c r="E890" i="21"/>
  <c r="D890" i="21"/>
  <c r="B890" i="21"/>
  <c r="A890" i="21"/>
  <c r="Y889" i="21"/>
  <c r="X889" i="21"/>
  <c r="W889" i="21"/>
  <c r="V889" i="21"/>
  <c r="T889" i="21"/>
  <c r="S889" i="21"/>
  <c r="R889" i="21"/>
  <c r="Q889" i="21"/>
  <c r="P889" i="21"/>
  <c r="N889" i="21"/>
  <c r="M889" i="21"/>
  <c r="L889" i="21"/>
  <c r="K889" i="21"/>
  <c r="J889" i="21"/>
  <c r="I889" i="21"/>
  <c r="H889" i="21"/>
  <c r="G889" i="21"/>
  <c r="F889" i="21"/>
  <c r="E889" i="21"/>
  <c r="D889" i="21"/>
  <c r="B889" i="21"/>
  <c r="A889" i="21"/>
  <c r="Y888" i="21"/>
  <c r="X888" i="21"/>
  <c r="W888" i="21"/>
  <c r="V888" i="21"/>
  <c r="T888" i="21"/>
  <c r="S888" i="21"/>
  <c r="R888" i="21"/>
  <c r="Q888" i="21"/>
  <c r="P888" i="21"/>
  <c r="N888" i="21"/>
  <c r="M888" i="21"/>
  <c r="L888" i="21"/>
  <c r="K888" i="21"/>
  <c r="J888" i="21"/>
  <c r="I888" i="21"/>
  <c r="H888" i="21"/>
  <c r="G888" i="21"/>
  <c r="F888" i="21"/>
  <c r="E888" i="21"/>
  <c r="D888" i="21"/>
  <c r="B888" i="21"/>
  <c r="A888" i="21"/>
  <c r="Y887" i="21"/>
  <c r="X887" i="21"/>
  <c r="W887" i="21"/>
  <c r="V887" i="21"/>
  <c r="T887" i="21"/>
  <c r="S887" i="21"/>
  <c r="R887" i="21"/>
  <c r="Q887" i="21"/>
  <c r="P887" i="21"/>
  <c r="N887" i="21"/>
  <c r="M887" i="21"/>
  <c r="L887" i="21"/>
  <c r="K887" i="21"/>
  <c r="J887" i="21"/>
  <c r="I887" i="21"/>
  <c r="H887" i="21"/>
  <c r="G887" i="21"/>
  <c r="F887" i="21"/>
  <c r="E887" i="21"/>
  <c r="D887" i="21"/>
  <c r="B887" i="21"/>
  <c r="A887" i="21"/>
  <c r="Y886" i="21"/>
  <c r="X886" i="21"/>
  <c r="W886" i="21"/>
  <c r="V886" i="21"/>
  <c r="T886" i="21"/>
  <c r="S886" i="21"/>
  <c r="R886" i="21"/>
  <c r="Q886" i="21"/>
  <c r="P886" i="21"/>
  <c r="N886" i="21"/>
  <c r="M886" i="21"/>
  <c r="L886" i="21"/>
  <c r="K886" i="21"/>
  <c r="J886" i="21"/>
  <c r="I886" i="21"/>
  <c r="H886" i="21"/>
  <c r="G886" i="21"/>
  <c r="F886" i="21"/>
  <c r="E886" i="21"/>
  <c r="D886" i="21"/>
  <c r="B886" i="21"/>
  <c r="A886" i="21"/>
  <c r="Y885" i="21"/>
  <c r="X885" i="21"/>
  <c r="W885" i="21"/>
  <c r="V885" i="21"/>
  <c r="T885" i="21"/>
  <c r="S885" i="21"/>
  <c r="R885" i="21"/>
  <c r="Q885" i="21"/>
  <c r="P885" i="21"/>
  <c r="N885" i="21"/>
  <c r="M885" i="21"/>
  <c r="L885" i="21"/>
  <c r="K885" i="21"/>
  <c r="J885" i="21"/>
  <c r="I885" i="21"/>
  <c r="H885" i="21"/>
  <c r="G885" i="21"/>
  <c r="F885" i="21"/>
  <c r="E885" i="21"/>
  <c r="D885" i="21"/>
  <c r="B885" i="21"/>
  <c r="A885" i="21"/>
  <c r="Y884" i="21"/>
  <c r="X884" i="21"/>
  <c r="W884" i="21"/>
  <c r="V884" i="21"/>
  <c r="T884" i="21"/>
  <c r="S884" i="21"/>
  <c r="R884" i="21"/>
  <c r="Q884" i="21"/>
  <c r="P884" i="21"/>
  <c r="N884" i="21"/>
  <c r="M884" i="21"/>
  <c r="L884" i="21"/>
  <c r="K884" i="21"/>
  <c r="J884" i="21"/>
  <c r="I884" i="21"/>
  <c r="H884" i="21"/>
  <c r="G884" i="21"/>
  <c r="F884" i="21"/>
  <c r="E884" i="21"/>
  <c r="D884" i="21"/>
  <c r="B884" i="21"/>
  <c r="A884" i="21"/>
  <c r="Y883" i="21"/>
  <c r="X883" i="21"/>
  <c r="W883" i="21"/>
  <c r="V883" i="21"/>
  <c r="T883" i="21"/>
  <c r="S883" i="21"/>
  <c r="R883" i="21"/>
  <c r="Q883" i="21"/>
  <c r="P883" i="21"/>
  <c r="N883" i="21"/>
  <c r="M883" i="21"/>
  <c r="L883" i="21"/>
  <c r="K883" i="21"/>
  <c r="J883" i="21"/>
  <c r="I883" i="21"/>
  <c r="H883" i="21"/>
  <c r="G883" i="21"/>
  <c r="F883" i="21"/>
  <c r="E883" i="21"/>
  <c r="D883" i="21"/>
  <c r="B883" i="21"/>
  <c r="A883" i="21"/>
  <c r="Y882" i="21"/>
  <c r="X882" i="21"/>
  <c r="W882" i="21"/>
  <c r="V882" i="21"/>
  <c r="T882" i="21"/>
  <c r="S882" i="21"/>
  <c r="R882" i="21"/>
  <c r="Q882" i="21"/>
  <c r="P882" i="21"/>
  <c r="N882" i="21"/>
  <c r="M882" i="21"/>
  <c r="L882" i="21"/>
  <c r="K882" i="21"/>
  <c r="J882" i="21"/>
  <c r="I882" i="21"/>
  <c r="H882" i="21"/>
  <c r="G882" i="21"/>
  <c r="F882" i="21"/>
  <c r="E882" i="21"/>
  <c r="D882" i="21"/>
  <c r="B882" i="21"/>
  <c r="A882" i="21"/>
  <c r="Y881" i="21"/>
  <c r="X881" i="21"/>
  <c r="W881" i="21"/>
  <c r="V881" i="21"/>
  <c r="T881" i="21"/>
  <c r="S881" i="21"/>
  <c r="R881" i="21"/>
  <c r="Q881" i="21"/>
  <c r="P881" i="21"/>
  <c r="N881" i="21"/>
  <c r="M881" i="21"/>
  <c r="L881" i="21"/>
  <c r="K881" i="21"/>
  <c r="J881" i="21"/>
  <c r="I881" i="21"/>
  <c r="H881" i="21"/>
  <c r="G881" i="21"/>
  <c r="F881" i="21"/>
  <c r="E881" i="21"/>
  <c r="D881" i="21"/>
  <c r="B881" i="21"/>
  <c r="A881" i="21"/>
  <c r="Y880" i="21"/>
  <c r="X880" i="21"/>
  <c r="W880" i="21"/>
  <c r="V880" i="21"/>
  <c r="T880" i="21"/>
  <c r="S880" i="21"/>
  <c r="R880" i="21"/>
  <c r="Q880" i="21"/>
  <c r="P880" i="21"/>
  <c r="N880" i="21"/>
  <c r="M880" i="21"/>
  <c r="L880" i="21"/>
  <c r="K880" i="21"/>
  <c r="J880" i="21"/>
  <c r="I880" i="21"/>
  <c r="H880" i="21"/>
  <c r="G880" i="21"/>
  <c r="F880" i="21"/>
  <c r="E880" i="21"/>
  <c r="D880" i="21"/>
  <c r="B880" i="21"/>
  <c r="A880" i="21"/>
  <c r="Y879" i="21"/>
  <c r="X879" i="21"/>
  <c r="W879" i="21"/>
  <c r="V879" i="21"/>
  <c r="T879" i="21"/>
  <c r="S879" i="21"/>
  <c r="R879" i="21"/>
  <c r="Q879" i="21"/>
  <c r="P879" i="21"/>
  <c r="N879" i="21"/>
  <c r="M879" i="21"/>
  <c r="L879" i="21"/>
  <c r="K879" i="21"/>
  <c r="J879" i="21"/>
  <c r="I879" i="21"/>
  <c r="H879" i="21"/>
  <c r="G879" i="21"/>
  <c r="F879" i="21"/>
  <c r="E879" i="21"/>
  <c r="D879" i="21"/>
  <c r="B879" i="21"/>
  <c r="A879" i="21"/>
  <c r="Y878" i="21"/>
  <c r="X878" i="21"/>
  <c r="W878" i="21"/>
  <c r="V878" i="21"/>
  <c r="T878" i="21"/>
  <c r="S878" i="21"/>
  <c r="R878" i="21"/>
  <c r="Q878" i="21"/>
  <c r="P878" i="21"/>
  <c r="N878" i="21"/>
  <c r="M878" i="21"/>
  <c r="L878" i="21"/>
  <c r="K878" i="21"/>
  <c r="J878" i="21"/>
  <c r="I878" i="21"/>
  <c r="H878" i="21"/>
  <c r="G878" i="21"/>
  <c r="F878" i="21"/>
  <c r="E878" i="21"/>
  <c r="D878" i="21"/>
  <c r="B878" i="21"/>
  <c r="A878" i="21"/>
  <c r="Y877" i="21"/>
  <c r="X877" i="21"/>
  <c r="W877" i="21"/>
  <c r="V877" i="21"/>
  <c r="T877" i="21"/>
  <c r="S877" i="21"/>
  <c r="R877" i="21"/>
  <c r="Q877" i="21"/>
  <c r="P877" i="21"/>
  <c r="N877" i="21"/>
  <c r="M877" i="21"/>
  <c r="L877" i="21"/>
  <c r="K877" i="21"/>
  <c r="J877" i="21"/>
  <c r="I877" i="21"/>
  <c r="H877" i="21"/>
  <c r="G877" i="21"/>
  <c r="F877" i="21"/>
  <c r="E877" i="21"/>
  <c r="D877" i="21"/>
  <c r="B877" i="21"/>
  <c r="A877" i="21"/>
  <c r="Y876" i="21"/>
  <c r="X876" i="21"/>
  <c r="W876" i="21"/>
  <c r="V876" i="21"/>
  <c r="T876" i="21"/>
  <c r="S876" i="21"/>
  <c r="R876" i="21"/>
  <c r="Q876" i="21"/>
  <c r="P876" i="21"/>
  <c r="N876" i="21"/>
  <c r="M876" i="21"/>
  <c r="L876" i="21"/>
  <c r="K876" i="21"/>
  <c r="J876" i="21"/>
  <c r="I876" i="21"/>
  <c r="H876" i="21"/>
  <c r="G876" i="21"/>
  <c r="F876" i="21"/>
  <c r="E876" i="21"/>
  <c r="D876" i="21"/>
  <c r="B876" i="21"/>
  <c r="A876" i="21"/>
  <c r="Y875" i="21"/>
  <c r="X875" i="21"/>
  <c r="W875" i="21"/>
  <c r="V875" i="21"/>
  <c r="T875" i="21"/>
  <c r="S875" i="21"/>
  <c r="R875" i="21"/>
  <c r="Q875" i="21"/>
  <c r="P875" i="21"/>
  <c r="N875" i="21"/>
  <c r="M875" i="21"/>
  <c r="L875" i="21"/>
  <c r="K875" i="21"/>
  <c r="J875" i="21"/>
  <c r="I875" i="21"/>
  <c r="H875" i="21"/>
  <c r="G875" i="21"/>
  <c r="F875" i="21"/>
  <c r="E875" i="21"/>
  <c r="D875" i="21"/>
  <c r="B875" i="21"/>
  <c r="A875" i="21"/>
  <c r="Y874" i="21"/>
  <c r="X874" i="21"/>
  <c r="W874" i="21"/>
  <c r="V874" i="21"/>
  <c r="T874" i="21"/>
  <c r="S874" i="21"/>
  <c r="R874" i="21"/>
  <c r="Q874" i="21"/>
  <c r="P874" i="21"/>
  <c r="N874" i="21"/>
  <c r="M874" i="21"/>
  <c r="L874" i="21"/>
  <c r="K874" i="21"/>
  <c r="J874" i="21"/>
  <c r="I874" i="21"/>
  <c r="H874" i="21"/>
  <c r="G874" i="21"/>
  <c r="F874" i="21"/>
  <c r="E874" i="21"/>
  <c r="D874" i="21"/>
  <c r="B874" i="21"/>
  <c r="A874" i="21"/>
  <c r="Y873" i="21"/>
  <c r="X873" i="21"/>
  <c r="W873" i="21"/>
  <c r="V873" i="21"/>
  <c r="T873" i="21"/>
  <c r="S873" i="21"/>
  <c r="R873" i="21"/>
  <c r="Q873" i="21"/>
  <c r="P873" i="21"/>
  <c r="N873" i="21"/>
  <c r="M873" i="21"/>
  <c r="L873" i="21"/>
  <c r="K873" i="21"/>
  <c r="J873" i="21"/>
  <c r="I873" i="21"/>
  <c r="H873" i="21"/>
  <c r="G873" i="21"/>
  <c r="F873" i="21"/>
  <c r="E873" i="21"/>
  <c r="D873" i="21"/>
  <c r="B873" i="21"/>
  <c r="A873" i="21"/>
  <c r="Y872" i="21"/>
  <c r="X872" i="21"/>
  <c r="W872" i="21"/>
  <c r="V872" i="21"/>
  <c r="T872" i="21"/>
  <c r="S872" i="21"/>
  <c r="R872" i="21"/>
  <c r="Q872" i="21"/>
  <c r="P872" i="21"/>
  <c r="N872" i="21"/>
  <c r="M872" i="21"/>
  <c r="L872" i="21"/>
  <c r="K872" i="21"/>
  <c r="J872" i="21"/>
  <c r="I872" i="21"/>
  <c r="H872" i="21"/>
  <c r="G872" i="21"/>
  <c r="F872" i="21"/>
  <c r="E872" i="21"/>
  <c r="D872" i="21"/>
  <c r="B872" i="21"/>
  <c r="A872" i="21"/>
  <c r="Y871" i="21"/>
  <c r="X871" i="21"/>
  <c r="W871" i="21"/>
  <c r="V871" i="21"/>
  <c r="T871" i="21"/>
  <c r="S871" i="21"/>
  <c r="R871" i="21"/>
  <c r="Q871" i="21"/>
  <c r="P871" i="21"/>
  <c r="N871" i="21"/>
  <c r="M871" i="21"/>
  <c r="L871" i="21"/>
  <c r="K871" i="21"/>
  <c r="J871" i="21"/>
  <c r="I871" i="21"/>
  <c r="H871" i="21"/>
  <c r="G871" i="21"/>
  <c r="F871" i="21"/>
  <c r="E871" i="21"/>
  <c r="D871" i="21"/>
  <c r="B871" i="21"/>
  <c r="A871" i="21"/>
  <c r="Y870" i="21"/>
  <c r="X870" i="21"/>
  <c r="W870" i="21"/>
  <c r="V870" i="21"/>
  <c r="T870" i="21"/>
  <c r="S870" i="21"/>
  <c r="R870" i="21"/>
  <c r="Q870" i="21"/>
  <c r="P870" i="21"/>
  <c r="N870" i="21"/>
  <c r="M870" i="21"/>
  <c r="L870" i="21"/>
  <c r="K870" i="21"/>
  <c r="J870" i="21"/>
  <c r="I870" i="21"/>
  <c r="H870" i="21"/>
  <c r="G870" i="21"/>
  <c r="F870" i="21"/>
  <c r="E870" i="21"/>
  <c r="D870" i="21"/>
  <c r="B870" i="21"/>
  <c r="A870" i="21"/>
  <c r="Y869" i="21"/>
  <c r="X869" i="21"/>
  <c r="W869" i="21"/>
  <c r="V869" i="21"/>
  <c r="T869" i="21"/>
  <c r="S869" i="21"/>
  <c r="R869" i="21"/>
  <c r="Q869" i="21"/>
  <c r="P869" i="21"/>
  <c r="N869" i="21"/>
  <c r="M869" i="21"/>
  <c r="L869" i="21"/>
  <c r="K869" i="21"/>
  <c r="J869" i="21"/>
  <c r="I869" i="21"/>
  <c r="H869" i="21"/>
  <c r="G869" i="21"/>
  <c r="F869" i="21"/>
  <c r="E869" i="21"/>
  <c r="D869" i="21"/>
  <c r="B869" i="21"/>
  <c r="A869" i="21"/>
  <c r="Y868" i="21"/>
  <c r="X868" i="21"/>
  <c r="W868" i="21"/>
  <c r="V868" i="21"/>
  <c r="T868" i="21"/>
  <c r="S868" i="21"/>
  <c r="R868" i="21"/>
  <c r="Q868" i="21"/>
  <c r="P868" i="21"/>
  <c r="N868" i="21"/>
  <c r="M868" i="21"/>
  <c r="L868" i="21"/>
  <c r="K868" i="21"/>
  <c r="J868" i="21"/>
  <c r="I868" i="21"/>
  <c r="H868" i="21"/>
  <c r="G868" i="21"/>
  <c r="F868" i="21"/>
  <c r="E868" i="21"/>
  <c r="D868" i="21"/>
  <c r="B868" i="21"/>
  <c r="A868" i="21"/>
  <c r="Y867" i="21"/>
  <c r="X867" i="21"/>
  <c r="W867" i="21"/>
  <c r="V867" i="21"/>
  <c r="T867" i="21"/>
  <c r="S867" i="21"/>
  <c r="R867" i="21"/>
  <c r="Q867" i="21"/>
  <c r="P867" i="21"/>
  <c r="N867" i="21"/>
  <c r="M867" i="21"/>
  <c r="L867" i="21"/>
  <c r="K867" i="21"/>
  <c r="J867" i="21"/>
  <c r="I867" i="21"/>
  <c r="H867" i="21"/>
  <c r="G867" i="21"/>
  <c r="F867" i="21"/>
  <c r="E867" i="21"/>
  <c r="D867" i="21"/>
  <c r="B867" i="21"/>
  <c r="A867" i="21"/>
  <c r="Y866" i="21"/>
  <c r="X866" i="21"/>
  <c r="W866" i="21"/>
  <c r="V866" i="21"/>
  <c r="T866" i="21"/>
  <c r="S866" i="21"/>
  <c r="R866" i="21"/>
  <c r="Q866" i="21"/>
  <c r="P866" i="21"/>
  <c r="N866" i="21"/>
  <c r="M866" i="21"/>
  <c r="L866" i="21"/>
  <c r="K866" i="21"/>
  <c r="J866" i="21"/>
  <c r="I866" i="21"/>
  <c r="H866" i="21"/>
  <c r="G866" i="21"/>
  <c r="F866" i="21"/>
  <c r="E866" i="21"/>
  <c r="D866" i="21"/>
  <c r="B866" i="21"/>
  <c r="A866" i="21"/>
  <c r="Y865" i="21"/>
  <c r="X865" i="21"/>
  <c r="W865" i="21"/>
  <c r="V865" i="21"/>
  <c r="T865" i="21"/>
  <c r="S865" i="21"/>
  <c r="R865" i="21"/>
  <c r="Q865" i="21"/>
  <c r="P865" i="21"/>
  <c r="N865" i="21"/>
  <c r="M865" i="21"/>
  <c r="L865" i="21"/>
  <c r="K865" i="21"/>
  <c r="J865" i="21"/>
  <c r="I865" i="21"/>
  <c r="H865" i="21"/>
  <c r="G865" i="21"/>
  <c r="F865" i="21"/>
  <c r="E865" i="21"/>
  <c r="D865" i="21"/>
  <c r="B865" i="21"/>
  <c r="A865" i="21"/>
  <c r="Y864" i="21"/>
  <c r="X864" i="21"/>
  <c r="W864" i="21"/>
  <c r="V864" i="21"/>
  <c r="T864" i="21"/>
  <c r="S864" i="21"/>
  <c r="R864" i="21"/>
  <c r="Q864" i="21"/>
  <c r="P864" i="21"/>
  <c r="N864" i="21"/>
  <c r="M864" i="21"/>
  <c r="L864" i="21"/>
  <c r="K864" i="21"/>
  <c r="J864" i="21"/>
  <c r="I864" i="21"/>
  <c r="H864" i="21"/>
  <c r="G864" i="21"/>
  <c r="F864" i="21"/>
  <c r="E864" i="21"/>
  <c r="D864" i="21"/>
  <c r="B864" i="21"/>
  <c r="A864" i="21"/>
  <c r="Y863" i="21"/>
  <c r="X863" i="21"/>
  <c r="W863" i="21"/>
  <c r="V863" i="21"/>
  <c r="T863" i="21"/>
  <c r="S863" i="21"/>
  <c r="R863" i="21"/>
  <c r="Q863" i="21"/>
  <c r="P863" i="21"/>
  <c r="N863" i="21"/>
  <c r="M863" i="21"/>
  <c r="L863" i="21"/>
  <c r="K863" i="21"/>
  <c r="J863" i="21"/>
  <c r="I863" i="21"/>
  <c r="H863" i="21"/>
  <c r="G863" i="21"/>
  <c r="F863" i="21"/>
  <c r="E863" i="21"/>
  <c r="D863" i="21"/>
  <c r="B863" i="21"/>
  <c r="A863" i="21"/>
  <c r="Y862" i="21"/>
  <c r="X862" i="21"/>
  <c r="W862" i="21"/>
  <c r="V862" i="21"/>
  <c r="T862" i="21"/>
  <c r="S862" i="21"/>
  <c r="R862" i="21"/>
  <c r="Q862" i="21"/>
  <c r="P862" i="21"/>
  <c r="N862" i="21"/>
  <c r="M862" i="21"/>
  <c r="L862" i="21"/>
  <c r="K862" i="21"/>
  <c r="J862" i="21"/>
  <c r="I862" i="21"/>
  <c r="H862" i="21"/>
  <c r="G862" i="21"/>
  <c r="F862" i="21"/>
  <c r="E862" i="21"/>
  <c r="D862" i="21"/>
  <c r="B862" i="21"/>
  <c r="A862" i="21"/>
  <c r="Y861" i="21"/>
  <c r="X861" i="21"/>
  <c r="W861" i="21"/>
  <c r="V861" i="21"/>
  <c r="T861" i="21"/>
  <c r="S861" i="21"/>
  <c r="R861" i="21"/>
  <c r="Q861" i="21"/>
  <c r="P861" i="21"/>
  <c r="N861" i="21"/>
  <c r="M861" i="21"/>
  <c r="L861" i="21"/>
  <c r="K861" i="21"/>
  <c r="J861" i="21"/>
  <c r="I861" i="21"/>
  <c r="H861" i="21"/>
  <c r="G861" i="21"/>
  <c r="F861" i="21"/>
  <c r="E861" i="21"/>
  <c r="D861" i="21"/>
  <c r="B861" i="21"/>
  <c r="A861" i="21"/>
  <c r="Y860" i="21"/>
  <c r="X860" i="21"/>
  <c r="W860" i="21"/>
  <c r="V860" i="21"/>
  <c r="T860" i="21"/>
  <c r="S860" i="21"/>
  <c r="R860" i="21"/>
  <c r="Q860" i="21"/>
  <c r="P860" i="21"/>
  <c r="N860" i="21"/>
  <c r="M860" i="21"/>
  <c r="L860" i="21"/>
  <c r="K860" i="21"/>
  <c r="J860" i="21"/>
  <c r="I860" i="21"/>
  <c r="H860" i="21"/>
  <c r="G860" i="21"/>
  <c r="F860" i="21"/>
  <c r="E860" i="21"/>
  <c r="D860" i="21"/>
  <c r="B860" i="21"/>
  <c r="A860" i="21"/>
  <c r="Y859" i="21"/>
  <c r="X859" i="21"/>
  <c r="W859" i="21"/>
  <c r="V859" i="21"/>
  <c r="T859" i="21"/>
  <c r="S859" i="21"/>
  <c r="R859" i="21"/>
  <c r="Q859" i="21"/>
  <c r="P859" i="21"/>
  <c r="N859" i="21"/>
  <c r="M859" i="21"/>
  <c r="L859" i="21"/>
  <c r="K859" i="21"/>
  <c r="J859" i="21"/>
  <c r="I859" i="21"/>
  <c r="H859" i="21"/>
  <c r="G859" i="21"/>
  <c r="F859" i="21"/>
  <c r="E859" i="21"/>
  <c r="D859" i="21"/>
  <c r="B859" i="21"/>
  <c r="A859" i="21"/>
  <c r="Y858" i="21"/>
  <c r="X858" i="21"/>
  <c r="W858" i="21"/>
  <c r="V858" i="21"/>
  <c r="T858" i="21"/>
  <c r="S858" i="21"/>
  <c r="R858" i="21"/>
  <c r="Q858" i="21"/>
  <c r="P858" i="21"/>
  <c r="N858" i="21"/>
  <c r="M858" i="21"/>
  <c r="L858" i="21"/>
  <c r="K858" i="21"/>
  <c r="J858" i="21"/>
  <c r="I858" i="21"/>
  <c r="H858" i="21"/>
  <c r="G858" i="21"/>
  <c r="F858" i="21"/>
  <c r="E858" i="21"/>
  <c r="D858" i="21"/>
  <c r="B858" i="21"/>
  <c r="A858" i="21"/>
  <c r="Y857" i="21"/>
  <c r="X857" i="21"/>
  <c r="W857" i="21"/>
  <c r="V857" i="21"/>
  <c r="T857" i="21"/>
  <c r="S857" i="21"/>
  <c r="R857" i="21"/>
  <c r="Q857" i="21"/>
  <c r="P857" i="21"/>
  <c r="N857" i="21"/>
  <c r="M857" i="21"/>
  <c r="L857" i="21"/>
  <c r="K857" i="21"/>
  <c r="J857" i="21"/>
  <c r="I857" i="21"/>
  <c r="H857" i="21"/>
  <c r="G857" i="21"/>
  <c r="F857" i="21"/>
  <c r="E857" i="21"/>
  <c r="D857" i="21"/>
  <c r="B857" i="21"/>
  <c r="A857" i="21"/>
  <c r="Y856" i="21"/>
  <c r="X856" i="21"/>
  <c r="W856" i="21"/>
  <c r="V856" i="21"/>
  <c r="T856" i="21"/>
  <c r="S856" i="21"/>
  <c r="R856" i="21"/>
  <c r="Q856" i="21"/>
  <c r="P856" i="21"/>
  <c r="N856" i="21"/>
  <c r="M856" i="21"/>
  <c r="L856" i="21"/>
  <c r="K856" i="21"/>
  <c r="J856" i="21"/>
  <c r="I856" i="21"/>
  <c r="H856" i="21"/>
  <c r="G856" i="21"/>
  <c r="F856" i="21"/>
  <c r="E856" i="21"/>
  <c r="D856" i="21"/>
  <c r="B856" i="21"/>
  <c r="A856" i="21"/>
  <c r="Y855" i="21"/>
  <c r="X855" i="21"/>
  <c r="W855" i="21"/>
  <c r="V855" i="21"/>
  <c r="T855" i="21"/>
  <c r="S855" i="21"/>
  <c r="R855" i="21"/>
  <c r="Q855" i="21"/>
  <c r="P855" i="21"/>
  <c r="N855" i="21"/>
  <c r="M855" i="21"/>
  <c r="L855" i="21"/>
  <c r="K855" i="21"/>
  <c r="J855" i="21"/>
  <c r="I855" i="21"/>
  <c r="H855" i="21"/>
  <c r="G855" i="21"/>
  <c r="F855" i="21"/>
  <c r="E855" i="21"/>
  <c r="D855" i="21"/>
  <c r="B855" i="21"/>
  <c r="A855" i="21"/>
  <c r="Y854" i="21"/>
  <c r="X854" i="21"/>
  <c r="W854" i="21"/>
  <c r="V854" i="21"/>
  <c r="T854" i="21"/>
  <c r="S854" i="21"/>
  <c r="R854" i="21"/>
  <c r="Q854" i="21"/>
  <c r="P854" i="21"/>
  <c r="N854" i="21"/>
  <c r="M854" i="21"/>
  <c r="L854" i="21"/>
  <c r="K854" i="21"/>
  <c r="J854" i="21"/>
  <c r="I854" i="21"/>
  <c r="H854" i="21"/>
  <c r="G854" i="21"/>
  <c r="F854" i="21"/>
  <c r="E854" i="21"/>
  <c r="D854" i="21"/>
  <c r="B854" i="21"/>
  <c r="A854" i="21"/>
  <c r="Y853" i="21"/>
  <c r="X853" i="21"/>
  <c r="W853" i="21"/>
  <c r="V853" i="21"/>
  <c r="T853" i="21"/>
  <c r="S853" i="21"/>
  <c r="R853" i="21"/>
  <c r="Q853" i="21"/>
  <c r="P853" i="21"/>
  <c r="N853" i="21"/>
  <c r="M853" i="21"/>
  <c r="L853" i="21"/>
  <c r="K853" i="21"/>
  <c r="J853" i="21"/>
  <c r="I853" i="21"/>
  <c r="H853" i="21"/>
  <c r="G853" i="21"/>
  <c r="F853" i="21"/>
  <c r="E853" i="21"/>
  <c r="D853" i="21"/>
  <c r="B853" i="21"/>
  <c r="A853" i="21"/>
  <c r="Y852" i="21"/>
  <c r="X852" i="21"/>
  <c r="W852" i="21"/>
  <c r="V852" i="21"/>
  <c r="T852" i="21"/>
  <c r="S852" i="21"/>
  <c r="R852" i="21"/>
  <c r="Q852" i="21"/>
  <c r="P852" i="21"/>
  <c r="N852" i="21"/>
  <c r="M852" i="21"/>
  <c r="L852" i="21"/>
  <c r="K852" i="21"/>
  <c r="J852" i="21"/>
  <c r="I852" i="21"/>
  <c r="H852" i="21"/>
  <c r="G852" i="21"/>
  <c r="F852" i="21"/>
  <c r="E852" i="21"/>
  <c r="D852" i="21"/>
  <c r="B852" i="21"/>
  <c r="A852" i="21"/>
  <c r="Y851" i="21"/>
  <c r="X851" i="21"/>
  <c r="W851" i="21"/>
  <c r="V851" i="21"/>
  <c r="T851" i="21"/>
  <c r="S851" i="21"/>
  <c r="R851" i="21"/>
  <c r="Q851" i="21"/>
  <c r="P851" i="21"/>
  <c r="N851" i="21"/>
  <c r="M851" i="21"/>
  <c r="L851" i="21"/>
  <c r="K851" i="21"/>
  <c r="J851" i="21"/>
  <c r="I851" i="21"/>
  <c r="H851" i="21"/>
  <c r="G851" i="21"/>
  <c r="F851" i="21"/>
  <c r="E851" i="21"/>
  <c r="D851" i="21"/>
  <c r="B851" i="21"/>
  <c r="A851" i="21"/>
  <c r="Y850" i="21"/>
  <c r="X850" i="21"/>
  <c r="W850" i="21"/>
  <c r="V850" i="21"/>
  <c r="T850" i="21"/>
  <c r="S850" i="21"/>
  <c r="R850" i="21"/>
  <c r="Q850" i="21"/>
  <c r="P850" i="21"/>
  <c r="N850" i="21"/>
  <c r="M850" i="21"/>
  <c r="L850" i="21"/>
  <c r="K850" i="21"/>
  <c r="J850" i="21"/>
  <c r="I850" i="21"/>
  <c r="H850" i="21"/>
  <c r="G850" i="21"/>
  <c r="F850" i="21"/>
  <c r="E850" i="21"/>
  <c r="D850" i="21"/>
  <c r="B850" i="21"/>
  <c r="A850" i="21"/>
  <c r="Y849" i="21"/>
  <c r="X849" i="21"/>
  <c r="W849" i="21"/>
  <c r="V849" i="21"/>
  <c r="T849" i="21"/>
  <c r="S849" i="21"/>
  <c r="R849" i="21"/>
  <c r="Q849" i="21"/>
  <c r="P849" i="21"/>
  <c r="N849" i="21"/>
  <c r="M849" i="21"/>
  <c r="L849" i="21"/>
  <c r="K849" i="21"/>
  <c r="J849" i="21"/>
  <c r="I849" i="21"/>
  <c r="H849" i="21"/>
  <c r="G849" i="21"/>
  <c r="F849" i="21"/>
  <c r="E849" i="21"/>
  <c r="D849" i="21"/>
  <c r="B849" i="21"/>
  <c r="A849" i="21"/>
  <c r="Y848" i="21"/>
  <c r="X848" i="21"/>
  <c r="W848" i="21"/>
  <c r="V848" i="21"/>
  <c r="T848" i="21"/>
  <c r="S848" i="21"/>
  <c r="R848" i="21"/>
  <c r="Q848" i="21"/>
  <c r="P848" i="21"/>
  <c r="N848" i="21"/>
  <c r="M848" i="21"/>
  <c r="L848" i="21"/>
  <c r="K848" i="21"/>
  <c r="J848" i="21"/>
  <c r="I848" i="21"/>
  <c r="H848" i="21"/>
  <c r="G848" i="21"/>
  <c r="F848" i="21"/>
  <c r="E848" i="21"/>
  <c r="D848" i="21"/>
  <c r="B848" i="21"/>
  <c r="A848" i="21"/>
  <c r="Y847" i="21"/>
  <c r="X847" i="21"/>
  <c r="W847" i="21"/>
  <c r="V847" i="21"/>
  <c r="T847" i="21"/>
  <c r="S847" i="21"/>
  <c r="R847" i="21"/>
  <c r="Q847" i="21"/>
  <c r="P847" i="21"/>
  <c r="N847" i="21"/>
  <c r="M847" i="21"/>
  <c r="L847" i="21"/>
  <c r="K847" i="21"/>
  <c r="J847" i="21"/>
  <c r="I847" i="21"/>
  <c r="H847" i="21"/>
  <c r="G847" i="21"/>
  <c r="F847" i="21"/>
  <c r="E847" i="21"/>
  <c r="D847" i="21"/>
  <c r="B847" i="21"/>
  <c r="A847" i="21"/>
  <c r="Y846" i="21"/>
  <c r="X846" i="21"/>
  <c r="W846" i="21"/>
  <c r="V846" i="21"/>
  <c r="T846" i="21"/>
  <c r="S846" i="21"/>
  <c r="R846" i="21"/>
  <c r="Q846" i="21"/>
  <c r="P846" i="21"/>
  <c r="N846" i="21"/>
  <c r="M846" i="21"/>
  <c r="L846" i="21"/>
  <c r="K846" i="21"/>
  <c r="J846" i="21"/>
  <c r="I846" i="21"/>
  <c r="H846" i="21"/>
  <c r="G846" i="21"/>
  <c r="F846" i="21"/>
  <c r="E846" i="21"/>
  <c r="D846" i="21"/>
  <c r="B846" i="21"/>
  <c r="A846" i="21"/>
  <c r="Y845" i="21"/>
  <c r="X845" i="21"/>
  <c r="W845" i="21"/>
  <c r="V845" i="21"/>
  <c r="T845" i="21"/>
  <c r="S845" i="21"/>
  <c r="R845" i="21"/>
  <c r="Q845" i="21"/>
  <c r="P845" i="21"/>
  <c r="N845" i="21"/>
  <c r="M845" i="21"/>
  <c r="L845" i="21"/>
  <c r="K845" i="21"/>
  <c r="J845" i="21"/>
  <c r="I845" i="21"/>
  <c r="H845" i="21"/>
  <c r="G845" i="21"/>
  <c r="F845" i="21"/>
  <c r="E845" i="21"/>
  <c r="D845" i="21"/>
  <c r="B845" i="21"/>
  <c r="A845" i="21"/>
  <c r="Y844" i="21"/>
  <c r="X844" i="21"/>
  <c r="W844" i="21"/>
  <c r="V844" i="21"/>
  <c r="T844" i="21"/>
  <c r="S844" i="21"/>
  <c r="R844" i="21"/>
  <c r="Q844" i="21"/>
  <c r="P844" i="21"/>
  <c r="N844" i="21"/>
  <c r="M844" i="21"/>
  <c r="L844" i="21"/>
  <c r="K844" i="21"/>
  <c r="J844" i="21"/>
  <c r="I844" i="21"/>
  <c r="H844" i="21"/>
  <c r="G844" i="21"/>
  <c r="F844" i="21"/>
  <c r="E844" i="21"/>
  <c r="D844" i="21"/>
  <c r="B844" i="21"/>
  <c r="A844" i="21"/>
  <c r="Y843" i="21"/>
  <c r="X843" i="21"/>
  <c r="W843" i="21"/>
  <c r="V843" i="21"/>
  <c r="T843" i="21"/>
  <c r="S843" i="21"/>
  <c r="R843" i="21"/>
  <c r="Q843" i="21"/>
  <c r="P843" i="21"/>
  <c r="N843" i="21"/>
  <c r="M843" i="21"/>
  <c r="L843" i="21"/>
  <c r="K843" i="21"/>
  <c r="J843" i="21"/>
  <c r="I843" i="21"/>
  <c r="H843" i="21"/>
  <c r="G843" i="21"/>
  <c r="F843" i="21"/>
  <c r="E843" i="21"/>
  <c r="D843" i="21"/>
  <c r="B843" i="21"/>
  <c r="A843" i="21"/>
  <c r="Y842" i="21"/>
  <c r="X842" i="21"/>
  <c r="W842" i="21"/>
  <c r="V842" i="21"/>
  <c r="T842" i="21"/>
  <c r="S842" i="21"/>
  <c r="R842" i="21"/>
  <c r="Q842" i="21"/>
  <c r="P842" i="21"/>
  <c r="N842" i="21"/>
  <c r="M842" i="21"/>
  <c r="L842" i="21"/>
  <c r="K842" i="21"/>
  <c r="J842" i="21"/>
  <c r="I842" i="21"/>
  <c r="H842" i="21"/>
  <c r="G842" i="21"/>
  <c r="F842" i="21"/>
  <c r="E842" i="21"/>
  <c r="D842" i="21"/>
  <c r="B842" i="21"/>
  <c r="A842" i="21"/>
  <c r="Y841" i="21"/>
  <c r="X841" i="21"/>
  <c r="W841" i="21"/>
  <c r="V841" i="21"/>
  <c r="T841" i="21"/>
  <c r="S841" i="21"/>
  <c r="R841" i="21"/>
  <c r="Q841" i="21"/>
  <c r="P841" i="21"/>
  <c r="N841" i="21"/>
  <c r="M841" i="21"/>
  <c r="L841" i="21"/>
  <c r="K841" i="21"/>
  <c r="J841" i="21"/>
  <c r="I841" i="21"/>
  <c r="H841" i="21"/>
  <c r="G841" i="21"/>
  <c r="F841" i="21"/>
  <c r="E841" i="21"/>
  <c r="D841" i="21"/>
  <c r="B841" i="21"/>
  <c r="A841" i="21"/>
  <c r="Y840" i="21"/>
  <c r="X840" i="21"/>
  <c r="W840" i="21"/>
  <c r="V840" i="21"/>
  <c r="T840" i="21"/>
  <c r="S840" i="21"/>
  <c r="R840" i="21"/>
  <c r="Q840" i="21"/>
  <c r="P840" i="21"/>
  <c r="N840" i="21"/>
  <c r="M840" i="21"/>
  <c r="L840" i="21"/>
  <c r="K840" i="21"/>
  <c r="J840" i="21"/>
  <c r="I840" i="21"/>
  <c r="H840" i="21"/>
  <c r="G840" i="21"/>
  <c r="F840" i="21"/>
  <c r="E840" i="21"/>
  <c r="D840" i="21"/>
  <c r="B840" i="21"/>
  <c r="A840" i="21"/>
  <c r="Y839" i="21"/>
  <c r="X839" i="21"/>
  <c r="W839" i="21"/>
  <c r="V839" i="21"/>
  <c r="T839" i="21"/>
  <c r="S839" i="21"/>
  <c r="R839" i="21"/>
  <c r="Q839" i="21"/>
  <c r="P839" i="21"/>
  <c r="N839" i="21"/>
  <c r="M839" i="21"/>
  <c r="L839" i="21"/>
  <c r="K839" i="21"/>
  <c r="J839" i="21"/>
  <c r="I839" i="21"/>
  <c r="H839" i="21"/>
  <c r="G839" i="21"/>
  <c r="F839" i="21"/>
  <c r="E839" i="21"/>
  <c r="D839" i="21"/>
  <c r="B839" i="21"/>
  <c r="A839" i="21"/>
  <c r="Y838" i="21"/>
  <c r="X838" i="21"/>
  <c r="W838" i="21"/>
  <c r="V838" i="21"/>
  <c r="T838" i="21"/>
  <c r="S838" i="21"/>
  <c r="R838" i="21"/>
  <c r="Q838" i="21"/>
  <c r="P838" i="21"/>
  <c r="N838" i="21"/>
  <c r="M838" i="21"/>
  <c r="L838" i="21"/>
  <c r="K838" i="21"/>
  <c r="J838" i="21"/>
  <c r="I838" i="21"/>
  <c r="H838" i="21"/>
  <c r="G838" i="21"/>
  <c r="F838" i="21"/>
  <c r="E838" i="21"/>
  <c r="D838" i="21"/>
  <c r="B838" i="21"/>
  <c r="A838" i="21"/>
  <c r="Y837" i="21"/>
  <c r="X837" i="21"/>
  <c r="W837" i="21"/>
  <c r="V837" i="21"/>
  <c r="T837" i="21"/>
  <c r="S837" i="21"/>
  <c r="R837" i="21"/>
  <c r="Q837" i="21"/>
  <c r="P837" i="21"/>
  <c r="N837" i="21"/>
  <c r="M837" i="21"/>
  <c r="L837" i="21"/>
  <c r="K837" i="21"/>
  <c r="J837" i="21"/>
  <c r="I837" i="21"/>
  <c r="H837" i="21"/>
  <c r="G837" i="21"/>
  <c r="F837" i="21"/>
  <c r="E837" i="21"/>
  <c r="D837" i="21"/>
  <c r="B837" i="21"/>
  <c r="A837" i="21"/>
  <c r="Y836" i="21"/>
  <c r="X836" i="21"/>
  <c r="W836" i="21"/>
  <c r="V836" i="21"/>
  <c r="T836" i="21"/>
  <c r="S836" i="21"/>
  <c r="R836" i="21"/>
  <c r="Q836" i="21"/>
  <c r="P836" i="21"/>
  <c r="N836" i="21"/>
  <c r="M836" i="21"/>
  <c r="L836" i="21"/>
  <c r="K836" i="21"/>
  <c r="J836" i="21"/>
  <c r="I836" i="21"/>
  <c r="H836" i="21"/>
  <c r="G836" i="21"/>
  <c r="F836" i="21"/>
  <c r="E836" i="21"/>
  <c r="D836" i="21"/>
  <c r="B836" i="21"/>
  <c r="A836" i="21"/>
  <c r="Y835" i="21"/>
  <c r="X835" i="21"/>
  <c r="W835" i="21"/>
  <c r="V835" i="21"/>
  <c r="T835" i="21"/>
  <c r="S835" i="21"/>
  <c r="R835" i="21"/>
  <c r="Q835" i="21"/>
  <c r="P835" i="21"/>
  <c r="N835" i="21"/>
  <c r="M835" i="21"/>
  <c r="L835" i="21"/>
  <c r="K835" i="21"/>
  <c r="J835" i="21"/>
  <c r="I835" i="21"/>
  <c r="H835" i="21"/>
  <c r="G835" i="21"/>
  <c r="F835" i="21"/>
  <c r="E835" i="21"/>
  <c r="D835" i="21"/>
  <c r="B835" i="21"/>
  <c r="A835" i="21"/>
  <c r="Y834" i="21"/>
  <c r="X834" i="21"/>
  <c r="W834" i="21"/>
  <c r="V834" i="21"/>
  <c r="T834" i="21"/>
  <c r="S834" i="21"/>
  <c r="R834" i="21"/>
  <c r="Q834" i="21"/>
  <c r="P834" i="21"/>
  <c r="N834" i="21"/>
  <c r="M834" i="21"/>
  <c r="L834" i="21"/>
  <c r="K834" i="21"/>
  <c r="J834" i="21"/>
  <c r="I834" i="21"/>
  <c r="H834" i="21"/>
  <c r="G834" i="21"/>
  <c r="F834" i="21"/>
  <c r="E834" i="21"/>
  <c r="D834" i="21"/>
  <c r="B834" i="21"/>
  <c r="A834" i="21"/>
  <c r="Y833" i="21"/>
  <c r="X833" i="21"/>
  <c r="W833" i="21"/>
  <c r="V833" i="21"/>
  <c r="T833" i="21"/>
  <c r="S833" i="21"/>
  <c r="R833" i="21"/>
  <c r="Q833" i="21"/>
  <c r="P833" i="21"/>
  <c r="N833" i="21"/>
  <c r="M833" i="21"/>
  <c r="L833" i="21"/>
  <c r="K833" i="21"/>
  <c r="J833" i="21"/>
  <c r="I833" i="21"/>
  <c r="H833" i="21"/>
  <c r="G833" i="21"/>
  <c r="F833" i="21"/>
  <c r="E833" i="21"/>
  <c r="D833" i="21"/>
  <c r="B833" i="21"/>
  <c r="A833" i="21"/>
  <c r="Y832" i="21"/>
  <c r="X832" i="21"/>
  <c r="W832" i="21"/>
  <c r="V832" i="21"/>
  <c r="T832" i="21"/>
  <c r="S832" i="21"/>
  <c r="R832" i="21"/>
  <c r="Q832" i="21"/>
  <c r="P832" i="21"/>
  <c r="N832" i="21"/>
  <c r="M832" i="21"/>
  <c r="L832" i="21"/>
  <c r="K832" i="21"/>
  <c r="J832" i="21"/>
  <c r="I832" i="21"/>
  <c r="H832" i="21"/>
  <c r="G832" i="21"/>
  <c r="F832" i="21"/>
  <c r="E832" i="21"/>
  <c r="D832" i="21"/>
  <c r="B832" i="21"/>
  <c r="A832" i="21"/>
  <c r="Y831" i="21"/>
  <c r="X831" i="21"/>
  <c r="W831" i="21"/>
  <c r="V831" i="21"/>
  <c r="T831" i="21"/>
  <c r="S831" i="21"/>
  <c r="R831" i="21"/>
  <c r="Q831" i="21"/>
  <c r="P831" i="21"/>
  <c r="N831" i="21"/>
  <c r="M831" i="21"/>
  <c r="L831" i="21"/>
  <c r="K831" i="21"/>
  <c r="J831" i="21"/>
  <c r="I831" i="21"/>
  <c r="H831" i="21"/>
  <c r="G831" i="21"/>
  <c r="F831" i="21"/>
  <c r="E831" i="21"/>
  <c r="D831" i="21"/>
  <c r="B831" i="21"/>
  <c r="A831" i="21"/>
  <c r="Y830" i="21"/>
  <c r="X830" i="21"/>
  <c r="W830" i="21"/>
  <c r="V830" i="21"/>
  <c r="T830" i="21"/>
  <c r="S830" i="21"/>
  <c r="R830" i="21"/>
  <c r="Q830" i="21"/>
  <c r="P830" i="21"/>
  <c r="N830" i="21"/>
  <c r="M830" i="21"/>
  <c r="L830" i="21"/>
  <c r="K830" i="21"/>
  <c r="J830" i="21"/>
  <c r="I830" i="21"/>
  <c r="H830" i="21"/>
  <c r="G830" i="21"/>
  <c r="F830" i="21"/>
  <c r="E830" i="21"/>
  <c r="D830" i="21"/>
  <c r="B830" i="21"/>
  <c r="A830" i="21"/>
  <c r="Y829" i="21"/>
  <c r="X829" i="21"/>
  <c r="W829" i="21"/>
  <c r="V829" i="21"/>
  <c r="T829" i="21"/>
  <c r="S829" i="21"/>
  <c r="R829" i="21"/>
  <c r="Q829" i="21"/>
  <c r="P829" i="21"/>
  <c r="N829" i="21"/>
  <c r="M829" i="21"/>
  <c r="L829" i="21"/>
  <c r="K829" i="21"/>
  <c r="J829" i="21"/>
  <c r="I829" i="21"/>
  <c r="H829" i="21"/>
  <c r="G829" i="21"/>
  <c r="F829" i="21"/>
  <c r="E829" i="21"/>
  <c r="D829" i="21"/>
  <c r="B829" i="21"/>
  <c r="A829" i="21"/>
  <c r="Y828" i="21"/>
  <c r="X828" i="21"/>
  <c r="W828" i="21"/>
  <c r="V828" i="21"/>
  <c r="T828" i="21"/>
  <c r="S828" i="21"/>
  <c r="R828" i="21"/>
  <c r="Q828" i="21"/>
  <c r="P828" i="21"/>
  <c r="N828" i="21"/>
  <c r="M828" i="21"/>
  <c r="L828" i="21"/>
  <c r="K828" i="21"/>
  <c r="J828" i="21"/>
  <c r="I828" i="21"/>
  <c r="H828" i="21"/>
  <c r="G828" i="21"/>
  <c r="F828" i="21"/>
  <c r="E828" i="21"/>
  <c r="D828" i="21"/>
  <c r="B828" i="21"/>
  <c r="A828" i="21"/>
  <c r="Y827" i="21"/>
  <c r="X827" i="21"/>
  <c r="W827" i="21"/>
  <c r="V827" i="21"/>
  <c r="T827" i="21"/>
  <c r="S827" i="21"/>
  <c r="R827" i="21"/>
  <c r="Q827" i="21"/>
  <c r="P827" i="21"/>
  <c r="N827" i="21"/>
  <c r="M827" i="21"/>
  <c r="L827" i="21"/>
  <c r="K827" i="21"/>
  <c r="J827" i="21"/>
  <c r="I827" i="21"/>
  <c r="H827" i="21"/>
  <c r="G827" i="21"/>
  <c r="F827" i="21"/>
  <c r="E827" i="21"/>
  <c r="D827" i="21"/>
  <c r="B827" i="21"/>
  <c r="A827" i="21"/>
  <c r="Y826" i="21"/>
  <c r="X826" i="21"/>
  <c r="W826" i="21"/>
  <c r="V826" i="21"/>
  <c r="T826" i="21"/>
  <c r="S826" i="21"/>
  <c r="R826" i="21"/>
  <c r="Q826" i="21"/>
  <c r="P826" i="21"/>
  <c r="N826" i="21"/>
  <c r="M826" i="21"/>
  <c r="L826" i="21"/>
  <c r="K826" i="21"/>
  <c r="J826" i="21"/>
  <c r="I826" i="21"/>
  <c r="H826" i="21"/>
  <c r="G826" i="21"/>
  <c r="F826" i="21"/>
  <c r="E826" i="21"/>
  <c r="D826" i="21"/>
  <c r="B826" i="21"/>
  <c r="A826" i="21"/>
  <c r="Y825" i="21"/>
  <c r="X825" i="21"/>
  <c r="W825" i="21"/>
  <c r="V825" i="21"/>
  <c r="T825" i="21"/>
  <c r="S825" i="21"/>
  <c r="R825" i="21"/>
  <c r="Q825" i="21"/>
  <c r="P825" i="21"/>
  <c r="N825" i="21"/>
  <c r="M825" i="21"/>
  <c r="L825" i="21"/>
  <c r="K825" i="21"/>
  <c r="J825" i="21"/>
  <c r="I825" i="21"/>
  <c r="H825" i="21"/>
  <c r="G825" i="21"/>
  <c r="F825" i="21"/>
  <c r="E825" i="21"/>
  <c r="D825" i="21"/>
  <c r="B825" i="21"/>
  <c r="A825" i="21"/>
  <c r="Y824" i="21"/>
  <c r="X824" i="21"/>
  <c r="W824" i="21"/>
  <c r="V824" i="21"/>
  <c r="T824" i="21"/>
  <c r="S824" i="21"/>
  <c r="R824" i="21"/>
  <c r="Q824" i="21"/>
  <c r="P824" i="21"/>
  <c r="N824" i="21"/>
  <c r="M824" i="21"/>
  <c r="L824" i="21"/>
  <c r="K824" i="21"/>
  <c r="J824" i="21"/>
  <c r="I824" i="21"/>
  <c r="H824" i="21"/>
  <c r="G824" i="21"/>
  <c r="F824" i="21"/>
  <c r="E824" i="21"/>
  <c r="D824" i="21"/>
  <c r="B824" i="21"/>
  <c r="A824" i="21"/>
  <c r="Y823" i="21"/>
  <c r="X823" i="21"/>
  <c r="W823" i="21"/>
  <c r="V823" i="21"/>
  <c r="T823" i="21"/>
  <c r="S823" i="21"/>
  <c r="R823" i="21"/>
  <c r="Q823" i="21"/>
  <c r="P823" i="21"/>
  <c r="N823" i="21"/>
  <c r="M823" i="21"/>
  <c r="L823" i="21"/>
  <c r="K823" i="21"/>
  <c r="J823" i="21"/>
  <c r="I823" i="21"/>
  <c r="H823" i="21"/>
  <c r="G823" i="21"/>
  <c r="F823" i="21"/>
  <c r="E823" i="21"/>
  <c r="D823" i="21"/>
  <c r="B823" i="21"/>
  <c r="A823" i="21"/>
  <c r="Y822" i="21"/>
  <c r="X822" i="21"/>
  <c r="W822" i="21"/>
  <c r="V822" i="21"/>
  <c r="T822" i="21"/>
  <c r="S822" i="21"/>
  <c r="R822" i="21"/>
  <c r="Q822" i="21"/>
  <c r="P822" i="21"/>
  <c r="N822" i="21"/>
  <c r="M822" i="21"/>
  <c r="L822" i="21"/>
  <c r="K822" i="21"/>
  <c r="J822" i="21"/>
  <c r="I822" i="21"/>
  <c r="H822" i="21"/>
  <c r="G822" i="21"/>
  <c r="F822" i="21"/>
  <c r="E822" i="21"/>
  <c r="D822" i="21"/>
  <c r="B822" i="21"/>
  <c r="A822" i="21"/>
  <c r="Y821" i="21"/>
  <c r="X821" i="21"/>
  <c r="W821" i="21"/>
  <c r="V821" i="21"/>
  <c r="T821" i="21"/>
  <c r="S821" i="21"/>
  <c r="R821" i="21"/>
  <c r="Q821" i="21"/>
  <c r="P821" i="21"/>
  <c r="N821" i="21"/>
  <c r="M821" i="21"/>
  <c r="L821" i="21"/>
  <c r="K821" i="21"/>
  <c r="J821" i="21"/>
  <c r="I821" i="21"/>
  <c r="H821" i="21"/>
  <c r="G821" i="21"/>
  <c r="F821" i="21"/>
  <c r="E821" i="21"/>
  <c r="D821" i="21"/>
  <c r="B821" i="21"/>
  <c r="A821" i="21"/>
  <c r="Y820" i="21"/>
  <c r="X820" i="21"/>
  <c r="W820" i="21"/>
  <c r="V820" i="21"/>
  <c r="T820" i="21"/>
  <c r="S820" i="21"/>
  <c r="R820" i="21"/>
  <c r="Q820" i="21"/>
  <c r="P820" i="21"/>
  <c r="N820" i="21"/>
  <c r="M820" i="21"/>
  <c r="L820" i="21"/>
  <c r="K820" i="21"/>
  <c r="J820" i="21"/>
  <c r="I820" i="21"/>
  <c r="H820" i="21"/>
  <c r="G820" i="21"/>
  <c r="F820" i="21"/>
  <c r="E820" i="21"/>
  <c r="D820" i="21"/>
  <c r="B820" i="21"/>
  <c r="A820" i="21"/>
  <c r="Y819" i="21"/>
  <c r="X819" i="21"/>
  <c r="W819" i="21"/>
  <c r="V819" i="21"/>
  <c r="T819" i="21"/>
  <c r="S819" i="21"/>
  <c r="R819" i="21"/>
  <c r="Q819" i="21"/>
  <c r="P819" i="21"/>
  <c r="N819" i="21"/>
  <c r="M819" i="21"/>
  <c r="L819" i="21"/>
  <c r="K819" i="21"/>
  <c r="J819" i="21"/>
  <c r="I819" i="21"/>
  <c r="H819" i="21"/>
  <c r="G819" i="21"/>
  <c r="F819" i="21"/>
  <c r="E819" i="21"/>
  <c r="D819" i="21"/>
  <c r="B819" i="21"/>
  <c r="A819" i="21"/>
  <c r="Y818" i="21"/>
  <c r="X818" i="21"/>
  <c r="W818" i="21"/>
  <c r="V818" i="21"/>
  <c r="T818" i="21"/>
  <c r="S818" i="21"/>
  <c r="R818" i="21"/>
  <c r="Q818" i="21"/>
  <c r="P818" i="21"/>
  <c r="N818" i="21"/>
  <c r="M818" i="21"/>
  <c r="L818" i="21"/>
  <c r="K818" i="21"/>
  <c r="J818" i="21"/>
  <c r="I818" i="21"/>
  <c r="H818" i="21"/>
  <c r="G818" i="21"/>
  <c r="F818" i="21"/>
  <c r="E818" i="21"/>
  <c r="D818" i="21"/>
  <c r="B818" i="21"/>
  <c r="A818" i="21"/>
  <c r="Y817" i="21"/>
  <c r="X817" i="21"/>
  <c r="W817" i="21"/>
  <c r="V817" i="21"/>
  <c r="T817" i="21"/>
  <c r="S817" i="21"/>
  <c r="R817" i="21"/>
  <c r="Q817" i="21"/>
  <c r="P817" i="21"/>
  <c r="N817" i="21"/>
  <c r="M817" i="21"/>
  <c r="L817" i="21"/>
  <c r="K817" i="21"/>
  <c r="J817" i="21"/>
  <c r="I817" i="21"/>
  <c r="H817" i="21"/>
  <c r="G817" i="21"/>
  <c r="F817" i="21"/>
  <c r="E817" i="21"/>
  <c r="D817" i="21"/>
  <c r="B817" i="21"/>
  <c r="A817" i="21"/>
  <c r="Y816" i="21"/>
  <c r="X816" i="21"/>
  <c r="W816" i="21"/>
  <c r="V816" i="21"/>
  <c r="T816" i="21"/>
  <c r="S816" i="21"/>
  <c r="R816" i="21"/>
  <c r="Q816" i="21"/>
  <c r="P816" i="21"/>
  <c r="N816" i="21"/>
  <c r="M816" i="21"/>
  <c r="L816" i="21"/>
  <c r="K816" i="21"/>
  <c r="J816" i="21"/>
  <c r="I816" i="21"/>
  <c r="H816" i="21"/>
  <c r="G816" i="21"/>
  <c r="F816" i="21"/>
  <c r="E816" i="21"/>
  <c r="D816" i="21"/>
  <c r="B816" i="21"/>
  <c r="A816" i="21"/>
  <c r="Y815" i="21"/>
  <c r="X815" i="21"/>
  <c r="W815" i="21"/>
  <c r="V815" i="21"/>
  <c r="T815" i="21"/>
  <c r="S815" i="21"/>
  <c r="R815" i="21"/>
  <c r="Q815" i="21"/>
  <c r="P815" i="21"/>
  <c r="N815" i="21"/>
  <c r="M815" i="21"/>
  <c r="L815" i="21"/>
  <c r="K815" i="21"/>
  <c r="J815" i="21"/>
  <c r="I815" i="21"/>
  <c r="H815" i="21"/>
  <c r="G815" i="21"/>
  <c r="F815" i="21"/>
  <c r="E815" i="21"/>
  <c r="D815" i="21"/>
  <c r="B815" i="21"/>
  <c r="A815" i="21"/>
  <c r="Y814" i="21"/>
  <c r="X814" i="21"/>
  <c r="W814" i="21"/>
  <c r="V814" i="21"/>
  <c r="T814" i="21"/>
  <c r="S814" i="21"/>
  <c r="R814" i="21"/>
  <c r="Q814" i="21"/>
  <c r="P814" i="21"/>
  <c r="N814" i="21"/>
  <c r="M814" i="21"/>
  <c r="L814" i="21"/>
  <c r="K814" i="21"/>
  <c r="J814" i="21"/>
  <c r="I814" i="21"/>
  <c r="H814" i="21"/>
  <c r="G814" i="21"/>
  <c r="F814" i="21"/>
  <c r="E814" i="21"/>
  <c r="D814" i="21"/>
  <c r="B814" i="21"/>
  <c r="A814" i="21"/>
  <c r="Y813" i="21"/>
  <c r="X813" i="21"/>
  <c r="W813" i="21"/>
  <c r="V813" i="21"/>
  <c r="T813" i="21"/>
  <c r="S813" i="21"/>
  <c r="R813" i="21"/>
  <c r="Q813" i="21"/>
  <c r="P813" i="21"/>
  <c r="N813" i="21"/>
  <c r="M813" i="21"/>
  <c r="L813" i="21"/>
  <c r="K813" i="21"/>
  <c r="J813" i="21"/>
  <c r="I813" i="21"/>
  <c r="H813" i="21"/>
  <c r="G813" i="21"/>
  <c r="F813" i="21"/>
  <c r="E813" i="21"/>
  <c r="D813" i="21"/>
  <c r="B813" i="21"/>
  <c r="A813" i="21"/>
  <c r="Y812" i="21"/>
  <c r="X812" i="21"/>
  <c r="W812" i="21"/>
  <c r="V812" i="21"/>
  <c r="T812" i="21"/>
  <c r="S812" i="21"/>
  <c r="R812" i="21"/>
  <c r="Q812" i="21"/>
  <c r="P812" i="21"/>
  <c r="N812" i="21"/>
  <c r="M812" i="21"/>
  <c r="L812" i="21"/>
  <c r="K812" i="21"/>
  <c r="J812" i="21"/>
  <c r="I812" i="21"/>
  <c r="H812" i="21"/>
  <c r="G812" i="21"/>
  <c r="F812" i="21"/>
  <c r="E812" i="21"/>
  <c r="D812" i="21"/>
  <c r="B812" i="21"/>
  <c r="A812" i="21"/>
  <c r="Y811" i="21"/>
  <c r="X811" i="21"/>
  <c r="W811" i="21"/>
  <c r="V811" i="21"/>
  <c r="T811" i="21"/>
  <c r="S811" i="21"/>
  <c r="R811" i="21"/>
  <c r="Q811" i="21"/>
  <c r="P811" i="21"/>
  <c r="N811" i="21"/>
  <c r="M811" i="21"/>
  <c r="L811" i="21"/>
  <c r="K811" i="21"/>
  <c r="J811" i="21"/>
  <c r="I811" i="21"/>
  <c r="H811" i="21"/>
  <c r="G811" i="21"/>
  <c r="F811" i="21"/>
  <c r="E811" i="21"/>
  <c r="D811" i="21"/>
  <c r="B811" i="21"/>
  <c r="A811" i="21"/>
  <c r="Y810" i="21"/>
  <c r="X810" i="21"/>
  <c r="W810" i="21"/>
  <c r="V810" i="21"/>
  <c r="T810" i="21"/>
  <c r="S810" i="21"/>
  <c r="R810" i="21"/>
  <c r="Q810" i="21"/>
  <c r="P810" i="21"/>
  <c r="N810" i="21"/>
  <c r="M810" i="21"/>
  <c r="L810" i="21"/>
  <c r="K810" i="21"/>
  <c r="J810" i="21"/>
  <c r="I810" i="21"/>
  <c r="H810" i="21"/>
  <c r="G810" i="21"/>
  <c r="F810" i="21"/>
  <c r="E810" i="21"/>
  <c r="D810" i="21"/>
  <c r="B810" i="21"/>
  <c r="A810" i="21"/>
  <c r="Y809" i="21"/>
  <c r="X809" i="21"/>
  <c r="W809" i="21"/>
  <c r="V809" i="21"/>
  <c r="T809" i="21"/>
  <c r="S809" i="21"/>
  <c r="R809" i="21"/>
  <c r="Q809" i="21"/>
  <c r="P809" i="21"/>
  <c r="N809" i="21"/>
  <c r="M809" i="21"/>
  <c r="L809" i="21"/>
  <c r="K809" i="21"/>
  <c r="J809" i="21"/>
  <c r="I809" i="21"/>
  <c r="H809" i="21"/>
  <c r="G809" i="21"/>
  <c r="F809" i="21"/>
  <c r="E809" i="21"/>
  <c r="D809" i="21"/>
  <c r="B809" i="21"/>
  <c r="A809" i="21"/>
  <c r="Y808" i="21"/>
  <c r="X808" i="21"/>
  <c r="W808" i="21"/>
  <c r="V808" i="21"/>
  <c r="T808" i="21"/>
  <c r="S808" i="21"/>
  <c r="R808" i="21"/>
  <c r="Q808" i="21"/>
  <c r="P808" i="21"/>
  <c r="N808" i="21"/>
  <c r="M808" i="21"/>
  <c r="L808" i="21"/>
  <c r="K808" i="21"/>
  <c r="J808" i="21"/>
  <c r="I808" i="21"/>
  <c r="H808" i="21"/>
  <c r="G808" i="21"/>
  <c r="F808" i="21"/>
  <c r="E808" i="21"/>
  <c r="D808" i="21"/>
  <c r="B808" i="21"/>
  <c r="A808" i="21"/>
  <c r="Y807" i="21"/>
  <c r="X807" i="21"/>
  <c r="W807" i="21"/>
  <c r="V807" i="21"/>
  <c r="T807" i="21"/>
  <c r="S807" i="21"/>
  <c r="R807" i="21"/>
  <c r="Q807" i="21"/>
  <c r="P807" i="21"/>
  <c r="N807" i="21"/>
  <c r="M807" i="21"/>
  <c r="L807" i="21"/>
  <c r="K807" i="21"/>
  <c r="J807" i="21"/>
  <c r="I807" i="21"/>
  <c r="H807" i="21"/>
  <c r="G807" i="21"/>
  <c r="F807" i="21"/>
  <c r="E807" i="21"/>
  <c r="D807" i="21"/>
  <c r="B807" i="21"/>
  <c r="A807" i="21"/>
  <c r="Y806" i="21"/>
  <c r="X806" i="21"/>
  <c r="W806" i="21"/>
  <c r="V806" i="21"/>
  <c r="T806" i="21"/>
  <c r="S806" i="21"/>
  <c r="R806" i="21"/>
  <c r="Q806" i="21"/>
  <c r="P806" i="21"/>
  <c r="N806" i="21"/>
  <c r="M806" i="21"/>
  <c r="L806" i="21"/>
  <c r="K806" i="21"/>
  <c r="J806" i="21"/>
  <c r="I806" i="21"/>
  <c r="H806" i="21"/>
  <c r="G806" i="21"/>
  <c r="F806" i="21"/>
  <c r="E806" i="21"/>
  <c r="D806" i="21"/>
  <c r="B806" i="21"/>
  <c r="A806" i="21"/>
  <c r="Y805" i="21"/>
  <c r="X805" i="21"/>
  <c r="W805" i="21"/>
  <c r="V805" i="21"/>
  <c r="T805" i="21"/>
  <c r="S805" i="21"/>
  <c r="R805" i="21"/>
  <c r="Q805" i="21"/>
  <c r="P805" i="21"/>
  <c r="N805" i="21"/>
  <c r="M805" i="21"/>
  <c r="L805" i="21"/>
  <c r="K805" i="21"/>
  <c r="J805" i="21"/>
  <c r="I805" i="21"/>
  <c r="H805" i="21"/>
  <c r="G805" i="21"/>
  <c r="F805" i="21"/>
  <c r="E805" i="21"/>
  <c r="D805" i="21"/>
  <c r="B805" i="21"/>
  <c r="A805" i="21"/>
  <c r="Y804" i="21"/>
  <c r="X804" i="21"/>
  <c r="W804" i="21"/>
  <c r="V804" i="21"/>
  <c r="T804" i="21"/>
  <c r="S804" i="21"/>
  <c r="R804" i="21"/>
  <c r="Q804" i="21"/>
  <c r="P804" i="21"/>
  <c r="N804" i="21"/>
  <c r="M804" i="21"/>
  <c r="L804" i="21"/>
  <c r="K804" i="21"/>
  <c r="J804" i="21"/>
  <c r="I804" i="21"/>
  <c r="H804" i="21"/>
  <c r="G804" i="21"/>
  <c r="F804" i="21"/>
  <c r="E804" i="21"/>
  <c r="D804" i="21"/>
  <c r="B804" i="21"/>
  <c r="A804" i="21"/>
  <c r="Y803" i="21"/>
  <c r="X803" i="21"/>
  <c r="W803" i="21"/>
  <c r="V803" i="21"/>
  <c r="T803" i="21"/>
  <c r="S803" i="21"/>
  <c r="R803" i="21"/>
  <c r="Q803" i="21"/>
  <c r="P803" i="21"/>
  <c r="N803" i="21"/>
  <c r="M803" i="21"/>
  <c r="L803" i="21"/>
  <c r="K803" i="21"/>
  <c r="J803" i="21"/>
  <c r="I803" i="21"/>
  <c r="H803" i="21"/>
  <c r="G803" i="21"/>
  <c r="F803" i="21"/>
  <c r="E803" i="21"/>
  <c r="D803" i="21"/>
  <c r="B803" i="21"/>
  <c r="A803" i="21"/>
  <c r="Y802" i="21"/>
  <c r="X802" i="21"/>
  <c r="W802" i="21"/>
  <c r="V802" i="21"/>
  <c r="T802" i="21"/>
  <c r="S802" i="21"/>
  <c r="R802" i="21"/>
  <c r="Q802" i="21"/>
  <c r="P802" i="21"/>
  <c r="N802" i="21"/>
  <c r="M802" i="21"/>
  <c r="L802" i="21"/>
  <c r="K802" i="21"/>
  <c r="J802" i="21"/>
  <c r="I802" i="21"/>
  <c r="H802" i="21"/>
  <c r="G802" i="21"/>
  <c r="F802" i="21"/>
  <c r="E802" i="21"/>
  <c r="D802" i="21"/>
  <c r="B802" i="21"/>
  <c r="A802" i="21"/>
  <c r="Y801" i="21"/>
  <c r="X801" i="21"/>
  <c r="W801" i="21"/>
  <c r="V801" i="21"/>
  <c r="T801" i="21"/>
  <c r="S801" i="21"/>
  <c r="R801" i="21"/>
  <c r="Q801" i="21"/>
  <c r="P801" i="21"/>
  <c r="N801" i="21"/>
  <c r="M801" i="21"/>
  <c r="L801" i="21"/>
  <c r="K801" i="21"/>
  <c r="J801" i="21"/>
  <c r="I801" i="21"/>
  <c r="H801" i="21"/>
  <c r="G801" i="21"/>
  <c r="F801" i="21"/>
  <c r="E801" i="21"/>
  <c r="D801" i="21"/>
  <c r="B801" i="21"/>
  <c r="A801" i="21"/>
  <c r="Y800" i="21"/>
  <c r="X800" i="21"/>
  <c r="W800" i="21"/>
  <c r="V800" i="21"/>
  <c r="T800" i="21"/>
  <c r="S800" i="21"/>
  <c r="R800" i="21"/>
  <c r="Q800" i="21"/>
  <c r="P800" i="21"/>
  <c r="N800" i="21"/>
  <c r="M800" i="21"/>
  <c r="L800" i="21"/>
  <c r="K800" i="21"/>
  <c r="J800" i="21"/>
  <c r="I800" i="21"/>
  <c r="H800" i="21"/>
  <c r="G800" i="21"/>
  <c r="F800" i="21"/>
  <c r="E800" i="21"/>
  <c r="D800" i="21"/>
  <c r="B800" i="21"/>
  <c r="A800" i="21"/>
  <c r="Y799" i="21"/>
  <c r="X799" i="21"/>
  <c r="W799" i="21"/>
  <c r="V799" i="21"/>
  <c r="T799" i="21"/>
  <c r="S799" i="21"/>
  <c r="R799" i="21"/>
  <c r="Q799" i="21"/>
  <c r="P799" i="21"/>
  <c r="N799" i="21"/>
  <c r="M799" i="21"/>
  <c r="L799" i="21"/>
  <c r="K799" i="21"/>
  <c r="J799" i="21"/>
  <c r="I799" i="21"/>
  <c r="H799" i="21"/>
  <c r="G799" i="21"/>
  <c r="F799" i="21"/>
  <c r="E799" i="21"/>
  <c r="D799" i="21"/>
  <c r="B799" i="21"/>
  <c r="A799" i="21"/>
  <c r="Y798" i="21"/>
  <c r="X798" i="21"/>
  <c r="W798" i="21"/>
  <c r="V798" i="21"/>
  <c r="T798" i="21"/>
  <c r="S798" i="21"/>
  <c r="R798" i="21"/>
  <c r="Q798" i="21"/>
  <c r="P798" i="21"/>
  <c r="N798" i="21"/>
  <c r="M798" i="21"/>
  <c r="L798" i="21"/>
  <c r="K798" i="21"/>
  <c r="J798" i="21"/>
  <c r="I798" i="21"/>
  <c r="H798" i="21"/>
  <c r="G798" i="21"/>
  <c r="F798" i="21"/>
  <c r="E798" i="21"/>
  <c r="D798" i="21"/>
  <c r="B798" i="21"/>
  <c r="A798" i="21"/>
  <c r="Y797" i="21"/>
  <c r="X797" i="21"/>
  <c r="W797" i="21"/>
  <c r="V797" i="21"/>
  <c r="T797" i="21"/>
  <c r="S797" i="21"/>
  <c r="R797" i="21"/>
  <c r="Q797" i="21"/>
  <c r="P797" i="21"/>
  <c r="N797" i="21"/>
  <c r="M797" i="21"/>
  <c r="L797" i="21"/>
  <c r="K797" i="21"/>
  <c r="J797" i="21"/>
  <c r="I797" i="21"/>
  <c r="H797" i="21"/>
  <c r="G797" i="21"/>
  <c r="F797" i="21"/>
  <c r="E797" i="21"/>
  <c r="D797" i="21"/>
  <c r="B797" i="21"/>
  <c r="A797" i="21"/>
  <c r="Y796" i="21"/>
  <c r="X796" i="21"/>
  <c r="W796" i="21"/>
  <c r="V796" i="21"/>
  <c r="T796" i="21"/>
  <c r="S796" i="21"/>
  <c r="R796" i="21"/>
  <c r="Q796" i="21"/>
  <c r="P796" i="21"/>
  <c r="N796" i="21"/>
  <c r="M796" i="21"/>
  <c r="L796" i="21"/>
  <c r="K796" i="21"/>
  <c r="J796" i="21"/>
  <c r="I796" i="21"/>
  <c r="H796" i="21"/>
  <c r="G796" i="21"/>
  <c r="F796" i="21"/>
  <c r="E796" i="21"/>
  <c r="D796" i="21"/>
  <c r="B796" i="21"/>
  <c r="A796" i="21"/>
  <c r="Y795" i="21"/>
  <c r="X795" i="21"/>
  <c r="W795" i="21"/>
  <c r="V795" i="21"/>
  <c r="T795" i="21"/>
  <c r="S795" i="21"/>
  <c r="R795" i="21"/>
  <c r="Q795" i="21"/>
  <c r="P795" i="21"/>
  <c r="N795" i="21"/>
  <c r="M795" i="21"/>
  <c r="L795" i="21"/>
  <c r="K795" i="21"/>
  <c r="J795" i="21"/>
  <c r="I795" i="21"/>
  <c r="H795" i="21"/>
  <c r="G795" i="21"/>
  <c r="F795" i="21"/>
  <c r="E795" i="21"/>
  <c r="D795" i="21"/>
  <c r="B795" i="21"/>
  <c r="A795" i="21"/>
  <c r="Y794" i="21"/>
  <c r="X794" i="21"/>
  <c r="W794" i="21"/>
  <c r="V794" i="21"/>
  <c r="T794" i="21"/>
  <c r="S794" i="21"/>
  <c r="R794" i="21"/>
  <c r="Q794" i="21"/>
  <c r="P794" i="21"/>
  <c r="N794" i="21"/>
  <c r="M794" i="21"/>
  <c r="L794" i="21"/>
  <c r="K794" i="21"/>
  <c r="J794" i="21"/>
  <c r="I794" i="21"/>
  <c r="H794" i="21"/>
  <c r="G794" i="21"/>
  <c r="F794" i="21"/>
  <c r="E794" i="21"/>
  <c r="D794" i="21"/>
  <c r="B794" i="21"/>
  <c r="A794" i="21"/>
  <c r="Y793" i="21"/>
  <c r="X793" i="21"/>
  <c r="W793" i="21"/>
  <c r="V793" i="21"/>
  <c r="T793" i="21"/>
  <c r="S793" i="21"/>
  <c r="R793" i="21"/>
  <c r="Q793" i="21"/>
  <c r="P793" i="21"/>
  <c r="N793" i="21"/>
  <c r="M793" i="21"/>
  <c r="L793" i="21"/>
  <c r="K793" i="21"/>
  <c r="J793" i="21"/>
  <c r="I793" i="21"/>
  <c r="H793" i="21"/>
  <c r="G793" i="21"/>
  <c r="F793" i="21"/>
  <c r="E793" i="21"/>
  <c r="D793" i="21"/>
  <c r="B793" i="21"/>
  <c r="A793" i="21"/>
  <c r="Y792" i="21"/>
  <c r="X792" i="21"/>
  <c r="W792" i="21"/>
  <c r="V792" i="21"/>
  <c r="T792" i="21"/>
  <c r="S792" i="21"/>
  <c r="R792" i="21"/>
  <c r="Q792" i="21"/>
  <c r="P792" i="21"/>
  <c r="N792" i="21"/>
  <c r="M792" i="21"/>
  <c r="L792" i="21"/>
  <c r="K792" i="21"/>
  <c r="J792" i="21"/>
  <c r="I792" i="21"/>
  <c r="H792" i="21"/>
  <c r="G792" i="21"/>
  <c r="F792" i="21"/>
  <c r="E792" i="21"/>
  <c r="D792" i="21"/>
  <c r="B792" i="21"/>
  <c r="A792" i="21"/>
  <c r="Y791" i="21"/>
  <c r="X791" i="21"/>
  <c r="W791" i="21"/>
  <c r="V791" i="21"/>
  <c r="T791" i="21"/>
  <c r="S791" i="21"/>
  <c r="R791" i="21"/>
  <c r="Q791" i="21"/>
  <c r="P791" i="21"/>
  <c r="N791" i="21"/>
  <c r="M791" i="21"/>
  <c r="L791" i="21"/>
  <c r="K791" i="21"/>
  <c r="J791" i="21"/>
  <c r="I791" i="21"/>
  <c r="H791" i="21"/>
  <c r="G791" i="21"/>
  <c r="F791" i="21"/>
  <c r="E791" i="21"/>
  <c r="D791" i="21"/>
  <c r="B791" i="21"/>
  <c r="A791" i="21"/>
  <c r="Y790" i="21"/>
  <c r="X790" i="21"/>
  <c r="W790" i="21"/>
  <c r="V790" i="21"/>
  <c r="T790" i="21"/>
  <c r="S790" i="21"/>
  <c r="R790" i="21"/>
  <c r="Q790" i="21"/>
  <c r="P790" i="21"/>
  <c r="N790" i="21"/>
  <c r="M790" i="21"/>
  <c r="L790" i="21"/>
  <c r="K790" i="21"/>
  <c r="J790" i="21"/>
  <c r="I790" i="21"/>
  <c r="H790" i="21"/>
  <c r="G790" i="21"/>
  <c r="F790" i="21"/>
  <c r="E790" i="21"/>
  <c r="D790" i="21"/>
  <c r="B790" i="21"/>
  <c r="A790" i="21"/>
  <c r="Y789" i="21"/>
  <c r="X789" i="21"/>
  <c r="W789" i="21"/>
  <c r="V789" i="21"/>
  <c r="T789" i="21"/>
  <c r="S789" i="21"/>
  <c r="R789" i="21"/>
  <c r="Q789" i="21"/>
  <c r="P789" i="21"/>
  <c r="N789" i="21"/>
  <c r="M789" i="21"/>
  <c r="L789" i="21"/>
  <c r="K789" i="21"/>
  <c r="J789" i="21"/>
  <c r="I789" i="21"/>
  <c r="H789" i="21"/>
  <c r="G789" i="21"/>
  <c r="F789" i="21"/>
  <c r="E789" i="21"/>
  <c r="D789" i="21"/>
  <c r="B789" i="21"/>
  <c r="A789" i="21"/>
  <c r="Y788" i="21"/>
  <c r="X788" i="21"/>
  <c r="W788" i="21"/>
  <c r="V788" i="21"/>
  <c r="T788" i="21"/>
  <c r="S788" i="21"/>
  <c r="R788" i="21"/>
  <c r="Q788" i="21"/>
  <c r="P788" i="21"/>
  <c r="N788" i="21"/>
  <c r="M788" i="21"/>
  <c r="L788" i="21"/>
  <c r="K788" i="21"/>
  <c r="J788" i="21"/>
  <c r="I788" i="21"/>
  <c r="H788" i="21"/>
  <c r="G788" i="21"/>
  <c r="F788" i="21"/>
  <c r="E788" i="21"/>
  <c r="D788" i="21"/>
  <c r="B788" i="21"/>
  <c r="A788" i="21"/>
  <c r="Y787" i="21"/>
  <c r="X787" i="21"/>
  <c r="W787" i="21"/>
  <c r="V787" i="21"/>
  <c r="T787" i="21"/>
  <c r="S787" i="21"/>
  <c r="R787" i="21"/>
  <c r="Q787" i="21"/>
  <c r="P787" i="21"/>
  <c r="N787" i="21"/>
  <c r="M787" i="21"/>
  <c r="L787" i="21"/>
  <c r="K787" i="21"/>
  <c r="J787" i="21"/>
  <c r="I787" i="21"/>
  <c r="H787" i="21"/>
  <c r="G787" i="21"/>
  <c r="F787" i="21"/>
  <c r="E787" i="21"/>
  <c r="D787" i="21"/>
  <c r="B787" i="21"/>
  <c r="A787" i="21"/>
  <c r="Y786" i="21"/>
  <c r="X786" i="21"/>
  <c r="W786" i="21"/>
  <c r="V786" i="21"/>
  <c r="T786" i="21"/>
  <c r="S786" i="21"/>
  <c r="R786" i="21"/>
  <c r="Q786" i="21"/>
  <c r="P786" i="21"/>
  <c r="N786" i="21"/>
  <c r="M786" i="21"/>
  <c r="L786" i="21"/>
  <c r="K786" i="21"/>
  <c r="J786" i="21"/>
  <c r="I786" i="21"/>
  <c r="H786" i="21"/>
  <c r="G786" i="21"/>
  <c r="F786" i="21"/>
  <c r="E786" i="21"/>
  <c r="D786" i="21"/>
  <c r="B786" i="21"/>
  <c r="A786" i="21"/>
  <c r="Y785" i="21"/>
  <c r="X785" i="21"/>
  <c r="W785" i="21"/>
  <c r="V785" i="21"/>
  <c r="T785" i="21"/>
  <c r="S785" i="21"/>
  <c r="R785" i="21"/>
  <c r="Q785" i="21"/>
  <c r="P785" i="21"/>
  <c r="N785" i="21"/>
  <c r="M785" i="21"/>
  <c r="L785" i="21"/>
  <c r="K785" i="21"/>
  <c r="J785" i="21"/>
  <c r="I785" i="21"/>
  <c r="H785" i="21"/>
  <c r="G785" i="21"/>
  <c r="F785" i="21"/>
  <c r="E785" i="21"/>
  <c r="D785" i="21"/>
  <c r="B785" i="21"/>
  <c r="A785" i="21"/>
  <c r="Y784" i="21"/>
  <c r="X784" i="21"/>
  <c r="W784" i="21"/>
  <c r="V784" i="21"/>
  <c r="T784" i="21"/>
  <c r="S784" i="21"/>
  <c r="R784" i="21"/>
  <c r="Q784" i="21"/>
  <c r="P784" i="21"/>
  <c r="N784" i="21"/>
  <c r="M784" i="21"/>
  <c r="L784" i="21"/>
  <c r="K784" i="21"/>
  <c r="J784" i="21"/>
  <c r="I784" i="21"/>
  <c r="H784" i="21"/>
  <c r="G784" i="21"/>
  <c r="F784" i="21"/>
  <c r="E784" i="21"/>
  <c r="D784" i="21"/>
  <c r="B784" i="21"/>
  <c r="A784" i="21"/>
  <c r="Y783" i="21"/>
  <c r="X783" i="21"/>
  <c r="W783" i="21"/>
  <c r="V783" i="21"/>
  <c r="T783" i="21"/>
  <c r="S783" i="21"/>
  <c r="R783" i="21"/>
  <c r="Q783" i="21"/>
  <c r="P783" i="21"/>
  <c r="N783" i="21"/>
  <c r="M783" i="21"/>
  <c r="L783" i="21"/>
  <c r="K783" i="21"/>
  <c r="J783" i="21"/>
  <c r="I783" i="21"/>
  <c r="H783" i="21"/>
  <c r="G783" i="21"/>
  <c r="F783" i="21"/>
  <c r="E783" i="21"/>
  <c r="D783" i="21"/>
  <c r="B783" i="21"/>
  <c r="A783" i="21"/>
  <c r="Y782" i="21"/>
  <c r="X782" i="21"/>
  <c r="W782" i="21"/>
  <c r="V782" i="21"/>
  <c r="T782" i="21"/>
  <c r="S782" i="21"/>
  <c r="R782" i="21"/>
  <c r="Q782" i="21"/>
  <c r="P782" i="21"/>
  <c r="N782" i="21"/>
  <c r="M782" i="21"/>
  <c r="L782" i="21"/>
  <c r="K782" i="21"/>
  <c r="J782" i="21"/>
  <c r="I782" i="21"/>
  <c r="H782" i="21"/>
  <c r="G782" i="21"/>
  <c r="F782" i="21"/>
  <c r="E782" i="21"/>
  <c r="D782" i="21"/>
  <c r="B782" i="21"/>
  <c r="A782" i="21"/>
  <c r="Y781" i="21"/>
  <c r="X781" i="21"/>
  <c r="W781" i="21"/>
  <c r="V781" i="21"/>
  <c r="T781" i="21"/>
  <c r="S781" i="21"/>
  <c r="R781" i="21"/>
  <c r="Q781" i="21"/>
  <c r="P781" i="21"/>
  <c r="N781" i="21"/>
  <c r="M781" i="21"/>
  <c r="L781" i="21"/>
  <c r="K781" i="21"/>
  <c r="J781" i="21"/>
  <c r="I781" i="21"/>
  <c r="H781" i="21"/>
  <c r="G781" i="21"/>
  <c r="F781" i="21"/>
  <c r="E781" i="21"/>
  <c r="D781" i="21"/>
  <c r="B781" i="21"/>
  <c r="A781" i="21"/>
  <c r="Y780" i="21"/>
  <c r="X780" i="21"/>
  <c r="W780" i="21"/>
  <c r="V780" i="21"/>
  <c r="T780" i="21"/>
  <c r="S780" i="21"/>
  <c r="R780" i="21"/>
  <c r="Q780" i="21"/>
  <c r="P780" i="21"/>
  <c r="N780" i="21"/>
  <c r="M780" i="21"/>
  <c r="L780" i="21"/>
  <c r="K780" i="21"/>
  <c r="J780" i="21"/>
  <c r="I780" i="21"/>
  <c r="H780" i="21"/>
  <c r="G780" i="21"/>
  <c r="F780" i="21"/>
  <c r="E780" i="21"/>
  <c r="D780" i="21"/>
  <c r="B780" i="21"/>
  <c r="A780" i="21"/>
  <c r="Y779" i="21"/>
  <c r="X779" i="21"/>
  <c r="W779" i="21"/>
  <c r="V779" i="21"/>
  <c r="T779" i="21"/>
  <c r="S779" i="21"/>
  <c r="R779" i="21"/>
  <c r="Q779" i="21"/>
  <c r="P779" i="21"/>
  <c r="N779" i="21"/>
  <c r="M779" i="21"/>
  <c r="L779" i="21"/>
  <c r="K779" i="21"/>
  <c r="J779" i="21"/>
  <c r="I779" i="21"/>
  <c r="H779" i="21"/>
  <c r="G779" i="21"/>
  <c r="F779" i="21"/>
  <c r="E779" i="21"/>
  <c r="D779" i="21"/>
  <c r="B779" i="21"/>
  <c r="A779" i="21"/>
  <c r="Y778" i="21"/>
  <c r="X778" i="21"/>
  <c r="W778" i="21"/>
  <c r="V778" i="21"/>
  <c r="T778" i="21"/>
  <c r="S778" i="21"/>
  <c r="R778" i="21"/>
  <c r="Q778" i="21"/>
  <c r="P778" i="21"/>
  <c r="N778" i="21"/>
  <c r="M778" i="21"/>
  <c r="L778" i="21"/>
  <c r="K778" i="21"/>
  <c r="J778" i="21"/>
  <c r="I778" i="21"/>
  <c r="H778" i="21"/>
  <c r="G778" i="21"/>
  <c r="F778" i="21"/>
  <c r="E778" i="21"/>
  <c r="D778" i="21"/>
  <c r="B778" i="21"/>
  <c r="A778" i="21"/>
  <c r="Y777" i="21"/>
  <c r="X777" i="21"/>
  <c r="W777" i="21"/>
  <c r="V777" i="21"/>
  <c r="T777" i="21"/>
  <c r="S777" i="21"/>
  <c r="R777" i="21"/>
  <c r="Q777" i="21"/>
  <c r="P777" i="21"/>
  <c r="N777" i="21"/>
  <c r="M777" i="21"/>
  <c r="L777" i="21"/>
  <c r="K777" i="21"/>
  <c r="J777" i="21"/>
  <c r="I777" i="21"/>
  <c r="H777" i="21"/>
  <c r="G777" i="21"/>
  <c r="F777" i="21"/>
  <c r="E777" i="21"/>
  <c r="D777" i="21"/>
  <c r="B777" i="21"/>
  <c r="A777" i="21"/>
  <c r="Y776" i="21"/>
  <c r="X776" i="21"/>
  <c r="W776" i="21"/>
  <c r="V776" i="21"/>
  <c r="T776" i="21"/>
  <c r="S776" i="21"/>
  <c r="R776" i="21"/>
  <c r="Q776" i="21"/>
  <c r="P776" i="21"/>
  <c r="N776" i="21"/>
  <c r="M776" i="21"/>
  <c r="L776" i="21"/>
  <c r="K776" i="21"/>
  <c r="J776" i="21"/>
  <c r="I776" i="21"/>
  <c r="H776" i="21"/>
  <c r="G776" i="21"/>
  <c r="F776" i="21"/>
  <c r="E776" i="21"/>
  <c r="D776" i="21"/>
  <c r="B776" i="21"/>
  <c r="A776" i="21"/>
  <c r="Y775" i="21"/>
  <c r="X775" i="21"/>
  <c r="W775" i="21"/>
  <c r="V775" i="21"/>
  <c r="T775" i="21"/>
  <c r="S775" i="21"/>
  <c r="R775" i="21"/>
  <c r="Q775" i="21"/>
  <c r="P775" i="21"/>
  <c r="N775" i="21"/>
  <c r="M775" i="21"/>
  <c r="L775" i="21"/>
  <c r="K775" i="21"/>
  <c r="J775" i="21"/>
  <c r="I775" i="21"/>
  <c r="H775" i="21"/>
  <c r="G775" i="21"/>
  <c r="F775" i="21"/>
  <c r="E775" i="21"/>
  <c r="D775" i="21"/>
  <c r="B775" i="21"/>
  <c r="A775" i="21"/>
  <c r="Y774" i="21"/>
  <c r="X774" i="21"/>
  <c r="W774" i="21"/>
  <c r="V774" i="21"/>
  <c r="T774" i="21"/>
  <c r="S774" i="21"/>
  <c r="R774" i="21"/>
  <c r="Q774" i="21"/>
  <c r="P774" i="21"/>
  <c r="N774" i="21"/>
  <c r="M774" i="21"/>
  <c r="L774" i="21"/>
  <c r="K774" i="21"/>
  <c r="J774" i="21"/>
  <c r="I774" i="21"/>
  <c r="H774" i="21"/>
  <c r="G774" i="21"/>
  <c r="F774" i="21"/>
  <c r="E774" i="21"/>
  <c r="D774" i="21"/>
  <c r="B774" i="21"/>
  <c r="A774" i="21"/>
  <c r="Y773" i="21"/>
  <c r="X773" i="21"/>
  <c r="W773" i="21"/>
  <c r="V773" i="21"/>
  <c r="T773" i="21"/>
  <c r="S773" i="21"/>
  <c r="R773" i="21"/>
  <c r="Q773" i="21"/>
  <c r="P773" i="21"/>
  <c r="N773" i="21"/>
  <c r="M773" i="21"/>
  <c r="L773" i="21"/>
  <c r="K773" i="21"/>
  <c r="J773" i="21"/>
  <c r="I773" i="21"/>
  <c r="H773" i="21"/>
  <c r="G773" i="21"/>
  <c r="F773" i="21"/>
  <c r="E773" i="21"/>
  <c r="D773" i="21"/>
  <c r="B773" i="21"/>
  <c r="A773" i="21"/>
  <c r="Y772" i="21"/>
  <c r="X772" i="21"/>
  <c r="W772" i="21"/>
  <c r="V772" i="21"/>
  <c r="T772" i="21"/>
  <c r="S772" i="21"/>
  <c r="R772" i="21"/>
  <c r="Q772" i="21"/>
  <c r="P772" i="21"/>
  <c r="N772" i="21"/>
  <c r="M772" i="21"/>
  <c r="L772" i="21"/>
  <c r="K772" i="21"/>
  <c r="J772" i="21"/>
  <c r="I772" i="21"/>
  <c r="H772" i="21"/>
  <c r="G772" i="21"/>
  <c r="F772" i="21"/>
  <c r="E772" i="21"/>
  <c r="D772" i="21"/>
  <c r="B772" i="21"/>
  <c r="A772" i="21"/>
  <c r="Y771" i="21"/>
  <c r="X771" i="21"/>
  <c r="W771" i="21"/>
  <c r="V771" i="21"/>
  <c r="T771" i="21"/>
  <c r="S771" i="21"/>
  <c r="R771" i="21"/>
  <c r="Q771" i="21"/>
  <c r="P771" i="21"/>
  <c r="N771" i="21"/>
  <c r="M771" i="21"/>
  <c r="L771" i="21"/>
  <c r="K771" i="21"/>
  <c r="J771" i="21"/>
  <c r="I771" i="21"/>
  <c r="H771" i="21"/>
  <c r="G771" i="21"/>
  <c r="F771" i="21"/>
  <c r="E771" i="21"/>
  <c r="D771" i="21"/>
  <c r="B771" i="21"/>
  <c r="A771" i="21"/>
  <c r="Y770" i="21"/>
  <c r="X770" i="21"/>
  <c r="W770" i="21"/>
  <c r="V770" i="21"/>
  <c r="T770" i="21"/>
  <c r="S770" i="21"/>
  <c r="R770" i="21"/>
  <c r="Q770" i="21"/>
  <c r="P770" i="21"/>
  <c r="N770" i="21"/>
  <c r="M770" i="21"/>
  <c r="L770" i="21"/>
  <c r="K770" i="21"/>
  <c r="J770" i="21"/>
  <c r="I770" i="21"/>
  <c r="H770" i="21"/>
  <c r="G770" i="21"/>
  <c r="F770" i="21"/>
  <c r="E770" i="21"/>
  <c r="D770" i="21"/>
  <c r="B770" i="21"/>
  <c r="A770" i="21"/>
  <c r="Y769" i="21"/>
  <c r="X769" i="21"/>
  <c r="W769" i="21"/>
  <c r="V769" i="21"/>
  <c r="T769" i="21"/>
  <c r="S769" i="21"/>
  <c r="R769" i="21"/>
  <c r="Q769" i="21"/>
  <c r="P769" i="21"/>
  <c r="N769" i="21"/>
  <c r="M769" i="21"/>
  <c r="L769" i="21"/>
  <c r="K769" i="21"/>
  <c r="J769" i="21"/>
  <c r="I769" i="21"/>
  <c r="H769" i="21"/>
  <c r="G769" i="21"/>
  <c r="F769" i="21"/>
  <c r="E769" i="21"/>
  <c r="D769" i="21"/>
  <c r="B769" i="21"/>
  <c r="A769" i="21"/>
  <c r="Y768" i="21"/>
  <c r="X768" i="21"/>
  <c r="W768" i="21"/>
  <c r="V768" i="21"/>
  <c r="T768" i="21"/>
  <c r="S768" i="21"/>
  <c r="R768" i="21"/>
  <c r="Q768" i="21"/>
  <c r="P768" i="21"/>
  <c r="N768" i="21"/>
  <c r="M768" i="21"/>
  <c r="L768" i="21"/>
  <c r="K768" i="21"/>
  <c r="J768" i="21"/>
  <c r="I768" i="21"/>
  <c r="H768" i="21"/>
  <c r="G768" i="21"/>
  <c r="F768" i="21"/>
  <c r="E768" i="21"/>
  <c r="D768" i="21"/>
  <c r="B768" i="21"/>
  <c r="A768" i="21"/>
  <c r="Y767" i="21"/>
  <c r="X767" i="21"/>
  <c r="W767" i="21"/>
  <c r="V767" i="21"/>
  <c r="T767" i="21"/>
  <c r="S767" i="21"/>
  <c r="R767" i="21"/>
  <c r="Q767" i="21"/>
  <c r="P767" i="21"/>
  <c r="N767" i="21"/>
  <c r="M767" i="21"/>
  <c r="L767" i="21"/>
  <c r="K767" i="21"/>
  <c r="J767" i="21"/>
  <c r="I767" i="21"/>
  <c r="H767" i="21"/>
  <c r="G767" i="21"/>
  <c r="F767" i="21"/>
  <c r="E767" i="21"/>
  <c r="D767" i="21"/>
  <c r="B767" i="21"/>
  <c r="A767" i="21"/>
  <c r="Y766" i="21"/>
  <c r="X766" i="21"/>
  <c r="W766" i="21"/>
  <c r="V766" i="21"/>
  <c r="T766" i="21"/>
  <c r="S766" i="21"/>
  <c r="R766" i="21"/>
  <c r="Q766" i="21"/>
  <c r="P766" i="21"/>
  <c r="N766" i="21"/>
  <c r="M766" i="21"/>
  <c r="L766" i="21"/>
  <c r="K766" i="21"/>
  <c r="J766" i="21"/>
  <c r="I766" i="21"/>
  <c r="H766" i="21"/>
  <c r="G766" i="21"/>
  <c r="F766" i="21"/>
  <c r="E766" i="21"/>
  <c r="D766" i="21"/>
  <c r="B766" i="21"/>
  <c r="A766" i="21"/>
  <c r="Y765" i="21"/>
  <c r="X765" i="21"/>
  <c r="W765" i="21"/>
  <c r="V765" i="21"/>
  <c r="T765" i="21"/>
  <c r="S765" i="21"/>
  <c r="R765" i="21"/>
  <c r="Q765" i="21"/>
  <c r="P765" i="21"/>
  <c r="N765" i="21"/>
  <c r="M765" i="21"/>
  <c r="L765" i="21"/>
  <c r="K765" i="21"/>
  <c r="J765" i="21"/>
  <c r="I765" i="21"/>
  <c r="H765" i="21"/>
  <c r="G765" i="21"/>
  <c r="F765" i="21"/>
  <c r="E765" i="21"/>
  <c r="D765" i="21"/>
  <c r="B765" i="21"/>
  <c r="A765" i="21"/>
  <c r="Y764" i="21"/>
  <c r="X764" i="21"/>
  <c r="W764" i="21"/>
  <c r="V764" i="21"/>
  <c r="T764" i="21"/>
  <c r="S764" i="21"/>
  <c r="R764" i="21"/>
  <c r="Q764" i="21"/>
  <c r="P764" i="21"/>
  <c r="N764" i="21"/>
  <c r="M764" i="21"/>
  <c r="L764" i="21"/>
  <c r="K764" i="21"/>
  <c r="J764" i="21"/>
  <c r="I764" i="21"/>
  <c r="H764" i="21"/>
  <c r="G764" i="21"/>
  <c r="F764" i="21"/>
  <c r="E764" i="21"/>
  <c r="D764" i="21"/>
  <c r="B764" i="21"/>
  <c r="A764" i="21"/>
  <c r="Y763" i="21"/>
  <c r="X763" i="21"/>
  <c r="W763" i="21"/>
  <c r="V763" i="21"/>
  <c r="T763" i="21"/>
  <c r="S763" i="21"/>
  <c r="R763" i="21"/>
  <c r="Q763" i="21"/>
  <c r="P763" i="21"/>
  <c r="N763" i="21"/>
  <c r="M763" i="21"/>
  <c r="L763" i="21"/>
  <c r="K763" i="21"/>
  <c r="J763" i="21"/>
  <c r="I763" i="21"/>
  <c r="H763" i="21"/>
  <c r="G763" i="21"/>
  <c r="F763" i="21"/>
  <c r="E763" i="21"/>
  <c r="D763" i="21"/>
  <c r="B763" i="21"/>
  <c r="A763" i="21"/>
  <c r="Y762" i="21"/>
  <c r="X762" i="21"/>
  <c r="W762" i="21"/>
  <c r="V762" i="21"/>
  <c r="T762" i="21"/>
  <c r="S762" i="21"/>
  <c r="R762" i="21"/>
  <c r="Q762" i="21"/>
  <c r="P762" i="21"/>
  <c r="N762" i="21"/>
  <c r="M762" i="21"/>
  <c r="L762" i="21"/>
  <c r="K762" i="21"/>
  <c r="J762" i="21"/>
  <c r="I762" i="21"/>
  <c r="H762" i="21"/>
  <c r="G762" i="21"/>
  <c r="F762" i="21"/>
  <c r="E762" i="21"/>
  <c r="D762" i="21"/>
  <c r="B762" i="21"/>
  <c r="A762" i="21"/>
  <c r="Y761" i="21"/>
  <c r="X761" i="21"/>
  <c r="W761" i="21"/>
  <c r="V761" i="21"/>
  <c r="T761" i="21"/>
  <c r="S761" i="21"/>
  <c r="R761" i="21"/>
  <c r="Q761" i="21"/>
  <c r="P761" i="21"/>
  <c r="N761" i="21"/>
  <c r="M761" i="21"/>
  <c r="L761" i="21"/>
  <c r="K761" i="21"/>
  <c r="J761" i="21"/>
  <c r="I761" i="21"/>
  <c r="H761" i="21"/>
  <c r="G761" i="21"/>
  <c r="F761" i="21"/>
  <c r="E761" i="21"/>
  <c r="D761" i="21"/>
  <c r="B761" i="21"/>
  <c r="A761" i="21"/>
  <c r="Y760" i="21"/>
  <c r="X760" i="21"/>
  <c r="W760" i="21"/>
  <c r="V760" i="21"/>
  <c r="T760" i="21"/>
  <c r="S760" i="21"/>
  <c r="R760" i="21"/>
  <c r="Q760" i="21"/>
  <c r="P760" i="21"/>
  <c r="N760" i="21"/>
  <c r="M760" i="21"/>
  <c r="L760" i="21"/>
  <c r="K760" i="21"/>
  <c r="J760" i="21"/>
  <c r="I760" i="21"/>
  <c r="H760" i="21"/>
  <c r="G760" i="21"/>
  <c r="F760" i="21"/>
  <c r="E760" i="21"/>
  <c r="D760" i="21"/>
  <c r="B760" i="21"/>
  <c r="A760" i="21"/>
  <c r="Y759" i="21"/>
  <c r="X759" i="21"/>
  <c r="W759" i="21"/>
  <c r="V759" i="21"/>
  <c r="T759" i="21"/>
  <c r="S759" i="21"/>
  <c r="R759" i="21"/>
  <c r="Q759" i="21"/>
  <c r="P759" i="21"/>
  <c r="N759" i="21"/>
  <c r="M759" i="21"/>
  <c r="L759" i="21"/>
  <c r="K759" i="21"/>
  <c r="J759" i="21"/>
  <c r="I759" i="21"/>
  <c r="H759" i="21"/>
  <c r="G759" i="21"/>
  <c r="F759" i="21"/>
  <c r="E759" i="21"/>
  <c r="D759" i="21"/>
  <c r="B759" i="21"/>
  <c r="A759" i="21"/>
  <c r="Y758" i="21"/>
  <c r="X758" i="21"/>
  <c r="W758" i="21"/>
  <c r="V758" i="21"/>
  <c r="T758" i="21"/>
  <c r="S758" i="21"/>
  <c r="R758" i="21"/>
  <c r="Q758" i="21"/>
  <c r="P758" i="21"/>
  <c r="N758" i="21"/>
  <c r="M758" i="21"/>
  <c r="L758" i="21"/>
  <c r="K758" i="21"/>
  <c r="J758" i="21"/>
  <c r="I758" i="21"/>
  <c r="H758" i="21"/>
  <c r="G758" i="21"/>
  <c r="F758" i="21"/>
  <c r="E758" i="21"/>
  <c r="D758" i="21"/>
  <c r="B758" i="21"/>
  <c r="A758" i="21"/>
  <c r="Y757" i="21"/>
  <c r="X757" i="21"/>
  <c r="W757" i="21"/>
  <c r="V757" i="21"/>
  <c r="T757" i="21"/>
  <c r="S757" i="21"/>
  <c r="R757" i="21"/>
  <c r="Q757" i="21"/>
  <c r="P757" i="21"/>
  <c r="N757" i="21"/>
  <c r="M757" i="21"/>
  <c r="L757" i="21"/>
  <c r="K757" i="21"/>
  <c r="J757" i="21"/>
  <c r="I757" i="21"/>
  <c r="H757" i="21"/>
  <c r="G757" i="21"/>
  <c r="F757" i="21"/>
  <c r="E757" i="21"/>
  <c r="D757" i="21"/>
  <c r="B757" i="21"/>
  <c r="A757" i="21"/>
  <c r="Y756" i="21"/>
  <c r="X756" i="21"/>
  <c r="W756" i="21"/>
  <c r="V756" i="21"/>
  <c r="T756" i="21"/>
  <c r="S756" i="21"/>
  <c r="R756" i="21"/>
  <c r="Q756" i="21"/>
  <c r="P756" i="21"/>
  <c r="N756" i="21"/>
  <c r="M756" i="21"/>
  <c r="L756" i="21"/>
  <c r="K756" i="21"/>
  <c r="J756" i="21"/>
  <c r="I756" i="21"/>
  <c r="H756" i="21"/>
  <c r="G756" i="21"/>
  <c r="F756" i="21"/>
  <c r="E756" i="21"/>
  <c r="D756" i="21"/>
  <c r="B756" i="21"/>
  <c r="A756" i="21"/>
  <c r="Y755" i="21"/>
  <c r="X755" i="21"/>
  <c r="W755" i="21"/>
  <c r="V755" i="21"/>
  <c r="T755" i="21"/>
  <c r="S755" i="21"/>
  <c r="R755" i="21"/>
  <c r="Q755" i="21"/>
  <c r="P755" i="21"/>
  <c r="N755" i="21"/>
  <c r="M755" i="21"/>
  <c r="L755" i="21"/>
  <c r="K755" i="21"/>
  <c r="J755" i="21"/>
  <c r="I755" i="21"/>
  <c r="H755" i="21"/>
  <c r="G755" i="21"/>
  <c r="F755" i="21"/>
  <c r="E755" i="21"/>
  <c r="D755" i="21"/>
  <c r="B755" i="21"/>
  <c r="A755" i="21"/>
  <c r="Y754" i="21"/>
  <c r="X754" i="21"/>
  <c r="W754" i="21"/>
  <c r="V754" i="21"/>
  <c r="T754" i="21"/>
  <c r="S754" i="21"/>
  <c r="R754" i="21"/>
  <c r="Q754" i="21"/>
  <c r="P754" i="21"/>
  <c r="N754" i="21"/>
  <c r="M754" i="21"/>
  <c r="L754" i="21"/>
  <c r="K754" i="21"/>
  <c r="J754" i="21"/>
  <c r="I754" i="21"/>
  <c r="H754" i="21"/>
  <c r="G754" i="21"/>
  <c r="F754" i="21"/>
  <c r="E754" i="21"/>
  <c r="D754" i="21"/>
  <c r="B754" i="21"/>
  <c r="A754" i="21"/>
  <c r="Y753" i="21"/>
  <c r="X753" i="21"/>
  <c r="W753" i="21"/>
  <c r="V753" i="21"/>
  <c r="T753" i="21"/>
  <c r="S753" i="21"/>
  <c r="R753" i="21"/>
  <c r="Q753" i="21"/>
  <c r="P753" i="21"/>
  <c r="N753" i="21"/>
  <c r="M753" i="21"/>
  <c r="L753" i="21"/>
  <c r="K753" i="21"/>
  <c r="J753" i="21"/>
  <c r="I753" i="21"/>
  <c r="H753" i="21"/>
  <c r="G753" i="21"/>
  <c r="F753" i="21"/>
  <c r="E753" i="21"/>
  <c r="D753" i="21"/>
  <c r="B753" i="21"/>
  <c r="A753" i="21"/>
  <c r="Y752" i="21"/>
  <c r="X752" i="21"/>
  <c r="W752" i="21"/>
  <c r="V752" i="21"/>
  <c r="T752" i="21"/>
  <c r="S752" i="21"/>
  <c r="R752" i="21"/>
  <c r="Q752" i="21"/>
  <c r="P752" i="21"/>
  <c r="N752" i="21"/>
  <c r="M752" i="21"/>
  <c r="L752" i="21"/>
  <c r="K752" i="21"/>
  <c r="J752" i="21"/>
  <c r="I752" i="21"/>
  <c r="H752" i="21"/>
  <c r="G752" i="21"/>
  <c r="F752" i="21"/>
  <c r="E752" i="21"/>
  <c r="D752" i="21"/>
  <c r="B752" i="21"/>
  <c r="A752" i="21"/>
  <c r="Y751" i="21"/>
  <c r="X751" i="21"/>
  <c r="W751" i="21"/>
  <c r="V751" i="21"/>
  <c r="T751" i="21"/>
  <c r="S751" i="21"/>
  <c r="R751" i="21"/>
  <c r="Q751" i="21"/>
  <c r="P751" i="21"/>
  <c r="N751" i="21"/>
  <c r="M751" i="21"/>
  <c r="L751" i="21"/>
  <c r="K751" i="21"/>
  <c r="J751" i="21"/>
  <c r="I751" i="21"/>
  <c r="H751" i="21"/>
  <c r="G751" i="21"/>
  <c r="F751" i="21"/>
  <c r="E751" i="21"/>
  <c r="D751" i="21"/>
  <c r="B751" i="21"/>
  <c r="A751" i="21"/>
  <c r="Y750" i="21"/>
  <c r="X750" i="21"/>
  <c r="W750" i="21"/>
  <c r="V750" i="21"/>
  <c r="T750" i="21"/>
  <c r="S750" i="21"/>
  <c r="R750" i="21"/>
  <c r="Q750" i="21"/>
  <c r="P750" i="21"/>
  <c r="N750" i="21"/>
  <c r="M750" i="21"/>
  <c r="L750" i="21"/>
  <c r="K750" i="21"/>
  <c r="J750" i="21"/>
  <c r="I750" i="21"/>
  <c r="H750" i="21"/>
  <c r="G750" i="21"/>
  <c r="F750" i="21"/>
  <c r="E750" i="21"/>
  <c r="D750" i="21"/>
  <c r="B750" i="21"/>
  <c r="A750" i="21"/>
  <c r="Y749" i="21"/>
  <c r="X749" i="21"/>
  <c r="W749" i="21"/>
  <c r="V749" i="21"/>
  <c r="T749" i="21"/>
  <c r="S749" i="21"/>
  <c r="R749" i="21"/>
  <c r="Q749" i="21"/>
  <c r="P749" i="21"/>
  <c r="N749" i="21"/>
  <c r="M749" i="21"/>
  <c r="L749" i="21"/>
  <c r="K749" i="21"/>
  <c r="J749" i="21"/>
  <c r="I749" i="21"/>
  <c r="H749" i="21"/>
  <c r="G749" i="21"/>
  <c r="F749" i="21"/>
  <c r="E749" i="21"/>
  <c r="D749" i="21"/>
  <c r="B749" i="21"/>
  <c r="A749" i="21"/>
  <c r="Y748" i="21"/>
  <c r="X748" i="21"/>
  <c r="W748" i="21"/>
  <c r="V748" i="21"/>
  <c r="T748" i="21"/>
  <c r="S748" i="21"/>
  <c r="R748" i="21"/>
  <c r="Q748" i="21"/>
  <c r="P748" i="21"/>
  <c r="N748" i="21"/>
  <c r="M748" i="21"/>
  <c r="L748" i="21"/>
  <c r="K748" i="21"/>
  <c r="J748" i="21"/>
  <c r="I748" i="21"/>
  <c r="H748" i="21"/>
  <c r="G748" i="21"/>
  <c r="F748" i="21"/>
  <c r="E748" i="21"/>
  <c r="D748" i="21"/>
  <c r="B748" i="21"/>
  <c r="A748" i="21"/>
  <c r="Y747" i="21"/>
  <c r="X747" i="21"/>
  <c r="W747" i="21"/>
  <c r="V747" i="21"/>
  <c r="T747" i="21"/>
  <c r="S747" i="21"/>
  <c r="R747" i="21"/>
  <c r="Q747" i="21"/>
  <c r="P747" i="21"/>
  <c r="N747" i="21"/>
  <c r="M747" i="21"/>
  <c r="L747" i="21"/>
  <c r="K747" i="21"/>
  <c r="J747" i="21"/>
  <c r="I747" i="21"/>
  <c r="H747" i="21"/>
  <c r="G747" i="21"/>
  <c r="F747" i="21"/>
  <c r="E747" i="21"/>
  <c r="D747" i="21"/>
  <c r="B747" i="21"/>
  <c r="A747" i="21"/>
  <c r="Y746" i="21"/>
  <c r="X746" i="21"/>
  <c r="W746" i="21"/>
  <c r="V746" i="21"/>
  <c r="T746" i="21"/>
  <c r="S746" i="21"/>
  <c r="R746" i="21"/>
  <c r="Q746" i="21"/>
  <c r="P746" i="21"/>
  <c r="N746" i="21"/>
  <c r="M746" i="21"/>
  <c r="L746" i="21"/>
  <c r="K746" i="21"/>
  <c r="J746" i="21"/>
  <c r="I746" i="21"/>
  <c r="H746" i="21"/>
  <c r="G746" i="21"/>
  <c r="F746" i="21"/>
  <c r="E746" i="21"/>
  <c r="D746" i="21"/>
  <c r="B746" i="21"/>
  <c r="A746" i="21"/>
  <c r="Y745" i="21"/>
  <c r="X745" i="21"/>
  <c r="W745" i="21"/>
  <c r="V745" i="21"/>
  <c r="T745" i="21"/>
  <c r="S745" i="21"/>
  <c r="R745" i="21"/>
  <c r="Q745" i="21"/>
  <c r="P745" i="21"/>
  <c r="N745" i="21"/>
  <c r="M745" i="21"/>
  <c r="L745" i="21"/>
  <c r="K745" i="21"/>
  <c r="J745" i="21"/>
  <c r="I745" i="21"/>
  <c r="H745" i="21"/>
  <c r="G745" i="21"/>
  <c r="F745" i="21"/>
  <c r="E745" i="21"/>
  <c r="D745" i="21"/>
  <c r="B745" i="21"/>
  <c r="A745" i="21"/>
  <c r="Y744" i="21"/>
  <c r="X744" i="21"/>
  <c r="W744" i="21"/>
  <c r="V744" i="21"/>
  <c r="T744" i="21"/>
  <c r="S744" i="21"/>
  <c r="R744" i="21"/>
  <c r="Q744" i="21"/>
  <c r="P744" i="21"/>
  <c r="N744" i="21"/>
  <c r="M744" i="21"/>
  <c r="L744" i="21"/>
  <c r="K744" i="21"/>
  <c r="J744" i="21"/>
  <c r="I744" i="21"/>
  <c r="H744" i="21"/>
  <c r="G744" i="21"/>
  <c r="F744" i="21"/>
  <c r="E744" i="21"/>
  <c r="D744" i="21"/>
  <c r="B744" i="21"/>
  <c r="A744" i="21"/>
  <c r="Y743" i="21"/>
  <c r="X743" i="21"/>
  <c r="W743" i="21"/>
  <c r="V743" i="21"/>
  <c r="T743" i="21"/>
  <c r="S743" i="21"/>
  <c r="R743" i="21"/>
  <c r="Q743" i="21"/>
  <c r="P743" i="21"/>
  <c r="N743" i="21"/>
  <c r="M743" i="21"/>
  <c r="L743" i="21"/>
  <c r="K743" i="21"/>
  <c r="J743" i="21"/>
  <c r="I743" i="21"/>
  <c r="H743" i="21"/>
  <c r="G743" i="21"/>
  <c r="F743" i="21"/>
  <c r="E743" i="21"/>
  <c r="D743" i="21"/>
  <c r="B743" i="21"/>
  <c r="A743" i="21"/>
  <c r="Y742" i="21"/>
  <c r="X742" i="21"/>
  <c r="W742" i="21"/>
  <c r="V742" i="21"/>
  <c r="T742" i="21"/>
  <c r="S742" i="21"/>
  <c r="R742" i="21"/>
  <c r="Q742" i="21"/>
  <c r="P742" i="21"/>
  <c r="N742" i="21"/>
  <c r="M742" i="21"/>
  <c r="L742" i="21"/>
  <c r="K742" i="21"/>
  <c r="J742" i="21"/>
  <c r="I742" i="21"/>
  <c r="H742" i="21"/>
  <c r="G742" i="21"/>
  <c r="F742" i="21"/>
  <c r="E742" i="21"/>
  <c r="D742" i="21"/>
  <c r="B742" i="21"/>
  <c r="A742" i="21"/>
  <c r="Y741" i="21"/>
  <c r="X741" i="21"/>
  <c r="W741" i="21"/>
  <c r="V741" i="21"/>
  <c r="T741" i="21"/>
  <c r="S741" i="21"/>
  <c r="R741" i="21"/>
  <c r="Q741" i="21"/>
  <c r="P741" i="21"/>
  <c r="N741" i="21"/>
  <c r="M741" i="21"/>
  <c r="L741" i="21"/>
  <c r="K741" i="21"/>
  <c r="J741" i="21"/>
  <c r="I741" i="21"/>
  <c r="H741" i="21"/>
  <c r="G741" i="21"/>
  <c r="F741" i="21"/>
  <c r="E741" i="21"/>
  <c r="D741" i="21"/>
  <c r="B741" i="21"/>
  <c r="A741" i="21"/>
  <c r="Y740" i="21"/>
  <c r="X740" i="21"/>
  <c r="W740" i="21"/>
  <c r="V740" i="21"/>
  <c r="T740" i="21"/>
  <c r="S740" i="21"/>
  <c r="R740" i="21"/>
  <c r="Q740" i="21"/>
  <c r="P740" i="21"/>
  <c r="N740" i="21"/>
  <c r="M740" i="21"/>
  <c r="L740" i="21"/>
  <c r="K740" i="21"/>
  <c r="J740" i="21"/>
  <c r="I740" i="21"/>
  <c r="H740" i="21"/>
  <c r="G740" i="21"/>
  <c r="F740" i="21"/>
  <c r="E740" i="21"/>
  <c r="D740" i="21"/>
  <c r="B740" i="21"/>
  <c r="A740" i="21"/>
  <c r="Y739" i="21"/>
  <c r="X739" i="21"/>
  <c r="W739" i="21"/>
  <c r="V739" i="21"/>
  <c r="T739" i="21"/>
  <c r="S739" i="21"/>
  <c r="R739" i="21"/>
  <c r="Q739" i="21"/>
  <c r="P739" i="21"/>
  <c r="N739" i="21"/>
  <c r="M739" i="21"/>
  <c r="L739" i="21"/>
  <c r="K739" i="21"/>
  <c r="J739" i="21"/>
  <c r="I739" i="21"/>
  <c r="H739" i="21"/>
  <c r="G739" i="21"/>
  <c r="F739" i="21"/>
  <c r="E739" i="21"/>
  <c r="D739" i="21"/>
  <c r="B739" i="21"/>
  <c r="A739" i="21"/>
  <c r="Y738" i="21"/>
  <c r="X738" i="21"/>
  <c r="W738" i="21"/>
  <c r="V738" i="21"/>
  <c r="T738" i="21"/>
  <c r="S738" i="21"/>
  <c r="R738" i="21"/>
  <c r="Q738" i="21"/>
  <c r="P738" i="21"/>
  <c r="N738" i="21"/>
  <c r="M738" i="21"/>
  <c r="L738" i="21"/>
  <c r="K738" i="21"/>
  <c r="J738" i="21"/>
  <c r="I738" i="21"/>
  <c r="H738" i="21"/>
  <c r="G738" i="21"/>
  <c r="F738" i="21"/>
  <c r="E738" i="21"/>
  <c r="D738" i="21"/>
  <c r="B738" i="21"/>
  <c r="A738" i="21"/>
  <c r="Y737" i="21"/>
  <c r="X737" i="21"/>
  <c r="W737" i="21"/>
  <c r="V737" i="21"/>
  <c r="T737" i="21"/>
  <c r="S737" i="21"/>
  <c r="R737" i="21"/>
  <c r="Q737" i="21"/>
  <c r="P737" i="21"/>
  <c r="N737" i="21"/>
  <c r="M737" i="21"/>
  <c r="L737" i="21"/>
  <c r="K737" i="21"/>
  <c r="J737" i="21"/>
  <c r="I737" i="21"/>
  <c r="H737" i="21"/>
  <c r="G737" i="21"/>
  <c r="F737" i="21"/>
  <c r="E737" i="21"/>
  <c r="D737" i="21"/>
  <c r="B737" i="21"/>
  <c r="A737" i="21"/>
  <c r="Y736" i="21"/>
  <c r="X736" i="21"/>
  <c r="W736" i="21"/>
  <c r="V736" i="21"/>
  <c r="T736" i="21"/>
  <c r="S736" i="21"/>
  <c r="R736" i="21"/>
  <c r="Q736" i="21"/>
  <c r="P736" i="21"/>
  <c r="N736" i="21"/>
  <c r="M736" i="21"/>
  <c r="L736" i="21"/>
  <c r="K736" i="21"/>
  <c r="J736" i="21"/>
  <c r="I736" i="21"/>
  <c r="H736" i="21"/>
  <c r="G736" i="21"/>
  <c r="F736" i="21"/>
  <c r="E736" i="21"/>
  <c r="D736" i="21"/>
  <c r="B736" i="21"/>
  <c r="A736" i="21"/>
  <c r="Y735" i="21"/>
  <c r="X735" i="21"/>
  <c r="W735" i="21"/>
  <c r="V735" i="21"/>
  <c r="T735" i="21"/>
  <c r="S735" i="21"/>
  <c r="R735" i="21"/>
  <c r="Q735" i="21"/>
  <c r="P735" i="21"/>
  <c r="N735" i="21"/>
  <c r="M735" i="21"/>
  <c r="L735" i="21"/>
  <c r="K735" i="21"/>
  <c r="J735" i="21"/>
  <c r="I735" i="21"/>
  <c r="H735" i="21"/>
  <c r="G735" i="21"/>
  <c r="F735" i="21"/>
  <c r="E735" i="21"/>
  <c r="D735" i="21"/>
  <c r="B735" i="21"/>
  <c r="A735" i="21"/>
  <c r="Y734" i="21"/>
  <c r="X734" i="21"/>
  <c r="W734" i="21"/>
  <c r="V734" i="21"/>
  <c r="T734" i="21"/>
  <c r="S734" i="21"/>
  <c r="R734" i="21"/>
  <c r="Q734" i="21"/>
  <c r="P734" i="21"/>
  <c r="N734" i="21"/>
  <c r="M734" i="21"/>
  <c r="L734" i="21"/>
  <c r="K734" i="21"/>
  <c r="J734" i="21"/>
  <c r="I734" i="21"/>
  <c r="H734" i="21"/>
  <c r="G734" i="21"/>
  <c r="F734" i="21"/>
  <c r="E734" i="21"/>
  <c r="D734" i="21"/>
  <c r="B734" i="21"/>
  <c r="A734" i="21"/>
  <c r="Y733" i="21"/>
  <c r="X733" i="21"/>
  <c r="W733" i="21"/>
  <c r="V733" i="21"/>
  <c r="T733" i="21"/>
  <c r="S733" i="21"/>
  <c r="R733" i="21"/>
  <c r="Q733" i="21"/>
  <c r="P733" i="21"/>
  <c r="N733" i="21"/>
  <c r="M733" i="21"/>
  <c r="L733" i="21"/>
  <c r="K733" i="21"/>
  <c r="J733" i="21"/>
  <c r="I733" i="21"/>
  <c r="H733" i="21"/>
  <c r="G733" i="21"/>
  <c r="F733" i="21"/>
  <c r="E733" i="21"/>
  <c r="D733" i="21"/>
  <c r="B733" i="21"/>
  <c r="A733" i="21"/>
  <c r="Y732" i="21"/>
  <c r="X732" i="21"/>
  <c r="W732" i="21"/>
  <c r="V732" i="21"/>
  <c r="T732" i="21"/>
  <c r="S732" i="21"/>
  <c r="R732" i="21"/>
  <c r="Q732" i="21"/>
  <c r="P732" i="21"/>
  <c r="N732" i="21"/>
  <c r="M732" i="21"/>
  <c r="L732" i="21"/>
  <c r="K732" i="21"/>
  <c r="J732" i="21"/>
  <c r="I732" i="21"/>
  <c r="H732" i="21"/>
  <c r="G732" i="21"/>
  <c r="F732" i="21"/>
  <c r="E732" i="21"/>
  <c r="D732" i="21"/>
  <c r="B732" i="21"/>
  <c r="A732" i="21"/>
  <c r="Y731" i="21"/>
  <c r="X731" i="21"/>
  <c r="W731" i="21"/>
  <c r="V731" i="21"/>
  <c r="T731" i="21"/>
  <c r="S731" i="21"/>
  <c r="R731" i="21"/>
  <c r="Q731" i="21"/>
  <c r="P731" i="21"/>
  <c r="N731" i="21"/>
  <c r="M731" i="21"/>
  <c r="L731" i="21"/>
  <c r="K731" i="21"/>
  <c r="J731" i="21"/>
  <c r="I731" i="21"/>
  <c r="H731" i="21"/>
  <c r="G731" i="21"/>
  <c r="F731" i="21"/>
  <c r="E731" i="21"/>
  <c r="D731" i="21"/>
  <c r="B731" i="21"/>
  <c r="A731" i="21"/>
  <c r="Y730" i="21"/>
  <c r="X730" i="21"/>
  <c r="W730" i="21"/>
  <c r="V730" i="21"/>
  <c r="T730" i="21"/>
  <c r="S730" i="21"/>
  <c r="R730" i="21"/>
  <c r="Q730" i="21"/>
  <c r="P730" i="21"/>
  <c r="N730" i="21"/>
  <c r="M730" i="21"/>
  <c r="L730" i="21"/>
  <c r="K730" i="21"/>
  <c r="J730" i="21"/>
  <c r="I730" i="21"/>
  <c r="H730" i="21"/>
  <c r="G730" i="21"/>
  <c r="F730" i="21"/>
  <c r="E730" i="21"/>
  <c r="D730" i="21"/>
  <c r="B730" i="21"/>
  <c r="A730" i="21"/>
  <c r="Y729" i="21"/>
  <c r="X729" i="21"/>
  <c r="W729" i="21"/>
  <c r="V729" i="21"/>
  <c r="T729" i="21"/>
  <c r="S729" i="21"/>
  <c r="R729" i="21"/>
  <c r="Q729" i="21"/>
  <c r="P729" i="21"/>
  <c r="N729" i="21"/>
  <c r="M729" i="21"/>
  <c r="L729" i="21"/>
  <c r="K729" i="21"/>
  <c r="J729" i="21"/>
  <c r="I729" i="21"/>
  <c r="H729" i="21"/>
  <c r="G729" i="21"/>
  <c r="F729" i="21"/>
  <c r="E729" i="21"/>
  <c r="D729" i="21"/>
  <c r="B729" i="21"/>
  <c r="A729" i="21"/>
  <c r="Y728" i="21"/>
  <c r="X728" i="21"/>
  <c r="W728" i="21"/>
  <c r="V728" i="21"/>
  <c r="T728" i="21"/>
  <c r="S728" i="21"/>
  <c r="R728" i="21"/>
  <c r="Q728" i="21"/>
  <c r="P728" i="21"/>
  <c r="N728" i="21"/>
  <c r="M728" i="21"/>
  <c r="L728" i="21"/>
  <c r="K728" i="21"/>
  <c r="J728" i="21"/>
  <c r="I728" i="21"/>
  <c r="H728" i="21"/>
  <c r="G728" i="21"/>
  <c r="F728" i="21"/>
  <c r="E728" i="21"/>
  <c r="D728" i="21"/>
  <c r="B728" i="21"/>
  <c r="A728" i="21"/>
  <c r="Y727" i="21"/>
  <c r="X727" i="21"/>
  <c r="W727" i="21"/>
  <c r="V727" i="21"/>
  <c r="T727" i="21"/>
  <c r="S727" i="21"/>
  <c r="R727" i="21"/>
  <c r="Q727" i="21"/>
  <c r="P727" i="21"/>
  <c r="N727" i="21"/>
  <c r="M727" i="21"/>
  <c r="L727" i="21"/>
  <c r="K727" i="21"/>
  <c r="J727" i="21"/>
  <c r="I727" i="21"/>
  <c r="H727" i="21"/>
  <c r="G727" i="21"/>
  <c r="F727" i="21"/>
  <c r="E727" i="21"/>
  <c r="D727" i="21"/>
  <c r="B727" i="21"/>
  <c r="A727" i="21"/>
  <c r="Y726" i="21"/>
  <c r="X726" i="21"/>
  <c r="W726" i="21"/>
  <c r="V726" i="21"/>
  <c r="T726" i="21"/>
  <c r="S726" i="21"/>
  <c r="R726" i="21"/>
  <c r="Q726" i="21"/>
  <c r="P726" i="21"/>
  <c r="N726" i="21"/>
  <c r="M726" i="21"/>
  <c r="L726" i="21"/>
  <c r="K726" i="21"/>
  <c r="J726" i="21"/>
  <c r="I726" i="21"/>
  <c r="H726" i="21"/>
  <c r="G726" i="21"/>
  <c r="F726" i="21"/>
  <c r="E726" i="21"/>
  <c r="D726" i="21"/>
  <c r="B726" i="21"/>
  <c r="A726" i="21"/>
  <c r="Y725" i="21"/>
  <c r="X725" i="21"/>
  <c r="W725" i="21"/>
  <c r="V725" i="21"/>
  <c r="T725" i="21"/>
  <c r="S725" i="21"/>
  <c r="R725" i="21"/>
  <c r="Q725" i="21"/>
  <c r="P725" i="21"/>
  <c r="N725" i="21"/>
  <c r="M725" i="21"/>
  <c r="L725" i="21"/>
  <c r="K725" i="21"/>
  <c r="J725" i="21"/>
  <c r="I725" i="21"/>
  <c r="H725" i="21"/>
  <c r="G725" i="21"/>
  <c r="F725" i="21"/>
  <c r="E725" i="21"/>
  <c r="D725" i="21"/>
  <c r="B725" i="21"/>
  <c r="A725" i="21"/>
  <c r="Y724" i="21"/>
  <c r="X724" i="21"/>
  <c r="W724" i="21"/>
  <c r="V724" i="21"/>
  <c r="T724" i="21"/>
  <c r="S724" i="21"/>
  <c r="R724" i="21"/>
  <c r="Q724" i="21"/>
  <c r="P724" i="21"/>
  <c r="N724" i="21"/>
  <c r="M724" i="21"/>
  <c r="L724" i="21"/>
  <c r="K724" i="21"/>
  <c r="J724" i="21"/>
  <c r="I724" i="21"/>
  <c r="H724" i="21"/>
  <c r="G724" i="21"/>
  <c r="F724" i="21"/>
  <c r="E724" i="21"/>
  <c r="D724" i="21"/>
  <c r="B724" i="21"/>
  <c r="A724" i="21"/>
  <c r="Y723" i="21"/>
  <c r="X723" i="21"/>
  <c r="W723" i="21"/>
  <c r="V723" i="21"/>
  <c r="T723" i="21"/>
  <c r="S723" i="21"/>
  <c r="R723" i="21"/>
  <c r="Q723" i="21"/>
  <c r="P723" i="21"/>
  <c r="N723" i="21"/>
  <c r="M723" i="21"/>
  <c r="L723" i="21"/>
  <c r="K723" i="21"/>
  <c r="J723" i="21"/>
  <c r="I723" i="21"/>
  <c r="H723" i="21"/>
  <c r="G723" i="21"/>
  <c r="F723" i="21"/>
  <c r="E723" i="21"/>
  <c r="D723" i="21"/>
  <c r="B723" i="21"/>
  <c r="A723" i="21"/>
  <c r="Y722" i="21"/>
  <c r="X722" i="21"/>
  <c r="W722" i="21"/>
  <c r="V722" i="21"/>
  <c r="T722" i="21"/>
  <c r="S722" i="21"/>
  <c r="R722" i="21"/>
  <c r="Q722" i="21"/>
  <c r="P722" i="21"/>
  <c r="N722" i="21"/>
  <c r="M722" i="21"/>
  <c r="L722" i="21"/>
  <c r="K722" i="21"/>
  <c r="J722" i="21"/>
  <c r="I722" i="21"/>
  <c r="H722" i="21"/>
  <c r="G722" i="21"/>
  <c r="F722" i="21"/>
  <c r="E722" i="21"/>
  <c r="D722" i="21"/>
  <c r="B722" i="21"/>
  <c r="A722" i="21"/>
  <c r="Y721" i="21"/>
  <c r="X721" i="21"/>
  <c r="W721" i="21"/>
  <c r="V721" i="21"/>
  <c r="T721" i="21"/>
  <c r="S721" i="21"/>
  <c r="R721" i="21"/>
  <c r="Q721" i="21"/>
  <c r="P721" i="21"/>
  <c r="N721" i="21"/>
  <c r="M721" i="21"/>
  <c r="L721" i="21"/>
  <c r="K721" i="21"/>
  <c r="J721" i="21"/>
  <c r="I721" i="21"/>
  <c r="H721" i="21"/>
  <c r="G721" i="21"/>
  <c r="F721" i="21"/>
  <c r="E721" i="21"/>
  <c r="D721" i="21"/>
  <c r="B721" i="21"/>
  <c r="A721" i="21"/>
  <c r="Y720" i="21"/>
  <c r="X720" i="21"/>
  <c r="W720" i="21"/>
  <c r="V720" i="21"/>
  <c r="T720" i="21"/>
  <c r="S720" i="21"/>
  <c r="R720" i="21"/>
  <c r="Q720" i="21"/>
  <c r="P720" i="21"/>
  <c r="N720" i="21"/>
  <c r="M720" i="21"/>
  <c r="L720" i="21"/>
  <c r="K720" i="21"/>
  <c r="J720" i="21"/>
  <c r="I720" i="21"/>
  <c r="H720" i="21"/>
  <c r="G720" i="21"/>
  <c r="F720" i="21"/>
  <c r="E720" i="21"/>
  <c r="D720" i="21"/>
  <c r="B720" i="21"/>
  <c r="A720" i="21"/>
  <c r="Y719" i="21"/>
  <c r="X719" i="21"/>
  <c r="W719" i="21"/>
  <c r="V719" i="21"/>
  <c r="T719" i="21"/>
  <c r="S719" i="21"/>
  <c r="R719" i="21"/>
  <c r="Q719" i="21"/>
  <c r="P719" i="21"/>
  <c r="N719" i="21"/>
  <c r="M719" i="21"/>
  <c r="L719" i="21"/>
  <c r="K719" i="21"/>
  <c r="J719" i="21"/>
  <c r="I719" i="21"/>
  <c r="H719" i="21"/>
  <c r="G719" i="21"/>
  <c r="F719" i="21"/>
  <c r="E719" i="21"/>
  <c r="D719" i="21"/>
  <c r="B719" i="21"/>
  <c r="A719" i="21"/>
  <c r="Y718" i="21"/>
  <c r="X718" i="21"/>
  <c r="W718" i="21"/>
  <c r="V718" i="21"/>
  <c r="T718" i="21"/>
  <c r="S718" i="21"/>
  <c r="R718" i="21"/>
  <c r="Q718" i="21"/>
  <c r="P718" i="21"/>
  <c r="N718" i="21"/>
  <c r="M718" i="21"/>
  <c r="L718" i="21"/>
  <c r="K718" i="21"/>
  <c r="J718" i="21"/>
  <c r="I718" i="21"/>
  <c r="H718" i="21"/>
  <c r="G718" i="21"/>
  <c r="F718" i="21"/>
  <c r="E718" i="21"/>
  <c r="D718" i="21"/>
  <c r="B718" i="21"/>
  <c r="A718" i="21"/>
  <c r="Y717" i="21"/>
  <c r="X717" i="21"/>
  <c r="W717" i="21"/>
  <c r="V717" i="21"/>
  <c r="T717" i="21"/>
  <c r="S717" i="21"/>
  <c r="R717" i="21"/>
  <c r="Q717" i="21"/>
  <c r="P717" i="21"/>
  <c r="N717" i="21"/>
  <c r="M717" i="21"/>
  <c r="L717" i="21"/>
  <c r="K717" i="21"/>
  <c r="J717" i="21"/>
  <c r="I717" i="21"/>
  <c r="H717" i="21"/>
  <c r="G717" i="21"/>
  <c r="F717" i="21"/>
  <c r="E717" i="21"/>
  <c r="D717" i="21"/>
  <c r="B717" i="21"/>
  <c r="A717" i="21"/>
  <c r="Y716" i="21"/>
  <c r="X716" i="21"/>
  <c r="W716" i="21"/>
  <c r="V716" i="21"/>
  <c r="T716" i="21"/>
  <c r="S716" i="21"/>
  <c r="R716" i="21"/>
  <c r="Q716" i="21"/>
  <c r="P716" i="21"/>
  <c r="N716" i="21"/>
  <c r="M716" i="21"/>
  <c r="L716" i="21"/>
  <c r="K716" i="21"/>
  <c r="J716" i="21"/>
  <c r="I716" i="21"/>
  <c r="H716" i="21"/>
  <c r="G716" i="21"/>
  <c r="F716" i="21"/>
  <c r="E716" i="21"/>
  <c r="D716" i="21"/>
  <c r="B716" i="21"/>
  <c r="A716" i="21"/>
  <c r="Y715" i="21"/>
  <c r="X715" i="21"/>
  <c r="W715" i="21"/>
  <c r="V715" i="21"/>
  <c r="T715" i="21"/>
  <c r="S715" i="21"/>
  <c r="R715" i="21"/>
  <c r="Q715" i="21"/>
  <c r="P715" i="21"/>
  <c r="N715" i="21"/>
  <c r="M715" i="21"/>
  <c r="L715" i="21"/>
  <c r="K715" i="21"/>
  <c r="J715" i="21"/>
  <c r="I715" i="21"/>
  <c r="H715" i="21"/>
  <c r="G715" i="21"/>
  <c r="F715" i="21"/>
  <c r="E715" i="21"/>
  <c r="D715" i="21"/>
  <c r="B715" i="21"/>
  <c r="A715" i="21"/>
  <c r="Y714" i="21"/>
  <c r="X714" i="21"/>
  <c r="W714" i="21"/>
  <c r="V714" i="21"/>
  <c r="T714" i="21"/>
  <c r="S714" i="21"/>
  <c r="R714" i="21"/>
  <c r="Q714" i="21"/>
  <c r="P714" i="21"/>
  <c r="N714" i="21"/>
  <c r="M714" i="21"/>
  <c r="L714" i="21"/>
  <c r="K714" i="21"/>
  <c r="J714" i="21"/>
  <c r="I714" i="21"/>
  <c r="H714" i="21"/>
  <c r="G714" i="21"/>
  <c r="F714" i="21"/>
  <c r="E714" i="21"/>
  <c r="D714" i="21"/>
  <c r="B714" i="21"/>
  <c r="A714" i="21"/>
  <c r="Y713" i="21"/>
  <c r="X713" i="21"/>
  <c r="W713" i="21"/>
  <c r="V713" i="21"/>
  <c r="T713" i="21"/>
  <c r="S713" i="21"/>
  <c r="R713" i="21"/>
  <c r="Q713" i="21"/>
  <c r="P713" i="21"/>
  <c r="N713" i="21"/>
  <c r="M713" i="21"/>
  <c r="L713" i="21"/>
  <c r="K713" i="21"/>
  <c r="J713" i="21"/>
  <c r="I713" i="21"/>
  <c r="H713" i="21"/>
  <c r="G713" i="21"/>
  <c r="F713" i="21"/>
  <c r="E713" i="21"/>
  <c r="D713" i="21"/>
  <c r="B713" i="21"/>
  <c r="A713" i="21"/>
  <c r="Y712" i="21"/>
  <c r="X712" i="21"/>
  <c r="W712" i="21"/>
  <c r="V712" i="21"/>
  <c r="T712" i="21"/>
  <c r="S712" i="21"/>
  <c r="R712" i="21"/>
  <c r="Q712" i="21"/>
  <c r="P712" i="21"/>
  <c r="N712" i="21"/>
  <c r="M712" i="21"/>
  <c r="L712" i="21"/>
  <c r="K712" i="21"/>
  <c r="J712" i="21"/>
  <c r="I712" i="21"/>
  <c r="H712" i="21"/>
  <c r="G712" i="21"/>
  <c r="F712" i="21"/>
  <c r="E712" i="21"/>
  <c r="D712" i="21"/>
  <c r="B712" i="21"/>
  <c r="A712" i="21"/>
  <c r="Y711" i="21"/>
  <c r="X711" i="21"/>
  <c r="W711" i="21"/>
  <c r="V711" i="21"/>
  <c r="T711" i="21"/>
  <c r="S711" i="21"/>
  <c r="R711" i="21"/>
  <c r="Q711" i="21"/>
  <c r="P711" i="21"/>
  <c r="N711" i="21"/>
  <c r="M711" i="21"/>
  <c r="L711" i="21"/>
  <c r="K711" i="21"/>
  <c r="J711" i="21"/>
  <c r="I711" i="21"/>
  <c r="H711" i="21"/>
  <c r="G711" i="21"/>
  <c r="F711" i="21"/>
  <c r="E711" i="21"/>
  <c r="D711" i="21"/>
  <c r="B711" i="21"/>
  <c r="A711" i="21"/>
  <c r="Y710" i="21"/>
  <c r="X710" i="21"/>
  <c r="W710" i="21"/>
  <c r="V710" i="21"/>
  <c r="T710" i="21"/>
  <c r="S710" i="21"/>
  <c r="R710" i="21"/>
  <c r="Q710" i="21"/>
  <c r="P710" i="21"/>
  <c r="N710" i="21"/>
  <c r="M710" i="21"/>
  <c r="L710" i="21"/>
  <c r="K710" i="21"/>
  <c r="J710" i="21"/>
  <c r="I710" i="21"/>
  <c r="H710" i="21"/>
  <c r="G710" i="21"/>
  <c r="F710" i="21"/>
  <c r="E710" i="21"/>
  <c r="D710" i="21"/>
  <c r="B710" i="21"/>
  <c r="A710" i="21"/>
  <c r="Y709" i="21"/>
  <c r="X709" i="21"/>
  <c r="W709" i="21"/>
  <c r="V709" i="21"/>
  <c r="T709" i="21"/>
  <c r="S709" i="21"/>
  <c r="R709" i="21"/>
  <c r="Q709" i="21"/>
  <c r="P709" i="21"/>
  <c r="N709" i="21"/>
  <c r="M709" i="21"/>
  <c r="L709" i="21"/>
  <c r="K709" i="21"/>
  <c r="J709" i="21"/>
  <c r="I709" i="21"/>
  <c r="H709" i="21"/>
  <c r="G709" i="21"/>
  <c r="F709" i="21"/>
  <c r="E709" i="21"/>
  <c r="D709" i="21"/>
  <c r="B709" i="21"/>
  <c r="A709" i="21"/>
  <c r="Y708" i="21"/>
  <c r="X708" i="21"/>
  <c r="W708" i="21"/>
  <c r="V708" i="21"/>
  <c r="T708" i="21"/>
  <c r="S708" i="21"/>
  <c r="R708" i="21"/>
  <c r="Q708" i="21"/>
  <c r="P708" i="21"/>
  <c r="N708" i="21"/>
  <c r="M708" i="21"/>
  <c r="L708" i="21"/>
  <c r="K708" i="21"/>
  <c r="J708" i="21"/>
  <c r="I708" i="21"/>
  <c r="H708" i="21"/>
  <c r="G708" i="21"/>
  <c r="F708" i="21"/>
  <c r="E708" i="21"/>
  <c r="D708" i="21"/>
  <c r="B708" i="21"/>
  <c r="A708" i="21"/>
  <c r="Y707" i="21"/>
  <c r="X707" i="21"/>
  <c r="W707" i="21"/>
  <c r="V707" i="21"/>
  <c r="T707" i="21"/>
  <c r="S707" i="21"/>
  <c r="R707" i="21"/>
  <c r="Q707" i="21"/>
  <c r="P707" i="21"/>
  <c r="N707" i="21"/>
  <c r="M707" i="21"/>
  <c r="L707" i="21"/>
  <c r="K707" i="21"/>
  <c r="J707" i="21"/>
  <c r="I707" i="21"/>
  <c r="H707" i="21"/>
  <c r="G707" i="21"/>
  <c r="F707" i="21"/>
  <c r="E707" i="21"/>
  <c r="D707" i="21"/>
  <c r="B707" i="21"/>
  <c r="A707" i="21"/>
  <c r="Y706" i="21"/>
  <c r="X706" i="21"/>
  <c r="W706" i="21"/>
  <c r="V706" i="21"/>
  <c r="T706" i="21"/>
  <c r="S706" i="21"/>
  <c r="R706" i="21"/>
  <c r="Q706" i="21"/>
  <c r="P706" i="21"/>
  <c r="N706" i="21"/>
  <c r="M706" i="21"/>
  <c r="L706" i="21"/>
  <c r="K706" i="21"/>
  <c r="J706" i="21"/>
  <c r="I706" i="21"/>
  <c r="H706" i="21"/>
  <c r="G706" i="21"/>
  <c r="F706" i="21"/>
  <c r="E706" i="21"/>
  <c r="D706" i="21"/>
  <c r="B706" i="21"/>
  <c r="A706" i="21"/>
  <c r="Y705" i="21"/>
  <c r="X705" i="21"/>
  <c r="W705" i="21"/>
  <c r="V705" i="21"/>
  <c r="T705" i="21"/>
  <c r="S705" i="21"/>
  <c r="R705" i="21"/>
  <c r="Q705" i="21"/>
  <c r="P705" i="21"/>
  <c r="N705" i="21"/>
  <c r="M705" i="21"/>
  <c r="L705" i="21"/>
  <c r="K705" i="21"/>
  <c r="J705" i="21"/>
  <c r="I705" i="21"/>
  <c r="H705" i="21"/>
  <c r="G705" i="21"/>
  <c r="F705" i="21"/>
  <c r="E705" i="21"/>
  <c r="D705" i="21"/>
  <c r="B705" i="21"/>
  <c r="A705" i="21"/>
  <c r="Y704" i="21"/>
  <c r="X704" i="21"/>
  <c r="W704" i="21"/>
  <c r="V704" i="21"/>
  <c r="T704" i="21"/>
  <c r="S704" i="21"/>
  <c r="R704" i="21"/>
  <c r="Q704" i="21"/>
  <c r="P704" i="21"/>
  <c r="N704" i="21"/>
  <c r="M704" i="21"/>
  <c r="L704" i="21"/>
  <c r="K704" i="21"/>
  <c r="J704" i="21"/>
  <c r="I704" i="21"/>
  <c r="H704" i="21"/>
  <c r="G704" i="21"/>
  <c r="F704" i="21"/>
  <c r="E704" i="21"/>
  <c r="D704" i="21"/>
  <c r="B704" i="21"/>
  <c r="A704" i="21"/>
  <c r="Y703" i="21"/>
  <c r="X703" i="21"/>
  <c r="W703" i="21"/>
  <c r="V703" i="21"/>
  <c r="T703" i="21"/>
  <c r="S703" i="21"/>
  <c r="R703" i="21"/>
  <c r="Q703" i="21"/>
  <c r="P703" i="21"/>
  <c r="N703" i="21"/>
  <c r="M703" i="21"/>
  <c r="L703" i="21"/>
  <c r="K703" i="21"/>
  <c r="J703" i="21"/>
  <c r="I703" i="21"/>
  <c r="H703" i="21"/>
  <c r="G703" i="21"/>
  <c r="F703" i="21"/>
  <c r="E703" i="21"/>
  <c r="D703" i="21"/>
  <c r="B703" i="21"/>
  <c r="A703" i="21"/>
  <c r="Y702" i="21"/>
  <c r="X702" i="21"/>
  <c r="W702" i="21"/>
  <c r="V702" i="21"/>
  <c r="T702" i="21"/>
  <c r="S702" i="21"/>
  <c r="R702" i="21"/>
  <c r="Q702" i="21"/>
  <c r="P702" i="21"/>
  <c r="N702" i="21"/>
  <c r="M702" i="21"/>
  <c r="L702" i="21"/>
  <c r="K702" i="21"/>
  <c r="J702" i="21"/>
  <c r="I702" i="21"/>
  <c r="H702" i="21"/>
  <c r="G702" i="21"/>
  <c r="F702" i="21"/>
  <c r="E702" i="21"/>
  <c r="D702" i="21"/>
  <c r="B702" i="21"/>
  <c r="A702" i="21"/>
  <c r="Y701" i="21"/>
  <c r="X701" i="21"/>
  <c r="W701" i="21"/>
  <c r="V701" i="21"/>
  <c r="T701" i="21"/>
  <c r="S701" i="21"/>
  <c r="R701" i="21"/>
  <c r="Q701" i="21"/>
  <c r="P701" i="21"/>
  <c r="N701" i="21"/>
  <c r="M701" i="21"/>
  <c r="L701" i="21"/>
  <c r="K701" i="21"/>
  <c r="J701" i="21"/>
  <c r="I701" i="21"/>
  <c r="H701" i="21"/>
  <c r="G701" i="21"/>
  <c r="F701" i="21"/>
  <c r="E701" i="21"/>
  <c r="D701" i="21"/>
  <c r="B701" i="21"/>
  <c r="A701" i="21"/>
  <c r="Y700" i="21"/>
  <c r="X700" i="21"/>
  <c r="W700" i="21"/>
  <c r="V700" i="21"/>
  <c r="T700" i="21"/>
  <c r="S700" i="21"/>
  <c r="R700" i="21"/>
  <c r="Q700" i="21"/>
  <c r="P700" i="21"/>
  <c r="N700" i="21"/>
  <c r="M700" i="21"/>
  <c r="L700" i="21"/>
  <c r="K700" i="21"/>
  <c r="J700" i="21"/>
  <c r="I700" i="21"/>
  <c r="H700" i="21"/>
  <c r="G700" i="21"/>
  <c r="F700" i="21"/>
  <c r="E700" i="21"/>
  <c r="D700" i="21"/>
  <c r="B700" i="21"/>
  <c r="A700" i="21"/>
  <c r="Y699" i="21"/>
  <c r="X699" i="21"/>
  <c r="W699" i="21"/>
  <c r="V699" i="21"/>
  <c r="T699" i="21"/>
  <c r="S699" i="21"/>
  <c r="R699" i="21"/>
  <c r="Q699" i="21"/>
  <c r="P699" i="21"/>
  <c r="N699" i="21"/>
  <c r="M699" i="21"/>
  <c r="L699" i="21"/>
  <c r="K699" i="21"/>
  <c r="J699" i="21"/>
  <c r="I699" i="21"/>
  <c r="H699" i="21"/>
  <c r="G699" i="21"/>
  <c r="F699" i="21"/>
  <c r="E699" i="21"/>
  <c r="D699" i="21"/>
  <c r="B699" i="21"/>
  <c r="A699" i="21"/>
  <c r="Y698" i="21"/>
  <c r="X698" i="21"/>
  <c r="W698" i="21"/>
  <c r="V698" i="21"/>
  <c r="T698" i="21"/>
  <c r="S698" i="21"/>
  <c r="R698" i="21"/>
  <c r="Q698" i="21"/>
  <c r="P698" i="21"/>
  <c r="N698" i="21"/>
  <c r="M698" i="21"/>
  <c r="L698" i="21"/>
  <c r="K698" i="21"/>
  <c r="J698" i="21"/>
  <c r="I698" i="21"/>
  <c r="H698" i="21"/>
  <c r="G698" i="21"/>
  <c r="F698" i="21"/>
  <c r="E698" i="21"/>
  <c r="D698" i="21"/>
  <c r="B698" i="21"/>
  <c r="A698" i="21"/>
  <c r="Y697" i="21"/>
  <c r="X697" i="21"/>
  <c r="W697" i="21"/>
  <c r="V697" i="21"/>
  <c r="T697" i="21"/>
  <c r="S697" i="21"/>
  <c r="R697" i="21"/>
  <c r="Q697" i="21"/>
  <c r="P697" i="21"/>
  <c r="N697" i="21"/>
  <c r="M697" i="21"/>
  <c r="L697" i="21"/>
  <c r="K697" i="21"/>
  <c r="J697" i="21"/>
  <c r="I697" i="21"/>
  <c r="H697" i="21"/>
  <c r="G697" i="21"/>
  <c r="F697" i="21"/>
  <c r="E697" i="21"/>
  <c r="D697" i="21"/>
  <c r="B697" i="21"/>
  <c r="A697" i="21"/>
  <c r="Y696" i="21"/>
  <c r="X696" i="21"/>
  <c r="W696" i="21"/>
  <c r="V696" i="21"/>
  <c r="T696" i="21"/>
  <c r="S696" i="21"/>
  <c r="R696" i="21"/>
  <c r="Q696" i="21"/>
  <c r="P696" i="21"/>
  <c r="N696" i="21"/>
  <c r="M696" i="21"/>
  <c r="L696" i="21"/>
  <c r="K696" i="21"/>
  <c r="J696" i="21"/>
  <c r="I696" i="21"/>
  <c r="H696" i="21"/>
  <c r="G696" i="21"/>
  <c r="F696" i="21"/>
  <c r="E696" i="21"/>
  <c r="D696" i="21"/>
  <c r="B696" i="21"/>
  <c r="A696" i="21"/>
  <c r="Y695" i="21"/>
  <c r="X695" i="21"/>
  <c r="W695" i="21"/>
  <c r="V695" i="21"/>
  <c r="T695" i="21"/>
  <c r="S695" i="21"/>
  <c r="R695" i="21"/>
  <c r="Q695" i="21"/>
  <c r="P695" i="21"/>
  <c r="N695" i="21"/>
  <c r="M695" i="21"/>
  <c r="L695" i="21"/>
  <c r="K695" i="21"/>
  <c r="J695" i="21"/>
  <c r="I695" i="21"/>
  <c r="H695" i="21"/>
  <c r="G695" i="21"/>
  <c r="F695" i="21"/>
  <c r="E695" i="21"/>
  <c r="D695" i="21"/>
  <c r="B695" i="21"/>
  <c r="A695" i="21"/>
  <c r="Y694" i="21"/>
  <c r="X694" i="21"/>
  <c r="W694" i="21"/>
  <c r="V694" i="21"/>
  <c r="T694" i="21"/>
  <c r="S694" i="21"/>
  <c r="R694" i="21"/>
  <c r="Q694" i="21"/>
  <c r="P694" i="21"/>
  <c r="N694" i="21"/>
  <c r="M694" i="21"/>
  <c r="L694" i="21"/>
  <c r="K694" i="21"/>
  <c r="J694" i="21"/>
  <c r="I694" i="21"/>
  <c r="H694" i="21"/>
  <c r="G694" i="21"/>
  <c r="F694" i="21"/>
  <c r="E694" i="21"/>
  <c r="D694" i="21"/>
  <c r="B694" i="21"/>
  <c r="A694" i="21"/>
  <c r="Y693" i="21"/>
  <c r="X693" i="21"/>
  <c r="W693" i="21"/>
  <c r="V693" i="21"/>
  <c r="T693" i="21"/>
  <c r="S693" i="21"/>
  <c r="R693" i="21"/>
  <c r="Q693" i="21"/>
  <c r="P693" i="21"/>
  <c r="N693" i="21"/>
  <c r="M693" i="21"/>
  <c r="L693" i="21"/>
  <c r="K693" i="21"/>
  <c r="J693" i="21"/>
  <c r="I693" i="21"/>
  <c r="H693" i="21"/>
  <c r="G693" i="21"/>
  <c r="F693" i="21"/>
  <c r="E693" i="21"/>
  <c r="D693" i="21"/>
  <c r="B693" i="21"/>
  <c r="A693" i="21"/>
  <c r="Y692" i="21"/>
  <c r="X692" i="21"/>
  <c r="W692" i="21"/>
  <c r="V692" i="21"/>
  <c r="T692" i="21"/>
  <c r="S692" i="21"/>
  <c r="R692" i="21"/>
  <c r="Q692" i="21"/>
  <c r="P692" i="21"/>
  <c r="N692" i="21"/>
  <c r="M692" i="21"/>
  <c r="L692" i="21"/>
  <c r="K692" i="21"/>
  <c r="J692" i="21"/>
  <c r="I692" i="21"/>
  <c r="H692" i="21"/>
  <c r="G692" i="21"/>
  <c r="F692" i="21"/>
  <c r="E692" i="21"/>
  <c r="D692" i="21"/>
  <c r="B692" i="21"/>
  <c r="A692" i="21"/>
  <c r="Y691" i="21"/>
  <c r="X691" i="21"/>
  <c r="W691" i="21"/>
  <c r="V691" i="21"/>
  <c r="T691" i="21"/>
  <c r="S691" i="21"/>
  <c r="R691" i="21"/>
  <c r="Q691" i="21"/>
  <c r="P691" i="21"/>
  <c r="N691" i="21"/>
  <c r="M691" i="21"/>
  <c r="L691" i="21"/>
  <c r="K691" i="21"/>
  <c r="J691" i="21"/>
  <c r="I691" i="21"/>
  <c r="H691" i="21"/>
  <c r="G691" i="21"/>
  <c r="F691" i="21"/>
  <c r="E691" i="21"/>
  <c r="D691" i="21"/>
  <c r="B691" i="21"/>
  <c r="A691" i="21"/>
  <c r="Y690" i="21"/>
  <c r="X690" i="21"/>
  <c r="W690" i="21"/>
  <c r="V690" i="21"/>
  <c r="T690" i="21"/>
  <c r="S690" i="21"/>
  <c r="R690" i="21"/>
  <c r="Q690" i="21"/>
  <c r="P690" i="21"/>
  <c r="N690" i="21"/>
  <c r="M690" i="21"/>
  <c r="L690" i="21"/>
  <c r="K690" i="21"/>
  <c r="J690" i="21"/>
  <c r="I690" i="21"/>
  <c r="H690" i="21"/>
  <c r="G690" i="21"/>
  <c r="F690" i="21"/>
  <c r="E690" i="21"/>
  <c r="D690" i="21"/>
  <c r="B690" i="21"/>
  <c r="A690" i="21"/>
  <c r="Y689" i="21"/>
  <c r="X689" i="21"/>
  <c r="W689" i="21"/>
  <c r="V689" i="21"/>
  <c r="T689" i="21"/>
  <c r="S689" i="21"/>
  <c r="R689" i="21"/>
  <c r="Q689" i="21"/>
  <c r="P689" i="21"/>
  <c r="N689" i="21"/>
  <c r="M689" i="21"/>
  <c r="L689" i="21"/>
  <c r="K689" i="21"/>
  <c r="J689" i="21"/>
  <c r="I689" i="21"/>
  <c r="H689" i="21"/>
  <c r="G689" i="21"/>
  <c r="F689" i="21"/>
  <c r="E689" i="21"/>
  <c r="D689" i="21"/>
  <c r="B689" i="21"/>
  <c r="A689" i="21"/>
  <c r="Y688" i="21"/>
  <c r="X688" i="21"/>
  <c r="W688" i="21"/>
  <c r="V688" i="21"/>
  <c r="T688" i="21"/>
  <c r="S688" i="21"/>
  <c r="R688" i="21"/>
  <c r="Q688" i="21"/>
  <c r="P688" i="21"/>
  <c r="N688" i="21"/>
  <c r="M688" i="21"/>
  <c r="L688" i="21"/>
  <c r="K688" i="21"/>
  <c r="J688" i="21"/>
  <c r="I688" i="21"/>
  <c r="H688" i="21"/>
  <c r="G688" i="21"/>
  <c r="F688" i="21"/>
  <c r="E688" i="21"/>
  <c r="D688" i="21"/>
  <c r="B688" i="21"/>
  <c r="A688" i="21"/>
  <c r="Y687" i="21"/>
  <c r="X687" i="21"/>
  <c r="W687" i="21"/>
  <c r="V687" i="21"/>
  <c r="T687" i="21"/>
  <c r="S687" i="21"/>
  <c r="R687" i="21"/>
  <c r="Q687" i="21"/>
  <c r="P687" i="21"/>
  <c r="N687" i="21"/>
  <c r="M687" i="21"/>
  <c r="L687" i="21"/>
  <c r="K687" i="21"/>
  <c r="J687" i="21"/>
  <c r="I687" i="21"/>
  <c r="H687" i="21"/>
  <c r="G687" i="21"/>
  <c r="F687" i="21"/>
  <c r="E687" i="21"/>
  <c r="D687" i="21"/>
  <c r="B687" i="21"/>
  <c r="A687" i="21"/>
  <c r="Y686" i="21"/>
  <c r="X686" i="21"/>
  <c r="W686" i="21"/>
  <c r="V686" i="21"/>
  <c r="T686" i="21"/>
  <c r="S686" i="21"/>
  <c r="R686" i="21"/>
  <c r="Q686" i="21"/>
  <c r="P686" i="21"/>
  <c r="N686" i="21"/>
  <c r="M686" i="21"/>
  <c r="L686" i="21"/>
  <c r="K686" i="21"/>
  <c r="J686" i="21"/>
  <c r="I686" i="21"/>
  <c r="H686" i="21"/>
  <c r="G686" i="21"/>
  <c r="F686" i="21"/>
  <c r="E686" i="21"/>
  <c r="D686" i="21"/>
  <c r="B686" i="21"/>
  <c r="A686" i="21"/>
  <c r="Y685" i="21"/>
  <c r="X685" i="21"/>
  <c r="W685" i="21"/>
  <c r="V685" i="21"/>
  <c r="T685" i="21"/>
  <c r="S685" i="21"/>
  <c r="R685" i="21"/>
  <c r="Q685" i="21"/>
  <c r="P685" i="21"/>
  <c r="N685" i="21"/>
  <c r="M685" i="21"/>
  <c r="L685" i="21"/>
  <c r="K685" i="21"/>
  <c r="J685" i="21"/>
  <c r="I685" i="21"/>
  <c r="H685" i="21"/>
  <c r="G685" i="21"/>
  <c r="F685" i="21"/>
  <c r="E685" i="21"/>
  <c r="D685" i="21"/>
  <c r="B685" i="21"/>
  <c r="A685" i="21"/>
  <c r="Y684" i="21"/>
  <c r="X684" i="21"/>
  <c r="W684" i="21"/>
  <c r="V684" i="21"/>
  <c r="T684" i="21"/>
  <c r="S684" i="21"/>
  <c r="R684" i="21"/>
  <c r="Q684" i="21"/>
  <c r="P684" i="21"/>
  <c r="N684" i="21"/>
  <c r="M684" i="21"/>
  <c r="L684" i="21"/>
  <c r="K684" i="21"/>
  <c r="J684" i="21"/>
  <c r="I684" i="21"/>
  <c r="H684" i="21"/>
  <c r="G684" i="21"/>
  <c r="F684" i="21"/>
  <c r="E684" i="21"/>
  <c r="D684" i="21"/>
  <c r="B684" i="21"/>
  <c r="A684" i="21"/>
  <c r="Y683" i="21"/>
  <c r="X683" i="21"/>
  <c r="W683" i="21"/>
  <c r="V683" i="21"/>
  <c r="T683" i="21"/>
  <c r="S683" i="21"/>
  <c r="R683" i="21"/>
  <c r="Q683" i="21"/>
  <c r="P683" i="21"/>
  <c r="N683" i="21"/>
  <c r="M683" i="21"/>
  <c r="L683" i="21"/>
  <c r="K683" i="21"/>
  <c r="J683" i="21"/>
  <c r="I683" i="21"/>
  <c r="H683" i="21"/>
  <c r="G683" i="21"/>
  <c r="F683" i="21"/>
  <c r="E683" i="21"/>
  <c r="D683" i="21"/>
  <c r="B683" i="21"/>
  <c r="A683" i="21"/>
  <c r="Y682" i="21"/>
  <c r="X682" i="21"/>
  <c r="W682" i="21"/>
  <c r="V682" i="21"/>
  <c r="T682" i="21"/>
  <c r="S682" i="21"/>
  <c r="R682" i="21"/>
  <c r="Q682" i="21"/>
  <c r="P682" i="21"/>
  <c r="N682" i="21"/>
  <c r="M682" i="21"/>
  <c r="L682" i="21"/>
  <c r="K682" i="21"/>
  <c r="J682" i="21"/>
  <c r="I682" i="21"/>
  <c r="H682" i="21"/>
  <c r="G682" i="21"/>
  <c r="F682" i="21"/>
  <c r="E682" i="21"/>
  <c r="D682" i="21"/>
  <c r="B682" i="21"/>
  <c r="A682" i="21"/>
  <c r="Y681" i="21"/>
  <c r="X681" i="21"/>
  <c r="W681" i="21"/>
  <c r="V681" i="21"/>
  <c r="T681" i="21"/>
  <c r="S681" i="21"/>
  <c r="R681" i="21"/>
  <c r="Q681" i="21"/>
  <c r="P681" i="21"/>
  <c r="N681" i="21"/>
  <c r="M681" i="21"/>
  <c r="L681" i="21"/>
  <c r="K681" i="21"/>
  <c r="J681" i="21"/>
  <c r="I681" i="21"/>
  <c r="H681" i="21"/>
  <c r="G681" i="21"/>
  <c r="F681" i="21"/>
  <c r="E681" i="21"/>
  <c r="D681" i="21"/>
  <c r="B681" i="21"/>
  <c r="A681" i="21"/>
  <c r="Y680" i="21"/>
  <c r="X680" i="21"/>
  <c r="W680" i="21"/>
  <c r="V680" i="21"/>
  <c r="T680" i="21"/>
  <c r="S680" i="21"/>
  <c r="R680" i="21"/>
  <c r="Q680" i="21"/>
  <c r="P680" i="21"/>
  <c r="N680" i="21"/>
  <c r="M680" i="21"/>
  <c r="L680" i="21"/>
  <c r="K680" i="21"/>
  <c r="J680" i="21"/>
  <c r="I680" i="21"/>
  <c r="H680" i="21"/>
  <c r="G680" i="21"/>
  <c r="F680" i="21"/>
  <c r="E680" i="21"/>
  <c r="D680" i="21"/>
  <c r="B680" i="21"/>
  <c r="A680" i="21"/>
  <c r="Y679" i="21"/>
  <c r="X679" i="21"/>
  <c r="W679" i="21"/>
  <c r="V679" i="21"/>
  <c r="T679" i="21"/>
  <c r="S679" i="21"/>
  <c r="R679" i="21"/>
  <c r="Q679" i="21"/>
  <c r="P679" i="21"/>
  <c r="N679" i="21"/>
  <c r="M679" i="21"/>
  <c r="L679" i="21"/>
  <c r="K679" i="21"/>
  <c r="J679" i="21"/>
  <c r="I679" i="21"/>
  <c r="H679" i="21"/>
  <c r="G679" i="21"/>
  <c r="F679" i="21"/>
  <c r="E679" i="21"/>
  <c r="D679" i="21"/>
  <c r="B679" i="21"/>
  <c r="A679" i="21"/>
  <c r="Y678" i="21"/>
  <c r="X678" i="21"/>
  <c r="W678" i="21"/>
  <c r="V678" i="21"/>
  <c r="T678" i="21"/>
  <c r="S678" i="21"/>
  <c r="R678" i="21"/>
  <c r="Q678" i="21"/>
  <c r="P678" i="21"/>
  <c r="N678" i="21"/>
  <c r="M678" i="21"/>
  <c r="L678" i="21"/>
  <c r="K678" i="21"/>
  <c r="J678" i="21"/>
  <c r="I678" i="21"/>
  <c r="H678" i="21"/>
  <c r="G678" i="21"/>
  <c r="F678" i="21"/>
  <c r="E678" i="21"/>
  <c r="D678" i="21"/>
  <c r="B678" i="21"/>
  <c r="A678" i="21"/>
  <c r="Y677" i="21"/>
  <c r="X677" i="21"/>
  <c r="W677" i="21"/>
  <c r="V677" i="21"/>
  <c r="T677" i="21"/>
  <c r="S677" i="21"/>
  <c r="R677" i="21"/>
  <c r="Q677" i="21"/>
  <c r="P677" i="21"/>
  <c r="N677" i="21"/>
  <c r="M677" i="21"/>
  <c r="L677" i="21"/>
  <c r="K677" i="21"/>
  <c r="J677" i="21"/>
  <c r="I677" i="21"/>
  <c r="H677" i="21"/>
  <c r="E677" i="21"/>
  <c r="D677" i="21"/>
  <c r="B677" i="21"/>
  <c r="A677" i="21"/>
  <c r="Y676" i="21"/>
  <c r="X676" i="21"/>
  <c r="W676" i="21"/>
  <c r="V676" i="21"/>
  <c r="T676" i="21"/>
  <c r="S676" i="21"/>
  <c r="R676" i="21"/>
  <c r="Q676" i="21"/>
  <c r="P676" i="21"/>
  <c r="N676" i="21"/>
  <c r="M676" i="21"/>
  <c r="L676" i="21"/>
  <c r="K676" i="21"/>
  <c r="J676" i="21"/>
  <c r="I676" i="21"/>
  <c r="H676" i="21"/>
  <c r="G676" i="21"/>
  <c r="F676" i="21"/>
  <c r="E676" i="21"/>
  <c r="D676" i="21"/>
  <c r="B676" i="21"/>
  <c r="A676" i="21"/>
  <c r="Y675" i="21"/>
  <c r="X675" i="21"/>
  <c r="W675" i="21"/>
  <c r="V675" i="21"/>
  <c r="T675" i="21"/>
  <c r="S675" i="21"/>
  <c r="R675" i="21"/>
  <c r="Q675" i="21"/>
  <c r="P675" i="21"/>
  <c r="N675" i="21"/>
  <c r="M675" i="21"/>
  <c r="L675" i="21"/>
  <c r="K675" i="21"/>
  <c r="J675" i="21"/>
  <c r="I675" i="21"/>
  <c r="H675" i="21"/>
  <c r="G675" i="21"/>
  <c r="F675" i="21"/>
  <c r="E675" i="21"/>
  <c r="D675" i="21"/>
  <c r="B675" i="21"/>
  <c r="A675" i="21"/>
  <c r="Y674" i="21"/>
  <c r="X674" i="21"/>
  <c r="W674" i="21"/>
  <c r="V674" i="21"/>
  <c r="T674" i="21"/>
  <c r="S674" i="21"/>
  <c r="R674" i="21"/>
  <c r="Q674" i="21"/>
  <c r="P674" i="21"/>
  <c r="N674" i="21"/>
  <c r="M674" i="21"/>
  <c r="L674" i="21"/>
  <c r="K674" i="21"/>
  <c r="J674" i="21"/>
  <c r="I674" i="21"/>
  <c r="H674" i="21"/>
  <c r="G674" i="21"/>
  <c r="F674" i="21"/>
  <c r="E674" i="21"/>
  <c r="D674" i="21"/>
  <c r="B674" i="21"/>
  <c r="A674" i="21"/>
  <c r="Y673" i="21"/>
  <c r="X673" i="21"/>
  <c r="W673" i="21"/>
  <c r="V673" i="21"/>
  <c r="T673" i="21"/>
  <c r="S673" i="21"/>
  <c r="R673" i="21"/>
  <c r="Q673" i="21"/>
  <c r="P673" i="21"/>
  <c r="N673" i="21"/>
  <c r="M673" i="21"/>
  <c r="L673" i="21"/>
  <c r="K673" i="21"/>
  <c r="J673" i="21"/>
  <c r="I673" i="21"/>
  <c r="H673" i="21"/>
  <c r="G673" i="21"/>
  <c r="F673" i="21"/>
  <c r="E673" i="21"/>
  <c r="D673" i="21"/>
  <c r="B673" i="21"/>
  <c r="A673" i="21"/>
  <c r="Y672" i="21"/>
  <c r="X672" i="21"/>
  <c r="W672" i="21"/>
  <c r="V672" i="21"/>
  <c r="T672" i="21"/>
  <c r="S672" i="21"/>
  <c r="R672" i="21"/>
  <c r="Q672" i="21"/>
  <c r="P672" i="21"/>
  <c r="N672" i="21"/>
  <c r="M672" i="21"/>
  <c r="L672" i="21"/>
  <c r="K672" i="21"/>
  <c r="J672" i="21"/>
  <c r="I672" i="21"/>
  <c r="H672" i="21"/>
  <c r="G672" i="21"/>
  <c r="F672" i="21"/>
  <c r="E672" i="21"/>
  <c r="D672" i="21"/>
  <c r="B672" i="21"/>
  <c r="A672" i="21"/>
  <c r="Y671" i="21"/>
  <c r="X671" i="21"/>
  <c r="W671" i="21"/>
  <c r="V671" i="21"/>
  <c r="T671" i="21"/>
  <c r="S671" i="21"/>
  <c r="R671" i="21"/>
  <c r="Q671" i="21"/>
  <c r="P671" i="21"/>
  <c r="N671" i="21"/>
  <c r="M671" i="21"/>
  <c r="L671" i="21"/>
  <c r="K671" i="21"/>
  <c r="J671" i="21"/>
  <c r="I671" i="21"/>
  <c r="H671" i="21"/>
  <c r="G671" i="21"/>
  <c r="F671" i="21"/>
  <c r="E671" i="21"/>
  <c r="D671" i="21"/>
  <c r="B671" i="21"/>
  <c r="A671" i="21"/>
  <c r="Y670" i="21"/>
  <c r="X670" i="21"/>
  <c r="W670" i="21"/>
  <c r="V670" i="21"/>
  <c r="T670" i="21"/>
  <c r="S670" i="21"/>
  <c r="R670" i="21"/>
  <c r="Q670" i="21"/>
  <c r="P670" i="21"/>
  <c r="N670" i="21"/>
  <c r="M670" i="21"/>
  <c r="L670" i="21"/>
  <c r="K670" i="21"/>
  <c r="J670" i="21"/>
  <c r="I670" i="21"/>
  <c r="H670" i="21"/>
  <c r="G670" i="21"/>
  <c r="F670" i="21"/>
  <c r="E670" i="21"/>
  <c r="D670" i="21"/>
  <c r="B670" i="21"/>
  <c r="A670" i="21"/>
  <c r="Y669" i="21"/>
  <c r="X669" i="21"/>
  <c r="W669" i="21"/>
  <c r="V669" i="21"/>
  <c r="T669" i="21"/>
  <c r="S669" i="21"/>
  <c r="R669" i="21"/>
  <c r="Q669" i="21"/>
  <c r="P669" i="21"/>
  <c r="N669" i="21"/>
  <c r="M669" i="21"/>
  <c r="L669" i="21"/>
  <c r="K669" i="21"/>
  <c r="J669" i="21"/>
  <c r="I669" i="21"/>
  <c r="H669" i="21"/>
  <c r="G669" i="21"/>
  <c r="F669" i="21"/>
  <c r="E669" i="21"/>
  <c r="D669" i="21"/>
  <c r="B669" i="21"/>
  <c r="A669" i="21"/>
  <c r="Y668" i="21"/>
  <c r="X668" i="21"/>
  <c r="W668" i="21"/>
  <c r="V668" i="21"/>
  <c r="T668" i="21"/>
  <c r="S668" i="21"/>
  <c r="R668" i="21"/>
  <c r="Q668" i="21"/>
  <c r="P668" i="21"/>
  <c r="N668" i="21"/>
  <c r="M668" i="21"/>
  <c r="L668" i="21"/>
  <c r="K668" i="21"/>
  <c r="J668" i="21"/>
  <c r="I668" i="21"/>
  <c r="H668" i="21"/>
  <c r="G668" i="21"/>
  <c r="F668" i="21"/>
  <c r="E668" i="21"/>
  <c r="D668" i="21"/>
  <c r="B668" i="21"/>
  <c r="A668" i="21"/>
  <c r="Y667" i="21"/>
  <c r="X667" i="21"/>
  <c r="W667" i="21"/>
  <c r="V667" i="21"/>
  <c r="T667" i="21"/>
  <c r="S667" i="21"/>
  <c r="R667" i="21"/>
  <c r="Q667" i="21"/>
  <c r="P667" i="21"/>
  <c r="N667" i="21"/>
  <c r="M667" i="21"/>
  <c r="L667" i="21"/>
  <c r="K667" i="21"/>
  <c r="J667" i="21"/>
  <c r="I667" i="21"/>
  <c r="H667" i="21"/>
  <c r="G667" i="21"/>
  <c r="F667" i="21"/>
  <c r="E667" i="21"/>
  <c r="D667" i="21"/>
  <c r="B667" i="21"/>
  <c r="A667" i="21"/>
  <c r="Y666" i="21"/>
  <c r="X666" i="21"/>
  <c r="W666" i="21"/>
  <c r="V666" i="21"/>
  <c r="T666" i="21"/>
  <c r="S666" i="21"/>
  <c r="R666" i="21"/>
  <c r="Q666" i="21"/>
  <c r="P666" i="21"/>
  <c r="N666" i="21"/>
  <c r="M666" i="21"/>
  <c r="L666" i="21"/>
  <c r="K666" i="21"/>
  <c r="J666" i="21"/>
  <c r="I666" i="21"/>
  <c r="H666" i="21"/>
  <c r="G666" i="21"/>
  <c r="F666" i="21"/>
  <c r="E666" i="21"/>
  <c r="D666" i="21"/>
  <c r="B666" i="21"/>
  <c r="A666" i="21"/>
  <c r="Y665" i="21"/>
  <c r="X665" i="21"/>
  <c r="W665" i="21"/>
  <c r="V665" i="21"/>
  <c r="T665" i="21"/>
  <c r="S665" i="21"/>
  <c r="R665" i="21"/>
  <c r="Q665" i="21"/>
  <c r="P665" i="21"/>
  <c r="N665" i="21"/>
  <c r="M665" i="21"/>
  <c r="L665" i="21"/>
  <c r="K665" i="21"/>
  <c r="J665" i="21"/>
  <c r="I665" i="21"/>
  <c r="H665" i="21"/>
  <c r="G665" i="21"/>
  <c r="F665" i="21"/>
  <c r="E665" i="21"/>
  <c r="D665" i="21"/>
  <c r="B665" i="21"/>
  <c r="A665" i="21"/>
  <c r="Y664" i="21"/>
  <c r="X664" i="21"/>
  <c r="W664" i="21"/>
  <c r="V664" i="21"/>
  <c r="T664" i="21"/>
  <c r="S664" i="21"/>
  <c r="R664" i="21"/>
  <c r="Q664" i="21"/>
  <c r="P664" i="21"/>
  <c r="N664" i="21"/>
  <c r="M664" i="21"/>
  <c r="L664" i="21"/>
  <c r="K664" i="21"/>
  <c r="J664" i="21"/>
  <c r="I664" i="21"/>
  <c r="H664" i="21"/>
  <c r="G664" i="21"/>
  <c r="F664" i="21"/>
  <c r="E664" i="21"/>
  <c r="D664" i="21"/>
  <c r="B664" i="21"/>
  <c r="A664" i="21"/>
  <c r="Y663" i="21"/>
  <c r="X663" i="21"/>
  <c r="W663" i="21"/>
  <c r="V663" i="21"/>
  <c r="T663" i="21"/>
  <c r="S663" i="21"/>
  <c r="R663" i="21"/>
  <c r="Q663" i="21"/>
  <c r="P663" i="21"/>
  <c r="N663" i="21"/>
  <c r="M663" i="21"/>
  <c r="L663" i="21"/>
  <c r="K663" i="21"/>
  <c r="J663" i="21"/>
  <c r="I663" i="21"/>
  <c r="H663" i="21"/>
  <c r="G663" i="21"/>
  <c r="F663" i="21"/>
  <c r="E663" i="21"/>
  <c r="D663" i="21"/>
  <c r="B663" i="21"/>
  <c r="A663" i="21"/>
  <c r="Y662" i="21"/>
  <c r="X662" i="21"/>
  <c r="W662" i="21"/>
  <c r="V662" i="21"/>
  <c r="T662" i="21"/>
  <c r="S662" i="21"/>
  <c r="R662" i="21"/>
  <c r="Q662" i="21"/>
  <c r="P662" i="21"/>
  <c r="N662" i="21"/>
  <c r="M662" i="21"/>
  <c r="L662" i="21"/>
  <c r="K662" i="21"/>
  <c r="J662" i="21"/>
  <c r="I662" i="21"/>
  <c r="H662" i="21"/>
  <c r="G662" i="21"/>
  <c r="F662" i="21"/>
  <c r="E662" i="21"/>
  <c r="D662" i="21"/>
  <c r="B662" i="21"/>
  <c r="A662" i="21"/>
  <c r="Y661" i="21"/>
  <c r="X661" i="21"/>
  <c r="W661" i="21"/>
  <c r="V661" i="21"/>
  <c r="T661" i="21"/>
  <c r="S661" i="21"/>
  <c r="R661" i="21"/>
  <c r="Q661" i="21"/>
  <c r="P661" i="21"/>
  <c r="N661" i="21"/>
  <c r="M661" i="21"/>
  <c r="L661" i="21"/>
  <c r="K661" i="21"/>
  <c r="J661" i="21"/>
  <c r="I661" i="21"/>
  <c r="H661" i="21"/>
  <c r="G661" i="21"/>
  <c r="F661" i="21"/>
  <c r="E661" i="21"/>
  <c r="D661" i="21"/>
  <c r="B661" i="21"/>
  <c r="A661" i="21"/>
  <c r="Y660" i="21"/>
  <c r="X660" i="21"/>
  <c r="W660" i="21"/>
  <c r="V660" i="21"/>
  <c r="T660" i="21"/>
  <c r="S660" i="21"/>
  <c r="R660" i="21"/>
  <c r="Q660" i="21"/>
  <c r="P660" i="21"/>
  <c r="N660" i="21"/>
  <c r="M660" i="21"/>
  <c r="L660" i="21"/>
  <c r="K660" i="21"/>
  <c r="J660" i="21"/>
  <c r="I660" i="21"/>
  <c r="H660" i="21"/>
  <c r="G660" i="21"/>
  <c r="F660" i="21"/>
  <c r="E660" i="21"/>
  <c r="D660" i="21"/>
  <c r="B660" i="21"/>
  <c r="A660" i="21"/>
  <c r="Y659" i="21"/>
  <c r="X659" i="21"/>
  <c r="W659" i="21"/>
  <c r="V659" i="21"/>
  <c r="T659" i="21"/>
  <c r="S659" i="21"/>
  <c r="R659" i="21"/>
  <c r="Q659" i="21"/>
  <c r="P659" i="21"/>
  <c r="N659" i="21"/>
  <c r="M659" i="21"/>
  <c r="L659" i="21"/>
  <c r="K659" i="21"/>
  <c r="J659" i="21"/>
  <c r="I659" i="21"/>
  <c r="H659" i="21"/>
  <c r="G659" i="21"/>
  <c r="F659" i="21"/>
  <c r="E659" i="21"/>
  <c r="D659" i="21"/>
  <c r="B659" i="21"/>
  <c r="A659" i="21"/>
  <c r="Y658" i="21"/>
  <c r="X658" i="21"/>
  <c r="W658" i="21"/>
  <c r="V658" i="21"/>
  <c r="T658" i="21"/>
  <c r="S658" i="21"/>
  <c r="R658" i="21"/>
  <c r="Q658" i="21"/>
  <c r="P658" i="21"/>
  <c r="N658" i="21"/>
  <c r="M658" i="21"/>
  <c r="L658" i="21"/>
  <c r="K658" i="21"/>
  <c r="J658" i="21"/>
  <c r="I658" i="21"/>
  <c r="H658" i="21"/>
  <c r="G658" i="21"/>
  <c r="F658" i="21"/>
  <c r="E658" i="21"/>
  <c r="D658" i="21"/>
  <c r="B658" i="21"/>
  <c r="A658" i="21"/>
  <c r="Y657" i="21"/>
  <c r="X657" i="21"/>
  <c r="W657" i="21"/>
  <c r="V657" i="21"/>
  <c r="T657" i="21"/>
  <c r="S657" i="21"/>
  <c r="R657" i="21"/>
  <c r="Q657" i="21"/>
  <c r="P657" i="21"/>
  <c r="N657" i="21"/>
  <c r="M657" i="21"/>
  <c r="L657" i="21"/>
  <c r="K657" i="21"/>
  <c r="J657" i="21"/>
  <c r="I657" i="21"/>
  <c r="H657" i="21"/>
  <c r="G657" i="21"/>
  <c r="F657" i="21"/>
  <c r="E657" i="21"/>
  <c r="D657" i="21"/>
  <c r="B657" i="21"/>
  <c r="A657" i="21"/>
  <c r="Y656" i="21"/>
  <c r="X656" i="21"/>
  <c r="W656" i="21"/>
  <c r="V656" i="21"/>
  <c r="T656" i="21"/>
  <c r="S656" i="21"/>
  <c r="R656" i="21"/>
  <c r="Q656" i="21"/>
  <c r="P656" i="21"/>
  <c r="N656" i="21"/>
  <c r="M656" i="21"/>
  <c r="L656" i="21"/>
  <c r="K656" i="21"/>
  <c r="J656" i="21"/>
  <c r="I656" i="21"/>
  <c r="H656" i="21"/>
  <c r="G656" i="21"/>
  <c r="F656" i="21"/>
  <c r="E656" i="21"/>
  <c r="D656" i="21"/>
  <c r="B656" i="21"/>
  <c r="A656" i="21"/>
  <c r="Y655" i="21"/>
  <c r="X655" i="21"/>
  <c r="W655" i="21"/>
  <c r="V655" i="21"/>
  <c r="T655" i="21"/>
  <c r="S655" i="21"/>
  <c r="R655" i="21"/>
  <c r="Q655" i="21"/>
  <c r="P655" i="21"/>
  <c r="N655" i="21"/>
  <c r="M655" i="21"/>
  <c r="L655" i="21"/>
  <c r="K655" i="21"/>
  <c r="J655" i="21"/>
  <c r="I655" i="21"/>
  <c r="H655" i="21"/>
  <c r="G655" i="21"/>
  <c r="F655" i="21"/>
  <c r="E655" i="21"/>
  <c r="D655" i="21"/>
  <c r="B655" i="21"/>
  <c r="A655" i="21"/>
  <c r="Y654" i="21"/>
  <c r="X654" i="21"/>
  <c r="W654" i="21"/>
  <c r="V654" i="21"/>
  <c r="T654" i="21"/>
  <c r="S654" i="21"/>
  <c r="R654" i="21"/>
  <c r="Q654" i="21"/>
  <c r="P654" i="21"/>
  <c r="N654" i="21"/>
  <c r="M654" i="21"/>
  <c r="L654" i="21"/>
  <c r="K654" i="21"/>
  <c r="J654" i="21"/>
  <c r="I654" i="21"/>
  <c r="H654" i="21"/>
  <c r="G654" i="21"/>
  <c r="F654" i="21"/>
  <c r="E654" i="21"/>
  <c r="D654" i="21"/>
  <c r="B654" i="21"/>
  <c r="A654" i="21"/>
  <c r="Y653" i="21"/>
  <c r="X653" i="21"/>
  <c r="W653" i="21"/>
  <c r="V653" i="21"/>
  <c r="T653" i="21"/>
  <c r="S653" i="21"/>
  <c r="R653" i="21"/>
  <c r="Q653" i="21"/>
  <c r="P653" i="21"/>
  <c r="N653" i="21"/>
  <c r="M653" i="21"/>
  <c r="L653" i="21"/>
  <c r="K653" i="21"/>
  <c r="J653" i="21"/>
  <c r="I653" i="21"/>
  <c r="H653" i="21"/>
  <c r="G653" i="21"/>
  <c r="F653" i="21"/>
  <c r="E653" i="21"/>
  <c r="D653" i="21"/>
  <c r="B653" i="21"/>
  <c r="A653" i="21"/>
  <c r="Y652" i="21"/>
  <c r="X652" i="21"/>
  <c r="W652" i="21"/>
  <c r="V652" i="21"/>
  <c r="T652" i="21"/>
  <c r="S652" i="21"/>
  <c r="R652" i="21"/>
  <c r="Q652" i="21"/>
  <c r="P652" i="21"/>
  <c r="N652" i="21"/>
  <c r="M652" i="21"/>
  <c r="L652" i="21"/>
  <c r="K652" i="21"/>
  <c r="J652" i="21"/>
  <c r="I652" i="21"/>
  <c r="H652" i="21"/>
  <c r="G652" i="21"/>
  <c r="F652" i="21"/>
  <c r="E652" i="21"/>
  <c r="D652" i="21"/>
  <c r="B652" i="21"/>
  <c r="A652" i="21"/>
  <c r="Y651" i="21"/>
  <c r="X651" i="21"/>
  <c r="W651" i="21"/>
  <c r="V651" i="21"/>
  <c r="T651" i="21"/>
  <c r="S651" i="21"/>
  <c r="R651" i="21"/>
  <c r="Q651" i="21"/>
  <c r="P651" i="21"/>
  <c r="N651" i="21"/>
  <c r="M651" i="21"/>
  <c r="L651" i="21"/>
  <c r="K651" i="21"/>
  <c r="J651" i="21"/>
  <c r="I651" i="21"/>
  <c r="H651" i="21"/>
  <c r="G651" i="21"/>
  <c r="F651" i="21"/>
  <c r="E651" i="21"/>
  <c r="D651" i="21"/>
  <c r="B651" i="21"/>
  <c r="A651" i="21"/>
  <c r="Y650" i="21"/>
  <c r="X650" i="21"/>
  <c r="W650" i="21"/>
  <c r="V650" i="21"/>
  <c r="T650" i="21"/>
  <c r="S650" i="21"/>
  <c r="R650" i="21"/>
  <c r="Q650" i="21"/>
  <c r="P650" i="21"/>
  <c r="N650" i="21"/>
  <c r="M650" i="21"/>
  <c r="L650" i="21"/>
  <c r="K650" i="21"/>
  <c r="J650" i="21"/>
  <c r="I650" i="21"/>
  <c r="H650" i="21"/>
  <c r="G650" i="21"/>
  <c r="F650" i="21"/>
  <c r="E650" i="21"/>
  <c r="D650" i="21"/>
  <c r="B650" i="21"/>
  <c r="A650" i="21"/>
  <c r="Y649" i="21"/>
  <c r="X649" i="21"/>
  <c r="W649" i="21"/>
  <c r="V649" i="21"/>
  <c r="T649" i="21"/>
  <c r="S649" i="21"/>
  <c r="R649" i="21"/>
  <c r="Q649" i="21"/>
  <c r="P649" i="21"/>
  <c r="N649" i="21"/>
  <c r="M649" i="21"/>
  <c r="L649" i="21"/>
  <c r="K649" i="21"/>
  <c r="J649" i="21"/>
  <c r="I649" i="21"/>
  <c r="H649" i="21"/>
  <c r="G649" i="21"/>
  <c r="F649" i="21"/>
  <c r="E649" i="21"/>
  <c r="D649" i="21"/>
  <c r="B649" i="21"/>
  <c r="A649" i="21"/>
  <c r="Y648" i="21"/>
  <c r="X648" i="21"/>
  <c r="W648" i="21"/>
  <c r="V648" i="21"/>
  <c r="T648" i="21"/>
  <c r="S648" i="21"/>
  <c r="R648" i="21"/>
  <c r="Q648" i="21"/>
  <c r="P648" i="21"/>
  <c r="N648" i="21"/>
  <c r="M648" i="21"/>
  <c r="L648" i="21"/>
  <c r="K648" i="21"/>
  <c r="J648" i="21"/>
  <c r="I648" i="21"/>
  <c r="H648" i="21"/>
  <c r="G648" i="21"/>
  <c r="F648" i="21"/>
  <c r="E648" i="21"/>
  <c r="D648" i="21"/>
  <c r="B648" i="21"/>
  <c r="A648" i="21"/>
  <c r="Y647" i="21"/>
  <c r="X647" i="21"/>
  <c r="W647" i="21"/>
  <c r="V647" i="21"/>
  <c r="T647" i="21"/>
  <c r="S647" i="21"/>
  <c r="R647" i="21"/>
  <c r="Q647" i="21"/>
  <c r="P647" i="21"/>
  <c r="N647" i="21"/>
  <c r="M647" i="21"/>
  <c r="L647" i="21"/>
  <c r="K647" i="21"/>
  <c r="J647" i="21"/>
  <c r="I647" i="21"/>
  <c r="H647" i="21"/>
  <c r="G647" i="21"/>
  <c r="F647" i="21"/>
  <c r="E647" i="21"/>
  <c r="D647" i="21"/>
  <c r="B647" i="21"/>
  <c r="A647" i="21"/>
  <c r="Y646" i="21"/>
  <c r="X646" i="21"/>
  <c r="W646" i="21"/>
  <c r="V646" i="21"/>
  <c r="T646" i="21"/>
  <c r="S646" i="21"/>
  <c r="R646" i="21"/>
  <c r="Q646" i="21"/>
  <c r="P646" i="21"/>
  <c r="N646" i="21"/>
  <c r="M646" i="21"/>
  <c r="L646" i="21"/>
  <c r="K646" i="21"/>
  <c r="J646" i="21"/>
  <c r="I646" i="21"/>
  <c r="H646" i="21"/>
  <c r="G646" i="21"/>
  <c r="F646" i="21"/>
  <c r="E646" i="21"/>
  <c r="D646" i="21"/>
  <c r="B646" i="21"/>
  <c r="A646" i="21"/>
  <c r="Y645" i="21"/>
  <c r="X645" i="21"/>
  <c r="W645" i="21"/>
  <c r="V645" i="21"/>
  <c r="T645" i="21"/>
  <c r="S645" i="21"/>
  <c r="R645" i="21"/>
  <c r="Q645" i="21"/>
  <c r="P645" i="21"/>
  <c r="N645" i="21"/>
  <c r="M645" i="21"/>
  <c r="L645" i="21"/>
  <c r="K645" i="21"/>
  <c r="J645" i="21"/>
  <c r="I645" i="21"/>
  <c r="H645" i="21"/>
  <c r="G645" i="21"/>
  <c r="F645" i="21"/>
  <c r="E645" i="21"/>
  <c r="D645" i="21"/>
  <c r="B645" i="21"/>
  <c r="A645" i="21"/>
  <c r="Y644" i="21"/>
  <c r="X644" i="21"/>
  <c r="W644" i="21"/>
  <c r="V644" i="21"/>
  <c r="T644" i="21"/>
  <c r="S644" i="21"/>
  <c r="R644" i="21"/>
  <c r="Q644" i="21"/>
  <c r="P644" i="21"/>
  <c r="N644" i="21"/>
  <c r="M644" i="21"/>
  <c r="L644" i="21"/>
  <c r="K644" i="21"/>
  <c r="J644" i="21"/>
  <c r="I644" i="21"/>
  <c r="H644" i="21"/>
  <c r="G644" i="21"/>
  <c r="F644" i="21"/>
  <c r="E644" i="21"/>
  <c r="D644" i="21"/>
  <c r="B644" i="21"/>
  <c r="A644" i="21"/>
  <c r="Y643" i="21"/>
  <c r="X643" i="21"/>
  <c r="W643" i="21"/>
  <c r="V643" i="21"/>
  <c r="T643" i="21"/>
  <c r="S643" i="21"/>
  <c r="R643" i="21"/>
  <c r="Q643" i="21"/>
  <c r="P643" i="21"/>
  <c r="N643" i="21"/>
  <c r="M643" i="21"/>
  <c r="L643" i="21"/>
  <c r="K643" i="21"/>
  <c r="J643" i="21"/>
  <c r="I643" i="21"/>
  <c r="H643" i="21"/>
  <c r="G643" i="21"/>
  <c r="F643" i="21"/>
  <c r="E643" i="21"/>
  <c r="D643" i="21"/>
  <c r="B643" i="21"/>
  <c r="A643" i="21"/>
  <c r="Y642" i="21"/>
  <c r="X642" i="21"/>
  <c r="W642" i="21"/>
  <c r="V642" i="21"/>
  <c r="T642" i="21"/>
  <c r="S642" i="21"/>
  <c r="R642" i="21"/>
  <c r="Q642" i="21"/>
  <c r="P642" i="21"/>
  <c r="N642" i="21"/>
  <c r="M642" i="21"/>
  <c r="L642" i="21"/>
  <c r="K642" i="21"/>
  <c r="J642" i="21"/>
  <c r="I642" i="21"/>
  <c r="H642" i="21"/>
  <c r="G642" i="21"/>
  <c r="F642" i="21"/>
  <c r="E642" i="21"/>
  <c r="D642" i="21"/>
  <c r="B642" i="21"/>
  <c r="A642" i="21"/>
  <c r="Y641" i="21"/>
  <c r="X641" i="21"/>
  <c r="W641" i="21"/>
  <c r="V641" i="21"/>
  <c r="T641" i="21"/>
  <c r="S641" i="21"/>
  <c r="R641" i="21"/>
  <c r="Q641" i="21"/>
  <c r="P641" i="21"/>
  <c r="N641" i="21"/>
  <c r="M641" i="21"/>
  <c r="L641" i="21"/>
  <c r="K641" i="21"/>
  <c r="J641" i="21"/>
  <c r="I641" i="21"/>
  <c r="H641" i="21"/>
  <c r="G641" i="21"/>
  <c r="F641" i="21"/>
  <c r="E641" i="21"/>
  <c r="D641" i="21"/>
  <c r="B641" i="21"/>
  <c r="A641" i="21"/>
  <c r="Y640" i="21"/>
  <c r="X640" i="21"/>
  <c r="W640" i="21"/>
  <c r="V640" i="21"/>
  <c r="T640" i="21"/>
  <c r="S640" i="21"/>
  <c r="R640" i="21"/>
  <c r="Q640" i="21"/>
  <c r="P640" i="21"/>
  <c r="N640" i="21"/>
  <c r="M640" i="21"/>
  <c r="L640" i="21"/>
  <c r="K640" i="21"/>
  <c r="J640" i="21"/>
  <c r="I640" i="21"/>
  <c r="H640" i="21"/>
  <c r="G640" i="21"/>
  <c r="F640" i="21"/>
  <c r="E640" i="21"/>
  <c r="D640" i="21"/>
  <c r="B640" i="21"/>
  <c r="A640" i="21"/>
  <c r="Y639" i="21"/>
  <c r="X639" i="21"/>
  <c r="W639" i="21"/>
  <c r="V639" i="21"/>
  <c r="T639" i="21"/>
  <c r="S639" i="21"/>
  <c r="R639" i="21"/>
  <c r="Q639" i="21"/>
  <c r="P639" i="21"/>
  <c r="N639" i="21"/>
  <c r="M639" i="21"/>
  <c r="L639" i="21"/>
  <c r="K639" i="21"/>
  <c r="J639" i="21"/>
  <c r="I639" i="21"/>
  <c r="H639" i="21"/>
  <c r="G639" i="21"/>
  <c r="F639" i="21"/>
  <c r="E639" i="21"/>
  <c r="D639" i="21"/>
  <c r="B639" i="21"/>
  <c r="A639" i="21"/>
  <c r="Y638" i="21"/>
  <c r="X638" i="21"/>
  <c r="W638" i="21"/>
  <c r="V638" i="21"/>
  <c r="T638" i="21"/>
  <c r="S638" i="21"/>
  <c r="R638" i="21"/>
  <c r="Q638" i="21"/>
  <c r="P638" i="21"/>
  <c r="N638" i="21"/>
  <c r="M638" i="21"/>
  <c r="L638" i="21"/>
  <c r="K638" i="21"/>
  <c r="J638" i="21"/>
  <c r="I638" i="21"/>
  <c r="H638" i="21"/>
  <c r="G638" i="21"/>
  <c r="F638" i="21"/>
  <c r="E638" i="21"/>
  <c r="D638" i="21"/>
  <c r="B638" i="21"/>
  <c r="A638" i="21"/>
  <c r="Y637" i="21"/>
  <c r="X637" i="21"/>
  <c r="W637" i="21"/>
  <c r="V637" i="21"/>
  <c r="T637" i="21"/>
  <c r="S637" i="21"/>
  <c r="R637" i="21"/>
  <c r="Q637" i="21"/>
  <c r="P637" i="21"/>
  <c r="N637" i="21"/>
  <c r="M637" i="21"/>
  <c r="L637" i="21"/>
  <c r="K637" i="21"/>
  <c r="J637" i="21"/>
  <c r="I637" i="21"/>
  <c r="H637" i="21"/>
  <c r="G637" i="21"/>
  <c r="F637" i="21"/>
  <c r="E637" i="21"/>
  <c r="D637" i="21"/>
  <c r="B637" i="21"/>
  <c r="A637" i="21"/>
  <c r="Y636" i="21"/>
  <c r="X636" i="21"/>
  <c r="W636" i="21"/>
  <c r="V636" i="21"/>
  <c r="T636" i="21"/>
  <c r="S636" i="21"/>
  <c r="R636" i="21"/>
  <c r="Q636" i="21"/>
  <c r="P636" i="21"/>
  <c r="N636" i="21"/>
  <c r="M636" i="21"/>
  <c r="L636" i="21"/>
  <c r="K636" i="21"/>
  <c r="J636" i="21"/>
  <c r="I636" i="21"/>
  <c r="H636" i="21"/>
  <c r="G636" i="21"/>
  <c r="F636" i="21"/>
  <c r="E636" i="21"/>
  <c r="D636" i="21"/>
  <c r="B636" i="21"/>
  <c r="A636" i="21"/>
  <c r="Y635" i="21"/>
  <c r="X635" i="21"/>
  <c r="W635" i="21"/>
  <c r="V635" i="21"/>
  <c r="T635" i="21"/>
  <c r="S635" i="21"/>
  <c r="R635" i="21"/>
  <c r="Q635" i="21"/>
  <c r="P635" i="21"/>
  <c r="N635" i="21"/>
  <c r="M635" i="21"/>
  <c r="L635" i="21"/>
  <c r="K635" i="21"/>
  <c r="J635" i="21"/>
  <c r="I635" i="21"/>
  <c r="H635" i="21"/>
  <c r="G635" i="21"/>
  <c r="F635" i="21"/>
  <c r="E635" i="21"/>
  <c r="D635" i="21"/>
  <c r="B635" i="21"/>
  <c r="A635" i="21"/>
  <c r="Y634" i="21"/>
  <c r="X634" i="21"/>
  <c r="W634" i="21"/>
  <c r="V634" i="21"/>
  <c r="T634" i="21"/>
  <c r="S634" i="21"/>
  <c r="R634" i="21"/>
  <c r="Q634" i="21"/>
  <c r="P634" i="21"/>
  <c r="N634" i="21"/>
  <c r="M634" i="21"/>
  <c r="L634" i="21"/>
  <c r="K634" i="21"/>
  <c r="J634" i="21"/>
  <c r="I634" i="21"/>
  <c r="H634" i="21"/>
  <c r="G634" i="21"/>
  <c r="F634" i="21"/>
  <c r="E634" i="21"/>
  <c r="D634" i="21"/>
  <c r="B634" i="21"/>
  <c r="A634" i="21"/>
  <c r="Y633" i="21"/>
  <c r="X633" i="21"/>
  <c r="W633" i="21"/>
  <c r="V633" i="21"/>
  <c r="T633" i="21"/>
  <c r="S633" i="21"/>
  <c r="R633" i="21"/>
  <c r="Q633" i="21"/>
  <c r="P633" i="21"/>
  <c r="N633" i="21"/>
  <c r="M633" i="21"/>
  <c r="L633" i="21"/>
  <c r="K633" i="21"/>
  <c r="J633" i="21"/>
  <c r="I633" i="21"/>
  <c r="H633" i="21"/>
  <c r="G633" i="21"/>
  <c r="F633" i="21"/>
  <c r="E633" i="21"/>
  <c r="D633" i="21"/>
  <c r="B633" i="21"/>
  <c r="A633" i="21"/>
  <c r="Y632" i="21"/>
  <c r="X632" i="21"/>
  <c r="W632" i="21"/>
  <c r="V632" i="21"/>
  <c r="T632" i="21"/>
  <c r="S632" i="21"/>
  <c r="R632" i="21"/>
  <c r="Q632" i="21"/>
  <c r="P632" i="21"/>
  <c r="N632" i="21"/>
  <c r="M632" i="21"/>
  <c r="L632" i="21"/>
  <c r="K632" i="21"/>
  <c r="J632" i="21"/>
  <c r="I632" i="21"/>
  <c r="H632" i="21"/>
  <c r="G632" i="21"/>
  <c r="F632" i="21"/>
  <c r="E632" i="21"/>
  <c r="D632" i="21"/>
  <c r="B632" i="21"/>
  <c r="A632" i="21"/>
  <c r="Y631" i="21"/>
  <c r="X631" i="21"/>
  <c r="W631" i="21"/>
  <c r="V631" i="21"/>
  <c r="T631" i="21"/>
  <c r="S631" i="21"/>
  <c r="R631" i="21"/>
  <c r="Q631" i="21"/>
  <c r="P631" i="21"/>
  <c r="N631" i="21"/>
  <c r="M631" i="21"/>
  <c r="L631" i="21"/>
  <c r="K631" i="21"/>
  <c r="J631" i="21"/>
  <c r="I631" i="21"/>
  <c r="H631" i="21"/>
  <c r="G631" i="21"/>
  <c r="F631" i="21"/>
  <c r="E631" i="21"/>
  <c r="D631" i="21"/>
  <c r="B631" i="21"/>
  <c r="A631" i="21"/>
  <c r="Y630" i="21"/>
  <c r="X630" i="21"/>
  <c r="W630" i="21"/>
  <c r="V630" i="21"/>
  <c r="T630" i="21"/>
  <c r="S630" i="21"/>
  <c r="R630" i="21"/>
  <c r="Q630" i="21"/>
  <c r="P630" i="21"/>
  <c r="N630" i="21"/>
  <c r="M630" i="21"/>
  <c r="L630" i="21"/>
  <c r="K630" i="21"/>
  <c r="J630" i="21"/>
  <c r="I630" i="21"/>
  <c r="H630" i="21"/>
  <c r="G630" i="21"/>
  <c r="F630" i="21"/>
  <c r="E630" i="21"/>
  <c r="D630" i="21"/>
  <c r="B630" i="21"/>
  <c r="A630" i="21"/>
  <c r="Y629" i="21"/>
  <c r="X629" i="21"/>
  <c r="W629" i="21"/>
  <c r="V629" i="21"/>
  <c r="T629" i="21"/>
  <c r="S629" i="21"/>
  <c r="R629" i="21"/>
  <c r="Q629" i="21"/>
  <c r="P629" i="21"/>
  <c r="N629" i="21"/>
  <c r="M629" i="21"/>
  <c r="L629" i="21"/>
  <c r="K629" i="21"/>
  <c r="J629" i="21"/>
  <c r="I629" i="21"/>
  <c r="H629" i="21"/>
  <c r="G629" i="21"/>
  <c r="F629" i="21"/>
  <c r="E629" i="21"/>
  <c r="D629" i="21"/>
  <c r="B629" i="21"/>
  <c r="A629" i="21"/>
  <c r="Y628" i="21"/>
  <c r="X628" i="21"/>
  <c r="W628" i="21"/>
  <c r="V628" i="21"/>
  <c r="T628" i="21"/>
  <c r="S628" i="21"/>
  <c r="R628" i="21"/>
  <c r="Q628" i="21"/>
  <c r="P628" i="21"/>
  <c r="N628" i="21"/>
  <c r="M628" i="21"/>
  <c r="L628" i="21"/>
  <c r="K628" i="21"/>
  <c r="J628" i="21"/>
  <c r="I628" i="21"/>
  <c r="H628" i="21"/>
  <c r="G628" i="21"/>
  <c r="F628" i="21"/>
  <c r="E628" i="21"/>
  <c r="D628" i="21"/>
  <c r="B628" i="21"/>
  <c r="A628" i="21"/>
  <c r="Y627" i="21"/>
  <c r="X627" i="21"/>
  <c r="W627" i="21"/>
  <c r="V627" i="21"/>
  <c r="T627" i="21"/>
  <c r="S627" i="21"/>
  <c r="R627" i="21"/>
  <c r="Q627" i="21"/>
  <c r="P627" i="21"/>
  <c r="N627" i="21"/>
  <c r="M627" i="21"/>
  <c r="L627" i="21"/>
  <c r="K627" i="21"/>
  <c r="J627" i="21"/>
  <c r="I627" i="21"/>
  <c r="H627" i="21"/>
  <c r="G627" i="21"/>
  <c r="F627" i="21"/>
  <c r="E627" i="21"/>
  <c r="D627" i="21"/>
  <c r="B627" i="21"/>
  <c r="A627" i="21"/>
  <c r="Y626" i="21"/>
  <c r="X626" i="21"/>
  <c r="W626" i="21"/>
  <c r="V626" i="21"/>
  <c r="T626" i="21"/>
  <c r="S626" i="21"/>
  <c r="R626" i="21"/>
  <c r="Q626" i="21"/>
  <c r="P626" i="21"/>
  <c r="N626" i="21"/>
  <c r="M626" i="21"/>
  <c r="L626" i="21"/>
  <c r="K626" i="21"/>
  <c r="J626" i="21"/>
  <c r="I626" i="21"/>
  <c r="H626" i="21"/>
  <c r="G626" i="21"/>
  <c r="F626" i="21"/>
  <c r="E626" i="21"/>
  <c r="D626" i="21"/>
  <c r="B626" i="21"/>
  <c r="A626" i="21"/>
  <c r="Y625" i="21"/>
  <c r="X625" i="21"/>
  <c r="W625" i="21"/>
  <c r="V625" i="21"/>
  <c r="T625" i="21"/>
  <c r="S625" i="21"/>
  <c r="R625" i="21"/>
  <c r="Q625" i="21"/>
  <c r="P625" i="21"/>
  <c r="N625" i="21"/>
  <c r="M625" i="21"/>
  <c r="L625" i="21"/>
  <c r="K625" i="21"/>
  <c r="J625" i="21"/>
  <c r="I625" i="21"/>
  <c r="H625" i="21"/>
  <c r="G625" i="21"/>
  <c r="F625" i="21"/>
  <c r="E625" i="21"/>
  <c r="D625" i="21"/>
  <c r="B625" i="21"/>
  <c r="A625" i="21"/>
  <c r="Y624" i="21"/>
  <c r="X624" i="21"/>
  <c r="W624" i="21"/>
  <c r="V624" i="21"/>
  <c r="T624" i="21"/>
  <c r="S624" i="21"/>
  <c r="R624" i="21"/>
  <c r="Q624" i="21"/>
  <c r="P624" i="21"/>
  <c r="N624" i="21"/>
  <c r="M624" i="21"/>
  <c r="L624" i="21"/>
  <c r="K624" i="21"/>
  <c r="J624" i="21"/>
  <c r="I624" i="21"/>
  <c r="H624" i="21"/>
  <c r="G624" i="21"/>
  <c r="F624" i="21"/>
  <c r="E624" i="21"/>
  <c r="D624" i="21"/>
  <c r="B624" i="21"/>
  <c r="A624" i="21"/>
  <c r="Y623" i="21"/>
  <c r="X623" i="21"/>
  <c r="W623" i="21"/>
  <c r="V623" i="21"/>
  <c r="T623" i="21"/>
  <c r="S623" i="21"/>
  <c r="R623" i="21"/>
  <c r="Q623" i="21"/>
  <c r="P623" i="21"/>
  <c r="N623" i="21"/>
  <c r="M623" i="21"/>
  <c r="L623" i="21"/>
  <c r="K623" i="21"/>
  <c r="J623" i="21"/>
  <c r="I623" i="21"/>
  <c r="H623" i="21"/>
  <c r="G623" i="21"/>
  <c r="F623" i="21"/>
  <c r="E623" i="21"/>
  <c r="D623" i="21"/>
  <c r="B623" i="21"/>
  <c r="A623" i="21"/>
  <c r="Y622" i="21"/>
  <c r="X622" i="21"/>
  <c r="W622" i="21"/>
  <c r="V622" i="21"/>
  <c r="T622" i="21"/>
  <c r="S622" i="21"/>
  <c r="R622" i="21"/>
  <c r="Q622" i="21"/>
  <c r="P622" i="21"/>
  <c r="N622" i="21"/>
  <c r="M622" i="21"/>
  <c r="L622" i="21"/>
  <c r="K622" i="21"/>
  <c r="J622" i="21"/>
  <c r="I622" i="21"/>
  <c r="H622" i="21"/>
  <c r="G622" i="21"/>
  <c r="F622" i="21"/>
  <c r="E622" i="21"/>
  <c r="D622" i="21"/>
  <c r="B622" i="21"/>
  <c r="A622" i="21"/>
  <c r="Y621" i="21"/>
  <c r="X621" i="21"/>
  <c r="W621" i="21"/>
  <c r="V621" i="21"/>
  <c r="T621" i="21"/>
  <c r="S621" i="21"/>
  <c r="R621" i="21"/>
  <c r="Q621" i="21"/>
  <c r="P621" i="21"/>
  <c r="N621" i="21"/>
  <c r="M621" i="21"/>
  <c r="L621" i="21"/>
  <c r="K621" i="21"/>
  <c r="J621" i="21"/>
  <c r="I621" i="21"/>
  <c r="H621" i="21"/>
  <c r="G621" i="21"/>
  <c r="F621" i="21"/>
  <c r="E621" i="21"/>
  <c r="D621" i="21"/>
  <c r="B621" i="21"/>
  <c r="A621" i="21"/>
  <c r="Y620" i="21"/>
  <c r="X620" i="21"/>
  <c r="W620" i="21"/>
  <c r="V620" i="21"/>
  <c r="T620" i="21"/>
  <c r="S620" i="21"/>
  <c r="R620" i="21"/>
  <c r="Q620" i="21"/>
  <c r="P620" i="21"/>
  <c r="N620" i="21"/>
  <c r="M620" i="21"/>
  <c r="L620" i="21"/>
  <c r="K620" i="21"/>
  <c r="J620" i="21"/>
  <c r="I620" i="21"/>
  <c r="H620" i="21"/>
  <c r="G620" i="21"/>
  <c r="F620" i="21"/>
  <c r="E620" i="21"/>
  <c r="D620" i="21"/>
  <c r="B620" i="21"/>
  <c r="A620" i="21"/>
  <c r="Y619" i="21"/>
  <c r="X619" i="21"/>
  <c r="W619" i="21"/>
  <c r="V619" i="21"/>
  <c r="T619" i="21"/>
  <c r="S619" i="21"/>
  <c r="R619" i="21"/>
  <c r="Q619" i="21"/>
  <c r="P619" i="21"/>
  <c r="N619" i="21"/>
  <c r="M619" i="21"/>
  <c r="L619" i="21"/>
  <c r="K619" i="21"/>
  <c r="J619" i="21"/>
  <c r="I619" i="21"/>
  <c r="H619" i="21"/>
  <c r="G619" i="21"/>
  <c r="F619" i="21"/>
  <c r="E619" i="21"/>
  <c r="D619" i="21"/>
  <c r="B619" i="21"/>
  <c r="A619" i="21"/>
  <c r="Y618" i="21"/>
  <c r="X618" i="21"/>
  <c r="W618" i="21"/>
  <c r="V618" i="21"/>
  <c r="T618" i="21"/>
  <c r="S618" i="21"/>
  <c r="R618" i="21"/>
  <c r="Q618" i="21"/>
  <c r="P618" i="21"/>
  <c r="N618" i="21"/>
  <c r="M618" i="21"/>
  <c r="L618" i="21"/>
  <c r="K618" i="21"/>
  <c r="J618" i="21"/>
  <c r="I618" i="21"/>
  <c r="H618" i="21"/>
  <c r="G618" i="21"/>
  <c r="F618" i="21"/>
  <c r="E618" i="21"/>
  <c r="D618" i="21"/>
  <c r="B618" i="21"/>
  <c r="A618" i="21"/>
  <c r="Y617" i="21"/>
  <c r="X617" i="21"/>
  <c r="W617" i="21"/>
  <c r="V617" i="21"/>
  <c r="T617" i="21"/>
  <c r="S617" i="21"/>
  <c r="R617" i="21"/>
  <c r="Q617" i="21"/>
  <c r="P617" i="21"/>
  <c r="N617" i="21"/>
  <c r="M617" i="21"/>
  <c r="L617" i="21"/>
  <c r="K617" i="21"/>
  <c r="J617" i="21"/>
  <c r="I617" i="21"/>
  <c r="H617" i="21"/>
  <c r="G617" i="21"/>
  <c r="F617" i="21"/>
  <c r="E617" i="21"/>
  <c r="D617" i="21"/>
  <c r="B617" i="21"/>
  <c r="A617" i="21"/>
  <c r="Y616" i="21"/>
  <c r="X616" i="21"/>
  <c r="W616" i="21"/>
  <c r="V616" i="21"/>
  <c r="T616" i="21"/>
  <c r="S616" i="21"/>
  <c r="R616" i="21"/>
  <c r="Q616" i="21"/>
  <c r="P616" i="21"/>
  <c r="N616" i="21"/>
  <c r="M616" i="21"/>
  <c r="L616" i="21"/>
  <c r="K616" i="21"/>
  <c r="J616" i="21"/>
  <c r="I616" i="21"/>
  <c r="H616" i="21"/>
  <c r="G616" i="21"/>
  <c r="F616" i="21"/>
  <c r="E616" i="21"/>
  <c r="D616" i="21"/>
  <c r="B616" i="21"/>
  <c r="A616" i="21"/>
  <c r="Y615" i="21"/>
  <c r="X615" i="21"/>
  <c r="W615" i="21"/>
  <c r="V615" i="21"/>
  <c r="T615" i="21"/>
  <c r="S615" i="21"/>
  <c r="R615" i="21"/>
  <c r="Q615" i="21"/>
  <c r="P615" i="21"/>
  <c r="N615" i="21"/>
  <c r="M615" i="21"/>
  <c r="L615" i="21"/>
  <c r="K615" i="21"/>
  <c r="J615" i="21"/>
  <c r="I615" i="21"/>
  <c r="H615" i="21"/>
  <c r="G615" i="21"/>
  <c r="F615" i="21"/>
  <c r="E615" i="21"/>
  <c r="D615" i="21"/>
  <c r="B615" i="21"/>
  <c r="A615" i="21"/>
  <c r="Y614" i="21"/>
  <c r="X614" i="21"/>
  <c r="W614" i="21"/>
  <c r="V614" i="21"/>
  <c r="T614" i="21"/>
  <c r="S614" i="21"/>
  <c r="R614" i="21"/>
  <c r="Q614" i="21"/>
  <c r="P614" i="21"/>
  <c r="N614" i="21"/>
  <c r="M614" i="21"/>
  <c r="L614" i="21"/>
  <c r="K614" i="21"/>
  <c r="J614" i="21"/>
  <c r="I614" i="21"/>
  <c r="H614" i="21"/>
  <c r="G614" i="21"/>
  <c r="F614" i="21"/>
  <c r="E614" i="21"/>
  <c r="D614" i="21"/>
  <c r="B614" i="21"/>
  <c r="A614" i="21"/>
  <c r="Y613" i="21"/>
  <c r="X613" i="21"/>
  <c r="W613" i="21"/>
  <c r="V613" i="21"/>
  <c r="T613" i="21"/>
  <c r="S613" i="21"/>
  <c r="R613" i="21"/>
  <c r="Q613" i="21"/>
  <c r="P613" i="21"/>
  <c r="N613" i="21"/>
  <c r="M613" i="21"/>
  <c r="L613" i="21"/>
  <c r="K613" i="21"/>
  <c r="J613" i="21"/>
  <c r="I613" i="21"/>
  <c r="H613" i="21"/>
  <c r="G613" i="21"/>
  <c r="F613" i="21"/>
  <c r="E613" i="21"/>
  <c r="D613" i="21"/>
  <c r="B613" i="21"/>
  <c r="A613" i="21"/>
  <c r="Y612" i="21"/>
  <c r="X612" i="21"/>
  <c r="W612" i="21"/>
  <c r="V612" i="21"/>
  <c r="T612" i="21"/>
  <c r="S612" i="21"/>
  <c r="R612" i="21"/>
  <c r="Q612" i="21"/>
  <c r="P612" i="21"/>
  <c r="N612" i="21"/>
  <c r="M612" i="21"/>
  <c r="L612" i="21"/>
  <c r="K612" i="21"/>
  <c r="J612" i="21"/>
  <c r="I612" i="21"/>
  <c r="H612" i="21"/>
  <c r="G612" i="21"/>
  <c r="F612" i="21"/>
  <c r="E612" i="21"/>
  <c r="D612" i="21"/>
  <c r="B612" i="21"/>
  <c r="A612" i="21"/>
  <c r="Y611" i="21"/>
  <c r="X611" i="21"/>
  <c r="W611" i="21"/>
  <c r="V611" i="21"/>
  <c r="T611" i="21"/>
  <c r="S611" i="21"/>
  <c r="R611" i="21"/>
  <c r="Q611" i="21"/>
  <c r="P611" i="21"/>
  <c r="N611" i="21"/>
  <c r="M611" i="21"/>
  <c r="L611" i="21"/>
  <c r="K611" i="21"/>
  <c r="J611" i="21"/>
  <c r="I611" i="21"/>
  <c r="H611" i="21"/>
  <c r="G611" i="21"/>
  <c r="F611" i="21"/>
  <c r="E611" i="21"/>
  <c r="D611" i="21"/>
  <c r="B611" i="21"/>
  <c r="A611" i="21"/>
  <c r="Y610" i="21"/>
  <c r="X610" i="21"/>
  <c r="W610" i="21"/>
  <c r="V610" i="21"/>
  <c r="T610" i="21"/>
  <c r="S610" i="21"/>
  <c r="R610" i="21"/>
  <c r="Q610" i="21"/>
  <c r="P610" i="21"/>
  <c r="N610" i="21"/>
  <c r="M610" i="21"/>
  <c r="L610" i="21"/>
  <c r="K610" i="21"/>
  <c r="J610" i="21"/>
  <c r="I610" i="21"/>
  <c r="H610" i="21"/>
  <c r="G610" i="21"/>
  <c r="F610" i="21"/>
  <c r="E610" i="21"/>
  <c r="D610" i="21"/>
  <c r="B610" i="21"/>
  <c r="A610" i="21"/>
  <c r="Y609" i="21"/>
  <c r="X609" i="21"/>
  <c r="W609" i="21"/>
  <c r="V609" i="21"/>
  <c r="T609" i="21"/>
  <c r="S609" i="21"/>
  <c r="R609" i="21"/>
  <c r="Q609" i="21"/>
  <c r="P609" i="21"/>
  <c r="N609" i="21"/>
  <c r="M609" i="21"/>
  <c r="L609" i="21"/>
  <c r="K609" i="21"/>
  <c r="J609" i="21"/>
  <c r="I609" i="21"/>
  <c r="H609" i="21"/>
  <c r="G609" i="21"/>
  <c r="F609" i="21"/>
  <c r="E609" i="21"/>
  <c r="D609" i="21"/>
  <c r="B609" i="21"/>
  <c r="A609" i="21"/>
  <c r="Y608" i="21"/>
  <c r="X608" i="21"/>
  <c r="W608" i="21"/>
  <c r="V608" i="21"/>
  <c r="T608" i="21"/>
  <c r="S608" i="21"/>
  <c r="R608" i="21"/>
  <c r="Q608" i="21"/>
  <c r="P608" i="21"/>
  <c r="N608" i="21"/>
  <c r="M608" i="21"/>
  <c r="L608" i="21"/>
  <c r="K608" i="21"/>
  <c r="J608" i="21"/>
  <c r="I608" i="21"/>
  <c r="H608" i="21"/>
  <c r="G608" i="21"/>
  <c r="F608" i="21"/>
  <c r="E608" i="21"/>
  <c r="D608" i="21"/>
  <c r="B608" i="21"/>
  <c r="A608" i="21"/>
  <c r="Y607" i="21"/>
  <c r="X607" i="21"/>
  <c r="W607" i="21"/>
  <c r="V607" i="21"/>
  <c r="T607" i="21"/>
  <c r="S607" i="21"/>
  <c r="R607" i="21"/>
  <c r="Q607" i="21"/>
  <c r="P607" i="21"/>
  <c r="N607" i="21"/>
  <c r="M607" i="21"/>
  <c r="L607" i="21"/>
  <c r="K607" i="21"/>
  <c r="J607" i="21"/>
  <c r="I607" i="21"/>
  <c r="H607" i="21"/>
  <c r="G607" i="21"/>
  <c r="F607" i="21"/>
  <c r="E607" i="21"/>
  <c r="D607" i="21"/>
  <c r="B607" i="21"/>
  <c r="A607" i="21"/>
  <c r="Y606" i="21"/>
  <c r="X606" i="21"/>
  <c r="W606" i="21"/>
  <c r="V606" i="21"/>
  <c r="T606" i="21"/>
  <c r="S606" i="21"/>
  <c r="R606" i="21"/>
  <c r="Q606" i="21"/>
  <c r="P606" i="21"/>
  <c r="N606" i="21"/>
  <c r="M606" i="21"/>
  <c r="L606" i="21"/>
  <c r="K606" i="21"/>
  <c r="J606" i="21"/>
  <c r="I606" i="21"/>
  <c r="H606" i="21"/>
  <c r="G606" i="21"/>
  <c r="F606" i="21"/>
  <c r="E606" i="21"/>
  <c r="D606" i="21"/>
  <c r="B606" i="21"/>
  <c r="A606" i="21"/>
  <c r="Y605" i="21"/>
  <c r="X605" i="21"/>
  <c r="W605" i="21"/>
  <c r="V605" i="21"/>
  <c r="T605" i="21"/>
  <c r="S605" i="21"/>
  <c r="R605" i="21"/>
  <c r="Q605" i="21"/>
  <c r="P605" i="21"/>
  <c r="N605" i="21"/>
  <c r="M605" i="21"/>
  <c r="L605" i="21"/>
  <c r="K605" i="21"/>
  <c r="J605" i="21"/>
  <c r="I605" i="21"/>
  <c r="H605" i="21"/>
  <c r="G605" i="21"/>
  <c r="F605" i="21"/>
  <c r="E605" i="21"/>
  <c r="D605" i="21"/>
  <c r="B605" i="21"/>
  <c r="A605" i="21"/>
  <c r="Y604" i="21"/>
  <c r="X604" i="21"/>
  <c r="W604" i="21"/>
  <c r="V604" i="21"/>
  <c r="T604" i="21"/>
  <c r="S604" i="21"/>
  <c r="R604" i="21"/>
  <c r="Q604" i="21"/>
  <c r="P604" i="21"/>
  <c r="N604" i="21"/>
  <c r="M604" i="21"/>
  <c r="L604" i="21"/>
  <c r="K604" i="21"/>
  <c r="J604" i="21"/>
  <c r="I604" i="21"/>
  <c r="H604" i="21"/>
  <c r="G604" i="21"/>
  <c r="F604" i="21"/>
  <c r="E604" i="21"/>
  <c r="D604" i="21"/>
  <c r="B604" i="21"/>
  <c r="A604" i="21"/>
  <c r="Y603" i="21"/>
  <c r="X603" i="21"/>
  <c r="W603" i="21"/>
  <c r="V603" i="21"/>
  <c r="T603" i="21"/>
  <c r="S603" i="21"/>
  <c r="R603" i="21"/>
  <c r="Q603" i="21"/>
  <c r="P603" i="21"/>
  <c r="N603" i="21"/>
  <c r="M603" i="21"/>
  <c r="L603" i="21"/>
  <c r="K603" i="21"/>
  <c r="J603" i="21"/>
  <c r="I603" i="21"/>
  <c r="H603" i="21"/>
  <c r="G603" i="21"/>
  <c r="F603" i="21"/>
  <c r="E603" i="21"/>
  <c r="D603" i="21"/>
  <c r="B603" i="21"/>
  <c r="A603" i="21"/>
  <c r="Y602" i="21"/>
  <c r="X602" i="21"/>
  <c r="W602" i="21"/>
  <c r="V602" i="21"/>
  <c r="T602" i="21"/>
  <c r="S602" i="21"/>
  <c r="R602" i="21"/>
  <c r="Q602" i="21"/>
  <c r="P602" i="21"/>
  <c r="N602" i="21"/>
  <c r="M602" i="21"/>
  <c r="L602" i="21"/>
  <c r="K602" i="21"/>
  <c r="J602" i="21"/>
  <c r="I602" i="21"/>
  <c r="H602" i="21"/>
  <c r="G602" i="21"/>
  <c r="F602" i="21"/>
  <c r="E602" i="21"/>
  <c r="D602" i="21"/>
  <c r="B602" i="21"/>
  <c r="A602" i="21"/>
  <c r="Y601" i="21"/>
  <c r="X601" i="21"/>
  <c r="W601" i="21"/>
  <c r="V601" i="21"/>
  <c r="T601" i="21"/>
  <c r="S601" i="21"/>
  <c r="R601" i="21"/>
  <c r="Q601" i="21"/>
  <c r="P601" i="21"/>
  <c r="N601" i="21"/>
  <c r="M601" i="21"/>
  <c r="L601" i="21"/>
  <c r="K601" i="21"/>
  <c r="J601" i="21"/>
  <c r="I601" i="21"/>
  <c r="H601" i="21"/>
  <c r="G601" i="21"/>
  <c r="F601" i="21"/>
  <c r="E601" i="21"/>
  <c r="D601" i="21"/>
  <c r="B601" i="21"/>
  <c r="A601" i="21"/>
  <c r="Y600" i="21"/>
  <c r="X600" i="21"/>
  <c r="W600" i="21"/>
  <c r="V600" i="21"/>
  <c r="T600" i="21"/>
  <c r="S600" i="21"/>
  <c r="R600" i="21"/>
  <c r="Q600" i="21"/>
  <c r="P600" i="21"/>
  <c r="N600" i="21"/>
  <c r="M600" i="21"/>
  <c r="L600" i="21"/>
  <c r="K600" i="21"/>
  <c r="J600" i="21"/>
  <c r="I600" i="21"/>
  <c r="H600" i="21"/>
  <c r="G600" i="21"/>
  <c r="F600" i="21"/>
  <c r="E600" i="21"/>
  <c r="D600" i="21"/>
  <c r="B600" i="21"/>
  <c r="A600" i="21"/>
  <c r="Y599" i="21"/>
  <c r="X599" i="21"/>
  <c r="W599" i="21"/>
  <c r="V599" i="21"/>
  <c r="T599" i="21"/>
  <c r="S599" i="21"/>
  <c r="R599" i="21"/>
  <c r="Q599" i="21"/>
  <c r="P599" i="21"/>
  <c r="N599" i="21"/>
  <c r="M599" i="21"/>
  <c r="L599" i="21"/>
  <c r="K599" i="21"/>
  <c r="J599" i="21"/>
  <c r="I599" i="21"/>
  <c r="H599" i="21"/>
  <c r="G599" i="21"/>
  <c r="F599" i="21"/>
  <c r="E599" i="21"/>
  <c r="D599" i="21"/>
  <c r="B599" i="21"/>
  <c r="A599" i="21"/>
  <c r="Y598" i="21"/>
  <c r="X598" i="21"/>
  <c r="W598" i="21"/>
  <c r="V598" i="21"/>
  <c r="T598" i="21"/>
  <c r="S598" i="21"/>
  <c r="R598" i="21"/>
  <c r="Q598" i="21"/>
  <c r="P598" i="21"/>
  <c r="N598" i="21"/>
  <c r="M598" i="21"/>
  <c r="L598" i="21"/>
  <c r="K598" i="21"/>
  <c r="J598" i="21"/>
  <c r="I598" i="21"/>
  <c r="H598" i="21"/>
  <c r="G598" i="21"/>
  <c r="F598" i="21"/>
  <c r="E598" i="21"/>
  <c r="D598" i="21"/>
  <c r="B598" i="21"/>
  <c r="A598" i="21"/>
  <c r="Y597" i="21"/>
  <c r="X597" i="21"/>
  <c r="W597" i="21"/>
  <c r="V597" i="21"/>
  <c r="T597" i="21"/>
  <c r="S597" i="21"/>
  <c r="R597" i="21"/>
  <c r="Q597" i="21"/>
  <c r="P597" i="21"/>
  <c r="N597" i="21"/>
  <c r="M597" i="21"/>
  <c r="L597" i="21"/>
  <c r="K597" i="21"/>
  <c r="J597" i="21"/>
  <c r="I597" i="21"/>
  <c r="H597" i="21"/>
  <c r="G597" i="21"/>
  <c r="F597" i="21"/>
  <c r="E597" i="21"/>
  <c r="D597" i="21"/>
  <c r="B597" i="21"/>
  <c r="A597" i="21"/>
  <c r="Y596" i="21"/>
  <c r="X596" i="21"/>
  <c r="W596" i="21"/>
  <c r="V596" i="21"/>
  <c r="T596" i="21"/>
  <c r="S596" i="21"/>
  <c r="R596" i="21"/>
  <c r="Q596" i="21"/>
  <c r="P596" i="21"/>
  <c r="N596" i="21"/>
  <c r="M596" i="21"/>
  <c r="L596" i="21"/>
  <c r="K596" i="21"/>
  <c r="J596" i="21"/>
  <c r="I596" i="21"/>
  <c r="H596" i="21"/>
  <c r="G596" i="21"/>
  <c r="F596" i="21"/>
  <c r="E596" i="21"/>
  <c r="D596" i="21"/>
  <c r="B596" i="21"/>
  <c r="A596" i="21"/>
  <c r="Y595" i="21"/>
  <c r="X595" i="21"/>
  <c r="W595" i="21"/>
  <c r="V595" i="21"/>
  <c r="T595" i="21"/>
  <c r="S595" i="21"/>
  <c r="R595" i="21"/>
  <c r="Q595" i="21"/>
  <c r="P595" i="21"/>
  <c r="N595" i="21"/>
  <c r="M595" i="21"/>
  <c r="L595" i="21"/>
  <c r="K595" i="21"/>
  <c r="J595" i="21"/>
  <c r="I595" i="21"/>
  <c r="H595" i="21"/>
  <c r="G595" i="21"/>
  <c r="F595" i="21"/>
  <c r="E595" i="21"/>
  <c r="D595" i="21"/>
  <c r="B595" i="21"/>
  <c r="A595" i="21"/>
  <c r="Y594" i="21"/>
  <c r="X594" i="21"/>
  <c r="W594" i="21"/>
  <c r="V594" i="21"/>
  <c r="T594" i="21"/>
  <c r="S594" i="21"/>
  <c r="R594" i="21"/>
  <c r="Q594" i="21"/>
  <c r="P594" i="21"/>
  <c r="N594" i="21"/>
  <c r="M594" i="21"/>
  <c r="L594" i="21"/>
  <c r="K594" i="21"/>
  <c r="J594" i="21"/>
  <c r="I594" i="21"/>
  <c r="H594" i="21"/>
  <c r="G594" i="21"/>
  <c r="F594" i="21"/>
  <c r="E594" i="21"/>
  <c r="D594" i="21"/>
  <c r="B594" i="21"/>
  <c r="A594" i="21"/>
  <c r="Y593" i="21"/>
  <c r="X593" i="21"/>
  <c r="W593" i="21"/>
  <c r="V593" i="21"/>
  <c r="T593" i="21"/>
  <c r="S593" i="21"/>
  <c r="R593" i="21"/>
  <c r="Q593" i="21"/>
  <c r="P593" i="21"/>
  <c r="N593" i="21"/>
  <c r="M593" i="21"/>
  <c r="L593" i="21"/>
  <c r="K593" i="21"/>
  <c r="J593" i="21"/>
  <c r="I593" i="21"/>
  <c r="H593" i="21"/>
  <c r="G593" i="21"/>
  <c r="F593" i="21"/>
  <c r="E593" i="21"/>
  <c r="D593" i="21"/>
  <c r="B593" i="21"/>
  <c r="A593" i="21"/>
  <c r="Y592" i="21"/>
  <c r="X592" i="21"/>
  <c r="W592" i="21"/>
  <c r="V592" i="21"/>
  <c r="T592" i="21"/>
  <c r="S592" i="21"/>
  <c r="R592" i="21"/>
  <c r="Q592" i="21"/>
  <c r="P592" i="21"/>
  <c r="N592" i="21"/>
  <c r="M592" i="21"/>
  <c r="L592" i="21"/>
  <c r="K592" i="21"/>
  <c r="J592" i="21"/>
  <c r="I592" i="21"/>
  <c r="H592" i="21"/>
  <c r="G592" i="21"/>
  <c r="F592" i="21"/>
  <c r="E592" i="21"/>
  <c r="D592" i="21"/>
  <c r="B592" i="21"/>
  <c r="A592" i="21"/>
  <c r="Y591" i="21"/>
  <c r="X591" i="21"/>
  <c r="W591" i="21"/>
  <c r="V591" i="21"/>
  <c r="T591" i="21"/>
  <c r="S591" i="21"/>
  <c r="R591" i="21"/>
  <c r="Q591" i="21"/>
  <c r="P591" i="21"/>
  <c r="N591" i="21"/>
  <c r="M591" i="21"/>
  <c r="L591" i="21"/>
  <c r="K591" i="21"/>
  <c r="J591" i="21"/>
  <c r="I591" i="21"/>
  <c r="H591" i="21"/>
  <c r="G591" i="21"/>
  <c r="F591" i="21"/>
  <c r="E591" i="21"/>
  <c r="D591" i="21"/>
  <c r="B591" i="21"/>
  <c r="A591" i="21"/>
  <c r="Y590" i="21"/>
  <c r="X590" i="21"/>
  <c r="W590" i="21"/>
  <c r="V590" i="21"/>
  <c r="T590" i="21"/>
  <c r="S590" i="21"/>
  <c r="R590" i="21"/>
  <c r="Q590" i="21"/>
  <c r="P590" i="21"/>
  <c r="N590" i="21"/>
  <c r="M590" i="21"/>
  <c r="L590" i="21"/>
  <c r="K590" i="21"/>
  <c r="J590" i="21"/>
  <c r="I590" i="21"/>
  <c r="H590" i="21"/>
  <c r="G590" i="21"/>
  <c r="F590" i="21"/>
  <c r="E590" i="21"/>
  <c r="D590" i="21"/>
  <c r="B590" i="21"/>
  <c r="A590" i="21"/>
  <c r="Y589" i="21"/>
  <c r="X589" i="21"/>
  <c r="W589" i="21"/>
  <c r="V589" i="21"/>
  <c r="T589" i="21"/>
  <c r="S589" i="21"/>
  <c r="R589" i="21"/>
  <c r="Q589" i="21"/>
  <c r="P589" i="21"/>
  <c r="N589" i="21"/>
  <c r="M589" i="21"/>
  <c r="L589" i="21"/>
  <c r="K589" i="21"/>
  <c r="J589" i="21"/>
  <c r="I589" i="21"/>
  <c r="H589" i="21"/>
  <c r="G589" i="21"/>
  <c r="F589" i="21"/>
  <c r="E589" i="21"/>
  <c r="D589" i="21"/>
  <c r="B589" i="21"/>
  <c r="A589" i="21"/>
  <c r="Y588" i="21"/>
  <c r="X588" i="21"/>
  <c r="W588" i="21"/>
  <c r="V588" i="21"/>
  <c r="T588" i="21"/>
  <c r="S588" i="21"/>
  <c r="R588" i="21"/>
  <c r="Q588" i="21"/>
  <c r="P588" i="21"/>
  <c r="N588" i="21"/>
  <c r="M588" i="21"/>
  <c r="L588" i="21"/>
  <c r="K588" i="21"/>
  <c r="J588" i="21"/>
  <c r="I588" i="21"/>
  <c r="H588" i="21"/>
  <c r="G588" i="21"/>
  <c r="F588" i="21"/>
  <c r="E588" i="21"/>
  <c r="D588" i="21"/>
  <c r="B588" i="21"/>
  <c r="A588" i="21"/>
  <c r="Y587" i="21"/>
  <c r="X587" i="21"/>
  <c r="W587" i="21"/>
  <c r="V587" i="21"/>
  <c r="T587" i="21"/>
  <c r="S587" i="21"/>
  <c r="R587" i="21"/>
  <c r="Q587" i="21"/>
  <c r="P587" i="21"/>
  <c r="N587" i="21"/>
  <c r="M587" i="21"/>
  <c r="L587" i="21"/>
  <c r="K587" i="21"/>
  <c r="J587" i="21"/>
  <c r="I587" i="21"/>
  <c r="H587" i="21"/>
  <c r="G587" i="21"/>
  <c r="F587" i="21"/>
  <c r="E587" i="21"/>
  <c r="D587" i="21"/>
  <c r="B587" i="21"/>
  <c r="A587" i="21"/>
  <c r="Y586" i="21"/>
  <c r="X586" i="21"/>
  <c r="W586" i="21"/>
  <c r="V586" i="21"/>
  <c r="T586" i="21"/>
  <c r="S586" i="21"/>
  <c r="R586" i="21"/>
  <c r="Q586" i="21"/>
  <c r="P586" i="21"/>
  <c r="N586" i="21"/>
  <c r="M586" i="21"/>
  <c r="L586" i="21"/>
  <c r="K586" i="21"/>
  <c r="J586" i="21"/>
  <c r="I586" i="21"/>
  <c r="H586" i="21"/>
  <c r="G586" i="21"/>
  <c r="F586" i="21"/>
  <c r="E586" i="21"/>
  <c r="D586" i="21"/>
  <c r="B586" i="21"/>
  <c r="A586" i="21"/>
  <c r="Y585" i="21"/>
  <c r="X585" i="21"/>
  <c r="W585" i="21"/>
  <c r="V585" i="21"/>
  <c r="T585" i="21"/>
  <c r="S585" i="21"/>
  <c r="R585" i="21"/>
  <c r="Q585" i="21"/>
  <c r="P585" i="21"/>
  <c r="N585" i="21"/>
  <c r="M585" i="21"/>
  <c r="L585" i="21"/>
  <c r="K585" i="21"/>
  <c r="J585" i="21"/>
  <c r="I585" i="21"/>
  <c r="H585" i="21"/>
  <c r="G585" i="21"/>
  <c r="F585" i="21"/>
  <c r="E585" i="21"/>
  <c r="D585" i="21"/>
  <c r="B585" i="21"/>
  <c r="A585" i="21"/>
  <c r="Y584" i="21"/>
  <c r="X584" i="21"/>
  <c r="W584" i="21"/>
  <c r="V584" i="21"/>
  <c r="T584" i="21"/>
  <c r="S584" i="21"/>
  <c r="R584" i="21"/>
  <c r="Q584" i="21"/>
  <c r="P584" i="21"/>
  <c r="N584" i="21"/>
  <c r="M584" i="21"/>
  <c r="L584" i="21"/>
  <c r="K584" i="21"/>
  <c r="J584" i="21"/>
  <c r="I584" i="21"/>
  <c r="H584" i="21"/>
  <c r="G584" i="21"/>
  <c r="F584" i="21"/>
  <c r="E584" i="21"/>
  <c r="D584" i="21"/>
  <c r="B584" i="21"/>
  <c r="A584" i="21"/>
  <c r="Y583" i="21"/>
  <c r="X583" i="21"/>
  <c r="W583" i="21"/>
  <c r="V583" i="21"/>
  <c r="T583" i="21"/>
  <c r="S583" i="21"/>
  <c r="R583" i="21"/>
  <c r="Q583" i="21"/>
  <c r="P583" i="21"/>
  <c r="N583" i="21"/>
  <c r="M583" i="21"/>
  <c r="L583" i="21"/>
  <c r="K583" i="21"/>
  <c r="J583" i="21"/>
  <c r="I583" i="21"/>
  <c r="H583" i="21"/>
  <c r="G583" i="21"/>
  <c r="F583" i="21"/>
  <c r="E583" i="21"/>
  <c r="D583" i="21"/>
  <c r="B583" i="21"/>
  <c r="A583" i="21"/>
  <c r="Y582" i="21"/>
  <c r="X582" i="21"/>
  <c r="W582" i="21"/>
  <c r="V582" i="21"/>
  <c r="T582" i="21"/>
  <c r="S582" i="21"/>
  <c r="R582" i="21"/>
  <c r="Q582" i="21"/>
  <c r="P582" i="21"/>
  <c r="N582" i="21"/>
  <c r="M582" i="21"/>
  <c r="L582" i="21"/>
  <c r="K582" i="21"/>
  <c r="J582" i="21"/>
  <c r="I582" i="21"/>
  <c r="H582" i="21"/>
  <c r="G582" i="21"/>
  <c r="F582" i="21"/>
  <c r="E582" i="21"/>
  <c r="D582" i="21"/>
  <c r="B582" i="21"/>
  <c r="A582" i="21"/>
  <c r="Y581" i="21"/>
  <c r="X581" i="21"/>
  <c r="W581" i="21"/>
  <c r="V581" i="21"/>
  <c r="T581" i="21"/>
  <c r="S581" i="21"/>
  <c r="R581" i="21"/>
  <c r="Q581" i="21"/>
  <c r="P581" i="21"/>
  <c r="N581" i="21"/>
  <c r="M581" i="21"/>
  <c r="L581" i="21"/>
  <c r="K581" i="21"/>
  <c r="J581" i="21"/>
  <c r="I581" i="21"/>
  <c r="H581" i="21"/>
  <c r="G581" i="21"/>
  <c r="F581" i="21"/>
  <c r="E581" i="21"/>
  <c r="D581" i="21"/>
  <c r="B581" i="21"/>
  <c r="A581" i="21"/>
  <c r="Y580" i="21"/>
  <c r="X580" i="21"/>
  <c r="W580" i="21"/>
  <c r="V580" i="21"/>
  <c r="T580" i="21"/>
  <c r="S580" i="21"/>
  <c r="R580" i="21"/>
  <c r="Q580" i="21"/>
  <c r="P580" i="21"/>
  <c r="N580" i="21"/>
  <c r="M580" i="21"/>
  <c r="L580" i="21"/>
  <c r="K580" i="21"/>
  <c r="J580" i="21"/>
  <c r="I580" i="21"/>
  <c r="H580" i="21"/>
  <c r="G580" i="21"/>
  <c r="F580" i="21"/>
  <c r="E580" i="21"/>
  <c r="D580" i="21"/>
  <c r="B580" i="21"/>
  <c r="A580" i="21"/>
  <c r="Y579" i="21"/>
  <c r="X579" i="21"/>
  <c r="W579" i="21"/>
  <c r="V579" i="21"/>
  <c r="T579" i="21"/>
  <c r="S579" i="21"/>
  <c r="R579" i="21"/>
  <c r="Q579" i="21"/>
  <c r="P579" i="21"/>
  <c r="N579" i="21"/>
  <c r="M579" i="21"/>
  <c r="L579" i="21"/>
  <c r="K579" i="21"/>
  <c r="J579" i="21"/>
  <c r="I579" i="21"/>
  <c r="H579" i="21"/>
  <c r="G579" i="21"/>
  <c r="F579" i="21"/>
  <c r="E579" i="21"/>
  <c r="D579" i="21"/>
  <c r="B579" i="21"/>
  <c r="A579" i="21"/>
  <c r="Y578" i="21"/>
  <c r="X578" i="21"/>
  <c r="W578" i="21"/>
  <c r="V578" i="21"/>
  <c r="T578" i="21"/>
  <c r="S578" i="21"/>
  <c r="R578" i="21"/>
  <c r="Q578" i="21"/>
  <c r="P578" i="21"/>
  <c r="N578" i="21"/>
  <c r="M578" i="21"/>
  <c r="L578" i="21"/>
  <c r="K578" i="21"/>
  <c r="J578" i="21"/>
  <c r="I578" i="21"/>
  <c r="H578" i="21"/>
  <c r="G578" i="21"/>
  <c r="F578" i="21"/>
  <c r="E578" i="21"/>
  <c r="D578" i="21"/>
  <c r="B578" i="21"/>
  <c r="A578" i="21"/>
  <c r="Y577" i="21"/>
  <c r="X577" i="21"/>
  <c r="W577" i="21"/>
  <c r="V577" i="21"/>
  <c r="T577" i="21"/>
  <c r="S577" i="21"/>
  <c r="R577" i="21"/>
  <c r="Q577" i="21"/>
  <c r="P577" i="21"/>
  <c r="N577" i="21"/>
  <c r="M577" i="21"/>
  <c r="L577" i="21"/>
  <c r="K577" i="21"/>
  <c r="J577" i="21"/>
  <c r="I577" i="21"/>
  <c r="H577" i="21"/>
  <c r="G577" i="21"/>
  <c r="F577" i="21"/>
  <c r="E577" i="21"/>
  <c r="D577" i="21"/>
  <c r="B577" i="21"/>
  <c r="A577" i="21"/>
  <c r="Y576" i="21"/>
  <c r="X576" i="21"/>
  <c r="W576" i="21"/>
  <c r="V576" i="21"/>
  <c r="T576" i="21"/>
  <c r="S576" i="21"/>
  <c r="R576" i="21"/>
  <c r="Q576" i="21"/>
  <c r="P576" i="21"/>
  <c r="N576" i="21"/>
  <c r="M576" i="21"/>
  <c r="L576" i="21"/>
  <c r="K576" i="21"/>
  <c r="J576" i="21"/>
  <c r="I576" i="21"/>
  <c r="H576" i="21"/>
  <c r="G576" i="21"/>
  <c r="F576" i="21"/>
  <c r="E576" i="21"/>
  <c r="D576" i="21"/>
  <c r="B576" i="21"/>
  <c r="A576" i="21"/>
  <c r="Y575" i="21"/>
  <c r="X575" i="21"/>
  <c r="W575" i="21"/>
  <c r="V575" i="21"/>
  <c r="T575" i="21"/>
  <c r="S575" i="21"/>
  <c r="R575" i="21"/>
  <c r="Q575" i="21"/>
  <c r="P575" i="21"/>
  <c r="N575" i="21"/>
  <c r="M575" i="21"/>
  <c r="L575" i="21"/>
  <c r="K575" i="21"/>
  <c r="J575" i="21"/>
  <c r="I575" i="21"/>
  <c r="H575" i="21"/>
  <c r="G575" i="21"/>
  <c r="F575" i="21"/>
  <c r="E575" i="21"/>
  <c r="D575" i="21"/>
  <c r="B575" i="21"/>
  <c r="A575" i="21"/>
  <c r="Y574" i="21"/>
  <c r="X574" i="21"/>
  <c r="W574" i="21"/>
  <c r="V574" i="21"/>
  <c r="T574" i="21"/>
  <c r="S574" i="21"/>
  <c r="R574" i="21"/>
  <c r="Q574" i="21"/>
  <c r="P574" i="21"/>
  <c r="N574" i="21"/>
  <c r="M574" i="21"/>
  <c r="L574" i="21"/>
  <c r="K574" i="21"/>
  <c r="J574" i="21"/>
  <c r="I574" i="21"/>
  <c r="H574" i="21"/>
  <c r="G574" i="21"/>
  <c r="F574" i="21"/>
  <c r="E574" i="21"/>
  <c r="D574" i="21"/>
  <c r="B574" i="21"/>
  <c r="A574" i="21"/>
  <c r="Y573" i="21"/>
  <c r="X573" i="21"/>
  <c r="W573" i="21"/>
  <c r="V573" i="21"/>
  <c r="T573" i="21"/>
  <c r="S573" i="21"/>
  <c r="R573" i="21"/>
  <c r="Q573" i="21"/>
  <c r="P573" i="21"/>
  <c r="N573" i="21"/>
  <c r="M573" i="21"/>
  <c r="L573" i="21"/>
  <c r="K573" i="21"/>
  <c r="J573" i="21"/>
  <c r="I573" i="21"/>
  <c r="H573" i="21"/>
  <c r="G573" i="21"/>
  <c r="F573" i="21"/>
  <c r="E573" i="21"/>
  <c r="D573" i="21"/>
  <c r="B573" i="21"/>
  <c r="A573" i="21"/>
  <c r="Y572" i="21"/>
  <c r="X572" i="21"/>
  <c r="W572" i="21"/>
  <c r="V572" i="21"/>
  <c r="T572" i="21"/>
  <c r="S572" i="21"/>
  <c r="R572" i="21"/>
  <c r="Q572" i="21"/>
  <c r="P572" i="21"/>
  <c r="N572" i="21"/>
  <c r="M572" i="21"/>
  <c r="L572" i="21"/>
  <c r="K572" i="21"/>
  <c r="J572" i="21"/>
  <c r="I572" i="21"/>
  <c r="H572" i="21"/>
  <c r="G572" i="21"/>
  <c r="F572" i="21"/>
  <c r="E572" i="21"/>
  <c r="D572" i="21"/>
  <c r="B572" i="21"/>
  <c r="A572" i="21"/>
  <c r="Y571" i="21"/>
  <c r="X571" i="21"/>
  <c r="W571" i="21"/>
  <c r="V571" i="21"/>
  <c r="T571" i="21"/>
  <c r="S571" i="21"/>
  <c r="R571" i="21"/>
  <c r="Q571" i="21"/>
  <c r="P571" i="21"/>
  <c r="N571" i="21"/>
  <c r="M571" i="21"/>
  <c r="L571" i="21"/>
  <c r="K571" i="21"/>
  <c r="J571" i="21"/>
  <c r="I571" i="21"/>
  <c r="H571" i="21"/>
  <c r="G571" i="21"/>
  <c r="F571" i="21"/>
  <c r="E571" i="21"/>
  <c r="D571" i="21"/>
  <c r="B571" i="21"/>
  <c r="A571" i="21"/>
  <c r="Y570" i="21"/>
  <c r="X570" i="21"/>
  <c r="W570" i="21"/>
  <c r="V570" i="21"/>
  <c r="T570" i="21"/>
  <c r="S570" i="21"/>
  <c r="R570" i="21"/>
  <c r="Q570" i="21"/>
  <c r="P570" i="21"/>
  <c r="N570" i="21"/>
  <c r="M570" i="21"/>
  <c r="L570" i="21"/>
  <c r="K570" i="21"/>
  <c r="J570" i="21"/>
  <c r="I570" i="21"/>
  <c r="H570" i="21"/>
  <c r="G570" i="21"/>
  <c r="F570" i="21"/>
  <c r="E570" i="21"/>
  <c r="D570" i="21"/>
  <c r="B570" i="21"/>
  <c r="A570" i="21"/>
  <c r="Y569" i="21"/>
  <c r="X569" i="21"/>
  <c r="W569" i="21"/>
  <c r="V569" i="21"/>
  <c r="T569" i="21"/>
  <c r="S569" i="21"/>
  <c r="R569" i="21"/>
  <c r="Q569" i="21"/>
  <c r="P569" i="21"/>
  <c r="N569" i="21"/>
  <c r="M569" i="21"/>
  <c r="L569" i="21"/>
  <c r="K569" i="21"/>
  <c r="J569" i="21"/>
  <c r="I569" i="21"/>
  <c r="H569" i="21"/>
  <c r="G569" i="21"/>
  <c r="F569" i="21"/>
  <c r="E569" i="21"/>
  <c r="D569" i="21"/>
  <c r="B569" i="21"/>
  <c r="A569" i="21"/>
  <c r="Y568" i="21"/>
  <c r="X568" i="21"/>
  <c r="W568" i="21"/>
  <c r="V568" i="21"/>
  <c r="T568" i="21"/>
  <c r="S568" i="21"/>
  <c r="R568" i="21"/>
  <c r="Q568" i="21"/>
  <c r="P568" i="21"/>
  <c r="N568" i="21"/>
  <c r="M568" i="21"/>
  <c r="L568" i="21"/>
  <c r="K568" i="21"/>
  <c r="J568" i="21"/>
  <c r="I568" i="21"/>
  <c r="H568" i="21"/>
  <c r="G568" i="21"/>
  <c r="F568" i="21"/>
  <c r="E568" i="21"/>
  <c r="D568" i="21"/>
  <c r="B568" i="21"/>
  <c r="A568" i="21"/>
  <c r="Y567" i="21"/>
  <c r="X567" i="21"/>
  <c r="W567" i="21"/>
  <c r="V567" i="21"/>
  <c r="T567" i="21"/>
  <c r="S567" i="21"/>
  <c r="R567" i="21"/>
  <c r="Q567" i="21"/>
  <c r="P567" i="21"/>
  <c r="N567" i="21"/>
  <c r="M567" i="21"/>
  <c r="L567" i="21"/>
  <c r="K567" i="21"/>
  <c r="J567" i="21"/>
  <c r="I567" i="21"/>
  <c r="H567" i="21"/>
  <c r="G567" i="21"/>
  <c r="F567" i="21"/>
  <c r="E567" i="21"/>
  <c r="D567" i="21"/>
  <c r="B567" i="21"/>
  <c r="A567" i="21"/>
  <c r="Y566" i="21"/>
  <c r="X566" i="21"/>
  <c r="W566" i="21"/>
  <c r="V566" i="21"/>
  <c r="T566" i="21"/>
  <c r="S566" i="21"/>
  <c r="R566" i="21"/>
  <c r="Q566" i="21"/>
  <c r="P566" i="21"/>
  <c r="N566" i="21"/>
  <c r="M566" i="21"/>
  <c r="L566" i="21"/>
  <c r="K566" i="21"/>
  <c r="J566" i="21"/>
  <c r="I566" i="21"/>
  <c r="H566" i="21"/>
  <c r="G566" i="21"/>
  <c r="F566" i="21"/>
  <c r="E566" i="21"/>
  <c r="D566" i="21"/>
  <c r="B566" i="21"/>
  <c r="A566" i="21"/>
  <c r="Y565" i="21"/>
  <c r="X565" i="21"/>
  <c r="W565" i="21"/>
  <c r="V565" i="21"/>
  <c r="T565" i="21"/>
  <c r="S565" i="21"/>
  <c r="R565" i="21"/>
  <c r="Q565" i="21"/>
  <c r="P565" i="21"/>
  <c r="N565" i="21"/>
  <c r="M565" i="21"/>
  <c r="L565" i="21"/>
  <c r="K565" i="21"/>
  <c r="J565" i="21"/>
  <c r="I565" i="21"/>
  <c r="H565" i="21"/>
  <c r="G565" i="21"/>
  <c r="F565" i="21"/>
  <c r="E565" i="21"/>
  <c r="D565" i="21"/>
  <c r="B565" i="21"/>
  <c r="A565" i="21"/>
  <c r="Y564" i="21"/>
  <c r="X564" i="21"/>
  <c r="W564" i="21"/>
  <c r="V564" i="21"/>
  <c r="T564" i="21"/>
  <c r="S564" i="21"/>
  <c r="R564" i="21"/>
  <c r="Q564" i="21"/>
  <c r="P564" i="21"/>
  <c r="N564" i="21"/>
  <c r="M564" i="21"/>
  <c r="L564" i="21"/>
  <c r="K564" i="21"/>
  <c r="J564" i="21"/>
  <c r="I564" i="21"/>
  <c r="H564" i="21"/>
  <c r="G564" i="21"/>
  <c r="F564" i="21"/>
  <c r="E564" i="21"/>
  <c r="D564" i="21"/>
  <c r="B564" i="21"/>
  <c r="A564" i="21"/>
  <c r="Y563" i="21"/>
  <c r="X563" i="21"/>
  <c r="W563" i="21"/>
  <c r="V563" i="21"/>
  <c r="T563" i="21"/>
  <c r="S563" i="21"/>
  <c r="R563" i="21"/>
  <c r="Q563" i="21"/>
  <c r="P563" i="21"/>
  <c r="N563" i="21"/>
  <c r="M563" i="21"/>
  <c r="L563" i="21"/>
  <c r="K563" i="21"/>
  <c r="J563" i="21"/>
  <c r="I563" i="21"/>
  <c r="H563" i="21"/>
  <c r="G563" i="21"/>
  <c r="F563" i="21"/>
  <c r="E563" i="21"/>
  <c r="D563" i="21"/>
  <c r="B563" i="21"/>
  <c r="A563" i="21"/>
  <c r="Y562" i="21"/>
  <c r="X562" i="21"/>
  <c r="W562" i="21"/>
  <c r="V562" i="21"/>
  <c r="T562" i="21"/>
  <c r="S562" i="21"/>
  <c r="R562" i="21"/>
  <c r="Q562" i="21"/>
  <c r="P562" i="21"/>
  <c r="N562" i="21"/>
  <c r="M562" i="21"/>
  <c r="L562" i="21"/>
  <c r="K562" i="21"/>
  <c r="J562" i="21"/>
  <c r="I562" i="21"/>
  <c r="H562" i="21"/>
  <c r="G562" i="21"/>
  <c r="F562" i="21"/>
  <c r="E562" i="21"/>
  <c r="D562" i="21"/>
  <c r="B562" i="21"/>
  <c r="A562" i="21"/>
  <c r="Y561" i="21"/>
  <c r="X561" i="21"/>
  <c r="W561" i="21"/>
  <c r="V561" i="21"/>
  <c r="T561" i="21"/>
  <c r="S561" i="21"/>
  <c r="R561" i="21"/>
  <c r="Q561" i="21"/>
  <c r="P561" i="21"/>
  <c r="N561" i="21"/>
  <c r="M561" i="21"/>
  <c r="L561" i="21"/>
  <c r="K561" i="21"/>
  <c r="J561" i="21"/>
  <c r="I561" i="21"/>
  <c r="H561" i="21"/>
  <c r="G561" i="21"/>
  <c r="F561" i="21"/>
  <c r="E561" i="21"/>
  <c r="D561" i="21"/>
  <c r="B561" i="21"/>
  <c r="A561" i="21"/>
  <c r="Y560" i="21"/>
  <c r="X560" i="21"/>
  <c r="W560" i="21"/>
  <c r="V560" i="21"/>
  <c r="T560" i="21"/>
  <c r="S560" i="21"/>
  <c r="R560" i="21"/>
  <c r="Q560" i="21"/>
  <c r="P560" i="21"/>
  <c r="N560" i="21"/>
  <c r="M560" i="21"/>
  <c r="L560" i="21"/>
  <c r="K560" i="21"/>
  <c r="J560" i="21"/>
  <c r="I560" i="21"/>
  <c r="H560" i="21"/>
  <c r="G560" i="21"/>
  <c r="F560" i="21"/>
  <c r="E560" i="21"/>
  <c r="D560" i="21"/>
  <c r="B560" i="21"/>
  <c r="A560" i="21"/>
  <c r="Y559" i="21"/>
  <c r="X559" i="21"/>
  <c r="W559" i="21"/>
  <c r="V559" i="21"/>
  <c r="T559" i="21"/>
  <c r="S559" i="21"/>
  <c r="R559" i="21"/>
  <c r="Q559" i="21"/>
  <c r="P559" i="21"/>
  <c r="N559" i="21"/>
  <c r="M559" i="21"/>
  <c r="L559" i="21"/>
  <c r="K559" i="21"/>
  <c r="J559" i="21"/>
  <c r="I559" i="21"/>
  <c r="H559" i="21"/>
  <c r="G559" i="21"/>
  <c r="F559" i="21"/>
  <c r="E559" i="21"/>
  <c r="D559" i="21"/>
  <c r="B559" i="21"/>
  <c r="A559" i="21"/>
  <c r="Y558" i="21"/>
  <c r="X558" i="21"/>
  <c r="W558" i="21"/>
  <c r="V558" i="21"/>
  <c r="T558" i="21"/>
  <c r="S558" i="21"/>
  <c r="R558" i="21"/>
  <c r="Q558" i="21"/>
  <c r="P558" i="21"/>
  <c r="N558" i="21"/>
  <c r="M558" i="21"/>
  <c r="L558" i="21"/>
  <c r="K558" i="21"/>
  <c r="J558" i="21"/>
  <c r="I558" i="21"/>
  <c r="H558" i="21"/>
  <c r="G558" i="21"/>
  <c r="F558" i="21"/>
  <c r="E558" i="21"/>
  <c r="D558" i="21"/>
  <c r="B558" i="21"/>
  <c r="A558" i="21"/>
  <c r="Y557" i="21"/>
  <c r="X557" i="21"/>
  <c r="W557" i="21"/>
  <c r="V557" i="21"/>
  <c r="T557" i="21"/>
  <c r="S557" i="21"/>
  <c r="R557" i="21"/>
  <c r="Q557" i="21"/>
  <c r="P557" i="21"/>
  <c r="N557" i="21"/>
  <c r="M557" i="21"/>
  <c r="L557" i="21"/>
  <c r="K557" i="21"/>
  <c r="J557" i="21"/>
  <c r="I557" i="21"/>
  <c r="H557" i="21"/>
  <c r="G557" i="21"/>
  <c r="F557" i="21"/>
  <c r="E557" i="21"/>
  <c r="D557" i="21"/>
  <c r="B557" i="21"/>
  <c r="A557" i="21"/>
  <c r="Y556" i="21"/>
  <c r="X556" i="21"/>
  <c r="W556" i="21"/>
  <c r="V556" i="21"/>
  <c r="T556" i="21"/>
  <c r="S556" i="21"/>
  <c r="R556" i="21"/>
  <c r="Q556" i="21"/>
  <c r="P556" i="21"/>
  <c r="N556" i="21"/>
  <c r="M556" i="21"/>
  <c r="L556" i="21"/>
  <c r="K556" i="21"/>
  <c r="J556" i="21"/>
  <c r="I556" i="21"/>
  <c r="H556" i="21"/>
  <c r="G556" i="21"/>
  <c r="F556" i="21"/>
  <c r="E556" i="21"/>
  <c r="D556" i="21"/>
  <c r="B556" i="21"/>
  <c r="A556" i="21"/>
  <c r="Y555" i="21"/>
  <c r="X555" i="21"/>
  <c r="W555" i="21"/>
  <c r="V555" i="21"/>
  <c r="T555" i="21"/>
  <c r="S555" i="21"/>
  <c r="R555" i="21"/>
  <c r="Q555" i="21"/>
  <c r="P555" i="21"/>
  <c r="N555" i="21"/>
  <c r="M555" i="21"/>
  <c r="L555" i="21"/>
  <c r="K555" i="21"/>
  <c r="J555" i="21"/>
  <c r="I555" i="21"/>
  <c r="H555" i="21"/>
  <c r="G555" i="21"/>
  <c r="F555" i="21"/>
  <c r="E555" i="21"/>
  <c r="D555" i="21"/>
  <c r="B555" i="21"/>
  <c r="A555" i="21"/>
  <c r="Y554" i="21"/>
  <c r="X554" i="21"/>
  <c r="W554" i="21"/>
  <c r="V554" i="21"/>
  <c r="T554" i="21"/>
  <c r="S554" i="21"/>
  <c r="R554" i="21"/>
  <c r="Q554" i="21"/>
  <c r="P554" i="21"/>
  <c r="N554" i="21"/>
  <c r="M554" i="21"/>
  <c r="L554" i="21"/>
  <c r="K554" i="21"/>
  <c r="J554" i="21"/>
  <c r="I554" i="21"/>
  <c r="H554" i="21"/>
  <c r="G554" i="21"/>
  <c r="F554" i="21"/>
  <c r="E554" i="21"/>
  <c r="D554" i="21"/>
  <c r="B554" i="21"/>
  <c r="A554" i="21"/>
  <c r="Y553" i="21"/>
  <c r="X553" i="21"/>
  <c r="W553" i="21"/>
  <c r="V553" i="21"/>
  <c r="T553" i="21"/>
  <c r="S553" i="21"/>
  <c r="R553" i="21"/>
  <c r="Q553" i="21"/>
  <c r="P553" i="21"/>
  <c r="N553" i="21"/>
  <c r="M553" i="21"/>
  <c r="L553" i="21"/>
  <c r="K553" i="21"/>
  <c r="J553" i="21"/>
  <c r="I553" i="21"/>
  <c r="H553" i="21"/>
  <c r="G553" i="21"/>
  <c r="F553" i="21"/>
  <c r="E553" i="21"/>
  <c r="D553" i="21"/>
  <c r="B553" i="21"/>
  <c r="A553" i="21"/>
  <c r="Y552" i="21"/>
  <c r="X552" i="21"/>
  <c r="W552" i="21"/>
  <c r="V552" i="21"/>
  <c r="T552" i="21"/>
  <c r="S552" i="21"/>
  <c r="R552" i="21"/>
  <c r="Q552" i="21"/>
  <c r="P552" i="21"/>
  <c r="N552" i="21"/>
  <c r="M552" i="21"/>
  <c r="L552" i="21"/>
  <c r="K552" i="21"/>
  <c r="J552" i="21"/>
  <c r="I552" i="21"/>
  <c r="H552" i="21"/>
  <c r="G552" i="21"/>
  <c r="F552" i="21"/>
  <c r="E552" i="21"/>
  <c r="D552" i="21"/>
  <c r="B552" i="21"/>
  <c r="A552" i="21"/>
  <c r="Y551" i="21"/>
  <c r="X551" i="21"/>
  <c r="W551" i="21"/>
  <c r="V551" i="21"/>
  <c r="T551" i="21"/>
  <c r="S551" i="21"/>
  <c r="R551" i="21"/>
  <c r="Q551" i="21"/>
  <c r="P551" i="21"/>
  <c r="N551" i="21"/>
  <c r="M551" i="21"/>
  <c r="L551" i="21"/>
  <c r="K551" i="21"/>
  <c r="J551" i="21"/>
  <c r="I551" i="21"/>
  <c r="H551" i="21"/>
  <c r="G551" i="21"/>
  <c r="F551" i="21"/>
  <c r="E551" i="21"/>
  <c r="D551" i="21"/>
  <c r="B551" i="21"/>
  <c r="A551" i="21"/>
  <c r="Y550" i="21"/>
  <c r="X550" i="21"/>
  <c r="W550" i="21"/>
  <c r="V550" i="21"/>
  <c r="T550" i="21"/>
  <c r="S550" i="21"/>
  <c r="R550" i="21"/>
  <c r="Q550" i="21"/>
  <c r="P550" i="21"/>
  <c r="N550" i="21"/>
  <c r="M550" i="21"/>
  <c r="L550" i="21"/>
  <c r="K550" i="21"/>
  <c r="J550" i="21"/>
  <c r="I550" i="21"/>
  <c r="H550" i="21"/>
  <c r="G550" i="21"/>
  <c r="F550" i="21"/>
  <c r="E550" i="21"/>
  <c r="D550" i="21"/>
  <c r="B550" i="21"/>
  <c r="A550" i="21"/>
  <c r="Y549" i="21"/>
  <c r="X549" i="21"/>
  <c r="W549" i="21"/>
  <c r="V549" i="21"/>
  <c r="T549" i="21"/>
  <c r="S549" i="21"/>
  <c r="R549" i="21"/>
  <c r="Q549" i="21"/>
  <c r="P549" i="21"/>
  <c r="N549" i="21"/>
  <c r="M549" i="21"/>
  <c r="L549" i="21"/>
  <c r="K549" i="21"/>
  <c r="J549" i="21"/>
  <c r="I549" i="21"/>
  <c r="H549" i="21"/>
  <c r="G549" i="21"/>
  <c r="F549" i="21"/>
  <c r="E549" i="21"/>
  <c r="D549" i="21"/>
  <c r="B549" i="21"/>
  <c r="A549" i="21"/>
  <c r="Y548" i="21"/>
  <c r="X548" i="21"/>
  <c r="W548" i="21"/>
  <c r="V548" i="21"/>
  <c r="T548" i="21"/>
  <c r="S548" i="21"/>
  <c r="R548" i="21"/>
  <c r="Q548" i="21"/>
  <c r="P548" i="21"/>
  <c r="N548" i="21"/>
  <c r="M548" i="21"/>
  <c r="L548" i="21"/>
  <c r="K548" i="21"/>
  <c r="J548" i="21"/>
  <c r="I548" i="21"/>
  <c r="H548" i="21"/>
  <c r="G548" i="21"/>
  <c r="F548" i="21"/>
  <c r="E548" i="21"/>
  <c r="D548" i="21"/>
  <c r="B548" i="21"/>
  <c r="A548" i="21"/>
  <c r="Y547" i="21"/>
  <c r="X547" i="21"/>
  <c r="W547" i="21"/>
  <c r="V547" i="21"/>
  <c r="T547" i="21"/>
  <c r="S547" i="21"/>
  <c r="R547" i="21"/>
  <c r="Q547" i="21"/>
  <c r="P547" i="21"/>
  <c r="N547" i="21"/>
  <c r="M547" i="21"/>
  <c r="L547" i="21"/>
  <c r="K547" i="21"/>
  <c r="J547" i="21"/>
  <c r="I547" i="21"/>
  <c r="H547" i="21"/>
  <c r="G547" i="21"/>
  <c r="F547" i="21"/>
  <c r="E547" i="21"/>
  <c r="D547" i="21"/>
  <c r="B547" i="21"/>
  <c r="A547" i="21"/>
  <c r="Y546" i="21"/>
  <c r="X546" i="21"/>
  <c r="W546" i="21"/>
  <c r="V546" i="21"/>
  <c r="T546" i="21"/>
  <c r="S546" i="21"/>
  <c r="R546" i="21"/>
  <c r="Q546" i="21"/>
  <c r="P546" i="21"/>
  <c r="N546" i="21"/>
  <c r="M546" i="21"/>
  <c r="L546" i="21"/>
  <c r="K546" i="21"/>
  <c r="J546" i="21"/>
  <c r="I546" i="21"/>
  <c r="H546" i="21"/>
  <c r="G546" i="21"/>
  <c r="F546" i="21"/>
  <c r="E546" i="21"/>
  <c r="D546" i="21"/>
  <c r="B546" i="21"/>
  <c r="A546" i="21"/>
  <c r="Y545" i="21"/>
  <c r="X545" i="21"/>
  <c r="W545" i="21"/>
  <c r="V545" i="21"/>
  <c r="T545" i="21"/>
  <c r="S545" i="21"/>
  <c r="R545" i="21"/>
  <c r="Q545" i="21"/>
  <c r="P545" i="21"/>
  <c r="N545" i="21"/>
  <c r="M545" i="21"/>
  <c r="L545" i="21"/>
  <c r="K545" i="21"/>
  <c r="J545" i="21"/>
  <c r="I545" i="21"/>
  <c r="H545" i="21"/>
  <c r="G545" i="21"/>
  <c r="F545" i="21"/>
  <c r="E545" i="21"/>
  <c r="D545" i="21"/>
  <c r="B545" i="21"/>
  <c r="A545" i="21"/>
  <c r="Y544" i="21"/>
  <c r="X544" i="21"/>
  <c r="W544" i="21"/>
  <c r="V544" i="21"/>
  <c r="T544" i="21"/>
  <c r="S544" i="21"/>
  <c r="R544" i="21"/>
  <c r="Q544" i="21"/>
  <c r="P544" i="21"/>
  <c r="N544" i="21"/>
  <c r="M544" i="21"/>
  <c r="L544" i="21"/>
  <c r="K544" i="21"/>
  <c r="J544" i="21"/>
  <c r="I544" i="21"/>
  <c r="H544" i="21"/>
  <c r="G544" i="21"/>
  <c r="F544" i="21"/>
  <c r="E544" i="21"/>
  <c r="D544" i="21"/>
  <c r="B544" i="21"/>
  <c r="A544" i="21"/>
  <c r="Y543" i="21"/>
  <c r="X543" i="21"/>
  <c r="W543" i="21"/>
  <c r="V543" i="21"/>
  <c r="T543" i="21"/>
  <c r="S543" i="21"/>
  <c r="R543" i="21"/>
  <c r="Q543" i="21"/>
  <c r="P543" i="21"/>
  <c r="N543" i="21"/>
  <c r="M543" i="21"/>
  <c r="L543" i="21"/>
  <c r="K543" i="21"/>
  <c r="J543" i="21"/>
  <c r="I543" i="21"/>
  <c r="H543" i="21"/>
  <c r="G543" i="21"/>
  <c r="F543" i="21"/>
  <c r="E543" i="21"/>
  <c r="D543" i="21"/>
  <c r="B543" i="21"/>
  <c r="A543" i="21"/>
  <c r="Y542" i="21"/>
  <c r="X542" i="21"/>
  <c r="W542" i="21"/>
  <c r="V542" i="21"/>
  <c r="T542" i="21"/>
  <c r="S542" i="21"/>
  <c r="R542" i="21"/>
  <c r="Q542" i="21"/>
  <c r="P542" i="21"/>
  <c r="N542" i="21"/>
  <c r="M542" i="21"/>
  <c r="L542" i="21"/>
  <c r="K542" i="21"/>
  <c r="J542" i="21"/>
  <c r="I542" i="21"/>
  <c r="H542" i="21"/>
  <c r="G542" i="21"/>
  <c r="F542" i="21"/>
  <c r="E542" i="21"/>
  <c r="D542" i="21"/>
  <c r="B542" i="21"/>
  <c r="A542" i="21"/>
  <c r="Y541" i="21"/>
  <c r="X541" i="21"/>
  <c r="W541" i="21"/>
  <c r="V541" i="21"/>
  <c r="T541" i="21"/>
  <c r="S541" i="21"/>
  <c r="R541" i="21"/>
  <c r="Q541" i="21"/>
  <c r="P541" i="21"/>
  <c r="N541" i="21"/>
  <c r="M541" i="21"/>
  <c r="L541" i="21"/>
  <c r="K541" i="21"/>
  <c r="J541" i="21"/>
  <c r="I541" i="21"/>
  <c r="H541" i="21"/>
  <c r="G541" i="21"/>
  <c r="F541" i="21"/>
  <c r="E541" i="21"/>
  <c r="D541" i="21"/>
  <c r="B541" i="21"/>
  <c r="A541" i="21"/>
  <c r="Y540" i="21"/>
  <c r="X540" i="21"/>
  <c r="W540" i="21"/>
  <c r="V540" i="21"/>
  <c r="T540" i="21"/>
  <c r="S540" i="21"/>
  <c r="R540" i="21"/>
  <c r="Q540" i="21"/>
  <c r="P540" i="21"/>
  <c r="N540" i="21"/>
  <c r="M540" i="21"/>
  <c r="L540" i="21"/>
  <c r="K540" i="21"/>
  <c r="J540" i="21"/>
  <c r="I540" i="21"/>
  <c r="H540" i="21"/>
  <c r="G540" i="21"/>
  <c r="F540" i="21"/>
  <c r="E540" i="21"/>
  <c r="D540" i="21"/>
  <c r="B540" i="21"/>
  <c r="A540" i="21"/>
  <c r="Y539" i="21"/>
  <c r="X539" i="21"/>
  <c r="W539" i="21"/>
  <c r="V539" i="21"/>
  <c r="T539" i="21"/>
  <c r="S539" i="21"/>
  <c r="R539" i="21"/>
  <c r="Q539" i="21"/>
  <c r="P539" i="21"/>
  <c r="N539" i="21"/>
  <c r="M539" i="21"/>
  <c r="L539" i="21"/>
  <c r="K539" i="21"/>
  <c r="J539" i="21"/>
  <c r="I539" i="21"/>
  <c r="H539" i="21"/>
  <c r="G539" i="21"/>
  <c r="F539" i="21"/>
  <c r="E539" i="21"/>
  <c r="D539" i="21"/>
  <c r="B539" i="21"/>
  <c r="A539" i="21"/>
  <c r="Y538" i="21"/>
  <c r="X538" i="21"/>
  <c r="W538" i="21"/>
  <c r="V538" i="21"/>
  <c r="T538" i="21"/>
  <c r="S538" i="21"/>
  <c r="R538" i="21"/>
  <c r="Q538" i="21"/>
  <c r="P538" i="21"/>
  <c r="N538" i="21"/>
  <c r="M538" i="21"/>
  <c r="L538" i="21"/>
  <c r="K538" i="21"/>
  <c r="J538" i="21"/>
  <c r="I538" i="21"/>
  <c r="H538" i="21"/>
  <c r="G538" i="21"/>
  <c r="F538" i="21"/>
  <c r="E538" i="21"/>
  <c r="D538" i="21"/>
  <c r="B538" i="21"/>
  <c r="A538" i="21"/>
  <c r="Y537" i="21"/>
  <c r="X537" i="21"/>
  <c r="W537" i="21"/>
  <c r="V537" i="21"/>
  <c r="T537" i="21"/>
  <c r="S537" i="21"/>
  <c r="R537" i="21"/>
  <c r="Q537" i="21"/>
  <c r="P537" i="21"/>
  <c r="N537" i="21"/>
  <c r="M537" i="21"/>
  <c r="L537" i="21"/>
  <c r="K537" i="21"/>
  <c r="J537" i="21"/>
  <c r="I537" i="21"/>
  <c r="H537" i="21"/>
  <c r="G537" i="21"/>
  <c r="F537" i="21"/>
  <c r="E537" i="21"/>
  <c r="D537" i="21"/>
  <c r="B537" i="21"/>
  <c r="A537" i="21"/>
  <c r="Y536" i="21"/>
  <c r="X536" i="21"/>
  <c r="W536" i="21"/>
  <c r="V536" i="21"/>
  <c r="T536" i="21"/>
  <c r="S536" i="21"/>
  <c r="R536" i="21"/>
  <c r="Q536" i="21"/>
  <c r="P536" i="21"/>
  <c r="N536" i="21"/>
  <c r="M536" i="21"/>
  <c r="L536" i="21"/>
  <c r="K536" i="21"/>
  <c r="J536" i="21"/>
  <c r="I536" i="21"/>
  <c r="H536" i="21"/>
  <c r="G536" i="21"/>
  <c r="F536" i="21"/>
  <c r="E536" i="21"/>
  <c r="D536" i="21"/>
  <c r="B536" i="21"/>
  <c r="A536" i="21"/>
  <c r="Y535" i="21"/>
  <c r="X535" i="21"/>
  <c r="W535" i="21"/>
  <c r="V535" i="21"/>
  <c r="T535" i="21"/>
  <c r="S535" i="21"/>
  <c r="R535" i="21"/>
  <c r="Q535" i="21"/>
  <c r="P535" i="21"/>
  <c r="N535" i="21"/>
  <c r="M535" i="21"/>
  <c r="L535" i="21"/>
  <c r="K535" i="21"/>
  <c r="J535" i="21"/>
  <c r="I535" i="21"/>
  <c r="H535" i="21"/>
  <c r="G535" i="21"/>
  <c r="F535" i="21"/>
  <c r="E535" i="21"/>
  <c r="D535" i="21"/>
  <c r="B535" i="21"/>
  <c r="A535" i="21"/>
  <c r="Y534" i="21"/>
  <c r="X534" i="21"/>
  <c r="W534" i="21"/>
  <c r="V534" i="21"/>
  <c r="T534" i="21"/>
  <c r="S534" i="21"/>
  <c r="R534" i="21"/>
  <c r="Q534" i="21"/>
  <c r="P534" i="21"/>
  <c r="N534" i="21"/>
  <c r="M534" i="21"/>
  <c r="L534" i="21"/>
  <c r="K534" i="21"/>
  <c r="J534" i="21"/>
  <c r="I534" i="21"/>
  <c r="H534" i="21"/>
  <c r="G534" i="21"/>
  <c r="F534" i="21"/>
  <c r="E534" i="21"/>
  <c r="D534" i="21"/>
  <c r="B534" i="21"/>
  <c r="A534" i="21"/>
  <c r="Y533" i="21"/>
  <c r="X533" i="21"/>
  <c r="W533" i="21"/>
  <c r="V533" i="21"/>
  <c r="T533" i="21"/>
  <c r="S533" i="21"/>
  <c r="R533" i="21"/>
  <c r="Q533" i="21"/>
  <c r="P533" i="21"/>
  <c r="N533" i="21"/>
  <c r="M533" i="21"/>
  <c r="L533" i="21"/>
  <c r="K533" i="21"/>
  <c r="J533" i="21"/>
  <c r="I533" i="21"/>
  <c r="H533" i="21"/>
  <c r="G533" i="21"/>
  <c r="F533" i="21"/>
  <c r="E533" i="21"/>
  <c r="D533" i="21"/>
  <c r="B533" i="21"/>
  <c r="A533" i="21"/>
  <c r="Y532" i="21"/>
  <c r="X532" i="21"/>
  <c r="W532" i="21"/>
  <c r="V532" i="21"/>
  <c r="T532" i="21"/>
  <c r="S532" i="21"/>
  <c r="R532" i="21"/>
  <c r="Q532" i="21"/>
  <c r="P532" i="21"/>
  <c r="N532" i="21"/>
  <c r="M532" i="21"/>
  <c r="L532" i="21"/>
  <c r="K532" i="21"/>
  <c r="J532" i="21"/>
  <c r="I532" i="21"/>
  <c r="H532" i="21"/>
  <c r="G532" i="21"/>
  <c r="F532" i="21"/>
  <c r="E532" i="21"/>
  <c r="D532" i="21"/>
  <c r="B532" i="21"/>
  <c r="A532" i="21"/>
  <c r="Y531" i="21"/>
  <c r="X531" i="21"/>
  <c r="W531" i="21"/>
  <c r="V531" i="21"/>
  <c r="T531" i="21"/>
  <c r="S531" i="21"/>
  <c r="R531" i="21"/>
  <c r="Q531" i="21"/>
  <c r="P531" i="21"/>
  <c r="N531" i="21"/>
  <c r="M531" i="21"/>
  <c r="L531" i="21"/>
  <c r="K531" i="21"/>
  <c r="J531" i="21"/>
  <c r="I531" i="21"/>
  <c r="H531" i="21"/>
  <c r="G531" i="21"/>
  <c r="F531" i="21"/>
  <c r="E531" i="21"/>
  <c r="D531" i="21"/>
  <c r="B531" i="21"/>
  <c r="A531" i="21"/>
  <c r="Y530" i="21"/>
  <c r="X530" i="21"/>
  <c r="W530" i="21"/>
  <c r="V530" i="21"/>
  <c r="T530" i="21"/>
  <c r="S530" i="21"/>
  <c r="R530" i="21"/>
  <c r="Q530" i="21"/>
  <c r="P530" i="21"/>
  <c r="N530" i="21"/>
  <c r="M530" i="21"/>
  <c r="L530" i="21"/>
  <c r="K530" i="21"/>
  <c r="J530" i="21"/>
  <c r="I530" i="21"/>
  <c r="H530" i="21"/>
  <c r="G530" i="21"/>
  <c r="F530" i="21"/>
  <c r="E530" i="21"/>
  <c r="D530" i="21"/>
  <c r="B530" i="21"/>
  <c r="A530" i="21"/>
  <c r="Y529" i="21"/>
  <c r="X529" i="21"/>
  <c r="W529" i="21"/>
  <c r="V529" i="21"/>
  <c r="T529" i="21"/>
  <c r="S529" i="21"/>
  <c r="R529" i="21"/>
  <c r="Q529" i="21"/>
  <c r="P529" i="21"/>
  <c r="N529" i="21"/>
  <c r="M529" i="21"/>
  <c r="L529" i="21"/>
  <c r="K529" i="21"/>
  <c r="J529" i="21"/>
  <c r="I529" i="21"/>
  <c r="H529" i="21"/>
  <c r="G529" i="21"/>
  <c r="F529" i="21"/>
  <c r="E529" i="21"/>
  <c r="D529" i="21"/>
  <c r="B529" i="21"/>
  <c r="A529" i="21"/>
  <c r="Y528" i="21"/>
  <c r="X528" i="21"/>
  <c r="W528" i="21"/>
  <c r="V528" i="21"/>
  <c r="T528" i="21"/>
  <c r="S528" i="21"/>
  <c r="R528" i="21"/>
  <c r="Q528" i="21"/>
  <c r="P528" i="21"/>
  <c r="N528" i="21"/>
  <c r="M528" i="21"/>
  <c r="L528" i="21"/>
  <c r="K528" i="21"/>
  <c r="J528" i="21"/>
  <c r="I528" i="21"/>
  <c r="H528" i="21"/>
  <c r="G528" i="21"/>
  <c r="F528" i="21"/>
  <c r="E528" i="21"/>
  <c r="D528" i="21"/>
  <c r="B528" i="21"/>
  <c r="A528" i="21"/>
  <c r="Y527" i="21"/>
  <c r="X527" i="21"/>
  <c r="W527" i="21"/>
  <c r="V527" i="21"/>
  <c r="T527" i="21"/>
  <c r="S527" i="21"/>
  <c r="R527" i="21"/>
  <c r="Q527" i="21"/>
  <c r="P527" i="21"/>
  <c r="N527" i="21"/>
  <c r="M527" i="21"/>
  <c r="L527" i="21"/>
  <c r="K527" i="21"/>
  <c r="J527" i="21"/>
  <c r="I527" i="21"/>
  <c r="H527" i="21"/>
  <c r="G527" i="21"/>
  <c r="F527" i="21"/>
  <c r="E527" i="21"/>
  <c r="D527" i="21"/>
  <c r="B527" i="21"/>
  <c r="A527" i="21"/>
  <c r="Y526" i="21"/>
  <c r="X526" i="21"/>
  <c r="W526" i="21"/>
  <c r="V526" i="21"/>
  <c r="T526" i="21"/>
  <c r="S526" i="21"/>
  <c r="R526" i="21"/>
  <c r="Q526" i="21"/>
  <c r="P526" i="21"/>
  <c r="N526" i="21"/>
  <c r="M526" i="21"/>
  <c r="L526" i="21"/>
  <c r="K526" i="21"/>
  <c r="J526" i="21"/>
  <c r="I526" i="21"/>
  <c r="H526" i="21"/>
  <c r="G526" i="21"/>
  <c r="F526" i="21"/>
  <c r="E526" i="21"/>
  <c r="D526" i="21"/>
  <c r="B526" i="21"/>
  <c r="A526" i="21"/>
  <c r="Y525" i="21"/>
  <c r="X525" i="21"/>
  <c r="W525" i="21"/>
  <c r="V525" i="21"/>
  <c r="T525" i="21"/>
  <c r="S525" i="21"/>
  <c r="R525" i="21"/>
  <c r="Q525" i="21"/>
  <c r="P525" i="21"/>
  <c r="N525" i="21"/>
  <c r="M525" i="21"/>
  <c r="L525" i="21"/>
  <c r="K525" i="21"/>
  <c r="J525" i="21"/>
  <c r="I525" i="21"/>
  <c r="H525" i="21"/>
  <c r="G525" i="21"/>
  <c r="F525" i="21"/>
  <c r="E525" i="21"/>
  <c r="D525" i="21"/>
  <c r="B525" i="21"/>
  <c r="A525" i="21"/>
  <c r="Y524" i="21"/>
  <c r="X524" i="21"/>
  <c r="W524" i="21"/>
  <c r="V524" i="21"/>
  <c r="T524" i="21"/>
  <c r="S524" i="21"/>
  <c r="R524" i="21"/>
  <c r="Q524" i="21"/>
  <c r="P524" i="21"/>
  <c r="N524" i="21"/>
  <c r="M524" i="21"/>
  <c r="L524" i="21"/>
  <c r="K524" i="21"/>
  <c r="J524" i="21"/>
  <c r="I524" i="21"/>
  <c r="H524" i="21"/>
  <c r="G524" i="21"/>
  <c r="F524" i="21"/>
  <c r="E524" i="21"/>
  <c r="D524" i="21"/>
  <c r="B524" i="21"/>
  <c r="A524" i="21"/>
  <c r="Y523" i="21"/>
  <c r="X523" i="21"/>
  <c r="W523" i="21"/>
  <c r="V523" i="21"/>
  <c r="T523" i="21"/>
  <c r="S523" i="21"/>
  <c r="R523" i="21"/>
  <c r="Q523" i="21"/>
  <c r="P523" i="21"/>
  <c r="N523" i="21"/>
  <c r="M523" i="21"/>
  <c r="L523" i="21"/>
  <c r="K523" i="21"/>
  <c r="J523" i="21"/>
  <c r="I523" i="21"/>
  <c r="H523" i="21"/>
  <c r="G523" i="21"/>
  <c r="F523" i="21"/>
  <c r="E523" i="21"/>
  <c r="D523" i="21"/>
  <c r="B523" i="21"/>
  <c r="A523" i="21"/>
  <c r="Y522" i="21"/>
  <c r="X522" i="21"/>
  <c r="W522" i="21"/>
  <c r="V522" i="21"/>
  <c r="T522" i="21"/>
  <c r="S522" i="21"/>
  <c r="R522" i="21"/>
  <c r="Q522" i="21"/>
  <c r="P522" i="21"/>
  <c r="N522" i="21"/>
  <c r="M522" i="21"/>
  <c r="L522" i="21"/>
  <c r="K522" i="21"/>
  <c r="J522" i="21"/>
  <c r="I522" i="21"/>
  <c r="H522" i="21"/>
  <c r="G522" i="21"/>
  <c r="F522" i="21"/>
  <c r="E522" i="21"/>
  <c r="D522" i="21"/>
  <c r="B522" i="21"/>
  <c r="A522" i="21"/>
  <c r="Y521" i="21"/>
  <c r="X521" i="21"/>
  <c r="W521" i="21"/>
  <c r="V521" i="21"/>
  <c r="T521" i="21"/>
  <c r="S521" i="21"/>
  <c r="R521" i="21"/>
  <c r="Q521" i="21"/>
  <c r="P521" i="21"/>
  <c r="N521" i="21"/>
  <c r="M521" i="21"/>
  <c r="L521" i="21"/>
  <c r="K521" i="21"/>
  <c r="J521" i="21"/>
  <c r="I521" i="21"/>
  <c r="H521" i="21"/>
  <c r="G521" i="21"/>
  <c r="F521" i="21"/>
  <c r="E521" i="21"/>
  <c r="D521" i="21"/>
  <c r="B521" i="21"/>
  <c r="A521" i="21"/>
  <c r="Y520" i="21"/>
  <c r="X520" i="21"/>
  <c r="W520" i="21"/>
  <c r="V520" i="21"/>
  <c r="T520" i="21"/>
  <c r="S520" i="21"/>
  <c r="R520" i="21"/>
  <c r="Q520" i="21"/>
  <c r="P520" i="21"/>
  <c r="N520" i="21"/>
  <c r="M520" i="21"/>
  <c r="L520" i="21"/>
  <c r="K520" i="21"/>
  <c r="J520" i="21"/>
  <c r="I520" i="21"/>
  <c r="H520" i="21"/>
  <c r="G520" i="21"/>
  <c r="F520" i="21"/>
  <c r="E520" i="21"/>
  <c r="D520" i="21"/>
  <c r="B520" i="21"/>
  <c r="A520" i="21"/>
  <c r="Y519" i="21"/>
  <c r="X519" i="21"/>
  <c r="W519" i="21"/>
  <c r="V519" i="21"/>
  <c r="T519" i="21"/>
  <c r="S519" i="21"/>
  <c r="R519" i="21"/>
  <c r="Q519" i="21"/>
  <c r="P519" i="21"/>
  <c r="N519" i="21"/>
  <c r="M519" i="21"/>
  <c r="L519" i="21"/>
  <c r="K519" i="21"/>
  <c r="J519" i="21"/>
  <c r="I519" i="21"/>
  <c r="H519" i="21"/>
  <c r="G519" i="21"/>
  <c r="F519" i="21"/>
  <c r="E519" i="21"/>
  <c r="D519" i="21"/>
  <c r="B519" i="21"/>
  <c r="A519" i="21"/>
  <c r="Y518" i="21"/>
  <c r="X518" i="21"/>
  <c r="W518" i="21"/>
  <c r="V518" i="21"/>
  <c r="U518" i="21"/>
  <c r="T518" i="21"/>
  <c r="S518" i="21"/>
  <c r="R518" i="21"/>
  <c r="Q518" i="21"/>
  <c r="P518" i="21"/>
  <c r="N518" i="21"/>
  <c r="M518" i="21"/>
  <c r="L518" i="21"/>
  <c r="K518" i="21"/>
  <c r="J518" i="21"/>
  <c r="I518" i="21"/>
  <c r="H518" i="21"/>
  <c r="G518" i="21"/>
  <c r="F518" i="21"/>
  <c r="E518" i="21"/>
  <c r="D518" i="21"/>
  <c r="B518" i="21"/>
  <c r="A518" i="21"/>
  <c r="Y517" i="21"/>
  <c r="X517" i="21"/>
  <c r="W517" i="21"/>
  <c r="V517" i="21"/>
  <c r="T517" i="21"/>
  <c r="S517" i="21"/>
  <c r="R517" i="21"/>
  <c r="Q517" i="21"/>
  <c r="P517" i="21"/>
  <c r="N517" i="21"/>
  <c r="M517" i="21"/>
  <c r="L517" i="21"/>
  <c r="K517" i="21"/>
  <c r="J517" i="21"/>
  <c r="I517" i="21"/>
  <c r="H517" i="21"/>
  <c r="G517" i="21"/>
  <c r="F517" i="21"/>
  <c r="E517" i="21"/>
  <c r="D517" i="21"/>
  <c r="B517" i="21"/>
  <c r="A517" i="21"/>
  <c r="Y516" i="21"/>
  <c r="X516" i="21"/>
  <c r="W516" i="21"/>
  <c r="V516" i="21"/>
  <c r="T516" i="21"/>
  <c r="S516" i="21"/>
  <c r="R516" i="21"/>
  <c r="Q516" i="21"/>
  <c r="P516" i="21"/>
  <c r="N516" i="21"/>
  <c r="M516" i="21"/>
  <c r="L516" i="21"/>
  <c r="K516" i="21"/>
  <c r="J516" i="21"/>
  <c r="I516" i="21"/>
  <c r="H516" i="21"/>
  <c r="G516" i="21"/>
  <c r="F516" i="21"/>
  <c r="E516" i="21"/>
  <c r="D516" i="21"/>
  <c r="B516" i="21"/>
  <c r="A516" i="21"/>
  <c r="Y515" i="21"/>
  <c r="X515" i="21"/>
  <c r="W515" i="21"/>
  <c r="V515" i="21"/>
  <c r="T515" i="21"/>
  <c r="S515" i="21"/>
  <c r="R515" i="21"/>
  <c r="Q515" i="21"/>
  <c r="P515" i="21"/>
  <c r="N515" i="21"/>
  <c r="M515" i="21"/>
  <c r="L515" i="21"/>
  <c r="K515" i="21"/>
  <c r="J515" i="21"/>
  <c r="I515" i="21"/>
  <c r="H515" i="21"/>
  <c r="G515" i="21"/>
  <c r="F515" i="21"/>
  <c r="E515" i="21"/>
  <c r="D515" i="21"/>
  <c r="B515" i="21"/>
  <c r="A515" i="21"/>
  <c r="Y514" i="21"/>
  <c r="X514" i="21"/>
  <c r="W514" i="21"/>
  <c r="V514" i="21"/>
  <c r="T514" i="21"/>
  <c r="S514" i="21"/>
  <c r="R514" i="21"/>
  <c r="Q514" i="21"/>
  <c r="P514" i="21"/>
  <c r="N514" i="21"/>
  <c r="M514" i="21"/>
  <c r="L514" i="21"/>
  <c r="K514" i="21"/>
  <c r="J514" i="21"/>
  <c r="I514" i="21"/>
  <c r="H514" i="21"/>
  <c r="G514" i="21"/>
  <c r="F514" i="21"/>
  <c r="E514" i="21"/>
  <c r="D514" i="21"/>
  <c r="B514" i="21"/>
  <c r="A514" i="21"/>
  <c r="Y513" i="21"/>
  <c r="X513" i="21"/>
  <c r="W513" i="21"/>
  <c r="V513" i="21"/>
  <c r="T513" i="21"/>
  <c r="S513" i="21"/>
  <c r="R513" i="21"/>
  <c r="Q513" i="21"/>
  <c r="P513" i="21"/>
  <c r="N513" i="21"/>
  <c r="M513" i="21"/>
  <c r="L513" i="21"/>
  <c r="K513" i="21"/>
  <c r="J513" i="21"/>
  <c r="I513" i="21"/>
  <c r="H513" i="21"/>
  <c r="G513" i="21"/>
  <c r="F513" i="21"/>
  <c r="E513" i="21"/>
  <c r="D513" i="21"/>
  <c r="B513" i="21"/>
  <c r="A513" i="21"/>
  <c r="Y512" i="21"/>
  <c r="X512" i="21"/>
  <c r="W512" i="21"/>
  <c r="V512" i="21"/>
  <c r="T512" i="21"/>
  <c r="S512" i="21"/>
  <c r="R512" i="21"/>
  <c r="Q512" i="21"/>
  <c r="P512" i="21"/>
  <c r="N512" i="21"/>
  <c r="M512" i="21"/>
  <c r="L512" i="21"/>
  <c r="K512" i="21"/>
  <c r="J512" i="21"/>
  <c r="I512" i="21"/>
  <c r="H512" i="21"/>
  <c r="G512" i="21"/>
  <c r="F512" i="21"/>
  <c r="E512" i="21"/>
  <c r="D512" i="21"/>
  <c r="B512" i="21"/>
  <c r="A512" i="21"/>
  <c r="Y511" i="21"/>
  <c r="X511" i="21"/>
  <c r="W511" i="21"/>
  <c r="V511" i="21"/>
  <c r="T511" i="21"/>
  <c r="S511" i="21"/>
  <c r="R511" i="21"/>
  <c r="Q511" i="21"/>
  <c r="P511" i="21"/>
  <c r="N511" i="21"/>
  <c r="M511" i="21"/>
  <c r="L511" i="21"/>
  <c r="K511" i="21"/>
  <c r="J511" i="21"/>
  <c r="I511" i="21"/>
  <c r="H511" i="21"/>
  <c r="G511" i="21"/>
  <c r="F511" i="21"/>
  <c r="E511" i="21"/>
  <c r="D511" i="21"/>
  <c r="B511" i="21"/>
  <c r="A511" i="21"/>
  <c r="Y510" i="21"/>
  <c r="X510" i="21"/>
  <c r="W510" i="21"/>
  <c r="V510" i="21"/>
  <c r="T510" i="21"/>
  <c r="S510" i="21"/>
  <c r="R510" i="21"/>
  <c r="Q510" i="21"/>
  <c r="P510" i="21"/>
  <c r="N510" i="21"/>
  <c r="M510" i="21"/>
  <c r="L510" i="21"/>
  <c r="K510" i="21"/>
  <c r="J510" i="21"/>
  <c r="I510" i="21"/>
  <c r="H510" i="21"/>
  <c r="G510" i="21"/>
  <c r="F510" i="21"/>
  <c r="E510" i="21"/>
  <c r="D510" i="21"/>
  <c r="B510" i="21"/>
  <c r="A510" i="21"/>
  <c r="Y509" i="21"/>
  <c r="X509" i="21"/>
  <c r="W509" i="21"/>
  <c r="V509" i="21"/>
  <c r="T509" i="21"/>
  <c r="S509" i="21"/>
  <c r="R509" i="21"/>
  <c r="Q509" i="21"/>
  <c r="P509" i="21"/>
  <c r="N509" i="21"/>
  <c r="M509" i="21"/>
  <c r="L509" i="21"/>
  <c r="K509" i="21"/>
  <c r="J509" i="21"/>
  <c r="I509" i="21"/>
  <c r="H509" i="21"/>
  <c r="G509" i="21"/>
  <c r="F509" i="21"/>
  <c r="E509" i="21"/>
  <c r="D509" i="21"/>
  <c r="B509" i="21"/>
  <c r="A509" i="21"/>
  <c r="Y508" i="21"/>
  <c r="X508" i="21"/>
  <c r="W508" i="21"/>
  <c r="V508" i="21"/>
  <c r="T508" i="21"/>
  <c r="S508" i="21"/>
  <c r="R508" i="21"/>
  <c r="Q508" i="21"/>
  <c r="P508" i="21"/>
  <c r="N508" i="21"/>
  <c r="M508" i="21"/>
  <c r="L508" i="21"/>
  <c r="K508" i="21"/>
  <c r="J508" i="21"/>
  <c r="I508" i="21"/>
  <c r="H508" i="21"/>
  <c r="G508" i="21"/>
  <c r="F508" i="21"/>
  <c r="E508" i="21"/>
  <c r="D508" i="21"/>
  <c r="B508" i="21"/>
  <c r="A508" i="21"/>
  <c r="Y507" i="21"/>
  <c r="X507" i="21"/>
  <c r="W507" i="21"/>
  <c r="V507" i="21"/>
  <c r="T507" i="21"/>
  <c r="S507" i="21"/>
  <c r="R507" i="21"/>
  <c r="Q507" i="21"/>
  <c r="P507" i="21"/>
  <c r="N507" i="21"/>
  <c r="M507" i="21"/>
  <c r="L507" i="21"/>
  <c r="K507" i="21"/>
  <c r="J507" i="21"/>
  <c r="I507" i="21"/>
  <c r="H507" i="21"/>
  <c r="G507" i="21"/>
  <c r="F507" i="21"/>
  <c r="E507" i="21"/>
  <c r="D507" i="21"/>
  <c r="B507" i="21"/>
  <c r="A507" i="21"/>
  <c r="Y506" i="21"/>
  <c r="X506" i="21"/>
  <c r="W506" i="21"/>
  <c r="V506" i="21"/>
  <c r="T506" i="21"/>
  <c r="S506" i="21"/>
  <c r="R506" i="21"/>
  <c r="Q506" i="21"/>
  <c r="P506" i="21"/>
  <c r="N506" i="21"/>
  <c r="M506" i="21"/>
  <c r="L506" i="21"/>
  <c r="K506" i="21"/>
  <c r="J506" i="21"/>
  <c r="I506" i="21"/>
  <c r="H506" i="21"/>
  <c r="G506" i="21"/>
  <c r="F506" i="21"/>
  <c r="E506" i="21"/>
  <c r="D506" i="21"/>
  <c r="B506" i="21"/>
  <c r="A506" i="21"/>
  <c r="Y505" i="21"/>
  <c r="X505" i="21"/>
  <c r="W505" i="21"/>
  <c r="V505" i="21"/>
  <c r="T505" i="21"/>
  <c r="S505" i="21"/>
  <c r="R505" i="21"/>
  <c r="Q505" i="21"/>
  <c r="P505" i="21"/>
  <c r="N505" i="21"/>
  <c r="M505" i="21"/>
  <c r="L505" i="21"/>
  <c r="K505" i="21"/>
  <c r="J505" i="21"/>
  <c r="I505" i="21"/>
  <c r="H505" i="21"/>
  <c r="G505" i="21"/>
  <c r="F505" i="21"/>
  <c r="E505" i="21"/>
  <c r="D505" i="21"/>
  <c r="B505" i="21"/>
  <c r="A505" i="21"/>
  <c r="Y504" i="21"/>
  <c r="X504" i="21"/>
  <c r="W504" i="21"/>
  <c r="V504" i="21"/>
  <c r="T504" i="21"/>
  <c r="S504" i="21"/>
  <c r="R504" i="21"/>
  <c r="Q504" i="21"/>
  <c r="P504" i="21"/>
  <c r="N504" i="21"/>
  <c r="M504" i="21"/>
  <c r="L504" i="21"/>
  <c r="K504" i="21"/>
  <c r="J504" i="21"/>
  <c r="I504" i="21"/>
  <c r="H504" i="21"/>
  <c r="G504" i="21"/>
  <c r="F504" i="21"/>
  <c r="E504" i="21"/>
  <c r="D504" i="21"/>
  <c r="B504" i="21"/>
  <c r="A504" i="21"/>
  <c r="Y503" i="21"/>
  <c r="X503" i="21"/>
  <c r="W503" i="21"/>
  <c r="V503" i="21"/>
  <c r="T503" i="21"/>
  <c r="S503" i="21"/>
  <c r="R503" i="21"/>
  <c r="Q503" i="21"/>
  <c r="P503" i="21"/>
  <c r="N503" i="21"/>
  <c r="M503" i="21"/>
  <c r="L503" i="21"/>
  <c r="K503" i="21"/>
  <c r="J503" i="21"/>
  <c r="I503" i="21"/>
  <c r="H503" i="21"/>
  <c r="G503" i="21"/>
  <c r="F503" i="21"/>
  <c r="E503" i="21"/>
  <c r="D503" i="21"/>
  <c r="B503" i="21"/>
  <c r="A503" i="21"/>
  <c r="Y502" i="21"/>
  <c r="X502" i="21"/>
  <c r="W502" i="21"/>
  <c r="V502" i="21"/>
  <c r="T502" i="21"/>
  <c r="S502" i="21"/>
  <c r="R502" i="21"/>
  <c r="Q502" i="21"/>
  <c r="P502" i="21"/>
  <c r="N502" i="21"/>
  <c r="M502" i="21"/>
  <c r="L502" i="21"/>
  <c r="K502" i="21"/>
  <c r="J502" i="21"/>
  <c r="I502" i="21"/>
  <c r="H502" i="21"/>
  <c r="G502" i="21"/>
  <c r="F502" i="21"/>
  <c r="E502" i="21"/>
  <c r="D502" i="21"/>
  <c r="B502" i="21"/>
  <c r="A502" i="21"/>
  <c r="Y501" i="21"/>
  <c r="X501" i="21"/>
  <c r="W501" i="21"/>
  <c r="V501" i="21"/>
  <c r="T501" i="21"/>
  <c r="S501" i="21"/>
  <c r="R501" i="21"/>
  <c r="Q501" i="21"/>
  <c r="P501" i="21"/>
  <c r="N501" i="21"/>
  <c r="M501" i="21"/>
  <c r="L501" i="21"/>
  <c r="K501" i="21"/>
  <c r="J501" i="21"/>
  <c r="I501" i="21"/>
  <c r="H501" i="21"/>
  <c r="G501" i="21"/>
  <c r="F501" i="21"/>
  <c r="E501" i="21"/>
  <c r="D501" i="21"/>
  <c r="B501" i="21"/>
  <c r="A501" i="21"/>
  <c r="Y500" i="21"/>
  <c r="X500" i="21"/>
  <c r="W500" i="21"/>
  <c r="V500" i="21"/>
  <c r="T500" i="21"/>
  <c r="S500" i="21"/>
  <c r="R500" i="21"/>
  <c r="Q500" i="21"/>
  <c r="P500" i="21"/>
  <c r="N500" i="21"/>
  <c r="M500" i="21"/>
  <c r="L500" i="21"/>
  <c r="K500" i="21"/>
  <c r="J500" i="21"/>
  <c r="I500" i="21"/>
  <c r="H500" i="21"/>
  <c r="G500" i="21"/>
  <c r="F500" i="21"/>
  <c r="E500" i="21"/>
  <c r="D500" i="21"/>
  <c r="B500" i="21"/>
  <c r="A500" i="21"/>
  <c r="Y499" i="21"/>
  <c r="X499" i="21"/>
  <c r="W499" i="21"/>
  <c r="V499" i="21"/>
  <c r="T499" i="21"/>
  <c r="S499" i="21"/>
  <c r="R499" i="21"/>
  <c r="Q499" i="21"/>
  <c r="P499" i="21"/>
  <c r="N499" i="21"/>
  <c r="M499" i="21"/>
  <c r="L499" i="21"/>
  <c r="K499" i="21"/>
  <c r="J499" i="21"/>
  <c r="I499" i="21"/>
  <c r="H499" i="21"/>
  <c r="G499" i="21"/>
  <c r="F499" i="21"/>
  <c r="E499" i="21"/>
  <c r="D499" i="21"/>
  <c r="B499" i="21"/>
  <c r="A499" i="21"/>
  <c r="Y498" i="21"/>
  <c r="X498" i="21"/>
  <c r="W498" i="21"/>
  <c r="V498" i="21"/>
  <c r="T498" i="21"/>
  <c r="S498" i="21"/>
  <c r="R498" i="21"/>
  <c r="Q498" i="21"/>
  <c r="P498" i="21"/>
  <c r="N498" i="21"/>
  <c r="M498" i="21"/>
  <c r="L498" i="21"/>
  <c r="K498" i="21"/>
  <c r="J498" i="21"/>
  <c r="I498" i="21"/>
  <c r="H498" i="21"/>
  <c r="G498" i="21"/>
  <c r="F498" i="21"/>
  <c r="E498" i="21"/>
  <c r="D498" i="21"/>
  <c r="B498" i="21"/>
  <c r="A498" i="21"/>
  <c r="Y497" i="21"/>
  <c r="X497" i="21"/>
  <c r="W497" i="21"/>
  <c r="V497" i="21"/>
  <c r="T497" i="21"/>
  <c r="S497" i="21"/>
  <c r="R497" i="21"/>
  <c r="Q497" i="21"/>
  <c r="P497" i="21"/>
  <c r="N497" i="21"/>
  <c r="M497" i="21"/>
  <c r="L497" i="21"/>
  <c r="K497" i="21"/>
  <c r="J497" i="21"/>
  <c r="I497" i="21"/>
  <c r="H497" i="21"/>
  <c r="G497" i="21"/>
  <c r="F497" i="21"/>
  <c r="E497" i="21"/>
  <c r="D497" i="21"/>
  <c r="B497" i="21"/>
  <c r="A497" i="21"/>
  <c r="Y496" i="21"/>
  <c r="X496" i="21"/>
  <c r="W496" i="21"/>
  <c r="V496" i="21"/>
  <c r="T496" i="21"/>
  <c r="S496" i="21"/>
  <c r="R496" i="21"/>
  <c r="Q496" i="21"/>
  <c r="P496" i="21"/>
  <c r="N496" i="21"/>
  <c r="M496" i="21"/>
  <c r="L496" i="21"/>
  <c r="K496" i="21"/>
  <c r="J496" i="21"/>
  <c r="I496" i="21"/>
  <c r="H496" i="21"/>
  <c r="G496" i="21"/>
  <c r="F496" i="21"/>
  <c r="E496" i="21"/>
  <c r="D496" i="21"/>
  <c r="B496" i="21"/>
  <c r="A496" i="21"/>
  <c r="Y495" i="21"/>
  <c r="X495" i="21"/>
  <c r="W495" i="21"/>
  <c r="V495" i="21"/>
  <c r="T495" i="21"/>
  <c r="S495" i="21"/>
  <c r="R495" i="21"/>
  <c r="Q495" i="21"/>
  <c r="P495" i="21"/>
  <c r="N495" i="21"/>
  <c r="M495" i="21"/>
  <c r="L495" i="21"/>
  <c r="K495" i="21"/>
  <c r="J495" i="21"/>
  <c r="I495" i="21"/>
  <c r="H495" i="21"/>
  <c r="G495" i="21"/>
  <c r="F495" i="21"/>
  <c r="E495" i="21"/>
  <c r="D495" i="21"/>
  <c r="B495" i="21"/>
  <c r="A495" i="21"/>
  <c r="Y494" i="21"/>
  <c r="X494" i="21"/>
  <c r="W494" i="21"/>
  <c r="V494" i="21"/>
  <c r="T494" i="21"/>
  <c r="S494" i="21"/>
  <c r="R494" i="21"/>
  <c r="Q494" i="21"/>
  <c r="P494" i="21"/>
  <c r="N494" i="21"/>
  <c r="M494" i="21"/>
  <c r="L494" i="21"/>
  <c r="K494" i="21"/>
  <c r="J494" i="21"/>
  <c r="I494" i="21"/>
  <c r="H494" i="21"/>
  <c r="G494" i="21"/>
  <c r="F494" i="21"/>
  <c r="E494" i="21"/>
  <c r="D494" i="21"/>
  <c r="B494" i="21"/>
  <c r="A494" i="21"/>
  <c r="Y493" i="21"/>
  <c r="X493" i="21"/>
  <c r="W493" i="21"/>
  <c r="V493" i="21"/>
  <c r="T493" i="21"/>
  <c r="S493" i="21"/>
  <c r="R493" i="21"/>
  <c r="Q493" i="21"/>
  <c r="P493" i="21"/>
  <c r="N493" i="21"/>
  <c r="M493" i="21"/>
  <c r="L493" i="21"/>
  <c r="K493" i="21"/>
  <c r="J493" i="21"/>
  <c r="I493" i="21"/>
  <c r="H493" i="21"/>
  <c r="G493" i="21"/>
  <c r="F493" i="21"/>
  <c r="E493" i="21"/>
  <c r="D493" i="21"/>
  <c r="B493" i="21"/>
  <c r="A493" i="21"/>
  <c r="Y492" i="21"/>
  <c r="X492" i="21"/>
  <c r="W492" i="21"/>
  <c r="V492" i="21"/>
  <c r="T492" i="21"/>
  <c r="S492" i="21"/>
  <c r="R492" i="21"/>
  <c r="Q492" i="21"/>
  <c r="P492" i="21"/>
  <c r="N492" i="21"/>
  <c r="M492" i="21"/>
  <c r="L492" i="21"/>
  <c r="K492" i="21"/>
  <c r="J492" i="21"/>
  <c r="I492" i="21"/>
  <c r="H492" i="21"/>
  <c r="G492" i="21"/>
  <c r="F492" i="21"/>
  <c r="E492" i="21"/>
  <c r="D492" i="21"/>
  <c r="B492" i="21"/>
  <c r="A492" i="21"/>
  <c r="Y491" i="21"/>
  <c r="X491" i="21"/>
  <c r="W491" i="21"/>
  <c r="V491" i="21"/>
  <c r="T491" i="21"/>
  <c r="S491" i="21"/>
  <c r="R491" i="21"/>
  <c r="Q491" i="21"/>
  <c r="P491" i="21"/>
  <c r="N491" i="21"/>
  <c r="M491" i="21"/>
  <c r="L491" i="21"/>
  <c r="K491" i="21"/>
  <c r="J491" i="21"/>
  <c r="I491" i="21"/>
  <c r="H491" i="21"/>
  <c r="G491" i="21"/>
  <c r="F491" i="21"/>
  <c r="E491" i="21"/>
  <c r="D491" i="21"/>
  <c r="B491" i="21"/>
  <c r="A491" i="21"/>
  <c r="Y490" i="21"/>
  <c r="X490" i="21"/>
  <c r="W490" i="21"/>
  <c r="V490" i="21"/>
  <c r="T490" i="21"/>
  <c r="S490" i="21"/>
  <c r="R490" i="21"/>
  <c r="Q490" i="21"/>
  <c r="P490" i="21"/>
  <c r="N490" i="21"/>
  <c r="M490" i="21"/>
  <c r="L490" i="21"/>
  <c r="K490" i="21"/>
  <c r="J490" i="21"/>
  <c r="I490" i="21"/>
  <c r="H490" i="21"/>
  <c r="G490" i="21"/>
  <c r="F490" i="21"/>
  <c r="E490" i="21"/>
  <c r="D490" i="21"/>
  <c r="B490" i="21"/>
  <c r="A490" i="21"/>
  <c r="Y489" i="21"/>
  <c r="X489" i="21"/>
  <c r="W489" i="21"/>
  <c r="V489" i="21"/>
  <c r="T489" i="21"/>
  <c r="S489" i="21"/>
  <c r="R489" i="21"/>
  <c r="Q489" i="21"/>
  <c r="P489" i="21"/>
  <c r="N489" i="21"/>
  <c r="M489" i="21"/>
  <c r="L489" i="21"/>
  <c r="K489" i="21"/>
  <c r="J489" i="21"/>
  <c r="I489" i="21"/>
  <c r="H489" i="21"/>
  <c r="G489" i="21"/>
  <c r="F489" i="21"/>
  <c r="E489" i="21"/>
  <c r="D489" i="21"/>
  <c r="B489" i="21"/>
  <c r="A489" i="21"/>
  <c r="Y488" i="21"/>
  <c r="X488" i="21"/>
  <c r="W488" i="21"/>
  <c r="V488" i="21"/>
  <c r="T488" i="21"/>
  <c r="S488" i="21"/>
  <c r="R488" i="21"/>
  <c r="Q488" i="21"/>
  <c r="P488" i="21"/>
  <c r="N488" i="21"/>
  <c r="M488" i="21"/>
  <c r="L488" i="21"/>
  <c r="K488" i="21"/>
  <c r="J488" i="21"/>
  <c r="I488" i="21"/>
  <c r="H488" i="21"/>
  <c r="G488" i="21"/>
  <c r="F488" i="21"/>
  <c r="E488" i="21"/>
  <c r="D488" i="21"/>
  <c r="B488" i="21"/>
  <c r="A488" i="21"/>
  <c r="Y487" i="21"/>
  <c r="X487" i="21"/>
  <c r="W487" i="21"/>
  <c r="V487" i="21"/>
  <c r="T487" i="21"/>
  <c r="S487" i="21"/>
  <c r="R487" i="21"/>
  <c r="Q487" i="21"/>
  <c r="P487" i="21"/>
  <c r="N487" i="21"/>
  <c r="M487" i="21"/>
  <c r="L487" i="21"/>
  <c r="K487" i="21"/>
  <c r="J487" i="21"/>
  <c r="I487" i="21"/>
  <c r="H487" i="21"/>
  <c r="G487" i="21"/>
  <c r="F487" i="21"/>
  <c r="E487" i="21"/>
  <c r="D487" i="21"/>
  <c r="B487" i="21"/>
  <c r="A487" i="21"/>
  <c r="Y486" i="21"/>
  <c r="X486" i="21"/>
  <c r="W486" i="21"/>
  <c r="V486" i="21"/>
  <c r="T486" i="21"/>
  <c r="S486" i="21"/>
  <c r="R486" i="21"/>
  <c r="Q486" i="21"/>
  <c r="P486" i="21"/>
  <c r="N486" i="21"/>
  <c r="M486" i="21"/>
  <c r="L486" i="21"/>
  <c r="K486" i="21"/>
  <c r="J486" i="21"/>
  <c r="I486" i="21"/>
  <c r="H486" i="21"/>
  <c r="G486" i="21"/>
  <c r="F486" i="21"/>
  <c r="E486" i="21"/>
  <c r="D486" i="21"/>
  <c r="B486" i="21"/>
  <c r="A486" i="21"/>
  <c r="Y485" i="21"/>
  <c r="X485" i="21"/>
  <c r="W485" i="21"/>
  <c r="V485" i="21"/>
  <c r="T485" i="21"/>
  <c r="S485" i="21"/>
  <c r="R485" i="21"/>
  <c r="Q485" i="21"/>
  <c r="P485" i="21"/>
  <c r="N485" i="21"/>
  <c r="M485" i="21"/>
  <c r="L485" i="21"/>
  <c r="K485" i="21"/>
  <c r="J485" i="21"/>
  <c r="I485" i="21"/>
  <c r="H485" i="21"/>
  <c r="G485" i="21"/>
  <c r="F485" i="21"/>
  <c r="E485" i="21"/>
  <c r="D485" i="21"/>
  <c r="B485" i="21"/>
  <c r="A485" i="21"/>
  <c r="Y484" i="21"/>
  <c r="X484" i="21"/>
  <c r="W484" i="21"/>
  <c r="V484" i="21"/>
  <c r="T484" i="21"/>
  <c r="S484" i="21"/>
  <c r="R484" i="21"/>
  <c r="Q484" i="21"/>
  <c r="P484" i="21"/>
  <c r="N484" i="21"/>
  <c r="M484" i="21"/>
  <c r="L484" i="21"/>
  <c r="K484" i="21"/>
  <c r="J484" i="21"/>
  <c r="I484" i="21"/>
  <c r="H484" i="21"/>
  <c r="G484" i="21"/>
  <c r="F484" i="21"/>
  <c r="E484" i="21"/>
  <c r="D484" i="21"/>
  <c r="B484" i="21"/>
  <c r="A484" i="21"/>
  <c r="Y483" i="21"/>
  <c r="X483" i="21"/>
  <c r="W483" i="21"/>
  <c r="V483" i="21"/>
  <c r="T483" i="21"/>
  <c r="S483" i="21"/>
  <c r="R483" i="21"/>
  <c r="Q483" i="21"/>
  <c r="P483" i="21"/>
  <c r="N483" i="21"/>
  <c r="M483" i="21"/>
  <c r="L483" i="21"/>
  <c r="K483" i="21"/>
  <c r="J483" i="21"/>
  <c r="I483" i="21"/>
  <c r="H483" i="21"/>
  <c r="G483" i="21"/>
  <c r="F483" i="21"/>
  <c r="E483" i="21"/>
  <c r="D483" i="21"/>
  <c r="B483" i="21"/>
  <c r="A483" i="21"/>
  <c r="Y482" i="21"/>
  <c r="X482" i="21"/>
  <c r="W482" i="21"/>
  <c r="V482" i="21"/>
  <c r="T482" i="21"/>
  <c r="S482" i="21"/>
  <c r="R482" i="21"/>
  <c r="Q482" i="21"/>
  <c r="P482" i="21"/>
  <c r="N482" i="21"/>
  <c r="M482" i="21"/>
  <c r="L482" i="21"/>
  <c r="K482" i="21"/>
  <c r="J482" i="21"/>
  <c r="I482" i="21"/>
  <c r="H482" i="21"/>
  <c r="G482" i="21"/>
  <c r="F482" i="21"/>
  <c r="E482" i="21"/>
  <c r="D482" i="21"/>
  <c r="B482" i="21"/>
  <c r="A482" i="21"/>
  <c r="Y481" i="21"/>
  <c r="X481" i="21"/>
  <c r="W481" i="21"/>
  <c r="V481" i="21"/>
  <c r="T481" i="21"/>
  <c r="S481" i="21"/>
  <c r="R481" i="21"/>
  <c r="Q481" i="21"/>
  <c r="P481" i="21"/>
  <c r="N481" i="21"/>
  <c r="M481" i="21"/>
  <c r="L481" i="21"/>
  <c r="K481" i="21"/>
  <c r="J481" i="21"/>
  <c r="I481" i="21"/>
  <c r="H481" i="21"/>
  <c r="G481" i="21"/>
  <c r="F481" i="21"/>
  <c r="E481" i="21"/>
  <c r="D481" i="21"/>
  <c r="B481" i="21"/>
  <c r="A481" i="21"/>
  <c r="Y480" i="21"/>
  <c r="X480" i="21"/>
  <c r="W480" i="21"/>
  <c r="V480" i="21"/>
  <c r="T480" i="21"/>
  <c r="S480" i="21"/>
  <c r="R480" i="21"/>
  <c r="Q480" i="21"/>
  <c r="P480" i="21"/>
  <c r="N480" i="21"/>
  <c r="M480" i="21"/>
  <c r="L480" i="21"/>
  <c r="K480" i="21"/>
  <c r="J480" i="21"/>
  <c r="I480" i="21"/>
  <c r="H480" i="21"/>
  <c r="G480" i="21"/>
  <c r="F480" i="21"/>
  <c r="E480" i="21"/>
  <c r="D480" i="21"/>
  <c r="B480" i="21"/>
  <c r="A480" i="21"/>
  <c r="Y479" i="21"/>
  <c r="X479" i="21"/>
  <c r="W479" i="21"/>
  <c r="V479" i="21"/>
  <c r="T479" i="21"/>
  <c r="S479" i="21"/>
  <c r="R479" i="21"/>
  <c r="Q479" i="21"/>
  <c r="P479" i="21"/>
  <c r="N479" i="21"/>
  <c r="M479" i="21"/>
  <c r="L479" i="21"/>
  <c r="K479" i="21"/>
  <c r="J479" i="21"/>
  <c r="I479" i="21"/>
  <c r="H479" i="21"/>
  <c r="G479" i="21"/>
  <c r="F479" i="21"/>
  <c r="E479" i="21"/>
  <c r="D479" i="21"/>
  <c r="B479" i="21"/>
  <c r="A479" i="21"/>
  <c r="Y478" i="21"/>
  <c r="X478" i="21"/>
  <c r="W478" i="21"/>
  <c r="V478" i="21"/>
  <c r="T478" i="21"/>
  <c r="S478" i="21"/>
  <c r="R478" i="21"/>
  <c r="Q478" i="21"/>
  <c r="P478" i="21"/>
  <c r="N478" i="21"/>
  <c r="M478" i="21"/>
  <c r="L478" i="21"/>
  <c r="K478" i="21"/>
  <c r="J478" i="21"/>
  <c r="I478" i="21"/>
  <c r="H478" i="21"/>
  <c r="G478" i="21"/>
  <c r="F478" i="21"/>
  <c r="E478" i="21"/>
  <c r="D478" i="21"/>
  <c r="B478" i="21"/>
  <c r="A478" i="21"/>
  <c r="Y477" i="21"/>
  <c r="X477" i="21"/>
  <c r="W477" i="21"/>
  <c r="V477" i="21"/>
  <c r="T477" i="21"/>
  <c r="S477" i="21"/>
  <c r="R477" i="21"/>
  <c r="Q477" i="21"/>
  <c r="P477" i="21"/>
  <c r="N477" i="21"/>
  <c r="M477" i="21"/>
  <c r="L477" i="21"/>
  <c r="K477" i="21"/>
  <c r="J477" i="21"/>
  <c r="I477" i="21"/>
  <c r="H477" i="21"/>
  <c r="G477" i="21"/>
  <c r="F477" i="21"/>
  <c r="E477" i="21"/>
  <c r="D477" i="21"/>
  <c r="B477" i="21"/>
  <c r="A477" i="21"/>
  <c r="Y476" i="21"/>
  <c r="X476" i="21"/>
  <c r="W476" i="21"/>
  <c r="V476" i="21"/>
  <c r="T476" i="21"/>
  <c r="S476" i="21"/>
  <c r="R476" i="21"/>
  <c r="Q476" i="21"/>
  <c r="P476" i="21"/>
  <c r="N476" i="21"/>
  <c r="M476" i="21"/>
  <c r="L476" i="21"/>
  <c r="K476" i="21"/>
  <c r="J476" i="21"/>
  <c r="I476" i="21"/>
  <c r="H476" i="21"/>
  <c r="G476" i="21"/>
  <c r="F476" i="21"/>
  <c r="E476" i="21"/>
  <c r="D476" i="21"/>
  <c r="B476" i="21"/>
  <c r="A476" i="21"/>
  <c r="Y475" i="21"/>
  <c r="X475" i="21"/>
  <c r="W475" i="21"/>
  <c r="V475" i="21"/>
  <c r="T475" i="21"/>
  <c r="S475" i="21"/>
  <c r="R475" i="21"/>
  <c r="Q475" i="21"/>
  <c r="P475" i="21"/>
  <c r="N475" i="21"/>
  <c r="M475" i="21"/>
  <c r="L475" i="21"/>
  <c r="K475" i="21"/>
  <c r="J475" i="21"/>
  <c r="I475" i="21"/>
  <c r="H475" i="21"/>
  <c r="G475" i="21"/>
  <c r="F475" i="21"/>
  <c r="E475" i="21"/>
  <c r="D475" i="21"/>
  <c r="B475" i="21"/>
  <c r="A475" i="21"/>
  <c r="Y474" i="21"/>
  <c r="X474" i="21"/>
  <c r="W474" i="21"/>
  <c r="V474" i="21"/>
  <c r="T474" i="21"/>
  <c r="S474" i="21"/>
  <c r="R474" i="21"/>
  <c r="Q474" i="21"/>
  <c r="P474" i="21"/>
  <c r="N474" i="21"/>
  <c r="M474" i="21"/>
  <c r="L474" i="21"/>
  <c r="K474" i="21"/>
  <c r="J474" i="21"/>
  <c r="I474" i="21"/>
  <c r="H474" i="21"/>
  <c r="G474" i="21"/>
  <c r="F474" i="21"/>
  <c r="E474" i="21"/>
  <c r="D474" i="21"/>
  <c r="B474" i="21"/>
  <c r="A474" i="21"/>
  <c r="Y473" i="21"/>
  <c r="X473" i="21"/>
  <c r="W473" i="21"/>
  <c r="V473" i="21"/>
  <c r="T473" i="21"/>
  <c r="S473" i="21"/>
  <c r="R473" i="21"/>
  <c r="Q473" i="21"/>
  <c r="P473" i="21"/>
  <c r="N473" i="21"/>
  <c r="M473" i="21"/>
  <c r="L473" i="21"/>
  <c r="K473" i="21"/>
  <c r="J473" i="21"/>
  <c r="I473" i="21"/>
  <c r="H473" i="21"/>
  <c r="G473" i="21"/>
  <c r="F473" i="21"/>
  <c r="E473" i="21"/>
  <c r="D473" i="21"/>
  <c r="B473" i="21"/>
  <c r="A473" i="21"/>
  <c r="Y472" i="21"/>
  <c r="X472" i="21"/>
  <c r="W472" i="21"/>
  <c r="V472" i="21"/>
  <c r="T472" i="21"/>
  <c r="S472" i="21"/>
  <c r="R472" i="21"/>
  <c r="Q472" i="21"/>
  <c r="P472" i="21"/>
  <c r="N472" i="21"/>
  <c r="M472" i="21"/>
  <c r="L472" i="21"/>
  <c r="K472" i="21"/>
  <c r="J472" i="21"/>
  <c r="I472" i="21"/>
  <c r="H472" i="21"/>
  <c r="G472" i="21"/>
  <c r="F472" i="21"/>
  <c r="E472" i="21"/>
  <c r="D472" i="21"/>
  <c r="B472" i="21"/>
  <c r="A472" i="21"/>
  <c r="Y471" i="21"/>
  <c r="X471" i="21"/>
  <c r="W471" i="21"/>
  <c r="V471" i="21"/>
  <c r="T471" i="21"/>
  <c r="S471" i="21"/>
  <c r="R471" i="21"/>
  <c r="Q471" i="21"/>
  <c r="P471" i="21"/>
  <c r="N471" i="21"/>
  <c r="M471" i="21"/>
  <c r="L471" i="21"/>
  <c r="K471" i="21"/>
  <c r="J471" i="21"/>
  <c r="I471" i="21"/>
  <c r="H471" i="21"/>
  <c r="G471" i="21"/>
  <c r="F471" i="21"/>
  <c r="E471" i="21"/>
  <c r="D471" i="21"/>
  <c r="B471" i="21"/>
  <c r="A471" i="21"/>
  <c r="Y470" i="21"/>
  <c r="X470" i="21"/>
  <c r="W470" i="21"/>
  <c r="V470" i="21"/>
  <c r="T470" i="21"/>
  <c r="S470" i="21"/>
  <c r="R470" i="21"/>
  <c r="Q470" i="21"/>
  <c r="P470" i="21"/>
  <c r="N470" i="21"/>
  <c r="M470" i="21"/>
  <c r="L470" i="21"/>
  <c r="K470" i="21"/>
  <c r="J470" i="21"/>
  <c r="I470" i="21"/>
  <c r="H470" i="21"/>
  <c r="G470" i="21"/>
  <c r="F470" i="21"/>
  <c r="E470" i="21"/>
  <c r="D470" i="21"/>
  <c r="B470" i="21"/>
  <c r="A470" i="21"/>
  <c r="Y469" i="21"/>
  <c r="X469" i="21"/>
  <c r="W469" i="21"/>
  <c r="V469" i="21"/>
  <c r="T469" i="21"/>
  <c r="S469" i="21"/>
  <c r="R469" i="21"/>
  <c r="Q469" i="21"/>
  <c r="P469" i="21"/>
  <c r="N469" i="21"/>
  <c r="M469" i="21"/>
  <c r="L469" i="21"/>
  <c r="K469" i="21"/>
  <c r="J469" i="21"/>
  <c r="I469" i="21"/>
  <c r="H469" i="21"/>
  <c r="G469" i="21"/>
  <c r="F469" i="21"/>
  <c r="E469" i="21"/>
  <c r="D469" i="21"/>
  <c r="B469" i="21"/>
  <c r="A469" i="21"/>
  <c r="Y468" i="21"/>
  <c r="X468" i="21"/>
  <c r="W468" i="21"/>
  <c r="V468" i="21"/>
  <c r="T468" i="21"/>
  <c r="S468" i="21"/>
  <c r="R468" i="21"/>
  <c r="Q468" i="21"/>
  <c r="P468" i="21"/>
  <c r="N468" i="21"/>
  <c r="M468" i="21"/>
  <c r="L468" i="21"/>
  <c r="K468" i="21"/>
  <c r="J468" i="21"/>
  <c r="I468" i="21"/>
  <c r="H468" i="21"/>
  <c r="G468" i="21"/>
  <c r="F468" i="21"/>
  <c r="E468" i="21"/>
  <c r="D468" i="21"/>
  <c r="B468" i="21"/>
  <c r="A468" i="21"/>
  <c r="Y467" i="21"/>
  <c r="X467" i="21"/>
  <c r="W467" i="21"/>
  <c r="V467" i="21"/>
  <c r="T467" i="21"/>
  <c r="S467" i="21"/>
  <c r="R467" i="21"/>
  <c r="Q467" i="21"/>
  <c r="P467" i="21"/>
  <c r="N467" i="21"/>
  <c r="M467" i="21"/>
  <c r="L467" i="21"/>
  <c r="K467" i="21"/>
  <c r="J467" i="21"/>
  <c r="I467" i="21"/>
  <c r="H467" i="21"/>
  <c r="G467" i="21"/>
  <c r="F467" i="21"/>
  <c r="E467" i="21"/>
  <c r="D467" i="21"/>
  <c r="B467" i="21"/>
  <c r="A467" i="21"/>
  <c r="Y466" i="21"/>
  <c r="X466" i="21"/>
  <c r="W466" i="21"/>
  <c r="V466" i="21"/>
  <c r="T466" i="21"/>
  <c r="S466" i="21"/>
  <c r="R466" i="21"/>
  <c r="Q466" i="21"/>
  <c r="P466" i="21"/>
  <c r="N466" i="21"/>
  <c r="M466" i="21"/>
  <c r="L466" i="21"/>
  <c r="K466" i="21"/>
  <c r="J466" i="21"/>
  <c r="I466" i="21"/>
  <c r="H466" i="21"/>
  <c r="G466" i="21"/>
  <c r="F466" i="21"/>
  <c r="E466" i="21"/>
  <c r="D466" i="21"/>
  <c r="B466" i="21"/>
  <c r="A466" i="21"/>
  <c r="Y465" i="21"/>
  <c r="X465" i="21"/>
  <c r="W465" i="21"/>
  <c r="V465" i="21"/>
  <c r="T465" i="21"/>
  <c r="S465" i="21"/>
  <c r="R465" i="21"/>
  <c r="Q465" i="21"/>
  <c r="P465" i="21"/>
  <c r="N465" i="21"/>
  <c r="M465" i="21"/>
  <c r="L465" i="21"/>
  <c r="K465" i="21"/>
  <c r="J465" i="21"/>
  <c r="I465" i="21"/>
  <c r="H465" i="21"/>
  <c r="G465" i="21"/>
  <c r="F465" i="21"/>
  <c r="E465" i="21"/>
  <c r="D465" i="21"/>
  <c r="B465" i="21"/>
  <c r="A465" i="21"/>
  <c r="Y464" i="21"/>
  <c r="X464" i="21"/>
  <c r="W464" i="21"/>
  <c r="V464" i="21"/>
  <c r="T464" i="21"/>
  <c r="S464" i="21"/>
  <c r="R464" i="21"/>
  <c r="Q464" i="21"/>
  <c r="P464" i="21"/>
  <c r="N464" i="21"/>
  <c r="M464" i="21"/>
  <c r="L464" i="21"/>
  <c r="K464" i="21"/>
  <c r="J464" i="21"/>
  <c r="I464" i="21"/>
  <c r="H464" i="21"/>
  <c r="G464" i="21"/>
  <c r="F464" i="21"/>
  <c r="E464" i="21"/>
  <c r="D464" i="21"/>
  <c r="B464" i="21"/>
  <c r="A464" i="21"/>
  <c r="Y463" i="21"/>
  <c r="X463" i="21"/>
  <c r="W463" i="21"/>
  <c r="V463" i="21"/>
  <c r="T463" i="21"/>
  <c r="S463" i="21"/>
  <c r="R463" i="21"/>
  <c r="Q463" i="21"/>
  <c r="P463" i="21"/>
  <c r="N463" i="21"/>
  <c r="M463" i="21"/>
  <c r="L463" i="21"/>
  <c r="K463" i="21"/>
  <c r="J463" i="21"/>
  <c r="I463" i="21"/>
  <c r="H463" i="21"/>
  <c r="G463" i="21"/>
  <c r="F463" i="21"/>
  <c r="E463" i="21"/>
  <c r="D463" i="21"/>
  <c r="B463" i="21"/>
  <c r="A463" i="21"/>
  <c r="Y462" i="21"/>
  <c r="X462" i="21"/>
  <c r="W462" i="21"/>
  <c r="V462" i="21"/>
  <c r="T462" i="21"/>
  <c r="S462" i="21"/>
  <c r="R462" i="21"/>
  <c r="Q462" i="21"/>
  <c r="P462" i="21"/>
  <c r="N462" i="21"/>
  <c r="M462" i="21"/>
  <c r="L462" i="21"/>
  <c r="K462" i="21"/>
  <c r="J462" i="21"/>
  <c r="I462" i="21"/>
  <c r="H462" i="21"/>
  <c r="G462" i="21"/>
  <c r="F462" i="21"/>
  <c r="E462" i="21"/>
  <c r="D462" i="21"/>
  <c r="B462" i="21"/>
  <c r="A462" i="21"/>
  <c r="Y461" i="21"/>
  <c r="X461" i="21"/>
  <c r="W461" i="21"/>
  <c r="V461" i="21"/>
  <c r="T461" i="21"/>
  <c r="S461" i="21"/>
  <c r="R461" i="21"/>
  <c r="Q461" i="21"/>
  <c r="P461" i="21"/>
  <c r="N461" i="21"/>
  <c r="M461" i="21"/>
  <c r="L461" i="21"/>
  <c r="K461" i="21"/>
  <c r="J461" i="21"/>
  <c r="I461" i="21"/>
  <c r="H461" i="21"/>
  <c r="G461" i="21"/>
  <c r="F461" i="21"/>
  <c r="E461" i="21"/>
  <c r="D461" i="21"/>
  <c r="B461" i="21"/>
  <c r="A461" i="21"/>
  <c r="Y460" i="21"/>
  <c r="X460" i="21"/>
  <c r="W460" i="21"/>
  <c r="V460" i="21"/>
  <c r="T460" i="21"/>
  <c r="S460" i="21"/>
  <c r="R460" i="21"/>
  <c r="Q460" i="21"/>
  <c r="P460" i="21"/>
  <c r="N460" i="21"/>
  <c r="M460" i="21"/>
  <c r="L460" i="21"/>
  <c r="K460" i="21"/>
  <c r="J460" i="21"/>
  <c r="I460" i="21"/>
  <c r="H460" i="21"/>
  <c r="G460" i="21"/>
  <c r="F460" i="21"/>
  <c r="E460" i="21"/>
  <c r="D460" i="21"/>
  <c r="B460" i="21"/>
  <c r="A460" i="21"/>
  <c r="Y459" i="21"/>
  <c r="X459" i="21"/>
  <c r="W459" i="21"/>
  <c r="V459" i="21"/>
  <c r="T459" i="21"/>
  <c r="S459" i="21"/>
  <c r="R459" i="21"/>
  <c r="Q459" i="21"/>
  <c r="P459" i="21"/>
  <c r="N459" i="21"/>
  <c r="M459" i="21"/>
  <c r="L459" i="21"/>
  <c r="K459" i="21"/>
  <c r="J459" i="21"/>
  <c r="I459" i="21"/>
  <c r="H459" i="21"/>
  <c r="G459" i="21"/>
  <c r="F459" i="21"/>
  <c r="E459" i="21"/>
  <c r="D459" i="21"/>
  <c r="B459" i="21"/>
  <c r="A459" i="21"/>
  <c r="Y458" i="21"/>
  <c r="X458" i="21"/>
  <c r="W458" i="21"/>
  <c r="V458" i="21"/>
  <c r="T458" i="21"/>
  <c r="S458" i="21"/>
  <c r="R458" i="21"/>
  <c r="Q458" i="21"/>
  <c r="P458" i="21"/>
  <c r="N458" i="21"/>
  <c r="M458" i="21"/>
  <c r="L458" i="21"/>
  <c r="K458" i="21"/>
  <c r="J458" i="21"/>
  <c r="I458" i="21"/>
  <c r="H458" i="21"/>
  <c r="G458" i="21"/>
  <c r="F458" i="21"/>
  <c r="E458" i="21"/>
  <c r="D458" i="21"/>
  <c r="B458" i="21"/>
  <c r="A458" i="21"/>
  <c r="Y457" i="21"/>
  <c r="X457" i="21"/>
  <c r="W457" i="21"/>
  <c r="V457" i="21"/>
  <c r="T457" i="21"/>
  <c r="S457" i="21"/>
  <c r="R457" i="21"/>
  <c r="Q457" i="21"/>
  <c r="P457" i="21"/>
  <c r="N457" i="21"/>
  <c r="M457" i="21"/>
  <c r="L457" i="21"/>
  <c r="K457" i="21"/>
  <c r="J457" i="21"/>
  <c r="I457" i="21"/>
  <c r="H457" i="21"/>
  <c r="G457" i="21"/>
  <c r="F457" i="21"/>
  <c r="E457" i="21"/>
  <c r="D457" i="21"/>
  <c r="B457" i="21"/>
  <c r="A457" i="21"/>
  <c r="Y456" i="21"/>
  <c r="X456" i="21"/>
  <c r="W456" i="21"/>
  <c r="V456" i="21"/>
  <c r="T456" i="21"/>
  <c r="S456" i="21"/>
  <c r="R456" i="21"/>
  <c r="Q456" i="21"/>
  <c r="P456" i="21"/>
  <c r="N456" i="21"/>
  <c r="M456" i="21"/>
  <c r="L456" i="21"/>
  <c r="K456" i="21"/>
  <c r="J456" i="21"/>
  <c r="I456" i="21"/>
  <c r="H456" i="21"/>
  <c r="G456" i="21"/>
  <c r="F456" i="21"/>
  <c r="E456" i="21"/>
  <c r="D456" i="21"/>
  <c r="B456" i="21"/>
  <c r="A456" i="21"/>
  <c r="Y455" i="21"/>
  <c r="X455" i="21"/>
  <c r="W455" i="21"/>
  <c r="V455" i="21"/>
  <c r="T455" i="21"/>
  <c r="S455" i="21"/>
  <c r="R455" i="21"/>
  <c r="Q455" i="21"/>
  <c r="P455" i="21"/>
  <c r="N455" i="21"/>
  <c r="M455" i="21"/>
  <c r="L455" i="21"/>
  <c r="K455" i="21"/>
  <c r="J455" i="21"/>
  <c r="I455" i="21"/>
  <c r="H455" i="21"/>
  <c r="G455" i="21"/>
  <c r="F455" i="21"/>
  <c r="E455" i="21"/>
  <c r="D455" i="21"/>
  <c r="B455" i="21"/>
  <c r="A455" i="21"/>
  <c r="Y454" i="21"/>
  <c r="X454" i="21"/>
  <c r="W454" i="21"/>
  <c r="V454" i="21"/>
  <c r="T454" i="21"/>
  <c r="S454" i="21"/>
  <c r="R454" i="21"/>
  <c r="Q454" i="21"/>
  <c r="P454" i="21"/>
  <c r="N454" i="21"/>
  <c r="M454" i="21"/>
  <c r="L454" i="21"/>
  <c r="K454" i="21"/>
  <c r="J454" i="21"/>
  <c r="I454" i="21"/>
  <c r="H454" i="21"/>
  <c r="G454" i="21"/>
  <c r="F454" i="21"/>
  <c r="E454" i="21"/>
  <c r="D454" i="21"/>
  <c r="B454" i="21"/>
  <c r="A454" i="21"/>
  <c r="Y453" i="21"/>
  <c r="X453" i="21"/>
  <c r="W453" i="21"/>
  <c r="V453" i="21"/>
  <c r="T453" i="21"/>
  <c r="S453" i="21"/>
  <c r="R453" i="21"/>
  <c r="Q453" i="21"/>
  <c r="P453" i="21"/>
  <c r="N453" i="21"/>
  <c r="M453" i="21"/>
  <c r="L453" i="21"/>
  <c r="K453" i="21"/>
  <c r="J453" i="21"/>
  <c r="I453" i="21"/>
  <c r="H453" i="21"/>
  <c r="G453" i="21"/>
  <c r="F453" i="21"/>
  <c r="E453" i="21"/>
  <c r="D453" i="21"/>
  <c r="B453" i="21"/>
  <c r="A453" i="21"/>
  <c r="Y452" i="21"/>
  <c r="X452" i="21"/>
  <c r="W452" i="21"/>
  <c r="V452" i="21"/>
  <c r="T452" i="21"/>
  <c r="S452" i="21"/>
  <c r="R452" i="21"/>
  <c r="Q452" i="21"/>
  <c r="P452" i="21"/>
  <c r="N452" i="21"/>
  <c r="M452" i="21"/>
  <c r="L452" i="21"/>
  <c r="K452" i="21"/>
  <c r="J452" i="21"/>
  <c r="I452" i="21"/>
  <c r="H452" i="21"/>
  <c r="G452" i="21"/>
  <c r="F452" i="21"/>
  <c r="E452" i="21"/>
  <c r="D452" i="21"/>
  <c r="B452" i="21"/>
  <c r="A452" i="21"/>
  <c r="Y451" i="21"/>
  <c r="X451" i="21"/>
  <c r="W451" i="21"/>
  <c r="V451" i="21"/>
  <c r="T451" i="21"/>
  <c r="S451" i="21"/>
  <c r="R451" i="21"/>
  <c r="Q451" i="21"/>
  <c r="P451" i="21"/>
  <c r="N451" i="21"/>
  <c r="M451" i="21"/>
  <c r="L451" i="21"/>
  <c r="K451" i="21"/>
  <c r="J451" i="21"/>
  <c r="I451" i="21"/>
  <c r="H451" i="21"/>
  <c r="G451" i="21"/>
  <c r="F451" i="21"/>
  <c r="E451" i="21"/>
  <c r="D451" i="21"/>
  <c r="B451" i="21"/>
  <c r="A451" i="21"/>
  <c r="Y450" i="21"/>
  <c r="X450" i="21"/>
  <c r="W450" i="21"/>
  <c r="V450" i="21"/>
  <c r="T450" i="21"/>
  <c r="S450" i="21"/>
  <c r="R450" i="21"/>
  <c r="Q450" i="21"/>
  <c r="P450" i="21"/>
  <c r="N450" i="21"/>
  <c r="M450" i="21"/>
  <c r="L450" i="21"/>
  <c r="K450" i="21"/>
  <c r="J450" i="21"/>
  <c r="I450" i="21"/>
  <c r="H450" i="21"/>
  <c r="G450" i="21"/>
  <c r="F450" i="21"/>
  <c r="E450" i="21"/>
  <c r="D450" i="21"/>
  <c r="B450" i="21"/>
  <c r="A450" i="21"/>
  <c r="Y449" i="21"/>
  <c r="X449" i="21"/>
  <c r="W449" i="21"/>
  <c r="V449" i="21"/>
  <c r="T449" i="21"/>
  <c r="S449" i="21"/>
  <c r="R449" i="21"/>
  <c r="Q449" i="21"/>
  <c r="P449" i="21"/>
  <c r="N449" i="21"/>
  <c r="M449" i="21"/>
  <c r="L449" i="21"/>
  <c r="K449" i="21"/>
  <c r="J449" i="21"/>
  <c r="I449" i="21"/>
  <c r="H449" i="21"/>
  <c r="G449" i="21"/>
  <c r="F449" i="21"/>
  <c r="E449" i="21"/>
  <c r="D449" i="21"/>
  <c r="B449" i="21"/>
  <c r="A449" i="21"/>
  <c r="Y448" i="21"/>
  <c r="X448" i="21"/>
  <c r="W448" i="21"/>
  <c r="V448" i="21"/>
  <c r="T448" i="21"/>
  <c r="S448" i="21"/>
  <c r="R448" i="21"/>
  <c r="Q448" i="21"/>
  <c r="P448" i="21"/>
  <c r="N448" i="21"/>
  <c r="M448" i="21"/>
  <c r="L448" i="21"/>
  <c r="K448" i="21"/>
  <c r="J448" i="21"/>
  <c r="I448" i="21"/>
  <c r="H448" i="21"/>
  <c r="G448" i="21"/>
  <c r="F448" i="21"/>
  <c r="E448" i="21"/>
  <c r="D448" i="21"/>
  <c r="B448" i="21"/>
  <c r="A448" i="21"/>
  <c r="Y447" i="21"/>
  <c r="X447" i="21"/>
  <c r="W447" i="21"/>
  <c r="V447" i="21"/>
  <c r="T447" i="21"/>
  <c r="S447" i="21"/>
  <c r="R447" i="21"/>
  <c r="Q447" i="21"/>
  <c r="P447" i="21"/>
  <c r="N447" i="21"/>
  <c r="M447" i="21"/>
  <c r="L447" i="21"/>
  <c r="K447" i="21"/>
  <c r="J447" i="21"/>
  <c r="I447" i="21"/>
  <c r="H447" i="21"/>
  <c r="G447" i="21"/>
  <c r="F447" i="21"/>
  <c r="E447" i="21"/>
  <c r="D447" i="21"/>
  <c r="B447" i="21"/>
  <c r="A447" i="21"/>
  <c r="Y446" i="21"/>
  <c r="X446" i="21"/>
  <c r="W446" i="21"/>
  <c r="V446" i="21"/>
  <c r="T446" i="21"/>
  <c r="S446" i="21"/>
  <c r="R446" i="21"/>
  <c r="Q446" i="21"/>
  <c r="P446" i="21"/>
  <c r="N446" i="21"/>
  <c r="M446" i="21"/>
  <c r="L446" i="21"/>
  <c r="K446" i="21"/>
  <c r="J446" i="21"/>
  <c r="I446" i="21"/>
  <c r="H446" i="21"/>
  <c r="G446" i="21"/>
  <c r="F446" i="21"/>
  <c r="E446" i="21"/>
  <c r="D446" i="21"/>
  <c r="B446" i="21"/>
  <c r="A446" i="21"/>
  <c r="Y445" i="21"/>
  <c r="X445" i="21"/>
  <c r="W445" i="21"/>
  <c r="V445" i="21"/>
  <c r="U445" i="21"/>
  <c r="T445" i="21"/>
  <c r="S445" i="21"/>
  <c r="R445" i="21"/>
  <c r="Q445" i="21"/>
  <c r="P445" i="21"/>
  <c r="N445" i="21"/>
  <c r="M445" i="21"/>
  <c r="L445" i="21"/>
  <c r="K445" i="21"/>
  <c r="J445" i="21"/>
  <c r="I445" i="21"/>
  <c r="H445" i="21"/>
  <c r="E445" i="21"/>
  <c r="D445" i="21"/>
  <c r="B445" i="21"/>
  <c r="A445" i="21"/>
  <c r="Y444" i="21"/>
  <c r="X444" i="21"/>
  <c r="W444" i="21"/>
  <c r="V444" i="21"/>
  <c r="T444" i="21"/>
  <c r="S444" i="21"/>
  <c r="R444" i="21"/>
  <c r="Q444" i="21"/>
  <c r="P444" i="21"/>
  <c r="N444" i="21"/>
  <c r="M444" i="21"/>
  <c r="L444" i="21"/>
  <c r="K444" i="21"/>
  <c r="J444" i="21"/>
  <c r="I444" i="21"/>
  <c r="H444" i="21"/>
  <c r="G444" i="21"/>
  <c r="F444" i="21"/>
  <c r="E444" i="21"/>
  <c r="D444" i="21"/>
  <c r="B444" i="21"/>
  <c r="A444" i="21"/>
  <c r="Y443" i="21"/>
  <c r="X443" i="21"/>
  <c r="W443" i="21"/>
  <c r="V443" i="21"/>
  <c r="T443" i="21"/>
  <c r="S443" i="21"/>
  <c r="R443" i="21"/>
  <c r="Q443" i="21"/>
  <c r="P443" i="21"/>
  <c r="N443" i="21"/>
  <c r="M443" i="21"/>
  <c r="L443" i="21"/>
  <c r="K443" i="21"/>
  <c r="J443" i="21"/>
  <c r="I443" i="21"/>
  <c r="H443" i="21"/>
  <c r="G443" i="21"/>
  <c r="F443" i="21"/>
  <c r="E443" i="21"/>
  <c r="D443" i="21"/>
  <c r="B443" i="21"/>
  <c r="A443" i="21"/>
  <c r="Y442" i="21"/>
  <c r="X442" i="21"/>
  <c r="W442" i="21"/>
  <c r="V442" i="21"/>
  <c r="T442" i="21"/>
  <c r="S442" i="21"/>
  <c r="R442" i="21"/>
  <c r="Q442" i="21"/>
  <c r="P442" i="21"/>
  <c r="N442" i="21"/>
  <c r="M442" i="21"/>
  <c r="L442" i="21"/>
  <c r="K442" i="21"/>
  <c r="J442" i="21"/>
  <c r="I442" i="21"/>
  <c r="H442" i="21"/>
  <c r="G442" i="21"/>
  <c r="F442" i="21"/>
  <c r="E442" i="21"/>
  <c r="D442" i="21"/>
  <c r="B442" i="21"/>
  <c r="A442" i="21"/>
  <c r="Y441" i="21"/>
  <c r="X441" i="21"/>
  <c r="W441" i="21"/>
  <c r="V441" i="21"/>
  <c r="T441" i="21"/>
  <c r="S441" i="21"/>
  <c r="R441" i="21"/>
  <c r="Q441" i="21"/>
  <c r="P441" i="21"/>
  <c r="N441" i="21"/>
  <c r="M441" i="21"/>
  <c r="L441" i="21"/>
  <c r="K441" i="21"/>
  <c r="J441" i="21"/>
  <c r="I441" i="21"/>
  <c r="H441" i="21"/>
  <c r="G441" i="21"/>
  <c r="F441" i="21"/>
  <c r="E441" i="21"/>
  <c r="D441" i="21"/>
  <c r="B441" i="21"/>
  <c r="A441" i="21"/>
  <c r="Y440" i="21"/>
  <c r="X440" i="21"/>
  <c r="W440" i="21"/>
  <c r="V440" i="21"/>
  <c r="T440" i="21"/>
  <c r="S440" i="21"/>
  <c r="R440" i="21"/>
  <c r="Q440" i="21"/>
  <c r="P440" i="21"/>
  <c r="N440" i="21"/>
  <c r="M440" i="21"/>
  <c r="L440" i="21"/>
  <c r="K440" i="21"/>
  <c r="J440" i="21"/>
  <c r="I440" i="21"/>
  <c r="H440" i="21"/>
  <c r="G440" i="21"/>
  <c r="F440" i="21"/>
  <c r="E440" i="21"/>
  <c r="D440" i="21"/>
  <c r="B440" i="21"/>
  <c r="A440" i="21"/>
  <c r="Y439" i="21"/>
  <c r="X439" i="21"/>
  <c r="W439" i="21"/>
  <c r="V439" i="21"/>
  <c r="T439" i="21"/>
  <c r="S439" i="21"/>
  <c r="R439" i="21"/>
  <c r="Q439" i="21"/>
  <c r="P439" i="21"/>
  <c r="N439" i="21"/>
  <c r="M439" i="21"/>
  <c r="L439" i="21"/>
  <c r="K439" i="21"/>
  <c r="J439" i="21"/>
  <c r="I439" i="21"/>
  <c r="H439" i="21"/>
  <c r="G439" i="21"/>
  <c r="F439" i="21"/>
  <c r="E439" i="21"/>
  <c r="D439" i="21"/>
  <c r="B439" i="21"/>
  <c r="A439" i="21"/>
  <c r="Y438" i="21"/>
  <c r="X438" i="21"/>
  <c r="W438" i="21"/>
  <c r="V438" i="21"/>
  <c r="T438" i="21"/>
  <c r="S438" i="21"/>
  <c r="R438" i="21"/>
  <c r="Q438" i="21"/>
  <c r="P438" i="21"/>
  <c r="N438" i="21"/>
  <c r="M438" i="21"/>
  <c r="L438" i="21"/>
  <c r="K438" i="21"/>
  <c r="J438" i="21"/>
  <c r="I438" i="21"/>
  <c r="H438" i="21"/>
  <c r="G438" i="21"/>
  <c r="F438" i="21"/>
  <c r="E438" i="21"/>
  <c r="D438" i="21"/>
  <c r="B438" i="21"/>
  <c r="A438" i="21"/>
  <c r="Y437" i="21"/>
  <c r="X437" i="21"/>
  <c r="W437" i="21"/>
  <c r="V437" i="21"/>
  <c r="T437" i="21"/>
  <c r="S437" i="21"/>
  <c r="R437" i="21"/>
  <c r="Q437" i="21"/>
  <c r="P437" i="21"/>
  <c r="N437" i="21"/>
  <c r="M437" i="21"/>
  <c r="L437" i="21"/>
  <c r="K437" i="21"/>
  <c r="J437" i="21"/>
  <c r="I437" i="21"/>
  <c r="H437" i="21"/>
  <c r="G437" i="21"/>
  <c r="F437" i="21"/>
  <c r="E437" i="21"/>
  <c r="D437" i="21"/>
  <c r="B437" i="21"/>
  <c r="A437" i="21"/>
  <c r="Y436" i="21"/>
  <c r="X436" i="21"/>
  <c r="W436" i="21"/>
  <c r="V436" i="21"/>
  <c r="T436" i="21"/>
  <c r="S436" i="21"/>
  <c r="R436" i="21"/>
  <c r="Q436" i="21"/>
  <c r="P436" i="21"/>
  <c r="N436" i="21"/>
  <c r="M436" i="21"/>
  <c r="L436" i="21"/>
  <c r="K436" i="21"/>
  <c r="J436" i="21"/>
  <c r="I436" i="21"/>
  <c r="H436" i="21"/>
  <c r="G436" i="21"/>
  <c r="F436" i="21"/>
  <c r="E436" i="21"/>
  <c r="D436" i="21"/>
  <c r="B436" i="21"/>
  <c r="A436" i="21"/>
  <c r="Y435" i="21"/>
  <c r="X435" i="21"/>
  <c r="W435" i="21"/>
  <c r="V435" i="21"/>
  <c r="T435" i="21"/>
  <c r="S435" i="21"/>
  <c r="R435" i="21"/>
  <c r="Q435" i="21"/>
  <c r="P435" i="21"/>
  <c r="N435" i="21"/>
  <c r="M435" i="21"/>
  <c r="L435" i="21"/>
  <c r="K435" i="21"/>
  <c r="J435" i="21"/>
  <c r="I435" i="21"/>
  <c r="H435" i="21"/>
  <c r="G435" i="21"/>
  <c r="F435" i="21"/>
  <c r="E435" i="21"/>
  <c r="D435" i="21"/>
  <c r="B435" i="21"/>
  <c r="A435" i="21"/>
  <c r="Y434" i="21"/>
  <c r="X434" i="21"/>
  <c r="W434" i="21"/>
  <c r="V434" i="21"/>
  <c r="T434" i="21"/>
  <c r="S434" i="21"/>
  <c r="R434" i="21"/>
  <c r="Q434" i="21"/>
  <c r="P434" i="21"/>
  <c r="N434" i="21"/>
  <c r="M434" i="21"/>
  <c r="L434" i="21"/>
  <c r="K434" i="21"/>
  <c r="J434" i="21"/>
  <c r="I434" i="21"/>
  <c r="H434" i="21"/>
  <c r="G434" i="21"/>
  <c r="F434" i="21"/>
  <c r="E434" i="21"/>
  <c r="D434" i="21"/>
  <c r="B434" i="21"/>
  <c r="A434" i="21"/>
  <c r="Y433" i="21"/>
  <c r="X433" i="21"/>
  <c r="W433" i="21"/>
  <c r="V433" i="21"/>
  <c r="U433" i="21"/>
  <c r="T433" i="21"/>
  <c r="S433" i="21"/>
  <c r="R433" i="21"/>
  <c r="Q433" i="21"/>
  <c r="P433" i="21"/>
  <c r="N433" i="21"/>
  <c r="M433" i="21"/>
  <c r="L433" i="21"/>
  <c r="K433" i="21"/>
  <c r="J433" i="21"/>
  <c r="I433" i="21"/>
  <c r="H433" i="21"/>
  <c r="E433" i="21"/>
  <c r="D433" i="21"/>
  <c r="B433" i="21"/>
  <c r="A433" i="21"/>
  <c r="Y432" i="21"/>
  <c r="X432" i="21"/>
  <c r="W432" i="21"/>
  <c r="V432" i="21"/>
  <c r="U432" i="21"/>
  <c r="T432" i="21"/>
  <c r="S432" i="21"/>
  <c r="R432" i="21"/>
  <c r="Q432" i="21"/>
  <c r="P432" i="21"/>
  <c r="N432" i="21"/>
  <c r="M432" i="21"/>
  <c r="L432" i="21"/>
  <c r="K432" i="21"/>
  <c r="J432" i="21"/>
  <c r="I432" i="21"/>
  <c r="H432" i="21"/>
  <c r="E432" i="21"/>
  <c r="D432" i="21"/>
  <c r="B432" i="21"/>
  <c r="A432" i="21"/>
  <c r="Y431" i="21"/>
  <c r="X431" i="21"/>
  <c r="W431" i="21"/>
  <c r="V431" i="21"/>
  <c r="T431" i="21"/>
  <c r="S431" i="21"/>
  <c r="R431" i="21"/>
  <c r="Q431" i="21"/>
  <c r="P431" i="21"/>
  <c r="N431" i="21"/>
  <c r="M431" i="21"/>
  <c r="L431" i="21"/>
  <c r="K431" i="21"/>
  <c r="J431" i="21"/>
  <c r="I431" i="21"/>
  <c r="H431" i="21"/>
  <c r="G431" i="21"/>
  <c r="F431" i="21"/>
  <c r="E431" i="21"/>
  <c r="D431" i="21"/>
  <c r="B431" i="21"/>
  <c r="A431" i="21"/>
  <c r="Y430" i="21"/>
  <c r="X430" i="21"/>
  <c r="W430" i="21"/>
  <c r="V430" i="21"/>
  <c r="T430" i="21"/>
  <c r="S430" i="21"/>
  <c r="R430" i="21"/>
  <c r="Q430" i="21"/>
  <c r="P430" i="21"/>
  <c r="N430" i="21"/>
  <c r="M430" i="21"/>
  <c r="L430" i="21"/>
  <c r="K430" i="21"/>
  <c r="J430" i="21"/>
  <c r="I430" i="21"/>
  <c r="H430" i="21"/>
  <c r="G430" i="21"/>
  <c r="F430" i="21"/>
  <c r="E430" i="21"/>
  <c r="D430" i="21"/>
  <c r="B430" i="21"/>
  <c r="A430" i="21"/>
  <c r="Y429" i="21"/>
  <c r="X429" i="21"/>
  <c r="W429" i="21"/>
  <c r="V429" i="21"/>
  <c r="T429" i="21"/>
  <c r="S429" i="21"/>
  <c r="R429" i="21"/>
  <c r="Q429" i="21"/>
  <c r="P429" i="21"/>
  <c r="N429" i="21"/>
  <c r="M429" i="21"/>
  <c r="L429" i="21"/>
  <c r="K429" i="21"/>
  <c r="J429" i="21"/>
  <c r="I429" i="21"/>
  <c r="H429" i="21"/>
  <c r="G429" i="21"/>
  <c r="F429" i="21"/>
  <c r="E429" i="21"/>
  <c r="D429" i="21"/>
  <c r="B429" i="21"/>
  <c r="A429" i="21"/>
  <c r="Y428" i="21"/>
  <c r="X428" i="21"/>
  <c r="W428" i="21"/>
  <c r="V428" i="21"/>
  <c r="T428" i="21"/>
  <c r="S428" i="21"/>
  <c r="R428" i="21"/>
  <c r="Q428" i="21"/>
  <c r="P428" i="21"/>
  <c r="N428" i="21"/>
  <c r="M428" i="21"/>
  <c r="L428" i="21"/>
  <c r="K428" i="21"/>
  <c r="J428" i="21"/>
  <c r="I428" i="21"/>
  <c r="H428" i="21"/>
  <c r="G428" i="21"/>
  <c r="F428" i="21"/>
  <c r="E428" i="21"/>
  <c r="D428" i="21"/>
  <c r="B428" i="21"/>
  <c r="A428" i="21"/>
  <c r="Y427" i="21"/>
  <c r="X427" i="21"/>
  <c r="W427" i="21"/>
  <c r="V427" i="21"/>
  <c r="U427" i="21"/>
  <c r="T427" i="21"/>
  <c r="S427" i="21"/>
  <c r="R427" i="21"/>
  <c r="Q427" i="21"/>
  <c r="P427" i="21"/>
  <c r="N427" i="21"/>
  <c r="M427" i="21"/>
  <c r="L427" i="21"/>
  <c r="K427" i="21"/>
  <c r="J427" i="21"/>
  <c r="I427" i="21"/>
  <c r="H427" i="21"/>
  <c r="E427" i="21"/>
  <c r="D427" i="21"/>
  <c r="B427" i="21"/>
  <c r="A427" i="21"/>
  <c r="Y426" i="21"/>
  <c r="X426" i="21"/>
  <c r="W426" i="21"/>
  <c r="V426" i="21"/>
  <c r="T426" i="21"/>
  <c r="S426" i="21"/>
  <c r="R426" i="21"/>
  <c r="Q426" i="21"/>
  <c r="P426" i="21"/>
  <c r="N426" i="21"/>
  <c r="M426" i="21"/>
  <c r="L426" i="21"/>
  <c r="K426" i="21"/>
  <c r="J426" i="21"/>
  <c r="I426" i="21"/>
  <c r="H426" i="21"/>
  <c r="G426" i="21"/>
  <c r="F426" i="21"/>
  <c r="E426" i="21"/>
  <c r="D426" i="21"/>
  <c r="B426" i="21"/>
  <c r="A426" i="21"/>
  <c r="Y425" i="21"/>
  <c r="X425" i="21"/>
  <c r="W425" i="21"/>
  <c r="V425" i="21"/>
  <c r="T425" i="21"/>
  <c r="S425" i="21"/>
  <c r="R425" i="21"/>
  <c r="Q425" i="21"/>
  <c r="P425" i="21"/>
  <c r="N425" i="21"/>
  <c r="M425" i="21"/>
  <c r="L425" i="21"/>
  <c r="K425" i="21"/>
  <c r="J425" i="21"/>
  <c r="I425" i="21"/>
  <c r="H425" i="21"/>
  <c r="G425" i="21"/>
  <c r="F425" i="21"/>
  <c r="E425" i="21"/>
  <c r="D425" i="21"/>
  <c r="B425" i="21"/>
  <c r="A425" i="21"/>
  <c r="Y424" i="21"/>
  <c r="X424" i="21"/>
  <c r="W424" i="21"/>
  <c r="V424" i="21"/>
  <c r="T424" i="21"/>
  <c r="S424" i="21"/>
  <c r="R424" i="21"/>
  <c r="Q424" i="21"/>
  <c r="P424" i="21"/>
  <c r="N424" i="21"/>
  <c r="M424" i="21"/>
  <c r="L424" i="21"/>
  <c r="K424" i="21"/>
  <c r="J424" i="21"/>
  <c r="I424" i="21"/>
  <c r="H424" i="21"/>
  <c r="G424" i="21"/>
  <c r="F424" i="21"/>
  <c r="E424" i="21"/>
  <c r="D424" i="21"/>
  <c r="B424" i="21"/>
  <c r="A424" i="21"/>
  <c r="Y423" i="21"/>
  <c r="X423" i="21"/>
  <c r="W423" i="21"/>
  <c r="V423" i="21"/>
  <c r="T423" i="21"/>
  <c r="S423" i="21"/>
  <c r="R423" i="21"/>
  <c r="Q423" i="21"/>
  <c r="P423" i="21"/>
  <c r="N423" i="21"/>
  <c r="M423" i="21"/>
  <c r="L423" i="21"/>
  <c r="K423" i="21"/>
  <c r="J423" i="21"/>
  <c r="I423" i="21"/>
  <c r="H423" i="21"/>
  <c r="G423" i="21"/>
  <c r="F423" i="21"/>
  <c r="E423" i="21"/>
  <c r="D423" i="21"/>
  <c r="B423" i="21"/>
  <c r="A423" i="21"/>
  <c r="Y422" i="21"/>
  <c r="X422" i="21"/>
  <c r="W422" i="21"/>
  <c r="V422" i="21"/>
  <c r="U422" i="21"/>
  <c r="T422" i="21"/>
  <c r="S422" i="21"/>
  <c r="R422" i="21"/>
  <c r="Q422" i="21"/>
  <c r="P422" i="21"/>
  <c r="N422" i="21"/>
  <c r="M422" i="21"/>
  <c r="L422" i="21"/>
  <c r="K422" i="21"/>
  <c r="J422" i="21"/>
  <c r="I422" i="21"/>
  <c r="H422" i="21"/>
  <c r="E422" i="21"/>
  <c r="D422" i="21"/>
  <c r="B422" i="21"/>
  <c r="A422" i="21"/>
  <c r="Y421" i="21"/>
  <c r="X421" i="21"/>
  <c r="W421" i="21"/>
  <c r="V421" i="21"/>
  <c r="U421" i="21"/>
  <c r="T421" i="21"/>
  <c r="S421" i="21"/>
  <c r="R421" i="21"/>
  <c r="Q421" i="21"/>
  <c r="P421" i="21"/>
  <c r="N421" i="21"/>
  <c r="M421" i="21"/>
  <c r="L421" i="21"/>
  <c r="K421" i="21"/>
  <c r="J421" i="21"/>
  <c r="I421" i="21"/>
  <c r="H421" i="21"/>
  <c r="E421" i="21"/>
  <c r="D421" i="21"/>
  <c r="B421" i="21"/>
  <c r="A421" i="21"/>
  <c r="Y420" i="21"/>
  <c r="X420" i="21"/>
  <c r="W420" i="21"/>
  <c r="V420" i="21"/>
  <c r="U420" i="21"/>
  <c r="T420" i="21"/>
  <c r="S420" i="21"/>
  <c r="R420" i="21"/>
  <c r="Q420" i="21"/>
  <c r="P420" i="21"/>
  <c r="N420" i="21"/>
  <c r="M420" i="21"/>
  <c r="L420" i="21"/>
  <c r="K420" i="21"/>
  <c r="J420" i="21"/>
  <c r="I420" i="21"/>
  <c r="H420" i="21"/>
  <c r="G420" i="21"/>
  <c r="E420" i="21"/>
  <c r="D420" i="21"/>
  <c r="B420" i="21"/>
  <c r="A420" i="21"/>
  <c r="Y419" i="21"/>
  <c r="X419" i="21"/>
  <c r="W419" i="21"/>
  <c r="V419" i="21"/>
  <c r="T419" i="21"/>
  <c r="S419" i="21"/>
  <c r="R419" i="21"/>
  <c r="Q419" i="21"/>
  <c r="P419" i="21"/>
  <c r="N419" i="21"/>
  <c r="M419" i="21"/>
  <c r="L419" i="21"/>
  <c r="K419" i="21"/>
  <c r="J419" i="21"/>
  <c r="I419" i="21"/>
  <c r="H419" i="21"/>
  <c r="G419" i="21"/>
  <c r="F419" i="21"/>
  <c r="E419" i="21"/>
  <c r="D419" i="21"/>
  <c r="B419" i="21"/>
  <c r="A419" i="21"/>
  <c r="Y418" i="21"/>
  <c r="X418" i="21"/>
  <c r="W418" i="21"/>
  <c r="V418" i="21"/>
  <c r="U418" i="21"/>
  <c r="T418" i="21"/>
  <c r="S418" i="21"/>
  <c r="R418" i="21"/>
  <c r="Q418" i="21"/>
  <c r="P418" i="21"/>
  <c r="N418" i="21"/>
  <c r="M418" i="21"/>
  <c r="L418" i="21"/>
  <c r="K418" i="21"/>
  <c r="J418" i="21"/>
  <c r="I418" i="21"/>
  <c r="H418" i="21"/>
  <c r="E418" i="21"/>
  <c r="D418" i="21"/>
  <c r="B418" i="21"/>
  <c r="A418" i="21"/>
  <c r="Y417" i="21"/>
  <c r="X417" i="21"/>
  <c r="W417" i="21"/>
  <c r="V417" i="21"/>
  <c r="U417" i="21"/>
  <c r="T417" i="21"/>
  <c r="S417" i="21"/>
  <c r="R417" i="21"/>
  <c r="Q417" i="21"/>
  <c r="P417" i="21"/>
  <c r="N417" i="21"/>
  <c r="M417" i="21"/>
  <c r="L417" i="21"/>
  <c r="K417" i="21"/>
  <c r="J417" i="21"/>
  <c r="I417" i="21"/>
  <c r="H417" i="21"/>
  <c r="G417" i="21"/>
  <c r="E417" i="21"/>
  <c r="D417" i="21"/>
  <c r="B417" i="21"/>
  <c r="A417" i="21"/>
  <c r="Y416" i="21"/>
  <c r="X416" i="21"/>
  <c r="W416" i="21"/>
  <c r="V416" i="21"/>
  <c r="T416" i="21"/>
  <c r="S416" i="21"/>
  <c r="R416" i="21"/>
  <c r="Q416" i="21"/>
  <c r="P416" i="21"/>
  <c r="N416" i="21"/>
  <c r="M416" i="21"/>
  <c r="L416" i="21"/>
  <c r="K416" i="21"/>
  <c r="J416" i="21"/>
  <c r="I416" i="21"/>
  <c r="H416" i="21"/>
  <c r="G416" i="21"/>
  <c r="F416" i="21"/>
  <c r="E416" i="21"/>
  <c r="D416" i="21"/>
  <c r="B416" i="21"/>
  <c r="A416" i="21"/>
  <c r="Y415" i="21"/>
  <c r="X415" i="21"/>
  <c r="W415" i="21"/>
  <c r="V415" i="21"/>
  <c r="T415" i="21"/>
  <c r="S415" i="21"/>
  <c r="R415" i="21"/>
  <c r="Q415" i="21"/>
  <c r="P415" i="21"/>
  <c r="N415" i="21"/>
  <c r="M415" i="21"/>
  <c r="L415" i="21"/>
  <c r="K415" i="21"/>
  <c r="J415" i="21"/>
  <c r="I415" i="21"/>
  <c r="H415" i="21"/>
  <c r="G415" i="21"/>
  <c r="F415" i="21"/>
  <c r="E415" i="21"/>
  <c r="D415" i="21"/>
  <c r="B415" i="21"/>
  <c r="A415" i="21"/>
  <c r="Y414" i="21"/>
  <c r="X414" i="21"/>
  <c r="W414" i="21"/>
  <c r="V414" i="21"/>
  <c r="U414" i="21"/>
  <c r="T414" i="21"/>
  <c r="S414" i="21"/>
  <c r="R414" i="21"/>
  <c r="Q414" i="21"/>
  <c r="P414" i="21"/>
  <c r="N414" i="21"/>
  <c r="M414" i="21"/>
  <c r="L414" i="21"/>
  <c r="K414" i="21"/>
  <c r="J414" i="21"/>
  <c r="I414" i="21"/>
  <c r="H414" i="21"/>
  <c r="E414" i="21"/>
  <c r="D414" i="21"/>
  <c r="B414" i="21"/>
  <c r="A414" i="21"/>
  <c r="Y413" i="21"/>
  <c r="X413" i="21"/>
  <c r="W413" i="21"/>
  <c r="V413" i="21"/>
  <c r="U413" i="21"/>
  <c r="T413" i="21"/>
  <c r="S413" i="21"/>
  <c r="R413" i="21"/>
  <c r="Q413" i="21"/>
  <c r="P413" i="21"/>
  <c r="N413" i="21"/>
  <c r="M413" i="21"/>
  <c r="L413" i="21"/>
  <c r="K413" i="21"/>
  <c r="J413" i="21"/>
  <c r="I413" i="21"/>
  <c r="H413" i="21"/>
  <c r="G413" i="21"/>
  <c r="E413" i="21"/>
  <c r="D413" i="21"/>
  <c r="B413" i="21"/>
  <c r="A413" i="21"/>
  <c r="Y412" i="21"/>
  <c r="X412" i="21"/>
  <c r="W412" i="21"/>
  <c r="V412" i="21"/>
  <c r="T412" i="21"/>
  <c r="S412" i="21"/>
  <c r="R412" i="21"/>
  <c r="Q412" i="21"/>
  <c r="P412" i="21"/>
  <c r="N412" i="21"/>
  <c r="M412" i="21"/>
  <c r="L412" i="21"/>
  <c r="K412" i="21"/>
  <c r="J412" i="21"/>
  <c r="I412" i="21"/>
  <c r="H412" i="21"/>
  <c r="G412" i="21"/>
  <c r="F412" i="21"/>
  <c r="E412" i="21"/>
  <c r="D412" i="21"/>
  <c r="B412" i="21"/>
  <c r="A412" i="21"/>
  <c r="Y411" i="21"/>
  <c r="X411" i="21"/>
  <c r="W411" i="21"/>
  <c r="V411" i="21"/>
  <c r="T411" i="21"/>
  <c r="S411" i="21"/>
  <c r="R411" i="21"/>
  <c r="Q411" i="21"/>
  <c r="P411" i="21"/>
  <c r="N411" i="21"/>
  <c r="M411" i="21"/>
  <c r="L411" i="21"/>
  <c r="K411" i="21"/>
  <c r="J411" i="21"/>
  <c r="I411" i="21"/>
  <c r="H411" i="21"/>
  <c r="G411" i="21"/>
  <c r="F411" i="21"/>
  <c r="E411" i="21"/>
  <c r="D411" i="21"/>
  <c r="B411" i="21"/>
  <c r="A411" i="21"/>
  <c r="Y410" i="21"/>
  <c r="X410" i="21"/>
  <c r="W410" i="21"/>
  <c r="V410" i="21"/>
  <c r="U410" i="21"/>
  <c r="T410" i="21"/>
  <c r="S410" i="21"/>
  <c r="R410" i="21"/>
  <c r="Q410" i="21"/>
  <c r="P410" i="21"/>
  <c r="N410" i="21"/>
  <c r="M410" i="21"/>
  <c r="L410" i="21"/>
  <c r="K410" i="21"/>
  <c r="J410" i="21"/>
  <c r="I410" i="21"/>
  <c r="H410" i="21"/>
  <c r="E410" i="21"/>
  <c r="D410" i="21"/>
  <c r="B410" i="21"/>
  <c r="A410" i="21"/>
  <c r="Y409" i="21"/>
  <c r="X409" i="21"/>
  <c r="W409" i="21"/>
  <c r="V409" i="21"/>
  <c r="U409" i="21"/>
  <c r="T409" i="21"/>
  <c r="S409" i="21"/>
  <c r="R409" i="21"/>
  <c r="Q409" i="21"/>
  <c r="P409" i="21"/>
  <c r="N409" i="21"/>
  <c r="M409" i="21"/>
  <c r="L409" i="21"/>
  <c r="K409" i="21"/>
  <c r="J409" i="21"/>
  <c r="I409" i="21"/>
  <c r="H409" i="21"/>
  <c r="G409" i="21"/>
  <c r="E409" i="21"/>
  <c r="D409" i="21"/>
  <c r="B409" i="21"/>
  <c r="A409" i="21"/>
  <c r="Y408" i="21"/>
  <c r="X408" i="21"/>
  <c r="W408" i="21"/>
  <c r="V408" i="21"/>
  <c r="T408" i="21"/>
  <c r="S408" i="21"/>
  <c r="R408" i="21"/>
  <c r="Q408" i="21"/>
  <c r="P408" i="21"/>
  <c r="N408" i="21"/>
  <c r="M408" i="21"/>
  <c r="L408" i="21"/>
  <c r="K408" i="21"/>
  <c r="J408" i="21"/>
  <c r="I408" i="21"/>
  <c r="H408" i="21"/>
  <c r="G408" i="21"/>
  <c r="F408" i="21"/>
  <c r="E408" i="21"/>
  <c r="D408" i="21"/>
  <c r="B408" i="21"/>
  <c r="A408" i="21"/>
  <c r="Y407" i="21"/>
  <c r="X407" i="21"/>
  <c r="W407" i="21"/>
  <c r="V407" i="21"/>
  <c r="T407" i="21"/>
  <c r="S407" i="21"/>
  <c r="R407" i="21"/>
  <c r="Q407" i="21"/>
  <c r="P407" i="21"/>
  <c r="N407" i="21"/>
  <c r="M407" i="21"/>
  <c r="L407" i="21"/>
  <c r="K407" i="21"/>
  <c r="J407" i="21"/>
  <c r="I407" i="21"/>
  <c r="H407" i="21"/>
  <c r="G407" i="21"/>
  <c r="F407" i="21"/>
  <c r="E407" i="21"/>
  <c r="D407" i="21"/>
  <c r="B407" i="21"/>
  <c r="A407" i="21"/>
  <c r="Y406" i="21"/>
  <c r="X406" i="21"/>
  <c r="W406" i="21"/>
  <c r="V406" i="21"/>
  <c r="T406" i="21"/>
  <c r="S406" i="21"/>
  <c r="R406" i="21"/>
  <c r="Q406" i="21"/>
  <c r="P406" i="21"/>
  <c r="N406" i="21"/>
  <c r="M406" i="21"/>
  <c r="L406" i="21"/>
  <c r="K406" i="21"/>
  <c r="J406" i="21"/>
  <c r="I406" i="21"/>
  <c r="H406" i="21"/>
  <c r="G406" i="21"/>
  <c r="F406" i="21"/>
  <c r="E406" i="21"/>
  <c r="D406" i="21"/>
  <c r="B406" i="21"/>
  <c r="A406" i="21"/>
  <c r="Y405" i="21"/>
  <c r="X405" i="21"/>
  <c r="W405" i="21"/>
  <c r="V405" i="21"/>
  <c r="U405" i="21"/>
  <c r="T405" i="21"/>
  <c r="S405" i="21"/>
  <c r="R405" i="21"/>
  <c r="Q405" i="21"/>
  <c r="P405" i="21"/>
  <c r="N405" i="21"/>
  <c r="M405" i="21"/>
  <c r="L405" i="21"/>
  <c r="K405" i="21"/>
  <c r="J405" i="21"/>
  <c r="I405" i="21"/>
  <c r="H405" i="21"/>
  <c r="G405" i="21"/>
  <c r="E405" i="21"/>
  <c r="D405" i="21"/>
  <c r="B405" i="21"/>
  <c r="A405" i="21"/>
  <c r="Y404" i="21"/>
  <c r="X404" i="21"/>
  <c r="W404" i="21"/>
  <c r="V404" i="21"/>
  <c r="T404" i="21"/>
  <c r="S404" i="21"/>
  <c r="R404" i="21"/>
  <c r="Q404" i="21"/>
  <c r="P404" i="21"/>
  <c r="N404" i="21"/>
  <c r="M404" i="21"/>
  <c r="L404" i="21"/>
  <c r="K404" i="21"/>
  <c r="J404" i="21"/>
  <c r="I404" i="21"/>
  <c r="H404" i="21"/>
  <c r="G404" i="21"/>
  <c r="F404" i="21"/>
  <c r="E404" i="21"/>
  <c r="D404" i="21"/>
  <c r="B404" i="21"/>
  <c r="A404" i="21"/>
  <c r="Y403" i="21"/>
  <c r="X403" i="21"/>
  <c r="W403" i="21"/>
  <c r="V403" i="21"/>
  <c r="T403" i="21"/>
  <c r="S403" i="21"/>
  <c r="R403" i="21"/>
  <c r="Q403" i="21"/>
  <c r="P403" i="21"/>
  <c r="N403" i="21"/>
  <c r="M403" i="21"/>
  <c r="L403" i="21"/>
  <c r="K403" i="21"/>
  <c r="J403" i="21"/>
  <c r="I403" i="21"/>
  <c r="H403" i="21"/>
  <c r="G403" i="21"/>
  <c r="F403" i="21"/>
  <c r="E403" i="21"/>
  <c r="D403" i="21"/>
  <c r="B403" i="21"/>
  <c r="A403" i="21"/>
  <c r="Y402" i="21"/>
  <c r="X402" i="21"/>
  <c r="W402" i="21"/>
  <c r="V402" i="21"/>
  <c r="T402" i="21"/>
  <c r="S402" i="21"/>
  <c r="R402" i="21"/>
  <c r="Q402" i="21"/>
  <c r="P402" i="21"/>
  <c r="N402" i="21"/>
  <c r="M402" i="21"/>
  <c r="L402" i="21"/>
  <c r="K402" i="21"/>
  <c r="J402" i="21"/>
  <c r="I402" i="21"/>
  <c r="H402" i="21"/>
  <c r="G402" i="21"/>
  <c r="F402" i="21"/>
  <c r="E402" i="21"/>
  <c r="D402" i="21"/>
  <c r="B402" i="21"/>
  <c r="A402" i="21"/>
  <c r="Y401" i="21"/>
  <c r="X401" i="21"/>
  <c r="W401" i="21"/>
  <c r="V401" i="21"/>
  <c r="T401" i="21"/>
  <c r="S401" i="21"/>
  <c r="R401" i="21"/>
  <c r="Q401" i="21"/>
  <c r="P401" i="21"/>
  <c r="N401" i="21"/>
  <c r="M401" i="21"/>
  <c r="L401" i="21"/>
  <c r="K401" i="21"/>
  <c r="J401" i="21"/>
  <c r="I401" i="21"/>
  <c r="H401" i="21"/>
  <c r="G401" i="21"/>
  <c r="F401" i="21"/>
  <c r="E401" i="21"/>
  <c r="D401" i="21"/>
  <c r="B401" i="21"/>
  <c r="A401" i="21"/>
  <c r="Y400" i="21"/>
  <c r="X400" i="21"/>
  <c r="W400" i="21"/>
  <c r="V400" i="21"/>
  <c r="T400" i="21"/>
  <c r="S400" i="21"/>
  <c r="R400" i="21"/>
  <c r="Q400" i="21"/>
  <c r="P400" i="21"/>
  <c r="N400" i="21"/>
  <c r="M400" i="21"/>
  <c r="L400" i="21"/>
  <c r="K400" i="21"/>
  <c r="J400" i="21"/>
  <c r="I400" i="21"/>
  <c r="H400" i="21"/>
  <c r="G400" i="21"/>
  <c r="F400" i="21"/>
  <c r="E400" i="21"/>
  <c r="D400" i="21"/>
  <c r="B400" i="21"/>
  <c r="A400" i="21"/>
  <c r="Y399" i="21"/>
  <c r="X399" i="21"/>
  <c r="W399" i="21"/>
  <c r="V399" i="21"/>
  <c r="T399" i="21"/>
  <c r="S399" i="21"/>
  <c r="R399" i="21"/>
  <c r="Q399" i="21"/>
  <c r="P399" i="21"/>
  <c r="N399" i="21"/>
  <c r="M399" i="21"/>
  <c r="L399" i="21"/>
  <c r="K399" i="21"/>
  <c r="J399" i="21"/>
  <c r="I399" i="21"/>
  <c r="H399" i="21"/>
  <c r="G399" i="21"/>
  <c r="F399" i="21"/>
  <c r="E399" i="21"/>
  <c r="D399" i="21"/>
  <c r="B399" i="21"/>
  <c r="A399" i="21"/>
  <c r="Y398" i="21"/>
  <c r="X398" i="21"/>
  <c r="W398" i="21"/>
  <c r="V398" i="21"/>
  <c r="T398" i="21"/>
  <c r="S398" i="21"/>
  <c r="R398" i="21"/>
  <c r="Q398" i="21"/>
  <c r="P398" i="21"/>
  <c r="N398" i="21"/>
  <c r="M398" i="21"/>
  <c r="L398" i="21"/>
  <c r="K398" i="21"/>
  <c r="J398" i="21"/>
  <c r="I398" i="21"/>
  <c r="H398" i="21"/>
  <c r="G398" i="21"/>
  <c r="F398" i="21"/>
  <c r="E398" i="21"/>
  <c r="D398" i="21"/>
  <c r="B398" i="21"/>
  <c r="A398" i="21"/>
  <c r="Y397" i="21"/>
  <c r="X397" i="21"/>
  <c r="W397" i="21"/>
  <c r="V397" i="21"/>
  <c r="T397" i="21"/>
  <c r="S397" i="21"/>
  <c r="R397" i="21"/>
  <c r="Q397" i="21"/>
  <c r="P397" i="21"/>
  <c r="N397" i="21"/>
  <c r="M397" i="21"/>
  <c r="L397" i="21"/>
  <c r="K397" i="21"/>
  <c r="J397" i="21"/>
  <c r="I397" i="21"/>
  <c r="H397" i="21"/>
  <c r="G397" i="21"/>
  <c r="F397" i="21"/>
  <c r="E397" i="21"/>
  <c r="D397" i="21"/>
  <c r="B397" i="21"/>
  <c r="A397" i="21"/>
  <c r="Y396" i="21"/>
  <c r="X396" i="21"/>
  <c r="W396" i="21"/>
  <c r="V396" i="21"/>
  <c r="T396" i="21"/>
  <c r="S396" i="21"/>
  <c r="R396" i="21"/>
  <c r="Q396" i="21"/>
  <c r="P396" i="21"/>
  <c r="N396" i="21"/>
  <c r="M396" i="21"/>
  <c r="L396" i="21"/>
  <c r="K396" i="21"/>
  <c r="J396" i="21"/>
  <c r="I396" i="21"/>
  <c r="H396" i="21"/>
  <c r="G396" i="21"/>
  <c r="F396" i="21"/>
  <c r="E396" i="21"/>
  <c r="D396" i="21"/>
  <c r="B396" i="21"/>
  <c r="A396" i="21"/>
  <c r="Y395" i="21"/>
  <c r="X395" i="21"/>
  <c r="W395" i="21"/>
  <c r="V395" i="21"/>
  <c r="T395" i="21"/>
  <c r="S395" i="21"/>
  <c r="R395" i="21"/>
  <c r="Q395" i="21"/>
  <c r="P395" i="21"/>
  <c r="N395" i="21"/>
  <c r="M395" i="21"/>
  <c r="L395" i="21"/>
  <c r="K395" i="21"/>
  <c r="J395" i="21"/>
  <c r="I395" i="21"/>
  <c r="H395" i="21"/>
  <c r="G395" i="21"/>
  <c r="F395" i="21"/>
  <c r="E395" i="21"/>
  <c r="D395" i="21"/>
  <c r="B395" i="21"/>
  <c r="A395" i="21"/>
  <c r="Y394" i="21"/>
  <c r="X394" i="21"/>
  <c r="W394" i="21"/>
  <c r="V394" i="21"/>
  <c r="T394" i="21"/>
  <c r="S394" i="21"/>
  <c r="R394" i="21"/>
  <c r="Q394" i="21"/>
  <c r="P394" i="21"/>
  <c r="N394" i="21"/>
  <c r="M394" i="21"/>
  <c r="L394" i="21"/>
  <c r="K394" i="21"/>
  <c r="J394" i="21"/>
  <c r="I394" i="21"/>
  <c r="H394" i="21"/>
  <c r="G394" i="21"/>
  <c r="F394" i="21"/>
  <c r="E394" i="21"/>
  <c r="D394" i="21"/>
  <c r="B394" i="21"/>
  <c r="A394" i="21"/>
  <c r="Y393" i="21"/>
  <c r="X393" i="21"/>
  <c r="W393" i="21"/>
  <c r="V393" i="21"/>
  <c r="T393" i="21"/>
  <c r="S393" i="21"/>
  <c r="R393" i="21"/>
  <c r="Q393" i="21"/>
  <c r="P393" i="21"/>
  <c r="N393" i="21"/>
  <c r="M393" i="21"/>
  <c r="L393" i="21"/>
  <c r="K393" i="21"/>
  <c r="J393" i="21"/>
  <c r="I393" i="21"/>
  <c r="H393" i="21"/>
  <c r="G393" i="21"/>
  <c r="F393" i="21"/>
  <c r="E393" i="21"/>
  <c r="D393" i="21"/>
  <c r="B393" i="21"/>
  <c r="A393" i="21"/>
  <c r="Y392" i="21"/>
  <c r="X392" i="21"/>
  <c r="W392" i="21"/>
  <c r="V392" i="21"/>
  <c r="T392" i="21"/>
  <c r="S392" i="21"/>
  <c r="R392" i="21"/>
  <c r="Q392" i="21"/>
  <c r="P392" i="21"/>
  <c r="N392" i="21"/>
  <c r="M392" i="21"/>
  <c r="L392" i="21"/>
  <c r="K392" i="21"/>
  <c r="J392" i="21"/>
  <c r="I392" i="21"/>
  <c r="H392" i="21"/>
  <c r="G392" i="21"/>
  <c r="F392" i="21"/>
  <c r="E392" i="21"/>
  <c r="D392" i="21"/>
  <c r="B392" i="21"/>
  <c r="A392" i="21"/>
  <c r="Y391" i="21"/>
  <c r="X391" i="21"/>
  <c r="W391" i="21"/>
  <c r="V391" i="21"/>
  <c r="T391" i="21"/>
  <c r="S391" i="21"/>
  <c r="R391" i="21"/>
  <c r="Q391" i="21"/>
  <c r="P391" i="21"/>
  <c r="N391" i="21"/>
  <c r="M391" i="21"/>
  <c r="L391" i="21"/>
  <c r="K391" i="21"/>
  <c r="J391" i="21"/>
  <c r="I391" i="21"/>
  <c r="H391" i="21"/>
  <c r="G391" i="21"/>
  <c r="F391" i="21"/>
  <c r="E391" i="21"/>
  <c r="D391" i="21"/>
  <c r="B391" i="21"/>
  <c r="A391" i="21"/>
  <c r="Y390" i="21"/>
  <c r="X390" i="21"/>
  <c r="W390" i="21"/>
  <c r="V390" i="21"/>
  <c r="T390" i="21"/>
  <c r="S390" i="21"/>
  <c r="R390" i="21"/>
  <c r="Q390" i="21"/>
  <c r="P390" i="21"/>
  <c r="N390" i="21"/>
  <c r="M390" i="21"/>
  <c r="L390" i="21"/>
  <c r="K390" i="21"/>
  <c r="J390" i="21"/>
  <c r="I390" i="21"/>
  <c r="H390" i="21"/>
  <c r="G390" i="21"/>
  <c r="F390" i="21"/>
  <c r="E390" i="21"/>
  <c r="D390" i="21"/>
  <c r="B390" i="21"/>
  <c r="A390" i="21"/>
  <c r="Y389" i="21"/>
  <c r="X389" i="21"/>
  <c r="W389" i="21"/>
  <c r="V389" i="21"/>
  <c r="T389" i="21"/>
  <c r="S389" i="21"/>
  <c r="R389" i="21"/>
  <c r="Q389" i="21"/>
  <c r="P389" i="21"/>
  <c r="N389" i="21"/>
  <c r="M389" i="21"/>
  <c r="L389" i="21"/>
  <c r="K389" i="21"/>
  <c r="J389" i="21"/>
  <c r="I389" i="21"/>
  <c r="H389" i="21"/>
  <c r="G389" i="21"/>
  <c r="F389" i="21"/>
  <c r="E389" i="21"/>
  <c r="D389" i="21"/>
  <c r="B389" i="21"/>
  <c r="A389" i="21"/>
  <c r="Y388" i="21"/>
  <c r="X388" i="21"/>
  <c r="W388" i="21"/>
  <c r="V388" i="21"/>
  <c r="T388" i="21"/>
  <c r="S388" i="21"/>
  <c r="R388" i="21"/>
  <c r="Q388" i="21"/>
  <c r="P388" i="21"/>
  <c r="N388" i="21"/>
  <c r="M388" i="21"/>
  <c r="L388" i="21"/>
  <c r="K388" i="21"/>
  <c r="J388" i="21"/>
  <c r="I388" i="21"/>
  <c r="H388" i="21"/>
  <c r="G388" i="21"/>
  <c r="F388" i="21"/>
  <c r="E388" i="21"/>
  <c r="D388" i="21"/>
  <c r="B388" i="21"/>
  <c r="A388" i="21"/>
  <c r="Y387" i="21"/>
  <c r="X387" i="21"/>
  <c r="W387" i="21"/>
  <c r="V387" i="21"/>
  <c r="T387" i="21"/>
  <c r="S387" i="21"/>
  <c r="R387" i="21"/>
  <c r="Q387" i="21"/>
  <c r="P387" i="21"/>
  <c r="N387" i="21"/>
  <c r="M387" i="21"/>
  <c r="L387" i="21"/>
  <c r="K387" i="21"/>
  <c r="J387" i="21"/>
  <c r="I387" i="21"/>
  <c r="H387" i="21"/>
  <c r="G387" i="21"/>
  <c r="F387" i="21"/>
  <c r="E387" i="21"/>
  <c r="D387" i="21"/>
  <c r="B387" i="21"/>
  <c r="A387" i="21"/>
  <c r="Y386" i="21"/>
  <c r="X386" i="21"/>
  <c r="W386" i="21"/>
  <c r="V386" i="21"/>
  <c r="T386" i="21"/>
  <c r="S386" i="21"/>
  <c r="R386" i="21"/>
  <c r="Q386" i="21"/>
  <c r="P386" i="21"/>
  <c r="N386" i="21"/>
  <c r="M386" i="21"/>
  <c r="L386" i="21"/>
  <c r="K386" i="21"/>
  <c r="J386" i="21"/>
  <c r="I386" i="21"/>
  <c r="H386" i="21"/>
  <c r="G386" i="21"/>
  <c r="F386" i="21"/>
  <c r="E386" i="21"/>
  <c r="D386" i="21"/>
  <c r="B386" i="21"/>
  <c r="A386" i="21"/>
  <c r="Y385" i="21"/>
  <c r="X385" i="21"/>
  <c r="W385" i="21"/>
  <c r="V385" i="21"/>
  <c r="T385" i="21"/>
  <c r="S385" i="21"/>
  <c r="R385" i="21"/>
  <c r="Q385" i="21"/>
  <c r="P385" i="21"/>
  <c r="N385" i="21"/>
  <c r="M385" i="21"/>
  <c r="L385" i="21"/>
  <c r="K385" i="21"/>
  <c r="J385" i="21"/>
  <c r="I385" i="21"/>
  <c r="H385" i="21"/>
  <c r="G385" i="21"/>
  <c r="F385" i="21"/>
  <c r="E385" i="21"/>
  <c r="D385" i="21"/>
  <c r="B385" i="21"/>
  <c r="A385" i="21"/>
  <c r="Y384" i="21"/>
  <c r="X384" i="21"/>
  <c r="W384" i="21"/>
  <c r="V384" i="21"/>
  <c r="T384" i="21"/>
  <c r="S384" i="21"/>
  <c r="R384" i="21"/>
  <c r="Q384" i="21"/>
  <c r="P384" i="21"/>
  <c r="N384" i="21"/>
  <c r="M384" i="21"/>
  <c r="L384" i="21"/>
  <c r="K384" i="21"/>
  <c r="J384" i="21"/>
  <c r="I384" i="21"/>
  <c r="H384" i="21"/>
  <c r="G384" i="21"/>
  <c r="F384" i="21"/>
  <c r="E384" i="21"/>
  <c r="D384" i="21"/>
  <c r="B384" i="21"/>
  <c r="A384" i="21"/>
  <c r="Y383" i="21"/>
  <c r="X383" i="21"/>
  <c r="W383" i="21"/>
  <c r="V383" i="21"/>
  <c r="T383" i="21"/>
  <c r="S383" i="21"/>
  <c r="R383" i="21"/>
  <c r="Q383" i="21"/>
  <c r="P383" i="21"/>
  <c r="N383" i="21"/>
  <c r="M383" i="21"/>
  <c r="L383" i="21"/>
  <c r="K383" i="21"/>
  <c r="J383" i="21"/>
  <c r="I383" i="21"/>
  <c r="H383" i="21"/>
  <c r="G383" i="21"/>
  <c r="F383" i="21"/>
  <c r="E383" i="21"/>
  <c r="D383" i="21"/>
  <c r="B383" i="21"/>
  <c r="A383" i="21"/>
  <c r="Y382" i="21"/>
  <c r="X382" i="21"/>
  <c r="W382" i="21"/>
  <c r="V382" i="21"/>
  <c r="U382" i="21"/>
  <c r="T382" i="21"/>
  <c r="S382" i="21"/>
  <c r="R382" i="21"/>
  <c r="Q382" i="21"/>
  <c r="P382" i="21"/>
  <c r="N382" i="21"/>
  <c r="M382" i="21"/>
  <c r="L382" i="21"/>
  <c r="K382" i="21"/>
  <c r="J382" i="21"/>
  <c r="I382" i="21"/>
  <c r="H382" i="21"/>
  <c r="E382" i="21"/>
  <c r="D382" i="21"/>
  <c r="B382" i="21"/>
  <c r="A382" i="21"/>
  <c r="Y381" i="21"/>
  <c r="X381" i="21"/>
  <c r="W381" i="21"/>
  <c r="V381" i="21"/>
  <c r="T381" i="21"/>
  <c r="S381" i="21"/>
  <c r="R381" i="21"/>
  <c r="Q381" i="21"/>
  <c r="P381" i="21"/>
  <c r="N381" i="21"/>
  <c r="M381" i="21"/>
  <c r="L381" i="21"/>
  <c r="K381" i="21"/>
  <c r="J381" i="21"/>
  <c r="I381" i="21"/>
  <c r="H381" i="21"/>
  <c r="G381" i="21"/>
  <c r="F381" i="21"/>
  <c r="E381" i="21"/>
  <c r="D381" i="21"/>
  <c r="B381" i="21"/>
  <c r="A381" i="21"/>
  <c r="Y380" i="21"/>
  <c r="X380" i="21"/>
  <c r="W380" i="21"/>
  <c r="V380" i="21"/>
  <c r="T380" i="21"/>
  <c r="S380" i="21"/>
  <c r="R380" i="21"/>
  <c r="Q380" i="21"/>
  <c r="P380" i="21"/>
  <c r="N380" i="21"/>
  <c r="M380" i="21"/>
  <c r="L380" i="21"/>
  <c r="K380" i="21"/>
  <c r="J380" i="21"/>
  <c r="I380" i="21"/>
  <c r="H380" i="21"/>
  <c r="G380" i="21"/>
  <c r="F380" i="21"/>
  <c r="E380" i="21"/>
  <c r="D380" i="21"/>
  <c r="B380" i="21"/>
  <c r="A380" i="21"/>
  <c r="Y379" i="21"/>
  <c r="X379" i="21"/>
  <c r="W379" i="21"/>
  <c r="V379" i="21"/>
  <c r="T379" i="21"/>
  <c r="S379" i="21"/>
  <c r="R379" i="21"/>
  <c r="Q379" i="21"/>
  <c r="P379" i="21"/>
  <c r="N379" i="21"/>
  <c r="M379" i="21"/>
  <c r="L379" i="21"/>
  <c r="K379" i="21"/>
  <c r="J379" i="21"/>
  <c r="I379" i="21"/>
  <c r="H379" i="21"/>
  <c r="G379" i="21"/>
  <c r="F379" i="21"/>
  <c r="E379" i="21"/>
  <c r="D379" i="21"/>
  <c r="B379" i="21"/>
  <c r="A379" i="21"/>
  <c r="Y378" i="21"/>
  <c r="X378" i="21"/>
  <c r="W378" i="21"/>
  <c r="V378" i="21"/>
  <c r="T378" i="21"/>
  <c r="S378" i="21"/>
  <c r="R378" i="21"/>
  <c r="Q378" i="21"/>
  <c r="P378" i="21"/>
  <c r="N378" i="21"/>
  <c r="M378" i="21"/>
  <c r="L378" i="21"/>
  <c r="K378" i="21"/>
  <c r="J378" i="21"/>
  <c r="I378" i="21"/>
  <c r="H378" i="21"/>
  <c r="G378" i="21"/>
  <c r="F378" i="21"/>
  <c r="E378" i="21"/>
  <c r="D378" i="21"/>
  <c r="B378" i="21"/>
  <c r="A378" i="21"/>
  <c r="Y377" i="21"/>
  <c r="X377" i="21"/>
  <c r="W377" i="21"/>
  <c r="V377" i="21"/>
  <c r="T377" i="21"/>
  <c r="S377" i="21"/>
  <c r="R377" i="21"/>
  <c r="Q377" i="21"/>
  <c r="P377" i="21"/>
  <c r="N377" i="21"/>
  <c r="M377" i="21"/>
  <c r="L377" i="21"/>
  <c r="K377" i="21"/>
  <c r="J377" i="21"/>
  <c r="I377" i="21"/>
  <c r="H377" i="21"/>
  <c r="G377" i="21"/>
  <c r="F377" i="21"/>
  <c r="E377" i="21"/>
  <c r="D377" i="21"/>
  <c r="B377" i="21"/>
  <c r="A377" i="21"/>
  <c r="Y376" i="21"/>
  <c r="X376" i="21"/>
  <c r="W376" i="21"/>
  <c r="V376" i="21"/>
  <c r="T376" i="21"/>
  <c r="S376" i="21"/>
  <c r="R376" i="21"/>
  <c r="Q376" i="21"/>
  <c r="P376" i="21"/>
  <c r="N376" i="21"/>
  <c r="M376" i="21"/>
  <c r="L376" i="21"/>
  <c r="K376" i="21"/>
  <c r="J376" i="21"/>
  <c r="I376" i="21"/>
  <c r="H376" i="21"/>
  <c r="G376" i="21"/>
  <c r="F376" i="21"/>
  <c r="E376" i="21"/>
  <c r="D376" i="21"/>
  <c r="B376" i="21"/>
  <c r="A376" i="21"/>
  <c r="Y375" i="21"/>
  <c r="X375" i="21"/>
  <c r="W375" i="21"/>
  <c r="V375" i="21"/>
  <c r="T375" i="21"/>
  <c r="S375" i="21"/>
  <c r="R375" i="21"/>
  <c r="Q375" i="21"/>
  <c r="P375" i="21"/>
  <c r="N375" i="21"/>
  <c r="M375" i="21"/>
  <c r="L375" i="21"/>
  <c r="K375" i="21"/>
  <c r="J375" i="21"/>
  <c r="I375" i="21"/>
  <c r="H375" i="21"/>
  <c r="G375" i="21"/>
  <c r="F375" i="21"/>
  <c r="E375" i="21"/>
  <c r="D375" i="21"/>
  <c r="B375" i="21"/>
  <c r="A375" i="21"/>
  <c r="Y374" i="21"/>
  <c r="X374" i="21"/>
  <c r="W374" i="21"/>
  <c r="V374" i="21"/>
  <c r="T374" i="21"/>
  <c r="S374" i="21"/>
  <c r="R374" i="21"/>
  <c r="Q374" i="21"/>
  <c r="P374" i="21"/>
  <c r="N374" i="21"/>
  <c r="M374" i="21"/>
  <c r="L374" i="21"/>
  <c r="K374" i="21"/>
  <c r="J374" i="21"/>
  <c r="I374" i="21"/>
  <c r="H374" i="21"/>
  <c r="G374" i="21"/>
  <c r="F374" i="21"/>
  <c r="E374" i="21"/>
  <c r="D374" i="21"/>
  <c r="B374" i="21"/>
  <c r="A374" i="21"/>
  <c r="Y373" i="21"/>
  <c r="X373" i="21"/>
  <c r="W373" i="21"/>
  <c r="V373" i="21"/>
  <c r="U373" i="21"/>
  <c r="T373" i="21"/>
  <c r="S373" i="21"/>
  <c r="R373" i="21"/>
  <c r="Q373" i="21"/>
  <c r="P373" i="21"/>
  <c r="N373" i="21"/>
  <c r="M373" i="21"/>
  <c r="L373" i="21"/>
  <c r="K373" i="21"/>
  <c r="J373" i="21"/>
  <c r="I373" i="21"/>
  <c r="H373" i="21"/>
  <c r="E373" i="21"/>
  <c r="D373" i="21"/>
  <c r="B373" i="21"/>
  <c r="A373" i="21"/>
  <c r="Y372" i="21"/>
  <c r="X372" i="21"/>
  <c r="W372" i="21"/>
  <c r="V372" i="21"/>
  <c r="T372" i="21"/>
  <c r="S372" i="21"/>
  <c r="R372" i="21"/>
  <c r="Q372" i="21"/>
  <c r="P372" i="21"/>
  <c r="N372" i="21"/>
  <c r="M372" i="21"/>
  <c r="L372" i="21"/>
  <c r="K372" i="21"/>
  <c r="J372" i="21"/>
  <c r="I372" i="21"/>
  <c r="H372" i="21"/>
  <c r="G372" i="21"/>
  <c r="F372" i="21"/>
  <c r="E372" i="21"/>
  <c r="D372" i="21"/>
  <c r="B372" i="21"/>
  <c r="A372" i="21"/>
  <c r="Y371" i="21"/>
  <c r="X371" i="21"/>
  <c r="W371" i="21"/>
  <c r="V371" i="21"/>
  <c r="T371" i="21"/>
  <c r="S371" i="21"/>
  <c r="R371" i="21"/>
  <c r="Q371" i="21"/>
  <c r="P371" i="21"/>
  <c r="N371" i="21"/>
  <c r="M371" i="21"/>
  <c r="L371" i="21"/>
  <c r="K371" i="21"/>
  <c r="J371" i="21"/>
  <c r="I371" i="21"/>
  <c r="H371" i="21"/>
  <c r="G371" i="21"/>
  <c r="F371" i="21"/>
  <c r="E371" i="21"/>
  <c r="D371" i="21"/>
  <c r="B371" i="21"/>
  <c r="A371" i="21"/>
  <c r="Y370" i="21"/>
  <c r="X370" i="21"/>
  <c r="W370" i="21"/>
  <c r="V370" i="21"/>
  <c r="T370" i="21"/>
  <c r="S370" i="21"/>
  <c r="R370" i="21"/>
  <c r="Q370" i="21"/>
  <c r="P370" i="21"/>
  <c r="N370" i="21"/>
  <c r="M370" i="21"/>
  <c r="L370" i="21"/>
  <c r="K370" i="21"/>
  <c r="J370" i="21"/>
  <c r="I370" i="21"/>
  <c r="H370" i="21"/>
  <c r="G370" i="21"/>
  <c r="F370" i="21"/>
  <c r="E370" i="21"/>
  <c r="D370" i="21"/>
  <c r="B370" i="21"/>
  <c r="A370" i="21"/>
  <c r="Y369" i="21"/>
  <c r="X369" i="21"/>
  <c r="W369" i="21"/>
  <c r="V369" i="21"/>
  <c r="T369" i="21"/>
  <c r="S369" i="21"/>
  <c r="R369" i="21"/>
  <c r="Q369" i="21"/>
  <c r="P369" i="21"/>
  <c r="N369" i="21"/>
  <c r="M369" i="21"/>
  <c r="L369" i="21"/>
  <c r="K369" i="21"/>
  <c r="J369" i="21"/>
  <c r="I369" i="21"/>
  <c r="H369" i="21"/>
  <c r="G369" i="21"/>
  <c r="F369" i="21"/>
  <c r="E369" i="21"/>
  <c r="D369" i="21"/>
  <c r="B369" i="21"/>
  <c r="A369" i="21"/>
  <c r="Y368" i="21"/>
  <c r="X368" i="21"/>
  <c r="W368" i="21"/>
  <c r="V368" i="21"/>
  <c r="T368" i="21"/>
  <c r="S368" i="21"/>
  <c r="R368" i="21"/>
  <c r="Q368" i="21"/>
  <c r="P368" i="21"/>
  <c r="N368" i="21"/>
  <c r="M368" i="21"/>
  <c r="L368" i="21"/>
  <c r="K368" i="21"/>
  <c r="J368" i="21"/>
  <c r="I368" i="21"/>
  <c r="H368" i="21"/>
  <c r="G368" i="21"/>
  <c r="F368" i="21"/>
  <c r="E368" i="21"/>
  <c r="D368" i="21"/>
  <c r="B368" i="21"/>
  <c r="A368" i="21"/>
  <c r="Y367" i="21"/>
  <c r="X367" i="21"/>
  <c r="W367" i="21"/>
  <c r="V367" i="21"/>
  <c r="T367" i="21"/>
  <c r="S367" i="21"/>
  <c r="R367" i="21"/>
  <c r="Q367" i="21"/>
  <c r="P367" i="21"/>
  <c r="N367" i="21"/>
  <c r="M367" i="21"/>
  <c r="L367" i="21"/>
  <c r="K367" i="21"/>
  <c r="J367" i="21"/>
  <c r="I367" i="21"/>
  <c r="H367" i="21"/>
  <c r="G367" i="21"/>
  <c r="F367" i="21"/>
  <c r="E367" i="21"/>
  <c r="D367" i="21"/>
  <c r="B367" i="21"/>
  <c r="A367" i="21"/>
  <c r="Y366" i="21"/>
  <c r="X366" i="21"/>
  <c r="W366" i="21"/>
  <c r="V366" i="21"/>
  <c r="T366" i="21"/>
  <c r="S366" i="21"/>
  <c r="R366" i="21"/>
  <c r="Q366" i="21"/>
  <c r="P366" i="21"/>
  <c r="N366" i="21"/>
  <c r="M366" i="21"/>
  <c r="L366" i="21"/>
  <c r="K366" i="21"/>
  <c r="J366" i="21"/>
  <c r="I366" i="21"/>
  <c r="H366" i="21"/>
  <c r="G366" i="21"/>
  <c r="F366" i="21"/>
  <c r="E366" i="21"/>
  <c r="D366" i="21"/>
  <c r="B366" i="21"/>
  <c r="A366" i="21"/>
  <c r="Y365" i="21"/>
  <c r="X365" i="21"/>
  <c r="W365" i="21"/>
  <c r="V365" i="21"/>
  <c r="T365" i="21"/>
  <c r="S365" i="21"/>
  <c r="R365" i="21"/>
  <c r="Q365" i="21"/>
  <c r="P365" i="21"/>
  <c r="N365" i="21"/>
  <c r="M365" i="21"/>
  <c r="L365" i="21"/>
  <c r="K365" i="21"/>
  <c r="J365" i="21"/>
  <c r="I365" i="21"/>
  <c r="H365" i="21"/>
  <c r="G365" i="21"/>
  <c r="F365" i="21"/>
  <c r="E365" i="21"/>
  <c r="D365" i="21"/>
  <c r="B365" i="21"/>
  <c r="A365" i="21"/>
  <c r="Y364" i="21"/>
  <c r="X364" i="21"/>
  <c r="W364" i="21"/>
  <c r="V364" i="21"/>
  <c r="T364" i="21"/>
  <c r="S364" i="21"/>
  <c r="R364" i="21"/>
  <c r="Q364" i="21"/>
  <c r="P364" i="21"/>
  <c r="N364" i="21"/>
  <c r="M364" i="21"/>
  <c r="L364" i="21"/>
  <c r="K364" i="21"/>
  <c r="J364" i="21"/>
  <c r="I364" i="21"/>
  <c r="H364" i="21"/>
  <c r="G364" i="21"/>
  <c r="F364" i="21"/>
  <c r="E364" i="21"/>
  <c r="D364" i="21"/>
  <c r="B364" i="21"/>
  <c r="A364" i="21"/>
  <c r="Y363" i="21"/>
  <c r="X363" i="21"/>
  <c r="W363" i="21"/>
  <c r="V363" i="21"/>
  <c r="T363" i="21"/>
  <c r="S363" i="21"/>
  <c r="R363" i="21"/>
  <c r="Q363" i="21"/>
  <c r="P363" i="21"/>
  <c r="N363" i="21"/>
  <c r="M363" i="21"/>
  <c r="L363" i="21"/>
  <c r="K363" i="21"/>
  <c r="J363" i="21"/>
  <c r="I363" i="21"/>
  <c r="H363" i="21"/>
  <c r="G363" i="21"/>
  <c r="F363" i="21"/>
  <c r="E363" i="21"/>
  <c r="D363" i="21"/>
  <c r="B363" i="21"/>
  <c r="A363" i="21"/>
  <c r="Y362" i="21"/>
  <c r="X362" i="21"/>
  <c r="W362" i="21"/>
  <c r="V362" i="21"/>
  <c r="T362" i="21"/>
  <c r="S362" i="21"/>
  <c r="R362" i="21"/>
  <c r="Q362" i="21"/>
  <c r="P362" i="21"/>
  <c r="N362" i="21"/>
  <c r="M362" i="21"/>
  <c r="L362" i="21"/>
  <c r="K362" i="21"/>
  <c r="J362" i="21"/>
  <c r="I362" i="21"/>
  <c r="H362" i="21"/>
  <c r="G362" i="21"/>
  <c r="F362" i="21"/>
  <c r="E362" i="21"/>
  <c r="D362" i="21"/>
  <c r="B362" i="21"/>
  <c r="A362" i="21"/>
  <c r="Y361" i="21"/>
  <c r="X361" i="21"/>
  <c r="W361" i="21"/>
  <c r="V361" i="21"/>
  <c r="T361" i="21"/>
  <c r="S361" i="21"/>
  <c r="R361" i="21"/>
  <c r="Q361" i="21"/>
  <c r="P361" i="21"/>
  <c r="N361" i="21"/>
  <c r="M361" i="21"/>
  <c r="L361" i="21"/>
  <c r="K361" i="21"/>
  <c r="J361" i="21"/>
  <c r="I361" i="21"/>
  <c r="H361" i="21"/>
  <c r="G361" i="21"/>
  <c r="F361" i="21"/>
  <c r="E361" i="21"/>
  <c r="D361" i="21"/>
  <c r="B361" i="21"/>
  <c r="A361" i="21"/>
  <c r="Y360" i="21"/>
  <c r="X360" i="21"/>
  <c r="W360" i="21"/>
  <c r="V360" i="21"/>
  <c r="T360" i="21"/>
  <c r="S360" i="21"/>
  <c r="R360" i="21"/>
  <c r="Q360" i="21"/>
  <c r="P360" i="21"/>
  <c r="N360" i="21"/>
  <c r="M360" i="21"/>
  <c r="L360" i="21"/>
  <c r="K360" i="21"/>
  <c r="J360" i="21"/>
  <c r="I360" i="21"/>
  <c r="H360" i="21"/>
  <c r="G360" i="21"/>
  <c r="F360" i="21"/>
  <c r="E360" i="21"/>
  <c r="D360" i="21"/>
  <c r="B360" i="21"/>
  <c r="A360" i="21"/>
  <c r="Y359" i="21"/>
  <c r="X359" i="21"/>
  <c r="W359" i="21"/>
  <c r="V359" i="21"/>
  <c r="T359" i="21"/>
  <c r="S359" i="21"/>
  <c r="R359" i="21"/>
  <c r="Q359" i="21"/>
  <c r="P359" i="21"/>
  <c r="N359" i="21"/>
  <c r="M359" i="21"/>
  <c r="L359" i="21"/>
  <c r="K359" i="21"/>
  <c r="J359" i="21"/>
  <c r="I359" i="21"/>
  <c r="H359" i="21"/>
  <c r="G359" i="21"/>
  <c r="F359" i="21"/>
  <c r="E359" i="21"/>
  <c r="D359" i="21"/>
  <c r="B359" i="21"/>
  <c r="A359" i="21"/>
  <c r="Y358" i="21"/>
  <c r="X358" i="21"/>
  <c r="W358" i="21"/>
  <c r="V358" i="21"/>
  <c r="T358" i="21"/>
  <c r="S358" i="21"/>
  <c r="R358" i="21"/>
  <c r="Q358" i="21"/>
  <c r="P358" i="21"/>
  <c r="N358" i="21"/>
  <c r="M358" i="21"/>
  <c r="L358" i="21"/>
  <c r="K358" i="21"/>
  <c r="J358" i="21"/>
  <c r="I358" i="21"/>
  <c r="H358" i="21"/>
  <c r="G358" i="21"/>
  <c r="F358" i="21"/>
  <c r="E358" i="21"/>
  <c r="D358" i="21"/>
  <c r="B358" i="21"/>
  <c r="A358" i="21"/>
  <c r="Y357" i="21"/>
  <c r="X357" i="21"/>
  <c r="W357" i="21"/>
  <c r="V357" i="21"/>
  <c r="T357" i="21"/>
  <c r="S357" i="21"/>
  <c r="R357" i="21"/>
  <c r="Q357" i="21"/>
  <c r="P357" i="21"/>
  <c r="N357" i="21"/>
  <c r="M357" i="21"/>
  <c r="L357" i="21"/>
  <c r="K357" i="21"/>
  <c r="J357" i="21"/>
  <c r="I357" i="21"/>
  <c r="H357" i="21"/>
  <c r="G357" i="21"/>
  <c r="F357" i="21"/>
  <c r="E357" i="21"/>
  <c r="D357" i="21"/>
  <c r="B357" i="21"/>
  <c r="A357" i="21"/>
  <c r="Y356" i="21"/>
  <c r="X356" i="21"/>
  <c r="W356" i="21"/>
  <c r="V356" i="21"/>
  <c r="T356" i="21"/>
  <c r="S356" i="21"/>
  <c r="R356" i="21"/>
  <c r="Q356" i="21"/>
  <c r="P356" i="21"/>
  <c r="N356" i="21"/>
  <c r="M356" i="21"/>
  <c r="L356" i="21"/>
  <c r="K356" i="21"/>
  <c r="J356" i="21"/>
  <c r="I356" i="21"/>
  <c r="H356" i="21"/>
  <c r="G356" i="21"/>
  <c r="F356" i="21"/>
  <c r="E356" i="21"/>
  <c r="D356" i="21"/>
  <c r="B356" i="21"/>
  <c r="A356" i="21"/>
  <c r="Y355" i="21"/>
  <c r="X355" i="21"/>
  <c r="W355" i="21"/>
  <c r="V355" i="21"/>
  <c r="T355" i="21"/>
  <c r="S355" i="21"/>
  <c r="R355" i="21"/>
  <c r="Q355" i="21"/>
  <c r="P355" i="21"/>
  <c r="N355" i="21"/>
  <c r="M355" i="21"/>
  <c r="L355" i="21"/>
  <c r="K355" i="21"/>
  <c r="J355" i="21"/>
  <c r="I355" i="21"/>
  <c r="H355" i="21"/>
  <c r="G355" i="21"/>
  <c r="F355" i="21"/>
  <c r="E355" i="21"/>
  <c r="D355" i="21"/>
  <c r="B355" i="21"/>
  <c r="A355" i="21"/>
  <c r="Y354" i="21"/>
  <c r="X354" i="21"/>
  <c r="W354" i="21"/>
  <c r="V354" i="21"/>
  <c r="T354" i="21"/>
  <c r="S354" i="21"/>
  <c r="R354" i="21"/>
  <c r="Q354" i="21"/>
  <c r="P354" i="21"/>
  <c r="N354" i="21"/>
  <c r="M354" i="21"/>
  <c r="L354" i="21"/>
  <c r="K354" i="21"/>
  <c r="J354" i="21"/>
  <c r="I354" i="21"/>
  <c r="H354" i="21"/>
  <c r="G354" i="21"/>
  <c r="F354" i="21"/>
  <c r="E354" i="21"/>
  <c r="D354" i="21"/>
  <c r="B354" i="21"/>
  <c r="A354" i="21"/>
  <c r="Y353" i="21"/>
  <c r="X353" i="21"/>
  <c r="W353" i="21"/>
  <c r="V353" i="21"/>
  <c r="T353" i="21"/>
  <c r="S353" i="21"/>
  <c r="R353" i="21"/>
  <c r="Q353" i="21"/>
  <c r="P353" i="21"/>
  <c r="N353" i="21"/>
  <c r="M353" i="21"/>
  <c r="L353" i="21"/>
  <c r="K353" i="21"/>
  <c r="J353" i="21"/>
  <c r="I353" i="21"/>
  <c r="H353" i="21"/>
  <c r="G353" i="21"/>
  <c r="F353" i="21"/>
  <c r="E353" i="21"/>
  <c r="D353" i="21"/>
  <c r="B353" i="21"/>
  <c r="A353" i="21"/>
  <c r="Y352" i="21"/>
  <c r="X352" i="21"/>
  <c r="W352" i="21"/>
  <c r="V352" i="21"/>
  <c r="T352" i="21"/>
  <c r="S352" i="21"/>
  <c r="R352" i="21"/>
  <c r="Q352" i="21"/>
  <c r="P352" i="21"/>
  <c r="N352" i="21"/>
  <c r="M352" i="21"/>
  <c r="L352" i="21"/>
  <c r="K352" i="21"/>
  <c r="J352" i="21"/>
  <c r="I352" i="21"/>
  <c r="H352" i="21"/>
  <c r="G352" i="21"/>
  <c r="F352" i="21"/>
  <c r="E352" i="21"/>
  <c r="D352" i="21"/>
  <c r="B352" i="21"/>
  <c r="A352" i="21"/>
  <c r="Y351" i="21"/>
  <c r="X351" i="21"/>
  <c r="W351" i="21"/>
  <c r="V351" i="21"/>
  <c r="U351" i="21"/>
  <c r="T351" i="21"/>
  <c r="S351" i="21"/>
  <c r="R351" i="21"/>
  <c r="Q351" i="21"/>
  <c r="P351" i="21"/>
  <c r="N351" i="21"/>
  <c r="M351" i="21"/>
  <c r="L351" i="21"/>
  <c r="K351" i="21"/>
  <c r="J351" i="21"/>
  <c r="I351" i="21"/>
  <c r="H351" i="21"/>
  <c r="E351" i="21"/>
  <c r="D351" i="21"/>
  <c r="B351" i="21"/>
  <c r="A351" i="21"/>
  <c r="Y350" i="21"/>
  <c r="X350" i="21"/>
  <c r="W350" i="21"/>
  <c r="V350" i="21"/>
  <c r="U350" i="21"/>
  <c r="T350" i="21"/>
  <c r="S350" i="21"/>
  <c r="R350" i="21"/>
  <c r="Q350" i="21"/>
  <c r="P350" i="21"/>
  <c r="N350" i="21"/>
  <c r="M350" i="21"/>
  <c r="L350" i="21"/>
  <c r="K350" i="21"/>
  <c r="J350" i="21"/>
  <c r="I350" i="21"/>
  <c r="H350" i="21"/>
  <c r="E350" i="21"/>
  <c r="D350" i="21"/>
  <c r="B350" i="21"/>
  <c r="A350" i="21"/>
  <c r="Y349" i="21"/>
  <c r="X349" i="21"/>
  <c r="W349" i="21"/>
  <c r="V349" i="21"/>
  <c r="U349" i="21"/>
  <c r="T349" i="21"/>
  <c r="S349" i="21"/>
  <c r="R349" i="21"/>
  <c r="Q349" i="21"/>
  <c r="P349" i="21"/>
  <c r="N349" i="21"/>
  <c r="M349" i="21"/>
  <c r="L349" i="21"/>
  <c r="K349" i="21"/>
  <c r="J349" i="21"/>
  <c r="I349" i="21"/>
  <c r="H349" i="21"/>
  <c r="E349" i="21"/>
  <c r="D349" i="21"/>
  <c r="B349" i="21"/>
  <c r="A349" i="21"/>
  <c r="Y348" i="21"/>
  <c r="X348" i="21"/>
  <c r="W348" i="21"/>
  <c r="V348" i="21"/>
  <c r="U348" i="21"/>
  <c r="T348" i="21"/>
  <c r="S348" i="21"/>
  <c r="R348" i="21"/>
  <c r="Q348" i="21"/>
  <c r="P348" i="21"/>
  <c r="N348" i="21"/>
  <c r="M348" i="21"/>
  <c r="L348" i="21"/>
  <c r="K348" i="21"/>
  <c r="J348" i="21"/>
  <c r="I348" i="21"/>
  <c r="H348" i="21"/>
  <c r="E348" i="21"/>
  <c r="D348" i="21"/>
  <c r="B348" i="21"/>
  <c r="A348" i="21"/>
  <c r="Y347" i="21"/>
  <c r="X347" i="21"/>
  <c r="W347" i="21"/>
  <c r="V347" i="21"/>
  <c r="U347" i="21"/>
  <c r="T347" i="21"/>
  <c r="S347" i="21"/>
  <c r="R347" i="21"/>
  <c r="Q347" i="21"/>
  <c r="P347" i="21"/>
  <c r="N347" i="21"/>
  <c r="M347" i="21"/>
  <c r="L347" i="21"/>
  <c r="K347" i="21"/>
  <c r="J347" i="21"/>
  <c r="I347" i="21"/>
  <c r="H347" i="21"/>
  <c r="E347" i="21"/>
  <c r="D347" i="21"/>
  <c r="B347" i="21"/>
  <c r="A347" i="21"/>
  <c r="Y346" i="21"/>
  <c r="X346" i="21"/>
  <c r="W346" i="21"/>
  <c r="V346" i="21"/>
  <c r="U346" i="21"/>
  <c r="T346" i="21"/>
  <c r="S346" i="21"/>
  <c r="R346" i="21"/>
  <c r="Q346" i="21"/>
  <c r="P346" i="21"/>
  <c r="N346" i="21"/>
  <c r="M346" i="21"/>
  <c r="L346" i="21"/>
  <c r="K346" i="21"/>
  <c r="J346" i="21"/>
  <c r="I346" i="21"/>
  <c r="H346" i="21"/>
  <c r="E346" i="21"/>
  <c r="D346" i="21"/>
  <c r="B346" i="21"/>
  <c r="A346" i="21"/>
  <c r="Y345" i="21"/>
  <c r="X345" i="21"/>
  <c r="W345" i="21"/>
  <c r="V345" i="21"/>
  <c r="T345" i="21"/>
  <c r="S345" i="21"/>
  <c r="R345" i="21"/>
  <c r="Q345" i="21"/>
  <c r="P345" i="21"/>
  <c r="N345" i="21"/>
  <c r="M345" i="21"/>
  <c r="L345" i="21"/>
  <c r="K345" i="21"/>
  <c r="J345" i="21"/>
  <c r="I345" i="21"/>
  <c r="H345" i="21"/>
  <c r="G345" i="21"/>
  <c r="F345" i="21"/>
  <c r="E345" i="21"/>
  <c r="D345" i="21"/>
  <c r="B345" i="21"/>
  <c r="A345" i="21"/>
  <c r="Y344" i="21"/>
  <c r="X344" i="21"/>
  <c r="W344" i="21"/>
  <c r="V344" i="21"/>
  <c r="T344" i="21"/>
  <c r="S344" i="21"/>
  <c r="R344" i="21"/>
  <c r="Q344" i="21"/>
  <c r="P344" i="21"/>
  <c r="N344" i="21"/>
  <c r="M344" i="21"/>
  <c r="L344" i="21"/>
  <c r="K344" i="21"/>
  <c r="J344" i="21"/>
  <c r="I344" i="21"/>
  <c r="H344" i="21"/>
  <c r="G344" i="21"/>
  <c r="F344" i="21"/>
  <c r="E344" i="21"/>
  <c r="D344" i="21"/>
  <c r="B344" i="21"/>
  <c r="A344" i="21"/>
  <c r="Y343" i="21"/>
  <c r="X343" i="21"/>
  <c r="W343" i="21"/>
  <c r="V343" i="21"/>
  <c r="U343" i="21"/>
  <c r="T343" i="21"/>
  <c r="S343" i="21"/>
  <c r="R343" i="21"/>
  <c r="Q343" i="21"/>
  <c r="P343" i="21"/>
  <c r="N343" i="21"/>
  <c r="M343" i="21"/>
  <c r="L343" i="21"/>
  <c r="K343" i="21"/>
  <c r="J343" i="21"/>
  <c r="I343" i="21"/>
  <c r="H343" i="21"/>
  <c r="E343" i="21"/>
  <c r="D343" i="21"/>
  <c r="B343" i="21"/>
  <c r="A343" i="21"/>
  <c r="Y342" i="21"/>
  <c r="X342" i="21"/>
  <c r="W342" i="21"/>
  <c r="V342" i="21"/>
  <c r="T342" i="21"/>
  <c r="S342" i="21"/>
  <c r="R342" i="21"/>
  <c r="Q342" i="21"/>
  <c r="P342" i="21"/>
  <c r="N342" i="21"/>
  <c r="M342" i="21"/>
  <c r="L342" i="21"/>
  <c r="K342" i="21"/>
  <c r="J342" i="21"/>
  <c r="I342" i="21"/>
  <c r="H342" i="21"/>
  <c r="G342" i="21"/>
  <c r="F342" i="21"/>
  <c r="E342" i="21"/>
  <c r="D342" i="21"/>
  <c r="B342" i="21"/>
  <c r="A342" i="21"/>
  <c r="Y341" i="21"/>
  <c r="X341" i="21"/>
  <c r="W341" i="21"/>
  <c r="V341" i="21"/>
  <c r="U341" i="21"/>
  <c r="T341" i="21"/>
  <c r="S341" i="21"/>
  <c r="R341" i="21"/>
  <c r="Q341" i="21"/>
  <c r="P341" i="21"/>
  <c r="N341" i="21"/>
  <c r="M341" i="21"/>
  <c r="L341" i="21"/>
  <c r="K341" i="21"/>
  <c r="J341" i="21"/>
  <c r="I341" i="21"/>
  <c r="H341" i="21"/>
  <c r="E341" i="21"/>
  <c r="D341" i="21"/>
  <c r="B341" i="21"/>
  <c r="A341" i="21"/>
  <c r="Y340" i="21"/>
  <c r="X340" i="21"/>
  <c r="W340" i="21"/>
  <c r="V340" i="21"/>
  <c r="U340" i="21"/>
  <c r="T340" i="21"/>
  <c r="S340" i="21"/>
  <c r="R340" i="21"/>
  <c r="Q340" i="21"/>
  <c r="P340" i="21"/>
  <c r="N340" i="21"/>
  <c r="M340" i="21"/>
  <c r="L340" i="21"/>
  <c r="K340" i="21"/>
  <c r="J340" i="21"/>
  <c r="I340" i="21"/>
  <c r="H340" i="21"/>
  <c r="E340" i="21"/>
  <c r="D340" i="21"/>
  <c r="B340" i="21"/>
  <c r="A340" i="21"/>
  <c r="Y339" i="21"/>
  <c r="X339" i="21"/>
  <c r="W339" i="21"/>
  <c r="V339" i="21"/>
  <c r="T339" i="21"/>
  <c r="S339" i="21"/>
  <c r="R339" i="21"/>
  <c r="Q339" i="21"/>
  <c r="P339" i="21"/>
  <c r="N339" i="21"/>
  <c r="M339" i="21"/>
  <c r="L339" i="21"/>
  <c r="K339" i="21"/>
  <c r="J339" i="21"/>
  <c r="I339" i="21"/>
  <c r="H339" i="21"/>
  <c r="G339" i="21"/>
  <c r="F339" i="21"/>
  <c r="E339" i="21"/>
  <c r="D339" i="21"/>
  <c r="B339" i="21"/>
  <c r="A339" i="21"/>
  <c r="Y338" i="21"/>
  <c r="X338" i="21"/>
  <c r="W338" i="21"/>
  <c r="V338" i="21"/>
  <c r="T338" i="21"/>
  <c r="S338" i="21"/>
  <c r="R338" i="21"/>
  <c r="Q338" i="21"/>
  <c r="P338" i="21"/>
  <c r="N338" i="21"/>
  <c r="M338" i="21"/>
  <c r="L338" i="21"/>
  <c r="K338" i="21"/>
  <c r="J338" i="21"/>
  <c r="I338" i="21"/>
  <c r="H338" i="21"/>
  <c r="G338" i="21"/>
  <c r="F338" i="21"/>
  <c r="E338" i="21"/>
  <c r="D338" i="21"/>
  <c r="B338" i="21"/>
  <c r="A338" i="21"/>
  <c r="Y337" i="21"/>
  <c r="X337" i="21"/>
  <c r="W337" i="21"/>
  <c r="V337" i="21"/>
  <c r="T337" i="21"/>
  <c r="S337" i="21"/>
  <c r="R337" i="21"/>
  <c r="Q337" i="21"/>
  <c r="P337" i="21"/>
  <c r="N337" i="21"/>
  <c r="M337" i="21"/>
  <c r="L337" i="21"/>
  <c r="K337" i="21"/>
  <c r="J337" i="21"/>
  <c r="I337" i="21"/>
  <c r="H337" i="21"/>
  <c r="G337" i="21"/>
  <c r="F337" i="21"/>
  <c r="E337" i="21"/>
  <c r="D337" i="21"/>
  <c r="B337" i="21"/>
  <c r="A337" i="21"/>
  <c r="Y336" i="21"/>
  <c r="X336" i="21"/>
  <c r="W336" i="21"/>
  <c r="V336" i="21"/>
  <c r="T336" i="21"/>
  <c r="S336" i="21"/>
  <c r="R336" i="21"/>
  <c r="Q336" i="21"/>
  <c r="P336" i="21"/>
  <c r="N336" i="21"/>
  <c r="M336" i="21"/>
  <c r="L336" i="21"/>
  <c r="K336" i="21"/>
  <c r="J336" i="21"/>
  <c r="I336" i="21"/>
  <c r="H336" i="21"/>
  <c r="G336" i="21"/>
  <c r="F336" i="21"/>
  <c r="E336" i="21"/>
  <c r="D336" i="21"/>
  <c r="B336" i="21"/>
  <c r="A336" i="21"/>
  <c r="Y335" i="21"/>
  <c r="X335" i="21"/>
  <c r="W335" i="21"/>
  <c r="V335" i="21"/>
  <c r="T335" i="21"/>
  <c r="S335" i="21"/>
  <c r="R335" i="21"/>
  <c r="Q335" i="21"/>
  <c r="P335" i="21"/>
  <c r="N335" i="21"/>
  <c r="M335" i="21"/>
  <c r="L335" i="21"/>
  <c r="K335" i="21"/>
  <c r="J335" i="21"/>
  <c r="I335" i="21"/>
  <c r="H335" i="21"/>
  <c r="G335" i="21"/>
  <c r="F335" i="21"/>
  <c r="E335" i="21"/>
  <c r="D335" i="21"/>
  <c r="B335" i="21"/>
  <c r="A335" i="21"/>
  <c r="Y334" i="21"/>
  <c r="X334" i="21"/>
  <c r="W334" i="21"/>
  <c r="V334" i="21"/>
  <c r="T334" i="21"/>
  <c r="S334" i="21"/>
  <c r="R334" i="21"/>
  <c r="Q334" i="21"/>
  <c r="P334" i="21"/>
  <c r="N334" i="21"/>
  <c r="M334" i="21"/>
  <c r="L334" i="21"/>
  <c r="K334" i="21"/>
  <c r="J334" i="21"/>
  <c r="I334" i="21"/>
  <c r="H334" i="21"/>
  <c r="G334" i="21"/>
  <c r="F334" i="21"/>
  <c r="E334" i="21"/>
  <c r="D334" i="21"/>
  <c r="B334" i="21"/>
  <c r="A334" i="21"/>
  <c r="Y333" i="21"/>
  <c r="X333" i="21"/>
  <c r="W333" i="21"/>
  <c r="V333" i="21"/>
  <c r="T333" i="21"/>
  <c r="S333" i="21"/>
  <c r="R333" i="21"/>
  <c r="Q333" i="21"/>
  <c r="P333" i="21"/>
  <c r="N333" i="21"/>
  <c r="M333" i="21"/>
  <c r="L333" i="21"/>
  <c r="K333" i="21"/>
  <c r="J333" i="21"/>
  <c r="I333" i="21"/>
  <c r="H333" i="21"/>
  <c r="G333" i="21"/>
  <c r="F333" i="21"/>
  <c r="E333" i="21"/>
  <c r="D333" i="21"/>
  <c r="B333" i="21"/>
  <c r="A333" i="21"/>
  <c r="Y332" i="21"/>
  <c r="X332" i="21"/>
  <c r="W332" i="21"/>
  <c r="V332" i="21"/>
  <c r="T332" i="21"/>
  <c r="S332" i="21"/>
  <c r="R332" i="21"/>
  <c r="Q332" i="21"/>
  <c r="P332" i="21"/>
  <c r="N332" i="21"/>
  <c r="M332" i="21"/>
  <c r="L332" i="21"/>
  <c r="K332" i="21"/>
  <c r="J332" i="21"/>
  <c r="I332" i="21"/>
  <c r="H332" i="21"/>
  <c r="G332" i="21"/>
  <c r="F332" i="21"/>
  <c r="E332" i="21"/>
  <c r="D332" i="21"/>
  <c r="B332" i="21"/>
  <c r="A332" i="21"/>
  <c r="Y331" i="21"/>
  <c r="X331" i="21"/>
  <c r="W331" i="21"/>
  <c r="V331" i="21"/>
  <c r="T331" i="21"/>
  <c r="S331" i="21"/>
  <c r="R331" i="21"/>
  <c r="Q331" i="21"/>
  <c r="P331" i="21"/>
  <c r="N331" i="21"/>
  <c r="M331" i="21"/>
  <c r="L331" i="21"/>
  <c r="K331" i="21"/>
  <c r="J331" i="21"/>
  <c r="I331" i="21"/>
  <c r="H331" i="21"/>
  <c r="G331" i="21"/>
  <c r="F331" i="21"/>
  <c r="E331" i="21"/>
  <c r="D331" i="21"/>
  <c r="B331" i="21"/>
  <c r="A331" i="21"/>
  <c r="Y330" i="21"/>
  <c r="X330" i="21"/>
  <c r="W330" i="21"/>
  <c r="V330" i="21"/>
  <c r="T330" i="21"/>
  <c r="S330" i="21"/>
  <c r="R330" i="21"/>
  <c r="Q330" i="21"/>
  <c r="P330" i="21"/>
  <c r="N330" i="21"/>
  <c r="M330" i="21"/>
  <c r="L330" i="21"/>
  <c r="K330" i="21"/>
  <c r="J330" i="21"/>
  <c r="I330" i="21"/>
  <c r="H330" i="21"/>
  <c r="G330" i="21"/>
  <c r="F330" i="21"/>
  <c r="E330" i="21"/>
  <c r="D330" i="21"/>
  <c r="B330" i="21"/>
  <c r="A330" i="21"/>
  <c r="Y329" i="21"/>
  <c r="X329" i="21"/>
  <c r="W329" i="21"/>
  <c r="V329" i="21"/>
  <c r="U329" i="21"/>
  <c r="T329" i="21"/>
  <c r="S329" i="21"/>
  <c r="R329" i="21"/>
  <c r="Q329" i="21"/>
  <c r="P329" i="21"/>
  <c r="N329" i="21"/>
  <c r="M329" i="21"/>
  <c r="L329" i="21"/>
  <c r="K329" i="21"/>
  <c r="J329" i="21"/>
  <c r="I329" i="21"/>
  <c r="H329" i="21"/>
  <c r="E329" i="21"/>
  <c r="D329" i="21"/>
  <c r="B329" i="21"/>
  <c r="A329" i="21"/>
  <c r="Y328" i="21"/>
  <c r="X328" i="21"/>
  <c r="W328" i="21"/>
  <c r="V328" i="21"/>
  <c r="T328" i="21"/>
  <c r="S328" i="21"/>
  <c r="R328" i="21"/>
  <c r="Q328" i="21"/>
  <c r="P328" i="21"/>
  <c r="N328" i="21"/>
  <c r="M328" i="21"/>
  <c r="L328" i="21"/>
  <c r="K328" i="21"/>
  <c r="J328" i="21"/>
  <c r="I328" i="21"/>
  <c r="H328" i="21"/>
  <c r="G328" i="21"/>
  <c r="F328" i="21"/>
  <c r="E328" i="21"/>
  <c r="D328" i="21"/>
  <c r="B328" i="21"/>
  <c r="A328" i="21"/>
  <c r="Y327" i="21"/>
  <c r="X327" i="21"/>
  <c r="W327" i="21"/>
  <c r="V327" i="21"/>
  <c r="T327" i="21"/>
  <c r="S327" i="21"/>
  <c r="R327" i="21"/>
  <c r="Q327" i="21"/>
  <c r="P327" i="21"/>
  <c r="N327" i="21"/>
  <c r="M327" i="21"/>
  <c r="L327" i="21"/>
  <c r="K327" i="21"/>
  <c r="J327" i="21"/>
  <c r="I327" i="21"/>
  <c r="H327" i="21"/>
  <c r="G327" i="21"/>
  <c r="F327" i="21"/>
  <c r="E327" i="21"/>
  <c r="D327" i="21"/>
  <c r="B327" i="21"/>
  <c r="A327" i="21"/>
  <c r="Y326" i="21"/>
  <c r="X326" i="21"/>
  <c r="W326" i="21"/>
  <c r="V326" i="21"/>
  <c r="T326" i="21"/>
  <c r="S326" i="21"/>
  <c r="R326" i="21"/>
  <c r="Q326" i="21"/>
  <c r="P326" i="21"/>
  <c r="N326" i="21"/>
  <c r="M326" i="21"/>
  <c r="L326" i="21"/>
  <c r="K326" i="21"/>
  <c r="J326" i="21"/>
  <c r="I326" i="21"/>
  <c r="H326" i="21"/>
  <c r="G326" i="21"/>
  <c r="F326" i="21"/>
  <c r="E326" i="21"/>
  <c r="D326" i="21"/>
  <c r="B326" i="21"/>
  <c r="A326" i="21"/>
  <c r="Y325" i="21"/>
  <c r="X325" i="21"/>
  <c r="W325" i="21"/>
  <c r="V325" i="21"/>
  <c r="T325" i="21"/>
  <c r="S325" i="21"/>
  <c r="R325" i="21"/>
  <c r="Q325" i="21"/>
  <c r="P325" i="21"/>
  <c r="N325" i="21"/>
  <c r="M325" i="21"/>
  <c r="L325" i="21"/>
  <c r="K325" i="21"/>
  <c r="J325" i="21"/>
  <c r="I325" i="21"/>
  <c r="H325" i="21"/>
  <c r="G325" i="21"/>
  <c r="F325" i="21"/>
  <c r="E325" i="21"/>
  <c r="D325" i="21"/>
  <c r="B325" i="21"/>
  <c r="A325" i="21"/>
  <c r="Y324" i="21"/>
  <c r="X324" i="21"/>
  <c r="W324" i="21"/>
  <c r="V324" i="21"/>
  <c r="T324" i="21"/>
  <c r="S324" i="21"/>
  <c r="R324" i="21"/>
  <c r="Q324" i="21"/>
  <c r="P324" i="21"/>
  <c r="N324" i="21"/>
  <c r="M324" i="21"/>
  <c r="L324" i="21"/>
  <c r="K324" i="21"/>
  <c r="J324" i="21"/>
  <c r="I324" i="21"/>
  <c r="H324" i="21"/>
  <c r="G324" i="21"/>
  <c r="F324" i="21"/>
  <c r="E324" i="21"/>
  <c r="D324" i="21"/>
  <c r="B324" i="21"/>
  <c r="A324" i="21"/>
  <c r="Y323" i="21"/>
  <c r="X323" i="21"/>
  <c r="W323" i="21"/>
  <c r="V323" i="21"/>
  <c r="U323" i="21"/>
  <c r="T323" i="21"/>
  <c r="S323" i="21"/>
  <c r="R323" i="21"/>
  <c r="Q323" i="21"/>
  <c r="P323" i="21"/>
  <c r="N323" i="21"/>
  <c r="M323" i="21"/>
  <c r="L323" i="21"/>
  <c r="K323" i="21"/>
  <c r="J323" i="21"/>
  <c r="I323" i="21"/>
  <c r="H323" i="21"/>
  <c r="E323" i="21"/>
  <c r="D323" i="21"/>
  <c r="B323" i="21"/>
  <c r="A323" i="21"/>
  <c r="Y322" i="21"/>
  <c r="X322" i="21"/>
  <c r="W322" i="21"/>
  <c r="V322" i="21"/>
  <c r="T322" i="21"/>
  <c r="S322" i="21"/>
  <c r="R322" i="21"/>
  <c r="Q322" i="21"/>
  <c r="P322" i="21"/>
  <c r="N322" i="21"/>
  <c r="M322" i="21"/>
  <c r="L322" i="21"/>
  <c r="K322" i="21"/>
  <c r="J322" i="21"/>
  <c r="I322" i="21"/>
  <c r="H322" i="21"/>
  <c r="G322" i="21"/>
  <c r="F322" i="21"/>
  <c r="E322" i="21"/>
  <c r="D322" i="21"/>
  <c r="B322" i="21"/>
  <c r="A322" i="21"/>
  <c r="Y321" i="21"/>
  <c r="X321" i="21"/>
  <c r="W321" i="21"/>
  <c r="V321" i="21"/>
  <c r="T321" i="21"/>
  <c r="S321" i="21"/>
  <c r="R321" i="21"/>
  <c r="Q321" i="21"/>
  <c r="P321" i="21"/>
  <c r="N321" i="21"/>
  <c r="M321" i="21"/>
  <c r="L321" i="21"/>
  <c r="K321" i="21"/>
  <c r="J321" i="21"/>
  <c r="I321" i="21"/>
  <c r="H321" i="21"/>
  <c r="G321" i="21"/>
  <c r="F321" i="21"/>
  <c r="E321" i="21"/>
  <c r="D321" i="21"/>
  <c r="B321" i="21"/>
  <c r="A321" i="21"/>
  <c r="Y320" i="21"/>
  <c r="X320" i="21"/>
  <c r="W320" i="21"/>
  <c r="V320" i="21"/>
  <c r="T320" i="21"/>
  <c r="S320" i="21"/>
  <c r="R320" i="21"/>
  <c r="Q320" i="21"/>
  <c r="P320" i="21"/>
  <c r="N320" i="21"/>
  <c r="M320" i="21"/>
  <c r="L320" i="21"/>
  <c r="K320" i="21"/>
  <c r="J320" i="21"/>
  <c r="I320" i="21"/>
  <c r="H320" i="21"/>
  <c r="G320" i="21"/>
  <c r="F320" i="21"/>
  <c r="E320" i="21"/>
  <c r="D320" i="21"/>
  <c r="B320" i="21"/>
  <c r="A320" i="21"/>
  <c r="Y319" i="21"/>
  <c r="X319" i="21"/>
  <c r="W319" i="21"/>
  <c r="V319" i="21"/>
  <c r="T319" i="21"/>
  <c r="S319" i="21"/>
  <c r="R319" i="21"/>
  <c r="Q319" i="21"/>
  <c r="P319" i="21"/>
  <c r="N319" i="21"/>
  <c r="M319" i="21"/>
  <c r="L319" i="21"/>
  <c r="K319" i="21"/>
  <c r="J319" i="21"/>
  <c r="I319" i="21"/>
  <c r="H319" i="21"/>
  <c r="G319" i="21"/>
  <c r="F319" i="21"/>
  <c r="E319" i="21"/>
  <c r="D319" i="21"/>
  <c r="B319" i="21"/>
  <c r="A319" i="21"/>
  <c r="Y318" i="21"/>
  <c r="X318" i="21"/>
  <c r="W318" i="21"/>
  <c r="V318" i="21"/>
  <c r="T318" i="21"/>
  <c r="S318" i="21"/>
  <c r="R318" i="21"/>
  <c r="Q318" i="21"/>
  <c r="P318" i="21"/>
  <c r="N318" i="21"/>
  <c r="M318" i="21"/>
  <c r="L318" i="21"/>
  <c r="K318" i="21"/>
  <c r="J318" i="21"/>
  <c r="I318" i="21"/>
  <c r="H318" i="21"/>
  <c r="G318" i="21"/>
  <c r="F318" i="21"/>
  <c r="E318" i="21"/>
  <c r="D318" i="21"/>
  <c r="B318" i="21"/>
  <c r="A318" i="21"/>
  <c r="Y317" i="21"/>
  <c r="X317" i="21"/>
  <c r="W317" i="21"/>
  <c r="V317" i="21"/>
  <c r="T317" i="21"/>
  <c r="S317" i="21"/>
  <c r="R317" i="21"/>
  <c r="Q317" i="21"/>
  <c r="P317" i="21"/>
  <c r="N317" i="21"/>
  <c r="M317" i="21"/>
  <c r="L317" i="21"/>
  <c r="K317" i="21"/>
  <c r="J317" i="21"/>
  <c r="I317" i="21"/>
  <c r="H317" i="21"/>
  <c r="G317" i="21"/>
  <c r="F317" i="21"/>
  <c r="E317" i="21"/>
  <c r="D317" i="21"/>
  <c r="B317" i="21"/>
  <c r="A317" i="21"/>
  <c r="Y316" i="21"/>
  <c r="X316" i="21"/>
  <c r="W316" i="21"/>
  <c r="V316" i="21"/>
  <c r="T316" i="21"/>
  <c r="S316" i="21"/>
  <c r="R316" i="21"/>
  <c r="Q316" i="21"/>
  <c r="P316" i="21"/>
  <c r="N316" i="21"/>
  <c r="M316" i="21"/>
  <c r="L316" i="21"/>
  <c r="K316" i="21"/>
  <c r="J316" i="21"/>
  <c r="I316" i="21"/>
  <c r="H316" i="21"/>
  <c r="G316" i="21"/>
  <c r="F316" i="21"/>
  <c r="E316" i="21"/>
  <c r="D316" i="21"/>
  <c r="B316" i="21"/>
  <c r="A316" i="21"/>
  <c r="Y315" i="21"/>
  <c r="X315" i="21"/>
  <c r="W315" i="21"/>
  <c r="V315" i="21"/>
  <c r="T315" i="21"/>
  <c r="S315" i="21"/>
  <c r="R315" i="21"/>
  <c r="Q315" i="21"/>
  <c r="P315" i="21"/>
  <c r="N315" i="21"/>
  <c r="M315" i="21"/>
  <c r="L315" i="21"/>
  <c r="K315" i="21"/>
  <c r="J315" i="21"/>
  <c r="I315" i="21"/>
  <c r="H315" i="21"/>
  <c r="G315" i="21"/>
  <c r="F315" i="21"/>
  <c r="E315" i="21"/>
  <c r="D315" i="21"/>
  <c r="B315" i="21"/>
  <c r="A315" i="21"/>
  <c r="Y314" i="21"/>
  <c r="X314" i="21"/>
  <c r="W314" i="21"/>
  <c r="V314" i="21"/>
  <c r="T314" i="21"/>
  <c r="S314" i="21"/>
  <c r="R314" i="21"/>
  <c r="Q314" i="21"/>
  <c r="P314" i="21"/>
  <c r="N314" i="21"/>
  <c r="M314" i="21"/>
  <c r="L314" i="21"/>
  <c r="K314" i="21"/>
  <c r="J314" i="21"/>
  <c r="I314" i="21"/>
  <c r="H314" i="21"/>
  <c r="G314" i="21"/>
  <c r="F314" i="21"/>
  <c r="E314" i="21"/>
  <c r="D314" i="21"/>
  <c r="B314" i="21"/>
  <c r="A314" i="21"/>
  <c r="Y313" i="21"/>
  <c r="X313" i="21"/>
  <c r="W313" i="21"/>
  <c r="V313" i="21"/>
  <c r="T313" i="21"/>
  <c r="S313" i="21"/>
  <c r="R313" i="21"/>
  <c r="Q313" i="21"/>
  <c r="P313" i="21"/>
  <c r="N313" i="21"/>
  <c r="M313" i="21"/>
  <c r="L313" i="21"/>
  <c r="K313" i="21"/>
  <c r="J313" i="21"/>
  <c r="I313" i="21"/>
  <c r="H313" i="21"/>
  <c r="G313" i="21"/>
  <c r="F313" i="21"/>
  <c r="E313" i="21"/>
  <c r="D313" i="21"/>
  <c r="B313" i="21"/>
  <c r="A313" i="21"/>
  <c r="Y312" i="21"/>
  <c r="X312" i="21"/>
  <c r="W312" i="21"/>
  <c r="V312" i="21"/>
  <c r="T312" i="21"/>
  <c r="S312" i="21"/>
  <c r="R312" i="21"/>
  <c r="Q312" i="21"/>
  <c r="P312" i="21"/>
  <c r="N312" i="21"/>
  <c r="M312" i="21"/>
  <c r="L312" i="21"/>
  <c r="K312" i="21"/>
  <c r="J312" i="21"/>
  <c r="I312" i="21"/>
  <c r="H312" i="21"/>
  <c r="G312" i="21"/>
  <c r="F312" i="21"/>
  <c r="E312" i="21"/>
  <c r="D312" i="21"/>
  <c r="B312" i="21"/>
  <c r="A312" i="21"/>
  <c r="Y311" i="21"/>
  <c r="X311" i="21"/>
  <c r="W311" i="21"/>
  <c r="V311" i="21"/>
  <c r="T311" i="21"/>
  <c r="S311" i="21"/>
  <c r="R311" i="21"/>
  <c r="Q311" i="21"/>
  <c r="P311" i="21"/>
  <c r="N311" i="21"/>
  <c r="M311" i="21"/>
  <c r="L311" i="21"/>
  <c r="K311" i="21"/>
  <c r="J311" i="21"/>
  <c r="I311" i="21"/>
  <c r="H311" i="21"/>
  <c r="G311" i="21"/>
  <c r="F311" i="21"/>
  <c r="E311" i="21"/>
  <c r="D311" i="21"/>
  <c r="B311" i="21"/>
  <c r="A311" i="21"/>
  <c r="Y310" i="21"/>
  <c r="X310" i="21"/>
  <c r="W310" i="21"/>
  <c r="V310" i="21"/>
  <c r="T310" i="21"/>
  <c r="S310" i="21"/>
  <c r="R310" i="21"/>
  <c r="Q310" i="21"/>
  <c r="P310" i="21"/>
  <c r="N310" i="21"/>
  <c r="M310" i="21"/>
  <c r="L310" i="21"/>
  <c r="K310" i="21"/>
  <c r="J310" i="21"/>
  <c r="I310" i="21"/>
  <c r="H310" i="21"/>
  <c r="G310" i="21"/>
  <c r="F310" i="21"/>
  <c r="E310" i="21"/>
  <c r="D310" i="21"/>
  <c r="B310" i="21"/>
  <c r="A310" i="21"/>
  <c r="Y309" i="21"/>
  <c r="X309" i="21"/>
  <c r="W309" i="21"/>
  <c r="V309" i="21"/>
  <c r="T309" i="21"/>
  <c r="S309" i="21"/>
  <c r="R309" i="21"/>
  <c r="Q309" i="21"/>
  <c r="P309" i="21"/>
  <c r="N309" i="21"/>
  <c r="M309" i="21"/>
  <c r="L309" i="21"/>
  <c r="K309" i="21"/>
  <c r="J309" i="21"/>
  <c r="I309" i="21"/>
  <c r="H309" i="21"/>
  <c r="G309" i="21"/>
  <c r="F309" i="21"/>
  <c r="E309" i="21"/>
  <c r="D309" i="21"/>
  <c r="B309" i="21"/>
  <c r="A309" i="21"/>
  <c r="Y308" i="21"/>
  <c r="X308" i="21"/>
  <c r="W308" i="21"/>
  <c r="V308" i="21"/>
  <c r="T308" i="21"/>
  <c r="S308" i="21"/>
  <c r="R308" i="21"/>
  <c r="Q308" i="21"/>
  <c r="P308" i="21"/>
  <c r="N308" i="21"/>
  <c r="M308" i="21"/>
  <c r="L308" i="21"/>
  <c r="K308" i="21"/>
  <c r="J308" i="21"/>
  <c r="I308" i="21"/>
  <c r="H308" i="21"/>
  <c r="G308" i="21"/>
  <c r="F308" i="21"/>
  <c r="E308" i="21"/>
  <c r="D308" i="21"/>
  <c r="B308" i="21"/>
  <c r="A308" i="21"/>
  <c r="Y307" i="21"/>
  <c r="X307" i="21"/>
  <c r="W307" i="21"/>
  <c r="V307" i="21"/>
  <c r="U307" i="21"/>
  <c r="T307" i="21"/>
  <c r="S307" i="21"/>
  <c r="R307" i="21"/>
  <c r="Q307" i="21"/>
  <c r="P307" i="21"/>
  <c r="N307" i="21"/>
  <c r="M307" i="21"/>
  <c r="L307" i="21"/>
  <c r="K307" i="21"/>
  <c r="J307" i="21"/>
  <c r="I307" i="21"/>
  <c r="H307" i="21"/>
  <c r="E307" i="21"/>
  <c r="D307" i="21"/>
  <c r="B307" i="21"/>
  <c r="A307" i="21"/>
  <c r="Y306" i="21"/>
  <c r="X306" i="21"/>
  <c r="W306" i="21"/>
  <c r="V306" i="21"/>
  <c r="T306" i="21"/>
  <c r="S306" i="21"/>
  <c r="R306" i="21"/>
  <c r="Q306" i="21"/>
  <c r="P306" i="21"/>
  <c r="N306" i="21"/>
  <c r="M306" i="21"/>
  <c r="L306" i="21"/>
  <c r="K306" i="21"/>
  <c r="J306" i="21"/>
  <c r="I306" i="21"/>
  <c r="H306" i="21"/>
  <c r="G306" i="21"/>
  <c r="F306" i="21"/>
  <c r="E306" i="21"/>
  <c r="D306" i="21"/>
  <c r="B306" i="21"/>
  <c r="A306" i="21"/>
  <c r="Y305" i="21"/>
  <c r="X305" i="21"/>
  <c r="W305" i="21"/>
  <c r="V305" i="21"/>
  <c r="T305" i="21"/>
  <c r="S305" i="21"/>
  <c r="R305" i="21"/>
  <c r="Q305" i="21"/>
  <c r="P305" i="21"/>
  <c r="N305" i="21"/>
  <c r="M305" i="21"/>
  <c r="L305" i="21"/>
  <c r="K305" i="21"/>
  <c r="J305" i="21"/>
  <c r="I305" i="21"/>
  <c r="H305" i="21"/>
  <c r="G305" i="21"/>
  <c r="F305" i="21"/>
  <c r="E305" i="21"/>
  <c r="D305" i="21"/>
  <c r="B305" i="21"/>
  <c r="A305" i="21"/>
  <c r="Y304" i="21"/>
  <c r="X304" i="21"/>
  <c r="W304" i="21"/>
  <c r="V304" i="21"/>
  <c r="T304" i="21"/>
  <c r="S304" i="21"/>
  <c r="R304" i="21"/>
  <c r="Q304" i="21"/>
  <c r="P304" i="21"/>
  <c r="N304" i="21"/>
  <c r="M304" i="21"/>
  <c r="L304" i="21"/>
  <c r="K304" i="21"/>
  <c r="J304" i="21"/>
  <c r="I304" i="21"/>
  <c r="H304" i="21"/>
  <c r="G304" i="21"/>
  <c r="F304" i="21"/>
  <c r="E304" i="21"/>
  <c r="D304" i="21"/>
  <c r="B304" i="21"/>
  <c r="A304" i="21"/>
  <c r="Y303" i="21"/>
  <c r="X303" i="21"/>
  <c r="W303" i="21"/>
  <c r="V303" i="21"/>
  <c r="T303" i="21"/>
  <c r="S303" i="21"/>
  <c r="R303" i="21"/>
  <c r="Q303" i="21"/>
  <c r="P303" i="21"/>
  <c r="N303" i="21"/>
  <c r="M303" i="21"/>
  <c r="L303" i="21"/>
  <c r="K303" i="21"/>
  <c r="J303" i="21"/>
  <c r="I303" i="21"/>
  <c r="H303" i="21"/>
  <c r="G303" i="21"/>
  <c r="F303" i="21"/>
  <c r="E303" i="21"/>
  <c r="D303" i="21"/>
  <c r="B303" i="21"/>
  <c r="A303" i="21"/>
  <c r="Y302" i="21"/>
  <c r="X302" i="21"/>
  <c r="W302" i="21"/>
  <c r="V302" i="21"/>
  <c r="T302" i="21"/>
  <c r="S302" i="21"/>
  <c r="R302" i="21"/>
  <c r="Q302" i="21"/>
  <c r="P302" i="21"/>
  <c r="N302" i="21"/>
  <c r="M302" i="21"/>
  <c r="L302" i="21"/>
  <c r="K302" i="21"/>
  <c r="J302" i="21"/>
  <c r="I302" i="21"/>
  <c r="H302" i="21"/>
  <c r="G302" i="21"/>
  <c r="F302" i="21"/>
  <c r="E302" i="21"/>
  <c r="D302" i="21"/>
  <c r="B302" i="21"/>
  <c r="A302" i="21"/>
  <c r="Y301" i="21"/>
  <c r="X301" i="21"/>
  <c r="W301" i="21"/>
  <c r="V301" i="21"/>
  <c r="T301" i="21"/>
  <c r="S301" i="21"/>
  <c r="R301" i="21"/>
  <c r="Q301" i="21"/>
  <c r="P301" i="21"/>
  <c r="N301" i="21"/>
  <c r="M301" i="21"/>
  <c r="L301" i="21"/>
  <c r="K301" i="21"/>
  <c r="J301" i="21"/>
  <c r="I301" i="21"/>
  <c r="H301" i="21"/>
  <c r="G301" i="21"/>
  <c r="F301" i="21"/>
  <c r="E301" i="21"/>
  <c r="D301" i="21"/>
  <c r="B301" i="21"/>
  <c r="A301" i="21"/>
  <c r="Y300" i="21"/>
  <c r="X300" i="21"/>
  <c r="W300" i="21"/>
  <c r="V300" i="21"/>
  <c r="T300" i="21"/>
  <c r="S300" i="21"/>
  <c r="R300" i="21"/>
  <c r="Q300" i="21"/>
  <c r="P300" i="21"/>
  <c r="N300" i="21"/>
  <c r="M300" i="21"/>
  <c r="L300" i="21"/>
  <c r="K300" i="21"/>
  <c r="J300" i="21"/>
  <c r="I300" i="21"/>
  <c r="H300" i="21"/>
  <c r="G300" i="21"/>
  <c r="F300" i="21"/>
  <c r="E300" i="21"/>
  <c r="D300" i="21"/>
  <c r="B300" i="21"/>
  <c r="A300" i="21"/>
  <c r="Y299" i="21"/>
  <c r="X299" i="21"/>
  <c r="W299" i="21"/>
  <c r="V299" i="21"/>
  <c r="T299" i="21"/>
  <c r="S299" i="21"/>
  <c r="R299" i="21"/>
  <c r="Q299" i="21"/>
  <c r="P299" i="21"/>
  <c r="N299" i="21"/>
  <c r="M299" i="21"/>
  <c r="L299" i="21"/>
  <c r="K299" i="21"/>
  <c r="J299" i="21"/>
  <c r="I299" i="21"/>
  <c r="H299" i="21"/>
  <c r="G299" i="21"/>
  <c r="F299" i="21"/>
  <c r="E299" i="21"/>
  <c r="D299" i="21"/>
  <c r="B299" i="21"/>
  <c r="A299" i="21"/>
  <c r="Y298" i="21"/>
  <c r="X298" i="21"/>
  <c r="W298" i="21"/>
  <c r="V298" i="21"/>
  <c r="T298" i="21"/>
  <c r="S298" i="21"/>
  <c r="R298" i="21"/>
  <c r="Q298" i="21"/>
  <c r="P298" i="21"/>
  <c r="N298" i="21"/>
  <c r="M298" i="21"/>
  <c r="L298" i="21"/>
  <c r="K298" i="21"/>
  <c r="J298" i="21"/>
  <c r="I298" i="21"/>
  <c r="H298" i="21"/>
  <c r="G298" i="21"/>
  <c r="F298" i="21"/>
  <c r="E298" i="21"/>
  <c r="D298" i="21"/>
  <c r="B298" i="21"/>
  <c r="A298" i="21"/>
  <c r="Y297" i="21"/>
  <c r="X297" i="21"/>
  <c r="W297" i="21"/>
  <c r="V297" i="21"/>
  <c r="T297" i="21"/>
  <c r="S297" i="21"/>
  <c r="R297" i="21"/>
  <c r="Q297" i="21"/>
  <c r="P297" i="21"/>
  <c r="N297" i="21"/>
  <c r="M297" i="21"/>
  <c r="L297" i="21"/>
  <c r="K297" i="21"/>
  <c r="J297" i="21"/>
  <c r="I297" i="21"/>
  <c r="H297" i="21"/>
  <c r="G297" i="21"/>
  <c r="F297" i="21"/>
  <c r="E297" i="21"/>
  <c r="D297" i="21"/>
  <c r="B297" i="21"/>
  <c r="A297" i="21"/>
  <c r="Y296" i="21"/>
  <c r="X296" i="21"/>
  <c r="W296" i="21"/>
  <c r="V296" i="21"/>
  <c r="T296" i="21"/>
  <c r="S296" i="21"/>
  <c r="R296" i="21"/>
  <c r="Q296" i="21"/>
  <c r="P296" i="21"/>
  <c r="N296" i="21"/>
  <c r="M296" i="21"/>
  <c r="L296" i="21"/>
  <c r="K296" i="21"/>
  <c r="J296" i="21"/>
  <c r="I296" i="21"/>
  <c r="H296" i="21"/>
  <c r="G296" i="21"/>
  <c r="F296" i="21"/>
  <c r="E296" i="21"/>
  <c r="D296" i="21"/>
  <c r="B296" i="21"/>
  <c r="A296" i="21"/>
  <c r="Y295" i="21"/>
  <c r="X295" i="21"/>
  <c r="W295" i="21"/>
  <c r="V295" i="21"/>
  <c r="T295" i="21"/>
  <c r="S295" i="21"/>
  <c r="R295" i="21"/>
  <c r="Q295" i="21"/>
  <c r="P295" i="21"/>
  <c r="N295" i="21"/>
  <c r="M295" i="21"/>
  <c r="L295" i="21"/>
  <c r="K295" i="21"/>
  <c r="J295" i="21"/>
  <c r="I295" i="21"/>
  <c r="H295" i="21"/>
  <c r="G295" i="21"/>
  <c r="F295" i="21"/>
  <c r="E295" i="21"/>
  <c r="D295" i="21"/>
  <c r="B295" i="21"/>
  <c r="A295" i="21"/>
  <c r="Y294" i="21"/>
  <c r="X294" i="21"/>
  <c r="W294" i="21"/>
  <c r="V294" i="21"/>
  <c r="T294" i="21"/>
  <c r="S294" i="21"/>
  <c r="R294" i="21"/>
  <c r="Q294" i="21"/>
  <c r="P294" i="21"/>
  <c r="N294" i="21"/>
  <c r="M294" i="21"/>
  <c r="L294" i="21"/>
  <c r="K294" i="21"/>
  <c r="J294" i="21"/>
  <c r="I294" i="21"/>
  <c r="H294" i="21"/>
  <c r="G294" i="21"/>
  <c r="F294" i="21"/>
  <c r="E294" i="21"/>
  <c r="D294" i="21"/>
  <c r="B294" i="21"/>
  <c r="A294" i="21"/>
  <c r="Y293" i="21"/>
  <c r="X293" i="21"/>
  <c r="W293" i="21"/>
  <c r="V293" i="21"/>
  <c r="T293" i="21"/>
  <c r="S293" i="21"/>
  <c r="R293" i="21"/>
  <c r="Q293" i="21"/>
  <c r="P293" i="21"/>
  <c r="N293" i="21"/>
  <c r="M293" i="21"/>
  <c r="L293" i="21"/>
  <c r="K293" i="21"/>
  <c r="J293" i="21"/>
  <c r="I293" i="21"/>
  <c r="H293" i="21"/>
  <c r="G293" i="21"/>
  <c r="F293" i="21"/>
  <c r="E293" i="21"/>
  <c r="D293" i="21"/>
  <c r="B293" i="21"/>
  <c r="A293" i="21"/>
  <c r="Y292" i="21"/>
  <c r="X292" i="21"/>
  <c r="W292" i="21"/>
  <c r="V292" i="21"/>
  <c r="U292" i="21"/>
  <c r="T292" i="21"/>
  <c r="S292" i="21"/>
  <c r="R292" i="21"/>
  <c r="Q292" i="21"/>
  <c r="P292" i="21"/>
  <c r="N292" i="21"/>
  <c r="M292" i="21"/>
  <c r="L292" i="21"/>
  <c r="K292" i="21"/>
  <c r="J292" i="21"/>
  <c r="I292" i="21"/>
  <c r="H292" i="21"/>
  <c r="E292" i="21"/>
  <c r="D292" i="21"/>
  <c r="B292" i="21"/>
  <c r="A292" i="21"/>
  <c r="Y291" i="21"/>
  <c r="X291" i="21"/>
  <c r="W291" i="21"/>
  <c r="V291" i="21"/>
  <c r="T291" i="21"/>
  <c r="S291" i="21"/>
  <c r="R291" i="21"/>
  <c r="Q291" i="21"/>
  <c r="P291" i="21"/>
  <c r="N291" i="21"/>
  <c r="M291" i="21"/>
  <c r="L291" i="21"/>
  <c r="K291" i="21"/>
  <c r="J291" i="21"/>
  <c r="I291" i="21"/>
  <c r="H291" i="21"/>
  <c r="G291" i="21"/>
  <c r="F291" i="21"/>
  <c r="E291" i="21"/>
  <c r="D291" i="21"/>
  <c r="B291" i="21"/>
  <c r="A291" i="21"/>
  <c r="Y290" i="21"/>
  <c r="X290" i="21"/>
  <c r="W290" i="21"/>
  <c r="V290" i="21"/>
  <c r="T290" i="21"/>
  <c r="S290" i="21"/>
  <c r="R290" i="21"/>
  <c r="Q290" i="21"/>
  <c r="P290" i="21"/>
  <c r="N290" i="21"/>
  <c r="M290" i="21"/>
  <c r="L290" i="21"/>
  <c r="K290" i="21"/>
  <c r="J290" i="21"/>
  <c r="I290" i="21"/>
  <c r="H290" i="21"/>
  <c r="G290" i="21"/>
  <c r="F290" i="21"/>
  <c r="E290" i="21"/>
  <c r="D290" i="21"/>
  <c r="B290" i="21"/>
  <c r="A290" i="21"/>
  <c r="Y289" i="21"/>
  <c r="X289" i="21"/>
  <c r="W289" i="21"/>
  <c r="V289" i="21"/>
  <c r="T289" i="21"/>
  <c r="S289" i="21"/>
  <c r="R289" i="21"/>
  <c r="Q289" i="21"/>
  <c r="P289" i="21"/>
  <c r="N289" i="21"/>
  <c r="M289" i="21"/>
  <c r="L289" i="21"/>
  <c r="K289" i="21"/>
  <c r="J289" i="21"/>
  <c r="I289" i="21"/>
  <c r="H289" i="21"/>
  <c r="G289" i="21"/>
  <c r="F289" i="21"/>
  <c r="E289" i="21"/>
  <c r="D289" i="21"/>
  <c r="B289" i="21"/>
  <c r="A289" i="21"/>
  <c r="Y288" i="21"/>
  <c r="X288" i="21"/>
  <c r="W288" i="21"/>
  <c r="V288" i="21"/>
  <c r="T288" i="21"/>
  <c r="S288" i="21"/>
  <c r="R288" i="21"/>
  <c r="Q288" i="21"/>
  <c r="P288" i="21"/>
  <c r="N288" i="21"/>
  <c r="M288" i="21"/>
  <c r="L288" i="21"/>
  <c r="K288" i="21"/>
  <c r="J288" i="21"/>
  <c r="I288" i="21"/>
  <c r="H288" i="21"/>
  <c r="G288" i="21"/>
  <c r="F288" i="21"/>
  <c r="E288" i="21"/>
  <c r="D288" i="21"/>
  <c r="B288" i="21"/>
  <c r="A288" i="21"/>
  <c r="Y287" i="21"/>
  <c r="X287" i="21"/>
  <c r="W287" i="21"/>
  <c r="V287" i="21"/>
  <c r="U287" i="21"/>
  <c r="T287" i="21"/>
  <c r="S287" i="21"/>
  <c r="R287" i="21"/>
  <c r="Q287" i="21"/>
  <c r="P287" i="21"/>
  <c r="N287" i="21"/>
  <c r="M287" i="21"/>
  <c r="L287" i="21"/>
  <c r="K287" i="21"/>
  <c r="J287" i="21"/>
  <c r="I287" i="21"/>
  <c r="H287" i="21"/>
  <c r="E287" i="21"/>
  <c r="D287" i="21"/>
  <c r="B287" i="21"/>
  <c r="A287" i="21"/>
  <c r="Y286" i="21"/>
  <c r="X286" i="21"/>
  <c r="W286" i="21"/>
  <c r="V286" i="21"/>
  <c r="T286" i="21"/>
  <c r="S286" i="21"/>
  <c r="R286" i="21"/>
  <c r="Q286" i="21"/>
  <c r="P286" i="21"/>
  <c r="N286" i="21"/>
  <c r="M286" i="21"/>
  <c r="L286" i="21"/>
  <c r="K286" i="21"/>
  <c r="J286" i="21"/>
  <c r="I286" i="21"/>
  <c r="H286" i="21"/>
  <c r="G286" i="21"/>
  <c r="F286" i="21"/>
  <c r="E286" i="21"/>
  <c r="D286" i="21"/>
  <c r="B286" i="21"/>
  <c r="A286" i="21"/>
  <c r="AF285" i="21"/>
  <c r="AE285" i="21"/>
  <c r="Y285" i="21"/>
  <c r="X285" i="21"/>
  <c r="W285" i="21"/>
  <c r="V285" i="21"/>
  <c r="T285" i="21"/>
  <c r="S285" i="21"/>
  <c r="R285" i="21"/>
  <c r="Q285" i="21"/>
  <c r="P285" i="21"/>
  <c r="N285" i="21"/>
  <c r="M285" i="21"/>
  <c r="L285" i="21"/>
  <c r="K285" i="21"/>
  <c r="J285" i="21"/>
  <c r="I285" i="21"/>
  <c r="H285" i="21"/>
  <c r="G285" i="21"/>
  <c r="F285" i="21"/>
  <c r="E285" i="21"/>
  <c r="D285" i="21"/>
  <c r="B285" i="21"/>
  <c r="A285" i="21"/>
  <c r="AF284" i="21"/>
  <c r="AE284" i="21"/>
  <c r="Y284" i="21"/>
  <c r="X284" i="21"/>
  <c r="W284" i="21"/>
  <c r="V284" i="21"/>
  <c r="T284" i="21"/>
  <c r="S284" i="21"/>
  <c r="R284" i="21"/>
  <c r="Q284" i="21"/>
  <c r="P284" i="21"/>
  <c r="N284" i="21"/>
  <c r="M284" i="21"/>
  <c r="L284" i="21"/>
  <c r="K284" i="21"/>
  <c r="J284" i="21"/>
  <c r="I284" i="21"/>
  <c r="H284" i="21"/>
  <c r="G284" i="21"/>
  <c r="F284" i="21"/>
  <c r="E284" i="21"/>
  <c r="D284" i="21"/>
  <c r="B284" i="21"/>
  <c r="A284" i="21"/>
  <c r="AF283" i="21"/>
  <c r="AE283" i="21"/>
  <c r="Y283" i="21"/>
  <c r="X283" i="21"/>
  <c r="W283" i="21"/>
  <c r="V283" i="21"/>
  <c r="T283" i="21"/>
  <c r="S283" i="21"/>
  <c r="R283" i="21"/>
  <c r="Q283" i="21"/>
  <c r="P283" i="21"/>
  <c r="N283" i="21"/>
  <c r="M283" i="21"/>
  <c r="L283" i="21"/>
  <c r="K283" i="21"/>
  <c r="J283" i="21"/>
  <c r="I283" i="21"/>
  <c r="H283" i="21"/>
  <c r="G283" i="21"/>
  <c r="F283" i="21"/>
  <c r="E283" i="21"/>
  <c r="D283" i="21"/>
  <c r="B283" i="21"/>
  <c r="A283" i="21"/>
  <c r="AF282" i="21"/>
  <c r="AE282" i="21"/>
  <c r="Y282" i="21"/>
  <c r="X282" i="21"/>
  <c r="W282" i="21"/>
  <c r="V282" i="21"/>
  <c r="T282" i="21"/>
  <c r="S282" i="21"/>
  <c r="R282" i="21"/>
  <c r="Q282" i="21"/>
  <c r="P282" i="21"/>
  <c r="N282" i="21"/>
  <c r="M282" i="21"/>
  <c r="L282" i="21"/>
  <c r="K282" i="21"/>
  <c r="J282" i="21"/>
  <c r="I282" i="21"/>
  <c r="H282" i="21"/>
  <c r="G282" i="21"/>
  <c r="F282" i="21"/>
  <c r="E282" i="21"/>
  <c r="D282" i="21"/>
  <c r="B282" i="21"/>
  <c r="A282" i="21"/>
  <c r="AF281" i="21"/>
  <c r="AE281" i="21"/>
  <c r="Y281" i="21"/>
  <c r="X281" i="21"/>
  <c r="W281" i="21"/>
  <c r="V281" i="21"/>
  <c r="T281" i="21"/>
  <c r="S281" i="21"/>
  <c r="R281" i="21"/>
  <c r="Q281" i="21"/>
  <c r="P281" i="21"/>
  <c r="N281" i="21"/>
  <c r="M281" i="21"/>
  <c r="L281" i="21"/>
  <c r="K281" i="21"/>
  <c r="J281" i="21"/>
  <c r="I281" i="21"/>
  <c r="H281" i="21"/>
  <c r="G281" i="21"/>
  <c r="F281" i="21"/>
  <c r="E281" i="21"/>
  <c r="D281" i="21"/>
  <c r="B281" i="21"/>
  <c r="A281" i="21"/>
  <c r="AF280" i="21"/>
  <c r="AE280" i="21"/>
  <c r="Y280" i="21"/>
  <c r="X280" i="21"/>
  <c r="W280" i="21"/>
  <c r="V280" i="21"/>
  <c r="T280" i="21"/>
  <c r="S280" i="21"/>
  <c r="R280" i="21"/>
  <c r="Q280" i="21"/>
  <c r="P280" i="21"/>
  <c r="N280" i="21"/>
  <c r="M280" i="21"/>
  <c r="L280" i="21"/>
  <c r="K280" i="21"/>
  <c r="J280" i="21"/>
  <c r="I280" i="21"/>
  <c r="H280" i="21"/>
  <c r="G280" i="21"/>
  <c r="F280" i="21"/>
  <c r="E280" i="21"/>
  <c r="D280" i="21"/>
  <c r="B280" i="21"/>
  <c r="A280" i="21"/>
  <c r="AF279" i="21"/>
  <c r="AE279" i="21"/>
  <c r="Y279" i="21"/>
  <c r="X279" i="21"/>
  <c r="W279" i="21"/>
  <c r="V279" i="21"/>
  <c r="T279" i="21"/>
  <c r="S279" i="21"/>
  <c r="R279" i="21"/>
  <c r="Q279" i="21"/>
  <c r="P279" i="21"/>
  <c r="N279" i="21"/>
  <c r="M279" i="21"/>
  <c r="L279" i="21"/>
  <c r="K279" i="21"/>
  <c r="J279" i="21"/>
  <c r="I279" i="21"/>
  <c r="H279" i="21"/>
  <c r="G279" i="21"/>
  <c r="F279" i="21"/>
  <c r="E279" i="21"/>
  <c r="D279" i="21"/>
  <c r="B279" i="21"/>
  <c r="A279" i="21"/>
  <c r="AF278" i="21"/>
  <c r="AE278" i="21"/>
  <c r="Y278" i="21"/>
  <c r="X278" i="21"/>
  <c r="W278" i="21"/>
  <c r="V278" i="21"/>
  <c r="T278" i="21"/>
  <c r="S278" i="21"/>
  <c r="R278" i="21"/>
  <c r="Q278" i="21"/>
  <c r="P278" i="21"/>
  <c r="N278" i="21"/>
  <c r="M278" i="21"/>
  <c r="L278" i="21"/>
  <c r="K278" i="21"/>
  <c r="J278" i="21"/>
  <c r="I278" i="21"/>
  <c r="H278" i="21"/>
  <c r="G278" i="21"/>
  <c r="F278" i="21"/>
  <c r="E278" i="21"/>
  <c r="D278" i="21"/>
  <c r="B278" i="21"/>
  <c r="A278" i="21"/>
  <c r="AF277" i="21"/>
  <c r="AE277" i="21"/>
  <c r="Y277" i="21"/>
  <c r="X277" i="21"/>
  <c r="W277" i="21"/>
  <c r="V277" i="21"/>
  <c r="T277" i="21"/>
  <c r="S277" i="21"/>
  <c r="R277" i="21"/>
  <c r="Q277" i="21"/>
  <c r="P277" i="21"/>
  <c r="N277" i="21"/>
  <c r="M277" i="21"/>
  <c r="L277" i="21"/>
  <c r="K277" i="21"/>
  <c r="J277" i="21"/>
  <c r="I277" i="21"/>
  <c r="H277" i="21"/>
  <c r="G277" i="21"/>
  <c r="F277" i="21"/>
  <c r="E277" i="21"/>
  <c r="D277" i="21"/>
  <c r="B277" i="21"/>
  <c r="A277" i="21"/>
  <c r="AF276" i="21"/>
  <c r="AE276" i="21"/>
  <c r="Y276" i="21"/>
  <c r="X276" i="21"/>
  <c r="W276" i="21"/>
  <c r="V276" i="21"/>
  <c r="T276" i="21"/>
  <c r="S276" i="21"/>
  <c r="R276" i="21"/>
  <c r="Q276" i="21"/>
  <c r="P276" i="21"/>
  <c r="N276" i="21"/>
  <c r="M276" i="21"/>
  <c r="L276" i="21"/>
  <c r="K276" i="21"/>
  <c r="J276" i="21"/>
  <c r="I276" i="21"/>
  <c r="H276" i="21"/>
  <c r="G276" i="21"/>
  <c r="F276" i="21"/>
  <c r="E276" i="21"/>
  <c r="D276" i="21"/>
  <c r="B276" i="21"/>
  <c r="A276" i="21"/>
  <c r="AF275" i="21"/>
  <c r="AE275" i="21"/>
  <c r="Y275" i="21"/>
  <c r="X275" i="21"/>
  <c r="W275" i="21"/>
  <c r="V275" i="21"/>
  <c r="T275" i="21"/>
  <c r="S275" i="21"/>
  <c r="R275" i="21"/>
  <c r="Q275" i="21"/>
  <c r="P275" i="21"/>
  <c r="N275" i="21"/>
  <c r="M275" i="21"/>
  <c r="L275" i="21"/>
  <c r="K275" i="21"/>
  <c r="J275" i="21"/>
  <c r="I275" i="21"/>
  <c r="H275" i="21"/>
  <c r="G275" i="21"/>
  <c r="F275" i="21"/>
  <c r="E275" i="21"/>
  <c r="D275" i="21"/>
  <c r="B275" i="21"/>
  <c r="A275" i="21"/>
  <c r="AF274" i="21"/>
  <c r="AE274" i="21"/>
  <c r="Y274" i="21"/>
  <c r="X274" i="21"/>
  <c r="W274" i="21"/>
  <c r="V274" i="21"/>
  <c r="T274" i="21"/>
  <c r="S274" i="21"/>
  <c r="R274" i="21"/>
  <c r="Q274" i="21"/>
  <c r="P274" i="21"/>
  <c r="N274" i="21"/>
  <c r="M274" i="21"/>
  <c r="L274" i="21"/>
  <c r="K274" i="21"/>
  <c r="J274" i="21"/>
  <c r="I274" i="21"/>
  <c r="H274" i="21"/>
  <c r="G274" i="21"/>
  <c r="F274" i="21"/>
  <c r="E274" i="21"/>
  <c r="D274" i="21"/>
  <c r="B274" i="21"/>
  <c r="A274" i="21"/>
  <c r="AF273" i="21"/>
  <c r="AE273" i="21"/>
  <c r="Y273" i="21"/>
  <c r="X273" i="21"/>
  <c r="W273" i="21"/>
  <c r="V273" i="21"/>
  <c r="T273" i="21"/>
  <c r="S273" i="21"/>
  <c r="R273" i="21"/>
  <c r="Q273" i="21"/>
  <c r="P273" i="21"/>
  <c r="N273" i="21"/>
  <c r="M273" i="21"/>
  <c r="L273" i="21"/>
  <c r="K273" i="21"/>
  <c r="J273" i="21"/>
  <c r="I273" i="21"/>
  <c r="H273" i="21"/>
  <c r="G273" i="21"/>
  <c r="F273" i="21"/>
  <c r="E273" i="21"/>
  <c r="D273" i="21"/>
  <c r="B273" i="21"/>
  <c r="A273" i="21"/>
  <c r="AF272" i="21"/>
  <c r="AE272" i="21"/>
  <c r="Y272" i="21"/>
  <c r="X272" i="21"/>
  <c r="W272" i="21"/>
  <c r="V272" i="21"/>
  <c r="T272" i="21"/>
  <c r="S272" i="21"/>
  <c r="R272" i="21"/>
  <c r="Q272" i="21"/>
  <c r="P272" i="21"/>
  <c r="N272" i="21"/>
  <c r="M272" i="21"/>
  <c r="L272" i="21"/>
  <c r="K272" i="21"/>
  <c r="J272" i="21"/>
  <c r="I272" i="21"/>
  <c r="H272" i="21"/>
  <c r="G272" i="21"/>
  <c r="F272" i="21"/>
  <c r="E272" i="21"/>
  <c r="D272" i="21"/>
  <c r="B272" i="21"/>
  <c r="A272" i="21"/>
  <c r="AF271" i="21"/>
  <c r="AE271" i="21"/>
  <c r="Y271" i="21"/>
  <c r="X271" i="21"/>
  <c r="W271" i="21"/>
  <c r="V271" i="21"/>
  <c r="T271" i="21"/>
  <c r="S271" i="21"/>
  <c r="R271" i="21"/>
  <c r="Q271" i="21"/>
  <c r="P271" i="21"/>
  <c r="N271" i="21"/>
  <c r="M271" i="21"/>
  <c r="L271" i="21"/>
  <c r="K271" i="21"/>
  <c r="J271" i="21"/>
  <c r="I271" i="21"/>
  <c r="H271" i="21"/>
  <c r="G271" i="21"/>
  <c r="F271" i="21"/>
  <c r="E271" i="21"/>
  <c r="D271" i="21"/>
  <c r="B271" i="21"/>
  <c r="A271" i="21"/>
  <c r="AF270" i="21"/>
  <c r="AE270" i="21"/>
  <c r="Y270" i="21"/>
  <c r="X270" i="21"/>
  <c r="W270" i="21"/>
  <c r="V270" i="21"/>
  <c r="T270" i="21"/>
  <c r="S270" i="21"/>
  <c r="R270" i="21"/>
  <c r="Q270" i="21"/>
  <c r="P270" i="21"/>
  <c r="N270" i="21"/>
  <c r="M270" i="21"/>
  <c r="L270" i="21"/>
  <c r="K270" i="21"/>
  <c r="J270" i="21"/>
  <c r="I270" i="21"/>
  <c r="H270" i="21"/>
  <c r="G270" i="21"/>
  <c r="F270" i="21"/>
  <c r="E270" i="21"/>
  <c r="D270" i="21"/>
  <c r="B270" i="21"/>
  <c r="A270" i="21"/>
  <c r="AF269" i="21"/>
  <c r="AE269" i="21"/>
  <c r="Y269" i="21"/>
  <c r="X269" i="21"/>
  <c r="W269" i="21"/>
  <c r="V269" i="21"/>
  <c r="T269" i="21"/>
  <c r="S269" i="21"/>
  <c r="R269" i="21"/>
  <c r="Q269" i="21"/>
  <c r="P269" i="21"/>
  <c r="N269" i="21"/>
  <c r="M269" i="21"/>
  <c r="L269" i="21"/>
  <c r="K269" i="21"/>
  <c r="J269" i="21"/>
  <c r="I269" i="21"/>
  <c r="H269" i="21"/>
  <c r="G269" i="21"/>
  <c r="F269" i="21"/>
  <c r="E269" i="21"/>
  <c r="D269" i="21"/>
  <c r="B269" i="21"/>
  <c r="A269" i="21"/>
  <c r="AF268" i="21"/>
  <c r="AE268" i="21"/>
  <c r="Y268" i="21"/>
  <c r="X268" i="21"/>
  <c r="W268" i="21"/>
  <c r="V268" i="21"/>
  <c r="T268" i="21"/>
  <c r="S268" i="21"/>
  <c r="R268" i="21"/>
  <c r="Q268" i="21"/>
  <c r="P268" i="21"/>
  <c r="N268" i="21"/>
  <c r="M268" i="21"/>
  <c r="L268" i="21"/>
  <c r="K268" i="21"/>
  <c r="J268" i="21"/>
  <c r="I268" i="21"/>
  <c r="H268" i="21"/>
  <c r="G268" i="21"/>
  <c r="F268" i="21"/>
  <c r="E268" i="21"/>
  <c r="D268" i="21"/>
  <c r="B268" i="21"/>
  <c r="A268" i="21"/>
  <c r="AF267" i="21"/>
  <c r="AE267" i="21"/>
  <c r="Y267" i="21"/>
  <c r="X267" i="21"/>
  <c r="W267" i="21"/>
  <c r="V267" i="21"/>
  <c r="T267" i="21"/>
  <c r="S267" i="21"/>
  <c r="R267" i="21"/>
  <c r="Q267" i="21"/>
  <c r="P267" i="21"/>
  <c r="N267" i="21"/>
  <c r="M267" i="21"/>
  <c r="L267" i="21"/>
  <c r="K267" i="21"/>
  <c r="J267" i="21"/>
  <c r="I267" i="21"/>
  <c r="H267" i="21"/>
  <c r="G267" i="21"/>
  <c r="F267" i="21"/>
  <c r="E267" i="21"/>
  <c r="D267" i="21"/>
  <c r="B267" i="21"/>
  <c r="A267" i="21"/>
  <c r="AF266" i="21"/>
  <c r="AE266" i="21"/>
  <c r="Y266" i="21"/>
  <c r="X266" i="21"/>
  <c r="W266" i="21"/>
  <c r="V266" i="21"/>
  <c r="T266" i="21"/>
  <c r="S266" i="21"/>
  <c r="R266" i="21"/>
  <c r="Q266" i="21"/>
  <c r="P266" i="21"/>
  <c r="N266" i="21"/>
  <c r="M266" i="21"/>
  <c r="L266" i="21"/>
  <c r="K266" i="21"/>
  <c r="J266" i="21"/>
  <c r="I266" i="21"/>
  <c r="H266" i="21"/>
  <c r="G266" i="21"/>
  <c r="F266" i="21"/>
  <c r="E266" i="21"/>
  <c r="D266" i="21"/>
  <c r="B266" i="21"/>
  <c r="A266" i="21"/>
  <c r="AF265" i="21"/>
  <c r="AE265" i="21"/>
  <c r="Y265" i="21"/>
  <c r="X265" i="21"/>
  <c r="W265" i="21"/>
  <c r="V265" i="21"/>
  <c r="T265" i="21"/>
  <c r="S265" i="21"/>
  <c r="R265" i="21"/>
  <c r="Q265" i="21"/>
  <c r="P265" i="21"/>
  <c r="N265" i="21"/>
  <c r="M265" i="21"/>
  <c r="L265" i="21"/>
  <c r="K265" i="21"/>
  <c r="J265" i="21"/>
  <c r="I265" i="21"/>
  <c r="H265" i="21"/>
  <c r="G265" i="21"/>
  <c r="F265" i="21"/>
  <c r="E265" i="21"/>
  <c r="D265" i="21"/>
  <c r="B265" i="21"/>
  <c r="A265" i="21"/>
  <c r="AF264" i="21"/>
  <c r="AE264" i="21"/>
  <c r="Y264" i="21"/>
  <c r="X264" i="21"/>
  <c r="W264" i="21"/>
  <c r="V264" i="21"/>
  <c r="T264" i="21"/>
  <c r="S264" i="21"/>
  <c r="R264" i="21"/>
  <c r="Q264" i="21"/>
  <c r="P264" i="21"/>
  <c r="N264" i="21"/>
  <c r="M264" i="21"/>
  <c r="L264" i="21"/>
  <c r="K264" i="21"/>
  <c r="J264" i="21"/>
  <c r="I264" i="21"/>
  <c r="H264" i="21"/>
  <c r="G264" i="21"/>
  <c r="F264" i="21"/>
  <c r="E264" i="21"/>
  <c r="D264" i="21"/>
  <c r="B264" i="21"/>
  <c r="A264" i="21"/>
  <c r="AF263" i="21"/>
  <c r="AE263" i="21"/>
  <c r="Y263" i="21"/>
  <c r="X263" i="21"/>
  <c r="W263" i="21"/>
  <c r="V263" i="21"/>
  <c r="T263" i="21"/>
  <c r="S263" i="21"/>
  <c r="R263" i="21"/>
  <c r="Q263" i="21"/>
  <c r="P263" i="21"/>
  <c r="N263" i="21"/>
  <c r="M263" i="21"/>
  <c r="L263" i="21"/>
  <c r="K263" i="21"/>
  <c r="J263" i="21"/>
  <c r="I263" i="21"/>
  <c r="H263" i="21"/>
  <c r="G263" i="21"/>
  <c r="F263" i="21"/>
  <c r="E263" i="21"/>
  <c r="D263" i="21"/>
  <c r="B263" i="21"/>
  <c r="A263" i="21"/>
  <c r="AF262" i="21"/>
  <c r="AE262" i="21"/>
  <c r="Y262" i="21"/>
  <c r="X262" i="21"/>
  <c r="W262" i="21"/>
  <c r="V262" i="21"/>
  <c r="T262" i="21"/>
  <c r="S262" i="21"/>
  <c r="R262" i="21"/>
  <c r="Q262" i="21"/>
  <c r="P262" i="21"/>
  <c r="N262" i="21"/>
  <c r="M262" i="21"/>
  <c r="L262" i="21"/>
  <c r="K262" i="21"/>
  <c r="J262" i="21"/>
  <c r="I262" i="21"/>
  <c r="H262" i="21"/>
  <c r="G262" i="21"/>
  <c r="F262" i="21"/>
  <c r="E262" i="21"/>
  <c r="D262" i="21"/>
  <c r="B262" i="21"/>
  <c r="A262" i="21"/>
  <c r="AF261" i="21"/>
  <c r="AE261" i="21"/>
  <c r="Y261" i="21"/>
  <c r="X261" i="21"/>
  <c r="W261" i="21"/>
  <c r="V261" i="21"/>
  <c r="T261" i="21"/>
  <c r="S261" i="21"/>
  <c r="R261" i="21"/>
  <c r="Q261" i="21"/>
  <c r="P261" i="21"/>
  <c r="N261" i="21"/>
  <c r="M261" i="21"/>
  <c r="L261" i="21"/>
  <c r="K261" i="21"/>
  <c r="J261" i="21"/>
  <c r="I261" i="21"/>
  <c r="H261" i="21"/>
  <c r="G261" i="21"/>
  <c r="F261" i="21"/>
  <c r="E261" i="21"/>
  <c r="D261" i="21"/>
  <c r="B261" i="21"/>
  <c r="A261" i="21"/>
  <c r="AF260" i="21"/>
  <c r="AE260" i="21"/>
  <c r="Y260" i="21"/>
  <c r="X260" i="21"/>
  <c r="W260" i="21"/>
  <c r="V260" i="21"/>
  <c r="T260" i="21"/>
  <c r="S260" i="21"/>
  <c r="R260" i="21"/>
  <c r="Q260" i="21"/>
  <c r="P260" i="21"/>
  <c r="N260" i="21"/>
  <c r="M260" i="21"/>
  <c r="L260" i="21"/>
  <c r="K260" i="21"/>
  <c r="J260" i="21"/>
  <c r="I260" i="21"/>
  <c r="H260" i="21"/>
  <c r="G260" i="21"/>
  <c r="F260" i="21"/>
  <c r="E260" i="21"/>
  <c r="D260" i="21"/>
  <c r="B260" i="21"/>
  <c r="A260" i="21"/>
  <c r="AF259" i="21"/>
  <c r="AE259" i="21"/>
  <c r="Y259" i="21"/>
  <c r="X259" i="21"/>
  <c r="W259" i="21"/>
  <c r="V259" i="21"/>
  <c r="T259" i="21"/>
  <c r="S259" i="21"/>
  <c r="R259" i="21"/>
  <c r="Q259" i="21"/>
  <c r="P259" i="21"/>
  <c r="N259" i="21"/>
  <c r="M259" i="21"/>
  <c r="L259" i="21"/>
  <c r="K259" i="21"/>
  <c r="J259" i="21"/>
  <c r="I259" i="21"/>
  <c r="H259" i="21"/>
  <c r="G259" i="21"/>
  <c r="F259" i="21"/>
  <c r="E259" i="21"/>
  <c r="D259" i="21"/>
  <c r="B259" i="21"/>
  <c r="A259" i="21"/>
  <c r="AF258" i="21"/>
  <c r="AE258" i="21"/>
  <c r="Y258" i="21"/>
  <c r="X258" i="21"/>
  <c r="W258" i="21"/>
  <c r="V258" i="21"/>
  <c r="T258" i="21"/>
  <c r="S258" i="21"/>
  <c r="R258" i="21"/>
  <c r="Q258" i="21"/>
  <c r="P258" i="21"/>
  <c r="N258" i="21"/>
  <c r="M258" i="21"/>
  <c r="L258" i="21"/>
  <c r="K258" i="21"/>
  <c r="J258" i="21"/>
  <c r="I258" i="21"/>
  <c r="H258" i="21"/>
  <c r="G258" i="21"/>
  <c r="F258" i="21"/>
  <c r="E258" i="21"/>
  <c r="D258" i="21"/>
  <c r="B258" i="21"/>
  <c r="A258" i="21"/>
  <c r="AF257" i="21"/>
  <c r="AE257" i="21"/>
  <c r="Y257" i="21"/>
  <c r="X257" i="21"/>
  <c r="W257" i="21"/>
  <c r="V257" i="21"/>
  <c r="T257" i="21"/>
  <c r="S257" i="21"/>
  <c r="R257" i="21"/>
  <c r="Q257" i="21"/>
  <c r="P257" i="21"/>
  <c r="N257" i="21"/>
  <c r="M257" i="21"/>
  <c r="L257" i="21"/>
  <c r="K257" i="21"/>
  <c r="J257" i="21"/>
  <c r="I257" i="21"/>
  <c r="H257" i="21"/>
  <c r="G257" i="21"/>
  <c r="F257" i="21"/>
  <c r="E257" i="21"/>
  <c r="D257" i="21"/>
  <c r="B257" i="21"/>
  <c r="A257" i="21"/>
  <c r="AF256" i="21"/>
  <c r="AE256" i="21"/>
  <c r="Y256" i="21"/>
  <c r="X256" i="21"/>
  <c r="W256" i="21"/>
  <c r="V256" i="21"/>
  <c r="T256" i="21"/>
  <c r="S256" i="21"/>
  <c r="R256" i="21"/>
  <c r="Q256" i="21"/>
  <c r="P256" i="21"/>
  <c r="N256" i="21"/>
  <c r="M256" i="21"/>
  <c r="L256" i="21"/>
  <c r="K256" i="21"/>
  <c r="J256" i="21"/>
  <c r="I256" i="21"/>
  <c r="H256" i="21"/>
  <c r="G256" i="21"/>
  <c r="F256" i="21"/>
  <c r="E256" i="21"/>
  <c r="D256" i="21"/>
  <c r="B256" i="21"/>
  <c r="A256" i="21"/>
  <c r="AF255" i="21"/>
  <c r="AE255" i="21"/>
  <c r="Y255" i="21"/>
  <c r="X255" i="21"/>
  <c r="W255" i="21"/>
  <c r="V255" i="21"/>
  <c r="T255" i="21"/>
  <c r="S255" i="21"/>
  <c r="R255" i="21"/>
  <c r="Q255" i="21"/>
  <c r="P255" i="21"/>
  <c r="N255" i="21"/>
  <c r="M255" i="21"/>
  <c r="L255" i="21"/>
  <c r="K255" i="21"/>
  <c r="J255" i="21"/>
  <c r="I255" i="21"/>
  <c r="H255" i="21"/>
  <c r="G255" i="21"/>
  <c r="F255" i="21"/>
  <c r="E255" i="21"/>
  <c r="D255" i="21"/>
  <c r="B255" i="21"/>
  <c r="A255" i="21"/>
  <c r="AF254" i="21"/>
  <c r="AE254" i="21"/>
  <c r="Y254" i="21"/>
  <c r="X254" i="21"/>
  <c r="W254" i="21"/>
  <c r="V254" i="21"/>
  <c r="T254" i="21"/>
  <c r="S254" i="21"/>
  <c r="R254" i="21"/>
  <c r="Q254" i="21"/>
  <c r="P254" i="21"/>
  <c r="N254" i="21"/>
  <c r="M254" i="21"/>
  <c r="L254" i="21"/>
  <c r="K254" i="21"/>
  <c r="J254" i="21"/>
  <c r="I254" i="21"/>
  <c r="H254" i="21"/>
  <c r="G254" i="21"/>
  <c r="F254" i="21"/>
  <c r="E254" i="21"/>
  <c r="D254" i="21"/>
  <c r="B254" i="21"/>
  <c r="A254" i="21"/>
  <c r="AF253" i="21"/>
  <c r="AE253" i="21"/>
  <c r="Y253" i="21"/>
  <c r="X253" i="21"/>
  <c r="W253" i="21"/>
  <c r="V253" i="21"/>
  <c r="T253" i="21"/>
  <c r="S253" i="21"/>
  <c r="R253" i="21"/>
  <c r="Q253" i="21"/>
  <c r="P253" i="21"/>
  <c r="N253" i="21"/>
  <c r="M253" i="21"/>
  <c r="L253" i="21"/>
  <c r="K253" i="21"/>
  <c r="J253" i="21"/>
  <c r="I253" i="21"/>
  <c r="H253" i="21"/>
  <c r="G253" i="21"/>
  <c r="F253" i="21"/>
  <c r="E253" i="21"/>
  <c r="D253" i="21"/>
  <c r="B253" i="21"/>
  <c r="A253" i="21"/>
  <c r="AF252" i="21"/>
  <c r="AE252" i="21"/>
  <c r="Y252" i="21"/>
  <c r="X252" i="21"/>
  <c r="W252" i="21"/>
  <c r="V252" i="21"/>
  <c r="T252" i="21"/>
  <c r="S252" i="21"/>
  <c r="R252" i="21"/>
  <c r="Q252" i="21"/>
  <c r="P252" i="21"/>
  <c r="N252" i="21"/>
  <c r="M252" i="21"/>
  <c r="L252" i="21"/>
  <c r="K252" i="21"/>
  <c r="J252" i="21"/>
  <c r="I252" i="21"/>
  <c r="H252" i="21"/>
  <c r="G252" i="21"/>
  <c r="F252" i="21"/>
  <c r="E252" i="21"/>
  <c r="D252" i="21"/>
  <c r="B252" i="21"/>
  <c r="A252" i="21"/>
  <c r="AF251" i="21"/>
  <c r="AE251" i="21"/>
  <c r="Y251" i="21"/>
  <c r="X251" i="21"/>
  <c r="W251" i="21"/>
  <c r="V251" i="21"/>
  <c r="T251" i="21"/>
  <c r="S251" i="21"/>
  <c r="R251" i="21"/>
  <c r="Q251" i="21"/>
  <c r="P251" i="21"/>
  <c r="N251" i="21"/>
  <c r="M251" i="21"/>
  <c r="L251" i="21"/>
  <c r="K251" i="21"/>
  <c r="J251" i="21"/>
  <c r="I251" i="21"/>
  <c r="H251" i="21"/>
  <c r="G251" i="21"/>
  <c r="F251" i="21"/>
  <c r="E251" i="21"/>
  <c r="D251" i="21"/>
  <c r="B251" i="21"/>
  <c r="A251" i="21"/>
  <c r="AF250" i="21"/>
  <c r="AE250" i="21"/>
  <c r="Y250" i="21"/>
  <c r="X250" i="21"/>
  <c r="W250" i="21"/>
  <c r="V250" i="21"/>
  <c r="T250" i="21"/>
  <c r="S250" i="21"/>
  <c r="R250" i="21"/>
  <c r="Q250" i="21"/>
  <c r="P250" i="21"/>
  <c r="N250" i="21"/>
  <c r="M250" i="21"/>
  <c r="L250" i="21"/>
  <c r="K250" i="21"/>
  <c r="J250" i="21"/>
  <c r="I250" i="21"/>
  <c r="H250" i="21"/>
  <c r="G250" i="21"/>
  <c r="F250" i="21"/>
  <c r="E250" i="21"/>
  <c r="D250" i="21"/>
  <c r="B250" i="21"/>
  <c r="A250" i="21"/>
  <c r="AF249" i="21"/>
  <c r="AE249" i="21"/>
  <c r="Y249" i="21"/>
  <c r="X249" i="21"/>
  <c r="W249" i="21"/>
  <c r="V249" i="21"/>
  <c r="T249" i="21"/>
  <c r="S249" i="21"/>
  <c r="R249" i="21"/>
  <c r="Q249" i="21"/>
  <c r="P249" i="21"/>
  <c r="N249" i="21"/>
  <c r="M249" i="21"/>
  <c r="L249" i="21"/>
  <c r="K249" i="21"/>
  <c r="J249" i="21"/>
  <c r="I249" i="21"/>
  <c r="H249" i="21"/>
  <c r="G249" i="21"/>
  <c r="F249" i="21"/>
  <c r="E249" i="21"/>
  <c r="D249" i="21"/>
  <c r="B249" i="21"/>
  <c r="A249" i="21"/>
  <c r="AF248" i="21"/>
  <c r="AE248" i="21"/>
  <c r="Y248" i="21"/>
  <c r="X248" i="21"/>
  <c r="W248" i="21"/>
  <c r="V248" i="21"/>
  <c r="T248" i="21"/>
  <c r="S248" i="21"/>
  <c r="R248" i="21"/>
  <c r="Q248" i="21"/>
  <c r="P248" i="21"/>
  <c r="N248" i="21"/>
  <c r="M248" i="21"/>
  <c r="L248" i="21"/>
  <c r="K248" i="21"/>
  <c r="J248" i="21"/>
  <c r="I248" i="21"/>
  <c r="H248" i="21"/>
  <c r="G248" i="21"/>
  <c r="F248" i="21"/>
  <c r="E248" i="21"/>
  <c r="D248" i="21"/>
  <c r="B248" i="21"/>
  <c r="A248" i="21"/>
  <c r="AF247" i="21"/>
  <c r="AE247" i="21"/>
  <c r="Y247" i="21"/>
  <c r="X247" i="21"/>
  <c r="W247" i="21"/>
  <c r="V247" i="21"/>
  <c r="T247" i="21"/>
  <c r="S247" i="21"/>
  <c r="R247" i="21"/>
  <c r="Q247" i="21"/>
  <c r="P247" i="21"/>
  <c r="N247" i="21"/>
  <c r="M247" i="21"/>
  <c r="L247" i="21"/>
  <c r="K247" i="21"/>
  <c r="J247" i="21"/>
  <c r="I247" i="21"/>
  <c r="H247" i="21"/>
  <c r="G247" i="21"/>
  <c r="F247" i="21"/>
  <c r="E247" i="21"/>
  <c r="D247" i="21"/>
  <c r="B247" i="21"/>
  <c r="A247" i="21"/>
  <c r="AF246" i="21"/>
  <c r="AE246" i="21"/>
  <c r="Y246" i="21"/>
  <c r="X246" i="21"/>
  <c r="W246" i="21"/>
  <c r="V246" i="21"/>
  <c r="T246" i="21"/>
  <c r="S246" i="21"/>
  <c r="R246" i="21"/>
  <c r="Q246" i="21"/>
  <c r="P246" i="21"/>
  <c r="N246" i="21"/>
  <c r="M246" i="21"/>
  <c r="L246" i="21"/>
  <c r="K246" i="21"/>
  <c r="J246" i="21"/>
  <c r="I246" i="21"/>
  <c r="H246" i="21"/>
  <c r="G246" i="21"/>
  <c r="F246" i="21"/>
  <c r="E246" i="21"/>
  <c r="D246" i="21"/>
  <c r="B246" i="21"/>
  <c r="A246" i="21"/>
  <c r="AF245" i="21"/>
  <c r="AE245" i="21"/>
  <c r="Y245" i="21"/>
  <c r="X245" i="21"/>
  <c r="W245" i="21"/>
  <c r="V245" i="21"/>
  <c r="T245" i="21"/>
  <c r="S245" i="21"/>
  <c r="R245" i="21"/>
  <c r="Q245" i="21"/>
  <c r="P245" i="21"/>
  <c r="N245" i="21"/>
  <c r="M245" i="21"/>
  <c r="L245" i="21"/>
  <c r="K245" i="21"/>
  <c r="J245" i="21"/>
  <c r="I245" i="21"/>
  <c r="H245" i="21"/>
  <c r="G245" i="21"/>
  <c r="F245" i="21"/>
  <c r="E245" i="21"/>
  <c r="D245" i="21"/>
  <c r="B245" i="21"/>
  <c r="A245" i="21"/>
  <c r="AF244" i="21"/>
  <c r="AE244" i="21"/>
  <c r="Y244" i="21"/>
  <c r="X244" i="21"/>
  <c r="W244" i="21"/>
  <c r="V244" i="21"/>
  <c r="T244" i="21"/>
  <c r="S244" i="21"/>
  <c r="R244" i="21"/>
  <c r="Q244" i="21"/>
  <c r="P244" i="21"/>
  <c r="N244" i="21"/>
  <c r="M244" i="21"/>
  <c r="L244" i="21"/>
  <c r="K244" i="21"/>
  <c r="J244" i="21"/>
  <c r="I244" i="21"/>
  <c r="H244" i="21"/>
  <c r="G244" i="21"/>
  <c r="F244" i="21"/>
  <c r="E244" i="21"/>
  <c r="D244" i="21"/>
  <c r="B244" i="21"/>
  <c r="A244" i="21"/>
  <c r="AF243" i="21"/>
  <c r="AE243" i="21"/>
  <c r="Y243" i="21"/>
  <c r="X243" i="21"/>
  <c r="W243" i="21"/>
  <c r="V243" i="21"/>
  <c r="T243" i="21"/>
  <c r="S243" i="21"/>
  <c r="R243" i="21"/>
  <c r="Q243" i="21"/>
  <c r="P243" i="21"/>
  <c r="N243" i="21"/>
  <c r="M243" i="21"/>
  <c r="L243" i="21"/>
  <c r="K243" i="21"/>
  <c r="J243" i="21"/>
  <c r="I243" i="21"/>
  <c r="H243" i="21"/>
  <c r="G243" i="21"/>
  <c r="F243" i="21"/>
  <c r="E243" i="21"/>
  <c r="D243" i="21"/>
  <c r="B243" i="21"/>
  <c r="A243" i="21"/>
  <c r="AF242" i="21"/>
  <c r="AE242" i="21"/>
  <c r="Y242" i="21"/>
  <c r="X242" i="21"/>
  <c r="W242" i="21"/>
  <c r="V242" i="21"/>
  <c r="T242" i="21"/>
  <c r="S242" i="21"/>
  <c r="R242" i="21"/>
  <c r="Q242" i="21"/>
  <c r="P242" i="21"/>
  <c r="N242" i="21"/>
  <c r="M242" i="21"/>
  <c r="L242" i="21"/>
  <c r="K242" i="21"/>
  <c r="J242" i="21"/>
  <c r="I242" i="21"/>
  <c r="H242" i="21"/>
  <c r="G242" i="21"/>
  <c r="F242" i="21"/>
  <c r="E242" i="21"/>
  <c r="D242" i="21"/>
  <c r="B242" i="21"/>
  <c r="A242" i="21"/>
  <c r="AF241" i="21"/>
  <c r="AE241" i="21"/>
  <c r="Y241" i="21"/>
  <c r="X241" i="21"/>
  <c r="W241" i="21"/>
  <c r="V241" i="21"/>
  <c r="T241" i="21"/>
  <c r="S241" i="21"/>
  <c r="R241" i="21"/>
  <c r="Q241" i="21"/>
  <c r="P241" i="21"/>
  <c r="N241" i="21"/>
  <c r="M241" i="21"/>
  <c r="L241" i="21"/>
  <c r="K241" i="21"/>
  <c r="J241" i="21"/>
  <c r="I241" i="21"/>
  <c r="H241" i="21"/>
  <c r="G241" i="21"/>
  <c r="F241" i="21"/>
  <c r="E241" i="21"/>
  <c r="D241" i="21"/>
  <c r="B241" i="21"/>
  <c r="A241" i="21"/>
  <c r="AF240" i="21"/>
  <c r="AE240" i="21"/>
  <c r="Y240" i="21"/>
  <c r="X240" i="21"/>
  <c r="W240" i="21"/>
  <c r="V240" i="21"/>
  <c r="T240" i="21"/>
  <c r="S240" i="21"/>
  <c r="R240" i="21"/>
  <c r="Q240" i="21"/>
  <c r="P240" i="21"/>
  <c r="N240" i="21"/>
  <c r="M240" i="21"/>
  <c r="L240" i="21"/>
  <c r="K240" i="21"/>
  <c r="J240" i="21"/>
  <c r="I240" i="21"/>
  <c r="H240" i="21"/>
  <c r="G240" i="21"/>
  <c r="F240" i="21"/>
  <c r="E240" i="21"/>
  <c r="D240" i="21"/>
  <c r="B240" i="21"/>
  <c r="A240" i="21"/>
  <c r="AF239" i="21"/>
  <c r="AE239" i="21"/>
  <c r="Y239" i="21"/>
  <c r="X239" i="21"/>
  <c r="W239" i="21"/>
  <c r="V239" i="21"/>
  <c r="T239" i="21"/>
  <c r="S239" i="21"/>
  <c r="R239" i="21"/>
  <c r="Q239" i="21"/>
  <c r="P239" i="21"/>
  <c r="N239" i="21"/>
  <c r="M239" i="21"/>
  <c r="L239" i="21"/>
  <c r="K239" i="21"/>
  <c r="J239" i="21"/>
  <c r="I239" i="21"/>
  <c r="H239" i="21"/>
  <c r="G239" i="21"/>
  <c r="F239" i="21"/>
  <c r="E239" i="21"/>
  <c r="D239" i="21"/>
  <c r="B239" i="21"/>
  <c r="A239" i="21"/>
  <c r="AF238" i="21"/>
  <c r="AE238" i="21"/>
  <c r="Y238" i="21"/>
  <c r="X238" i="21"/>
  <c r="W238" i="21"/>
  <c r="V238" i="21"/>
  <c r="T238" i="21"/>
  <c r="S238" i="21"/>
  <c r="R238" i="21"/>
  <c r="Q238" i="21"/>
  <c r="P238" i="21"/>
  <c r="N238" i="21"/>
  <c r="M238" i="21"/>
  <c r="L238" i="21"/>
  <c r="K238" i="21"/>
  <c r="J238" i="21"/>
  <c r="I238" i="21"/>
  <c r="H238" i="21"/>
  <c r="G238" i="21"/>
  <c r="F238" i="21"/>
  <c r="E238" i="21"/>
  <c r="D238" i="21"/>
  <c r="B238" i="21"/>
  <c r="A238" i="21"/>
  <c r="AF237" i="21"/>
  <c r="AE237" i="21"/>
  <c r="Y237" i="21"/>
  <c r="X237" i="21"/>
  <c r="W237" i="21"/>
  <c r="V237" i="21"/>
  <c r="T237" i="21"/>
  <c r="S237" i="21"/>
  <c r="R237" i="21"/>
  <c r="Q237" i="21"/>
  <c r="P237" i="21"/>
  <c r="N237" i="21"/>
  <c r="M237" i="21"/>
  <c r="L237" i="21"/>
  <c r="K237" i="21"/>
  <c r="J237" i="21"/>
  <c r="I237" i="21"/>
  <c r="H237" i="21"/>
  <c r="G237" i="21"/>
  <c r="F237" i="21"/>
  <c r="E237" i="21"/>
  <c r="D237" i="21"/>
  <c r="B237" i="21"/>
  <c r="A237" i="21"/>
  <c r="AF236" i="21"/>
  <c r="AE236" i="21"/>
  <c r="Y236" i="21"/>
  <c r="X236" i="21"/>
  <c r="W236" i="21"/>
  <c r="V236" i="21"/>
  <c r="T236" i="21"/>
  <c r="S236" i="21"/>
  <c r="R236" i="21"/>
  <c r="Q236" i="21"/>
  <c r="P236" i="21"/>
  <c r="N236" i="21"/>
  <c r="M236" i="21"/>
  <c r="L236" i="21"/>
  <c r="K236" i="21"/>
  <c r="J236" i="21"/>
  <c r="I236" i="21"/>
  <c r="H236" i="21"/>
  <c r="G236" i="21"/>
  <c r="F236" i="21"/>
  <c r="E236" i="21"/>
  <c r="D236" i="21"/>
  <c r="B236" i="21"/>
  <c r="A236" i="21"/>
  <c r="AF235" i="21"/>
  <c r="AE235" i="21"/>
  <c r="Y235" i="21"/>
  <c r="X235" i="21"/>
  <c r="W235" i="21"/>
  <c r="V235" i="21"/>
  <c r="T235" i="21"/>
  <c r="S235" i="21"/>
  <c r="R235" i="21"/>
  <c r="Q235" i="21"/>
  <c r="P235" i="21"/>
  <c r="N235" i="21"/>
  <c r="M235" i="21"/>
  <c r="L235" i="21"/>
  <c r="K235" i="21"/>
  <c r="J235" i="21"/>
  <c r="I235" i="21"/>
  <c r="H235" i="21"/>
  <c r="G235" i="21"/>
  <c r="F235" i="21"/>
  <c r="E235" i="21"/>
  <c r="D235" i="21"/>
  <c r="B235" i="21"/>
  <c r="A235" i="21"/>
  <c r="AF234" i="21"/>
  <c r="AE234" i="21"/>
  <c r="Y234" i="21"/>
  <c r="X234" i="21"/>
  <c r="W234" i="21"/>
  <c r="V234" i="21"/>
  <c r="T234" i="21"/>
  <c r="S234" i="21"/>
  <c r="R234" i="21"/>
  <c r="Q234" i="21"/>
  <c r="P234" i="21"/>
  <c r="N234" i="21"/>
  <c r="M234" i="21"/>
  <c r="L234" i="21"/>
  <c r="K234" i="21"/>
  <c r="J234" i="21"/>
  <c r="I234" i="21"/>
  <c r="H234" i="21"/>
  <c r="G234" i="21"/>
  <c r="F234" i="21"/>
  <c r="E234" i="21"/>
  <c r="D234" i="21"/>
  <c r="B234" i="21"/>
  <c r="A234" i="21"/>
  <c r="AF233" i="21"/>
  <c r="AE233" i="21"/>
  <c r="Y233" i="21"/>
  <c r="X233" i="21"/>
  <c r="W233" i="21"/>
  <c r="V233" i="21"/>
  <c r="U233" i="21"/>
  <c r="T233" i="21"/>
  <c r="S233" i="21"/>
  <c r="R233" i="21"/>
  <c r="Q233" i="21"/>
  <c r="P233" i="21"/>
  <c r="N233" i="21"/>
  <c r="M233" i="21"/>
  <c r="L233" i="21"/>
  <c r="K233" i="21"/>
  <c r="J233" i="21"/>
  <c r="I233" i="21"/>
  <c r="H233" i="21"/>
  <c r="E233" i="21"/>
  <c r="D233" i="21"/>
  <c r="B233" i="21"/>
  <c r="A233" i="21"/>
  <c r="AF232" i="21"/>
  <c r="AE232" i="21"/>
  <c r="Y232" i="21"/>
  <c r="X232" i="21"/>
  <c r="W232" i="21"/>
  <c r="V232" i="21"/>
  <c r="U232" i="21"/>
  <c r="T232" i="21"/>
  <c r="S232" i="21"/>
  <c r="R232" i="21"/>
  <c r="Q232" i="21"/>
  <c r="P232" i="21"/>
  <c r="N232" i="21"/>
  <c r="M232" i="21"/>
  <c r="L232" i="21"/>
  <c r="K232" i="21"/>
  <c r="J232" i="21"/>
  <c r="I232" i="21"/>
  <c r="H232" i="21"/>
  <c r="E232" i="21"/>
  <c r="D232" i="21"/>
  <c r="B232" i="21"/>
  <c r="A232" i="21"/>
  <c r="AF231" i="21"/>
  <c r="AE231" i="21"/>
  <c r="Y231" i="21"/>
  <c r="X231" i="21"/>
  <c r="W231" i="21"/>
  <c r="V231" i="21"/>
  <c r="T231" i="21"/>
  <c r="S231" i="21"/>
  <c r="R231" i="21"/>
  <c r="Q231" i="21"/>
  <c r="P231" i="21"/>
  <c r="N231" i="21"/>
  <c r="M231" i="21"/>
  <c r="L231" i="21"/>
  <c r="K231" i="21"/>
  <c r="J231" i="21"/>
  <c r="I231" i="21"/>
  <c r="H231" i="21"/>
  <c r="G231" i="21"/>
  <c r="F231" i="21"/>
  <c r="E231" i="21"/>
  <c r="D231" i="21"/>
  <c r="B231" i="21"/>
  <c r="A231" i="21"/>
  <c r="AF230" i="21"/>
  <c r="AE230" i="21"/>
  <c r="Y230" i="21"/>
  <c r="X230" i="21"/>
  <c r="W230" i="21"/>
  <c r="V230" i="21"/>
  <c r="U230" i="21"/>
  <c r="T230" i="21"/>
  <c r="S230" i="21"/>
  <c r="R230" i="21"/>
  <c r="Q230" i="21"/>
  <c r="P230" i="21"/>
  <c r="N230" i="21"/>
  <c r="M230" i="21"/>
  <c r="L230" i="21"/>
  <c r="K230" i="21"/>
  <c r="J230" i="21"/>
  <c r="I230" i="21"/>
  <c r="H230" i="21"/>
  <c r="E230" i="21"/>
  <c r="D230" i="21"/>
  <c r="B230" i="21"/>
  <c r="A230" i="21"/>
  <c r="AF229" i="21"/>
  <c r="AE229" i="21"/>
  <c r="Y229" i="21"/>
  <c r="X229" i="21"/>
  <c r="W229" i="21"/>
  <c r="V229" i="21"/>
  <c r="T229" i="21"/>
  <c r="S229" i="21"/>
  <c r="R229" i="21"/>
  <c r="Q229" i="21"/>
  <c r="P229" i="21"/>
  <c r="N229" i="21"/>
  <c r="M229" i="21"/>
  <c r="L229" i="21"/>
  <c r="K229" i="21"/>
  <c r="J229" i="21"/>
  <c r="I229" i="21"/>
  <c r="H229" i="21"/>
  <c r="G229" i="21"/>
  <c r="F229" i="21"/>
  <c r="E229" i="21"/>
  <c r="D229" i="21"/>
  <c r="B229" i="21"/>
  <c r="A229" i="21"/>
  <c r="AF228" i="21"/>
  <c r="AE228" i="21"/>
  <c r="Y228" i="21"/>
  <c r="X228" i="21"/>
  <c r="W228" i="21"/>
  <c r="V228" i="21"/>
  <c r="U228" i="21"/>
  <c r="T228" i="21"/>
  <c r="S228" i="21"/>
  <c r="R228" i="21"/>
  <c r="Q228" i="21"/>
  <c r="P228" i="21"/>
  <c r="N228" i="21"/>
  <c r="M228" i="21"/>
  <c r="L228" i="21"/>
  <c r="K228" i="21"/>
  <c r="J228" i="21"/>
  <c r="I228" i="21"/>
  <c r="H228" i="21"/>
  <c r="E228" i="21"/>
  <c r="D228" i="21"/>
  <c r="B228" i="21"/>
  <c r="A228" i="21"/>
  <c r="AF227" i="21"/>
  <c r="AE227" i="21"/>
  <c r="Y227" i="21"/>
  <c r="X227" i="21"/>
  <c r="W227" i="21"/>
  <c r="V227" i="21"/>
  <c r="T227" i="21"/>
  <c r="S227" i="21"/>
  <c r="R227" i="21"/>
  <c r="Q227" i="21"/>
  <c r="P227" i="21"/>
  <c r="N227" i="21"/>
  <c r="M227" i="21"/>
  <c r="L227" i="21"/>
  <c r="K227" i="21"/>
  <c r="J227" i="21"/>
  <c r="I227" i="21"/>
  <c r="H227" i="21"/>
  <c r="G227" i="21"/>
  <c r="F227" i="21"/>
  <c r="E227" i="21"/>
  <c r="D227" i="21"/>
  <c r="B227" i="21"/>
  <c r="A227" i="21"/>
  <c r="AF226" i="21"/>
  <c r="AE226" i="21"/>
  <c r="Y226" i="21"/>
  <c r="X226" i="21"/>
  <c r="W226" i="21"/>
  <c r="V226" i="21"/>
  <c r="U226" i="21"/>
  <c r="T226" i="21"/>
  <c r="S226" i="21"/>
  <c r="R226" i="21"/>
  <c r="Q226" i="21"/>
  <c r="P226" i="21"/>
  <c r="N226" i="21"/>
  <c r="M226" i="21"/>
  <c r="L226" i="21"/>
  <c r="K226" i="21"/>
  <c r="J226" i="21"/>
  <c r="I226" i="21"/>
  <c r="H226" i="21"/>
  <c r="E226" i="21"/>
  <c r="D226" i="21"/>
  <c r="B226" i="21"/>
  <c r="A226" i="21"/>
  <c r="AF225" i="21"/>
  <c r="AE225" i="21"/>
  <c r="Y225" i="21"/>
  <c r="X225" i="21"/>
  <c r="W225" i="21"/>
  <c r="V225" i="21"/>
  <c r="T225" i="21"/>
  <c r="S225" i="21"/>
  <c r="R225" i="21"/>
  <c r="Q225" i="21"/>
  <c r="P225" i="21"/>
  <c r="N225" i="21"/>
  <c r="M225" i="21"/>
  <c r="L225" i="21"/>
  <c r="K225" i="21"/>
  <c r="J225" i="21"/>
  <c r="I225" i="21"/>
  <c r="H225" i="21"/>
  <c r="G225" i="21"/>
  <c r="F225" i="21"/>
  <c r="E225" i="21"/>
  <c r="D225" i="21"/>
  <c r="B225" i="21"/>
  <c r="A225" i="21"/>
  <c r="AF224" i="21"/>
  <c r="AE224" i="21"/>
  <c r="Y224" i="21"/>
  <c r="X224" i="21"/>
  <c r="W224" i="21"/>
  <c r="V224" i="21"/>
  <c r="U224" i="21"/>
  <c r="T224" i="21"/>
  <c r="S224" i="21"/>
  <c r="R224" i="21"/>
  <c r="Q224" i="21"/>
  <c r="P224" i="21"/>
  <c r="N224" i="21"/>
  <c r="M224" i="21"/>
  <c r="L224" i="21"/>
  <c r="K224" i="21"/>
  <c r="J224" i="21"/>
  <c r="I224" i="21"/>
  <c r="H224" i="21"/>
  <c r="E224" i="21"/>
  <c r="D224" i="21"/>
  <c r="B224" i="21"/>
  <c r="A224" i="21"/>
  <c r="AF223" i="21"/>
  <c r="AE223" i="21"/>
  <c r="Y223" i="21"/>
  <c r="X223" i="21"/>
  <c r="W223" i="21"/>
  <c r="V223" i="21"/>
  <c r="T223" i="21"/>
  <c r="S223" i="21"/>
  <c r="R223" i="21"/>
  <c r="Q223" i="21"/>
  <c r="P223" i="21"/>
  <c r="N223" i="21"/>
  <c r="M223" i="21"/>
  <c r="L223" i="21"/>
  <c r="K223" i="21"/>
  <c r="J223" i="21"/>
  <c r="I223" i="21"/>
  <c r="H223" i="21"/>
  <c r="G223" i="21"/>
  <c r="F223" i="21"/>
  <c r="E223" i="21"/>
  <c r="D223" i="21"/>
  <c r="B223" i="21"/>
  <c r="A223" i="21"/>
  <c r="AF222" i="21"/>
  <c r="AE222" i="21"/>
  <c r="Y222" i="21"/>
  <c r="X222" i="21"/>
  <c r="W222" i="21"/>
  <c r="V222" i="21"/>
  <c r="U222" i="21"/>
  <c r="T222" i="21"/>
  <c r="S222" i="21"/>
  <c r="R222" i="21"/>
  <c r="Q222" i="21"/>
  <c r="P222" i="21"/>
  <c r="N222" i="21"/>
  <c r="M222" i="21"/>
  <c r="L222" i="21"/>
  <c r="K222" i="21"/>
  <c r="J222" i="21"/>
  <c r="I222" i="21"/>
  <c r="H222" i="21"/>
  <c r="E222" i="21"/>
  <c r="D222" i="21"/>
  <c r="B222" i="21"/>
  <c r="A222" i="21"/>
  <c r="AF221" i="21"/>
  <c r="AE221" i="21"/>
  <c r="Y221" i="21"/>
  <c r="X221" i="21"/>
  <c r="W221" i="21"/>
  <c r="V221" i="21"/>
  <c r="U221" i="21"/>
  <c r="T221" i="21"/>
  <c r="S221" i="21"/>
  <c r="R221" i="21"/>
  <c r="Q221" i="21"/>
  <c r="P221" i="21"/>
  <c r="N221" i="21"/>
  <c r="M221" i="21"/>
  <c r="L221" i="21"/>
  <c r="K221" i="21"/>
  <c r="J221" i="21"/>
  <c r="I221" i="21"/>
  <c r="H221" i="21"/>
  <c r="E221" i="21"/>
  <c r="D221" i="21"/>
  <c r="B221" i="21"/>
  <c r="A221" i="21"/>
  <c r="AF220" i="21"/>
  <c r="AE220" i="21"/>
  <c r="Y220" i="21"/>
  <c r="X220" i="21"/>
  <c r="W220" i="21"/>
  <c r="V220" i="21"/>
  <c r="T220" i="21"/>
  <c r="S220" i="21"/>
  <c r="R220" i="21"/>
  <c r="Q220" i="21"/>
  <c r="P220" i="21"/>
  <c r="N220" i="21"/>
  <c r="M220" i="21"/>
  <c r="L220" i="21"/>
  <c r="K220" i="21"/>
  <c r="J220" i="21"/>
  <c r="I220" i="21"/>
  <c r="H220" i="21"/>
  <c r="G220" i="21"/>
  <c r="F220" i="21"/>
  <c r="E220" i="21"/>
  <c r="D220" i="21"/>
  <c r="B220" i="21"/>
  <c r="A220" i="21"/>
  <c r="AF219" i="21"/>
  <c r="AE219" i="21"/>
  <c r="Y219" i="21"/>
  <c r="X219" i="21"/>
  <c r="W219" i="21"/>
  <c r="V219" i="21"/>
  <c r="T219" i="21"/>
  <c r="S219" i="21"/>
  <c r="R219" i="21"/>
  <c r="Q219" i="21"/>
  <c r="P219" i="21"/>
  <c r="N219" i="21"/>
  <c r="M219" i="21"/>
  <c r="L219" i="21"/>
  <c r="K219" i="21"/>
  <c r="J219" i="21"/>
  <c r="I219" i="21"/>
  <c r="H219" i="21"/>
  <c r="G219" i="21"/>
  <c r="F219" i="21"/>
  <c r="E219" i="21"/>
  <c r="D219" i="21"/>
  <c r="B219" i="21"/>
  <c r="A219" i="21"/>
  <c r="AF218" i="21"/>
  <c r="AE218" i="21"/>
  <c r="Y218" i="21"/>
  <c r="X218" i="21"/>
  <c r="W218" i="21"/>
  <c r="V218" i="21"/>
  <c r="U218" i="21"/>
  <c r="T218" i="21"/>
  <c r="S218" i="21"/>
  <c r="R218" i="21"/>
  <c r="Q218" i="21"/>
  <c r="P218" i="21"/>
  <c r="N218" i="21"/>
  <c r="M218" i="21"/>
  <c r="L218" i="21"/>
  <c r="K218" i="21"/>
  <c r="J218" i="21"/>
  <c r="I218" i="21"/>
  <c r="H218" i="21"/>
  <c r="E218" i="21"/>
  <c r="D218" i="21"/>
  <c r="B218" i="21"/>
  <c r="A218" i="21"/>
  <c r="AF217" i="21"/>
  <c r="AE217" i="21"/>
  <c r="Y217" i="21"/>
  <c r="X217" i="21"/>
  <c r="W217" i="21"/>
  <c r="V217" i="21"/>
  <c r="T217" i="21"/>
  <c r="S217" i="21"/>
  <c r="R217" i="21"/>
  <c r="Q217" i="21"/>
  <c r="P217" i="21"/>
  <c r="N217" i="21"/>
  <c r="M217" i="21"/>
  <c r="L217" i="21"/>
  <c r="K217" i="21"/>
  <c r="J217" i="21"/>
  <c r="I217" i="21"/>
  <c r="H217" i="21"/>
  <c r="G217" i="21"/>
  <c r="F217" i="21"/>
  <c r="E217" i="21"/>
  <c r="D217" i="21"/>
  <c r="B217" i="21"/>
  <c r="A217" i="21"/>
  <c r="AF216" i="21"/>
  <c r="AE216" i="21"/>
  <c r="Y216" i="21"/>
  <c r="X216" i="21"/>
  <c r="W216" i="21"/>
  <c r="V216" i="21"/>
  <c r="U216" i="21"/>
  <c r="T216" i="21"/>
  <c r="S216" i="21"/>
  <c r="R216" i="21"/>
  <c r="Q216" i="21"/>
  <c r="P216" i="21"/>
  <c r="N216" i="21"/>
  <c r="M216" i="21"/>
  <c r="L216" i="21"/>
  <c r="K216" i="21"/>
  <c r="J216" i="21"/>
  <c r="I216" i="21"/>
  <c r="H216" i="21"/>
  <c r="E216" i="21"/>
  <c r="D216" i="21"/>
  <c r="B216" i="21"/>
  <c r="A216" i="21"/>
  <c r="AF215" i="21"/>
  <c r="AE215" i="21"/>
  <c r="Y215" i="21"/>
  <c r="X215" i="21"/>
  <c r="W215" i="21"/>
  <c r="V215" i="21"/>
  <c r="T215" i="21"/>
  <c r="S215" i="21"/>
  <c r="R215" i="21"/>
  <c r="Q215" i="21"/>
  <c r="P215" i="21"/>
  <c r="N215" i="21"/>
  <c r="M215" i="21"/>
  <c r="L215" i="21"/>
  <c r="K215" i="21"/>
  <c r="J215" i="21"/>
  <c r="I215" i="21"/>
  <c r="H215" i="21"/>
  <c r="G215" i="21"/>
  <c r="F215" i="21"/>
  <c r="E215" i="21"/>
  <c r="D215" i="21"/>
  <c r="B215" i="21"/>
  <c r="A215" i="21"/>
  <c r="AF214" i="21"/>
  <c r="AE214" i="21"/>
  <c r="Y214" i="21"/>
  <c r="X214" i="21"/>
  <c r="W214" i="21"/>
  <c r="V214" i="21"/>
  <c r="U214" i="21"/>
  <c r="T214" i="21"/>
  <c r="S214" i="21"/>
  <c r="R214" i="21"/>
  <c r="Q214" i="21"/>
  <c r="P214" i="21"/>
  <c r="N214" i="21"/>
  <c r="M214" i="21"/>
  <c r="L214" i="21"/>
  <c r="K214" i="21"/>
  <c r="J214" i="21"/>
  <c r="I214" i="21"/>
  <c r="H214" i="21"/>
  <c r="E214" i="21"/>
  <c r="D214" i="21"/>
  <c r="B214" i="21"/>
  <c r="A214" i="21"/>
  <c r="AF213" i="21"/>
  <c r="AE213" i="21"/>
  <c r="Y213" i="21"/>
  <c r="X213" i="21"/>
  <c r="W213" i="21"/>
  <c r="V213" i="21"/>
  <c r="T213" i="21"/>
  <c r="S213" i="21"/>
  <c r="R213" i="21"/>
  <c r="Q213" i="21"/>
  <c r="P213" i="21"/>
  <c r="N213" i="21"/>
  <c r="M213" i="21"/>
  <c r="L213" i="21"/>
  <c r="K213" i="21"/>
  <c r="J213" i="21"/>
  <c r="I213" i="21"/>
  <c r="H213" i="21"/>
  <c r="G213" i="21"/>
  <c r="F213" i="21"/>
  <c r="E213" i="21"/>
  <c r="D213" i="21"/>
  <c r="B213" i="21"/>
  <c r="A213" i="21"/>
  <c r="AF212" i="21"/>
  <c r="AE212" i="21"/>
  <c r="Y212" i="21"/>
  <c r="X212" i="21"/>
  <c r="W212" i="21"/>
  <c r="V212" i="21"/>
  <c r="U212" i="21"/>
  <c r="T212" i="21"/>
  <c r="S212" i="21"/>
  <c r="R212" i="21"/>
  <c r="Q212" i="21"/>
  <c r="P212" i="21"/>
  <c r="N212" i="21"/>
  <c r="M212" i="21"/>
  <c r="L212" i="21"/>
  <c r="K212" i="21"/>
  <c r="J212" i="21"/>
  <c r="I212" i="21"/>
  <c r="H212" i="21"/>
  <c r="E212" i="21"/>
  <c r="D212" i="21"/>
  <c r="B212" i="21"/>
  <c r="A212" i="21"/>
  <c r="AF211" i="21"/>
  <c r="AE211" i="21"/>
  <c r="Y211" i="21"/>
  <c r="X211" i="21"/>
  <c r="W211" i="21"/>
  <c r="V211" i="21"/>
  <c r="T211" i="21"/>
  <c r="S211" i="21"/>
  <c r="R211" i="21"/>
  <c r="Q211" i="21"/>
  <c r="P211" i="21"/>
  <c r="N211" i="21"/>
  <c r="M211" i="21"/>
  <c r="L211" i="21"/>
  <c r="K211" i="21"/>
  <c r="J211" i="21"/>
  <c r="I211" i="21"/>
  <c r="H211" i="21"/>
  <c r="G211" i="21"/>
  <c r="F211" i="21"/>
  <c r="E211" i="21"/>
  <c r="D211" i="21"/>
  <c r="B211" i="21"/>
  <c r="A211" i="21"/>
  <c r="AF210" i="21"/>
  <c r="AE210" i="21"/>
  <c r="Y210" i="21"/>
  <c r="X210" i="21"/>
  <c r="W210" i="21"/>
  <c r="V210" i="21"/>
  <c r="T210" i="21"/>
  <c r="S210" i="21"/>
  <c r="R210" i="21"/>
  <c r="Q210" i="21"/>
  <c r="P210" i="21"/>
  <c r="N210" i="21"/>
  <c r="M210" i="21"/>
  <c r="L210" i="21"/>
  <c r="K210" i="21"/>
  <c r="J210" i="21"/>
  <c r="I210" i="21"/>
  <c r="H210" i="21"/>
  <c r="G210" i="21"/>
  <c r="F210" i="21"/>
  <c r="E210" i="21"/>
  <c r="D210" i="21"/>
  <c r="B210" i="21"/>
  <c r="A210" i="21"/>
  <c r="AF209" i="21"/>
  <c r="AE209" i="21"/>
  <c r="Y209" i="21"/>
  <c r="X209" i="21"/>
  <c r="W209" i="21"/>
  <c r="V209" i="21"/>
  <c r="U209" i="21"/>
  <c r="T209" i="21"/>
  <c r="S209" i="21"/>
  <c r="R209" i="21"/>
  <c r="Q209" i="21"/>
  <c r="P209" i="21"/>
  <c r="N209" i="21"/>
  <c r="M209" i="21"/>
  <c r="L209" i="21"/>
  <c r="K209" i="21"/>
  <c r="J209" i="21"/>
  <c r="I209" i="21"/>
  <c r="H209" i="21"/>
  <c r="E209" i="21"/>
  <c r="D209" i="21"/>
  <c r="B209" i="21"/>
  <c r="A209" i="21"/>
  <c r="AF208" i="21"/>
  <c r="AE208" i="21"/>
  <c r="Y208" i="21"/>
  <c r="X208" i="21"/>
  <c r="W208" i="21"/>
  <c r="V208" i="21"/>
  <c r="T208" i="21"/>
  <c r="S208" i="21"/>
  <c r="R208" i="21"/>
  <c r="Q208" i="21"/>
  <c r="P208" i="21"/>
  <c r="N208" i="21"/>
  <c r="M208" i="21"/>
  <c r="L208" i="21"/>
  <c r="K208" i="21"/>
  <c r="J208" i="21"/>
  <c r="I208" i="21"/>
  <c r="H208" i="21"/>
  <c r="G208" i="21"/>
  <c r="F208" i="21"/>
  <c r="E208" i="21"/>
  <c r="D208" i="21"/>
  <c r="B208" i="21"/>
  <c r="A208" i="21"/>
  <c r="AF207" i="21"/>
  <c r="AE207" i="21"/>
  <c r="Y207" i="21"/>
  <c r="X207" i="21"/>
  <c r="W207" i="21"/>
  <c r="V207" i="21"/>
  <c r="T207" i="21"/>
  <c r="S207" i="21"/>
  <c r="R207" i="21"/>
  <c r="Q207" i="21"/>
  <c r="P207" i="21"/>
  <c r="N207" i="21"/>
  <c r="M207" i="21"/>
  <c r="L207" i="21"/>
  <c r="K207" i="21"/>
  <c r="J207" i="21"/>
  <c r="I207" i="21"/>
  <c r="H207" i="21"/>
  <c r="G207" i="21"/>
  <c r="F207" i="21"/>
  <c r="E207" i="21"/>
  <c r="D207" i="21"/>
  <c r="B207" i="21"/>
  <c r="A207" i="21"/>
  <c r="AF206" i="21"/>
  <c r="AE206" i="21"/>
  <c r="Y206" i="21"/>
  <c r="X206" i="21"/>
  <c r="W206" i="21"/>
  <c r="V206" i="21"/>
  <c r="T206" i="21"/>
  <c r="S206" i="21"/>
  <c r="R206" i="21"/>
  <c r="Q206" i="21"/>
  <c r="P206" i="21"/>
  <c r="N206" i="21"/>
  <c r="M206" i="21"/>
  <c r="L206" i="21"/>
  <c r="K206" i="21"/>
  <c r="J206" i="21"/>
  <c r="I206" i="21"/>
  <c r="H206" i="21"/>
  <c r="G206" i="21"/>
  <c r="F206" i="21"/>
  <c r="E206" i="21"/>
  <c r="D206" i="21"/>
  <c r="B206" i="21"/>
  <c r="A206" i="21"/>
  <c r="AF205" i="21"/>
  <c r="AE205" i="21"/>
  <c r="Y205" i="21"/>
  <c r="X205" i="21"/>
  <c r="W205" i="21"/>
  <c r="V205" i="21"/>
  <c r="U205" i="21"/>
  <c r="T205" i="21"/>
  <c r="S205" i="21"/>
  <c r="R205" i="21"/>
  <c r="Q205" i="21"/>
  <c r="P205" i="21"/>
  <c r="N205" i="21"/>
  <c r="M205" i="21"/>
  <c r="L205" i="21"/>
  <c r="K205" i="21"/>
  <c r="J205" i="21"/>
  <c r="I205" i="21"/>
  <c r="H205" i="21"/>
  <c r="E205" i="21"/>
  <c r="D205" i="21"/>
  <c r="B205" i="21"/>
  <c r="A205" i="21"/>
  <c r="AF204" i="21"/>
  <c r="AE204" i="21"/>
  <c r="Y204" i="21"/>
  <c r="X204" i="21"/>
  <c r="W204" i="21"/>
  <c r="V204" i="21"/>
  <c r="T204" i="21"/>
  <c r="S204" i="21"/>
  <c r="R204" i="21"/>
  <c r="Q204" i="21"/>
  <c r="P204" i="21"/>
  <c r="N204" i="21"/>
  <c r="M204" i="21"/>
  <c r="L204" i="21"/>
  <c r="K204" i="21"/>
  <c r="J204" i="21"/>
  <c r="I204" i="21"/>
  <c r="H204" i="21"/>
  <c r="G204" i="21"/>
  <c r="F204" i="21"/>
  <c r="E204" i="21"/>
  <c r="D204" i="21"/>
  <c r="B204" i="21"/>
  <c r="A204" i="21"/>
  <c r="AF203" i="21"/>
  <c r="AE203" i="21"/>
  <c r="Y203" i="21"/>
  <c r="X203" i="21"/>
  <c r="W203" i="21"/>
  <c r="V203" i="21"/>
  <c r="T203" i="21"/>
  <c r="S203" i="21"/>
  <c r="R203" i="21"/>
  <c r="Q203" i="21"/>
  <c r="P203" i="21"/>
  <c r="N203" i="21"/>
  <c r="M203" i="21"/>
  <c r="L203" i="21"/>
  <c r="K203" i="21"/>
  <c r="J203" i="21"/>
  <c r="I203" i="21"/>
  <c r="H203" i="21"/>
  <c r="G203" i="21"/>
  <c r="F203" i="21"/>
  <c r="E203" i="21"/>
  <c r="D203" i="21"/>
  <c r="B203" i="21"/>
  <c r="A203" i="21"/>
  <c r="AF202" i="21"/>
  <c r="AE202" i="21"/>
  <c r="Y202" i="21"/>
  <c r="X202" i="21"/>
  <c r="W202" i="21"/>
  <c r="V202" i="21"/>
  <c r="U202" i="21"/>
  <c r="T202" i="21"/>
  <c r="S202" i="21"/>
  <c r="R202" i="21"/>
  <c r="Q202" i="21"/>
  <c r="P202" i="21"/>
  <c r="N202" i="21"/>
  <c r="M202" i="21"/>
  <c r="L202" i="21"/>
  <c r="K202" i="21"/>
  <c r="J202" i="21"/>
  <c r="I202" i="21"/>
  <c r="H202" i="21"/>
  <c r="E202" i="21"/>
  <c r="D202" i="21"/>
  <c r="B202" i="21"/>
  <c r="A202" i="21"/>
  <c r="AF201" i="21"/>
  <c r="AE201" i="21"/>
  <c r="Y201" i="21"/>
  <c r="X201" i="21"/>
  <c r="W201" i="21"/>
  <c r="V201" i="21"/>
  <c r="T201" i="21"/>
  <c r="S201" i="21"/>
  <c r="R201" i="21"/>
  <c r="Q201" i="21"/>
  <c r="P201" i="21"/>
  <c r="N201" i="21"/>
  <c r="M201" i="21"/>
  <c r="L201" i="21"/>
  <c r="K201" i="21"/>
  <c r="J201" i="21"/>
  <c r="I201" i="21"/>
  <c r="H201" i="21"/>
  <c r="G201" i="21"/>
  <c r="F201" i="21"/>
  <c r="E201" i="21"/>
  <c r="D201" i="21"/>
  <c r="B201" i="21"/>
  <c r="A201" i="21"/>
  <c r="AF200" i="21"/>
  <c r="AE200" i="21"/>
  <c r="Y200" i="21"/>
  <c r="X200" i="21"/>
  <c r="W200" i="21"/>
  <c r="V200" i="21"/>
  <c r="U200" i="21"/>
  <c r="T200" i="21"/>
  <c r="S200" i="21"/>
  <c r="R200" i="21"/>
  <c r="Q200" i="21"/>
  <c r="P200" i="21"/>
  <c r="N200" i="21"/>
  <c r="M200" i="21"/>
  <c r="L200" i="21"/>
  <c r="K200" i="21"/>
  <c r="J200" i="21"/>
  <c r="I200" i="21"/>
  <c r="H200" i="21"/>
  <c r="E200" i="21"/>
  <c r="D200" i="21"/>
  <c r="B200" i="21"/>
  <c r="A200" i="21"/>
  <c r="AF199" i="21"/>
  <c r="AE199" i="21"/>
  <c r="Y199" i="21"/>
  <c r="X199" i="21"/>
  <c r="W199" i="21"/>
  <c r="V199" i="21"/>
  <c r="T199" i="21"/>
  <c r="S199" i="21"/>
  <c r="R199" i="21"/>
  <c r="Q199" i="21"/>
  <c r="P199" i="21"/>
  <c r="N199" i="21"/>
  <c r="M199" i="21"/>
  <c r="L199" i="21"/>
  <c r="K199" i="21"/>
  <c r="J199" i="21"/>
  <c r="I199" i="21"/>
  <c r="H199" i="21"/>
  <c r="G199" i="21"/>
  <c r="F199" i="21"/>
  <c r="E199" i="21"/>
  <c r="D199" i="21"/>
  <c r="B199" i="21"/>
  <c r="A199" i="21"/>
  <c r="AF198" i="21"/>
  <c r="AE198" i="21"/>
  <c r="Y198" i="21"/>
  <c r="X198" i="21"/>
  <c r="W198" i="21"/>
  <c r="V198" i="21"/>
  <c r="T198" i="21"/>
  <c r="S198" i="21"/>
  <c r="R198" i="21"/>
  <c r="Q198" i="21"/>
  <c r="P198" i="21"/>
  <c r="N198" i="21"/>
  <c r="M198" i="21"/>
  <c r="L198" i="21"/>
  <c r="K198" i="21"/>
  <c r="J198" i="21"/>
  <c r="I198" i="21"/>
  <c r="H198" i="21"/>
  <c r="G198" i="21"/>
  <c r="F198" i="21"/>
  <c r="E198" i="21"/>
  <c r="D198" i="21"/>
  <c r="B198" i="21"/>
  <c r="A198" i="21"/>
  <c r="AF197" i="21"/>
  <c r="AE197" i="21"/>
  <c r="Y197" i="21"/>
  <c r="X197" i="21"/>
  <c r="W197" i="21"/>
  <c r="V197" i="21"/>
  <c r="T197" i="21"/>
  <c r="S197" i="21"/>
  <c r="R197" i="21"/>
  <c r="Q197" i="21"/>
  <c r="P197" i="21"/>
  <c r="N197" i="21"/>
  <c r="M197" i="21"/>
  <c r="L197" i="21"/>
  <c r="K197" i="21"/>
  <c r="J197" i="21"/>
  <c r="I197" i="21"/>
  <c r="H197" i="21"/>
  <c r="G197" i="21"/>
  <c r="F197" i="21"/>
  <c r="E197" i="21"/>
  <c r="D197" i="21"/>
  <c r="B197" i="21"/>
  <c r="A197" i="21"/>
  <c r="AF196" i="21"/>
  <c r="AE196" i="21"/>
  <c r="Y196" i="21"/>
  <c r="X196" i="21"/>
  <c r="W196" i="21"/>
  <c r="V196" i="21"/>
  <c r="U196" i="21"/>
  <c r="T196" i="21"/>
  <c r="S196" i="21"/>
  <c r="R196" i="21"/>
  <c r="Q196" i="21"/>
  <c r="P196" i="21"/>
  <c r="N196" i="21"/>
  <c r="M196" i="21"/>
  <c r="L196" i="21"/>
  <c r="K196" i="21"/>
  <c r="J196" i="21"/>
  <c r="I196" i="21"/>
  <c r="H196" i="21"/>
  <c r="E196" i="21"/>
  <c r="D196" i="21"/>
  <c r="B196" i="21"/>
  <c r="A196" i="21"/>
  <c r="AF195" i="21"/>
  <c r="AE195" i="21"/>
  <c r="Y195" i="21"/>
  <c r="X195" i="21"/>
  <c r="W195" i="21"/>
  <c r="V195" i="21"/>
  <c r="T195" i="21"/>
  <c r="S195" i="21"/>
  <c r="R195" i="21"/>
  <c r="Q195" i="21"/>
  <c r="P195" i="21"/>
  <c r="N195" i="21"/>
  <c r="M195" i="21"/>
  <c r="L195" i="21"/>
  <c r="K195" i="21"/>
  <c r="J195" i="21"/>
  <c r="I195" i="21"/>
  <c r="H195" i="21"/>
  <c r="G195" i="21"/>
  <c r="F195" i="21"/>
  <c r="E195" i="21"/>
  <c r="D195" i="21"/>
  <c r="B195" i="21"/>
  <c r="A195" i="21"/>
  <c r="AF194" i="21"/>
  <c r="AE194" i="21"/>
  <c r="Y194" i="21"/>
  <c r="X194" i="21"/>
  <c r="W194" i="21"/>
  <c r="V194" i="21"/>
  <c r="U194" i="21"/>
  <c r="T194" i="21"/>
  <c r="S194" i="21"/>
  <c r="R194" i="21"/>
  <c r="Q194" i="21"/>
  <c r="P194" i="21"/>
  <c r="N194" i="21"/>
  <c r="M194" i="21"/>
  <c r="L194" i="21"/>
  <c r="K194" i="21"/>
  <c r="J194" i="21"/>
  <c r="I194" i="21"/>
  <c r="H194" i="21"/>
  <c r="E194" i="21"/>
  <c r="D194" i="21"/>
  <c r="B194" i="21"/>
  <c r="A194" i="21"/>
  <c r="AF193" i="21"/>
  <c r="AE193" i="21"/>
  <c r="Y193" i="21"/>
  <c r="X193" i="21"/>
  <c r="W193" i="21"/>
  <c r="V193" i="21"/>
  <c r="T193" i="21"/>
  <c r="S193" i="21"/>
  <c r="R193" i="21"/>
  <c r="Q193" i="21"/>
  <c r="P193" i="21"/>
  <c r="N193" i="21"/>
  <c r="M193" i="21"/>
  <c r="L193" i="21"/>
  <c r="K193" i="21"/>
  <c r="J193" i="21"/>
  <c r="I193" i="21"/>
  <c r="H193" i="21"/>
  <c r="G193" i="21"/>
  <c r="F193" i="21"/>
  <c r="E193" i="21"/>
  <c r="D193" i="21"/>
  <c r="B193" i="21"/>
  <c r="A193" i="21"/>
  <c r="AF192" i="21"/>
  <c r="AE192" i="21"/>
  <c r="Y192" i="21"/>
  <c r="X192" i="21"/>
  <c r="W192" i="21"/>
  <c r="V192" i="21"/>
  <c r="U192" i="21"/>
  <c r="T192" i="21"/>
  <c r="S192" i="21"/>
  <c r="R192" i="21"/>
  <c r="Q192" i="21"/>
  <c r="P192" i="21"/>
  <c r="N192" i="21"/>
  <c r="M192" i="21"/>
  <c r="L192" i="21"/>
  <c r="K192" i="21"/>
  <c r="J192" i="21"/>
  <c r="I192" i="21"/>
  <c r="H192" i="21"/>
  <c r="E192" i="21"/>
  <c r="D192" i="21"/>
  <c r="B192" i="21"/>
  <c r="A192" i="21"/>
  <c r="AF191" i="21"/>
  <c r="AE191" i="21"/>
  <c r="Y191" i="21"/>
  <c r="X191" i="21"/>
  <c r="W191" i="21"/>
  <c r="V191" i="21"/>
  <c r="T191" i="21"/>
  <c r="S191" i="21"/>
  <c r="R191" i="21"/>
  <c r="Q191" i="21"/>
  <c r="P191" i="21"/>
  <c r="N191" i="21"/>
  <c r="M191" i="21"/>
  <c r="L191" i="21"/>
  <c r="K191" i="21"/>
  <c r="J191" i="21"/>
  <c r="I191" i="21"/>
  <c r="H191" i="21"/>
  <c r="G191" i="21"/>
  <c r="F191" i="21"/>
  <c r="E191" i="21"/>
  <c r="D191" i="21"/>
  <c r="B191" i="21"/>
  <c r="A191" i="21"/>
  <c r="AF190" i="21"/>
  <c r="AE190" i="21"/>
  <c r="Y190" i="21"/>
  <c r="X190" i="21"/>
  <c r="W190" i="21"/>
  <c r="V190" i="21"/>
  <c r="T190" i="21"/>
  <c r="S190" i="21"/>
  <c r="R190" i="21"/>
  <c r="Q190" i="21"/>
  <c r="P190" i="21"/>
  <c r="N190" i="21"/>
  <c r="M190" i="21"/>
  <c r="L190" i="21"/>
  <c r="K190" i="21"/>
  <c r="J190" i="21"/>
  <c r="I190" i="21"/>
  <c r="H190" i="21"/>
  <c r="G190" i="21"/>
  <c r="F190" i="21"/>
  <c r="E190" i="21"/>
  <c r="D190" i="21"/>
  <c r="B190" i="21"/>
  <c r="A190" i="21"/>
  <c r="AF189" i="21"/>
  <c r="AE189" i="21"/>
  <c r="Y189" i="21"/>
  <c r="X189" i="21"/>
  <c r="W189" i="21"/>
  <c r="V189" i="21"/>
  <c r="T189" i="21"/>
  <c r="S189" i="21"/>
  <c r="R189" i="21"/>
  <c r="Q189" i="21"/>
  <c r="P189" i="21"/>
  <c r="N189" i="21"/>
  <c r="M189" i="21"/>
  <c r="L189" i="21"/>
  <c r="K189" i="21"/>
  <c r="J189" i="21"/>
  <c r="I189" i="21"/>
  <c r="H189" i="21"/>
  <c r="G189" i="21"/>
  <c r="F189" i="21"/>
  <c r="E189" i="21"/>
  <c r="D189" i="21"/>
  <c r="B189" i="21"/>
  <c r="A189" i="21"/>
  <c r="AF188" i="21"/>
  <c r="AE188" i="21"/>
  <c r="Y188" i="21"/>
  <c r="X188" i="21"/>
  <c r="W188" i="21"/>
  <c r="V188" i="21"/>
  <c r="T188" i="21"/>
  <c r="S188" i="21"/>
  <c r="R188" i="21"/>
  <c r="Q188" i="21"/>
  <c r="P188" i="21"/>
  <c r="N188" i="21"/>
  <c r="M188" i="21"/>
  <c r="L188" i="21"/>
  <c r="K188" i="21"/>
  <c r="J188" i="21"/>
  <c r="I188" i="21"/>
  <c r="H188" i="21"/>
  <c r="G188" i="21"/>
  <c r="F188" i="21"/>
  <c r="E188" i="21"/>
  <c r="D188" i="21"/>
  <c r="B188" i="21"/>
  <c r="A188" i="21"/>
  <c r="AF187" i="21"/>
  <c r="AE187" i="21"/>
  <c r="Y187" i="21"/>
  <c r="X187" i="21"/>
  <c r="W187" i="21"/>
  <c r="V187" i="21"/>
  <c r="U187" i="21"/>
  <c r="T187" i="21"/>
  <c r="S187" i="21"/>
  <c r="R187" i="21"/>
  <c r="Q187" i="21"/>
  <c r="P187" i="21"/>
  <c r="N187" i="21"/>
  <c r="M187" i="21"/>
  <c r="L187" i="21"/>
  <c r="K187" i="21"/>
  <c r="J187" i="21"/>
  <c r="I187" i="21"/>
  <c r="H187" i="21"/>
  <c r="E187" i="21"/>
  <c r="D187" i="21"/>
  <c r="B187" i="21"/>
  <c r="A187" i="21"/>
  <c r="AF186" i="21"/>
  <c r="AE186" i="21"/>
  <c r="Y186" i="21"/>
  <c r="X186" i="21"/>
  <c r="W186" i="21"/>
  <c r="V186" i="21"/>
  <c r="T186" i="21"/>
  <c r="S186" i="21"/>
  <c r="R186" i="21"/>
  <c r="Q186" i="21"/>
  <c r="P186" i="21"/>
  <c r="N186" i="21"/>
  <c r="M186" i="21"/>
  <c r="L186" i="21"/>
  <c r="K186" i="21"/>
  <c r="J186" i="21"/>
  <c r="I186" i="21"/>
  <c r="H186" i="21"/>
  <c r="G186" i="21"/>
  <c r="F186" i="21"/>
  <c r="E186" i="21"/>
  <c r="D186" i="21"/>
  <c r="B186" i="21"/>
  <c r="A186" i="21"/>
  <c r="AF185" i="21"/>
  <c r="AE185" i="21"/>
  <c r="Y185" i="21"/>
  <c r="X185" i="21"/>
  <c r="W185" i="21"/>
  <c r="V185" i="21"/>
  <c r="U185" i="21"/>
  <c r="T185" i="21"/>
  <c r="S185" i="21"/>
  <c r="R185" i="21"/>
  <c r="Q185" i="21"/>
  <c r="P185" i="21"/>
  <c r="N185" i="21"/>
  <c r="M185" i="21"/>
  <c r="L185" i="21"/>
  <c r="K185" i="21"/>
  <c r="J185" i="21"/>
  <c r="I185" i="21"/>
  <c r="H185" i="21"/>
  <c r="E185" i="21"/>
  <c r="D185" i="21"/>
  <c r="B185" i="21"/>
  <c r="A185" i="21"/>
  <c r="AF184" i="21"/>
  <c r="AE184" i="21"/>
  <c r="Y184" i="21"/>
  <c r="X184" i="21"/>
  <c r="W184" i="21"/>
  <c r="V184" i="21"/>
  <c r="T184" i="21"/>
  <c r="S184" i="21"/>
  <c r="R184" i="21"/>
  <c r="Q184" i="21"/>
  <c r="P184" i="21"/>
  <c r="N184" i="21"/>
  <c r="M184" i="21"/>
  <c r="L184" i="21"/>
  <c r="K184" i="21"/>
  <c r="J184" i="21"/>
  <c r="I184" i="21"/>
  <c r="H184" i="21"/>
  <c r="G184" i="21"/>
  <c r="F184" i="21"/>
  <c r="E184" i="21"/>
  <c r="D184" i="21"/>
  <c r="B184" i="21"/>
  <c r="A184" i="21"/>
  <c r="AF183" i="21"/>
  <c r="AE183" i="21"/>
  <c r="Y183" i="21"/>
  <c r="X183" i="21"/>
  <c r="W183" i="21"/>
  <c r="V183" i="21"/>
  <c r="U183" i="21"/>
  <c r="T183" i="21"/>
  <c r="S183" i="21"/>
  <c r="R183" i="21"/>
  <c r="Q183" i="21"/>
  <c r="P183" i="21"/>
  <c r="N183" i="21"/>
  <c r="M183" i="21"/>
  <c r="L183" i="21"/>
  <c r="K183" i="21"/>
  <c r="J183" i="21"/>
  <c r="I183" i="21"/>
  <c r="H183" i="21"/>
  <c r="E183" i="21"/>
  <c r="D183" i="21"/>
  <c r="B183" i="21"/>
  <c r="A183" i="21"/>
  <c r="AF182" i="21"/>
  <c r="AE182" i="21"/>
  <c r="Y182" i="21"/>
  <c r="X182" i="21"/>
  <c r="W182" i="21"/>
  <c r="V182" i="21"/>
  <c r="T182" i="21"/>
  <c r="S182" i="21"/>
  <c r="R182" i="21"/>
  <c r="Q182" i="21"/>
  <c r="P182" i="21"/>
  <c r="N182" i="21"/>
  <c r="M182" i="21"/>
  <c r="L182" i="21"/>
  <c r="K182" i="21"/>
  <c r="J182" i="21"/>
  <c r="I182" i="21"/>
  <c r="H182" i="21"/>
  <c r="G182" i="21"/>
  <c r="F182" i="21"/>
  <c r="E182" i="21"/>
  <c r="D182" i="21"/>
  <c r="B182" i="21"/>
  <c r="A182" i="21"/>
  <c r="AF181" i="21"/>
  <c r="AE181" i="21"/>
  <c r="Y181" i="21"/>
  <c r="X181" i="21"/>
  <c r="W181" i="21"/>
  <c r="V181" i="21"/>
  <c r="U181" i="21"/>
  <c r="T181" i="21"/>
  <c r="S181" i="21"/>
  <c r="R181" i="21"/>
  <c r="Q181" i="21"/>
  <c r="P181" i="21"/>
  <c r="N181" i="21"/>
  <c r="M181" i="21"/>
  <c r="L181" i="21"/>
  <c r="K181" i="21"/>
  <c r="J181" i="21"/>
  <c r="I181" i="21"/>
  <c r="H181" i="21"/>
  <c r="E181" i="21"/>
  <c r="D181" i="21"/>
  <c r="B181" i="21"/>
  <c r="A181" i="21"/>
  <c r="AF180" i="21"/>
  <c r="AE180" i="21"/>
  <c r="Y180" i="21"/>
  <c r="X180" i="21"/>
  <c r="W180" i="21"/>
  <c r="V180" i="21"/>
  <c r="T180" i="21"/>
  <c r="S180" i="21"/>
  <c r="R180" i="21"/>
  <c r="Q180" i="21"/>
  <c r="P180" i="21"/>
  <c r="N180" i="21"/>
  <c r="M180" i="21"/>
  <c r="L180" i="21"/>
  <c r="K180" i="21"/>
  <c r="J180" i="21"/>
  <c r="I180" i="21"/>
  <c r="H180" i="21"/>
  <c r="G180" i="21"/>
  <c r="F180" i="21"/>
  <c r="E180" i="21"/>
  <c r="D180" i="21"/>
  <c r="B180" i="21"/>
  <c r="A180" i="21"/>
  <c r="AF179" i="21"/>
  <c r="AE179" i="21"/>
  <c r="Y179" i="21"/>
  <c r="X179" i="21"/>
  <c r="W179" i="21"/>
  <c r="V179" i="21"/>
  <c r="T179" i="21"/>
  <c r="S179" i="21"/>
  <c r="R179" i="21"/>
  <c r="Q179" i="21"/>
  <c r="P179" i="21"/>
  <c r="N179" i="21"/>
  <c r="M179" i="21"/>
  <c r="L179" i="21"/>
  <c r="K179" i="21"/>
  <c r="J179" i="21"/>
  <c r="I179" i="21"/>
  <c r="H179" i="21"/>
  <c r="G179" i="21"/>
  <c r="F179" i="21"/>
  <c r="E179" i="21"/>
  <c r="D179" i="21"/>
  <c r="B179" i="21"/>
  <c r="A179" i="21"/>
  <c r="AF178" i="21"/>
  <c r="AE178" i="21"/>
  <c r="Y178" i="21"/>
  <c r="X178" i="21"/>
  <c r="W178" i="21"/>
  <c r="V178" i="21"/>
  <c r="U178" i="21"/>
  <c r="T178" i="21"/>
  <c r="S178" i="21"/>
  <c r="R178" i="21"/>
  <c r="Q178" i="21"/>
  <c r="P178" i="21"/>
  <c r="N178" i="21"/>
  <c r="M178" i="21"/>
  <c r="L178" i="21"/>
  <c r="K178" i="21"/>
  <c r="J178" i="21"/>
  <c r="I178" i="21"/>
  <c r="H178" i="21"/>
  <c r="E178" i="21"/>
  <c r="D178" i="21"/>
  <c r="B178" i="21"/>
  <c r="A178" i="21"/>
  <c r="AF177" i="21"/>
  <c r="AE177" i="21"/>
  <c r="Y177" i="21"/>
  <c r="X177" i="21"/>
  <c r="W177" i="21"/>
  <c r="V177" i="21"/>
  <c r="T177" i="21"/>
  <c r="S177" i="21"/>
  <c r="R177" i="21"/>
  <c r="Q177" i="21"/>
  <c r="P177" i="21"/>
  <c r="N177" i="21"/>
  <c r="M177" i="21"/>
  <c r="L177" i="21"/>
  <c r="K177" i="21"/>
  <c r="J177" i="21"/>
  <c r="I177" i="21"/>
  <c r="H177" i="21"/>
  <c r="G177" i="21"/>
  <c r="F177" i="21"/>
  <c r="E177" i="21"/>
  <c r="D177" i="21"/>
  <c r="B177" i="21"/>
  <c r="A177" i="21"/>
  <c r="AF176" i="21"/>
  <c r="AE176" i="21"/>
  <c r="Y176" i="21"/>
  <c r="X176" i="21"/>
  <c r="W176" i="21"/>
  <c r="V176" i="21"/>
  <c r="T176" i="21"/>
  <c r="S176" i="21"/>
  <c r="R176" i="21"/>
  <c r="Q176" i="21"/>
  <c r="P176" i="21"/>
  <c r="N176" i="21"/>
  <c r="M176" i="21"/>
  <c r="L176" i="21"/>
  <c r="K176" i="21"/>
  <c r="J176" i="21"/>
  <c r="I176" i="21"/>
  <c r="H176" i="21"/>
  <c r="G176" i="21"/>
  <c r="F176" i="21"/>
  <c r="E176" i="21"/>
  <c r="D176" i="21"/>
  <c r="B176" i="21"/>
  <c r="A176" i="21"/>
  <c r="AF175" i="21"/>
  <c r="AE175" i="21"/>
  <c r="Y175" i="21"/>
  <c r="X175" i="21"/>
  <c r="W175" i="21"/>
  <c r="V175" i="21"/>
  <c r="U175" i="21"/>
  <c r="T175" i="21"/>
  <c r="S175" i="21"/>
  <c r="R175" i="21"/>
  <c r="Q175" i="21"/>
  <c r="P175" i="21"/>
  <c r="N175" i="21"/>
  <c r="M175" i="21"/>
  <c r="L175" i="21"/>
  <c r="K175" i="21"/>
  <c r="J175" i="21"/>
  <c r="I175" i="21"/>
  <c r="H175" i="21"/>
  <c r="E175" i="21"/>
  <c r="D175" i="21"/>
  <c r="B175" i="21"/>
  <c r="A175" i="21"/>
  <c r="AF174" i="21"/>
  <c r="AE174" i="21"/>
  <c r="Y174" i="21"/>
  <c r="X174" i="21"/>
  <c r="W174" i="21"/>
  <c r="V174" i="21"/>
  <c r="T174" i="21"/>
  <c r="S174" i="21"/>
  <c r="R174" i="21"/>
  <c r="Q174" i="21"/>
  <c r="P174" i="21"/>
  <c r="N174" i="21"/>
  <c r="M174" i="21"/>
  <c r="L174" i="21"/>
  <c r="K174" i="21"/>
  <c r="J174" i="21"/>
  <c r="I174" i="21"/>
  <c r="H174" i="21"/>
  <c r="G174" i="21"/>
  <c r="F174" i="21"/>
  <c r="E174" i="21"/>
  <c r="D174" i="21"/>
  <c r="B174" i="21"/>
  <c r="A174" i="21"/>
  <c r="AF173" i="21"/>
  <c r="AE173" i="21"/>
  <c r="Y173" i="21"/>
  <c r="X173" i="21"/>
  <c r="W173" i="21"/>
  <c r="V173" i="21"/>
  <c r="U173" i="21"/>
  <c r="T173" i="21"/>
  <c r="S173" i="21"/>
  <c r="R173" i="21"/>
  <c r="Q173" i="21"/>
  <c r="P173" i="21"/>
  <c r="N173" i="21"/>
  <c r="M173" i="21"/>
  <c r="L173" i="21"/>
  <c r="K173" i="21"/>
  <c r="J173" i="21"/>
  <c r="I173" i="21"/>
  <c r="H173" i="21"/>
  <c r="E173" i="21"/>
  <c r="D173" i="21"/>
  <c r="B173" i="21"/>
  <c r="A173" i="21"/>
  <c r="AF172" i="21"/>
  <c r="AE172" i="21"/>
  <c r="Y172" i="21"/>
  <c r="X172" i="21"/>
  <c r="W172" i="21"/>
  <c r="V172" i="21"/>
  <c r="T172" i="21"/>
  <c r="S172" i="21"/>
  <c r="R172" i="21"/>
  <c r="Q172" i="21"/>
  <c r="P172" i="21"/>
  <c r="N172" i="21"/>
  <c r="M172" i="21"/>
  <c r="L172" i="21"/>
  <c r="K172" i="21"/>
  <c r="J172" i="21"/>
  <c r="I172" i="21"/>
  <c r="H172" i="21"/>
  <c r="G172" i="21"/>
  <c r="F172" i="21"/>
  <c r="E172" i="21"/>
  <c r="D172" i="21"/>
  <c r="B172" i="21"/>
  <c r="A172" i="21"/>
  <c r="AF171" i="21"/>
  <c r="AE171" i="21"/>
  <c r="Y171" i="21"/>
  <c r="X171" i="21"/>
  <c r="W171" i="21"/>
  <c r="V171" i="21"/>
  <c r="U171" i="21"/>
  <c r="T171" i="21"/>
  <c r="S171" i="21"/>
  <c r="R171" i="21"/>
  <c r="Q171" i="21"/>
  <c r="P171" i="21"/>
  <c r="N171" i="21"/>
  <c r="M171" i="21"/>
  <c r="L171" i="21"/>
  <c r="K171" i="21"/>
  <c r="J171" i="21"/>
  <c r="I171" i="21"/>
  <c r="H171" i="21"/>
  <c r="E171" i="21"/>
  <c r="D171" i="21"/>
  <c r="B171" i="21"/>
  <c r="A171" i="21"/>
  <c r="AF170" i="21"/>
  <c r="AE170" i="21"/>
  <c r="Y170" i="21"/>
  <c r="X170" i="21"/>
  <c r="W170" i="21"/>
  <c r="V170" i="21"/>
  <c r="T170" i="21"/>
  <c r="S170" i="21"/>
  <c r="R170" i="21"/>
  <c r="Q170" i="21"/>
  <c r="P170" i="21"/>
  <c r="N170" i="21"/>
  <c r="M170" i="21"/>
  <c r="L170" i="21"/>
  <c r="K170" i="21"/>
  <c r="J170" i="21"/>
  <c r="I170" i="21"/>
  <c r="H170" i="21"/>
  <c r="G170" i="21"/>
  <c r="F170" i="21"/>
  <c r="E170" i="21"/>
  <c r="D170" i="21"/>
  <c r="B170" i="21"/>
  <c r="A170" i="21"/>
  <c r="AF169" i="21"/>
  <c r="AE169" i="21"/>
  <c r="Y169" i="21"/>
  <c r="X169" i="21"/>
  <c r="W169" i="21"/>
  <c r="V169" i="21"/>
  <c r="T169" i="21"/>
  <c r="S169" i="21"/>
  <c r="R169" i="21"/>
  <c r="Q169" i="21"/>
  <c r="P169" i="21"/>
  <c r="N169" i="21"/>
  <c r="M169" i="21"/>
  <c r="L169" i="21"/>
  <c r="K169" i="21"/>
  <c r="J169" i="21"/>
  <c r="I169" i="21"/>
  <c r="H169" i="21"/>
  <c r="G169" i="21"/>
  <c r="F169" i="21"/>
  <c r="E169" i="21"/>
  <c r="D169" i="21"/>
  <c r="B169" i="21"/>
  <c r="A169" i="21"/>
  <c r="AF168" i="21"/>
  <c r="AE168" i="21"/>
  <c r="Y168" i="21"/>
  <c r="X168" i="21"/>
  <c r="W168" i="21"/>
  <c r="V168" i="21"/>
  <c r="T168" i="21"/>
  <c r="S168" i="21"/>
  <c r="R168" i="21"/>
  <c r="Q168" i="21"/>
  <c r="P168" i="21"/>
  <c r="N168" i="21"/>
  <c r="M168" i="21"/>
  <c r="L168" i="21"/>
  <c r="K168" i="21"/>
  <c r="J168" i="21"/>
  <c r="I168" i="21"/>
  <c r="H168" i="21"/>
  <c r="G168" i="21"/>
  <c r="F168" i="21"/>
  <c r="E168" i="21"/>
  <c r="D168" i="21"/>
  <c r="B168" i="21"/>
  <c r="A168" i="21"/>
  <c r="AF167" i="21"/>
  <c r="AE167" i="21"/>
  <c r="Y167" i="21"/>
  <c r="X167" i="21"/>
  <c r="W167" i="21"/>
  <c r="V167" i="21"/>
  <c r="T167" i="21"/>
  <c r="S167" i="21"/>
  <c r="R167" i="21"/>
  <c r="Q167" i="21"/>
  <c r="P167" i="21"/>
  <c r="N167" i="21"/>
  <c r="M167" i="21"/>
  <c r="L167" i="21"/>
  <c r="K167" i="21"/>
  <c r="J167" i="21"/>
  <c r="I167" i="21"/>
  <c r="H167" i="21"/>
  <c r="G167" i="21"/>
  <c r="F167" i="21"/>
  <c r="E167" i="21"/>
  <c r="D167" i="21"/>
  <c r="B167" i="21"/>
  <c r="A167" i="21"/>
  <c r="AF166" i="21"/>
  <c r="AE166" i="21"/>
  <c r="Y166" i="21"/>
  <c r="X166" i="21"/>
  <c r="W166" i="21"/>
  <c r="V166" i="21"/>
  <c r="T166" i="21"/>
  <c r="S166" i="21"/>
  <c r="R166" i="21"/>
  <c r="Q166" i="21"/>
  <c r="P166" i="21"/>
  <c r="N166" i="21"/>
  <c r="M166" i="21"/>
  <c r="L166" i="21"/>
  <c r="K166" i="21"/>
  <c r="J166" i="21"/>
  <c r="I166" i="21"/>
  <c r="H166" i="21"/>
  <c r="G166" i="21"/>
  <c r="F166" i="21"/>
  <c r="E166" i="21"/>
  <c r="D166" i="21"/>
  <c r="B166" i="21"/>
  <c r="A166" i="21"/>
  <c r="AF165" i="21"/>
  <c r="AE165" i="21"/>
  <c r="Y165" i="21"/>
  <c r="X165" i="21"/>
  <c r="W165" i="21"/>
  <c r="V165" i="21"/>
  <c r="T165" i="21"/>
  <c r="S165" i="21"/>
  <c r="R165" i="21"/>
  <c r="Q165" i="21"/>
  <c r="P165" i="21"/>
  <c r="N165" i="21"/>
  <c r="M165" i="21"/>
  <c r="L165" i="21"/>
  <c r="K165" i="21"/>
  <c r="J165" i="21"/>
  <c r="I165" i="21"/>
  <c r="H165" i="21"/>
  <c r="G165" i="21"/>
  <c r="F165" i="21"/>
  <c r="E165" i="21"/>
  <c r="D165" i="21"/>
  <c r="B165" i="21"/>
  <c r="A165" i="21"/>
  <c r="AF164" i="21"/>
  <c r="AE164" i="21"/>
  <c r="Y164" i="21"/>
  <c r="X164" i="21"/>
  <c r="W164" i="21"/>
  <c r="V164" i="21"/>
  <c r="T164" i="21"/>
  <c r="S164" i="21"/>
  <c r="R164" i="21"/>
  <c r="Q164" i="21"/>
  <c r="P164" i="21"/>
  <c r="N164" i="21"/>
  <c r="M164" i="21"/>
  <c r="L164" i="21"/>
  <c r="K164" i="21"/>
  <c r="J164" i="21"/>
  <c r="I164" i="21"/>
  <c r="H164" i="21"/>
  <c r="G164" i="21"/>
  <c r="F164" i="21"/>
  <c r="E164" i="21"/>
  <c r="D164" i="21"/>
  <c r="B164" i="21"/>
  <c r="A164" i="21"/>
  <c r="AF163" i="21"/>
  <c r="AE163" i="21"/>
  <c r="Y163" i="21"/>
  <c r="X163" i="21"/>
  <c r="W163" i="21"/>
  <c r="V163" i="21"/>
  <c r="T163" i="21"/>
  <c r="S163" i="21"/>
  <c r="R163" i="21"/>
  <c r="Q163" i="21"/>
  <c r="P163" i="21"/>
  <c r="N163" i="21"/>
  <c r="M163" i="21"/>
  <c r="L163" i="21"/>
  <c r="K163" i="21"/>
  <c r="J163" i="21"/>
  <c r="I163" i="21"/>
  <c r="H163" i="21"/>
  <c r="G163" i="21"/>
  <c r="F163" i="21"/>
  <c r="E163" i="21"/>
  <c r="D163" i="21"/>
  <c r="B163" i="21"/>
  <c r="A163" i="21"/>
  <c r="AF162" i="21"/>
  <c r="AE162" i="21"/>
  <c r="Y162" i="21"/>
  <c r="X162" i="21"/>
  <c r="W162" i="21"/>
  <c r="V162" i="21"/>
  <c r="T162" i="21"/>
  <c r="S162" i="21"/>
  <c r="R162" i="21"/>
  <c r="Q162" i="21"/>
  <c r="P162" i="21"/>
  <c r="N162" i="21"/>
  <c r="M162" i="21"/>
  <c r="L162" i="21"/>
  <c r="K162" i="21"/>
  <c r="J162" i="21"/>
  <c r="I162" i="21"/>
  <c r="H162" i="21"/>
  <c r="G162" i="21"/>
  <c r="F162" i="21"/>
  <c r="E162" i="21"/>
  <c r="D162" i="21"/>
  <c r="B162" i="21"/>
  <c r="A162" i="21"/>
  <c r="AF161" i="21"/>
  <c r="AE161" i="21"/>
  <c r="Y161" i="21"/>
  <c r="X161" i="21"/>
  <c r="W161" i="21"/>
  <c r="V161" i="21"/>
  <c r="T161" i="21"/>
  <c r="S161" i="21"/>
  <c r="R161" i="21"/>
  <c r="Q161" i="21"/>
  <c r="P161" i="21"/>
  <c r="N161" i="21"/>
  <c r="M161" i="21"/>
  <c r="L161" i="21"/>
  <c r="K161" i="21"/>
  <c r="J161" i="21"/>
  <c r="I161" i="21"/>
  <c r="H161" i="21"/>
  <c r="G161" i="21"/>
  <c r="F161" i="21"/>
  <c r="E161" i="21"/>
  <c r="D161" i="21"/>
  <c r="B161" i="21"/>
  <c r="A161" i="21"/>
  <c r="AF160" i="21"/>
  <c r="AE160" i="21"/>
  <c r="Y160" i="21"/>
  <c r="X160" i="21"/>
  <c r="W160" i="21"/>
  <c r="V160" i="21"/>
  <c r="T160" i="21"/>
  <c r="S160" i="21"/>
  <c r="R160" i="21"/>
  <c r="Q160" i="21"/>
  <c r="P160" i="21"/>
  <c r="N160" i="21"/>
  <c r="M160" i="21"/>
  <c r="L160" i="21"/>
  <c r="K160" i="21"/>
  <c r="J160" i="21"/>
  <c r="I160" i="21"/>
  <c r="H160" i="21"/>
  <c r="G160" i="21"/>
  <c r="F160" i="21"/>
  <c r="E160" i="21"/>
  <c r="D160" i="21"/>
  <c r="B160" i="21"/>
  <c r="A160" i="21"/>
  <c r="AF159" i="21"/>
  <c r="AE159" i="21"/>
  <c r="Y159" i="21"/>
  <c r="X159" i="21"/>
  <c r="W159" i="21"/>
  <c r="V159" i="21"/>
  <c r="U159" i="21"/>
  <c r="T159" i="21"/>
  <c r="S159" i="21"/>
  <c r="R159" i="21"/>
  <c r="Q159" i="21"/>
  <c r="P159" i="21"/>
  <c r="N159" i="21"/>
  <c r="M159" i="21"/>
  <c r="L159" i="21"/>
  <c r="K159" i="21"/>
  <c r="J159" i="21"/>
  <c r="I159" i="21"/>
  <c r="H159" i="21"/>
  <c r="E159" i="21"/>
  <c r="D159" i="21"/>
  <c r="B159" i="21"/>
  <c r="A159" i="21"/>
  <c r="AF158" i="21"/>
  <c r="AE158" i="21"/>
  <c r="Y158" i="21"/>
  <c r="X158" i="21"/>
  <c r="W158" i="21"/>
  <c r="V158" i="21"/>
  <c r="T158" i="21"/>
  <c r="S158" i="21"/>
  <c r="R158" i="21"/>
  <c r="Q158" i="21"/>
  <c r="P158" i="21"/>
  <c r="N158" i="21"/>
  <c r="M158" i="21"/>
  <c r="L158" i="21"/>
  <c r="K158" i="21"/>
  <c r="J158" i="21"/>
  <c r="I158" i="21"/>
  <c r="H158" i="21"/>
  <c r="G158" i="21"/>
  <c r="F158" i="21"/>
  <c r="E158" i="21"/>
  <c r="D158" i="21"/>
  <c r="B158" i="21"/>
  <c r="A158" i="21"/>
  <c r="AF157" i="21"/>
  <c r="AE157" i="21"/>
  <c r="Y157" i="21"/>
  <c r="X157" i="21"/>
  <c r="W157" i="21"/>
  <c r="V157" i="21"/>
  <c r="U157" i="21"/>
  <c r="T157" i="21"/>
  <c r="S157" i="21"/>
  <c r="R157" i="21"/>
  <c r="Q157" i="21"/>
  <c r="P157" i="21"/>
  <c r="N157" i="21"/>
  <c r="M157" i="21"/>
  <c r="L157" i="21"/>
  <c r="K157" i="21"/>
  <c r="J157" i="21"/>
  <c r="I157" i="21"/>
  <c r="H157" i="21"/>
  <c r="E157" i="21"/>
  <c r="D157" i="21"/>
  <c r="B157" i="21"/>
  <c r="A157" i="21"/>
  <c r="AF156" i="21"/>
  <c r="AE156" i="21"/>
  <c r="Y156" i="21"/>
  <c r="X156" i="21"/>
  <c r="W156" i="21"/>
  <c r="V156" i="21"/>
  <c r="T156" i="21"/>
  <c r="S156" i="21"/>
  <c r="R156" i="21"/>
  <c r="Q156" i="21"/>
  <c r="P156" i="21"/>
  <c r="N156" i="21"/>
  <c r="M156" i="21"/>
  <c r="L156" i="21"/>
  <c r="K156" i="21"/>
  <c r="J156" i="21"/>
  <c r="I156" i="21"/>
  <c r="H156" i="21"/>
  <c r="G156" i="21"/>
  <c r="F156" i="21"/>
  <c r="E156" i="21"/>
  <c r="D156" i="21"/>
  <c r="B156" i="21"/>
  <c r="A156" i="21"/>
  <c r="AF155" i="21"/>
  <c r="AE155" i="21"/>
  <c r="Y155" i="21"/>
  <c r="X155" i="21"/>
  <c r="W155" i="21"/>
  <c r="V155" i="21"/>
  <c r="T155" i="21"/>
  <c r="S155" i="21"/>
  <c r="R155" i="21"/>
  <c r="Q155" i="21"/>
  <c r="P155" i="21"/>
  <c r="N155" i="21"/>
  <c r="M155" i="21"/>
  <c r="L155" i="21"/>
  <c r="K155" i="21"/>
  <c r="J155" i="21"/>
  <c r="I155" i="21"/>
  <c r="H155" i="21"/>
  <c r="G155" i="21"/>
  <c r="F155" i="21"/>
  <c r="E155" i="21"/>
  <c r="D155" i="21"/>
  <c r="B155" i="21"/>
  <c r="A155" i="21"/>
  <c r="AF154" i="21"/>
  <c r="AE154" i="21"/>
  <c r="Y154" i="21"/>
  <c r="X154" i="21"/>
  <c r="W154" i="21"/>
  <c r="V154" i="21"/>
  <c r="T154" i="21"/>
  <c r="S154" i="21"/>
  <c r="R154" i="21"/>
  <c r="Q154" i="21"/>
  <c r="P154" i="21"/>
  <c r="N154" i="21"/>
  <c r="M154" i="21"/>
  <c r="L154" i="21"/>
  <c r="K154" i="21"/>
  <c r="J154" i="21"/>
  <c r="I154" i="21"/>
  <c r="H154" i="21"/>
  <c r="G154" i="21"/>
  <c r="F154" i="21"/>
  <c r="E154" i="21"/>
  <c r="D154" i="21"/>
  <c r="B154" i="21"/>
  <c r="A154" i="21"/>
  <c r="AF153" i="21"/>
  <c r="AE153" i="21"/>
  <c r="Y153" i="21"/>
  <c r="X153" i="21"/>
  <c r="W153" i="21"/>
  <c r="V153" i="21"/>
  <c r="T153" i="21"/>
  <c r="S153" i="21"/>
  <c r="R153" i="21"/>
  <c r="Q153" i="21"/>
  <c r="P153" i="21"/>
  <c r="N153" i="21"/>
  <c r="M153" i="21"/>
  <c r="L153" i="21"/>
  <c r="K153" i="21"/>
  <c r="J153" i="21"/>
  <c r="I153" i="21"/>
  <c r="H153" i="21"/>
  <c r="G153" i="21"/>
  <c r="F153" i="21"/>
  <c r="E153" i="21"/>
  <c r="D153" i="21"/>
  <c r="B153" i="21"/>
  <c r="A153" i="21"/>
  <c r="AF152" i="21"/>
  <c r="AE152" i="21"/>
  <c r="Y152" i="21"/>
  <c r="X152" i="21"/>
  <c r="W152" i="21"/>
  <c r="V152" i="21"/>
  <c r="T152" i="21"/>
  <c r="S152" i="21"/>
  <c r="R152" i="21"/>
  <c r="Q152" i="21"/>
  <c r="P152" i="21"/>
  <c r="N152" i="21"/>
  <c r="M152" i="21"/>
  <c r="L152" i="21"/>
  <c r="K152" i="21"/>
  <c r="J152" i="21"/>
  <c r="I152" i="21"/>
  <c r="H152" i="21"/>
  <c r="G152" i="21"/>
  <c r="F152" i="21"/>
  <c r="E152" i="21"/>
  <c r="D152" i="21"/>
  <c r="B152" i="21"/>
  <c r="A152" i="21"/>
  <c r="AF151" i="21"/>
  <c r="AE151" i="21"/>
  <c r="Y151" i="21"/>
  <c r="X151" i="21"/>
  <c r="W151" i="21"/>
  <c r="V151" i="21"/>
  <c r="T151" i="21"/>
  <c r="S151" i="21"/>
  <c r="R151" i="21"/>
  <c r="Q151" i="21"/>
  <c r="P151" i="21"/>
  <c r="N151" i="21"/>
  <c r="M151" i="21"/>
  <c r="L151" i="21"/>
  <c r="K151" i="21"/>
  <c r="J151" i="21"/>
  <c r="I151" i="21"/>
  <c r="H151" i="21"/>
  <c r="G151" i="21"/>
  <c r="F151" i="21"/>
  <c r="E151" i="21"/>
  <c r="D151" i="21"/>
  <c r="B151" i="21"/>
  <c r="A151" i="21"/>
  <c r="AF150" i="21"/>
  <c r="AE150" i="21"/>
  <c r="Y150" i="21"/>
  <c r="X150" i="21"/>
  <c r="W150" i="21"/>
  <c r="V150" i="21"/>
  <c r="U150" i="21"/>
  <c r="T150" i="21"/>
  <c r="S150" i="21"/>
  <c r="R150" i="21"/>
  <c r="Q150" i="21"/>
  <c r="P150" i="21"/>
  <c r="N150" i="21"/>
  <c r="M150" i="21"/>
  <c r="L150" i="21"/>
  <c r="K150" i="21"/>
  <c r="J150" i="21"/>
  <c r="I150" i="21"/>
  <c r="H150" i="21"/>
  <c r="E150" i="21"/>
  <c r="D150" i="21"/>
  <c r="B150" i="21"/>
  <c r="A150" i="21"/>
  <c r="AF149" i="21"/>
  <c r="AE149" i="21"/>
  <c r="Y149" i="21"/>
  <c r="X149" i="21"/>
  <c r="W149" i="21"/>
  <c r="V149" i="21"/>
  <c r="U149" i="21"/>
  <c r="T149" i="21"/>
  <c r="S149" i="21"/>
  <c r="R149" i="21"/>
  <c r="Q149" i="21"/>
  <c r="P149" i="21"/>
  <c r="N149" i="21"/>
  <c r="M149" i="21"/>
  <c r="L149" i="21"/>
  <c r="K149" i="21"/>
  <c r="J149" i="21"/>
  <c r="I149" i="21"/>
  <c r="H149" i="21"/>
  <c r="E149" i="21"/>
  <c r="D149" i="21"/>
  <c r="B149" i="21"/>
  <c r="A149" i="21"/>
  <c r="AF148" i="21"/>
  <c r="AE148" i="21"/>
  <c r="Y148" i="21"/>
  <c r="X148" i="21"/>
  <c r="W148" i="21"/>
  <c r="V148" i="21"/>
  <c r="T148" i="21"/>
  <c r="S148" i="21"/>
  <c r="R148" i="21"/>
  <c r="Q148" i="21"/>
  <c r="P148" i="21"/>
  <c r="N148" i="21"/>
  <c r="M148" i="21"/>
  <c r="L148" i="21"/>
  <c r="K148" i="21"/>
  <c r="J148" i="21"/>
  <c r="I148" i="21"/>
  <c r="H148" i="21"/>
  <c r="G148" i="21"/>
  <c r="F148" i="21"/>
  <c r="E148" i="21"/>
  <c r="D148" i="21"/>
  <c r="B148" i="21"/>
  <c r="A148" i="21"/>
  <c r="AF147" i="21"/>
  <c r="AE147" i="21"/>
  <c r="Y147" i="21"/>
  <c r="X147" i="21"/>
  <c r="W147" i="21"/>
  <c r="V147" i="21"/>
  <c r="T147" i="21"/>
  <c r="S147" i="21"/>
  <c r="R147" i="21"/>
  <c r="Q147" i="21"/>
  <c r="P147" i="21"/>
  <c r="N147" i="21"/>
  <c r="M147" i="21"/>
  <c r="L147" i="21"/>
  <c r="K147" i="21"/>
  <c r="J147" i="21"/>
  <c r="I147" i="21"/>
  <c r="H147" i="21"/>
  <c r="G147" i="21"/>
  <c r="F147" i="21"/>
  <c r="E147" i="21"/>
  <c r="D147" i="21"/>
  <c r="B147" i="21"/>
  <c r="A147" i="21"/>
  <c r="AF146" i="21"/>
  <c r="AE146" i="21"/>
  <c r="Y146" i="21"/>
  <c r="X146" i="21"/>
  <c r="W146" i="21"/>
  <c r="V146" i="21"/>
  <c r="U146" i="21"/>
  <c r="T146" i="21"/>
  <c r="S146" i="21"/>
  <c r="R146" i="21"/>
  <c r="Q146" i="21"/>
  <c r="P146" i="21"/>
  <c r="N146" i="21"/>
  <c r="M146" i="21"/>
  <c r="L146" i="21"/>
  <c r="K146" i="21"/>
  <c r="J146" i="21"/>
  <c r="I146" i="21"/>
  <c r="H146" i="21"/>
  <c r="E146" i="21"/>
  <c r="D146" i="21"/>
  <c r="B146" i="21"/>
  <c r="A146" i="21"/>
  <c r="AF145" i="21"/>
  <c r="AE145" i="21"/>
  <c r="Y145" i="21"/>
  <c r="X145" i="21"/>
  <c r="W145" i="21"/>
  <c r="V145" i="21"/>
  <c r="U145" i="21"/>
  <c r="T145" i="21"/>
  <c r="S145" i="21"/>
  <c r="R145" i="21"/>
  <c r="Q145" i="21"/>
  <c r="P145" i="21"/>
  <c r="N145" i="21"/>
  <c r="M145" i="21"/>
  <c r="L145" i="21"/>
  <c r="K145" i="21"/>
  <c r="J145" i="21"/>
  <c r="I145" i="21"/>
  <c r="H145" i="21"/>
  <c r="E145" i="21"/>
  <c r="D145" i="21"/>
  <c r="B145" i="21"/>
  <c r="A145" i="21"/>
  <c r="AF144" i="21"/>
  <c r="AE144" i="21"/>
  <c r="Y144" i="21"/>
  <c r="X144" i="21"/>
  <c r="W144" i="21"/>
  <c r="V144" i="21"/>
  <c r="U144" i="21"/>
  <c r="T144" i="21"/>
  <c r="S144" i="21"/>
  <c r="R144" i="21"/>
  <c r="Q144" i="21"/>
  <c r="P144" i="21"/>
  <c r="N144" i="21"/>
  <c r="M144" i="21"/>
  <c r="L144" i="21"/>
  <c r="K144" i="21"/>
  <c r="J144" i="21"/>
  <c r="I144" i="21"/>
  <c r="H144" i="21"/>
  <c r="E144" i="21"/>
  <c r="D144" i="21"/>
  <c r="B144" i="21"/>
  <c r="A144" i="21"/>
  <c r="AF143" i="21"/>
  <c r="AE143" i="21"/>
  <c r="Y143" i="21"/>
  <c r="X143" i="21"/>
  <c r="W143" i="21"/>
  <c r="V143" i="21"/>
  <c r="T143" i="21"/>
  <c r="S143" i="21"/>
  <c r="R143" i="21"/>
  <c r="Q143" i="21"/>
  <c r="P143" i="21"/>
  <c r="N143" i="21"/>
  <c r="M143" i="21"/>
  <c r="L143" i="21"/>
  <c r="K143" i="21"/>
  <c r="J143" i="21"/>
  <c r="I143" i="21"/>
  <c r="H143" i="21"/>
  <c r="G143" i="21"/>
  <c r="F143" i="21"/>
  <c r="E143" i="21"/>
  <c r="D143" i="21"/>
  <c r="B143" i="21"/>
  <c r="A143" i="21"/>
  <c r="AF142" i="21"/>
  <c r="AE142" i="21"/>
  <c r="Y142" i="21"/>
  <c r="X142" i="21"/>
  <c r="W142" i="21"/>
  <c r="V142" i="21"/>
  <c r="T142" i="21"/>
  <c r="S142" i="21"/>
  <c r="R142" i="21"/>
  <c r="Q142" i="21"/>
  <c r="P142" i="21"/>
  <c r="N142" i="21"/>
  <c r="M142" i="21"/>
  <c r="L142" i="21"/>
  <c r="K142" i="21"/>
  <c r="J142" i="21"/>
  <c r="I142" i="21"/>
  <c r="H142" i="21"/>
  <c r="G142" i="21"/>
  <c r="F142" i="21"/>
  <c r="E142" i="21"/>
  <c r="D142" i="21"/>
  <c r="B142" i="21"/>
  <c r="A142" i="21"/>
  <c r="AF141" i="21"/>
  <c r="AE141" i="21"/>
  <c r="Y141" i="21"/>
  <c r="X141" i="21"/>
  <c r="W141" i="21"/>
  <c r="V141" i="21"/>
  <c r="T141" i="21"/>
  <c r="S141" i="21"/>
  <c r="R141" i="21"/>
  <c r="Q141" i="21"/>
  <c r="P141" i="21"/>
  <c r="N141" i="21"/>
  <c r="M141" i="21"/>
  <c r="L141" i="21"/>
  <c r="K141" i="21"/>
  <c r="J141" i="21"/>
  <c r="I141" i="21"/>
  <c r="H141" i="21"/>
  <c r="G141" i="21"/>
  <c r="F141" i="21"/>
  <c r="E141" i="21"/>
  <c r="D141" i="21"/>
  <c r="B141" i="21"/>
  <c r="A141" i="21"/>
  <c r="AF140" i="21"/>
  <c r="AE140" i="21"/>
  <c r="Y140" i="21"/>
  <c r="X140" i="21"/>
  <c r="W140" i="21"/>
  <c r="V140" i="21"/>
  <c r="T140" i="21"/>
  <c r="S140" i="21"/>
  <c r="R140" i="21"/>
  <c r="Q140" i="21"/>
  <c r="P140" i="21"/>
  <c r="N140" i="21"/>
  <c r="M140" i="21"/>
  <c r="L140" i="21"/>
  <c r="K140" i="21"/>
  <c r="J140" i="21"/>
  <c r="I140" i="21"/>
  <c r="H140" i="21"/>
  <c r="G140" i="21"/>
  <c r="F140" i="21"/>
  <c r="E140" i="21"/>
  <c r="D140" i="21"/>
  <c r="B140" i="21"/>
  <c r="A140" i="21"/>
  <c r="AF139" i="21"/>
  <c r="AE139" i="21"/>
  <c r="Y139" i="21"/>
  <c r="X139" i="21"/>
  <c r="W139" i="21"/>
  <c r="V139" i="21"/>
  <c r="T139" i="21"/>
  <c r="S139" i="21"/>
  <c r="R139" i="21"/>
  <c r="Q139" i="21"/>
  <c r="P139" i="21"/>
  <c r="N139" i="21"/>
  <c r="M139" i="21"/>
  <c r="L139" i="21"/>
  <c r="K139" i="21"/>
  <c r="J139" i="21"/>
  <c r="I139" i="21"/>
  <c r="H139" i="21"/>
  <c r="G139" i="21"/>
  <c r="F139" i="21"/>
  <c r="E139" i="21"/>
  <c r="D139" i="21"/>
  <c r="B139" i="21"/>
  <c r="A139" i="21"/>
  <c r="AF138" i="21"/>
  <c r="AE138" i="21"/>
  <c r="Y138" i="21"/>
  <c r="X138" i="21"/>
  <c r="W138" i="21"/>
  <c r="V138" i="21"/>
  <c r="U138" i="21"/>
  <c r="T138" i="21"/>
  <c r="S138" i="21"/>
  <c r="R138" i="21"/>
  <c r="Q138" i="21"/>
  <c r="P138" i="21"/>
  <c r="N138" i="21"/>
  <c r="M138" i="21"/>
  <c r="L138" i="21"/>
  <c r="K138" i="21"/>
  <c r="J138" i="21"/>
  <c r="I138" i="21"/>
  <c r="H138" i="21"/>
  <c r="E138" i="21"/>
  <c r="D138" i="21"/>
  <c r="B138" i="21"/>
  <c r="A138" i="21"/>
  <c r="AF137" i="21"/>
  <c r="AE137" i="21"/>
  <c r="Y137" i="21"/>
  <c r="X137" i="21"/>
  <c r="W137" i="21"/>
  <c r="V137" i="21"/>
  <c r="T137" i="21"/>
  <c r="S137" i="21"/>
  <c r="R137" i="21"/>
  <c r="Q137" i="21"/>
  <c r="P137" i="21"/>
  <c r="N137" i="21"/>
  <c r="M137" i="21"/>
  <c r="L137" i="21"/>
  <c r="K137" i="21"/>
  <c r="J137" i="21"/>
  <c r="I137" i="21"/>
  <c r="H137" i="21"/>
  <c r="G137" i="21"/>
  <c r="F137" i="21"/>
  <c r="E137" i="21"/>
  <c r="D137" i="21"/>
  <c r="B137" i="21"/>
  <c r="A137" i="21"/>
  <c r="AF136" i="21"/>
  <c r="AE136" i="21"/>
  <c r="Y136" i="21"/>
  <c r="X136" i="21"/>
  <c r="W136" i="21"/>
  <c r="V136" i="21"/>
  <c r="U136" i="21"/>
  <c r="T136" i="21"/>
  <c r="S136" i="21"/>
  <c r="R136" i="21"/>
  <c r="Q136" i="21"/>
  <c r="P136" i="21"/>
  <c r="N136" i="21"/>
  <c r="M136" i="21"/>
  <c r="L136" i="21"/>
  <c r="K136" i="21"/>
  <c r="J136" i="21"/>
  <c r="I136" i="21"/>
  <c r="H136" i="21"/>
  <c r="E136" i="21"/>
  <c r="D136" i="21"/>
  <c r="B136" i="21"/>
  <c r="A136" i="21"/>
  <c r="AF135" i="21"/>
  <c r="AE135" i="21"/>
  <c r="Y135" i="21"/>
  <c r="X135" i="21"/>
  <c r="W135" i="21"/>
  <c r="V135" i="21"/>
  <c r="T135" i="21"/>
  <c r="S135" i="21"/>
  <c r="R135" i="21"/>
  <c r="Q135" i="21"/>
  <c r="P135" i="21"/>
  <c r="N135" i="21"/>
  <c r="M135" i="21"/>
  <c r="L135" i="21"/>
  <c r="K135" i="21"/>
  <c r="J135" i="21"/>
  <c r="I135" i="21"/>
  <c r="H135" i="21"/>
  <c r="G135" i="21"/>
  <c r="F135" i="21"/>
  <c r="E135" i="21"/>
  <c r="D135" i="21"/>
  <c r="B135" i="21"/>
  <c r="A135" i="21"/>
  <c r="AF134" i="21"/>
  <c r="AE134" i="21"/>
  <c r="Y134" i="21"/>
  <c r="X134" i="21"/>
  <c r="W134" i="21"/>
  <c r="V134" i="21"/>
  <c r="U134" i="21"/>
  <c r="T134" i="21"/>
  <c r="S134" i="21"/>
  <c r="R134" i="21"/>
  <c r="Q134" i="21"/>
  <c r="P134" i="21"/>
  <c r="N134" i="21"/>
  <c r="M134" i="21"/>
  <c r="L134" i="21"/>
  <c r="K134" i="21"/>
  <c r="J134" i="21"/>
  <c r="I134" i="21"/>
  <c r="H134" i="21"/>
  <c r="E134" i="21"/>
  <c r="D134" i="21"/>
  <c r="B134" i="21"/>
  <c r="A134" i="21"/>
  <c r="AF133" i="21"/>
  <c r="AE133" i="21"/>
  <c r="Y133" i="21"/>
  <c r="X133" i="21"/>
  <c r="W133" i="21"/>
  <c r="V133" i="21"/>
  <c r="U133" i="21"/>
  <c r="T133" i="21"/>
  <c r="S133" i="21"/>
  <c r="R133" i="21"/>
  <c r="Q133" i="21"/>
  <c r="P133" i="21"/>
  <c r="N133" i="21"/>
  <c r="M133" i="21"/>
  <c r="L133" i="21"/>
  <c r="K133" i="21"/>
  <c r="J133" i="21"/>
  <c r="I133" i="21"/>
  <c r="H133" i="21"/>
  <c r="E133" i="21"/>
  <c r="D133" i="21"/>
  <c r="B133" i="21"/>
  <c r="A133" i="21"/>
  <c r="AF132" i="21"/>
  <c r="AE132" i="21"/>
  <c r="Y132" i="21"/>
  <c r="X132" i="21"/>
  <c r="W132" i="21"/>
  <c r="V132" i="21"/>
  <c r="T132" i="21"/>
  <c r="S132" i="21"/>
  <c r="R132" i="21"/>
  <c r="Q132" i="21"/>
  <c r="P132" i="21"/>
  <c r="N132" i="21"/>
  <c r="M132" i="21"/>
  <c r="L132" i="21"/>
  <c r="K132" i="21"/>
  <c r="J132" i="21"/>
  <c r="I132" i="21"/>
  <c r="H132" i="21"/>
  <c r="G132" i="21"/>
  <c r="F132" i="21"/>
  <c r="E132" i="21"/>
  <c r="D132" i="21"/>
  <c r="B132" i="21"/>
  <c r="A132" i="21"/>
  <c r="AF131" i="21"/>
  <c r="AE131" i="21"/>
  <c r="Y131" i="21"/>
  <c r="X131" i="21"/>
  <c r="W131" i="21"/>
  <c r="V131" i="21"/>
  <c r="U131" i="21"/>
  <c r="T131" i="21"/>
  <c r="S131" i="21"/>
  <c r="R131" i="21"/>
  <c r="Q131" i="21"/>
  <c r="P131" i="21"/>
  <c r="N131" i="21"/>
  <c r="M131" i="21"/>
  <c r="L131" i="21"/>
  <c r="K131" i="21"/>
  <c r="J131" i="21"/>
  <c r="I131" i="21"/>
  <c r="H131" i="21"/>
  <c r="E131" i="21"/>
  <c r="D131" i="21"/>
  <c r="B131" i="21"/>
  <c r="A131" i="21"/>
  <c r="AF130" i="21"/>
  <c r="AE130" i="21"/>
  <c r="Y130" i="21"/>
  <c r="X130" i="21"/>
  <c r="W130" i="21"/>
  <c r="V130" i="21"/>
  <c r="U130" i="21"/>
  <c r="T130" i="21"/>
  <c r="S130" i="21"/>
  <c r="R130" i="21"/>
  <c r="Q130" i="21"/>
  <c r="P130" i="21"/>
  <c r="N130" i="21"/>
  <c r="M130" i="21"/>
  <c r="L130" i="21"/>
  <c r="K130" i="21"/>
  <c r="J130" i="21"/>
  <c r="I130" i="21"/>
  <c r="H130" i="21"/>
  <c r="E130" i="21"/>
  <c r="D130" i="21"/>
  <c r="B130" i="21"/>
  <c r="A130" i="21"/>
  <c r="AF129" i="21"/>
  <c r="AE129" i="21"/>
  <c r="Y129" i="21"/>
  <c r="X129" i="21"/>
  <c r="W129" i="21"/>
  <c r="V129" i="21"/>
  <c r="T129" i="21"/>
  <c r="S129" i="21"/>
  <c r="R129" i="21"/>
  <c r="Q129" i="21"/>
  <c r="P129" i="21"/>
  <c r="N129" i="21"/>
  <c r="M129" i="21"/>
  <c r="L129" i="21"/>
  <c r="K129" i="21"/>
  <c r="J129" i="21"/>
  <c r="I129" i="21"/>
  <c r="H129" i="21"/>
  <c r="G129" i="21"/>
  <c r="F129" i="21"/>
  <c r="E129" i="21"/>
  <c r="D129" i="21"/>
  <c r="B129" i="21"/>
  <c r="A129" i="21"/>
  <c r="AF128" i="21"/>
  <c r="AE128" i="21"/>
  <c r="Y128" i="21"/>
  <c r="X128" i="21"/>
  <c r="W128" i="21"/>
  <c r="V128" i="21"/>
  <c r="U128" i="21"/>
  <c r="T128" i="21"/>
  <c r="S128" i="21"/>
  <c r="R128" i="21"/>
  <c r="Q128" i="21"/>
  <c r="P128" i="21"/>
  <c r="N128" i="21"/>
  <c r="M128" i="21"/>
  <c r="L128" i="21"/>
  <c r="K128" i="21"/>
  <c r="J128" i="21"/>
  <c r="I128" i="21"/>
  <c r="H128" i="21"/>
  <c r="E128" i="21"/>
  <c r="D128" i="21"/>
  <c r="B128" i="21"/>
  <c r="A128" i="21"/>
  <c r="AF127" i="21"/>
  <c r="AE127" i="21"/>
  <c r="Y127" i="21"/>
  <c r="X127" i="21"/>
  <c r="W127" i="21"/>
  <c r="V127" i="21"/>
  <c r="T127" i="21"/>
  <c r="S127" i="21"/>
  <c r="R127" i="21"/>
  <c r="Q127" i="21"/>
  <c r="P127" i="21"/>
  <c r="N127" i="21"/>
  <c r="M127" i="21"/>
  <c r="L127" i="21"/>
  <c r="K127" i="21"/>
  <c r="J127" i="21"/>
  <c r="I127" i="21"/>
  <c r="H127" i="21"/>
  <c r="G127" i="21"/>
  <c r="F127" i="21"/>
  <c r="E127" i="21"/>
  <c r="D127" i="21"/>
  <c r="B127" i="21"/>
  <c r="A127" i="21"/>
  <c r="AF126" i="21"/>
  <c r="AE126" i="21"/>
  <c r="Y126" i="21"/>
  <c r="X126" i="21"/>
  <c r="W126" i="21"/>
  <c r="V126" i="21"/>
  <c r="U126" i="21"/>
  <c r="T126" i="21"/>
  <c r="S126" i="21"/>
  <c r="R126" i="21"/>
  <c r="Q126" i="21"/>
  <c r="P126" i="21"/>
  <c r="N126" i="21"/>
  <c r="M126" i="21"/>
  <c r="L126" i="21"/>
  <c r="K126" i="21"/>
  <c r="J126" i="21"/>
  <c r="I126" i="21"/>
  <c r="H126" i="21"/>
  <c r="E126" i="21"/>
  <c r="D126" i="21"/>
  <c r="B126" i="21"/>
  <c r="A126" i="21"/>
  <c r="AF125" i="21"/>
  <c r="AE125" i="21"/>
  <c r="Y125" i="21"/>
  <c r="X125" i="21"/>
  <c r="W125" i="21"/>
  <c r="V125" i="21"/>
  <c r="U125" i="21"/>
  <c r="T125" i="21"/>
  <c r="S125" i="21"/>
  <c r="R125" i="21"/>
  <c r="Q125" i="21"/>
  <c r="P125" i="21"/>
  <c r="N125" i="21"/>
  <c r="M125" i="21"/>
  <c r="L125" i="21"/>
  <c r="K125" i="21"/>
  <c r="J125" i="21"/>
  <c r="I125" i="21"/>
  <c r="H125" i="21"/>
  <c r="E125" i="21"/>
  <c r="D125" i="21"/>
  <c r="B125" i="21"/>
  <c r="A125" i="21"/>
  <c r="AF124" i="21"/>
  <c r="AE124" i="21"/>
  <c r="Y124" i="21"/>
  <c r="X124" i="21"/>
  <c r="W124" i="21"/>
  <c r="V124" i="21"/>
  <c r="T124" i="21"/>
  <c r="S124" i="21"/>
  <c r="R124" i="21"/>
  <c r="Q124" i="21"/>
  <c r="P124" i="21"/>
  <c r="N124" i="21"/>
  <c r="M124" i="21"/>
  <c r="L124" i="21"/>
  <c r="K124" i="21"/>
  <c r="J124" i="21"/>
  <c r="I124" i="21"/>
  <c r="H124" i="21"/>
  <c r="G124" i="21"/>
  <c r="F124" i="21"/>
  <c r="E124" i="21"/>
  <c r="D124" i="21"/>
  <c r="B124" i="21"/>
  <c r="A124" i="21"/>
  <c r="AF123" i="21"/>
  <c r="AE123" i="21"/>
  <c r="Y123" i="21"/>
  <c r="X123" i="21"/>
  <c r="W123" i="21"/>
  <c r="V123" i="21"/>
  <c r="U123" i="21"/>
  <c r="T123" i="21"/>
  <c r="S123" i="21"/>
  <c r="R123" i="21"/>
  <c r="Q123" i="21"/>
  <c r="P123" i="21"/>
  <c r="N123" i="21"/>
  <c r="M123" i="21"/>
  <c r="L123" i="21"/>
  <c r="K123" i="21"/>
  <c r="J123" i="21"/>
  <c r="I123" i="21"/>
  <c r="H123" i="21"/>
  <c r="E123" i="21"/>
  <c r="D123" i="21"/>
  <c r="B123" i="21"/>
  <c r="A123" i="21"/>
  <c r="AF122" i="21"/>
  <c r="AE122" i="21"/>
  <c r="Y122" i="21"/>
  <c r="X122" i="21"/>
  <c r="W122" i="21"/>
  <c r="V122" i="21"/>
  <c r="T122" i="21"/>
  <c r="S122" i="21"/>
  <c r="R122" i="21"/>
  <c r="Q122" i="21"/>
  <c r="P122" i="21"/>
  <c r="N122" i="21"/>
  <c r="M122" i="21"/>
  <c r="L122" i="21"/>
  <c r="K122" i="21"/>
  <c r="J122" i="21"/>
  <c r="I122" i="21"/>
  <c r="H122" i="21"/>
  <c r="G122" i="21"/>
  <c r="F122" i="21"/>
  <c r="E122" i="21"/>
  <c r="D122" i="21"/>
  <c r="B122" i="21"/>
  <c r="A122" i="21"/>
  <c r="AF121" i="21"/>
  <c r="AE121" i="21"/>
  <c r="Y121" i="21"/>
  <c r="X121" i="21"/>
  <c r="W121" i="21"/>
  <c r="V121" i="21"/>
  <c r="T121" i="21"/>
  <c r="S121" i="21"/>
  <c r="R121" i="21"/>
  <c r="Q121" i="21"/>
  <c r="P121" i="21"/>
  <c r="N121" i="21"/>
  <c r="M121" i="21"/>
  <c r="L121" i="21"/>
  <c r="K121" i="21"/>
  <c r="J121" i="21"/>
  <c r="I121" i="21"/>
  <c r="H121" i="21"/>
  <c r="G121" i="21"/>
  <c r="F121" i="21"/>
  <c r="E121" i="21"/>
  <c r="D121" i="21"/>
  <c r="B121" i="21"/>
  <c r="A121" i="21"/>
  <c r="AF120" i="21"/>
  <c r="AE120" i="21"/>
  <c r="Y120" i="21"/>
  <c r="X120" i="21"/>
  <c r="W120" i="21"/>
  <c r="V120" i="21"/>
  <c r="U120" i="21"/>
  <c r="T120" i="21"/>
  <c r="S120" i="21"/>
  <c r="R120" i="21"/>
  <c r="Q120" i="21"/>
  <c r="P120" i="21"/>
  <c r="N120" i="21"/>
  <c r="M120" i="21"/>
  <c r="L120" i="21"/>
  <c r="K120" i="21"/>
  <c r="J120" i="21"/>
  <c r="I120" i="21"/>
  <c r="H120" i="21"/>
  <c r="E120" i="21"/>
  <c r="D120" i="21"/>
  <c r="B120" i="21"/>
  <c r="A120" i="21"/>
  <c r="AF119" i="21"/>
  <c r="AE119" i="21"/>
  <c r="Y119" i="21"/>
  <c r="X119" i="21"/>
  <c r="W119" i="21"/>
  <c r="V119" i="21"/>
  <c r="U119" i="21"/>
  <c r="T119" i="21"/>
  <c r="S119" i="21"/>
  <c r="R119" i="21"/>
  <c r="Q119" i="21"/>
  <c r="P119" i="21"/>
  <c r="N119" i="21"/>
  <c r="M119" i="21"/>
  <c r="L119" i="21"/>
  <c r="K119" i="21"/>
  <c r="J119" i="21"/>
  <c r="I119" i="21"/>
  <c r="H119" i="21"/>
  <c r="E119" i="21"/>
  <c r="D119" i="21"/>
  <c r="B119" i="21"/>
  <c r="A119" i="21"/>
  <c r="AF118" i="21"/>
  <c r="AE118" i="21"/>
  <c r="Y118" i="21"/>
  <c r="X118" i="21"/>
  <c r="W118" i="21"/>
  <c r="V118" i="21"/>
  <c r="T118" i="21"/>
  <c r="S118" i="21"/>
  <c r="R118" i="21"/>
  <c r="Q118" i="21"/>
  <c r="P118" i="21"/>
  <c r="N118" i="21"/>
  <c r="M118" i="21"/>
  <c r="L118" i="21"/>
  <c r="K118" i="21"/>
  <c r="J118" i="21"/>
  <c r="I118" i="21"/>
  <c r="H118" i="21"/>
  <c r="G118" i="21"/>
  <c r="F118" i="21"/>
  <c r="E118" i="21"/>
  <c r="D118" i="21"/>
  <c r="B118" i="21"/>
  <c r="A118" i="21"/>
  <c r="AF117" i="21"/>
  <c r="AE117" i="21"/>
  <c r="Y117" i="21"/>
  <c r="X117" i="21"/>
  <c r="W117" i="21"/>
  <c r="V117" i="21"/>
  <c r="U117" i="21"/>
  <c r="T117" i="21"/>
  <c r="S117" i="21"/>
  <c r="R117" i="21"/>
  <c r="Q117" i="21"/>
  <c r="P117" i="21"/>
  <c r="N117" i="21"/>
  <c r="M117" i="21"/>
  <c r="L117" i="21"/>
  <c r="K117" i="21"/>
  <c r="J117" i="21"/>
  <c r="I117" i="21"/>
  <c r="H117" i="21"/>
  <c r="E117" i="21"/>
  <c r="D117" i="21"/>
  <c r="B117" i="21"/>
  <c r="A117" i="21"/>
  <c r="AF116" i="21"/>
  <c r="AE116" i="21"/>
  <c r="Y116" i="21"/>
  <c r="X116" i="21"/>
  <c r="W116" i="21"/>
  <c r="V116" i="21"/>
  <c r="U116" i="21"/>
  <c r="T116" i="21"/>
  <c r="S116" i="21"/>
  <c r="R116" i="21"/>
  <c r="Q116" i="21"/>
  <c r="P116" i="21"/>
  <c r="N116" i="21"/>
  <c r="M116" i="21"/>
  <c r="L116" i="21"/>
  <c r="K116" i="21"/>
  <c r="J116" i="21"/>
  <c r="I116" i="21"/>
  <c r="H116" i="21"/>
  <c r="E116" i="21"/>
  <c r="D116" i="21"/>
  <c r="B116" i="21"/>
  <c r="A116" i="21"/>
  <c r="AF115" i="21"/>
  <c r="AE115" i="21"/>
  <c r="Y115" i="21"/>
  <c r="X115" i="21"/>
  <c r="W115" i="21"/>
  <c r="V115" i="21"/>
  <c r="T115" i="21"/>
  <c r="S115" i="21"/>
  <c r="R115" i="21"/>
  <c r="Q115" i="21"/>
  <c r="P115" i="21"/>
  <c r="N115" i="21"/>
  <c r="M115" i="21"/>
  <c r="L115" i="21"/>
  <c r="K115" i="21"/>
  <c r="J115" i="21"/>
  <c r="I115" i="21"/>
  <c r="H115" i="21"/>
  <c r="G115" i="21"/>
  <c r="F115" i="21"/>
  <c r="E115" i="21"/>
  <c r="D115" i="21"/>
  <c r="B115" i="21"/>
  <c r="A115" i="21"/>
  <c r="AF114" i="21"/>
  <c r="AE114" i="21"/>
  <c r="Y114" i="21"/>
  <c r="X114" i="21"/>
  <c r="W114" i="21"/>
  <c r="V114" i="21"/>
  <c r="U114" i="21"/>
  <c r="T114" i="21"/>
  <c r="S114" i="21"/>
  <c r="R114" i="21"/>
  <c r="Q114" i="21"/>
  <c r="P114" i="21"/>
  <c r="N114" i="21"/>
  <c r="M114" i="21"/>
  <c r="L114" i="21"/>
  <c r="K114" i="21"/>
  <c r="J114" i="21"/>
  <c r="I114" i="21"/>
  <c r="H114" i="21"/>
  <c r="E114" i="21"/>
  <c r="D114" i="21"/>
  <c r="B114" i="21"/>
  <c r="A114" i="21"/>
  <c r="AF113" i="21"/>
  <c r="AE113" i="21"/>
  <c r="Y113" i="21"/>
  <c r="X113" i="21"/>
  <c r="W113" i="21"/>
  <c r="V113" i="21"/>
  <c r="T113" i="21"/>
  <c r="S113" i="21"/>
  <c r="R113" i="21"/>
  <c r="Q113" i="21"/>
  <c r="P113" i="21"/>
  <c r="N113" i="21"/>
  <c r="M113" i="21"/>
  <c r="L113" i="21"/>
  <c r="K113" i="21"/>
  <c r="J113" i="21"/>
  <c r="I113" i="21"/>
  <c r="H113" i="21"/>
  <c r="G113" i="21"/>
  <c r="F113" i="21"/>
  <c r="E113" i="21"/>
  <c r="D113" i="21"/>
  <c r="B113" i="21"/>
  <c r="A113" i="21"/>
  <c r="AF112" i="21"/>
  <c r="AE112" i="21"/>
  <c r="Y112" i="21"/>
  <c r="X112" i="21"/>
  <c r="W112" i="21"/>
  <c r="V112" i="21"/>
  <c r="U112" i="21"/>
  <c r="T112" i="21"/>
  <c r="S112" i="21"/>
  <c r="R112" i="21"/>
  <c r="Q112" i="21"/>
  <c r="P112" i="21"/>
  <c r="N112" i="21"/>
  <c r="M112" i="21"/>
  <c r="L112" i="21"/>
  <c r="K112" i="21"/>
  <c r="J112" i="21"/>
  <c r="I112" i="21"/>
  <c r="H112" i="21"/>
  <c r="E112" i="21"/>
  <c r="D112" i="21"/>
  <c r="B112" i="21"/>
  <c r="A112" i="21"/>
  <c r="AF111" i="21"/>
  <c r="AE111" i="21"/>
  <c r="Y111" i="21"/>
  <c r="X111" i="21"/>
  <c r="W111" i="21"/>
  <c r="V111" i="21"/>
  <c r="T111" i="21"/>
  <c r="S111" i="21"/>
  <c r="R111" i="21"/>
  <c r="Q111" i="21"/>
  <c r="P111" i="21"/>
  <c r="N111" i="21"/>
  <c r="M111" i="21"/>
  <c r="L111" i="21"/>
  <c r="K111" i="21"/>
  <c r="J111" i="21"/>
  <c r="I111" i="21"/>
  <c r="H111" i="21"/>
  <c r="G111" i="21"/>
  <c r="F111" i="21"/>
  <c r="E111" i="21"/>
  <c r="D111" i="21"/>
  <c r="B111" i="21"/>
  <c r="A111" i="21"/>
  <c r="AF110" i="21"/>
  <c r="AE110" i="21"/>
  <c r="Y110" i="21"/>
  <c r="X110" i="21"/>
  <c r="W110" i="21"/>
  <c r="V110" i="21"/>
  <c r="U110" i="21"/>
  <c r="T110" i="21"/>
  <c r="S110" i="21"/>
  <c r="R110" i="21"/>
  <c r="Q110" i="21"/>
  <c r="P110" i="21"/>
  <c r="N110" i="21"/>
  <c r="M110" i="21"/>
  <c r="L110" i="21"/>
  <c r="K110" i="21"/>
  <c r="J110" i="21"/>
  <c r="I110" i="21"/>
  <c r="H110" i="21"/>
  <c r="E110" i="21"/>
  <c r="D110" i="21"/>
  <c r="B110" i="21"/>
  <c r="A110" i="21"/>
  <c r="AF109" i="21"/>
  <c r="AE109" i="21"/>
  <c r="Y109" i="21"/>
  <c r="X109" i="21"/>
  <c r="W109" i="21"/>
  <c r="V109" i="21"/>
  <c r="T109" i="21"/>
  <c r="S109" i="21"/>
  <c r="R109" i="21"/>
  <c r="Q109" i="21"/>
  <c r="P109" i="21"/>
  <c r="N109" i="21"/>
  <c r="M109" i="21"/>
  <c r="L109" i="21"/>
  <c r="K109" i="21"/>
  <c r="J109" i="21"/>
  <c r="I109" i="21"/>
  <c r="H109" i="21"/>
  <c r="G109" i="21"/>
  <c r="F109" i="21"/>
  <c r="E109" i="21"/>
  <c r="D109" i="21"/>
  <c r="B109" i="21"/>
  <c r="A109" i="21"/>
  <c r="AF108" i="21"/>
  <c r="AE108" i="21"/>
  <c r="Y108" i="21"/>
  <c r="X108" i="21"/>
  <c r="W108" i="21"/>
  <c r="V108" i="21"/>
  <c r="U108" i="21"/>
  <c r="T108" i="21"/>
  <c r="S108" i="21"/>
  <c r="R108" i="21"/>
  <c r="Q108" i="21"/>
  <c r="P108" i="21"/>
  <c r="N108" i="21"/>
  <c r="M108" i="21"/>
  <c r="L108" i="21"/>
  <c r="K108" i="21"/>
  <c r="J108" i="21"/>
  <c r="I108" i="21"/>
  <c r="H108" i="21"/>
  <c r="E108" i="21"/>
  <c r="D108" i="21"/>
  <c r="B108" i="21"/>
  <c r="A108" i="21"/>
  <c r="AF107" i="21"/>
  <c r="AE107" i="21"/>
  <c r="Y107" i="21"/>
  <c r="X107" i="21"/>
  <c r="W107" i="21"/>
  <c r="V107" i="21"/>
  <c r="U107" i="21"/>
  <c r="T107" i="21"/>
  <c r="S107" i="21"/>
  <c r="R107" i="21"/>
  <c r="Q107" i="21"/>
  <c r="P107" i="21"/>
  <c r="N107" i="21"/>
  <c r="M107" i="21"/>
  <c r="L107" i="21"/>
  <c r="K107" i="21"/>
  <c r="J107" i="21"/>
  <c r="I107" i="21"/>
  <c r="H107" i="21"/>
  <c r="E107" i="21"/>
  <c r="D107" i="21"/>
  <c r="B107" i="21"/>
  <c r="A107" i="21"/>
  <c r="AF106" i="21"/>
  <c r="AE106" i="21"/>
  <c r="Y106" i="21"/>
  <c r="X106" i="21"/>
  <c r="W106" i="21"/>
  <c r="V106" i="21"/>
  <c r="T106" i="21"/>
  <c r="S106" i="21"/>
  <c r="R106" i="21"/>
  <c r="Q106" i="21"/>
  <c r="P106" i="21"/>
  <c r="N106" i="21"/>
  <c r="M106" i="21"/>
  <c r="L106" i="21"/>
  <c r="K106" i="21"/>
  <c r="J106" i="21"/>
  <c r="I106" i="21"/>
  <c r="H106" i="21"/>
  <c r="G106" i="21"/>
  <c r="F106" i="21"/>
  <c r="E106" i="21"/>
  <c r="D106" i="21"/>
  <c r="B106" i="21"/>
  <c r="A106" i="21"/>
  <c r="AF105" i="21"/>
  <c r="AE105" i="21"/>
  <c r="Y105" i="21"/>
  <c r="X105" i="21"/>
  <c r="W105" i="21"/>
  <c r="V105" i="21"/>
  <c r="U105" i="21"/>
  <c r="T105" i="21"/>
  <c r="S105" i="21"/>
  <c r="R105" i="21"/>
  <c r="Q105" i="21"/>
  <c r="P105" i="21"/>
  <c r="N105" i="21"/>
  <c r="M105" i="21"/>
  <c r="L105" i="21"/>
  <c r="K105" i="21"/>
  <c r="J105" i="21"/>
  <c r="I105" i="21"/>
  <c r="H105" i="21"/>
  <c r="E105" i="21"/>
  <c r="D105" i="21"/>
  <c r="B105" i="21"/>
  <c r="A105" i="21"/>
  <c r="AF104" i="21"/>
  <c r="AE104" i="21"/>
  <c r="Y104" i="21"/>
  <c r="X104" i="21"/>
  <c r="W104" i="21"/>
  <c r="V104" i="21"/>
  <c r="T104" i="21"/>
  <c r="S104" i="21"/>
  <c r="R104" i="21"/>
  <c r="Q104" i="21"/>
  <c r="P104" i="21"/>
  <c r="N104" i="21"/>
  <c r="M104" i="21"/>
  <c r="L104" i="21"/>
  <c r="K104" i="21"/>
  <c r="J104" i="21"/>
  <c r="I104" i="21"/>
  <c r="H104" i="21"/>
  <c r="G104" i="21"/>
  <c r="F104" i="21"/>
  <c r="E104" i="21"/>
  <c r="D104" i="21"/>
  <c r="B104" i="21"/>
  <c r="A104" i="21"/>
  <c r="AF103" i="21"/>
  <c r="AE103" i="21"/>
  <c r="Y103" i="21"/>
  <c r="X103" i="21"/>
  <c r="W103" i="21"/>
  <c r="V103" i="21"/>
  <c r="T103" i="21"/>
  <c r="S103" i="21"/>
  <c r="R103" i="21"/>
  <c r="Q103" i="21"/>
  <c r="P103" i="21"/>
  <c r="N103" i="21"/>
  <c r="M103" i="21"/>
  <c r="L103" i="21"/>
  <c r="K103" i="21"/>
  <c r="J103" i="21"/>
  <c r="I103" i="21"/>
  <c r="H103" i="21"/>
  <c r="G103" i="21"/>
  <c r="F103" i="21"/>
  <c r="E103" i="21"/>
  <c r="D103" i="21"/>
  <c r="B103" i="21"/>
  <c r="A103" i="21"/>
  <c r="AF102" i="21"/>
  <c r="AE102" i="21"/>
  <c r="Y102" i="21"/>
  <c r="X102" i="21"/>
  <c r="W102" i="21"/>
  <c r="V102" i="21"/>
  <c r="T102" i="21"/>
  <c r="S102" i="21"/>
  <c r="R102" i="21"/>
  <c r="Q102" i="21"/>
  <c r="P102" i="21"/>
  <c r="N102" i="21"/>
  <c r="M102" i="21"/>
  <c r="L102" i="21"/>
  <c r="K102" i="21"/>
  <c r="J102" i="21"/>
  <c r="I102" i="21"/>
  <c r="H102" i="21"/>
  <c r="G102" i="21"/>
  <c r="F102" i="21"/>
  <c r="E102" i="21"/>
  <c r="D102" i="21"/>
  <c r="B102" i="21"/>
  <c r="A102" i="21"/>
  <c r="AF101" i="21"/>
  <c r="AE101" i="21"/>
  <c r="Y101" i="21"/>
  <c r="X101" i="21"/>
  <c r="W101" i="21"/>
  <c r="V101" i="21"/>
  <c r="T101" i="21"/>
  <c r="S101" i="21"/>
  <c r="R101" i="21"/>
  <c r="Q101" i="21"/>
  <c r="P101" i="21"/>
  <c r="N101" i="21"/>
  <c r="M101" i="21"/>
  <c r="L101" i="21"/>
  <c r="K101" i="21"/>
  <c r="J101" i="21"/>
  <c r="I101" i="21"/>
  <c r="H101" i="21"/>
  <c r="G101" i="21"/>
  <c r="F101" i="21"/>
  <c r="E101" i="21"/>
  <c r="D101" i="21"/>
  <c r="B101" i="21"/>
  <c r="A101" i="21"/>
  <c r="AF100" i="21"/>
  <c r="AE100" i="21"/>
  <c r="Y100" i="21"/>
  <c r="X100" i="21"/>
  <c r="W100" i="21"/>
  <c r="V100" i="21"/>
  <c r="T100" i="21"/>
  <c r="S100" i="21"/>
  <c r="R100" i="21"/>
  <c r="Q100" i="21"/>
  <c r="P100" i="21"/>
  <c r="N100" i="21"/>
  <c r="M100" i="21"/>
  <c r="L100" i="21"/>
  <c r="K100" i="21"/>
  <c r="J100" i="21"/>
  <c r="I100" i="21"/>
  <c r="H100" i="21"/>
  <c r="G100" i="21"/>
  <c r="F100" i="21"/>
  <c r="E100" i="21"/>
  <c r="D100" i="21"/>
  <c r="B100" i="21"/>
  <c r="A100" i="21"/>
  <c r="AF99" i="21"/>
  <c r="AE99" i="21"/>
  <c r="Y99" i="21"/>
  <c r="X99" i="21"/>
  <c r="W99" i="21"/>
  <c r="V99" i="21"/>
  <c r="T99" i="21"/>
  <c r="S99" i="21"/>
  <c r="R99" i="21"/>
  <c r="Q99" i="21"/>
  <c r="P99" i="21"/>
  <c r="N99" i="21"/>
  <c r="M99" i="21"/>
  <c r="L99" i="21"/>
  <c r="K99" i="21"/>
  <c r="J99" i="21"/>
  <c r="I99" i="21"/>
  <c r="H99" i="21"/>
  <c r="G99" i="21"/>
  <c r="F99" i="21"/>
  <c r="E99" i="21"/>
  <c r="D99" i="21"/>
  <c r="B99" i="21"/>
  <c r="A99" i="21"/>
  <c r="AF98" i="21"/>
  <c r="AE98" i="21"/>
  <c r="Y98" i="21"/>
  <c r="X98" i="21"/>
  <c r="W98" i="21"/>
  <c r="V98" i="21"/>
  <c r="T98" i="21"/>
  <c r="S98" i="21"/>
  <c r="R98" i="21"/>
  <c r="Q98" i="21"/>
  <c r="P98" i="21"/>
  <c r="N98" i="21"/>
  <c r="M98" i="21"/>
  <c r="L98" i="21"/>
  <c r="K98" i="21"/>
  <c r="J98" i="21"/>
  <c r="I98" i="21"/>
  <c r="H98" i="21"/>
  <c r="G98" i="21"/>
  <c r="F98" i="21"/>
  <c r="E98" i="21"/>
  <c r="D98" i="21"/>
  <c r="B98" i="21"/>
  <c r="A98" i="21"/>
  <c r="AF97" i="21"/>
  <c r="AE97" i="21"/>
  <c r="Y97" i="21"/>
  <c r="X97" i="21"/>
  <c r="W97" i="21"/>
  <c r="V97" i="21"/>
  <c r="T97" i="21"/>
  <c r="S97" i="21"/>
  <c r="R97" i="21"/>
  <c r="Q97" i="21"/>
  <c r="P97" i="21"/>
  <c r="N97" i="21"/>
  <c r="M97" i="21"/>
  <c r="L97" i="21"/>
  <c r="K97" i="21"/>
  <c r="J97" i="21"/>
  <c r="I97" i="21"/>
  <c r="H97" i="21"/>
  <c r="G97" i="21"/>
  <c r="F97" i="21"/>
  <c r="E97" i="21"/>
  <c r="D97" i="21"/>
  <c r="B97" i="21"/>
  <c r="A97" i="21"/>
  <c r="AF96" i="21"/>
  <c r="AE96" i="21"/>
  <c r="Y96" i="21"/>
  <c r="X96" i="21"/>
  <c r="W96" i="21"/>
  <c r="V96" i="21"/>
  <c r="T96" i="21"/>
  <c r="S96" i="21"/>
  <c r="R96" i="21"/>
  <c r="Q96" i="21"/>
  <c r="P96" i="21"/>
  <c r="N96" i="21"/>
  <c r="M96" i="21"/>
  <c r="L96" i="21"/>
  <c r="K96" i="21"/>
  <c r="J96" i="21"/>
  <c r="I96" i="21"/>
  <c r="H96" i="21"/>
  <c r="G96" i="21"/>
  <c r="F96" i="21"/>
  <c r="E96" i="21"/>
  <c r="D96" i="21"/>
  <c r="B96" i="21"/>
  <c r="A96" i="21"/>
  <c r="AF95" i="21"/>
  <c r="AE95" i="21"/>
  <c r="Y95" i="21"/>
  <c r="X95" i="21"/>
  <c r="W95" i="21"/>
  <c r="V95" i="21"/>
  <c r="T95" i="21"/>
  <c r="S95" i="21"/>
  <c r="R95" i="21"/>
  <c r="Q95" i="21"/>
  <c r="P95" i="21"/>
  <c r="N95" i="21"/>
  <c r="M95" i="21"/>
  <c r="L95" i="21"/>
  <c r="K95" i="21"/>
  <c r="J95" i="21"/>
  <c r="I95" i="21"/>
  <c r="H95" i="21"/>
  <c r="G95" i="21"/>
  <c r="F95" i="21"/>
  <c r="E95" i="21"/>
  <c r="D95" i="21"/>
  <c r="B95" i="21"/>
  <c r="A95" i="21"/>
  <c r="AF94" i="21"/>
  <c r="AE94" i="21"/>
  <c r="Y94" i="21"/>
  <c r="X94" i="21"/>
  <c r="W94" i="21"/>
  <c r="V94" i="21"/>
  <c r="T94" i="21"/>
  <c r="S94" i="21"/>
  <c r="R94" i="21"/>
  <c r="Q94" i="21"/>
  <c r="P94" i="21"/>
  <c r="N94" i="21"/>
  <c r="M94" i="21"/>
  <c r="L94" i="21"/>
  <c r="K94" i="21"/>
  <c r="J94" i="21"/>
  <c r="I94" i="21"/>
  <c r="H94" i="21"/>
  <c r="G94" i="21"/>
  <c r="F94" i="21"/>
  <c r="E94" i="21"/>
  <c r="D94" i="21"/>
  <c r="B94" i="21"/>
  <c r="A94" i="21"/>
  <c r="AF93" i="21"/>
  <c r="AE93" i="21"/>
  <c r="Y93" i="21"/>
  <c r="X93" i="21"/>
  <c r="W93" i="21"/>
  <c r="V93" i="21"/>
  <c r="T93" i="21"/>
  <c r="S93" i="21"/>
  <c r="R93" i="21"/>
  <c r="Q93" i="21"/>
  <c r="P93" i="21"/>
  <c r="N93" i="21"/>
  <c r="M93" i="21"/>
  <c r="L93" i="21"/>
  <c r="K93" i="21"/>
  <c r="J93" i="21"/>
  <c r="I93" i="21"/>
  <c r="H93" i="21"/>
  <c r="G93" i="21"/>
  <c r="F93" i="21"/>
  <c r="E93" i="21"/>
  <c r="D93" i="21"/>
  <c r="B93" i="21"/>
  <c r="A93" i="21"/>
  <c r="AF92" i="21"/>
  <c r="AE92" i="21"/>
  <c r="Y92" i="21"/>
  <c r="X92" i="21"/>
  <c r="W92" i="21"/>
  <c r="V92" i="21"/>
  <c r="T92" i="21"/>
  <c r="S92" i="21"/>
  <c r="R92" i="21"/>
  <c r="Q92" i="21"/>
  <c r="P92" i="21"/>
  <c r="N92" i="21"/>
  <c r="M92" i="21"/>
  <c r="L92" i="21"/>
  <c r="K92" i="21"/>
  <c r="J92" i="21"/>
  <c r="I92" i="21"/>
  <c r="H92" i="21"/>
  <c r="G92" i="21"/>
  <c r="F92" i="21"/>
  <c r="E92" i="21"/>
  <c r="D92" i="21"/>
  <c r="B92" i="21"/>
  <c r="A92" i="21"/>
  <c r="AF91" i="21"/>
  <c r="AE91" i="21"/>
  <c r="Y91" i="21"/>
  <c r="X91" i="21"/>
  <c r="W91" i="21"/>
  <c r="V91" i="21"/>
  <c r="U91" i="21"/>
  <c r="T91" i="21"/>
  <c r="S91" i="21"/>
  <c r="R91" i="21"/>
  <c r="Q91" i="21"/>
  <c r="P91" i="21"/>
  <c r="N91" i="21"/>
  <c r="M91" i="21"/>
  <c r="L91" i="21"/>
  <c r="K91" i="21"/>
  <c r="J91" i="21"/>
  <c r="I91" i="21"/>
  <c r="H91" i="21"/>
  <c r="E91" i="21"/>
  <c r="D91" i="21"/>
  <c r="B91" i="21"/>
  <c r="A91" i="21"/>
  <c r="AF90" i="21"/>
  <c r="AE90" i="21"/>
  <c r="Y90" i="21"/>
  <c r="X90" i="21"/>
  <c r="W90" i="21"/>
  <c r="V90" i="21"/>
  <c r="T90" i="21"/>
  <c r="S90" i="21"/>
  <c r="R90" i="21"/>
  <c r="Q90" i="21"/>
  <c r="P90" i="21"/>
  <c r="N90" i="21"/>
  <c r="M90" i="21"/>
  <c r="L90" i="21"/>
  <c r="K90" i="21"/>
  <c r="J90" i="21"/>
  <c r="I90" i="21"/>
  <c r="H90" i="21"/>
  <c r="G90" i="21"/>
  <c r="F90" i="21"/>
  <c r="E90" i="21"/>
  <c r="D90" i="21"/>
  <c r="B90" i="21"/>
  <c r="A90" i="21"/>
  <c r="AF89" i="21"/>
  <c r="AE89" i="21"/>
  <c r="Y89" i="21"/>
  <c r="X89" i="21"/>
  <c r="W89" i="21"/>
  <c r="V89" i="21"/>
  <c r="T89" i="21"/>
  <c r="S89" i="21"/>
  <c r="R89" i="21"/>
  <c r="Q89" i="21"/>
  <c r="P89" i="21"/>
  <c r="N89" i="21"/>
  <c r="M89" i="21"/>
  <c r="L89" i="21"/>
  <c r="K89" i="21"/>
  <c r="J89" i="21"/>
  <c r="I89" i="21"/>
  <c r="H89" i="21"/>
  <c r="G89" i="21"/>
  <c r="F89" i="21"/>
  <c r="E89" i="21"/>
  <c r="D89" i="21"/>
  <c r="B89" i="21"/>
  <c r="A89" i="21"/>
  <c r="AF88" i="21"/>
  <c r="AE88" i="21"/>
  <c r="Y88" i="21"/>
  <c r="X88" i="21"/>
  <c r="W88" i="21"/>
  <c r="V88" i="21"/>
  <c r="T88" i="21"/>
  <c r="S88" i="21"/>
  <c r="R88" i="21"/>
  <c r="Q88" i="21"/>
  <c r="P88" i="21"/>
  <c r="N88" i="21"/>
  <c r="M88" i="21"/>
  <c r="L88" i="21"/>
  <c r="K88" i="21"/>
  <c r="J88" i="21"/>
  <c r="I88" i="21"/>
  <c r="H88" i="21"/>
  <c r="G88" i="21"/>
  <c r="F88" i="21"/>
  <c r="E88" i="21"/>
  <c r="D88" i="21"/>
  <c r="B88" i="21"/>
  <c r="A88" i="21"/>
  <c r="AF87" i="21"/>
  <c r="AE87" i="21"/>
  <c r="Y87" i="21"/>
  <c r="X87" i="21"/>
  <c r="W87" i="21"/>
  <c r="V87" i="21"/>
  <c r="T87" i="21"/>
  <c r="S87" i="21"/>
  <c r="R87" i="21"/>
  <c r="Q87" i="21"/>
  <c r="P87" i="21"/>
  <c r="N87" i="21"/>
  <c r="M87" i="21"/>
  <c r="L87" i="21"/>
  <c r="K87" i="21"/>
  <c r="J87" i="21"/>
  <c r="I87" i="21"/>
  <c r="H87" i="21"/>
  <c r="G87" i="21"/>
  <c r="F87" i="21"/>
  <c r="E87" i="21"/>
  <c r="D87" i="21"/>
  <c r="B87" i="21"/>
  <c r="A87" i="21"/>
  <c r="AF86" i="21"/>
  <c r="AE86" i="21"/>
  <c r="Y86" i="21"/>
  <c r="X86" i="21"/>
  <c r="W86" i="21"/>
  <c r="V86" i="21"/>
  <c r="T86" i="21"/>
  <c r="S86" i="21"/>
  <c r="R86" i="21"/>
  <c r="Q86" i="21"/>
  <c r="P86" i="21"/>
  <c r="N86" i="21"/>
  <c r="M86" i="21"/>
  <c r="L86" i="21"/>
  <c r="K86" i="21"/>
  <c r="J86" i="21"/>
  <c r="I86" i="21"/>
  <c r="H86" i="21"/>
  <c r="G86" i="21"/>
  <c r="F86" i="21"/>
  <c r="E86" i="21"/>
  <c r="D86" i="21"/>
  <c r="B86" i="21"/>
  <c r="A86" i="21"/>
  <c r="AF85" i="21"/>
  <c r="AE85" i="21"/>
  <c r="Y85" i="21"/>
  <c r="X85" i="21"/>
  <c r="W85" i="21"/>
  <c r="V85" i="21"/>
  <c r="T85" i="21"/>
  <c r="S85" i="21"/>
  <c r="R85" i="21"/>
  <c r="Q85" i="21"/>
  <c r="P85" i="21"/>
  <c r="N85" i="21"/>
  <c r="M85" i="21"/>
  <c r="L85" i="21"/>
  <c r="K85" i="21"/>
  <c r="J85" i="21"/>
  <c r="I85" i="21"/>
  <c r="H85" i="21"/>
  <c r="G85" i="21"/>
  <c r="F85" i="21"/>
  <c r="E85" i="21"/>
  <c r="D85" i="21"/>
  <c r="B85" i="21"/>
  <c r="A85" i="21"/>
  <c r="AF84" i="21"/>
  <c r="AE84" i="21"/>
  <c r="Y84" i="21"/>
  <c r="X84" i="21"/>
  <c r="W84" i="21"/>
  <c r="V84" i="21"/>
  <c r="T84" i="21"/>
  <c r="S84" i="21"/>
  <c r="R84" i="21"/>
  <c r="Q84" i="21"/>
  <c r="P84" i="21"/>
  <c r="N84" i="21"/>
  <c r="M84" i="21"/>
  <c r="L84" i="21"/>
  <c r="K84" i="21"/>
  <c r="J84" i="21"/>
  <c r="I84" i="21"/>
  <c r="H84" i="21"/>
  <c r="G84" i="21"/>
  <c r="F84" i="21"/>
  <c r="E84" i="21"/>
  <c r="D84" i="21"/>
  <c r="B84" i="21"/>
  <c r="A84" i="21"/>
  <c r="AF83" i="21"/>
  <c r="AE83" i="21"/>
  <c r="Y83" i="21"/>
  <c r="X83" i="21"/>
  <c r="W83" i="21"/>
  <c r="V83" i="21"/>
  <c r="T83" i="21"/>
  <c r="S83" i="21"/>
  <c r="R83" i="21"/>
  <c r="Q83" i="21"/>
  <c r="P83" i="21"/>
  <c r="N83" i="21"/>
  <c r="M83" i="21"/>
  <c r="L83" i="21"/>
  <c r="K83" i="21"/>
  <c r="J83" i="21"/>
  <c r="I83" i="21"/>
  <c r="H83" i="21"/>
  <c r="G83" i="21"/>
  <c r="F83" i="21"/>
  <c r="E83" i="21"/>
  <c r="D83" i="21"/>
  <c r="B83" i="21"/>
  <c r="A83" i="21"/>
  <c r="AF82" i="21"/>
  <c r="AE82" i="21"/>
  <c r="Y82" i="21"/>
  <c r="X82" i="21"/>
  <c r="W82" i="21"/>
  <c r="V82" i="21"/>
  <c r="T82" i="21"/>
  <c r="S82" i="21"/>
  <c r="R82" i="21"/>
  <c r="Q82" i="21"/>
  <c r="P82" i="21"/>
  <c r="N82" i="21"/>
  <c r="M82" i="21"/>
  <c r="L82" i="21"/>
  <c r="K82" i="21"/>
  <c r="J82" i="21"/>
  <c r="I82" i="21"/>
  <c r="H82" i="21"/>
  <c r="G82" i="21"/>
  <c r="F82" i="21"/>
  <c r="E82" i="21"/>
  <c r="D82" i="21"/>
  <c r="B82" i="21"/>
  <c r="A82" i="21"/>
  <c r="AF81" i="21"/>
  <c r="AE81" i="21"/>
  <c r="Y81" i="21"/>
  <c r="X81" i="21"/>
  <c r="W81" i="21"/>
  <c r="V81" i="21"/>
  <c r="T81" i="21"/>
  <c r="S81" i="21"/>
  <c r="R81" i="21"/>
  <c r="Q81" i="21"/>
  <c r="P81" i="21"/>
  <c r="N81" i="21"/>
  <c r="M81" i="21"/>
  <c r="L81" i="21"/>
  <c r="K81" i="21"/>
  <c r="J81" i="21"/>
  <c r="I81" i="21"/>
  <c r="H81" i="21"/>
  <c r="G81" i="21"/>
  <c r="F81" i="21"/>
  <c r="E81" i="21"/>
  <c r="D81" i="21"/>
  <c r="B81" i="21"/>
  <c r="A81" i="21"/>
  <c r="AF80" i="21"/>
  <c r="AE80" i="21"/>
  <c r="Y80" i="21"/>
  <c r="X80" i="21"/>
  <c r="W80" i="21"/>
  <c r="V80" i="21"/>
  <c r="T80" i="21"/>
  <c r="S80" i="21"/>
  <c r="R80" i="21"/>
  <c r="Q80" i="21"/>
  <c r="P80" i="21"/>
  <c r="N80" i="21"/>
  <c r="M80" i="21"/>
  <c r="L80" i="21"/>
  <c r="K80" i="21"/>
  <c r="J80" i="21"/>
  <c r="I80" i="21"/>
  <c r="H80" i="21"/>
  <c r="G80" i="21"/>
  <c r="F80" i="21"/>
  <c r="E80" i="21"/>
  <c r="D80" i="21"/>
  <c r="B80" i="21"/>
  <c r="A80" i="21"/>
  <c r="AF79" i="21"/>
  <c r="AE79" i="21"/>
  <c r="Y79" i="21"/>
  <c r="X79" i="21"/>
  <c r="W79" i="21"/>
  <c r="V79" i="21"/>
  <c r="T79" i="21"/>
  <c r="S79" i="21"/>
  <c r="R79" i="21"/>
  <c r="Q79" i="21"/>
  <c r="P79" i="21"/>
  <c r="N79" i="21"/>
  <c r="M79" i="21"/>
  <c r="L79" i="21"/>
  <c r="K79" i="21"/>
  <c r="J79" i="21"/>
  <c r="I79" i="21"/>
  <c r="H79" i="21"/>
  <c r="G79" i="21"/>
  <c r="F79" i="21"/>
  <c r="E79" i="21"/>
  <c r="D79" i="21"/>
  <c r="B79" i="21"/>
  <c r="A79" i="21"/>
  <c r="AF78" i="21"/>
  <c r="AE78" i="21"/>
  <c r="Y78" i="21"/>
  <c r="X78" i="21"/>
  <c r="W78" i="21"/>
  <c r="V78" i="21"/>
  <c r="T78" i="21"/>
  <c r="S78" i="21"/>
  <c r="R78" i="21"/>
  <c r="Q78" i="21"/>
  <c r="P78" i="21"/>
  <c r="N78" i="21"/>
  <c r="M78" i="21"/>
  <c r="L78" i="21"/>
  <c r="K78" i="21"/>
  <c r="J78" i="21"/>
  <c r="I78" i="21"/>
  <c r="H78" i="21"/>
  <c r="G78" i="21"/>
  <c r="F78" i="21"/>
  <c r="E78" i="21"/>
  <c r="D78" i="21"/>
  <c r="B78" i="21"/>
  <c r="A78" i="21"/>
  <c r="AF77" i="21"/>
  <c r="AE77" i="21"/>
  <c r="Y77" i="21"/>
  <c r="X77" i="21"/>
  <c r="W77" i="21"/>
  <c r="V77" i="21"/>
  <c r="T77" i="21"/>
  <c r="S77" i="21"/>
  <c r="R77" i="21"/>
  <c r="Q77" i="21"/>
  <c r="P77" i="21"/>
  <c r="N77" i="21"/>
  <c r="M77" i="21"/>
  <c r="L77" i="21"/>
  <c r="K77" i="21"/>
  <c r="J77" i="21"/>
  <c r="I77" i="21"/>
  <c r="H77" i="21"/>
  <c r="G77" i="21"/>
  <c r="F77" i="21"/>
  <c r="E77" i="21"/>
  <c r="D77" i="21"/>
  <c r="B77" i="21"/>
  <c r="A77" i="21"/>
  <c r="AF76" i="21"/>
  <c r="AE76" i="21"/>
  <c r="Y76" i="21"/>
  <c r="X76" i="21"/>
  <c r="W76" i="21"/>
  <c r="V76" i="21"/>
  <c r="T76" i="21"/>
  <c r="S76" i="21"/>
  <c r="R76" i="21"/>
  <c r="Q76" i="21"/>
  <c r="P76" i="21"/>
  <c r="N76" i="21"/>
  <c r="M76" i="21"/>
  <c r="L76" i="21"/>
  <c r="K76" i="21"/>
  <c r="J76" i="21"/>
  <c r="I76" i="21"/>
  <c r="H76" i="21"/>
  <c r="G76" i="21"/>
  <c r="F76" i="21"/>
  <c r="E76" i="21"/>
  <c r="D76" i="21"/>
  <c r="B76" i="21"/>
  <c r="A76" i="21"/>
  <c r="AF75" i="21"/>
  <c r="AE75" i="21"/>
  <c r="Y75" i="21"/>
  <c r="X75" i="21"/>
  <c r="W75" i="21"/>
  <c r="V75" i="21"/>
  <c r="T75" i="21"/>
  <c r="S75" i="21"/>
  <c r="R75" i="21"/>
  <c r="Q75" i="21"/>
  <c r="P75" i="21"/>
  <c r="N75" i="21"/>
  <c r="M75" i="21"/>
  <c r="L75" i="21"/>
  <c r="K75" i="21"/>
  <c r="J75" i="21"/>
  <c r="I75" i="21"/>
  <c r="H75" i="21"/>
  <c r="G75" i="21"/>
  <c r="F75" i="21"/>
  <c r="E75" i="21"/>
  <c r="D75" i="21"/>
  <c r="B75" i="21"/>
  <c r="A75" i="21"/>
  <c r="AF74" i="21"/>
  <c r="AE74" i="21"/>
  <c r="Y74" i="21"/>
  <c r="X74" i="21"/>
  <c r="W74" i="21"/>
  <c r="V74" i="21"/>
  <c r="T74" i="21"/>
  <c r="S74" i="21"/>
  <c r="R74" i="21"/>
  <c r="Q74" i="21"/>
  <c r="P74" i="21"/>
  <c r="N74" i="21"/>
  <c r="M74" i="21"/>
  <c r="L74" i="21"/>
  <c r="K74" i="21"/>
  <c r="J74" i="21"/>
  <c r="I74" i="21"/>
  <c r="H74" i="21"/>
  <c r="G74" i="21"/>
  <c r="F74" i="21"/>
  <c r="E74" i="21"/>
  <c r="D74" i="21"/>
  <c r="B74" i="21"/>
  <c r="A74" i="21"/>
  <c r="AF73" i="21"/>
  <c r="AE73" i="21"/>
  <c r="Y73" i="21"/>
  <c r="X73" i="21"/>
  <c r="W73" i="21"/>
  <c r="V73" i="21"/>
  <c r="T73" i="21"/>
  <c r="S73" i="21"/>
  <c r="R73" i="21"/>
  <c r="Q73" i="21"/>
  <c r="P73" i="21"/>
  <c r="N73" i="21"/>
  <c r="M73" i="21"/>
  <c r="L73" i="21"/>
  <c r="K73" i="21"/>
  <c r="J73" i="21"/>
  <c r="I73" i="21"/>
  <c r="H73" i="21"/>
  <c r="G73" i="21"/>
  <c r="F73" i="21"/>
  <c r="E73" i="21"/>
  <c r="D73" i="21"/>
  <c r="B73" i="21"/>
  <c r="A73" i="21"/>
  <c r="AF72" i="21"/>
  <c r="AE72" i="21"/>
  <c r="Y72" i="21"/>
  <c r="X72" i="21"/>
  <c r="W72" i="21"/>
  <c r="V72" i="21"/>
  <c r="T72" i="21"/>
  <c r="S72" i="21"/>
  <c r="R72" i="21"/>
  <c r="Q72" i="21"/>
  <c r="P72" i="21"/>
  <c r="N72" i="21"/>
  <c r="M72" i="21"/>
  <c r="L72" i="21"/>
  <c r="K72" i="21"/>
  <c r="J72" i="21"/>
  <c r="I72" i="21"/>
  <c r="H72" i="21"/>
  <c r="G72" i="21"/>
  <c r="F72" i="21"/>
  <c r="E72" i="21"/>
  <c r="D72" i="21"/>
  <c r="B72" i="21"/>
  <c r="A72" i="21"/>
  <c r="AF71" i="21"/>
  <c r="AE71" i="21"/>
  <c r="Y71" i="21"/>
  <c r="X71" i="21"/>
  <c r="W71" i="21"/>
  <c r="V71" i="21"/>
  <c r="T71" i="21"/>
  <c r="S71" i="21"/>
  <c r="R71" i="21"/>
  <c r="Q71" i="21"/>
  <c r="P71" i="21"/>
  <c r="N71" i="21"/>
  <c r="M71" i="21"/>
  <c r="L71" i="21"/>
  <c r="K71" i="21"/>
  <c r="J71" i="21"/>
  <c r="I71" i="21"/>
  <c r="H71" i="21"/>
  <c r="G71" i="21"/>
  <c r="F71" i="21"/>
  <c r="E71" i="21"/>
  <c r="D71" i="21"/>
  <c r="B71" i="21"/>
  <c r="A71" i="21"/>
  <c r="AF70" i="21"/>
  <c r="AE70" i="21"/>
  <c r="Y70" i="21"/>
  <c r="X70" i="21"/>
  <c r="W70" i="21"/>
  <c r="V70" i="21"/>
  <c r="U70" i="21"/>
  <c r="T70" i="21"/>
  <c r="S70" i="21"/>
  <c r="R70" i="21"/>
  <c r="Q70" i="21"/>
  <c r="P70" i="21"/>
  <c r="N70" i="21"/>
  <c r="M70" i="21"/>
  <c r="L70" i="21"/>
  <c r="K70" i="21"/>
  <c r="J70" i="21"/>
  <c r="I70" i="21"/>
  <c r="H70" i="21"/>
  <c r="G70" i="21"/>
  <c r="E70" i="21"/>
  <c r="D70" i="21"/>
  <c r="B70" i="21"/>
  <c r="A70" i="21"/>
  <c r="AF69" i="21"/>
  <c r="AE69" i="21"/>
  <c r="Y69" i="21"/>
  <c r="X69" i="21"/>
  <c r="W69" i="21"/>
  <c r="V69" i="21"/>
  <c r="T69" i="21"/>
  <c r="S69" i="21"/>
  <c r="R69" i="21"/>
  <c r="Q69" i="21"/>
  <c r="P69" i="21"/>
  <c r="N69" i="21"/>
  <c r="M69" i="21"/>
  <c r="L69" i="21"/>
  <c r="K69" i="21"/>
  <c r="J69" i="21"/>
  <c r="I69" i="21"/>
  <c r="H69" i="21"/>
  <c r="G69" i="21"/>
  <c r="F69" i="21"/>
  <c r="E69" i="21"/>
  <c r="D69" i="21"/>
  <c r="B69" i="21"/>
  <c r="A69" i="21"/>
  <c r="AF68" i="21"/>
  <c r="AE68" i="21"/>
  <c r="Y68" i="21"/>
  <c r="X68" i="21"/>
  <c r="W68" i="21"/>
  <c r="V68" i="21"/>
  <c r="T68" i="21"/>
  <c r="S68" i="21"/>
  <c r="R68" i="21"/>
  <c r="Q68" i="21"/>
  <c r="P68" i="21"/>
  <c r="N68" i="21"/>
  <c r="M68" i="21"/>
  <c r="L68" i="21"/>
  <c r="K68" i="21"/>
  <c r="J68" i="21"/>
  <c r="I68" i="21"/>
  <c r="H68" i="21"/>
  <c r="G68" i="21"/>
  <c r="F68" i="21"/>
  <c r="E68" i="21"/>
  <c r="D68" i="21"/>
  <c r="B68" i="21"/>
  <c r="A68" i="21"/>
  <c r="AF67" i="21"/>
  <c r="AE67" i="21"/>
  <c r="Y67" i="21"/>
  <c r="X67" i="21"/>
  <c r="W67" i="21"/>
  <c r="V67" i="21"/>
  <c r="U67" i="21"/>
  <c r="T67" i="21"/>
  <c r="S67" i="21"/>
  <c r="R67" i="21"/>
  <c r="Q67" i="21"/>
  <c r="P67" i="21"/>
  <c r="N67" i="21"/>
  <c r="M67" i="21"/>
  <c r="L67" i="21"/>
  <c r="K67" i="21"/>
  <c r="J67" i="21"/>
  <c r="I67" i="21"/>
  <c r="H67" i="21"/>
  <c r="G67" i="21"/>
  <c r="E67" i="21"/>
  <c r="D67" i="21"/>
  <c r="B67" i="21"/>
  <c r="A67" i="21"/>
  <c r="AF66" i="21"/>
  <c r="AE66" i="21"/>
  <c r="Y66" i="21"/>
  <c r="X66" i="21"/>
  <c r="W66" i="21"/>
  <c r="V66" i="21"/>
  <c r="U66" i="21"/>
  <c r="T66" i="21"/>
  <c r="S66" i="21"/>
  <c r="R66" i="21"/>
  <c r="Q66" i="21"/>
  <c r="P66" i="21"/>
  <c r="N66" i="21"/>
  <c r="M66" i="21"/>
  <c r="L66" i="21"/>
  <c r="K66" i="21"/>
  <c r="J66" i="21"/>
  <c r="I66" i="21"/>
  <c r="H66" i="21"/>
  <c r="G66" i="21"/>
  <c r="E66" i="21"/>
  <c r="D66" i="21"/>
  <c r="B66" i="21"/>
  <c r="A66" i="21"/>
  <c r="AF65" i="21"/>
  <c r="AE65" i="21"/>
  <c r="Y65" i="21"/>
  <c r="X65" i="21"/>
  <c r="W65" i="21"/>
  <c r="V65" i="21"/>
  <c r="T65" i="21"/>
  <c r="S65" i="21"/>
  <c r="R65" i="21"/>
  <c r="Q65" i="21"/>
  <c r="P65" i="21"/>
  <c r="N65" i="21"/>
  <c r="M65" i="21"/>
  <c r="L65" i="21"/>
  <c r="K65" i="21"/>
  <c r="J65" i="21"/>
  <c r="I65" i="21"/>
  <c r="H65" i="21"/>
  <c r="G65" i="21"/>
  <c r="F65" i="21"/>
  <c r="E65" i="21"/>
  <c r="D65" i="21"/>
  <c r="B65" i="21"/>
  <c r="A65" i="21"/>
  <c r="AF64" i="21"/>
  <c r="AE64" i="21"/>
  <c r="Y64" i="21"/>
  <c r="X64" i="21"/>
  <c r="W64" i="21"/>
  <c r="V64" i="21"/>
  <c r="U64" i="21"/>
  <c r="T64" i="21"/>
  <c r="S64" i="21"/>
  <c r="R64" i="21"/>
  <c r="Q64" i="21"/>
  <c r="P64" i="21"/>
  <c r="N64" i="21"/>
  <c r="M64" i="21"/>
  <c r="L64" i="21"/>
  <c r="K64" i="21"/>
  <c r="J64" i="21"/>
  <c r="I64" i="21"/>
  <c r="H64" i="21"/>
  <c r="G64" i="21"/>
  <c r="E64" i="21"/>
  <c r="D64" i="21"/>
  <c r="B64" i="21"/>
  <c r="A64" i="21"/>
  <c r="AF63" i="21"/>
  <c r="AE63" i="21"/>
  <c r="Y63" i="21"/>
  <c r="X63" i="21"/>
  <c r="W63" i="21"/>
  <c r="V63" i="21"/>
  <c r="T63" i="21"/>
  <c r="S63" i="21"/>
  <c r="R63" i="21"/>
  <c r="Q63" i="21"/>
  <c r="P63" i="21"/>
  <c r="N63" i="21"/>
  <c r="M63" i="21"/>
  <c r="L63" i="21"/>
  <c r="K63" i="21"/>
  <c r="J63" i="21"/>
  <c r="I63" i="21"/>
  <c r="H63" i="21"/>
  <c r="G63" i="21"/>
  <c r="F63" i="21"/>
  <c r="E63" i="21"/>
  <c r="D63" i="21"/>
  <c r="B63" i="21"/>
  <c r="A63" i="21"/>
  <c r="AF62" i="21"/>
  <c r="AE62" i="21"/>
  <c r="Y62" i="21"/>
  <c r="X62" i="21"/>
  <c r="W62" i="21"/>
  <c r="V62" i="21"/>
  <c r="T62" i="21"/>
  <c r="S62" i="21"/>
  <c r="R62" i="21"/>
  <c r="Q62" i="21"/>
  <c r="P62" i="21"/>
  <c r="N62" i="21"/>
  <c r="M62" i="21"/>
  <c r="L62" i="21"/>
  <c r="K62" i="21"/>
  <c r="J62" i="21"/>
  <c r="I62" i="21"/>
  <c r="H62" i="21"/>
  <c r="G62" i="21"/>
  <c r="F62" i="21"/>
  <c r="E62" i="21"/>
  <c r="D62" i="21"/>
  <c r="B62" i="21"/>
  <c r="A62" i="21"/>
  <c r="AF61" i="21"/>
  <c r="AE61" i="21"/>
  <c r="Y61" i="21"/>
  <c r="X61" i="21"/>
  <c r="W61" i="21"/>
  <c r="V61" i="21"/>
  <c r="U61" i="21"/>
  <c r="T61" i="21"/>
  <c r="S61" i="21"/>
  <c r="R61" i="21"/>
  <c r="Q61" i="21"/>
  <c r="P61" i="21"/>
  <c r="N61" i="21"/>
  <c r="M61" i="21"/>
  <c r="L61" i="21"/>
  <c r="K61" i="21"/>
  <c r="J61" i="21"/>
  <c r="I61" i="21"/>
  <c r="H61" i="21"/>
  <c r="G61" i="21"/>
  <c r="E61" i="21"/>
  <c r="D61" i="21"/>
  <c r="B61" i="21"/>
  <c r="A61" i="21"/>
  <c r="AF60" i="21"/>
  <c r="AE60" i="21"/>
  <c r="Y60" i="21"/>
  <c r="X60" i="21"/>
  <c r="W60" i="21"/>
  <c r="V60" i="21"/>
  <c r="T60" i="21"/>
  <c r="S60" i="21"/>
  <c r="R60" i="21"/>
  <c r="Q60" i="21"/>
  <c r="P60" i="21"/>
  <c r="N60" i="21"/>
  <c r="M60" i="21"/>
  <c r="L60" i="21"/>
  <c r="K60" i="21"/>
  <c r="J60" i="21"/>
  <c r="I60" i="21"/>
  <c r="H60" i="21"/>
  <c r="G60" i="21"/>
  <c r="F60" i="21"/>
  <c r="E60" i="21"/>
  <c r="D60" i="21"/>
  <c r="B60" i="21"/>
  <c r="A60" i="21"/>
  <c r="AF59" i="21"/>
  <c r="AE59" i="21"/>
  <c r="Y59" i="21"/>
  <c r="X59" i="21"/>
  <c r="W59" i="21"/>
  <c r="V59" i="21"/>
  <c r="T59" i="21"/>
  <c r="S59" i="21"/>
  <c r="R59" i="21"/>
  <c r="Q59" i="21"/>
  <c r="P59" i="21"/>
  <c r="N59" i="21"/>
  <c r="M59" i="21"/>
  <c r="L59" i="21"/>
  <c r="K59" i="21"/>
  <c r="J59" i="21"/>
  <c r="I59" i="21"/>
  <c r="H59" i="21"/>
  <c r="G59" i="21"/>
  <c r="F59" i="21"/>
  <c r="E59" i="21"/>
  <c r="D59" i="21"/>
  <c r="B59" i="21"/>
  <c r="A59" i="21"/>
  <c r="AF58" i="21"/>
  <c r="AE58" i="21"/>
  <c r="Y58" i="21"/>
  <c r="X58" i="21"/>
  <c r="W58" i="21"/>
  <c r="V58" i="21"/>
  <c r="T58" i="21"/>
  <c r="S58" i="21"/>
  <c r="R58" i="21"/>
  <c r="Q58" i="21"/>
  <c r="P58" i="21"/>
  <c r="N58" i="21"/>
  <c r="M58" i="21"/>
  <c r="L58" i="21"/>
  <c r="K58" i="21"/>
  <c r="J58" i="21"/>
  <c r="I58" i="21"/>
  <c r="H58" i="21"/>
  <c r="G58" i="21"/>
  <c r="F58" i="21"/>
  <c r="E58" i="21"/>
  <c r="D58" i="21"/>
  <c r="B58" i="21"/>
  <c r="A58" i="21"/>
  <c r="AF57" i="21"/>
  <c r="AE57" i="21"/>
  <c r="Y57" i="21"/>
  <c r="X57" i="21"/>
  <c r="W57" i="21"/>
  <c r="V57" i="21"/>
  <c r="U57" i="21"/>
  <c r="T57" i="21"/>
  <c r="S57" i="21"/>
  <c r="R57" i="21"/>
  <c r="Q57" i="21"/>
  <c r="P57" i="21"/>
  <c r="N57" i="21"/>
  <c r="M57" i="21"/>
  <c r="L57" i="21"/>
  <c r="K57" i="21"/>
  <c r="J57" i="21"/>
  <c r="I57" i="21"/>
  <c r="H57" i="21"/>
  <c r="E57" i="21"/>
  <c r="D57" i="21"/>
  <c r="B57" i="21"/>
  <c r="A57" i="21"/>
  <c r="AF56" i="21"/>
  <c r="AE56" i="21"/>
  <c r="Y56" i="21"/>
  <c r="X56" i="21"/>
  <c r="W56" i="21"/>
  <c r="V56" i="21"/>
  <c r="T56" i="21"/>
  <c r="S56" i="21"/>
  <c r="R56" i="21"/>
  <c r="Q56" i="21"/>
  <c r="P56" i="21"/>
  <c r="N56" i="21"/>
  <c r="M56" i="21"/>
  <c r="L56" i="21"/>
  <c r="K56" i="21"/>
  <c r="J56" i="21"/>
  <c r="I56" i="21"/>
  <c r="H56" i="21"/>
  <c r="G56" i="21"/>
  <c r="F56" i="21"/>
  <c r="E56" i="21"/>
  <c r="D56" i="21"/>
  <c r="B56" i="21"/>
  <c r="A56" i="21"/>
  <c r="AF55" i="21"/>
  <c r="AE55" i="21"/>
  <c r="Y55" i="21"/>
  <c r="X55" i="21"/>
  <c r="W55" i="21"/>
  <c r="V55" i="21"/>
  <c r="T55" i="21"/>
  <c r="S55" i="21"/>
  <c r="R55" i="21"/>
  <c r="Q55" i="21"/>
  <c r="P55" i="21"/>
  <c r="N55" i="21"/>
  <c r="M55" i="21"/>
  <c r="L55" i="21"/>
  <c r="K55" i="21"/>
  <c r="J55" i="21"/>
  <c r="I55" i="21"/>
  <c r="H55" i="21"/>
  <c r="G55" i="21"/>
  <c r="F55" i="21"/>
  <c r="E55" i="21"/>
  <c r="D55" i="21"/>
  <c r="B55" i="21"/>
  <c r="A55" i="21"/>
  <c r="AF54" i="21"/>
  <c r="AE54" i="21"/>
  <c r="Y54" i="21"/>
  <c r="X54" i="21"/>
  <c r="W54" i="21"/>
  <c r="V54" i="21"/>
  <c r="T54" i="21"/>
  <c r="S54" i="21"/>
  <c r="R54" i="21"/>
  <c r="Q54" i="21"/>
  <c r="P54" i="21"/>
  <c r="N54" i="21"/>
  <c r="M54" i="21"/>
  <c r="L54" i="21"/>
  <c r="K54" i="21"/>
  <c r="J54" i="21"/>
  <c r="I54" i="21"/>
  <c r="H54" i="21"/>
  <c r="G54" i="21"/>
  <c r="F54" i="21"/>
  <c r="E54" i="21"/>
  <c r="D54" i="21"/>
  <c r="B54" i="21"/>
  <c r="A54" i="21"/>
  <c r="AF53" i="21"/>
  <c r="AE53" i="21"/>
  <c r="Y53" i="21"/>
  <c r="X53" i="21"/>
  <c r="W53" i="21"/>
  <c r="V53" i="21"/>
  <c r="U53" i="21"/>
  <c r="T53" i="21"/>
  <c r="S53" i="21"/>
  <c r="R53" i="21"/>
  <c r="Q53" i="21"/>
  <c r="P53" i="21"/>
  <c r="N53" i="21"/>
  <c r="M53" i="21"/>
  <c r="L53" i="21"/>
  <c r="K53" i="21"/>
  <c r="J53" i="21"/>
  <c r="I53" i="21"/>
  <c r="H53" i="21"/>
  <c r="E53" i="21"/>
  <c r="D53" i="21"/>
  <c r="B53" i="21"/>
  <c r="A53" i="21"/>
  <c r="AF52" i="21"/>
  <c r="AE52" i="21"/>
  <c r="Y52" i="21"/>
  <c r="X52" i="21"/>
  <c r="W52" i="21"/>
  <c r="V52" i="21"/>
  <c r="T52" i="21"/>
  <c r="S52" i="21"/>
  <c r="R52" i="21"/>
  <c r="Q52" i="21"/>
  <c r="P52" i="21"/>
  <c r="N52" i="21"/>
  <c r="M52" i="21"/>
  <c r="L52" i="21"/>
  <c r="K52" i="21"/>
  <c r="J52" i="21"/>
  <c r="I52" i="21"/>
  <c r="H52" i="21"/>
  <c r="G52" i="21"/>
  <c r="F52" i="21"/>
  <c r="E52" i="21"/>
  <c r="D52" i="21"/>
  <c r="B52" i="21"/>
  <c r="A52" i="21"/>
  <c r="AF51" i="21"/>
  <c r="AE51" i="21"/>
  <c r="Y51" i="21"/>
  <c r="X51" i="21"/>
  <c r="W51" i="21"/>
  <c r="V51" i="21"/>
  <c r="T51" i="21"/>
  <c r="S51" i="21"/>
  <c r="R51" i="21"/>
  <c r="Q51" i="21"/>
  <c r="P51" i="21"/>
  <c r="N51" i="21"/>
  <c r="M51" i="21"/>
  <c r="L51" i="21"/>
  <c r="K51" i="21"/>
  <c r="J51" i="21"/>
  <c r="I51" i="21"/>
  <c r="H51" i="21"/>
  <c r="G51" i="21"/>
  <c r="F51" i="21"/>
  <c r="E51" i="21"/>
  <c r="D51" i="21"/>
  <c r="B51" i="21"/>
  <c r="A51" i="21"/>
  <c r="AF50" i="21"/>
  <c r="AE50" i="21"/>
  <c r="Y50" i="21"/>
  <c r="X50" i="21"/>
  <c r="W50" i="21"/>
  <c r="V50" i="21"/>
  <c r="T50" i="21"/>
  <c r="S50" i="21"/>
  <c r="R50" i="21"/>
  <c r="Q50" i="21"/>
  <c r="P50" i="21"/>
  <c r="N50" i="21"/>
  <c r="M50" i="21"/>
  <c r="L50" i="21"/>
  <c r="K50" i="21"/>
  <c r="J50" i="21"/>
  <c r="I50" i="21"/>
  <c r="H50" i="21"/>
  <c r="G50" i="21"/>
  <c r="F50" i="21"/>
  <c r="E50" i="21"/>
  <c r="D50" i="21"/>
  <c r="B50" i="21"/>
  <c r="A50" i="21"/>
  <c r="AF49" i="21"/>
  <c r="AE49" i="21"/>
  <c r="Y49" i="21"/>
  <c r="X49" i="21"/>
  <c r="W49" i="21"/>
  <c r="V49" i="21"/>
  <c r="U49" i="21"/>
  <c r="T49" i="21"/>
  <c r="S49" i="21"/>
  <c r="R49" i="21"/>
  <c r="Q49" i="21"/>
  <c r="P49" i="21"/>
  <c r="N49" i="21"/>
  <c r="M49" i="21"/>
  <c r="L49" i="21"/>
  <c r="K49" i="21"/>
  <c r="J49" i="21"/>
  <c r="I49" i="21"/>
  <c r="H49" i="21"/>
  <c r="E49" i="21"/>
  <c r="D49" i="21"/>
  <c r="B49" i="21"/>
  <c r="A49" i="21"/>
  <c r="AF48" i="21"/>
  <c r="AE48" i="21"/>
  <c r="Y48" i="21"/>
  <c r="X48" i="21"/>
  <c r="W48" i="21"/>
  <c r="V48" i="21"/>
  <c r="T48" i="21"/>
  <c r="S48" i="21"/>
  <c r="R48" i="21"/>
  <c r="Q48" i="21"/>
  <c r="P48" i="21"/>
  <c r="N48" i="21"/>
  <c r="M48" i="21"/>
  <c r="L48" i="21"/>
  <c r="K48" i="21"/>
  <c r="J48" i="21"/>
  <c r="I48" i="21"/>
  <c r="H48" i="21"/>
  <c r="G48" i="21"/>
  <c r="F48" i="21"/>
  <c r="E48" i="21"/>
  <c r="D48" i="21"/>
  <c r="B48" i="21"/>
  <c r="A48" i="21"/>
  <c r="AF47" i="21"/>
  <c r="AE47" i="21"/>
  <c r="Y47" i="21"/>
  <c r="X47" i="21"/>
  <c r="W47" i="21"/>
  <c r="V47" i="21"/>
  <c r="T47" i="21"/>
  <c r="S47" i="21"/>
  <c r="R47" i="21"/>
  <c r="Q47" i="21"/>
  <c r="P47" i="21"/>
  <c r="N47" i="21"/>
  <c r="M47" i="21"/>
  <c r="L47" i="21"/>
  <c r="K47" i="21"/>
  <c r="J47" i="21"/>
  <c r="I47" i="21"/>
  <c r="H47" i="21"/>
  <c r="G47" i="21"/>
  <c r="F47" i="21"/>
  <c r="E47" i="21"/>
  <c r="D47" i="21"/>
  <c r="B47" i="21"/>
  <c r="A47" i="21"/>
  <c r="AF46" i="21"/>
  <c r="AE46" i="21"/>
  <c r="Y46" i="21"/>
  <c r="X46" i="21"/>
  <c r="W46" i="21"/>
  <c r="V46" i="21"/>
  <c r="T46" i="21"/>
  <c r="S46" i="21"/>
  <c r="R46" i="21"/>
  <c r="Q46" i="21"/>
  <c r="P46" i="21"/>
  <c r="N46" i="21"/>
  <c r="M46" i="21"/>
  <c r="L46" i="21"/>
  <c r="K46" i="21"/>
  <c r="J46" i="21"/>
  <c r="I46" i="21"/>
  <c r="H46" i="21"/>
  <c r="G46" i="21"/>
  <c r="F46" i="21"/>
  <c r="E46" i="21"/>
  <c r="D46" i="21"/>
  <c r="B46" i="21"/>
  <c r="A46" i="21"/>
  <c r="AF45" i="21"/>
  <c r="AE45" i="21"/>
  <c r="Y45" i="21"/>
  <c r="X45" i="21"/>
  <c r="W45" i="21"/>
  <c r="V45" i="21"/>
  <c r="T45" i="21"/>
  <c r="S45" i="21"/>
  <c r="R45" i="21"/>
  <c r="Q45" i="21"/>
  <c r="P45" i="21"/>
  <c r="N45" i="21"/>
  <c r="M45" i="21"/>
  <c r="L45" i="21"/>
  <c r="K45" i="21"/>
  <c r="J45" i="21"/>
  <c r="I45" i="21"/>
  <c r="H45" i="21"/>
  <c r="G45" i="21"/>
  <c r="F45" i="21"/>
  <c r="E45" i="21"/>
  <c r="D45" i="21"/>
  <c r="B45" i="21"/>
  <c r="A45" i="21"/>
  <c r="AF44" i="21"/>
  <c r="AE44" i="21"/>
  <c r="Y44" i="21"/>
  <c r="X44" i="21"/>
  <c r="W44" i="21"/>
  <c r="V44" i="21"/>
  <c r="T44" i="21"/>
  <c r="S44" i="21"/>
  <c r="R44" i="21"/>
  <c r="Q44" i="21"/>
  <c r="P44" i="21"/>
  <c r="N44" i="21"/>
  <c r="M44" i="21"/>
  <c r="L44" i="21"/>
  <c r="K44" i="21"/>
  <c r="J44" i="21"/>
  <c r="I44" i="21"/>
  <c r="H44" i="21"/>
  <c r="G44" i="21"/>
  <c r="F44" i="21"/>
  <c r="E44" i="21"/>
  <c r="D44" i="21"/>
  <c r="B44" i="21"/>
  <c r="A44" i="21"/>
  <c r="AF43" i="21"/>
  <c r="AE43" i="21"/>
  <c r="Y43" i="21"/>
  <c r="X43" i="21"/>
  <c r="W43" i="21"/>
  <c r="V43" i="21"/>
  <c r="T43" i="21"/>
  <c r="S43" i="21"/>
  <c r="R43" i="21"/>
  <c r="Q43" i="21"/>
  <c r="P43" i="21"/>
  <c r="N43" i="21"/>
  <c r="M43" i="21"/>
  <c r="L43" i="21"/>
  <c r="K43" i="21"/>
  <c r="J43" i="21"/>
  <c r="I43" i="21"/>
  <c r="H43" i="21"/>
  <c r="G43" i="21"/>
  <c r="F43" i="21"/>
  <c r="E43" i="21"/>
  <c r="D43" i="21"/>
  <c r="B43" i="21"/>
  <c r="A43" i="21"/>
  <c r="AF42" i="21"/>
  <c r="AE42" i="21"/>
  <c r="Y42" i="21"/>
  <c r="X42" i="21"/>
  <c r="W42" i="21"/>
  <c r="V42" i="21"/>
  <c r="T42" i="21"/>
  <c r="S42" i="21"/>
  <c r="R42" i="21"/>
  <c r="Q42" i="21"/>
  <c r="P42" i="21"/>
  <c r="N42" i="21"/>
  <c r="M42" i="21"/>
  <c r="L42" i="21"/>
  <c r="K42" i="21"/>
  <c r="J42" i="21"/>
  <c r="I42" i="21"/>
  <c r="H42" i="21"/>
  <c r="G42" i="21"/>
  <c r="F42" i="21"/>
  <c r="E42" i="21"/>
  <c r="D42" i="21"/>
  <c r="B42" i="21"/>
  <c r="A42" i="21"/>
  <c r="AF41" i="21"/>
  <c r="AE41" i="21"/>
  <c r="Y41" i="21"/>
  <c r="X41" i="21"/>
  <c r="W41" i="21"/>
  <c r="V41" i="21"/>
  <c r="T41" i="21"/>
  <c r="S41" i="21"/>
  <c r="R41" i="21"/>
  <c r="Q41" i="21"/>
  <c r="P41" i="21"/>
  <c r="N41" i="21"/>
  <c r="M41" i="21"/>
  <c r="L41" i="21"/>
  <c r="K41" i="21"/>
  <c r="J41" i="21"/>
  <c r="I41" i="21"/>
  <c r="H41" i="21"/>
  <c r="G41" i="21"/>
  <c r="F41" i="21"/>
  <c r="E41" i="21"/>
  <c r="D41" i="21"/>
  <c r="B41" i="21"/>
  <c r="A41" i="21"/>
  <c r="Y40" i="21"/>
  <c r="X40" i="21"/>
  <c r="W40" i="21"/>
  <c r="V40" i="21"/>
  <c r="T40" i="21"/>
  <c r="S40" i="21"/>
  <c r="R40" i="21"/>
  <c r="Q40" i="21"/>
  <c r="P40" i="21"/>
  <c r="N40" i="21"/>
  <c r="M40" i="21"/>
  <c r="L40" i="21"/>
  <c r="K40" i="21"/>
  <c r="J40" i="21"/>
  <c r="I40" i="21"/>
  <c r="H40" i="21"/>
  <c r="G40" i="21"/>
  <c r="F40" i="21"/>
  <c r="E40" i="21"/>
  <c r="D40" i="21"/>
  <c r="B40" i="21"/>
  <c r="A40" i="21"/>
  <c r="AF39" i="21"/>
  <c r="AE39" i="21"/>
  <c r="Y39" i="21"/>
  <c r="X39" i="21"/>
  <c r="W39" i="21"/>
  <c r="V39" i="21"/>
  <c r="U39" i="21"/>
  <c r="T39" i="21"/>
  <c r="S39" i="21"/>
  <c r="R39" i="21"/>
  <c r="Q39" i="21"/>
  <c r="P39" i="21"/>
  <c r="N39" i="21"/>
  <c r="M39" i="21"/>
  <c r="L39" i="21"/>
  <c r="K39" i="21"/>
  <c r="J39" i="21"/>
  <c r="I39" i="21"/>
  <c r="H39" i="21"/>
  <c r="E39" i="21"/>
  <c r="D39" i="21"/>
  <c r="B39" i="21"/>
  <c r="A39" i="21"/>
  <c r="AF38" i="21"/>
  <c r="AE38" i="21"/>
  <c r="Y38" i="21"/>
  <c r="X38" i="21"/>
  <c r="W38" i="21"/>
  <c r="V38" i="21"/>
  <c r="T38" i="21"/>
  <c r="S38" i="21"/>
  <c r="R38" i="21"/>
  <c r="Q38" i="21"/>
  <c r="P38" i="21"/>
  <c r="N38" i="21"/>
  <c r="M38" i="21"/>
  <c r="L38" i="21"/>
  <c r="K38" i="21"/>
  <c r="J38" i="21"/>
  <c r="I38" i="21"/>
  <c r="H38" i="21"/>
  <c r="G38" i="21"/>
  <c r="F38" i="21"/>
  <c r="E38" i="21"/>
  <c r="D38" i="21"/>
  <c r="B38" i="21"/>
  <c r="A38" i="21"/>
  <c r="AF37" i="21"/>
  <c r="AE37" i="21"/>
  <c r="Y37" i="21"/>
  <c r="X37" i="21"/>
  <c r="W37" i="21"/>
  <c r="V37" i="21"/>
  <c r="U37" i="21"/>
  <c r="T37" i="21"/>
  <c r="S37" i="21"/>
  <c r="R37" i="21"/>
  <c r="Q37" i="21"/>
  <c r="P37" i="21"/>
  <c r="N37" i="21"/>
  <c r="M37" i="21"/>
  <c r="L37" i="21"/>
  <c r="K37" i="21"/>
  <c r="J37" i="21"/>
  <c r="I37" i="21"/>
  <c r="H37" i="21"/>
  <c r="E37" i="21"/>
  <c r="D37" i="21"/>
  <c r="B37" i="21"/>
  <c r="A37" i="21"/>
  <c r="AF36" i="21"/>
  <c r="AE36" i="21"/>
  <c r="Y36" i="21"/>
  <c r="X36" i="21"/>
  <c r="W36" i="21"/>
  <c r="V36" i="21"/>
  <c r="T36" i="21"/>
  <c r="S36" i="21"/>
  <c r="R36" i="21"/>
  <c r="Q36" i="21"/>
  <c r="P36" i="21"/>
  <c r="N36" i="21"/>
  <c r="M36" i="21"/>
  <c r="L36" i="21"/>
  <c r="K36" i="21"/>
  <c r="J36" i="21"/>
  <c r="I36" i="21"/>
  <c r="H36" i="21"/>
  <c r="G36" i="21"/>
  <c r="F36" i="21"/>
  <c r="E36" i="21"/>
  <c r="D36" i="21"/>
  <c r="B36" i="21"/>
  <c r="A36" i="21"/>
  <c r="AF35" i="21"/>
  <c r="AE35" i="21"/>
  <c r="Y35" i="21"/>
  <c r="X35" i="21"/>
  <c r="W35" i="21"/>
  <c r="V35" i="21"/>
  <c r="T35" i="21"/>
  <c r="S35" i="21"/>
  <c r="R35" i="21"/>
  <c r="Q35" i="21"/>
  <c r="P35" i="21"/>
  <c r="N35" i="21"/>
  <c r="M35" i="21"/>
  <c r="L35" i="21"/>
  <c r="K35" i="21"/>
  <c r="J35" i="21"/>
  <c r="I35" i="21"/>
  <c r="H35" i="21"/>
  <c r="G35" i="21"/>
  <c r="F35" i="21"/>
  <c r="E35" i="21"/>
  <c r="D35" i="21"/>
  <c r="B35" i="21"/>
  <c r="A35" i="21"/>
  <c r="AF34" i="21"/>
  <c r="AE34" i="21"/>
  <c r="Y34" i="21"/>
  <c r="X34" i="21"/>
  <c r="W34" i="21"/>
  <c r="V34" i="21"/>
  <c r="T34" i="21"/>
  <c r="S34" i="21"/>
  <c r="R34" i="21"/>
  <c r="Q34" i="21"/>
  <c r="P34" i="21"/>
  <c r="N34" i="21"/>
  <c r="M34" i="21"/>
  <c r="L34" i="21"/>
  <c r="K34" i="21"/>
  <c r="J34" i="21"/>
  <c r="I34" i="21"/>
  <c r="H34" i="21"/>
  <c r="G34" i="21"/>
  <c r="F34" i="21"/>
  <c r="E34" i="21"/>
  <c r="D34" i="21"/>
  <c r="B34" i="21"/>
  <c r="A34" i="21"/>
  <c r="AF33" i="21"/>
  <c r="AE33" i="21"/>
  <c r="Y33" i="21"/>
  <c r="X33" i="21"/>
  <c r="W33" i="21"/>
  <c r="V33" i="21"/>
  <c r="T33" i="21"/>
  <c r="S33" i="21"/>
  <c r="R33" i="21"/>
  <c r="Q33" i="21"/>
  <c r="P33" i="21"/>
  <c r="N33" i="21"/>
  <c r="M33" i="21"/>
  <c r="L33" i="21"/>
  <c r="K33" i="21"/>
  <c r="J33" i="21"/>
  <c r="I33" i="21"/>
  <c r="H33" i="21"/>
  <c r="G33" i="21"/>
  <c r="F33" i="21"/>
  <c r="E33" i="21"/>
  <c r="D33" i="21"/>
  <c r="B33" i="21"/>
  <c r="A33" i="21"/>
  <c r="Y32" i="21"/>
  <c r="X32" i="21"/>
  <c r="W32" i="21"/>
  <c r="V32" i="21"/>
  <c r="T32" i="21"/>
  <c r="S32" i="21"/>
  <c r="R32" i="21"/>
  <c r="Q32" i="21"/>
  <c r="P32" i="21"/>
  <c r="N32" i="21"/>
  <c r="M32" i="21"/>
  <c r="L32" i="21"/>
  <c r="K32" i="21"/>
  <c r="J32" i="21"/>
  <c r="I32" i="21"/>
  <c r="H32" i="21"/>
  <c r="G32" i="21"/>
  <c r="F32" i="21"/>
  <c r="E32" i="21"/>
  <c r="D32" i="21"/>
  <c r="B32" i="21"/>
  <c r="A32" i="21"/>
  <c r="AF31" i="21"/>
  <c r="AE31" i="21"/>
  <c r="Y31" i="21"/>
  <c r="X31" i="21"/>
  <c r="W31" i="21"/>
  <c r="V31" i="21"/>
  <c r="T31" i="21"/>
  <c r="S31" i="21"/>
  <c r="R31" i="21"/>
  <c r="Q31" i="21"/>
  <c r="P31" i="21"/>
  <c r="N31" i="21"/>
  <c r="M31" i="21"/>
  <c r="L31" i="21"/>
  <c r="K31" i="21"/>
  <c r="J31" i="21"/>
  <c r="I31" i="21"/>
  <c r="H31" i="21"/>
  <c r="G31" i="21"/>
  <c r="F31" i="21"/>
  <c r="E31" i="21"/>
  <c r="D31" i="21"/>
  <c r="B31" i="21"/>
  <c r="A31" i="21"/>
  <c r="AF30" i="21"/>
  <c r="AE30" i="21"/>
  <c r="Y30" i="21"/>
  <c r="X30" i="21"/>
  <c r="W30" i="21"/>
  <c r="V30" i="21"/>
  <c r="T30" i="21"/>
  <c r="S30" i="21"/>
  <c r="R30" i="21"/>
  <c r="Q30" i="21"/>
  <c r="P30" i="21"/>
  <c r="N30" i="21"/>
  <c r="M30" i="21"/>
  <c r="L30" i="21"/>
  <c r="K30" i="21"/>
  <c r="J30" i="21"/>
  <c r="I30" i="21"/>
  <c r="H30" i="21"/>
  <c r="G30" i="21"/>
  <c r="F30" i="21"/>
  <c r="E30" i="21"/>
  <c r="D30" i="21"/>
  <c r="B30" i="21"/>
  <c r="A30" i="21"/>
  <c r="AF29" i="21"/>
  <c r="AE29" i="21"/>
  <c r="Y29" i="21"/>
  <c r="X29" i="21"/>
  <c r="W29" i="21"/>
  <c r="V29" i="21"/>
  <c r="T29" i="21"/>
  <c r="S29" i="21"/>
  <c r="R29" i="21"/>
  <c r="Q29" i="21"/>
  <c r="P29" i="21"/>
  <c r="N29" i="21"/>
  <c r="M29" i="21"/>
  <c r="L29" i="21"/>
  <c r="K29" i="21"/>
  <c r="J29" i="21"/>
  <c r="I29" i="21"/>
  <c r="H29" i="21"/>
  <c r="G29" i="21"/>
  <c r="F29" i="21"/>
  <c r="E29" i="21"/>
  <c r="D29" i="21"/>
  <c r="B29" i="21"/>
  <c r="A29" i="21"/>
  <c r="AF28" i="21"/>
  <c r="AE28" i="21"/>
  <c r="Y28" i="21"/>
  <c r="X28" i="21"/>
  <c r="W28" i="21"/>
  <c r="V28" i="21"/>
  <c r="T28" i="21"/>
  <c r="S28" i="21"/>
  <c r="R28" i="21"/>
  <c r="Q28" i="21"/>
  <c r="P28" i="21"/>
  <c r="N28" i="21"/>
  <c r="M28" i="21"/>
  <c r="L28" i="21"/>
  <c r="K28" i="21"/>
  <c r="J28" i="21"/>
  <c r="I28" i="21"/>
  <c r="H28" i="21"/>
  <c r="G28" i="21"/>
  <c r="F28" i="21"/>
  <c r="E28" i="21"/>
  <c r="D28" i="21"/>
  <c r="B28" i="21"/>
  <c r="A28" i="21"/>
  <c r="AF27" i="21"/>
  <c r="AE27" i="21"/>
  <c r="Y27" i="21"/>
  <c r="X27" i="21"/>
  <c r="W27" i="21"/>
  <c r="V27" i="21"/>
  <c r="U27" i="21"/>
  <c r="T27" i="21"/>
  <c r="S27" i="21"/>
  <c r="R27" i="21"/>
  <c r="Q27" i="21"/>
  <c r="P27" i="21"/>
  <c r="N27" i="21"/>
  <c r="M27" i="21"/>
  <c r="L27" i="21"/>
  <c r="K27" i="21"/>
  <c r="J27" i="21"/>
  <c r="I27" i="21"/>
  <c r="H27" i="21"/>
  <c r="E27" i="21"/>
  <c r="D27" i="21"/>
  <c r="B27" i="21"/>
  <c r="A27" i="21"/>
  <c r="AF26" i="21"/>
  <c r="AE26" i="21"/>
  <c r="Y26" i="21"/>
  <c r="X26" i="21"/>
  <c r="W26" i="21"/>
  <c r="V26" i="21"/>
  <c r="T26" i="21"/>
  <c r="S26" i="21"/>
  <c r="R26" i="21"/>
  <c r="Q26" i="21"/>
  <c r="P26" i="21"/>
  <c r="N26" i="21"/>
  <c r="M26" i="21"/>
  <c r="L26" i="21"/>
  <c r="K26" i="21"/>
  <c r="J26" i="21"/>
  <c r="I26" i="21"/>
  <c r="H26" i="21"/>
  <c r="G26" i="21"/>
  <c r="F26" i="21"/>
  <c r="E26" i="21"/>
  <c r="D26" i="21"/>
  <c r="B26" i="21"/>
  <c r="A26" i="21"/>
  <c r="AF25" i="21"/>
  <c r="AE25" i="21"/>
  <c r="Y25" i="21"/>
  <c r="X25" i="21"/>
  <c r="W25" i="21"/>
  <c r="V25" i="21"/>
  <c r="T25" i="21"/>
  <c r="S25" i="21"/>
  <c r="R25" i="21"/>
  <c r="Q25" i="21"/>
  <c r="P25" i="21"/>
  <c r="N25" i="21"/>
  <c r="M25" i="21"/>
  <c r="L25" i="21"/>
  <c r="K25" i="21"/>
  <c r="J25" i="21"/>
  <c r="I25" i="21"/>
  <c r="H25" i="21"/>
  <c r="G25" i="21"/>
  <c r="F25" i="21"/>
  <c r="E25" i="21"/>
  <c r="D25" i="21"/>
  <c r="B25" i="21"/>
  <c r="A25" i="21"/>
  <c r="AF24" i="21"/>
  <c r="AE24" i="21"/>
  <c r="Y24" i="21"/>
  <c r="X24" i="21"/>
  <c r="W24" i="21"/>
  <c r="V24" i="21"/>
  <c r="T24" i="21"/>
  <c r="S24" i="21"/>
  <c r="R24" i="21"/>
  <c r="Q24" i="21"/>
  <c r="P24" i="21"/>
  <c r="N24" i="21"/>
  <c r="M24" i="21"/>
  <c r="L24" i="21"/>
  <c r="K24" i="21"/>
  <c r="J24" i="21"/>
  <c r="I24" i="21"/>
  <c r="H24" i="21"/>
  <c r="G24" i="21"/>
  <c r="F24" i="21"/>
  <c r="E24" i="21"/>
  <c r="D24" i="21"/>
  <c r="B24" i="21"/>
  <c r="A24" i="21"/>
  <c r="AF23" i="21"/>
  <c r="AE23" i="21"/>
  <c r="Y23" i="21"/>
  <c r="X23" i="21"/>
  <c r="W23" i="21"/>
  <c r="V23" i="21"/>
  <c r="T23" i="21"/>
  <c r="S23" i="21"/>
  <c r="R23" i="21"/>
  <c r="Q23" i="21"/>
  <c r="P23" i="21"/>
  <c r="N23" i="21"/>
  <c r="M23" i="21"/>
  <c r="L23" i="21"/>
  <c r="K23" i="21"/>
  <c r="J23" i="21"/>
  <c r="I23" i="21"/>
  <c r="H23" i="21"/>
  <c r="G23" i="21"/>
  <c r="F23" i="21"/>
  <c r="E23" i="21"/>
  <c r="D23" i="21"/>
  <c r="B23" i="21"/>
  <c r="A23" i="21"/>
  <c r="AF22" i="21"/>
  <c r="AE22" i="21"/>
  <c r="Y22" i="21"/>
  <c r="X22" i="21"/>
  <c r="W22" i="21"/>
  <c r="V22" i="21"/>
  <c r="T22" i="21"/>
  <c r="S22" i="21"/>
  <c r="R22" i="21"/>
  <c r="Q22" i="21"/>
  <c r="P22" i="21"/>
  <c r="N22" i="21"/>
  <c r="M22" i="21"/>
  <c r="L22" i="21"/>
  <c r="K22" i="21"/>
  <c r="J22" i="21"/>
  <c r="I22" i="21"/>
  <c r="H22" i="21"/>
  <c r="G22" i="21"/>
  <c r="F22" i="21"/>
  <c r="E22" i="21"/>
  <c r="D22" i="21"/>
  <c r="B22" i="21"/>
  <c r="A22" i="21"/>
  <c r="AF21" i="21"/>
  <c r="AE21" i="21"/>
  <c r="Y21" i="21"/>
  <c r="X21" i="21"/>
  <c r="W21" i="21"/>
  <c r="V21" i="21"/>
  <c r="T21" i="21"/>
  <c r="S21" i="21"/>
  <c r="R21" i="21"/>
  <c r="Q21" i="21"/>
  <c r="P21" i="21"/>
  <c r="N21" i="21"/>
  <c r="M21" i="21"/>
  <c r="L21" i="21"/>
  <c r="K21" i="21"/>
  <c r="J21" i="21"/>
  <c r="I21" i="21"/>
  <c r="H21" i="21"/>
  <c r="G21" i="21"/>
  <c r="F21" i="21"/>
  <c r="E21" i="21"/>
  <c r="D21" i="21"/>
  <c r="B21" i="21"/>
  <c r="A21" i="21"/>
  <c r="AF20" i="21"/>
  <c r="AE20" i="21"/>
  <c r="Y20" i="21"/>
  <c r="X20" i="21"/>
  <c r="W20" i="21"/>
  <c r="V20" i="21"/>
  <c r="T20" i="21"/>
  <c r="S20" i="21"/>
  <c r="R20" i="21"/>
  <c r="Q20" i="21"/>
  <c r="P20" i="21"/>
  <c r="N20" i="21"/>
  <c r="M20" i="21"/>
  <c r="L20" i="21"/>
  <c r="K20" i="21"/>
  <c r="J20" i="21"/>
  <c r="I20" i="21"/>
  <c r="H20" i="21"/>
  <c r="G20" i="21"/>
  <c r="F20" i="21"/>
  <c r="E20" i="21"/>
  <c r="D20" i="21"/>
  <c r="B20" i="21"/>
  <c r="A20" i="21"/>
  <c r="AF19" i="21"/>
  <c r="AE19" i="21"/>
  <c r="Y19" i="21"/>
  <c r="X19" i="21"/>
  <c r="W19" i="21"/>
  <c r="V19" i="21"/>
  <c r="U19" i="21"/>
  <c r="T19" i="21"/>
  <c r="S19" i="21"/>
  <c r="R19" i="21"/>
  <c r="Q19" i="21"/>
  <c r="P19" i="21"/>
  <c r="N19" i="21"/>
  <c r="M19" i="21"/>
  <c r="L19" i="21"/>
  <c r="K19" i="21"/>
  <c r="J19" i="21"/>
  <c r="I19" i="21"/>
  <c r="H19" i="21"/>
  <c r="E19" i="21"/>
  <c r="D19" i="21"/>
  <c r="B19" i="21"/>
  <c r="A19" i="21"/>
  <c r="AF18" i="21"/>
  <c r="AE18" i="21"/>
  <c r="Y18" i="21"/>
  <c r="X18" i="21"/>
  <c r="W18" i="21"/>
  <c r="V18" i="21"/>
  <c r="U18" i="21"/>
  <c r="T18" i="21"/>
  <c r="S18" i="21"/>
  <c r="R18" i="21"/>
  <c r="Q18" i="21"/>
  <c r="P18" i="21"/>
  <c r="N18" i="21"/>
  <c r="M18" i="21"/>
  <c r="L18" i="21"/>
  <c r="K18" i="21"/>
  <c r="J18" i="21"/>
  <c r="I18" i="21"/>
  <c r="H18" i="21"/>
  <c r="E18" i="21"/>
  <c r="D18" i="21"/>
  <c r="B18" i="21"/>
  <c r="A18" i="21"/>
  <c r="AF17" i="21"/>
  <c r="AE17" i="21"/>
  <c r="Y17" i="21"/>
  <c r="X17" i="21"/>
  <c r="W17" i="21"/>
  <c r="V17" i="21"/>
  <c r="U17" i="21"/>
  <c r="T17" i="21"/>
  <c r="S17" i="21"/>
  <c r="R17" i="21"/>
  <c r="Q17" i="21"/>
  <c r="P17" i="21"/>
  <c r="N17" i="21"/>
  <c r="M17" i="21"/>
  <c r="L17" i="21"/>
  <c r="K17" i="21"/>
  <c r="J17" i="21"/>
  <c r="I17" i="21"/>
  <c r="H17" i="21"/>
  <c r="E17" i="21"/>
  <c r="D17" i="21"/>
  <c r="B17" i="21"/>
  <c r="A17" i="21"/>
  <c r="Y16" i="21"/>
  <c r="X16" i="21"/>
  <c r="W16" i="21"/>
  <c r="V16" i="21"/>
  <c r="T16" i="21"/>
  <c r="S16" i="21"/>
  <c r="R16" i="21"/>
  <c r="Q16" i="21"/>
  <c r="P16" i="21"/>
  <c r="N16" i="21"/>
  <c r="M16" i="21"/>
  <c r="L16" i="21"/>
  <c r="K16" i="21"/>
  <c r="J16" i="21"/>
  <c r="I16" i="21"/>
  <c r="H16" i="21"/>
  <c r="G16" i="21"/>
  <c r="F16" i="21"/>
  <c r="E16" i="21"/>
  <c r="D16" i="21"/>
  <c r="B16" i="21"/>
  <c r="A16" i="21"/>
  <c r="AF15" i="21"/>
  <c r="AE15" i="21"/>
  <c r="Y15" i="21"/>
  <c r="X15" i="21"/>
  <c r="W15" i="21"/>
  <c r="V15" i="21"/>
  <c r="T15" i="21"/>
  <c r="S15" i="21"/>
  <c r="R15" i="21"/>
  <c r="Q15" i="21"/>
  <c r="P15" i="21"/>
  <c r="N15" i="21"/>
  <c r="M15" i="21"/>
  <c r="L15" i="21"/>
  <c r="K15" i="21"/>
  <c r="J15" i="21"/>
  <c r="I15" i="21"/>
  <c r="H15" i="21"/>
  <c r="G15" i="21"/>
  <c r="F15" i="21"/>
  <c r="E15" i="21"/>
  <c r="D15" i="21"/>
  <c r="B15" i="21"/>
  <c r="A15" i="21"/>
  <c r="AF14" i="21"/>
  <c r="AE14" i="21"/>
  <c r="Y14" i="21"/>
  <c r="X14" i="21"/>
  <c r="W14" i="21"/>
  <c r="V14" i="21"/>
  <c r="T14" i="21"/>
  <c r="S14" i="21"/>
  <c r="R14" i="21"/>
  <c r="Q14" i="21"/>
  <c r="P14" i="21"/>
  <c r="N14" i="21"/>
  <c r="M14" i="21"/>
  <c r="L14" i="21"/>
  <c r="K14" i="21"/>
  <c r="J14" i="21"/>
  <c r="I14" i="21"/>
  <c r="H14" i="21"/>
  <c r="G14" i="21"/>
  <c r="F14" i="21"/>
  <c r="E14" i="21"/>
  <c r="D14" i="21"/>
  <c r="B14" i="21"/>
  <c r="A14" i="21"/>
  <c r="AF13" i="21"/>
  <c r="AE13" i="21"/>
  <c r="Y13" i="21"/>
  <c r="X13" i="21"/>
  <c r="W13" i="21"/>
  <c r="V13" i="21"/>
  <c r="T13" i="21"/>
  <c r="S13" i="21"/>
  <c r="R13" i="21"/>
  <c r="Q13" i="21"/>
  <c r="P13" i="21"/>
  <c r="N13" i="21"/>
  <c r="M13" i="21"/>
  <c r="L13" i="21"/>
  <c r="K13" i="21"/>
  <c r="J13" i="21"/>
  <c r="I13" i="21"/>
  <c r="H13" i="21"/>
  <c r="G13" i="21"/>
  <c r="F13" i="21"/>
  <c r="E13" i="21"/>
  <c r="D13" i="21"/>
  <c r="B13" i="21"/>
  <c r="A13" i="21"/>
  <c r="AF12" i="21"/>
  <c r="AE12" i="21"/>
  <c r="Y12" i="21"/>
  <c r="X12" i="21"/>
  <c r="W12" i="21"/>
  <c r="V12" i="21"/>
  <c r="U12" i="21"/>
  <c r="T12" i="21"/>
  <c r="S12" i="21"/>
  <c r="R12" i="21"/>
  <c r="Q12" i="21"/>
  <c r="P12" i="21"/>
  <c r="N12" i="21"/>
  <c r="M12" i="21"/>
  <c r="L12" i="21"/>
  <c r="K12" i="21"/>
  <c r="J12" i="21"/>
  <c r="I12" i="21"/>
  <c r="H12" i="21"/>
  <c r="E12" i="21"/>
  <c r="D12" i="21"/>
  <c r="B12" i="21"/>
  <c r="A12" i="21"/>
  <c r="AF11" i="21"/>
  <c r="AE11" i="21"/>
  <c r="Y11" i="21"/>
  <c r="X11" i="21"/>
  <c r="W11" i="21"/>
  <c r="V11" i="21"/>
  <c r="T11" i="21"/>
  <c r="S11" i="21"/>
  <c r="R11" i="21"/>
  <c r="Q11" i="21"/>
  <c r="P11" i="21"/>
  <c r="N11" i="21"/>
  <c r="M11" i="21"/>
  <c r="L11" i="21"/>
  <c r="K11" i="21"/>
  <c r="J11" i="21"/>
  <c r="I11" i="21"/>
  <c r="H11" i="21"/>
  <c r="G11" i="21"/>
  <c r="F11" i="21"/>
  <c r="E11" i="21"/>
  <c r="D11" i="21"/>
  <c r="B11" i="21"/>
  <c r="A11" i="21"/>
  <c r="AF10" i="21"/>
  <c r="AE10" i="21"/>
  <c r="Y10" i="21"/>
  <c r="X10" i="21"/>
  <c r="W10" i="21"/>
  <c r="V10" i="21"/>
  <c r="T10" i="21"/>
  <c r="S10" i="21"/>
  <c r="R10" i="21"/>
  <c r="Q10" i="21"/>
  <c r="P10" i="21"/>
  <c r="N10" i="21"/>
  <c r="M10" i="21"/>
  <c r="L10" i="21"/>
  <c r="K10" i="21"/>
  <c r="J10" i="21"/>
  <c r="I10" i="21"/>
  <c r="H10" i="21"/>
  <c r="G10" i="21"/>
  <c r="F10" i="21"/>
  <c r="E10" i="21"/>
  <c r="D10" i="21"/>
  <c r="B10" i="21"/>
  <c r="A10" i="21"/>
  <c r="AF9" i="21"/>
  <c r="AE9" i="21"/>
  <c r="Y9" i="21"/>
  <c r="X9" i="21"/>
  <c r="W9" i="21"/>
  <c r="V9" i="21"/>
  <c r="T9" i="21"/>
  <c r="S9" i="21"/>
  <c r="R9" i="21"/>
  <c r="Q9" i="21"/>
  <c r="P9" i="21"/>
  <c r="N9" i="21"/>
  <c r="M9" i="21"/>
  <c r="L9" i="21"/>
  <c r="K9" i="21"/>
  <c r="J9" i="21"/>
  <c r="I9" i="21"/>
  <c r="H9" i="21"/>
  <c r="G9" i="21"/>
  <c r="F9" i="21"/>
  <c r="E9" i="21"/>
  <c r="D9" i="21"/>
  <c r="B9" i="21"/>
  <c r="A9" i="21"/>
  <c r="AF8" i="21"/>
  <c r="AE8" i="21"/>
  <c r="Y8" i="21"/>
  <c r="X8" i="21"/>
  <c r="W8" i="21"/>
  <c r="V8" i="21"/>
  <c r="U8" i="21"/>
  <c r="T8" i="21"/>
  <c r="S8" i="21"/>
  <c r="R8" i="21"/>
  <c r="Q8" i="21"/>
  <c r="P8" i="21"/>
  <c r="N8" i="21"/>
  <c r="M8" i="21"/>
  <c r="L8" i="21"/>
  <c r="K8" i="21"/>
  <c r="J8" i="21"/>
  <c r="I8" i="21"/>
  <c r="H8" i="21"/>
  <c r="E8" i="21"/>
  <c r="D8" i="21"/>
  <c r="B8" i="21"/>
  <c r="A8" i="21"/>
  <c r="AF7" i="21"/>
  <c r="AE7" i="21"/>
  <c r="Y7" i="21"/>
  <c r="X7" i="21"/>
  <c r="W7" i="21"/>
  <c r="V7" i="21"/>
  <c r="T7" i="21"/>
  <c r="S7" i="21"/>
  <c r="R7" i="21"/>
  <c r="Q7" i="21"/>
  <c r="P7" i="21"/>
  <c r="N7" i="21"/>
  <c r="M7" i="21"/>
  <c r="L7" i="21"/>
  <c r="K7" i="21"/>
  <c r="J7" i="21"/>
  <c r="I7" i="21"/>
  <c r="H7" i="21"/>
  <c r="G7" i="21"/>
  <c r="F7" i="21"/>
  <c r="E7" i="21"/>
  <c r="D7" i="21"/>
  <c r="B7" i="21"/>
  <c r="A7" i="21"/>
  <c r="AF6" i="21"/>
  <c r="AE6" i="21"/>
  <c r="Y6" i="21"/>
  <c r="X6" i="21"/>
  <c r="W6" i="21"/>
  <c r="V6" i="21"/>
  <c r="T6" i="21"/>
  <c r="S6" i="21"/>
  <c r="R6" i="21"/>
  <c r="Q6" i="21"/>
  <c r="P6" i="21"/>
  <c r="N6" i="21"/>
  <c r="M6" i="21"/>
  <c r="L6" i="21"/>
  <c r="K6" i="21"/>
  <c r="J6" i="21"/>
  <c r="I6" i="21"/>
  <c r="H6" i="21"/>
  <c r="G6" i="21"/>
  <c r="F6" i="21"/>
  <c r="E6" i="21"/>
  <c r="D6" i="21"/>
  <c r="B6" i="21"/>
  <c r="A6" i="21"/>
  <c r="AF5" i="21"/>
  <c r="AE5" i="21"/>
  <c r="Y5" i="21"/>
  <c r="X5" i="21"/>
  <c r="W5" i="21"/>
  <c r="V5" i="21"/>
  <c r="T5" i="21"/>
  <c r="S5" i="21"/>
  <c r="R5" i="21"/>
  <c r="Q5" i="21"/>
  <c r="P5" i="21"/>
  <c r="N5" i="21"/>
  <c r="M5" i="21"/>
  <c r="L5" i="21"/>
  <c r="K5" i="21"/>
  <c r="J5" i="21"/>
  <c r="I5" i="21"/>
  <c r="H5" i="21"/>
  <c r="G5" i="21"/>
  <c r="F5" i="21"/>
  <c r="E5" i="21"/>
  <c r="D5" i="21"/>
  <c r="B5" i="21"/>
  <c r="A5" i="21"/>
  <c r="AF4" i="21"/>
  <c r="AE4" i="21"/>
  <c r="AC4" i="21"/>
  <c r="Y4" i="21"/>
  <c r="X4" i="21"/>
  <c r="W4" i="21"/>
  <c r="V4" i="21"/>
  <c r="T4" i="21"/>
  <c r="S4" i="21"/>
  <c r="R4" i="21"/>
  <c r="Q4" i="21"/>
  <c r="P4" i="21"/>
  <c r="N4" i="21"/>
  <c r="M4" i="21"/>
  <c r="L4" i="21"/>
  <c r="K4" i="21"/>
  <c r="J4" i="21"/>
  <c r="I4" i="21"/>
  <c r="H4" i="21"/>
  <c r="G4" i="21"/>
  <c r="F4" i="21"/>
  <c r="E4" i="21"/>
  <c r="D4" i="21"/>
  <c r="B4" i="21"/>
  <c r="A4" i="21"/>
  <c r="AC3" i="21"/>
  <c r="AB3" i="21"/>
  <c r="AA3" i="21"/>
  <c r="W2" i="21"/>
  <c r="T2" i="21"/>
  <c r="S2" i="21"/>
  <c r="R2" i="21"/>
  <c r="Q2" i="21"/>
  <c r="L2" i="21"/>
  <c r="J2" i="21"/>
  <c r="I2" i="21"/>
  <c r="H2" i="21"/>
  <c r="E2" i="21"/>
  <c r="B2" i="21"/>
  <c r="A2" i="21"/>
  <c r="X1" i="21"/>
  <c r="W1" i="21"/>
  <c r="T1" i="21"/>
  <c r="Q1" i="21"/>
  <c r="L1" i="21"/>
  <c r="J1" i="21"/>
  <c r="H1" i="21"/>
  <c r="E1" i="21"/>
  <c r="D1" i="21"/>
  <c r="G2" i="61"/>
  <c r="AA198" i="47"/>
  <c r="AA197" i="47"/>
  <c r="AA196" i="47"/>
  <c r="AA195" i="47"/>
  <c r="AA194" i="47"/>
  <c r="AA193" i="47"/>
  <c r="AA192" i="47"/>
  <c r="AA191" i="47"/>
  <c r="AA190" i="47"/>
  <c r="AA189" i="47"/>
  <c r="AA188" i="47"/>
  <c r="AA187" i="47"/>
  <c r="AA186" i="47"/>
  <c r="AA185" i="47"/>
  <c r="AA184" i="47"/>
  <c r="AA183" i="47"/>
  <c r="AA182" i="47"/>
  <c r="AA181" i="47"/>
  <c r="AA180" i="47"/>
  <c r="AA179" i="47"/>
  <c r="AA178" i="47"/>
  <c r="AA177" i="47"/>
  <c r="AA176" i="47"/>
  <c r="AA175" i="47"/>
  <c r="AA174" i="47"/>
  <c r="AA173" i="47"/>
  <c r="AA172" i="47"/>
  <c r="AA171" i="47"/>
  <c r="AA170" i="47"/>
  <c r="AA169" i="47"/>
  <c r="AA168" i="47"/>
  <c r="AA167" i="47"/>
  <c r="AA166" i="47"/>
  <c r="AA165" i="47"/>
  <c r="AA164" i="47"/>
  <c r="AA163" i="47"/>
  <c r="AA162" i="47"/>
  <c r="AA161" i="47"/>
  <c r="AA160" i="47"/>
  <c r="AA159" i="47"/>
  <c r="AA158" i="47"/>
  <c r="AA157" i="47"/>
  <c r="AA156" i="47"/>
  <c r="AA155" i="47"/>
  <c r="AA154" i="47"/>
  <c r="AA153" i="47"/>
  <c r="AA152" i="47"/>
  <c r="AA151" i="47"/>
  <c r="AA150" i="47"/>
  <c r="AA149" i="47"/>
  <c r="AA148" i="47"/>
  <c r="AA147" i="47"/>
  <c r="AA146" i="47"/>
  <c r="AA145" i="47"/>
  <c r="AA144" i="47"/>
  <c r="AA143" i="47"/>
  <c r="AA142" i="47"/>
  <c r="AA141" i="47"/>
  <c r="AA140" i="47"/>
  <c r="AA139" i="47"/>
  <c r="AA138" i="47"/>
  <c r="E138" i="47"/>
  <c r="AA137" i="47"/>
  <c r="E137" i="47"/>
  <c r="AA136" i="47"/>
  <c r="E136" i="47"/>
  <c r="AA135" i="47"/>
  <c r="E135" i="47"/>
  <c r="AA134" i="47"/>
  <c r="E134" i="47"/>
  <c r="AA133" i="47"/>
  <c r="E133" i="47"/>
  <c r="AA132" i="47"/>
  <c r="E132" i="47"/>
  <c r="AA131" i="47"/>
  <c r="E131" i="47"/>
  <c r="AA130" i="47"/>
  <c r="E130" i="47"/>
  <c r="AA129" i="47"/>
  <c r="E129" i="47"/>
  <c r="AA128" i="47"/>
  <c r="E128" i="47"/>
  <c r="AA127" i="47"/>
  <c r="E127" i="47"/>
  <c r="AA126" i="47"/>
  <c r="E126" i="47"/>
  <c r="AA125" i="47"/>
  <c r="E125" i="47"/>
  <c r="AA124" i="47"/>
  <c r="E124" i="47"/>
  <c r="AA123" i="47"/>
  <c r="E123" i="47"/>
  <c r="AA122" i="47"/>
  <c r="E122" i="47"/>
  <c r="AA121" i="47"/>
  <c r="E121" i="47"/>
  <c r="AA120" i="47"/>
  <c r="E120" i="47"/>
  <c r="AA119" i="47"/>
  <c r="E119" i="47"/>
  <c r="AA118" i="47"/>
  <c r="E118" i="47"/>
  <c r="AA117" i="47"/>
  <c r="E117" i="47"/>
  <c r="AA116" i="47"/>
  <c r="E116" i="47"/>
  <c r="AA115" i="47"/>
  <c r="E115" i="47"/>
  <c r="AA114" i="47"/>
  <c r="E114" i="47"/>
  <c r="AA113" i="47"/>
  <c r="E113" i="47"/>
  <c r="AA112" i="47"/>
  <c r="E112" i="47"/>
  <c r="AA111" i="47"/>
  <c r="E111" i="47"/>
  <c r="AA110" i="47"/>
  <c r="E110" i="47"/>
  <c r="AA109" i="47"/>
  <c r="E109" i="47"/>
  <c r="AA108" i="47"/>
  <c r="E108" i="47"/>
  <c r="AA107" i="47"/>
  <c r="E107" i="47"/>
  <c r="AA106" i="47"/>
  <c r="E106" i="47"/>
  <c r="AA105" i="47"/>
  <c r="E105" i="47"/>
  <c r="AA104" i="47"/>
  <c r="E104" i="47"/>
  <c r="AA103" i="47"/>
  <c r="E103" i="47"/>
  <c r="AA102" i="47"/>
  <c r="E102" i="47"/>
  <c r="AA101" i="47"/>
  <c r="E101" i="47"/>
  <c r="AA100" i="47"/>
  <c r="E100" i="47"/>
  <c r="AA99" i="47"/>
  <c r="E99" i="47"/>
  <c r="AA98" i="47"/>
  <c r="E98" i="47"/>
  <c r="AA97" i="47"/>
  <c r="E97" i="47"/>
  <c r="AA96" i="47"/>
  <c r="E96" i="47"/>
  <c r="AA95" i="47"/>
  <c r="E95" i="47"/>
  <c r="AA94" i="47"/>
  <c r="E94" i="47"/>
  <c r="AA93" i="47"/>
  <c r="E93" i="47"/>
  <c r="AA92" i="47"/>
  <c r="E92" i="47"/>
  <c r="AA91" i="47"/>
  <c r="E91" i="47"/>
  <c r="AA90" i="47"/>
  <c r="E90" i="47"/>
  <c r="AA89" i="47"/>
  <c r="E89" i="47"/>
  <c r="AA88" i="47"/>
  <c r="E88" i="47"/>
  <c r="AA87" i="47"/>
  <c r="E87" i="47"/>
  <c r="AA86" i="47"/>
  <c r="E86" i="47"/>
  <c r="AA85" i="47"/>
  <c r="E85" i="47"/>
  <c r="AG84" i="47" a="1"/>
  <c r="AG84" i="47"/>
  <c r="AE84" i="47" a="1"/>
  <c r="AE84" i="47"/>
  <c r="AA84" i="47"/>
  <c r="E84" i="47"/>
  <c r="AG83" i="47" a="1"/>
  <c r="AG83" i="47"/>
  <c r="AE83" i="47" a="1"/>
  <c r="AE83" i="47"/>
  <c r="AA83" i="47"/>
  <c r="E83" i="47"/>
  <c r="AG82" i="47" a="1"/>
  <c r="AG82" i="47"/>
  <c r="AE82" i="47" a="1"/>
  <c r="AE82" i="47"/>
  <c r="AA82" i="47"/>
  <c r="E82" i="47"/>
  <c r="AG81" i="47" a="1"/>
  <c r="AG81" i="47"/>
  <c r="AE81" i="47" a="1"/>
  <c r="AE81" i="47"/>
  <c r="AA81" i="47"/>
  <c r="E81" i="47"/>
  <c r="AG80" i="47" a="1"/>
  <c r="AG80" i="47"/>
  <c r="AE80" i="47" a="1"/>
  <c r="AE80" i="47"/>
  <c r="AA80" i="47"/>
  <c r="E80" i="47"/>
  <c r="AG79" i="47" a="1"/>
  <c r="AG79" i="47"/>
  <c r="AE79" i="47" a="1"/>
  <c r="AE79" i="47"/>
  <c r="AA79" i="47"/>
  <c r="E79" i="47"/>
  <c r="AG78" i="47" a="1"/>
  <c r="AG78" i="47"/>
  <c r="AE78" i="47" a="1"/>
  <c r="AE78" i="47"/>
  <c r="AA78" i="47"/>
  <c r="E78" i="47"/>
  <c r="AG77" i="47" a="1"/>
  <c r="AG77" i="47"/>
  <c r="AE77" i="47" a="1"/>
  <c r="AE77" i="47"/>
  <c r="AA77" i="47"/>
  <c r="E77" i="47"/>
  <c r="AG76" i="47" a="1"/>
  <c r="AG76" i="47"/>
  <c r="AE76" i="47" a="1"/>
  <c r="AE76" i="47"/>
  <c r="AA76" i="47"/>
  <c r="E76" i="47"/>
  <c r="AG75" i="47" a="1"/>
  <c r="AG75" i="47"/>
  <c r="AE75" i="47" a="1"/>
  <c r="AE75" i="47"/>
  <c r="AA75" i="47"/>
  <c r="E75" i="47"/>
  <c r="AG74" i="47" a="1"/>
  <c r="AG74" i="47"/>
  <c r="AE74" i="47" a="1"/>
  <c r="AE74" i="47"/>
  <c r="AA74" i="47"/>
  <c r="E74" i="47"/>
  <c r="AG73" i="47" a="1"/>
  <c r="AG73" i="47"/>
  <c r="AE73" i="47" a="1"/>
  <c r="AE73" i="47"/>
  <c r="AA73" i="47"/>
  <c r="E73" i="47"/>
  <c r="AG72" i="47" a="1"/>
  <c r="AG72" i="47"/>
  <c r="AE72" i="47" a="1"/>
  <c r="AE72" i="47"/>
  <c r="AA72" i="47"/>
  <c r="E72" i="47"/>
  <c r="AG71" i="47" a="1"/>
  <c r="AG71" i="47"/>
  <c r="AE71" i="47" a="1"/>
  <c r="AE71" i="47"/>
  <c r="AA71" i="47"/>
  <c r="E71" i="47"/>
  <c r="AG70" i="47" a="1"/>
  <c r="AG70" i="47"/>
  <c r="AE70" i="47" a="1"/>
  <c r="AE70" i="47"/>
  <c r="AA70" i="47"/>
  <c r="E70" i="47"/>
  <c r="AG69" i="47" a="1"/>
  <c r="AG69" i="47"/>
  <c r="AE69" i="47" a="1"/>
  <c r="AE69" i="47"/>
  <c r="AA69" i="47"/>
  <c r="E69" i="47"/>
  <c r="AG68" i="47" a="1"/>
  <c r="AG68" i="47"/>
  <c r="AE68" i="47" a="1"/>
  <c r="AE68" i="47"/>
  <c r="AA68" i="47"/>
  <c r="E68" i="47"/>
  <c r="AG67" i="47" a="1"/>
  <c r="AG67" i="47"/>
  <c r="AE67" i="47" a="1"/>
  <c r="AE67" i="47"/>
  <c r="AA67" i="47"/>
  <c r="E67" i="47"/>
  <c r="AG66" i="47" a="1"/>
  <c r="AG66" i="47"/>
  <c r="AE66" i="47" a="1"/>
  <c r="AE66" i="47"/>
  <c r="AA66" i="47"/>
  <c r="E66" i="47"/>
  <c r="AG65" i="47" a="1"/>
  <c r="AG65" i="47"/>
  <c r="AE65" i="47" a="1"/>
  <c r="AE65" i="47"/>
  <c r="AA65" i="47"/>
  <c r="AG64" i="47" a="1"/>
  <c r="AG64" i="47"/>
  <c r="AA64" i="47"/>
  <c r="S64" i="47"/>
  <c r="R64" i="47"/>
  <c r="P64" i="47"/>
  <c r="O64" i="47"/>
  <c r="L64" i="47"/>
  <c r="I64" i="47" a="1"/>
  <c r="I64" i="47"/>
  <c r="E64" i="47"/>
  <c r="A64" i="47"/>
  <c r="AG63" i="47" a="1"/>
  <c r="AG63" i="47"/>
  <c r="AE63" i="47" a="1"/>
  <c r="AE63" i="47"/>
  <c r="AA63" i="47"/>
  <c r="S63" i="47"/>
  <c r="R63" i="47"/>
  <c r="P63" i="47"/>
  <c r="O63" i="47"/>
  <c r="L63" i="47"/>
  <c r="I63" i="47" a="1"/>
  <c r="I63" i="47"/>
  <c r="E63" i="47"/>
  <c r="A63" i="47"/>
  <c r="AG62" i="47" a="1"/>
  <c r="AG62" i="47"/>
  <c r="AE62" i="47" a="1"/>
  <c r="AE62" i="47"/>
  <c r="AA62" i="47"/>
  <c r="S62" i="47"/>
  <c r="R62" i="47"/>
  <c r="P62" i="47"/>
  <c r="O62" i="47"/>
  <c r="L62" i="47"/>
  <c r="I62" i="47" a="1"/>
  <c r="I62" i="47"/>
  <c r="E62" i="47"/>
  <c r="A62" i="47"/>
  <c r="AG61" i="47" a="1"/>
  <c r="AG61" i="47"/>
  <c r="AE61" i="47" a="1"/>
  <c r="AE61" i="47"/>
  <c r="AA61" i="47"/>
  <c r="S61" i="47"/>
  <c r="R61" i="47"/>
  <c r="P61" i="47"/>
  <c r="O61" i="47"/>
  <c r="L61" i="47"/>
  <c r="I61" i="47" a="1"/>
  <c r="I61" i="47"/>
  <c r="E61" i="47"/>
  <c r="A61" i="47"/>
  <c r="AG60" i="47" a="1"/>
  <c r="AG60" i="47"/>
  <c r="AE60" i="47" a="1"/>
  <c r="AE60" i="47"/>
  <c r="AA60" i="47"/>
  <c r="S60" i="47"/>
  <c r="R60" i="47"/>
  <c r="P60" i="47"/>
  <c r="O60" i="47"/>
  <c r="L60" i="47"/>
  <c r="I60" i="47" a="1"/>
  <c r="I60" i="47"/>
  <c r="E60" i="47"/>
  <c r="A60" i="47"/>
  <c r="AG59" i="47" a="1"/>
  <c r="AG59" i="47"/>
  <c r="AE59" i="47" a="1"/>
  <c r="AE59" i="47"/>
  <c r="AA59" i="47"/>
  <c r="S59" i="47"/>
  <c r="R59" i="47"/>
  <c r="P59" i="47"/>
  <c r="O59" i="47"/>
  <c r="L59" i="47"/>
  <c r="I59" i="47" a="1"/>
  <c r="I59" i="47"/>
  <c r="E59" i="47"/>
  <c r="A59" i="47"/>
  <c r="AG58" i="47" a="1"/>
  <c r="AG58" i="47"/>
  <c r="AE58" i="47" a="1"/>
  <c r="AE58" i="47"/>
  <c r="AA58" i="47"/>
  <c r="S58" i="47"/>
  <c r="R58" i="47"/>
  <c r="P58" i="47"/>
  <c r="O58" i="47"/>
  <c r="L58" i="47"/>
  <c r="I58" i="47" a="1"/>
  <c r="I58" i="47"/>
  <c r="E58" i="47"/>
  <c r="A58" i="47"/>
  <c r="AG57" i="47" a="1"/>
  <c r="AG57" i="47"/>
  <c r="AE57" i="47" a="1"/>
  <c r="AE57" i="47"/>
  <c r="AA57" i="47"/>
  <c r="S57" i="47"/>
  <c r="R57" i="47"/>
  <c r="P57" i="47"/>
  <c r="O57" i="47"/>
  <c r="L57" i="47"/>
  <c r="I57" i="47" a="1"/>
  <c r="I57" i="47"/>
  <c r="E57" i="47"/>
  <c r="A57" i="47"/>
  <c r="AG56" i="47" a="1"/>
  <c r="AG56" i="47"/>
  <c r="AE56" i="47" a="1"/>
  <c r="AE56" i="47"/>
  <c r="AA56" i="47"/>
  <c r="S56" i="47"/>
  <c r="R56" i="47"/>
  <c r="P56" i="47"/>
  <c r="O56" i="47"/>
  <c r="L56" i="47"/>
  <c r="I56" i="47" a="1"/>
  <c r="I56" i="47"/>
  <c r="E56" i="47"/>
  <c r="A56" i="47"/>
  <c r="AG55" i="47" a="1"/>
  <c r="AG55" i="47"/>
  <c r="AE55" i="47" a="1"/>
  <c r="AE55" i="47"/>
  <c r="AA55" i="47"/>
  <c r="S55" i="47"/>
  <c r="R55" i="47"/>
  <c r="P55" i="47"/>
  <c r="O55" i="47"/>
  <c r="L55" i="47"/>
  <c r="I55" i="47" a="1"/>
  <c r="I55" i="47"/>
  <c r="E55" i="47"/>
  <c r="A55" i="47"/>
  <c r="AG54" i="47" a="1"/>
  <c r="AG54" i="47"/>
  <c r="AE54" i="47" a="1"/>
  <c r="AE54" i="47"/>
  <c r="AA54" i="47"/>
  <c r="S54" i="47"/>
  <c r="R54" i="47"/>
  <c r="P54" i="47"/>
  <c r="O54" i="47"/>
  <c r="L54" i="47"/>
  <c r="I54" i="47" a="1"/>
  <c r="I54" i="47"/>
  <c r="E54" i="47"/>
  <c r="A54" i="47"/>
  <c r="AG53" i="47" a="1"/>
  <c r="AG53" i="47"/>
  <c r="AE53" i="47" a="1"/>
  <c r="AE53" i="47"/>
  <c r="AA53" i="47"/>
  <c r="S53" i="47"/>
  <c r="R53" i="47"/>
  <c r="P53" i="47"/>
  <c r="O53" i="47"/>
  <c r="L53" i="47"/>
  <c r="I53" i="47" a="1"/>
  <c r="I53" i="47"/>
  <c r="E53" i="47"/>
  <c r="A53" i="47"/>
  <c r="AG52" i="47" a="1"/>
  <c r="AG52" i="47"/>
  <c r="AE52" i="47" a="1"/>
  <c r="AE52" i="47"/>
  <c r="AA52" i="47"/>
  <c r="S52" i="47"/>
  <c r="R52" i="47"/>
  <c r="P52" i="47"/>
  <c r="O52" i="47"/>
  <c r="L52" i="47"/>
  <c r="I52" i="47" a="1"/>
  <c r="I52" i="47"/>
  <c r="E52" i="47"/>
  <c r="A52" i="47"/>
  <c r="AG51" i="47" a="1"/>
  <c r="AG51" i="47"/>
  <c r="AE51" i="47" a="1"/>
  <c r="AE51" i="47"/>
  <c r="AA51" i="47"/>
  <c r="S51" i="47"/>
  <c r="R51" i="47"/>
  <c r="P51" i="47"/>
  <c r="O51" i="47"/>
  <c r="L51" i="47"/>
  <c r="I51" i="47" a="1"/>
  <c r="I51" i="47"/>
  <c r="E51" i="47"/>
  <c r="A51" i="47"/>
  <c r="AG50" i="47" a="1"/>
  <c r="AG50" i="47"/>
  <c r="AE50" i="47" a="1"/>
  <c r="AE50" i="47"/>
  <c r="AA50" i="47"/>
  <c r="S50" i="47"/>
  <c r="R50" i="47"/>
  <c r="P50" i="47"/>
  <c r="O50" i="47"/>
  <c r="L50" i="47"/>
  <c r="I50" i="47" a="1"/>
  <c r="I50" i="47"/>
  <c r="E50" i="47"/>
  <c r="A50" i="47"/>
  <c r="AG49" i="47" a="1"/>
  <c r="AG49" i="47"/>
  <c r="AE49" i="47" a="1"/>
  <c r="AE49" i="47"/>
  <c r="AA49" i="47"/>
  <c r="S49" i="47"/>
  <c r="R49" i="47"/>
  <c r="P49" i="47"/>
  <c r="O49" i="47"/>
  <c r="L49" i="47"/>
  <c r="I49" i="47" a="1"/>
  <c r="I49" i="47"/>
  <c r="E49" i="47"/>
  <c r="A49" i="47"/>
  <c r="AG48" i="47" a="1"/>
  <c r="AG48" i="47"/>
  <c r="AE48" i="47" a="1"/>
  <c r="AE48" i="47"/>
  <c r="AA48" i="47"/>
  <c r="S48" i="47"/>
  <c r="R48" i="47"/>
  <c r="P48" i="47"/>
  <c r="O48" i="47"/>
  <c r="L48" i="47"/>
  <c r="I48" i="47" a="1"/>
  <c r="I48" i="47"/>
  <c r="E48" i="47"/>
  <c r="A48" i="47"/>
  <c r="AG47" i="47" a="1"/>
  <c r="AG47" i="47"/>
  <c r="AE47" i="47" a="1"/>
  <c r="AE47" i="47"/>
  <c r="AA47" i="47"/>
  <c r="S47" i="47"/>
  <c r="R47" i="47"/>
  <c r="P47" i="47"/>
  <c r="O47" i="47"/>
  <c r="L47" i="47"/>
  <c r="I47" i="47" a="1"/>
  <c r="I47" i="47"/>
  <c r="E47" i="47"/>
  <c r="A47" i="47"/>
  <c r="AG46" i="47" a="1"/>
  <c r="AG46" i="47"/>
  <c r="AE46" i="47" a="1"/>
  <c r="AE46" i="47"/>
  <c r="AA46" i="47"/>
  <c r="S46" i="47"/>
  <c r="R46" i="47"/>
  <c r="P46" i="47"/>
  <c r="O46" i="47"/>
  <c r="L46" i="47"/>
  <c r="I46" i="47" a="1"/>
  <c r="I46" i="47"/>
  <c r="E46" i="47"/>
  <c r="A46" i="47"/>
  <c r="AG45" i="47" a="1"/>
  <c r="AG45" i="47"/>
  <c r="AE45" i="47" a="1"/>
  <c r="AE45" i="47"/>
  <c r="AA45" i="47"/>
  <c r="S45" i="47"/>
  <c r="R45" i="47"/>
  <c r="P45" i="47"/>
  <c r="O45" i="47"/>
  <c r="L45" i="47"/>
  <c r="I45" i="47" a="1"/>
  <c r="I45" i="47"/>
  <c r="E45" i="47"/>
  <c r="A45" i="47"/>
  <c r="AG44" i="47" a="1"/>
  <c r="AG44" i="47"/>
  <c r="AE44" i="47" a="1"/>
  <c r="AE44" i="47"/>
  <c r="AA44" i="47"/>
  <c r="S44" i="47"/>
  <c r="R44" i="47"/>
  <c r="P44" i="47"/>
  <c r="O44" i="47"/>
  <c r="L44" i="47"/>
  <c r="E44" i="47"/>
  <c r="A44" i="47"/>
  <c r="AG43" i="47" a="1"/>
  <c r="AG43" i="47"/>
  <c r="AE43" i="47" a="1"/>
  <c r="AE43" i="47"/>
  <c r="AA43" i="47"/>
  <c r="S43" i="47"/>
  <c r="R43" i="47"/>
  <c r="P43" i="47"/>
  <c r="O43" i="47"/>
  <c r="L43" i="47"/>
  <c r="E43" i="47"/>
  <c r="A43" i="47"/>
  <c r="AG42" i="47" a="1"/>
  <c r="AG42" i="47"/>
  <c r="AE42" i="47" a="1"/>
  <c r="AE42" i="47"/>
  <c r="AA42" i="47"/>
  <c r="S42" i="47"/>
  <c r="R42" i="47"/>
  <c r="P42" i="47"/>
  <c r="O42" i="47"/>
  <c r="L42" i="47"/>
  <c r="I42" i="47" a="1"/>
  <c r="I42" i="47"/>
  <c r="E42" i="47"/>
  <c r="A42" i="47"/>
  <c r="AG41" i="47" a="1"/>
  <c r="AG41" i="47"/>
  <c r="AE41" i="47" a="1"/>
  <c r="AE41" i="47"/>
  <c r="AA41" i="47"/>
  <c r="S41" i="47"/>
  <c r="R41" i="47"/>
  <c r="P41" i="47"/>
  <c r="O41" i="47"/>
  <c r="L41" i="47"/>
  <c r="I41" i="47" a="1"/>
  <c r="I41" i="47"/>
  <c r="E41" i="47"/>
  <c r="A41" i="47"/>
  <c r="AG40" i="47" a="1"/>
  <c r="AG40" i="47"/>
  <c r="AE40" i="47" a="1"/>
  <c r="AE40" i="47"/>
  <c r="AA40" i="47"/>
  <c r="S40" i="47"/>
  <c r="R40" i="47"/>
  <c r="P40" i="47"/>
  <c r="O40" i="47"/>
  <c r="L40" i="47"/>
  <c r="E40" i="47"/>
  <c r="A40" i="47"/>
  <c r="AG39" i="47" a="1"/>
  <c r="AG39" i="47"/>
  <c r="AE39" i="47" a="1"/>
  <c r="AE39" i="47"/>
  <c r="AA39" i="47"/>
  <c r="S39" i="47"/>
  <c r="R39" i="47"/>
  <c r="P39" i="47"/>
  <c r="O39" i="47"/>
  <c r="L39" i="47"/>
  <c r="E39" i="47"/>
  <c r="A39" i="47"/>
  <c r="AG38" i="47" a="1"/>
  <c r="AG38" i="47"/>
  <c r="AE38" i="47" a="1"/>
  <c r="AE38" i="47"/>
  <c r="AA38" i="47"/>
  <c r="S38" i="47"/>
  <c r="R38" i="47"/>
  <c r="P38" i="47"/>
  <c r="O38" i="47"/>
  <c r="L38" i="47"/>
  <c r="I38" i="47" a="1"/>
  <c r="I38" i="47"/>
  <c r="E38" i="47"/>
  <c r="A38" i="47"/>
  <c r="AG37" i="47" a="1"/>
  <c r="AG37" i="47"/>
  <c r="AE37" i="47" a="1"/>
  <c r="AE37" i="47"/>
  <c r="AA37" i="47"/>
  <c r="S37" i="47"/>
  <c r="R37" i="47"/>
  <c r="P37" i="47"/>
  <c r="O37" i="47"/>
  <c r="L37" i="47"/>
  <c r="I37" i="47" a="1"/>
  <c r="I37" i="47"/>
  <c r="E37" i="47"/>
  <c r="A37" i="47"/>
  <c r="AG36" i="47" a="1"/>
  <c r="AG36" i="47"/>
  <c r="AE36" i="47" a="1"/>
  <c r="AE36" i="47"/>
  <c r="AA36" i="47"/>
  <c r="S36" i="47"/>
  <c r="R36" i="47"/>
  <c r="P36" i="47"/>
  <c r="O36" i="47"/>
  <c r="L36" i="47"/>
  <c r="I36" i="47" a="1"/>
  <c r="I36" i="47"/>
  <c r="E36" i="47"/>
  <c r="A36" i="47"/>
  <c r="AG35" i="47" a="1"/>
  <c r="AG35" i="47"/>
  <c r="AE35" i="47" a="1"/>
  <c r="AE35" i="47"/>
  <c r="AA35" i="47"/>
  <c r="S35" i="47"/>
  <c r="R35" i="47"/>
  <c r="P35" i="47"/>
  <c r="O35" i="47"/>
  <c r="L35" i="47"/>
  <c r="I35" i="47" a="1"/>
  <c r="I35" i="47"/>
  <c r="E35" i="47"/>
  <c r="A35" i="47"/>
  <c r="AG34" i="47" a="1"/>
  <c r="AG34" i="47"/>
  <c r="AE34" i="47" a="1"/>
  <c r="AE34" i="47"/>
  <c r="AA34" i="47"/>
  <c r="S34" i="47"/>
  <c r="R34" i="47"/>
  <c r="P34" i="47"/>
  <c r="O34" i="47"/>
  <c r="L34" i="47"/>
  <c r="I34" i="47" a="1"/>
  <c r="I34" i="47"/>
  <c r="E34" i="47"/>
  <c r="A34" i="47"/>
  <c r="AG33" i="47" a="1"/>
  <c r="AG33" i="47"/>
  <c r="AE33" i="47" a="1"/>
  <c r="AE33" i="47"/>
  <c r="AA33" i="47"/>
  <c r="S33" i="47"/>
  <c r="R33" i="47"/>
  <c r="P33" i="47"/>
  <c r="O33" i="47"/>
  <c r="L33" i="47"/>
  <c r="I33" i="47" a="1"/>
  <c r="I33" i="47"/>
  <c r="E33" i="47"/>
  <c r="A33" i="47"/>
  <c r="AG32" i="47" a="1"/>
  <c r="AG32" i="47"/>
  <c r="AE32" i="47" a="1"/>
  <c r="AE32" i="47"/>
  <c r="AA32" i="47"/>
  <c r="S32" i="47"/>
  <c r="R32" i="47"/>
  <c r="P32" i="47"/>
  <c r="O32" i="47"/>
  <c r="L32" i="47"/>
  <c r="I32" i="47" a="1"/>
  <c r="I32" i="47"/>
  <c r="E32" i="47"/>
  <c r="A32" i="47"/>
  <c r="AG31" i="47" a="1"/>
  <c r="AG31" i="47"/>
  <c r="AE31" i="47" a="1"/>
  <c r="AE31" i="47"/>
  <c r="AA31" i="47"/>
  <c r="S31" i="47"/>
  <c r="R31" i="47"/>
  <c r="P31" i="47"/>
  <c r="O31" i="47"/>
  <c r="L31" i="47"/>
  <c r="I31" i="47" a="1"/>
  <c r="I31" i="47"/>
  <c r="E31" i="47"/>
  <c r="A31" i="47"/>
  <c r="AG30" i="47" a="1"/>
  <c r="AG30" i="47"/>
  <c r="AE30" i="47" a="1"/>
  <c r="AE30" i="47"/>
  <c r="AA30" i="47"/>
  <c r="S30" i="47"/>
  <c r="R30" i="47"/>
  <c r="P30" i="47"/>
  <c r="O30" i="47"/>
  <c r="L30" i="47"/>
  <c r="I30" i="47" a="1"/>
  <c r="I30" i="47"/>
  <c r="E30" i="47"/>
  <c r="A30" i="47"/>
  <c r="AG29" i="47" a="1"/>
  <c r="AG29" i="47"/>
  <c r="AE29" i="47" a="1"/>
  <c r="AE29" i="47"/>
  <c r="AA29" i="47"/>
  <c r="W29" i="47"/>
  <c r="S29" i="47"/>
  <c r="R29" i="47"/>
  <c r="P29" i="47"/>
  <c r="O29" i="47"/>
  <c r="L29" i="47"/>
  <c r="I29" i="47" a="1"/>
  <c r="I29" i="47"/>
  <c r="E29" i="47"/>
  <c r="A29" i="47"/>
  <c r="AG28" i="47" a="1"/>
  <c r="AG28" i="47"/>
  <c r="AE28" i="47" a="1"/>
  <c r="AE28" i="47"/>
  <c r="AA28" i="47"/>
  <c r="W28" i="47"/>
  <c r="S28" i="47"/>
  <c r="R28" i="47"/>
  <c r="P28" i="47"/>
  <c r="O28" i="47"/>
  <c r="L28" i="47"/>
  <c r="I28" i="47" a="1"/>
  <c r="I28" i="47"/>
  <c r="E28" i="47"/>
  <c r="A28" i="47"/>
  <c r="AV27" i="47" a="1"/>
  <c r="AV27" i="47"/>
  <c r="AT27" i="47" a="1"/>
  <c r="AT27" i="47"/>
  <c r="AP27" i="47"/>
  <c r="AM27" i="47" a="1"/>
  <c r="AM27" i="47"/>
  <c r="AK27" i="47"/>
  <c r="AG27" i="47" a="1"/>
  <c r="AG27" i="47"/>
  <c r="AE27" i="47" a="1"/>
  <c r="AE27" i="47"/>
  <c r="AA27" i="47"/>
  <c r="W27" i="47"/>
  <c r="S27" i="47"/>
  <c r="R27" i="47"/>
  <c r="P27" i="47"/>
  <c r="O27" i="47"/>
  <c r="L27" i="47"/>
  <c r="I27" i="47" a="1"/>
  <c r="I27" i="47"/>
  <c r="E27" i="47"/>
  <c r="A27" i="47"/>
  <c r="AK26" i="47"/>
  <c r="W26" i="47"/>
  <c r="S26" i="47"/>
  <c r="R26" i="47"/>
  <c r="P26" i="47"/>
  <c r="O26" i="47"/>
  <c r="L26" i="47"/>
  <c r="I26" i="47" a="1"/>
  <c r="I26" i="47"/>
  <c r="E26" i="47"/>
  <c r="A26" i="47"/>
  <c r="AK25" i="47"/>
  <c r="W25" i="47"/>
  <c r="S25" i="47"/>
  <c r="R25" i="47"/>
  <c r="P25" i="47"/>
  <c r="O25" i="47"/>
  <c r="L25" i="47"/>
  <c r="I25" i="47" a="1"/>
  <c r="I25" i="47"/>
  <c r="E25" i="47"/>
  <c r="A25" i="47"/>
  <c r="AK24" i="47"/>
  <c r="W24" i="47"/>
  <c r="S24" i="47"/>
  <c r="R24" i="47"/>
  <c r="P24" i="47"/>
  <c r="O24" i="47"/>
  <c r="L24" i="47"/>
  <c r="I24" i="47" a="1"/>
  <c r="I24" i="47"/>
  <c r="E24" i="47"/>
  <c r="A24" i="47"/>
  <c r="AK23" i="47"/>
  <c r="W23" i="47"/>
  <c r="L23" i="47"/>
  <c r="I23" i="47" a="1"/>
  <c r="I23" i="47"/>
  <c r="E23" i="47"/>
  <c r="A23" i="47"/>
  <c r="AK22" i="47"/>
  <c r="AG22" i="47" a="1"/>
  <c r="AG22" i="47"/>
  <c r="AE22" i="47" a="1"/>
  <c r="AE22" i="47"/>
  <c r="AA22" i="47"/>
  <c r="W22" i="47"/>
  <c r="L22" i="47"/>
  <c r="I22" i="47" a="1"/>
  <c r="I22" i="47"/>
  <c r="E22" i="47"/>
  <c r="A22" i="47"/>
  <c r="AK21" i="47"/>
  <c r="AG21" i="47" a="1"/>
  <c r="AG21" i="47"/>
  <c r="AE21" i="47" a="1"/>
  <c r="AE21" i="47"/>
  <c r="AA21" i="47"/>
  <c r="W21" i="47"/>
  <c r="L21" i="47"/>
  <c r="I21" i="47" a="1"/>
  <c r="I21" i="47"/>
  <c r="E21" i="47"/>
  <c r="A21" i="47"/>
  <c r="AK20" i="47"/>
  <c r="AG20" i="47" a="1"/>
  <c r="AG20" i="47"/>
  <c r="AE20" i="47" a="1"/>
  <c r="AE20" i="47"/>
  <c r="AA20" i="47"/>
  <c r="W20" i="47"/>
  <c r="L20" i="47"/>
  <c r="I20" i="47" a="1"/>
  <c r="I20" i="47"/>
  <c r="E20" i="47"/>
  <c r="A20" i="47"/>
  <c r="AK19" i="47"/>
  <c r="AE19" i="47" a="1"/>
  <c r="AE19" i="47"/>
  <c r="AA19" i="47"/>
  <c r="Y19" i="47"/>
  <c r="W19" i="47"/>
  <c r="L19" i="47"/>
  <c r="I19" i="47" a="1"/>
  <c r="I19" i="47"/>
  <c r="E19" i="47"/>
  <c r="A19" i="47"/>
  <c r="AK18" i="47"/>
  <c r="AE18" i="47" a="1"/>
  <c r="AE18" i="47"/>
  <c r="AA18" i="47"/>
  <c r="Y18" i="47"/>
  <c r="W18" i="47"/>
  <c r="L18" i="47"/>
  <c r="I18" i="47" a="1"/>
  <c r="I18" i="47"/>
  <c r="E18" i="47"/>
  <c r="A18" i="47"/>
  <c r="AK17" i="47"/>
  <c r="AE17" i="47" a="1"/>
  <c r="AE17" i="47"/>
  <c r="AA17" i="47"/>
  <c r="Y17" i="47"/>
  <c r="W17" i="47"/>
  <c r="S17" i="47"/>
  <c r="R17" i="47"/>
  <c r="P17" i="47"/>
  <c r="O17" i="47"/>
  <c r="L17" i="47"/>
  <c r="I17" i="47" a="1"/>
  <c r="I17" i="47"/>
  <c r="E17" i="47"/>
  <c r="A17" i="47"/>
  <c r="AP16" i="47"/>
  <c r="AK16" i="47"/>
  <c r="AG16" i="47" a="1"/>
  <c r="AG16" i="47"/>
  <c r="AE16" i="47" a="1"/>
  <c r="AE16" i="47"/>
  <c r="AA16" i="47"/>
  <c r="Y16" i="47"/>
  <c r="W16" i="47"/>
  <c r="L16" i="47"/>
  <c r="I16" i="47" a="1"/>
  <c r="I16" i="47"/>
  <c r="E16" i="47"/>
  <c r="A16" i="47"/>
  <c r="AP15" i="47"/>
  <c r="AG15" i="47" a="1"/>
  <c r="AG15" i="47"/>
  <c r="AE15" i="47" a="1"/>
  <c r="AE15" i="47"/>
  <c r="AA15" i="47"/>
  <c r="Y15" i="47"/>
  <c r="S15" i="47"/>
  <c r="R15" i="47"/>
  <c r="P15" i="47"/>
  <c r="O15" i="47"/>
  <c r="L15" i="47"/>
  <c r="I15" i="47" a="1"/>
  <c r="I15" i="47"/>
  <c r="E15" i="47"/>
  <c r="AQ13" i="47"/>
  <c r="AP13" i="47"/>
  <c r="AN13" i="47"/>
  <c r="F13" i="47"/>
  <c r="E13" i="47"/>
  <c r="H10" i="47"/>
  <c r="H9" i="47"/>
  <c r="AD8" i="47"/>
  <c r="AB8" i="47"/>
  <c r="Y8" i="47"/>
  <c r="H8" i="47"/>
  <c r="F8" i="47"/>
  <c r="C8" i="47"/>
  <c r="AD7" i="47"/>
  <c r="H7" i="47"/>
  <c r="F7" i="47"/>
  <c r="C7" i="47"/>
  <c r="AD6" i="47"/>
  <c r="AB6" i="47"/>
  <c r="Y6" i="47"/>
  <c r="H6" i="47"/>
  <c r="F6" i="47"/>
  <c r="C6" i="47"/>
  <c r="AD5" i="47"/>
  <c r="AB5" i="47"/>
  <c r="Y5" i="47"/>
  <c r="H5" i="47"/>
  <c r="F5" i="47"/>
  <c r="C5" i="47"/>
  <c r="AD4" i="47"/>
  <c r="AB4" i="47"/>
  <c r="Y4" i="47"/>
  <c r="H4" i="47"/>
  <c r="F4" i="47"/>
  <c r="C4" i="47"/>
  <c r="H35" i="42"/>
  <c r="F35" i="42"/>
  <c r="D35" i="42"/>
  <c r="B35" i="42"/>
  <c r="H34" i="42"/>
  <c r="F34" i="42"/>
  <c r="D34" i="42"/>
  <c r="B34" i="42"/>
  <c r="I33" i="42"/>
  <c r="H33" i="42"/>
  <c r="G33" i="42"/>
  <c r="F33" i="42"/>
  <c r="E33" i="42"/>
  <c r="D33" i="42"/>
  <c r="C33" i="42"/>
  <c r="B33" i="42"/>
  <c r="I32" i="42"/>
  <c r="H32" i="42"/>
  <c r="I31" i="42"/>
  <c r="H31" i="42"/>
  <c r="D31" i="42"/>
  <c r="I30" i="42"/>
  <c r="H30" i="42"/>
  <c r="I29" i="42"/>
  <c r="H29" i="42"/>
  <c r="I28" i="42"/>
  <c r="H28" i="42"/>
  <c r="D28" i="42"/>
  <c r="I27" i="42"/>
  <c r="H27" i="42"/>
  <c r="I26" i="42"/>
  <c r="H26" i="42"/>
  <c r="I25" i="42"/>
  <c r="H25" i="42"/>
  <c r="I24" i="42"/>
  <c r="H24" i="42"/>
  <c r="I23" i="42"/>
  <c r="H23" i="42"/>
  <c r="I22" i="42"/>
  <c r="H22" i="42"/>
  <c r="I21" i="42"/>
  <c r="H21" i="42"/>
  <c r="G21" i="42"/>
  <c r="F21" i="42"/>
  <c r="E21" i="42"/>
  <c r="D21" i="42"/>
  <c r="C21" i="42"/>
  <c r="B21" i="42"/>
  <c r="I20" i="42"/>
  <c r="H20" i="42"/>
  <c r="F20" i="42"/>
  <c r="D20" i="42"/>
  <c r="B20" i="42"/>
  <c r="I19" i="42"/>
  <c r="H19" i="42"/>
  <c r="F19" i="42"/>
  <c r="D19" i="42"/>
  <c r="B19" i="42"/>
  <c r="I18" i="42"/>
  <c r="H18" i="42"/>
  <c r="F18" i="42"/>
  <c r="D18" i="42"/>
  <c r="B18" i="42"/>
  <c r="I17" i="42"/>
  <c r="H17" i="42"/>
  <c r="F17" i="42"/>
  <c r="D17" i="42"/>
  <c r="B17" i="42"/>
  <c r="I16" i="42"/>
  <c r="H16" i="42"/>
  <c r="F16" i="42"/>
  <c r="D16" i="42"/>
  <c r="B16" i="42"/>
  <c r="I15" i="42"/>
  <c r="H15" i="42"/>
  <c r="F15" i="42"/>
  <c r="B15" i="42"/>
  <c r="I14" i="42"/>
  <c r="H14" i="42"/>
  <c r="F14" i="42"/>
  <c r="D14" i="42"/>
  <c r="B14" i="42"/>
  <c r="I13" i="42"/>
  <c r="H13" i="42"/>
  <c r="F13" i="42"/>
  <c r="D13" i="42"/>
  <c r="B13" i="42"/>
  <c r="I12" i="42"/>
  <c r="H12" i="42"/>
  <c r="F12" i="42"/>
  <c r="D12" i="42"/>
  <c r="B12" i="42"/>
  <c r="I11" i="42"/>
  <c r="H11" i="42"/>
  <c r="F11" i="42"/>
  <c r="D11" i="42"/>
  <c r="B11" i="42"/>
  <c r="I10" i="42"/>
  <c r="H10" i="42"/>
  <c r="F10" i="42"/>
  <c r="D10" i="42"/>
  <c r="B10" i="42"/>
  <c r="I9" i="42"/>
  <c r="H9" i="42"/>
  <c r="F9" i="42"/>
  <c r="D9" i="42"/>
  <c r="B9" i="42"/>
  <c r="I8" i="42"/>
  <c r="H8" i="42"/>
  <c r="G8" i="42"/>
  <c r="F8" i="42"/>
  <c r="E8" i="42"/>
  <c r="D8" i="42"/>
  <c r="C8" i="42"/>
  <c r="B8" i="42"/>
  <c r="H6" i="42"/>
  <c r="A2" i="42"/>
  <c r="AB202" i="41"/>
  <c r="AG196" i="41"/>
  <c r="AG195" i="41"/>
  <c r="AF195" i="41"/>
  <c r="AE195" i="41"/>
  <c r="AD195" i="41"/>
  <c r="AC195" i="41"/>
  <c r="AF194" i="41" a="1"/>
  <c r="AF194" i="41"/>
  <c r="AE194" i="41" a="1"/>
  <c r="AE194" i="41"/>
  <c r="AD194" i="41" a="1"/>
  <c r="AD194" i="41"/>
  <c r="AC194" i="41" a="1"/>
  <c r="AC194" i="41"/>
  <c r="AG193" i="41"/>
  <c r="AF193" i="41" a="1"/>
  <c r="AF193" i="41"/>
  <c r="AE193" i="41" a="1"/>
  <c r="AE193" i="41"/>
  <c r="AD193" i="41" a="1"/>
  <c r="AD193" i="41"/>
  <c r="AC193" i="41" a="1"/>
  <c r="AC193" i="41"/>
  <c r="AB193" i="41"/>
  <c r="AF192" i="41" a="1"/>
  <c r="AF192" i="41"/>
  <c r="AE192" i="41" a="1"/>
  <c r="AE192" i="41"/>
  <c r="AD192" i="41" a="1"/>
  <c r="AD192" i="41"/>
  <c r="AC192" i="41" a="1"/>
  <c r="AC192" i="41"/>
  <c r="AF191" i="41" a="1"/>
  <c r="AF191" i="41"/>
  <c r="AE191" i="41" a="1"/>
  <c r="AE191" i="41"/>
  <c r="AD191" i="41" a="1"/>
  <c r="AD191" i="41"/>
  <c r="AC191" i="41" a="1"/>
  <c r="AC191" i="41"/>
  <c r="AF190" i="41" a="1"/>
  <c r="AF190" i="41"/>
  <c r="AE190" i="41" a="1"/>
  <c r="AE190" i="41"/>
  <c r="AD190" i="41" a="1"/>
  <c r="AD190" i="41"/>
  <c r="AC190" i="41" a="1"/>
  <c r="AC190" i="41"/>
  <c r="AF189" i="41" a="1"/>
  <c r="AF189" i="41"/>
  <c r="AE189" i="41" a="1"/>
  <c r="AE189" i="41"/>
  <c r="AD189" i="41" a="1"/>
  <c r="AD189" i="41"/>
  <c r="AC189" i="41" a="1"/>
  <c r="AC189" i="41"/>
  <c r="AF188" i="41" a="1"/>
  <c r="AF188" i="41"/>
  <c r="AE188" i="41" a="1"/>
  <c r="AE188" i="41"/>
  <c r="AD188" i="41" a="1"/>
  <c r="AD188" i="41"/>
  <c r="AC188" i="41" a="1"/>
  <c r="AC188" i="41"/>
  <c r="AF187" i="41" a="1"/>
  <c r="AF187" i="41"/>
  <c r="AE187" i="41" a="1"/>
  <c r="AE187" i="41"/>
  <c r="AD187" i="41" a="1"/>
  <c r="AD187" i="41"/>
  <c r="AC187" i="41" a="1"/>
  <c r="AC187" i="41"/>
  <c r="AG186" i="41"/>
  <c r="AF186" i="41" a="1"/>
  <c r="AF186" i="41"/>
  <c r="AE186" i="41" a="1"/>
  <c r="AE186" i="41"/>
  <c r="AD186" i="41" a="1"/>
  <c r="AD186" i="41"/>
  <c r="AC186" i="41" a="1"/>
  <c r="AC186" i="41"/>
  <c r="AB186" i="41"/>
  <c r="AF185" i="41" a="1"/>
  <c r="AF185" i="41"/>
  <c r="AE185" i="41" a="1"/>
  <c r="AE185" i="41"/>
  <c r="AD185" i="41" a="1"/>
  <c r="AD185" i="41"/>
  <c r="AC185" i="41" a="1"/>
  <c r="AC185" i="41"/>
  <c r="AF184" i="41" a="1"/>
  <c r="AF184" i="41"/>
  <c r="AE184" i="41" a="1"/>
  <c r="AE184" i="41"/>
  <c r="AD184" i="41" a="1"/>
  <c r="AD184" i="41"/>
  <c r="AC184" i="41" a="1"/>
  <c r="AC184" i="41"/>
  <c r="AF183" i="41" a="1"/>
  <c r="AF183" i="41"/>
  <c r="AE183" i="41" a="1"/>
  <c r="AE183" i="41"/>
  <c r="AD183" i="41" a="1"/>
  <c r="AD183" i="41"/>
  <c r="AC183" i="41" a="1"/>
  <c r="AC183" i="41"/>
  <c r="AG182" i="41"/>
  <c r="AF182" i="41" a="1"/>
  <c r="AF182" i="41"/>
  <c r="AE182" i="41" a="1"/>
  <c r="AE182" i="41"/>
  <c r="AD182" i="41" a="1"/>
  <c r="AD182" i="41"/>
  <c r="AC182" i="41" a="1"/>
  <c r="AC182" i="41"/>
  <c r="AB182" i="41"/>
  <c r="AF181" i="41" a="1"/>
  <c r="AF181" i="41"/>
  <c r="AE181" i="41" a="1"/>
  <c r="AE181" i="41"/>
  <c r="AD181" i="41" a="1"/>
  <c r="AD181" i="41"/>
  <c r="AC181" i="41" a="1"/>
  <c r="AC181" i="41"/>
  <c r="AG180" i="41"/>
  <c r="AF180" i="41" a="1"/>
  <c r="AF180" i="41"/>
  <c r="AE180" i="41" a="1"/>
  <c r="AE180" i="41"/>
  <c r="AD180" i="41" a="1"/>
  <c r="AD180" i="41"/>
  <c r="AC180" i="41" a="1"/>
  <c r="AC180" i="41"/>
  <c r="AB180" i="41"/>
  <c r="AF179" i="41" a="1"/>
  <c r="AF179" i="41"/>
  <c r="AE179" i="41" a="1"/>
  <c r="AE179" i="41"/>
  <c r="AD179" i="41" a="1"/>
  <c r="AD179" i="41"/>
  <c r="AC179" i="41" a="1"/>
  <c r="AC179" i="41"/>
  <c r="AF178" i="41" a="1"/>
  <c r="AF178" i="41"/>
  <c r="AE178" i="41" a="1"/>
  <c r="AE178" i="41"/>
  <c r="AD178" i="41" a="1"/>
  <c r="AD178" i="41"/>
  <c r="AC178" i="41" a="1"/>
  <c r="AC178" i="41"/>
  <c r="AF177" i="41" a="1"/>
  <c r="AF177" i="41"/>
  <c r="AE177" i="41" a="1"/>
  <c r="AE177" i="41"/>
  <c r="AD177" i="41" a="1"/>
  <c r="AD177" i="41"/>
  <c r="AC177" i="41" a="1"/>
  <c r="AC177" i="41"/>
  <c r="AF176" i="41" a="1"/>
  <c r="AF176" i="41"/>
  <c r="AE176" i="41" a="1"/>
  <c r="AE176" i="41"/>
  <c r="AD176" i="41" a="1"/>
  <c r="AD176" i="41"/>
  <c r="AC176" i="41" a="1"/>
  <c r="AC176" i="41"/>
  <c r="AG175" i="41"/>
  <c r="AF175" i="41" a="1"/>
  <c r="AF175" i="41"/>
  <c r="AE175" i="41" a="1"/>
  <c r="AE175" i="41"/>
  <c r="AD175" i="41" a="1"/>
  <c r="AD175" i="41"/>
  <c r="AC175" i="41" a="1"/>
  <c r="AC175" i="41"/>
  <c r="AB175" i="41"/>
  <c r="AF151" i="41"/>
  <c r="AE151" i="41"/>
  <c r="AD151" i="41"/>
  <c r="AC151" i="41"/>
  <c r="AF150" i="41" a="1"/>
  <c r="AF150" i="41"/>
  <c r="AE150" i="41" a="1"/>
  <c r="AE150" i="41"/>
  <c r="AD150" i="41" a="1"/>
  <c r="AD150" i="41"/>
  <c r="AC150" i="41" a="1"/>
  <c r="AC150" i="41"/>
  <c r="AF149" i="41" a="1"/>
  <c r="AF149" i="41"/>
  <c r="AE149" i="41" a="1"/>
  <c r="AE149" i="41"/>
  <c r="AD149" i="41" a="1"/>
  <c r="AD149" i="41"/>
  <c r="AC149" i="41" a="1"/>
  <c r="AC149" i="41"/>
  <c r="AF148" i="41" a="1"/>
  <c r="AF148" i="41"/>
  <c r="AE148" i="41" a="1"/>
  <c r="AE148" i="41"/>
  <c r="AD148" i="41" a="1"/>
  <c r="AD148" i="41"/>
  <c r="AC148" i="41" a="1"/>
  <c r="AC148" i="41"/>
  <c r="AF147" i="41" a="1"/>
  <c r="AF147" i="41"/>
  <c r="AE147" i="41" a="1"/>
  <c r="AE147" i="41"/>
  <c r="AD147" i="41" a="1"/>
  <c r="AD147" i="41"/>
  <c r="AC147" i="41" a="1"/>
  <c r="AC147" i="41"/>
  <c r="AF146" i="41" a="1"/>
  <c r="AF146" i="41"/>
  <c r="AE146" i="41" a="1"/>
  <c r="AE146" i="41"/>
  <c r="AD146" i="41" a="1"/>
  <c r="AD146" i="41"/>
  <c r="AC146" i="41" a="1"/>
  <c r="AC146" i="41"/>
  <c r="AF145" i="41" a="1"/>
  <c r="AF145" i="41"/>
  <c r="AE145" i="41" a="1"/>
  <c r="AE145" i="41"/>
  <c r="AD145" i="41" a="1"/>
  <c r="AD145" i="41"/>
  <c r="AC145" i="41" a="1"/>
  <c r="AC145" i="41"/>
  <c r="AF144" i="41" a="1"/>
  <c r="AF144" i="41"/>
  <c r="AE144" i="41" a="1"/>
  <c r="AE144" i="41"/>
  <c r="AD144" i="41" a="1"/>
  <c r="AD144" i="41"/>
  <c r="AC144" i="41" a="1"/>
  <c r="AC144" i="41"/>
  <c r="AF143" i="41" a="1"/>
  <c r="AF143" i="41"/>
  <c r="AE143" i="41" a="1"/>
  <c r="AE143" i="41"/>
  <c r="AD143" i="41" a="1"/>
  <c r="AD143" i="41"/>
  <c r="AC143" i="41" a="1"/>
  <c r="AC143" i="41"/>
  <c r="AF142" i="41" a="1"/>
  <c r="AF142" i="41"/>
  <c r="AE142" i="41" a="1"/>
  <c r="AE142" i="41"/>
  <c r="AD142" i="41" a="1"/>
  <c r="AD142" i="41"/>
  <c r="AC142" i="41" a="1"/>
  <c r="AC142" i="41"/>
  <c r="AF141" i="41" a="1"/>
  <c r="AF141" i="41"/>
  <c r="AE141" i="41" a="1"/>
  <c r="AE141" i="41"/>
  <c r="AD141" i="41" a="1"/>
  <c r="AD141" i="41"/>
  <c r="AC141" i="41" a="1"/>
  <c r="AC141" i="41"/>
  <c r="AF140" i="41" a="1"/>
  <c r="AF140" i="41"/>
  <c r="AE140" i="41" a="1"/>
  <c r="AE140" i="41"/>
  <c r="AD140" i="41" a="1"/>
  <c r="AD140" i="41"/>
  <c r="AC140" i="41" a="1"/>
  <c r="AC140" i="41"/>
  <c r="AF139" i="41" a="1"/>
  <c r="AF139" i="41"/>
  <c r="AE139" i="41" a="1"/>
  <c r="AE139" i="41"/>
  <c r="AD139" i="41" a="1"/>
  <c r="AD139" i="41"/>
  <c r="AC139" i="41" a="1"/>
  <c r="AC139" i="41"/>
  <c r="AF138" i="41" a="1"/>
  <c r="AF138" i="41"/>
  <c r="AE138" i="41" a="1"/>
  <c r="AE138" i="41"/>
  <c r="AD138" i="41" a="1"/>
  <c r="AD138" i="41"/>
  <c r="AC138" i="41" a="1"/>
  <c r="AC138" i="41"/>
  <c r="AF137" i="41" a="1"/>
  <c r="AF137" i="41"/>
  <c r="AE137" i="41" a="1"/>
  <c r="AE137" i="41"/>
  <c r="AD137" i="41" a="1"/>
  <c r="AD137" i="41"/>
  <c r="AC137" i="41" a="1"/>
  <c r="AC137" i="41"/>
  <c r="AF136" i="41" a="1"/>
  <c r="AF136" i="41"/>
  <c r="AE136" i="41" a="1"/>
  <c r="AE136" i="41"/>
  <c r="AD136" i="41" a="1"/>
  <c r="AD136" i="41"/>
  <c r="AC136" i="41" a="1"/>
  <c r="AC136" i="41"/>
  <c r="AF135" i="41" a="1"/>
  <c r="AF135" i="41"/>
  <c r="AE135" i="41" a="1"/>
  <c r="AE135" i="41"/>
  <c r="AD135" i="41" a="1"/>
  <c r="AD135" i="41"/>
  <c r="AC135" i="41" a="1"/>
  <c r="AC135" i="41"/>
  <c r="AF134" i="41" a="1"/>
  <c r="AF134" i="41"/>
  <c r="AE134" i="41" a="1"/>
  <c r="AE134" i="41"/>
  <c r="AD134" i="41" a="1"/>
  <c r="AD134" i="41"/>
  <c r="AC134" i="41" a="1"/>
  <c r="AC134" i="41"/>
  <c r="AF133" i="41" a="1"/>
  <c r="AF133" i="41"/>
  <c r="AE133" i="41" a="1"/>
  <c r="AE133" i="41"/>
  <c r="AD133" i="41" a="1"/>
  <c r="AD133" i="41"/>
  <c r="AC133" i="41" a="1"/>
  <c r="AC133" i="41"/>
  <c r="AF132" i="41" a="1"/>
  <c r="AF132" i="41"/>
  <c r="AE132" i="41" a="1"/>
  <c r="AE132" i="41"/>
  <c r="AD132" i="41" a="1"/>
  <c r="AD132" i="41"/>
  <c r="AC132" i="41" a="1"/>
  <c r="AC132" i="41"/>
  <c r="AC106" i="41"/>
  <c r="AF105" i="41" a="1"/>
  <c r="AF105" i="41"/>
  <c r="AE105" i="41" a="1"/>
  <c r="AE105" i="41"/>
  <c r="AD105" i="41" a="1"/>
  <c r="AD105" i="41"/>
  <c r="AC105" i="41" a="1"/>
  <c r="AC105" i="41"/>
  <c r="AF104" i="41" a="1"/>
  <c r="AF104" i="41"/>
  <c r="AE104" i="41" a="1"/>
  <c r="AE104" i="41"/>
  <c r="AD104" i="41" a="1"/>
  <c r="AD104" i="41"/>
  <c r="AC104" i="41" a="1"/>
  <c r="AC104" i="41"/>
  <c r="AG54" i="41"/>
  <c r="AF54" i="41"/>
  <c r="AE54" i="41"/>
  <c r="AD54" i="41"/>
  <c r="AC54" i="41"/>
  <c r="AF53" i="41" a="1"/>
  <c r="AF53" i="41"/>
  <c r="AE53" i="41" a="1"/>
  <c r="AE53" i="41"/>
  <c r="AD53" i="41" a="1"/>
  <c r="AD53" i="41"/>
  <c r="AC53" i="41" a="1"/>
  <c r="AC53" i="41"/>
  <c r="AF52" i="41" a="1"/>
  <c r="AF52" i="41"/>
  <c r="AE52" i="41" a="1"/>
  <c r="AE52" i="41"/>
  <c r="AD52" i="41" a="1"/>
  <c r="AD52" i="41"/>
  <c r="AC52" i="41" a="1"/>
  <c r="AC52" i="41"/>
  <c r="AF51" i="41" a="1"/>
  <c r="AF51" i="41"/>
  <c r="AE51" i="41" a="1"/>
  <c r="AE51" i="41"/>
  <c r="AD51" i="41" a="1"/>
  <c r="AD51" i="41"/>
  <c r="AC51" i="41" a="1"/>
  <c r="AC51" i="41"/>
  <c r="AF50" i="41" a="1"/>
  <c r="AF50" i="41"/>
  <c r="AE50" i="41" a="1"/>
  <c r="AE50" i="41"/>
  <c r="AD50" i="41" a="1"/>
  <c r="AD50" i="41"/>
  <c r="AC50" i="41" a="1"/>
  <c r="AC50" i="41"/>
  <c r="AF49" i="41" a="1"/>
  <c r="AF49" i="41"/>
  <c r="AE49" i="41" a="1"/>
  <c r="AE49" i="41"/>
  <c r="AD49" i="41" a="1"/>
  <c r="AD49" i="41"/>
  <c r="AC49" i="41" a="1"/>
  <c r="AC49" i="41"/>
  <c r="AF48" i="41" a="1"/>
  <c r="AF48" i="41"/>
  <c r="AE48" i="41" a="1"/>
  <c r="AE48" i="41"/>
  <c r="AD48" i="41" a="1"/>
  <c r="AD48" i="41"/>
  <c r="AC48" i="41" a="1"/>
  <c r="AC48" i="41"/>
  <c r="H25" i="41"/>
  <c r="H23" i="41"/>
  <c r="F23" i="41"/>
  <c r="D23" i="41"/>
  <c r="B23" i="41"/>
  <c r="H22" i="41"/>
  <c r="F22" i="41"/>
  <c r="D22" i="41"/>
  <c r="B22" i="41"/>
  <c r="H21" i="41"/>
  <c r="F21" i="41"/>
  <c r="D21" i="41"/>
  <c r="B21" i="41"/>
  <c r="I20" i="41"/>
  <c r="H20" i="41"/>
  <c r="G20" i="41"/>
  <c r="F20" i="41"/>
  <c r="E20" i="41"/>
  <c r="D20" i="41"/>
  <c r="C20" i="41"/>
  <c r="B20" i="41"/>
  <c r="I19" i="41"/>
  <c r="H19" i="41"/>
  <c r="G19" i="41"/>
  <c r="F19" i="41"/>
  <c r="E19" i="41"/>
  <c r="D19" i="41"/>
  <c r="C19" i="41"/>
  <c r="B19" i="41"/>
  <c r="I18" i="41"/>
  <c r="H18" i="41"/>
  <c r="G18" i="41" a="1"/>
  <c r="G18" i="41"/>
  <c r="F18" i="41"/>
  <c r="E18" i="41" a="1"/>
  <c r="E18" i="41"/>
  <c r="D18" i="41"/>
  <c r="C18" i="41" a="1"/>
  <c r="C18" i="41"/>
  <c r="B18" i="41"/>
  <c r="I17" i="41"/>
  <c r="H17" i="41"/>
  <c r="G17" i="41" a="1"/>
  <c r="G17" i="41"/>
  <c r="F17" i="41"/>
  <c r="E17" i="41" a="1"/>
  <c r="E17" i="41"/>
  <c r="D17" i="41"/>
  <c r="C17" i="41" a="1"/>
  <c r="C17" i="41"/>
  <c r="B17" i="41"/>
  <c r="I16" i="41"/>
  <c r="H16" i="41"/>
  <c r="G16" i="41" a="1"/>
  <c r="G16" i="41"/>
  <c r="F16" i="41"/>
  <c r="E16" i="41" a="1"/>
  <c r="E16" i="41"/>
  <c r="D16" i="41"/>
  <c r="C16" i="41" a="1"/>
  <c r="C16" i="41"/>
  <c r="B16" i="41"/>
  <c r="I15" i="41"/>
  <c r="H15" i="41"/>
  <c r="G15" i="41" a="1"/>
  <c r="G15" i="41"/>
  <c r="F15" i="41"/>
  <c r="E15" i="41" a="1"/>
  <c r="E15" i="41"/>
  <c r="D15" i="41"/>
  <c r="C15" i="41" a="1"/>
  <c r="C15" i="41"/>
  <c r="B15" i="41"/>
  <c r="I14" i="41"/>
  <c r="H14" i="41"/>
  <c r="G14" i="41" a="1"/>
  <c r="G14" i="41"/>
  <c r="F14" i="41"/>
  <c r="E14" i="41" a="1"/>
  <c r="E14" i="41"/>
  <c r="D14" i="41"/>
  <c r="C14" i="41" a="1"/>
  <c r="C14" i="41"/>
  <c r="B14" i="41"/>
  <c r="I13" i="41"/>
  <c r="H13" i="41"/>
  <c r="G13" i="41" a="1"/>
  <c r="G13" i="41"/>
  <c r="F13" i="41"/>
  <c r="E13" i="41" a="1"/>
  <c r="E13" i="41"/>
  <c r="D13" i="41"/>
  <c r="C13" i="41" a="1"/>
  <c r="C13" i="41"/>
  <c r="B13" i="41"/>
  <c r="I12" i="41"/>
  <c r="H12" i="41"/>
  <c r="G12" i="41" a="1"/>
  <c r="G12" i="41"/>
  <c r="F12" i="41"/>
  <c r="E12" i="41" a="1"/>
  <c r="E12" i="41"/>
  <c r="D12" i="41"/>
  <c r="C12" i="41" a="1"/>
  <c r="C12" i="41"/>
  <c r="B12" i="41"/>
  <c r="I11" i="41"/>
  <c r="H11" i="41"/>
  <c r="G11" i="41" a="1"/>
  <c r="G11" i="41"/>
  <c r="F11" i="41"/>
  <c r="E11" i="41" a="1"/>
  <c r="E11" i="41"/>
  <c r="D11" i="41"/>
  <c r="C11" i="41" a="1"/>
  <c r="C11" i="41"/>
  <c r="B11" i="41"/>
  <c r="I10" i="41"/>
  <c r="H10" i="41"/>
  <c r="G10" i="41" a="1"/>
  <c r="G10" i="41"/>
  <c r="F10" i="41"/>
  <c r="E10" i="41" a="1"/>
  <c r="E10" i="41"/>
  <c r="D10" i="41"/>
  <c r="C10" i="41" a="1"/>
  <c r="C10" i="41"/>
  <c r="B10" i="41"/>
  <c r="I9" i="41"/>
  <c r="H9" i="41"/>
  <c r="G9" i="41" a="1"/>
  <c r="G9" i="41"/>
  <c r="F9" i="41"/>
  <c r="E9" i="41" a="1"/>
  <c r="E9" i="41"/>
  <c r="D9" i="41"/>
  <c r="C9" i="41" a="1"/>
  <c r="C9" i="41"/>
  <c r="B9" i="41"/>
  <c r="I8" i="41"/>
  <c r="H8" i="41"/>
  <c r="G8" i="41" a="1"/>
  <c r="G8" i="41"/>
  <c r="F8" i="41"/>
  <c r="E8" i="41" a="1"/>
  <c r="E8" i="41"/>
  <c r="D8" i="41"/>
  <c r="C8" i="41" a="1"/>
  <c r="C8" i="41"/>
  <c r="B8" i="41"/>
  <c r="I7" i="41"/>
  <c r="H7" i="41"/>
  <c r="G7" i="41" a="1"/>
  <c r="G7" i="41"/>
  <c r="F7" i="41"/>
  <c r="E7" i="41" a="1"/>
  <c r="E7" i="41"/>
  <c r="D7" i="41"/>
  <c r="C7" i="41" a="1"/>
  <c r="C7" i="41"/>
  <c r="B7" i="41"/>
  <c r="I6" i="41"/>
  <c r="H6" i="41"/>
  <c r="G6" i="41"/>
  <c r="F6" i="41"/>
  <c r="E6" i="41"/>
  <c r="D6" i="41"/>
  <c r="C6" i="41"/>
  <c r="B6" i="41"/>
  <c r="H4" i="41"/>
  <c r="F4" i="41"/>
  <c r="D4" i="41"/>
  <c r="B4" i="41"/>
  <c r="A2" i="41"/>
  <c r="H18" i="60"/>
  <c r="F18" i="60"/>
  <c r="D18" i="60"/>
  <c r="B18" i="60"/>
  <c r="I17" i="60"/>
  <c r="H17" i="60"/>
  <c r="F17" i="60"/>
  <c r="D17" i="60"/>
  <c r="B17" i="60"/>
  <c r="H16" i="60"/>
  <c r="F16" i="60"/>
  <c r="D16" i="60"/>
  <c r="B16" i="60"/>
  <c r="H15" i="60"/>
  <c r="F15" i="60"/>
  <c r="D15" i="60"/>
  <c r="B15" i="60"/>
  <c r="I14" i="60"/>
  <c r="H14" i="60"/>
  <c r="F14" i="60"/>
  <c r="D14" i="60"/>
  <c r="B14" i="60"/>
  <c r="I13" i="60"/>
  <c r="H13" i="60"/>
  <c r="F13" i="60"/>
  <c r="D13" i="60"/>
  <c r="B13" i="60"/>
  <c r="I12" i="60"/>
  <c r="H12" i="60"/>
  <c r="F12" i="60"/>
  <c r="D12" i="60"/>
  <c r="B12" i="60"/>
  <c r="I11" i="60"/>
  <c r="H11" i="60"/>
  <c r="F11" i="60"/>
  <c r="D11" i="60"/>
  <c r="B11" i="60"/>
  <c r="I10" i="60"/>
  <c r="H10" i="60"/>
  <c r="F10" i="60"/>
  <c r="D10" i="60"/>
  <c r="B10" i="60"/>
  <c r="I9" i="60"/>
  <c r="H9" i="60"/>
  <c r="F9" i="60"/>
  <c r="D9" i="60"/>
  <c r="B9" i="60"/>
  <c r="I8" i="60"/>
  <c r="H8" i="60"/>
  <c r="F8" i="60"/>
  <c r="D8" i="60"/>
  <c r="B8" i="60"/>
  <c r="I7" i="60"/>
  <c r="H7" i="60"/>
  <c r="F7" i="60"/>
  <c r="D7" i="60"/>
  <c r="B7" i="60"/>
  <c r="I6" i="60"/>
  <c r="H6" i="60"/>
  <c r="F6" i="60"/>
  <c r="D6" i="60"/>
  <c r="B6" i="60"/>
  <c r="I5" i="60"/>
  <c r="H5" i="60"/>
  <c r="F5" i="60"/>
  <c r="D5" i="60"/>
  <c r="B5" i="60"/>
  <c r="I4" i="60"/>
  <c r="H4" i="60"/>
  <c r="G4" i="60"/>
  <c r="F4" i="60"/>
  <c r="E4" i="60"/>
  <c r="D4" i="60"/>
  <c r="C4" i="60"/>
  <c r="B4" i="60"/>
  <c r="H2" i="60"/>
  <c r="D12" i="63"/>
  <c r="D11" i="63"/>
  <c r="D10" i="63"/>
  <c r="D9" i="63"/>
  <c r="D8" i="63"/>
  <c r="D7" i="63"/>
  <c r="D6" i="63"/>
  <c r="D5" i="63"/>
  <c r="D4" i="63"/>
  <c r="G220" i="14"/>
  <c r="F220" i="14"/>
  <c r="E220" i="14"/>
  <c r="D220" i="14"/>
  <c r="G219" i="14"/>
  <c r="F219" i="14"/>
  <c r="E219" i="14"/>
  <c r="D219" i="14"/>
  <c r="G218" i="14"/>
  <c r="F218" i="14"/>
  <c r="E218" i="14"/>
  <c r="D218" i="14"/>
  <c r="G208" i="14"/>
  <c r="F208" i="14"/>
  <c r="E208" i="14"/>
  <c r="D208" i="14"/>
  <c r="G207" i="14"/>
  <c r="F207" i="14"/>
  <c r="E207" i="14"/>
  <c r="D207" i="14"/>
  <c r="G206" i="14"/>
  <c r="F206" i="14"/>
  <c r="E206" i="14"/>
  <c r="D206" i="14"/>
  <c r="G202" i="14"/>
  <c r="F202" i="14"/>
  <c r="E202" i="14"/>
  <c r="D202" i="14"/>
  <c r="G201" i="14"/>
  <c r="F201" i="14"/>
  <c r="E201" i="14"/>
  <c r="D201" i="14"/>
  <c r="G200" i="14"/>
  <c r="F200" i="14"/>
  <c r="E200" i="14"/>
  <c r="D200" i="14"/>
  <c r="H193" i="14"/>
  <c r="G193" i="14"/>
  <c r="E193" i="14"/>
  <c r="D193" i="14"/>
  <c r="H192" i="14"/>
  <c r="G192" i="14"/>
  <c r="F192" i="14"/>
  <c r="E192" i="14"/>
  <c r="D192" i="14"/>
  <c r="H191" i="14"/>
  <c r="G191" i="14"/>
  <c r="F191" i="14"/>
  <c r="E191" i="14"/>
  <c r="D191" i="14"/>
  <c r="H190" i="14"/>
  <c r="G190" i="14"/>
  <c r="F190" i="14"/>
  <c r="E190" i="14"/>
  <c r="D190" i="14"/>
  <c r="H189" i="14"/>
  <c r="G189" i="14"/>
  <c r="F189" i="14"/>
  <c r="E189" i="14"/>
  <c r="D189" i="14"/>
  <c r="H188" i="14"/>
  <c r="G188" i="14"/>
  <c r="F188" i="14"/>
  <c r="E188" i="14"/>
  <c r="D188" i="14"/>
  <c r="H187" i="14"/>
  <c r="G187" i="14"/>
  <c r="F187" i="14"/>
  <c r="E187" i="14"/>
  <c r="D187" i="14"/>
  <c r="H186" i="14"/>
  <c r="G186" i="14"/>
  <c r="F186" i="14"/>
  <c r="E186" i="14"/>
  <c r="D186" i="14"/>
  <c r="H185" i="14"/>
  <c r="G185" i="14"/>
  <c r="F185" i="14"/>
  <c r="E185" i="14"/>
  <c r="D185" i="14"/>
  <c r="H184" i="14"/>
  <c r="G184" i="14"/>
  <c r="F184" i="14"/>
  <c r="E184" i="14"/>
  <c r="D184" i="14"/>
  <c r="H183" i="14"/>
  <c r="G183" i="14"/>
  <c r="F183" i="14"/>
  <c r="E183" i="14"/>
  <c r="D183" i="14"/>
  <c r="H182" i="14"/>
  <c r="G182" i="14"/>
  <c r="F182" i="14"/>
  <c r="E182" i="14"/>
  <c r="D182" i="14"/>
  <c r="H181" i="14"/>
  <c r="G181" i="14"/>
  <c r="F181" i="14"/>
  <c r="E181" i="14"/>
  <c r="D181" i="14"/>
  <c r="H180" i="14"/>
  <c r="G180" i="14"/>
  <c r="F180" i="14"/>
  <c r="E180" i="14"/>
  <c r="D180" i="14"/>
  <c r="H175" i="14"/>
  <c r="G175" i="14"/>
  <c r="E175" i="14"/>
  <c r="D175" i="14"/>
  <c r="H174" i="14"/>
  <c r="G174" i="14"/>
  <c r="F174" i="14"/>
  <c r="E174" i="14"/>
  <c r="D174" i="14"/>
  <c r="H173" i="14"/>
  <c r="G173" i="14"/>
  <c r="F173" i="14"/>
  <c r="E173" i="14"/>
  <c r="D173" i="14"/>
  <c r="H172" i="14"/>
  <c r="G172" i="14"/>
  <c r="F172" i="14"/>
  <c r="E172" i="14"/>
  <c r="D172" i="14"/>
  <c r="H171" i="14"/>
  <c r="G171" i="14"/>
  <c r="F171" i="14"/>
  <c r="E171" i="14"/>
  <c r="D171" i="14"/>
  <c r="H170" i="14"/>
  <c r="G170" i="14"/>
  <c r="F170" i="14"/>
  <c r="E170" i="14"/>
  <c r="D170" i="14"/>
  <c r="H169" i="14"/>
  <c r="G169" i="14"/>
  <c r="F169" i="14"/>
  <c r="E169" i="14"/>
  <c r="D169" i="14"/>
  <c r="H168" i="14"/>
  <c r="G168" i="14"/>
  <c r="F168" i="14"/>
  <c r="E168" i="14"/>
  <c r="D168" i="14"/>
  <c r="H167" i="14"/>
  <c r="G167" i="14"/>
  <c r="F167" i="14"/>
  <c r="E167" i="14"/>
  <c r="D167" i="14"/>
  <c r="H166" i="14"/>
  <c r="G166" i="14"/>
  <c r="F166" i="14"/>
  <c r="E166" i="14"/>
  <c r="D166" i="14"/>
  <c r="H165" i="14"/>
  <c r="G165" i="14"/>
  <c r="F165" i="14"/>
  <c r="E165" i="14"/>
  <c r="D165" i="14"/>
  <c r="H164" i="14"/>
  <c r="G164" i="14"/>
  <c r="F164" i="14"/>
  <c r="E164" i="14"/>
  <c r="D164" i="14"/>
  <c r="H163" i="14"/>
  <c r="G163" i="14"/>
  <c r="F163" i="14"/>
  <c r="E163" i="14"/>
  <c r="D163" i="14"/>
  <c r="H162" i="14"/>
  <c r="G162" i="14"/>
  <c r="F162" i="14"/>
  <c r="E162" i="14"/>
  <c r="D162" i="14"/>
  <c r="F154" i="14"/>
  <c r="I153" i="14"/>
  <c r="H153" i="14"/>
  <c r="G153" i="14"/>
  <c r="E153" i="14"/>
  <c r="D153" i="14"/>
  <c r="I152" i="14"/>
  <c r="H152" i="14"/>
  <c r="G152" i="14"/>
  <c r="E152" i="14"/>
  <c r="D152" i="14"/>
  <c r="I151" i="14"/>
  <c r="H151" i="14"/>
  <c r="G151" i="14"/>
  <c r="E151" i="14"/>
  <c r="D151" i="14"/>
  <c r="I150" i="14"/>
  <c r="H150" i="14"/>
  <c r="G150" i="14"/>
  <c r="E150" i="14"/>
  <c r="D150" i="14"/>
  <c r="I149" i="14"/>
  <c r="H149" i="14"/>
  <c r="G149" i="14"/>
  <c r="E149" i="14"/>
  <c r="D149" i="14"/>
  <c r="I148" i="14"/>
  <c r="H148" i="14"/>
  <c r="G148" i="14"/>
  <c r="E148" i="14"/>
  <c r="D148" i="14"/>
  <c r="I147" i="14"/>
  <c r="H147" i="14"/>
  <c r="G147" i="14"/>
  <c r="E147" i="14"/>
  <c r="D147" i="14"/>
  <c r="I146" i="14"/>
  <c r="H146" i="14"/>
  <c r="G146" i="14"/>
  <c r="E146" i="14"/>
  <c r="D146" i="14"/>
  <c r="I145" i="14"/>
  <c r="H145" i="14"/>
  <c r="G145" i="14"/>
  <c r="E145" i="14"/>
  <c r="D145" i="14"/>
  <c r="I144" i="14"/>
  <c r="H144" i="14"/>
  <c r="G144" i="14"/>
  <c r="E144" i="14"/>
  <c r="D144" i="14"/>
  <c r="I143" i="14"/>
  <c r="H143" i="14"/>
  <c r="G143" i="14"/>
  <c r="E143" i="14"/>
  <c r="D143" i="14"/>
  <c r="I142" i="14"/>
  <c r="H142" i="14"/>
  <c r="G142" i="14"/>
  <c r="E142" i="14"/>
  <c r="D142" i="14"/>
  <c r="I141" i="14"/>
  <c r="H141" i="14"/>
  <c r="G141" i="14"/>
  <c r="E141" i="14"/>
  <c r="D141" i="14"/>
  <c r="I140" i="14"/>
  <c r="H140" i="14"/>
  <c r="G140" i="14"/>
  <c r="E140" i="14"/>
  <c r="D140" i="14"/>
  <c r="I139" i="14"/>
  <c r="H139" i="14"/>
  <c r="G139" i="14"/>
  <c r="E139" i="14"/>
  <c r="D139" i="14"/>
  <c r="I138" i="14"/>
  <c r="H138" i="14"/>
  <c r="G138" i="14"/>
  <c r="E138" i="14"/>
  <c r="D138" i="14"/>
  <c r="F137" i="14"/>
  <c r="E137" i="14"/>
  <c r="D137" i="14"/>
  <c r="G111" i="14"/>
  <c r="F111" i="14"/>
  <c r="E111" i="14"/>
  <c r="G110" i="14"/>
  <c r="F110" i="14"/>
  <c r="E110" i="14"/>
  <c r="G109" i="14"/>
  <c r="F109" i="14"/>
  <c r="E109" i="14"/>
  <c r="G108" i="14"/>
  <c r="F108" i="14"/>
  <c r="E108" i="14"/>
  <c r="K107" i="14"/>
  <c r="J107" i="14"/>
  <c r="G107" i="14"/>
  <c r="F107" i="14"/>
  <c r="E107" i="14"/>
  <c r="K106" i="14"/>
  <c r="J106" i="14"/>
  <c r="G106" i="14"/>
  <c r="F106" i="14"/>
  <c r="E106" i="14"/>
  <c r="K105" i="14"/>
  <c r="J105" i="14"/>
  <c r="G105" i="14"/>
  <c r="F105" i="14"/>
  <c r="E105" i="14"/>
  <c r="K104" i="14"/>
  <c r="J104" i="14"/>
  <c r="G104" i="14"/>
  <c r="F104" i="14"/>
  <c r="E104" i="14"/>
  <c r="G64" i="14"/>
  <c r="N63" i="14"/>
  <c r="L63" i="14"/>
  <c r="N61" i="14"/>
  <c r="K61" i="14"/>
  <c r="J61" i="14"/>
  <c r="H61" i="14"/>
  <c r="G61" i="14"/>
  <c r="F61" i="14"/>
  <c r="E61" i="14"/>
  <c r="D61" i="14"/>
  <c r="N60" i="14"/>
  <c r="K60" i="14"/>
  <c r="J60" i="14"/>
  <c r="H60" i="14"/>
  <c r="G60" i="14"/>
  <c r="F60" i="14"/>
  <c r="E60" i="14"/>
  <c r="D60" i="14"/>
  <c r="N59" i="14"/>
  <c r="K59" i="14"/>
  <c r="J59" i="14"/>
  <c r="H59" i="14"/>
  <c r="G59" i="14"/>
  <c r="F59" i="14"/>
  <c r="E59" i="14"/>
  <c r="D59" i="14"/>
  <c r="N58" i="14"/>
  <c r="K58" i="14"/>
  <c r="J58" i="14"/>
  <c r="H58" i="14"/>
  <c r="G58" i="14"/>
  <c r="F58" i="14"/>
  <c r="E58" i="14"/>
  <c r="D58" i="14"/>
  <c r="N57" i="14"/>
  <c r="K57" i="14"/>
  <c r="J57" i="14"/>
  <c r="H57" i="14"/>
  <c r="G57" i="14"/>
  <c r="F57" i="14"/>
  <c r="E57" i="14"/>
  <c r="D57" i="14"/>
  <c r="L56" i="14"/>
  <c r="H56" i="14"/>
  <c r="F56" i="14"/>
  <c r="E56" i="14"/>
  <c r="D56" i="14"/>
  <c r="N55" i="14"/>
  <c r="K55" i="14"/>
  <c r="J55" i="14"/>
  <c r="H55" i="14"/>
  <c r="G55" i="14"/>
  <c r="F55" i="14"/>
  <c r="E55" i="14"/>
  <c r="D55" i="14"/>
  <c r="N54" i="14"/>
  <c r="K54" i="14"/>
  <c r="J54" i="14"/>
  <c r="H54" i="14"/>
  <c r="G54" i="14"/>
  <c r="F54" i="14"/>
  <c r="E54" i="14"/>
  <c r="D54" i="14"/>
  <c r="C54" i="14"/>
  <c r="S53" i="14"/>
  <c r="N53" i="14"/>
  <c r="K53" i="14"/>
  <c r="J53" i="14"/>
  <c r="H53" i="14"/>
  <c r="G53" i="14"/>
  <c r="F53" i="14"/>
  <c r="E53" i="14"/>
  <c r="D53" i="14"/>
  <c r="L52" i="14"/>
  <c r="H52" i="14"/>
  <c r="F52" i="14"/>
  <c r="E52" i="14"/>
  <c r="D52" i="14"/>
  <c r="S51" i="14"/>
  <c r="N51" i="14"/>
  <c r="K51" i="14"/>
  <c r="J51" i="14"/>
  <c r="H51" i="14"/>
  <c r="G51" i="14"/>
  <c r="F51" i="14"/>
  <c r="E51" i="14"/>
  <c r="D51" i="14"/>
  <c r="C51" i="14"/>
  <c r="S50" i="14"/>
  <c r="N50" i="14"/>
  <c r="K50" i="14"/>
  <c r="J50" i="14"/>
  <c r="H50" i="14"/>
  <c r="G50" i="14"/>
  <c r="F50" i="14"/>
  <c r="E50" i="14"/>
  <c r="D50" i="14"/>
  <c r="S49" i="14"/>
  <c r="L49" i="14"/>
  <c r="H49" i="14"/>
  <c r="F49" i="14"/>
  <c r="E49" i="14"/>
  <c r="D49" i="14"/>
  <c r="S48" i="14"/>
  <c r="N48" i="14"/>
  <c r="K48" i="14"/>
  <c r="J48" i="14"/>
  <c r="H48" i="14"/>
  <c r="G48" i="14"/>
  <c r="F48" i="14"/>
  <c r="E48" i="14"/>
  <c r="D48" i="14"/>
  <c r="S47" i="14"/>
  <c r="N47" i="14"/>
  <c r="K47" i="14"/>
  <c r="J47" i="14"/>
  <c r="H47" i="14"/>
  <c r="G47" i="14"/>
  <c r="F47" i="14"/>
  <c r="E47" i="14"/>
  <c r="D47" i="14"/>
  <c r="S46" i="14"/>
  <c r="N46" i="14"/>
  <c r="K46" i="14"/>
  <c r="J46" i="14"/>
  <c r="H46" i="14"/>
  <c r="G46" i="14"/>
  <c r="F46" i="14"/>
  <c r="E46" i="14"/>
  <c r="D46" i="14"/>
  <c r="S45" i="14"/>
  <c r="N45" i="14"/>
  <c r="K45" i="14"/>
  <c r="J45" i="14"/>
  <c r="H45" i="14"/>
  <c r="G45" i="14"/>
  <c r="F45" i="14"/>
  <c r="E45" i="14"/>
  <c r="D45" i="14"/>
  <c r="S44" i="14"/>
  <c r="G42" i="14"/>
  <c r="F42" i="14"/>
  <c r="E42" i="14"/>
  <c r="D42" i="14"/>
  <c r="S18" i="14"/>
  <c r="R18" i="14"/>
  <c r="Q18" i="14"/>
  <c r="P18" i="14"/>
  <c r="O18" i="14"/>
  <c r="N18" i="14"/>
  <c r="M18" i="14"/>
  <c r="L18" i="14"/>
  <c r="K18" i="14"/>
  <c r="J18" i="14"/>
  <c r="I18" i="14"/>
  <c r="H18" i="14"/>
  <c r="G18" i="14"/>
  <c r="F18" i="14"/>
  <c r="E18" i="14"/>
  <c r="D18" i="14"/>
  <c r="S17" i="14"/>
  <c r="R17" i="14"/>
  <c r="Q17" i="14"/>
  <c r="P17" i="14"/>
  <c r="O17" i="14"/>
  <c r="N17" i="14"/>
  <c r="M17" i="14"/>
  <c r="L17" i="14"/>
  <c r="K17" i="14"/>
  <c r="J17" i="14"/>
  <c r="I17" i="14"/>
  <c r="H17" i="14"/>
  <c r="G17" i="14"/>
  <c r="F17" i="14"/>
  <c r="E17" i="14"/>
  <c r="D17" i="14"/>
  <c r="R16" i="14"/>
  <c r="Q16" i="14"/>
  <c r="P16" i="14"/>
  <c r="O16" i="14"/>
  <c r="N16" i="14"/>
  <c r="M16" i="14"/>
  <c r="L16" i="14"/>
  <c r="K16" i="14"/>
  <c r="J16" i="14"/>
  <c r="I16" i="14"/>
  <c r="H16" i="14"/>
  <c r="G16" i="14"/>
  <c r="F16" i="14"/>
  <c r="E16" i="14"/>
  <c r="D16" i="14"/>
  <c r="S15" i="14"/>
  <c r="R15" i="14"/>
  <c r="Q15" i="14"/>
  <c r="P15" i="14"/>
  <c r="O15" i="14"/>
  <c r="N15" i="14"/>
  <c r="M15" i="14"/>
  <c r="L15" i="14"/>
  <c r="K15" i="14"/>
  <c r="J15" i="14"/>
  <c r="I15" i="14"/>
  <c r="H15" i="14"/>
  <c r="G15" i="14"/>
  <c r="F15" i="14"/>
  <c r="E15" i="14"/>
  <c r="D15" i="14"/>
  <c r="S14" i="14"/>
  <c r="R14" i="14"/>
  <c r="Q14" i="14"/>
  <c r="P14" i="14"/>
  <c r="O14" i="14"/>
  <c r="N14" i="14"/>
  <c r="M14" i="14"/>
  <c r="L14" i="14"/>
  <c r="K14" i="14"/>
  <c r="J14" i="14"/>
  <c r="I14" i="14"/>
  <c r="H14" i="14"/>
  <c r="G14" i="14"/>
  <c r="F14" i="14"/>
  <c r="E14" i="14"/>
  <c r="D14" i="14"/>
  <c r="S13" i="14"/>
  <c r="R13" i="14"/>
  <c r="Q13" i="14"/>
  <c r="P13" i="14"/>
  <c r="O13" i="14"/>
  <c r="N13" i="14"/>
  <c r="M13" i="14"/>
  <c r="L13" i="14"/>
  <c r="K13" i="14"/>
  <c r="J13" i="14"/>
  <c r="I13" i="14"/>
  <c r="H13" i="14"/>
  <c r="G13" i="14"/>
  <c r="F13" i="14"/>
  <c r="E13" i="14"/>
  <c r="D13" i="14"/>
  <c r="S12" i="14"/>
  <c r="R12" i="14"/>
  <c r="Q12" i="14"/>
  <c r="P12" i="14"/>
  <c r="O12" i="14"/>
  <c r="N12" i="14"/>
  <c r="M12" i="14"/>
  <c r="L12" i="14"/>
  <c r="K12" i="14"/>
  <c r="J12" i="14"/>
  <c r="I12" i="14"/>
  <c r="H12" i="14"/>
  <c r="G12" i="14"/>
  <c r="F12" i="14"/>
  <c r="E12" i="14"/>
  <c r="D12" i="14"/>
  <c r="S11" i="14"/>
  <c r="R11" i="14"/>
  <c r="Q11" i="14"/>
  <c r="P11" i="14"/>
  <c r="O11" i="14"/>
  <c r="N11" i="14"/>
  <c r="M11" i="14"/>
  <c r="L11" i="14"/>
  <c r="K11" i="14"/>
  <c r="J11" i="14"/>
  <c r="I11" i="14"/>
  <c r="H11" i="14"/>
  <c r="G11" i="14"/>
  <c r="F11" i="14"/>
  <c r="E11" i="14"/>
  <c r="D11" i="14"/>
  <c r="S10" i="14"/>
  <c r="R10" i="14"/>
  <c r="Q10" i="14"/>
  <c r="P10" i="14"/>
  <c r="O10" i="14"/>
  <c r="N10" i="14"/>
  <c r="M10" i="14"/>
  <c r="L10" i="14"/>
  <c r="K10" i="14"/>
  <c r="J10" i="14"/>
  <c r="I10" i="14"/>
  <c r="H10" i="14"/>
  <c r="G10" i="14"/>
  <c r="F10" i="14"/>
  <c r="E10" i="14"/>
  <c r="D10" i="14"/>
  <c r="S9" i="14"/>
  <c r="R9" i="14"/>
  <c r="Q9" i="14"/>
  <c r="P9" i="14"/>
  <c r="O9" i="14"/>
  <c r="N9" i="14"/>
  <c r="M9" i="14"/>
  <c r="L9" i="14"/>
  <c r="K9" i="14"/>
  <c r="J9" i="14"/>
  <c r="I9" i="14"/>
  <c r="H9" i="14"/>
  <c r="G9" i="14"/>
  <c r="F9" i="14"/>
  <c r="E9" i="14"/>
  <c r="D9" i="14"/>
  <c r="S8" i="14"/>
  <c r="R8" i="14"/>
  <c r="Q8" i="14"/>
  <c r="P8" i="14"/>
  <c r="O8" i="14"/>
  <c r="N8" i="14"/>
  <c r="M8" i="14"/>
  <c r="L8" i="14"/>
  <c r="K8" i="14"/>
  <c r="J8" i="14"/>
  <c r="I8" i="14"/>
  <c r="H8" i="14"/>
  <c r="G8" i="14"/>
  <c r="F8" i="14"/>
  <c r="E8" i="14"/>
  <c r="D8" i="14"/>
  <c r="S7" i="14"/>
  <c r="R7" i="14"/>
  <c r="Q7" i="14"/>
  <c r="P7" i="14"/>
  <c r="O7" i="14"/>
  <c r="N7" i="14"/>
  <c r="M7" i="14"/>
  <c r="L7" i="14"/>
  <c r="K7" i="14"/>
  <c r="J7" i="14"/>
  <c r="I7" i="14"/>
  <c r="H7" i="14"/>
  <c r="G7" i="14"/>
  <c r="F7" i="14"/>
  <c r="E7" i="14"/>
  <c r="D7" i="14"/>
  <c r="S6" i="14"/>
  <c r="R6" i="14"/>
  <c r="Q6" i="14"/>
  <c r="P6" i="14"/>
  <c r="O6" i="14"/>
  <c r="N6" i="14"/>
  <c r="M6" i="14"/>
  <c r="L6" i="14"/>
  <c r="K6" i="14"/>
  <c r="J6" i="14"/>
  <c r="I6" i="14"/>
  <c r="H6" i="14"/>
  <c r="G6" i="14"/>
  <c r="F6" i="14"/>
  <c r="E6" i="14"/>
  <c r="D6" i="14"/>
  <c r="S5" i="14"/>
  <c r="R5" i="14"/>
  <c r="Q5" i="14"/>
  <c r="P5" i="14"/>
  <c r="O5" i="14"/>
  <c r="N5" i="14"/>
  <c r="M5" i="14"/>
  <c r="L5" i="14"/>
  <c r="K5" i="14"/>
  <c r="J5" i="14"/>
  <c r="I5" i="14"/>
  <c r="H5" i="14"/>
  <c r="G5" i="14"/>
  <c r="F5" i="14"/>
  <c r="E5" i="14"/>
  <c r="D5" i="14"/>
  <c r="S4" i="14"/>
  <c r="R4" i="14"/>
  <c r="Q4" i="14"/>
  <c r="P4" i="14"/>
  <c r="O4" i="14"/>
  <c r="N4" i="14"/>
  <c r="M4" i="14"/>
  <c r="L4" i="14"/>
  <c r="K4" i="14"/>
  <c r="J4" i="14"/>
  <c r="I4" i="14"/>
  <c r="H4" i="14"/>
  <c r="G4" i="14"/>
  <c r="F4" i="14" a="1"/>
  <c r="F4" i="14"/>
  <c r="E4" i="14"/>
  <c r="D4" i="14"/>
  <c r="C1" i="14"/>
  <c r="F108" i="55"/>
  <c r="E108" i="55"/>
  <c r="D108" i="55"/>
  <c r="C108" i="55"/>
  <c r="F106" i="55"/>
  <c r="E106" i="55"/>
  <c r="D106" i="55"/>
  <c r="C106" i="55"/>
  <c r="F105" i="55"/>
  <c r="E105" i="55"/>
  <c r="D105" i="55"/>
  <c r="C105" i="55"/>
  <c r="F104" i="55"/>
  <c r="E104" i="55"/>
  <c r="D104" i="55"/>
  <c r="C104" i="55"/>
  <c r="F103" i="55"/>
  <c r="E103" i="55"/>
  <c r="D103" i="55"/>
  <c r="C103" i="55"/>
  <c r="F102" i="55"/>
  <c r="E102" i="55"/>
  <c r="D102" i="55"/>
  <c r="C102" i="55"/>
  <c r="F101" i="55"/>
  <c r="E101" i="55"/>
  <c r="D101" i="55"/>
  <c r="C101" i="55"/>
  <c r="F100" i="55"/>
  <c r="E100" i="55"/>
  <c r="D100" i="55"/>
  <c r="C100" i="55"/>
  <c r="F99" i="55"/>
  <c r="E99" i="55"/>
  <c r="D99" i="55"/>
  <c r="C99" i="55"/>
  <c r="Q98" i="55"/>
  <c r="P98" i="55"/>
  <c r="O98" i="55"/>
  <c r="F98" i="55"/>
  <c r="E98" i="55"/>
  <c r="D98" i="55"/>
  <c r="C98" i="55"/>
  <c r="F96" i="55"/>
  <c r="E96" i="55"/>
  <c r="D96" i="55"/>
  <c r="C96" i="55"/>
  <c r="F95" i="55"/>
  <c r="E95" i="55"/>
  <c r="D95" i="55"/>
  <c r="C95" i="55"/>
  <c r="F94" i="55"/>
  <c r="E94" i="55"/>
  <c r="D94" i="55"/>
  <c r="C94" i="55"/>
  <c r="F93" i="55"/>
  <c r="E93" i="55"/>
  <c r="D93" i="55"/>
  <c r="C93" i="55"/>
  <c r="F92" i="55"/>
  <c r="E92" i="55"/>
  <c r="D92" i="55"/>
  <c r="C92" i="55"/>
  <c r="F91" i="55"/>
  <c r="E91" i="55"/>
  <c r="D91" i="55"/>
  <c r="C91" i="55"/>
  <c r="F90" i="55"/>
  <c r="E90" i="55"/>
  <c r="D90" i="55"/>
  <c r="C90" i="55"/>
  <c r="F89" i="55"/>
  <c r="E89" i="55"/>
  <c r="D89" i="55"/>
  <c r="C89" i="55"/>
  <c r="F88" i="55"/>
  <c r="E88" i="55"/>
  <c r="D88" i="55"/>
  <c r="C88" i="55"/>
  <c r="F87" i="55"/>
  <c r="E87" i="55"/>
  <c r="D87" i="55"/>
  <c r="C87" i="55"/>
  <c r="Q86" i="55"/>
  <c r="P86" i="55"/>
  <c r="O86" i="55"/>
  <c r="F86" i="55"/>
  <c r="E86" i="55"/>
  <c r="D86" i="55"/>
  <c r="C86" i="55"/>
  <c r="F84" i="55"/>
  <c r="E84" i="55"/>
  <c r="D84" i="55"/>
  <c r="C84" i="55"/>
  <c r="F80" i="55"/>
  <c r="E80" i="55"/>
  <c r="D80" i="55"/>
  <c r="C80" i="55"/>
  <c r="O77" i="55"/>
  <c r="N77" i="55"/>
  <c r="M77" i="55"/>
  <c r="L77" i="55"/>
  <c r="K77" i="55"/>
  <c r="F77" i="55"/>
  <c r="E77" i="55"/>
  <c r="D77" i="55"/>
  <c r="C77" i="55"/>
  <c r="M76" i="55"/>
  <c r="L76" i="55"/>
  <c r="K76" i="55"/>
  <c r="N75" i="55"/>
  <c r="M75" i="55"/>
  <c r="L75" i="55"/>
  <c r="K75" i="55"/>
  <c r="N73" i="55"/>
  <c r="M73" i="55"/>
  <c r="L73" i="55"/>
  <c r="K73" i="55"/>
  <c r="F73" i="55"/>
  <c r="E73" i="55"/>
  <c r="D73" i="55"/>
  <c r="C73" i="55"/>
  <c r="N72" i="55"/>
  <c r="M72" i="55"/>
  <c r="L72" i="55"/>
  <c r="K72" i="55"/>
  <c r="F72" i="55"/>
  <c r="E72" i="55"/>
  <c r="D72" i="55"/>
  <c r="C72" i="55"/>
  <c r="N71" i="55"/>
  <c r="M71" i="55"/>
  <c r="L71" i="55"/>
  <c r="K71" i="55"/>
  <c r="F71" i="55"/>
  <c r="E71" i="55"/>
  <c r="D71" i="55"/>
  <c r="C71" i="55"/>
  <c r="N70" i="55"/>
  <c r="M70" i="55"/>
  <c r="L70" i="55"/>
  <c r="K70" i="55"/>
  <c r="F70" i="55"/>
  <c r="E70" i="55"/>
  <c r="D70" i="55"/>
  <c r="C70" i="55"/>
  <c r="N69" i="55"/>
  <c r="M69" i="55"/>
  <c r="L69" i="55"/>
  <c r="K69" i="55"/>
  <c r="F69" i="55"/>
  <c r="E69" i="55"/>
  <c r="D69" i="55"/>
  <c r="C69" i="55"/>
  <c r="N68" i="55"/>
  <c r="M68" i="55"/>
  <c r="L68" i="55"/>
  <c r="K68" i="55"/>
  <c r="F68" i="55"/>
  <c r="E68" i="55"/>
  <c r="D68" i="55"/>
  <c r="C68" i="55"/>
  <c r="N67" i="55"/>
  <c r="M67" i="55"/>
  <c r="L67" i="55"/>
  <c r="K67" i="55"/>
  <c r="F67" i="55"/>
  <c r="E67" i="55"/>
  <c r="D67" i="55"/>
  <c r="C67" i="55"/>
  <c r="N66" i="55"/>
  <c r="M66" i="55"/>
  <c r="L66" i="55"/>
  <c r="K66" i="55"/>
  <c r="F66" i="55"/>
  <c r="E66" i="55"/>
  <c r="D66" i="55"/>
  <c r="C66" i="55"/>
  <c r="N65" i="55"/>
  <c r="M65" i="55"/>
  <c r="L65" i="55"/>
  <c r="K65" i="55"/>
  <c r="F65" i="55"/>
  <c r="E65" i="55"/>
  <c r="D65" i="55"/>
  <c r="C65" i="55"/>
  <c r="N64" i="55"/>
  <c r="M64" i="55"/>
  <c r="L64" i="55"/>
  <c r="K64" i="55"/>
  <c r="F64" i="55"/>
  <c r="E64" i="55"/>
  <c r="D64" i="55"/>
  <c r="C64" i="55"/>
  <c r="N63" i="55"/>
  <c r="M63" i="55"/>
  <c r="L63" i="55"/>
  <c r="K63" i="55"/>
  <c r="F63" i="55"/>
  <c r="E63" i="55"/>
  <c r="D63" i="55"/>
  <c r="C63" i="55"/>
  <c r="N62" i="55"/>
  <c r="M62" i="55"/>
  <c r="L62" i="55"/>
  <c r="K62" i="55"/>
  <c r="F62" i="55"/>
  <c r="E62" i="55"/>
  <c r="D62" i="55"/>
  <c r="C62" i="55"/>
  <c r="N61" i="55"/>
  <c r="M61" i="55"/>
  <c r="L61" i="55"/>
  <c r="K61" i="55"/>
  <c r="F61" i="55"/>
  <c r="E61" i="55"/>
  <c r="D61" i="55"/>
  <c r="C61" i="55"/>
  <c r="M60" i="55"/>
  <c r="L60" i="55"/>
  <c r="K60" i="55"/>
  <c r="N59" i="55"/>
  <c r="M59" i="55"/>
  <c r="L59" i="55"/>
  <c r="K59" i="55"/>
  <c r="F59" i="55"/>
  <c r="E59" i="55"/>
  <c r="D59" i="55"/>
  <c r="C59" i="55"/>
  <c r="N58" i="55"/>
  <c r="M58" i="55"/>
  <c r="L58" i="55"/>
  <c r="K58" i="55"/>
  <c r="F58" i="55"/>
  <c r="E58" i="55"/>
  <c r="D58" i="55"/>
  <c r="C58" i="55"/>
  <c r="N57" i="55"/>
  <c r="M57" i="55"/>
  <c r="L57" i="55"/>
  <c r="K57" i="55"/>
  <c r="F57" i="55"/>
  <c r="E57" i="55"/>
  <c r="D57" i="55"/>
  <c r="C57" i="55"/>
  <c r="N56" i="55"/>
  <c r="M56" i="55"/>
  <c r="L56" i="55"/>
  <c r="K56" i="55"/>
  <c r="F56" i="55"/>
  <c r="E56" i="55"/>
  <c r="D56" i="55"/>
  <c r="C56" i="55"/>
  <c r="N55" i="55"/>
  <c r="M55" i="55"/>
  <c r="L55" i="55"/>
  <c r="K55" i="55"/>
  <c r="F55" i="55"/>
  <c r="E55" i="55"/>
  <c r="D55" i="55"/>
  <c r="C55" i="55"/>
  <c r="N54" i="55"/>
  <c r="M54" i="55"/>
  <c r="L54" i="55"/>
  <c r="K54" i="55"/>
  <c r="F54" i="55"/>
  <c r="E54" i="55"/>
  <c r="D54" i="55"/>
  <c r="C54" i="55"/>
  <c r="N53" i="55"/>
  <c r="M53" i="55"/>
  <c r="L53" i="55"/>
  <c r="K53" i="55"/>
  <c r="F53" i="55"/>
  <c r="E53" i="55"/>
  <c r="D53" i="55"/>
  <c r="C53" i="55"/>
  <c r="N52" i="55"/>
  <c r="M52" i="55"/>
  <c r="L52" i="55"/>
  <c r="K52" i="55"/>
  <c r="F52" i="55"/>
  <c r="E52" i="55"/>
  <c r="D52" i="55"/>
  <c r="C52" i="55"/>
  <c r="N51" i="55"/>
  <c r="M51" i="55"/>
  <c r="L51" i="55"/>
  <c r="K51" i="55"/>
  <c r="F51" i="55"/>
  <c r="E51" i="55"/>
  <c r="D51" i="55"/>
  <c r="C51" i="55"/>
  <c r="N50" i="55"/>
  <c r="M50" i="55"/>
  <c r="L50" i="55"/>
  <c r="K50" i="55"/>
  <c r="F50" i="55"/>
  <c r="E50" i="55"/>
  <c r="D50" i="55"/>
  <c r="C50" i="55"/>
  <c r="N49" i="55"/>
  <c r="M49" i="55"/>
  <c r="L49" i="55"/>
  <c r="K49" i="55"/>
  <c r="F49" i="55"/>
  <c r="E49" i="55"/>
  <c r="D49" i="55"/>
  <c r="C49" i="55"/>
  <c r="N48" i="55"/>
  <c r="M48" i="55"/>
  <c r="L48" i="55"/>
  <c r="K48" i="55"/>
  <c r="F48" i="55"/>
  <c r="E48" i="55"/>
  <c r="D48" i="55"/>
  <c r="C48" i="55"/>
  <c r="N47" i="55"/>
  <c r="M47" i="55"/>
  <c r="L47" i="55"/>
  <c r="K47" i="55"/>
  <c r="F47" i="55"/>
  <c r="E47" i="55"/>
  <c r="D47" i="55"/>
  <c r="C47" i="55"/>
  <c r="N46" i="55"/>
  <c r="M46" i="55"/>
  <c r="L46" i="55"/>
  <c r="K46" i="55"/>
  <c r="F46" i="55"/>
  <c r="E46" i="55"/>
  <c r="D46" i="55"/>
  <c r="C46" i="55"/>
  <c r="N45" i="55"/>
  <c r="M45" i="55"/>
  <c r="L45" i="55"/>
  <c r="K45" i="55"/>
  <c r="F45" i="55"/>
  <c r="E45" i="55"/>
  <c r="D45" i="55"/>
  <c r="C45" i="55"/>
  <c r="O43" i="55"/>
  <c r="F43" i="55"/>
  <c r="E43" i="55"/>
  <c r="D43" i="55"/>
  <c r="C43" i="55"/>
  <c r="M36" i="55"/>
  <c r="L36" i="55"/>
  <c r="K36" i="55"/>
  <c r="E36" i="55"/>
  <c r="D36" i="55"/>
  <c r="C36" i="55"/>
  <c r="M35" i="55"/>
  <c r="L35" i="55"/>
  <c r="K35" i="55"/>
  <c r="M34" i="55"/>
  <c r="L34" i="55"/>
  <c r="K34" i="55"/>
  <c r="M33" i="55"/>
  <c r="L33" i="55"/>
  <c r="K33" i="55"/>
  <c r="E33" i="55"/>
  <c r="D33" i="55"/>
  <c r="C33" i="55"/>
  <c r="M32" i="55"/>
  <c r="L32" i="55"/>
  <c r="K32" i="55"/>
  <c r="M31" i="55"/>
  <c r="L31" i="55"/>
  <c r="K31" i="55"/>
  <c r="M30" i="55"/>
  <c r="L30" i="55"/>
  <c r="K30" i="55"/>
  <c r="M29" i="55"/>
  <c r="L29" i="55"/>
  <c r="K29" i="55"/>
  <c r="E29" i="55"/>
  <c r="D29" i="55"/>
  <c r="C29" i="55"/>
  <c r="M28" i="55"/>
  <c r="L28" i="55"/>
  <c r="K28" i="55"/>
  <c r="E28" i="55"/>
  <c r="D28" i="55"/>
  <c r="C28" i="55"/>
  <c r="M25" i="55"/>
  <c r="L25" i="55"/>
  <c r="K25" i="55"/>
  <c r="M18" i="55"/>
  <c r="L18" i="55"/>
  <c r="K18" i="55"/>
  <c r="E18" i="55"/>
  <c r="D18" i="55"/>
  <c r="C18" i="55"/>
  <c r="M13" i="55"/>
  <c r="L13" i="55"/>
  <c r="K13" i="55"/>
  <c r="E13" i="55"/>
  <c r="D13" i="55"/>
  <c r="C13" i="55"/>
  <c r="M12" i="55"/>
  <c r="L12" i="55"/>
  <c r="K12" i="55"/>
  <c r="F7" i="55"/>
  <c r="N291" i="45"/>
  <c r="H268" i="45"/>
  <c r="G268" i="45"/>
  <c r="F268" i="45"/>
  <c r="E268" i="45"/>
  <c r="D268" i="45"/>
  <c r="C268" i="45"/>
  <c r="H267" i="45"/>
  <c r="G267" i="45"/>
  <c r="F267" i="45"/>
  <c r="E267" i="45"/>
  <c r="D267" i="45"/>
  <c r="C267" i="45"/>
  <c r="H266" i="45"/>
  <c r="G266" i="45"/>
  <c r="F266" i="45"/>
  <c r="E266" i="45"/>
  <c r="D266" i="45"/>
  <c r="C266" i="45"/>
  <c r="H265" i="45"/>
  <c r="G265" i="45"/>
  <c r="F265" i="45"/>
  <c r="E265" i="45"/>
  <c r="D265" i="45"/>
  <c r="C265" i="45"/>
  <c r="H261" i="45"/>
  <c r="G261" i="45"/>
  <c r="F261" i="45"/>
  <c r="E261" i="45"/>
  <c r="D261" i="45"/>
  <c r="C261" i="45"/>
  <c r="H260" i="45"/>
  <c r="G260" i="45"/>
  <c r="F260" i="45"/>
  <c r="E260" i="45"/>
  <c r="D260" i="45"/>
  <c r="C260" i="45"/>
  <c r="H259" i="45"/>
  <c r="G259" i="45"/>
  <c r="F259" i="45"/>
  <c r="E259" i="45"/>
  <c r="D259" i="45"/>
  <c r="C259" i="45"/>
  <c r="H258" i="45"/>
  <c r="G258" i="45"/>
  <c r="F258" i="45"/>
  <c r="E258" i="45"/>
  <c r="D258" i="45"/>
  <c r="C258" i="45"/>
  <c r="H257" i="45"/>
  <c r="G257" i="45"/>
  <c r="F257" i="45"/>
  <c r="E257" i="45"/>
  <c r="D257" i="45"/>
  <c r="C257" i="45"/>
  <c r="H256" i="45"/>
  <c r="G256" i="45"/>
  <c r="F256" i="45"/>
  <c r="E256" i="45"/>
  <c r="D256" i="45"/>
  <c r="C256" i="45"/>
  <c r="H255" i="45"/>
  <c r="G255" i="45"/>
  <c r="F255" i="45"/>
  <c r="E255" i="45"/>
  <c r="D255" i="45"/>
  <c r="C255" i="45"/>
  <c r="H254" i="45"/>
  <c r="G254" i="45"/>
  <c r="F254" i="45"/>
  <c r="E254" i="45"/>
  <c r="D254" i="45"/>
  <c r="C254" i="45"/>
  <c r="C253" i="45"/>
  <c r="H250" i="45"/>
  <c r="G250" i="45"/>
  <c r="F250" i="45"/>
  <c r="E250" i="45"/>
  <c r="D250" i="45"/>
  <c r="C250" i="45"/>
  <c r="H249" i="45"/>
  <c r="G249" i="45"/>
  <c r="F249" i="45"/>
  <c r="E249" i="45"/>
  <c r="D249" i="45"/>
  <c r="C249" i="45"/>
  <c r="H248" i="45"/>
  <c r="G248" i="45"/>
  <c r="F248" i="45"/>
  <c r="E248" i="45"/>
  <c r="D248" i="45"/>
  <c r="C248" i="45"/>
  <c r="H247" i="45"/>
  <c r="G247" i="45"/>
  <c r="F247" i="45"/>
  <c r="E247" i="45"/>
  <c r="D247" i="45"/>
  <c r="C247" i="45"/>
  <c r="H245" i="45"/>
  <c r="G245" i="45"/>
  <c r="F245" i="45"/>
  <c r="E245" i="45"/>
  <c r="D245" i="45"/>
  <c r="C245" i="45"/>
  <c r="H244" i="45"/>
  <c r="G244" i="45"/>
  <c r="F244" i="45"/>
  <c r="E244" i="45"/>
  <c r="D244" i="45"/>
  <c r="C244" i="45"/>
  <c r="H243" i="45"/>
  <c r="G243" i="45"/>
  <c r="F243" i="45"/>
  <c r="E243" i="45"/>
  <c r="D243" i="45"/>
  <c r="C243" i="45"/>
  <c r="H242" i="45"/>
  <c r="G242" i="45"/>
  <c r="F242" i="45"/>
  <c r="E242" i="45"/>
  <c r="D242" i="45"/>
  <c r="C242" i="45"/>
  <c r="C240" i="45"/>
  <c r="E236" i="45"/>
  <c r="D236" i="45"/>
  <c r="C236" i="45"/>
  <c r="B236" i="45"/>
  <c r="E235" i="45"/>
  <c r="D235" i="45"/>
  <c r="C235" i="45"/>
  <c r="B235" i="45"/>
  <c r="E234" i="45"/>
  <c r="D234" i="45"/>
  <c r="C234" i="45"/>
  <c r="B234" i="45"/>
  <c r="E233" i="45"/>
  <c r="D233" i="45"/>
  <c r="C233" i="45"/>
  <c r="B233" i="45"/>
  <c r="E232" i="45"/>
  <c r="D232" i="45"/>
  <c r="C232" i="45"/>
  <c r="B232" i="45"/>
  <c r="E231" i="45"/>
  <c r="D231" i="45"/>
  <c r="C231" i="45"/>
  <c r="B231" i="45"/>
  <c r="E230" i="45"/>
  <c r="D230" i="45"/>
  <c r="C230" i="45"/>
  <c r="B230" i="45"/>
  <c r="E229" i="45"/>
  <c r="D229" i="45"/>
  <c r="C229" i="45"/>
  <c r="B229" i="45"/>
  <c r="E228" i="45"/>
  <c r="D228" i="45"/>
  <c r="C228" i="45"/>
  <c r="B228" i="45"/>
  <c r="E227" i="45"/>
  <c r="D227" i="45"/>
  <c r="C227" i="45"/>
  <c r="B227" i="45"/>
  <c r="E226" i="45"/>
  <c r="D226" i="45"/>
  <c r="C226" i="45"/>
  <c r="B226" i="45"/>
  <c r="E225" i="45"/>
  <c r="D225" i="45"/>
  <c r="C225" i="45"/>
  <c r="B225" i="45"/>
  <c r="F224" i="45"/>
  <c r="E224" i="45"/>
  <c r="D224" i="45"/>
  <c r="C224" i="45"/>
  <c r="B224" i="45"/>
  <c r="E223" i="45"/>
  <c r="D223" i="45"/>
  <c r="C223" i="45"/>
  <c r="B223" i="45"/>
  <c r="E222" i="45"/>
  <c r="D222" i="45"/>
  <c r="C222" i="45"/>
  <c r="B222" i="45"/>
  <c r="E221" i="45"/>
  <c r="D221" i="45"/>
  <c r="C221" i="45"/>
  <c r="B221" i="45"/>
  <c r="E220" i="45"/>
  <c r="D220" i="45"/>
  <c r="C220" i="45"/>
  <c r="B220" i="45"/>
  <c r="E219" i="45"/>
  <c r="D219" i="45"/>
  <c r="C219" i="45"/>
  <c r="B219" i="45"/>
  <c r="E218" i="45"/>
  <c r="D218" i="45"/>
  <c r="C218" i="45"/>
  <c r="B218" i="45"/>
  <c r="E217" i="45"/>
  <c r="D217" i="45"/>
  <c r="C217" i="45"/>
  <c r="B217" i="45"/>
  <c r="E216" i="45"/>
  <c r="D216" i="45"/>
  <c r="C216" i="45"/>
  <c r="B216" i="45"/>
  <c r="E215" i="45"/>
  <c r="D215" i="45"/>
  <c r="C215" i="45"/>
  <c r="B215" i="45"/>
  <c r="E214" i="45"/>
  <c r="D214" i="45"/>
  <c r="C214" i="45"/>
  <c r="B214" i="45"/>
  <c r="E213" i="45"/>
  <c r="D213" i="45"/>
  <c r="C213" i="45"/>
  <c r="B213" i="45"/>
  <c r="E212" i="45"/>
  <c r="D212" i="45"/>
  <c r="C212" i="45"/>
  <c r="B212" i="45"/>
  <c r="E211" i="45"/>
  <c r="D211" i="45"/>
  <c r="C211" i="45"/>
  <c r="B211" i="45"/>
  <c r="E210" i="45"/>
  <c r="D210" i="45"/>
  <c r="C210" i="45"/>
  <c r="B210" i="45"/>
  <c r="F209" i="45"/>
  <c r="E209" i="45"/>
  <c r="D209" i="45"/>
  <c r="C209" i="45"/>
  <c r="B209" i="45"/>
  <c r="E208" i="45"/>
  <c r="D208" i="45"/>
  <c r="C208" i="45"/>
  <c r="B208" i="45"/>
  <c r="B198" i="45"/>
  <c r="B197" i="45"/>
  <c r="B196" i="45"/>
  <c r="D195" i="45"/>
  <c r="C195" i="45"/>
  <c r="B195" i="45"/>
  <c r="D194" i="45"/>
  <c r="C194" i="45"/>
  <c r="B194" i="45"/>
  <c r="D193" i="45"/>
  <c r="C193" i="45"/>
  <c r="B193" i="45"/>
  <c r="D192" i="45"/>
  <c r="C192" i="45"/>
  <c r="B192" i="45"/>
  <c r="D191" i="45"/>
  <c r="C191" i="45"/>
  <c r="B191" i="45"/>
  <c r="D190" i="45"/>
  <c r="C190" i="45"/>
  <c r="B190" i="45"/>
  <c r="D189" i="45"/>
  <c r="C189" i="45"/>
  <c r="B189" i="45"/>
  <c r="D188" i="45"/>
  <c r="C188" i="45"/>
  <c r="D187" i="45"/>
  <c r="C187" i="45"/>
  <c r="B187" i="45"/>
  <c r="D186" i="45"/>
  <c r="C186" i="45"/>
  <c r="B186" i="45"/>
  <c r="D185" i="45"/>
  <c r="C185" i="45"/>
  <c r="B185" i="45"/>
  <c r="D184" i="45"/>
  <c r="C184" i="45"/>
  <c r="B184" i="45"/>
  <c r="D183" i="45"/>
  <c r="C183" i="45"/>
  <c r="B183" i="45"/>
  <c r="C182" i="45"/>
  <c r="B182" i="45"/>
  <c r="C181" i="45"/>
  <c r="B181" i="45"/>
  <c r="C180" i="45"/>
  <c r="B180" i="45"/>
  <c r="C179" i="45"/>
  <c r="B179" i="45"/>
  <c r="C178" i="45"/>
  <c r="B178" i="45"/>
  <c r="C177" i="45"/>
  <c r="B177" i="45"/>
  <c r="C176" i="45"/>
  <c r="B176" i="45"/>
  <c r="C175" i="45"/>
  <c r="B175" i="45"/>
  <c r="C174" i="45"/>
  <c r="B174" i="45"/>
  <c r="C173" i="45"/>
  <c r="B173" i="45"/>
  <c r="C172" i="45"/>
  <c r="B172" i="45"/>
  <c r="C171" i="45"/>
  <c r="B171" i="45"/>
  <c r="D170" i="45"/>
  <c r="C170" i="45"/>
  <c r="B170" i="45"/>
  <c r="A164" i="45"/>
  <c r="B160" i="45"/>
  <c r="B159" i="45"/>
  <c r="D158" i="45"/>
  <c r="C158" i="45"/>
  <c r="B158" i="45"/>
  <c r="D157" i="45" a="1"/>
  <c r="D157" i="45"/>
  <c r="C157" i="45"/>
  <c r="B157" i="45"/>
  <c r="D156" i="45" a="1"/>
  <c r="D156" i="45"/>
  <c r="C156" i="45"/>
  <c r="B156" i="45"/>
  <c r="D155" i="45" a="1"/>
  <c r="D155" i="45"/>
  <c r="C155" i="45"/>
  <c r="B155" i="45"/>
  <c r="D154" i="45" a="1"/>
  <c r="D154" i="45"/>
  <c r="C154" i="45"/>
  <c r="B154" i="45"/>
  <c r="D153" i="45" a="1"/>
  <c r="D153" i="45"/>
  <c r="C153" i="45"/>
  <c r="B153" i="45"/>
  <c r="D152" i="45" a="1"/>
  <c r="D152" i="45"/>
  <c r="C152" i="45"/>
  <c r="B152" i="45"/>
  <c r="D151" i="45" a="1"/>
  <c r="D151" i="45"/>
  <c r="C151" i="45"/>
  <c r="B151" i="45"/>
  <c r="D150" i="45" a="1"/>
  <c r="D150" i="45"/>
  <c r="C150" i="45"/>
  <c r="B150" i="45"/>
  <c r="D149" i="45" a="1"/>
  <c r="D149" i="45"/>
  <c r="C149" i="45"/>
  <c r="B149" i="45"/>
  <c r="D148" i="45" a="1"/>
  <c r="D148" i="45"/>
  <c r="C148" i="45"/>
  <c r="B148" i="45"/>
  <c r="D147" i="45" a="1"/>
  <c r="D147" i="45"/>
  <c r="C147" i="45"/>
  <c r="B147" i="45"/>
  <c r="D146" i="45" a="1"/>
  <c r="D146" i="45"/>
  <c r="C146" i="45"/>
  <c r="B146" i="45"/>
  <c r="D145" i="45" a="1"/>
  <c r="D145" i="45"/>
  <c r="C145" i="45"/>
  <c r="B145" i="45"/>
  <c r="D144" i="45" a="1"/>
  <c r="D144" i="45"/>
  <c r="C144" i="45"/>
  <c r="B144" i="45"/>
  <c r="A144" i="45"/>
  <c r="A141" i="45"/>
  <c r="C138" i="45"/>
  <c r="B138" i="45"/>
  <c r="B137" i="45"/>
  <c r="D136" i="45"/>
  <c r="C136" i="45"/>
  <c r="B136" i="45"/>
  <c r="D135" i="45" a="1"/>
  <c r="D135" i="45"/>
  <c r="C135" i="45"/>
  <c r="B135" i="45"/>
  <c r="D134" i="45" a="1"/>
  <c r="D134" i="45"/>
  <c r="C134" i="45"/>
  <c r="B134" i="45"/>
  <c r="D133" i="45" a="1"/>
  <c r="D133" i="45"/>
  <c r="C133" i="45"/>
  <c r="B133" i="45"/>
  <c r="D132" i="45" a="1"/>
  <c r="D132" i="45"/>
  <c r="C132" i="45"/>
  <c r="B132" i="45"/>
  <c r="D131" i="45" a="1"/>
  <c r="D131" i="45"/>
  <c r="C131" i="45"/>
  <c r="B131" i="45"/>
  <c r="D130" i="45" a="1"/>
  <c r="D130" i="45"/>
  <c r="C130" i="45"/>
  <c r="B130" i="45"/>
  <c r="D129" i="45" a="1"/>
  <c r="D129" i="45"/>
  <c r="C129" i="45"/>
  <c r="B129" i="45"/>
  <c r="D128" i="45" a="1"/>
  <c r="D128" i="45"/>
  <c r="C128" i="45"/>
  <c r="B128" i="45"/>
  <c r="D127" i="45" a="1"/>
  <c r="D127" i="45"/>
  <c r="C127" i="45"/>
  <c r="B127" i="45"/>
  <c r="D126" i="45" a="1"/>
  <c r="D126" i="45"/>
  <c r="C126" i="45"/>
  <c r="B126" i="45"/>
  <c r="D125" i="45" a="1"/>
  <c r="D125" i="45"/>
  <c r="C125" i="45"/>
  <c r="B125" i="45"/>
  <c r="D124" i="45" a="1"/>
  <c r="D124" i="45"/>
  <c r="C124" i="45"/>
  <c r="B124" i="45"/>
  <c r="D123" i="45"/>
  <c r="C123" i="45"/>
  <c r="B123" i="45"/>
  <c r="D122" i="45"/>
  <c r="C122" i="45"/>
  <c r="B122" i="45"/>
  <c r="A116" i="45"/>
  <c r="E111" i="45"/>
  <c r="D111" i="45"/>
  <c r="C111" i="45"/>
  <c r="B111" i="45"/>
  <c r="E110" i="45"/>
  <c r="D110" i="45"/>
  <c r="C110" i="45"/>
  <c r="B110" i="45"/>
  <c r="E109" i="45"/>
  <c r="D109" i="45"/>
  <c r="C109" i="45"/>
  <c r="B109" i="45"/>
  <c r="E107" i="45"/>
  <c r="D107" i="45"/>
  <c r="C107" i="45"/>
  <c r="B107" i="45"/>
  <c r="E106" i="45"/>
  <c r="D106" i="45"/>
  <c r="C106" i="45"/>
  <c r="B106" i="45"/>
  <c r="E105" i="45"/>
  <c r="D105" i="45"/>
  <c r="C105" i="45"/>
  <c r="B105" i="45"/>
  <c r="E104" i="45"/>
  <c r="D104" i="45"/>
  <c r="C104" i="45"/>
  <c r="B104" i="45"/>
  <c r="E103" i="45"/>
  <c r="D103" i="45"/>
  <c r="C103" i="45"/>
  <c r="B103" i="45"/>
  <c r="E102" i="45"/>
  <c r="D102" i="45"/>
  <c r="C102" i="45"/>
  <c r="B102" i="45"/>
  <c r="E101" i="45"/>
  <c r="D101" i="45"/>
  <c r="C101" i="45"/>
  <c r="B101" i="45"/>
  <c r="E100" i="45"/>
  <c r="D100" i="45"/>
  <c r="C100" i="45"/>
  <c r="B100" i="45"/>
  <c r="E99" i="45"/>
  <c r="D99" i="45"/>
  <c r="C99" i="45"/>
  <c r="B99" i="45"/>
  <c r="E98" i="45"/>
  <c r="D98" i="45"/>
  <c r="C98" i="45"/>
  <c r="B98" i="45"/>
  <c r="E97" i="45"/>
  <c r="D97" i="45"/>
  <c r="C97" i="45"/>
  <c r="B97" i="45"/>
  <c r="E96" i="45"/>
  <c r="D96" i="45"/>
  <c r="C96" i="45"/>
  <c r="B96" i="45"/>
  <c r="E95" i="45"/>
  <c r="D95" i="45"/>
  <c r="C95" i="45"/>
  <c r="B95" i="45"/>
  <c r="E94" i="45"/>
  <c r="D94" i="45"/>
  <c r="C94" i="45"/>
  <c r="B94" i="45"/>
  <c r="E93" i="45"/>
  <c r="D93" i="45"/>
  <c r="C93" i="45"/>
  <c r="B93" i="45"/>
  <c r="E92" i="45"/>
  <c r="D92" i="45"/>
  <c r="C92" i="45"/>
  <c r="B92" i="45"/>
  <c r="E91" i="45"/>
  <c r="D91" i="45"/>
  <c r="C91" i="45"/>
  <c r="B91" i="45"/>
  <c r="E90" i="45"/>
  <c r="D90" i="45"/>
  <c r="C90" i="45"/>
  <c r="B90" i="45"/>
  <c r="E89" i="45"/>
  <c r="D89" i="45"/>
  <c r="C89" i="45"/>
  <c r="B89" i="45"/>
  <c r="E88" i="45"/>
  <c r="D88" i="45"/>
  <c r="C88" i="45"/>
  <c r="B88" i="45"/>
  <c r="E87" i="45"/>
  <c r="D87" i="45"/>
  <c r="C87" i="45"/>
  <c r="B87" i="45"/>
  <c r="E86" i="45"/>
  <c r="D86" i="45"/>
  <c r="C86" i="45"/>
  <c r="B86" i="45"/>
  <c r="E85" i="45"/>
  <c r="D85" i="45"/>
  <c r="C85" i="45"/>
  <c r="B85" i="45"/>
  <c r="E84" i="45"/>
  <c r="D84" i="45"/>
  <c r="C84" i="45"/>
  <c r="B84" i="45"/>
  <c r="E83" i="45"/>
  <c r="D83" i="45"/>
  <c r="C83" i="45"/>
  <c r="B83" i="45"/>
  <c r="E82" i="45"/>
  <c r="D82" i="45"/>
  <c r="C82" i="45"/>
  <c r="B82" i="45"/>
  <c r="E81" i="45"/>
  <c r="D81" i="45"/>
  <c r="C81" i="45"/>
  <c r="B81" i="45"/>
  <c r="E80" i="45"/>
  <c r="D80" i="45"/>
  <c r="C80" i="45"/>
  <c r="B80" i="45"/>
  <c r="E79" i="45"/>
  <c r="D79" i="45"/>
  <c r="C79" i="45"/>
  <c r="B79" i="45"/>
  <c r="E78" i="45"/>
  <c r="D78" i="45"/>
  <c r="C78" i="45"/>
  <c r="B78" i="45"/>
  <c r="E77" i="45"/>
  <c r="D77" i="45"/>
  <c r="C77" i="45"/>
  <c r="B77" i="45"/>
  <c r="A73" i="45"/>
  <c r="A72" i="45"/>
  <c r="D65" i="45"/>
  <c r="E64" i="45"/>
  <c r="D64" i="45"/>
  <c r="C64" i="45"/>
  <c r="B64" i="45"/>
  <c r="F63" i="45"/>
  <c r="E63" i="45"/>
  <c r="D63" i="45"/>
  <c r="C63" i="45"/>
  <c r="B63" i="45"/>
  <c r="F62" i="45"/>
  <c r="E62" i="45"/>
  <c r="D62" i="45"/>
  <c r="C62" i="45"/>
  <c r="B62" i="45"/>
  <c r="F61" i="45"/>
  <c r="E61" i="45"/>
  <c r="D61" i="45"/>
  <c r="C61" i="45"/>
  <c r="B61" i="45"/>
  <c r="F60" i="45"/>
  <c r="E60" i="45"/>
  <c r="D60" i="45"/>
  <c r="C60" i="45"/>
  <c r="B60" i="45"/>
  <c r="F59" i="45"/>
  <c r="E59" i="45"/>
  <c r="D59" i="45"/>
  <c r="C59" i="45"/>
  <c r="B59" i="45"/>
  <c r="F58" i="45"/>
  <c r="E58" i="45"/>
  <c r="D58" i="45"/>
  <c r="C58" i="45"/>
  <c r="B58" i="45"/>
  <c r="F57" i="45"/>
  <c r="E57" i="45"/>
  <c r="D57" i="45"/>
  <c r="C57" i="45"/>
  <c r="B57" i="45"/>
  <c r="F56" i="45"/>
  <c r="E56" i="45"/>
  <c r="D56" i="45"/>
  <c r="C56" i="45"/>
  <c r="B56" i="45"/>
  <c r="F55" i="45"/>
  <c r="E55" i="45"/>
  <c r="D55" i="45"/>
  <c r="C55" i="45"/>
  <c r="B55" i="45"/>
  <c r="F54" i="45"/>
  <c r="E54" i="45"/>
  <c r="D54" i="45"/>
  <c r="C54" i="45"/>
  <c r="B54" i="45"/>
  <c r="F53" i="45"/>
  <c r="E53" i="45"/>
  <c r="D53" i="45"/>
  <c r="C53" i="45"/>
  <c r="B53" i="45"/>
  <c r="F52" i="45"/>
  <c r="E52" i="45"/>
  <c r="D52" i="45"/>
  <c r="C52" i="45"/>
  <c r="B52" i="45"/>
  <c r="F51" i="45"/>
  <c r="E51" i="45"/>
  <c r="D51" i="45"/>
  <c r="C51" i="45"/>
  <c r="B51" i="45"/>
  <c r="F50" i="45"/>
  <c r="E50" i="45"/>
  <c r="D50" i="45"/>
  <c r="C50" i="45"/>
  <c r="B50" i="45"/>
  <c r="F49" i="45"/>
  <c r="E49" i="45"/>
  <c r="D49" i="45"/>
  <c r="C49" i="45"/>
  <c r="B49" i="45"/>
  <c r="F48" i="45"/>
  <c r="E48" i="45"/>
  <c r="D48" i="45"/>
  <c r="C48" i="45"/>
  <c r="B48" i="45"/>
  <c r="F47" i="45"/>
  <c r="E47" i="45"/>
  <c r="D47" i="45"/>
  <c r="C47" i="45"/>
  <c r="B47" i="45"/>
  <c r="F46" i="45"/>
  <c r="E46" i="45"/>
  <c r="D46" i="45"/>
  <c r="C46" i="45"/>
  <c r="B46" i="45"/>
  <c r="F45" i="45"/>
  <c r="E45" i="45"/>
  <c r="D45" i="45"/>
  <c r="C45" i="45"/>
  <c r="B45" i="45"/>
  <c r="F44" i="45"/>
  <c r="E44" i="45"/>
  <c r="D44" i="45"/>
  <c r="C44" i="45"/>
  <c r="B44" i="45"/>
  <c r="F43" i="45"/>
  <c r="E43" i="45"/>
  <c r="D43" i="45"/>
  <c r="C43" i="45"/>
  <c r="B43" i="45"/>
  <c r="F42" i="45"/>
  <c r="E42" i="45"/>
  <c r="D42" i="45"/>
  <c r="C42" i="45"/>
  <c r="B42" i="45"/>
  <c r="F41" i="45"/>
  <c r="E41" i="45"/>
  <c r="D41" i="45"/>
  <c r="C41" i="45"/>
  <c r="B41" i="45"/>
  <c r="F40" i="45"/>
  <c r="E40" i="45"/>
  <c r="D40" i="45"/>
  <c r="C40" i="45"/>
  <c r="B40" i="45"/>
  <c r="F39" i="45"/>
  <c r="E39" i="45"/>
  <c r="D39" i="45"/>
  <c r="C39" i="45"/>
  <c r="B39" i="45"/>
  <c r="F38" i="45"/>
  <c r="E38" i="45"/>
  <c r="D38" i="45"/>
  <c r="C38" i="45"/>
  <c r="B38" i="45"/>
  <c r="F37" i="45"/>
  <c r="E37" i="45"/>
  <c r="D37" i="45"/>
  <c r="C37" i="45"/>
  <c r="B37" i="45"/>
  <c r="F36" i="45"/>
  <c r="E36" i="45"/>
  <c r="D36" i="45"/>
  <c r="C36" i="45"/>
  <c r="B36" i="45"/>
  <c r="F35" i="45"/>
  <c r="E35" i="45"/>
  <c r="D35" i="45"/>
  <c r="C35" i="45"/>
  <c r="B35" i="45"/>
  <c r="F34" i="45"/>
  <c r="E34" i="45"/>
  <c r="D34" i="45"/>
  <c r="C34" i="45"/>
  <c r="B34" i="45"/>
  <c r="A30" i="45"/>
  <c r="F18" i="45"/>
  <c r="D18" i="45"/>
  <c r="C18" i="45"/>
  <c r="B18" i="45"/>
  <c r="F17" i="45"/>
  <c r="D17" i="45"/>
  <c r="C17" i="45"/>
  <c r="B17" i="45"/>
  <c r="F16" i="45"/>
  <c r="D16" i="45"/>
  <c r="C16" i="45"/>
  <c r="B16" i="45"/>
  <c r="F15" i="45"/>
  <c r="D15" i="45"/>
  <c r="C15" i="45"/>
  <c r="B15" i="45"/>
  <c r="A11" i="45"/>
  <c r="A10" i="45"/>
  <c r="A8" i="4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79" authorId="0" shapeId="0" xr:uid="{4D949B32-F299-4751-B98E-A44F52AD6E3A}">
      <text>
        <r>
          <rPr>
            <b/>
            <sz val="9"/>
            <color indexed="81"/>
            <rFont val="Tahoma"/>
            <family val="2"/>
          </rPr>
          <t>Author:</t>
        </r>
        <r>
          <rPr>
            <sz val="9"/>
            <color indexed="81"/>
            <rFont val="Tahoma"/>
            <family val="2"/>
          </rPr>
          <t xml:space="preserve">
mở thẻ cho các bác...saving account/TK tạm khóa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tc={4C6B4BAF-B5D2-4CBE-B9B8-1B3FE2D137EA}</author>
    <author>Bao, Nguyen Huy (Intern-Accounting)</author>
    <author>tc={2DFA6AB0-3817-4B41-B791-A7B3F53F7281}</author>
  </authors>
  <commentList>
    <comment ref="C7" authorId="0" shapeId="0" xr:uid="{4C6B4BAF-B5D2-4CBE-B9B8-1B3FE2D137EA}">
      <text>
        <t>[Threaded comment]
Your version of Excel allows you to read this threaded comment; however, any edits to it will get removed if the file is opened in a newer version of Excel. Learn more: https://go.microsoft.com/fwlink/?linkid=870924
Comment:
    @Nhat, Nguyen Van Viet (Intern-Accounting)  check STK nhe Nhật</t>
      </text>
    </comment>
    <comment ref="A19" authorId="1" shapeId="0" xr:uid="{EFEDCC5E-A5DF-46AB-89A9-C74C825AAC5B}">
      <text>
        <r>
          <rPr>
            <b/>
            <sz val="9"/>
            <color indexed="81"/>
            <rFont val="Tahoma"/>
            <family val="2"/>
          </rPr>
          <t>Bao, Nguyen Huy (Intern-Accounting):</t>
        </r>
        <r>
          <rPr>
            <sz val="9"/>
            <color indexed="81"/>
            <rFont val="Tahoma"/>
            <family val="2"/>
          </rPr>
          <t xml:space="preserve">
BWID NT - PROJECT 2</t>
        </r>
      </text>
    </comment>
    <comment ref="C51" authorId="2" shapeId="0" xr:uid="{2DFA6AB0-3817-4B41-B791-A7B3F53F7281}">
      <text>
        <t>[Threaded comment]
Your version of Excel allows you to read this threaded comment; however, any edits to it will get removed if the file is opened in a newer version of Excel. Learn more: https://go.microsoft.com/fwlink/?linkid=870924
Comment:
    @Nhat, Nguyen Van Viet (Intern-Accounting) check stk e nha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<sst xmlns="http://schemas.openxmlformats.org/spreadsheetml/2006/main" count="36695" uniqueCount="5403">
  <si>
    <t>BW Industrial Development JSC</t>
  </si>
  <si>
    <t xml:space="preserve">Floor 17, Becamex Tower, 230 Binh Duong Boulevard, </t>
  </si>
  <si>
    <t>Phu Hoa Ward, Thu Dau Mot City, Binh Duong Province, Vietnam</t>
  </si>
  <si>
    <t>SUMMARY</t>
  </si>
  <si>
    <t>From 22-Feb-2021
to 28-Feb-2021</t>
  </si>
  <si>
    <t>From 08-Feb-2021
to 21-Feb-2021</t>
  </si>
  <si>
    <t>Var</t>
  </si>
  <si>
    <t>From 08-Feb-2021</t>
  </si>
  <si>
    <t>BWID JSC</t>
  </si>
  <si>
    <t>VIETCO3</t>
  </si>
  <si>
    <t>Subsidiaries</t>
  </si>
  <si>
    <t>VietCo3</t>
  </si>
  <si>
    <t>Equivalent to VND bn</t>
  </si>
  <si>
    <t>ACTUAL</t>
  </si>
  <si>
    <t>Opening balance</t>
  </si>
  <si>
    <t>Cash in</t>
  </si>
  <si>
    <t>Rental income and bank interest</t>
  </si>
  <si>
    <t>Shareholder loan transfer</t>
  </si>
  <si>
    <t>Loan drawdown</t>
  </si>
  <si>
    <t>Cash out</t>
  </si>
  <si>
    <t>Land lease price payment</t>
  </si>
  <si>
    <t>Deal payment</t>
  </si>
  <si>
    <t>Construction expense</t>
  </si>
  <si>
    <t>Others (G&amp;A expenses, bank charge…)</t>
  </si>
  <si>
    <t>Closing balance</t>
  </si>
  <si>
    <t>PLANNING FOR NEXT WEEK</t>
  </si>
  <si>
    <t>- From tenants</t>
  </si>
  <si>
    <t xml:space="preserve">- Refinancing </t>
  </si>
  <si>
    <t>- Loan drawdown</t>
  </si>
  <si>
    <t>Significant cash out</t>
  </si>
  <si>
    <t>- For investment deals</t>
  </si>
  <si>
    <t>- For construction</t>
  </si>
  <si>
    <t>Surplus (+)/ Shortage (-)</t>
  </si>
  <si>
    <t>From 1-May-2024
 to 18-May-2024</t>
  </si>
  <si>
    <t>From 16-Apr-2024
 to 30-Apr-2024</t>
  </si>
  <si>
    <t>Variance</t>
  </si>
  <si>
    <t>Total</t>
  </si>
  <si>
    <t>Equivalent to 
USD mn</t>
  </si>
  <si>
    <t>Actual Cash IN</t>
  </si>
  <si>
    <t>Receipt from tenants</t>
  </si>
  <si>
    <t>Refund land/deal deposit payment</t>
  </si>
  <si>
    <t>Internal transfer in</t>
  </si>
  <si>
    <t>Refinancing</t>
  </si>
  <si>
    <t>VAT refund</t>
  </si>
  <si>
    <t>Other receipts</t>
  </si>
  <si>
    <t>Internal contribution in</t>
  </si>
  <si>
    <t>Dividend receipt (inside group)</t>
  </si>
  <si>
    <t>Contribution</t>
  </si>
  <si>
    <t>Cash received from acquisition</t>
  </si>
  <si>
    <t>Loan receipts</t>
  </si>
  <si>
    <t>Corporate Loan drawdown</t>
  </si>
  <si>
    <t>Actual Cash OUT</t>
  </si>
  <si>
    <t>Land acquisition</t>
  </si>
  <si>
    <t>Operating expense</t>
  </si>
  <si>
    <t>Loan repayment</t>
  </si>
  <si>
    <t>Loan interest</t>
  </si>
  <si>
    <t>Internal contribution out</t>
  </si>
  <si>
    <t>Dividend paid (inside group)</t>
  </si>
  <si>
    <t>Payment for acquisition</t>
  </si>
  <si>
    <t>Internal transfer out</t>
  </si>
  <si>
    <t>Change FX rate of report</t>
  </si>
  <si>
    <t>Blocked Amount</t>
  </si>
  <si>
    <t>Available cash</t>
  </si>
  <si>
    <t>PLANNING FOR UPCOMING 1 MONTH</t>
  </si>
  <si>
    <t>Internal transfer</t>
  </si>
  <si>
    <t>Receipt from share acquisition</t>
  </si>
  <si>
    <t>Management fee from subsidiaries</t>
  </si>
  <si>
    <t>VC3</t>
  </si>
  <si>
    <t>TOTAL</t>
  </si>
  <si>
    <t>Bank</t>
  </si>
  <si>
    <t>BW_VND_bn</t>
  </si>
  <si>
    <t>BW_USD_mn</t>
  </si>
  <si>
    <t>BW_Total_USD_mn</t>
  </si>
  <si>
    <t>VC3_VND_bn</t>
  </si>
  <si>
    <t>VC3_USD_mn</t>
  </si>
  <si>
    <t>VC3_Total_USD_mn</t>
  </si>
  <si>
    <t>VC3_Total_VND (bn)</t>
  </si>
  <si>
    <t>SUB_VND_bn</t>
  </si>
  <si>
    <t>SUB_USD_mn</t>
  </si>
  <si>
    <t>SUB_TOTAL_USD_mn</t>
  </si>
  <si>
    <t>VND</t>
  </si>
  <si>
    <t>USD</t>
  </si>
  <si>
    <t>CREDIT FACILITY</t>
  </si>
  <si>
    <t>OUT. LOAN BALANCE @30/11/22</t>
  </si>
  <si>
    <t>%</t>
  </si>
  <si>
    <t>VIETINBANK - TIEN SON</t>
  </si>
  <si>
    <t>VIETINBANK - CN1</t>
  </si>
  <si>
    <t>VIETINBANK - BINH DUONG + QM</t>
  </si>
  <si>
    <t>VIETINBANK - DONG SAI GON</t>
  </si>
  <si>
    <t>VIETCOMBANK - BA DINH</t>
  </si>
  <si>
    <t xml:space="preserve">     </t>
  </si>
  <si>
    <t>VIETCOMBANK - HCM</t>
  </si>
  <si>
    <t>BIDV - THANH XUAN</t>
  </si>
  <si>
    <t>BIDV - NAM SAI GON</t>
  </si>
  <si>
    <t>BIDV - LONG BIEN</t>
  </si>
  <si>
    <t>OCB - BINH DUONG</t>
  </si>
  <si>
    <t>VIB - HOI SO</t>
  </si>
  <si>
    <t>MB - BAC SAI GON</t>
  </si>
  <si>
    <t>SINOPAC</t>
  </si>
  <si>
    <t>OTHERS</t>
  </si>
  <si>
    <t>Row Labels</t>
  </si>
  <si>
    <t>Sum of BW_Total_USD_mn</t>
  </si>
  <si>
    <t>Sum of VC3_Total_USD_mn</t>
  </si>
  <si>
    <t>Sum of SUB_TOTAL_USD_mn</t>
  </si>
  <si>
    <t>Sum of Total</t>
  </si>
  <si>
    <t>Grand Total</t>
  </si>
  <si>
    <t>BW</t>
  </si>
  <si>
    <t>Subs</t>
  </si>
  <si>
    <t>FA</t>
  </si>
  <si>
    <t>%/FA</t>
  </si>
  <si>
    <t>VTB</t>
  </si>
  <si>
    <t>VTB TS</t>
  </si>
  <si>
    <t>VCB</t>
  </si>
  <si>
    <t>VTB BD + QM</t>
  </si>
  <si>
    <t>BIDV</t>
  </si>
  <si>
    <t>VTB DSG</t>
  </si>
  <si>
    <t>OCB</t>
  </si>
  <si>
    <t>VTB CN1</t>
  </si>
  <si>
    <t>VIB</t>
  </si>
  <si>
    <t>MBB</t>
  </si>
  <si>
    <t>VCB HCM</t>
  </si>
  <si>
    <t>VCB BD</t>
  </si>
  <si>
    <t>BIDV TX</t>
  </si>
  <si>
    <t>BIDV NSG</t>
  </si>
  <si>
    <t>BIDV LB</t>
  </si>
  <si>
    <t>OCB BD</t>
  </si>
  <si>
    <t>MBB BSG</t>
  </si>
  <si>
    <t>VIB HO</t>
  </si>
  <si>
    <t>Entity</t>
  </si>
  <si>
    <t>OB</t>
  </si>
  <si>
    <t>EB</t>
  </si>
  <si>
    <t>O.Balance</t>
  </si>
  <si>
    <t>E.Balance</t>
  </si>
  <si>
    <t>Value</t>
  </si>
  <si>
    <t>Cummulative</t>
  </si>
  <si>
    <t>Start &amp; End</t>
  </si>
  <si>
    <t>Before</t>
  </si>
  <si>
    <t>After</t>
  </si>
  <si>
    <t>Data Label Position</t>
  </si>
  <si>
    <t>B.O.P</t>
  </si>
  <si>
    <t>Rental income</t>
  </si>
  <si>
    <t>Refund deposit</t>
  </si>
  <si>
    <t>Construction exp.</t>
  </si>
  <si>
    <t>Corp Loan</t>
  </si>
  <si>
    <t>Asset acquisition</t>
  </si>
  <si>
    <t>Fx.diff</t>
  </si>
  <si>
    <t>E.O.P</t>
  </si>
  <si>
    <t>Pre-allocation</t>
  </si>
  <si>
    <t>Post-allocation</t>
  </si>
  <si>
    <t>Spacing</t>
  </si>
  <si>
    <t>Positive error</t>
  </si>
  <si>
    <t>Negative error</t>
  </si>
  <si>
    <t>VTB-TS</t>
  </si>
  <si>
    <t>VIETINBANK - BINH DUONG</t>
  </si>
  <si>
    <t>VTB-BD</t>
  </si>
  <si>
    <t>VIETINBANK - QUANG MINH</t>
  </si>
  <si>
    <t>VTB-QM</t>
  </si>
  <si>
    <t>VTB-DSG</t>
  </si>
  <si>
    <t>VTB-CN1</t>
  </si>
  <si>
    <t>BIDV-TX</t>
  </si>
  <si>
    <t>BIDV-NSG</t>
  </si>
  <si>
    <t>BIDV-LB</t>
  </si>
  <si>
    <t>VCB-HCM</t>
  </si>
  <si>
    <t>VCB-BD</t>
  </si>
  <si>
    <t>OCB-BD</t>
  </si>
  <si>
    <t>VIB-HO</t>
  </si>
  <si>
    <t>MB-BSG</t>
  </si>
  <si>
    <t>SINO</t>
  </si>
  <si>
    <t>VND bn</t>
  </si>
  <si>
    <t>Current account</t>
  </si>
  <si>
    <t>Term deposit</t>
  </si>
  <si>
    <t>Total cash</t>
  </si>
  <si>
    <t>US mn</t>
  </si>
  <si>
    <t>Demand</t>
  </si>
  <si>
    <t>Due saving amount</t>
  </si>
  <si>
    <t>Grouping</t>
  </si>
  <si>
    <t>Sum of Net</t>
  </si>
  <si>
    <t>ok</t>
  </si>
  <si>
    <t>Date</t>
  </si>
  <si>
    <t>Ver</t>
  </si>
  <si>
    <t>FX rate (VND/USD)</t>
  </si>
  <si>
    <t>Week</t>
  </si>
  <si>
    <t>W1-2Jan26</t>
  </si>
  <si>
    <t>Opening date</t>
  </si>
  <si>
    <t>Ending date</t>
  </si>
  <si>
    <t>Cash in original VND</t>
  </si>
  <si>
    <t>Cash in original USD</t>
  </si>
  <si>
    <t>in USDmn equivalent</t>
  </si>
  <si>
    <t>in USDmn</t>
  </si>
  <si>
    <t>VIETINBANK</t>
  </si>
  <si>
    <t>VIETINBANK - HA NOI</t>
  </si>
  <si>
    <t>VIETINBANK - TPHCM</t>
  </si>
  <si>
    <t>VIETINBANK - CN6</t>
  </si>
  <si>
    <t>VIETCOMBANK</t>
  </si>
  <si>
    <t>VIETCOMBANK - NAM BINH DUONG</t>
  </si>
  <si>
    <t>VIETCOMBANK - BINH TAY</t>
  </si>
  <si>
    <t>BIDV - GIA DINH</t>
  </si>
  <si>
    <t>DB - Singapore</t>
  </si>
  <si>
    <t>SNP</t>
  </si>
  <si>
    <t>TCB</t>
  </si>
  <si>
    <t>ACB</t>
  </si>
  <si>
    <t>STANDARD CHARTERED</t>
  </si>
  <si>
    <t>UOB</t>
  </si>
  <si>
    <t>KEB Hana</t>
  </si>
  <si>
    <t>2. Cash movement</t>
  </si>
  <si>
    <t>In $Usmn</t>
  </si>
  <si>
    <t>Total cash-in</t>
  </si>
  <si>
    <t>Ordinary receipt</t>
  </si>
  <si>
    <t>Internal transactions</t>
  </si>
  <si>
    <t>Total cash-out</t>
  </si>
  <si>
    <t>Ordinary payment</t>
  </si>
  <si>
    <t>Test E.O.P</t>
  </si>
  <si>
    <t xml:space="preserve">3. VND Deposit Yield </t>
  </si>
  <si>
    <t xml:space="preserve">To improve yields on VND cash available moving forwards: </t>
  </si>
  <si>
    <t>(i) Evaluate the NTM cash projection and move up the tenor curve</t>
  </si>
  <si>
    <t>(ii)  For existing term deposit, wait until maturity to move to higher yielding rate</t>
  </si>
  <si>
    <t>BWID's VND deposit
in USD equivalent</t>
  </si>
  <si>
    <t xml:space="preserve">Weighted average deposit rate </t>
  </si>
  <si>
    <t>&lt; 1 month</t>
  </si>
  <si>
    <t>1 month</t>
  </si>
  <si>
    <t>2 months</t>
  </si>
  <si>
    <t>3 months</t>
  </si>
  <si>
    <t>4 months</t>
  </si>
  <si>
    <t>5 months</t>
  </si>
  <si>
    <t>6 months</t>
  </si>
  <si>
    <t>7 months</t>
  </si>
  <si>
    <t>8 months</t>
  </si>
  <si>
    <t>9 months</t>
  </si>
  <si>
    <t>12 months</t>
  </si>
  <si>
    <t>13 months</t>
  </si>
  <si>
    <t>Total VND cash in USD equivalent</t>
  </si>
  <si>
    <t>Percentage of earned yield VND to Total VND</t>
  </si>
  <si>
    <t>Cash to maturity</t>
  </si>
  <si>
    <t>Next 1 month</t>
  </si>
  <si>
    <t>Next 2 months</t>
  </si>
  <si>
    <t>Next 3 months</t>
  </si>
  <si>
    <t>Next 4 months</t>
  </si>
  <si>
    <t>Next 5 months</t>
  </si>
  <si>
    <t>Next 6 months</t>
  </si>
  <si>
    <t>Next 7 months</t>
  </si>
  <si>
    <t>Next 8 months</t>
  </si>
  <si>
    <t>Next 9 months</t>
  </si>
  <si>
    <t>Next 10 months</t>
  </si>
  <si>
    <t>Next 11 months</t>
  </si>
  <si>
    <t>Next 12 months</t>
  </si>
  <si>
    <t>Next 13 months</t>
  </si>
  <si>
    <t>Total VND deposit in USD equivalent</t>
  </si>
  <si>
    <t>4. USD Deposit Yield</t>
  </si>
  <si>
    <t>Due to SBV regulations, the Banks only offer BW 0% on USD deposit. To improve the yield of USD given the depreciation of VND against USD:</t>
  </si>
  <si>
    <t>(i) Keep USD balance at existing lender and convert to VND equal to cash shortage of next 3 months</t>
  </si>
  <si>
    <t>(ii) Offet with the lending VND interest rate from 1% - 2% p.a subject to volume and timeline commitment</t>
  </si>
  <si>
    <t>BWID's cash
in original USD</t>
  </si>
  <si>
    <t>Remark</t>
  </si>
  <si>
    <t>No yield USD deposit</t>
  </si>
  <si>
    <t>Demand cash</t>
  </si>
  <si>
    <t>Sao Hoa's ISRA of Corporate Loan</t>
  </si>
  <si>
    <t>For commitment</t>
  </si>
  <si>
    <t>Keb Hana</t>
  </si>
  <si>
    <t>Standard Chartered</t>
  </si>
  <si>
    <t>Others</t>
  </si>
  <si>
    <t>Yield USD deposit</t>
  </si>
  <si>
    <t>Total cash in USD</t>
  </si>
  <si>
    <t>Percentage of earned yield USD to Total USD</t>
  </si>
  <si>
    <t>5. Planning for upcomming 1 month</t>
  </si>
  <si>
    <t>Cash Planning for next 4 weeks</t>
  </si>
  <si>
    <t>B.O.P (Actual)</t>
  </si>
  <si>
    <t>Total planned cash-in</t>
  </si>
  <si>
    <t>Internal contribution</t>
  </si>
  <si>
    <t>Total planned cash-out</t>
  </si>
  <si>
    <t>E.O.P (Forecast)</t>
  </si>
  <si>
    <t>In $US</t>
  </si>
  <si>
    <t>Description</t>
  </si>
  <si>
    <t>W5May25</t>
  </si>
  <si>
    <t>W1Jun25</t>
  </si>
  <si>
    <t>W2Jun25</t>
  </si>
  <si>
    <t>W3Jun25</t>
  </si>
  <si>
    <t>W4Jun25</t>
  </si>
  <si>
    <t>Ordinary Cash-in</t>
  </si>
  <si>
    <t>Others cash-in</t>
  </si>
  <si>
    <t>Ordinary Cash-out</t>
  </si>
  <si>
    <t>Others cash-out</t>
  </si>
  <si>
    <t>Surplus/(Deficit)</t>
  </si>
  <si>
    <t>Original Currency: VND</t>
  </si>
  <si>
    <t>Yield</t>
  </si>
  <si>
    <t>Total (VND)</t>
  </si>
  <si>
    <t>Current Yield Deposit</t>
  </si>
  <si>
    <t>2 weeks</t>
  </si>
  <si>
    <t>Total in VND</t>
  </si>
  <si>
    <t>DETAIL CASH DEPOSIT</t>
  </si>
  <si>
    <t>NAME</t>
  </si>
  <si>
    <t>Sum of CLOSING BALANCE 
(VND)</t>
  </si>
  <si>
    <t>Column Labels</t>
  </si>
  <si>
    <t>KBANK</t>
  </si>
  <si>
    <t>Woori Bank</t>
  </si>
  <si>
    <t>(All)</t>
  </si>
  <si>
    <t>Due to SBV regulations, the Banks onlt offer BW 0% on USD deposit. To improve the yield of USD given the depreciation of VND against USD:</t>
  </si>
  <si>
    <t>(ii) Offet with the lending VND interest rate from 1% - 1.5% p.a subject to volume and timeline commitment</t>
  </si>
  <si>
    <t>Original Currency: USD</t>
  </si>
  <si>
    <t>Total (USD)</t>
  </si>
  <si>
    <t>Demand cash at VC3 and Booking fee/deposits of tenants</t>
  </si>
  <si>
    <t>Booking fee/deposits of tenants</t>
  </si>
  <si>
    <t>for commitment</t>
  </si>
  <si>
    <t>DSRA for Corporate Loan</t>
  </si>
  <si>
    <t>DETAIL USD CASH</t>
  </si>
  <si>
    <t>ACCOUNT TYPE</t>
  </si>
  <si>
    <t>(Multiple Items)</t>
  </si>
  <si>
    <t>Sum of CLOSING BALANCE (USD)</t>
  </si>
  <si>
    <t>Capital Account</t>
  </si>
  <si>
    <t>Current Account</t>
  </si>
  <si>
    <t>Foreign Loan</t>
  </si>
  <si>
    <t>Saving Account</t>
  </si>
  <si>
    <t>Reserve Account</t>
  </si>
  <si>
    <t>Details for Sum of CLOSING BALANCE (USD) - ACCOUNT TYPE: Current Account, Bank: BIDV - LONG BIEN, NAME: Subsidiaries</t>
  </si>
  <si>
    <t>ENTITY</t>
  </si>
  <si>
    <t>BRANCH</t>
  </si>
  <si>
    <t>ACCOUNT NUMBER</t>
  </si>
  <si>
    <t>CURRENCY</t>
  </si>
  <si>
    <t>OB_BS (VND)</t>
  </si>
  <si>
    <t>Dif</t>
  </si>
  <si>
    <t>OPENING BALANCE (VND)</t>
  </si>
  <si>
    <t>CASH IN - CREDIT (VND)</t>
  </si>
  <si>
    <t>CASH OUT - DEBIT (VND)</t>
  </si>
  <si>
    <t>NET AMOUNT (VND)</t>
  </si>
  <si>
    <t>CLOSING BALANCE (VND)2</t>
  </si>
  <si>
    <t>CB_BS (VND)</t>
  </si>
  <si>
    <t>Dif2</t>
  </si>
  <si>
    <t>OB_BS (USD)</t>
  </si>
  <si>
    <t>Dif3</t>
  </si>
  <si>
    <t>OPENING BALANCE (USD)</t>
  </si>
  <si>
    <t>CASH IN - CREDIT (USD)</t>
  </si>
  <si>
    <t>CASH OUT - DEBIT (USD)</t>
  </si>
  <si>
    <t>CLOSING BALANCE (USD)</t>
  </si>
  <si>
    <t>CB_BS (USD)</t>
  </si>
  <si>
    <t>Dif4</t>
  </si>
  <si>
    <t>Bank_1</t>
  </si>
  <si>
    <t>BW NAM DINH VU</t>
  </si>
  <si>
    <t>1500871050</t>
  </si>
  <si>
    <t>1500019128</t>
  </si>
  <si>
    <t>TECHCOMBANK</t>
  </si>
  <si>
    <t>ACB - HCM</t>
  </si>
  <si>
    <t>ACB - SAI GON</t>
  </si>
  <si>
    <t>KEB Hana - HCM</t>
  </si>
  <si>
    <t>Escrow account</t>
  </si>
  <si>
    <t>Sum of CLOSING BALANCE (VND)2</t>
  </si>
  <si>
    <t xml:space="preserve">  </t>
  </si>
  <si>
    <t>CASH OUT</t>
  </si>
  <si>
    <t>CASH IN</t>
  </si>
  <si>
    <t>(1)</t>
  </si>
  <si>
    <t>(2)</t>
  </si>
  <si>
    <t>(3) = (1) + (2)</t>
  </si>
  <si>
    <t>(4)</t>
  </si>
  <si>
    <t>(5)</t>
  </si>
  <si>
    <t>(6) = (4) + (5)</t>
  </si>
  <si>
    <t>Total Demand
(in orginal VND)</t>
  </si>
  <si>
    <t>Total Demand
(in orginal USD)</t>
  </si>
  <si>
    <t>Total Demand
(USD equivalent)</t>
  </si>
  <si>
    <t>Planned Cash-in
(in orginal VND)</t>
  </si>
  <si>
    <t>Planned Cash-in
(in orginal USD)</t>
  </si>
  <si>
    <t>Total Planned Cash-in
(USD equivalent)</t>
  </si>
  <si>
    <t>SHL</t>
  </si>
  <si>
    <t>Equity</t>
  </si>
  <si>
    <t>Bank Loan</t>
  </si>
  <si>
    <t>Total excluded Bank loan (external source)</t>
  </si>
  <si>
    <t>Total excluded Bank loan &amp; Internal contribution (NO cash outflow)</t>
  </si>
  <si>
    <t>No.1</t>
  </si>
  <si>
    <t>Billed Amount</t>
  </si>
  <si>
    <t>Denoted 
Currency</t>
  </si>
  <si>
    <t>VND equivalent</t>
  </si>
  <si>
    <t>Expected date of payment</t>
  </si>
  <si>
    <t>Sub_type</t>
  </si>
  <si>
    <t>Type</t>
  </si>
  <si>
    <t>Status</t>
  </si>
  <si>
    <t>Source</t>
  </si>
  <si>
    <t>Transfer from</t>
  </si>
  <si>
    <t>Urgent</t>
  </si>
  <si>
    <t>Transfer Account</t>
  </si>
  <si>
    <t>Transfer Entity</t>
  </si>
  <si>
    <t>Transfer Branch</t>
  </si>
  <si>
    <t>Receiving Account</t>
  </si>
  <si>
    <t>Receiving Entity</t>
  </si>
  <si>
    <t>Receiving Branch</t>
  </si>
  <si>
    <t>Expected date of receipt</t>
  </si>
  <si>
    <t>Sub_Type</t>
  </si>
  <si>
    <t>Transfer to</t>
  </si>
  <si>
    <t>Transfer from2</t>
  </si>
  <si>
    <t>Expected date of transfer</t>
  </si>
  <si>
    <t>S5B</t>
  </si>
  <si>
    <t>S5B_last share payment for Tan Hiep deal _ CP meet</t>
  </si>
  <si>
    <t>PLANNED</t>
  </si>
  <si>
    <t>BWD</t>
  </si>
  <si>
    <t>Receipt from tenants (etsimated from invoice issued)</t>
  </si>
  <si>
    <t>W4Dec24</t>
  </si>
  <si>
    <t>Broker fee for Tan Hiep deal</t>
  </si>
  <si>
    <t>New Corp Loan fee_Interest expenses_18 Jun 25</t>
  </si>
  <si>
    <t>New Corp Loan fee_Commitment fee (30 Jun 25)</t>
  </si>
  <si>
    <t>Other payments</t>
  </si>
  <si>
    <t>PIT payment - employee</t>
  </si>
  <si>
    <t>Tax payment</t>
  </si>
  <si>
    <t>FCT payment</t>
  </si>
  <si>
    <t>MP4_ refinancing for MP4 (A3) project</t>
  </si>
  <si>
    <t>Sao Hoa_Operating and salary expenses</t>
  </si>
  <si>
    <t>Salary expense</t>
  </si>
  <si>
    <t>DAL</t>
  </si>
  <si>
    <t>SCC</t>
  </si>
  <si>
    <t>Payment for bank loan principal of Jun 2025 (downstream part)</t>
  </si>
  <si>
    <t>Loan payment</t>
  </si>
  <si>
    <t>Refinance VSIP Nghe An</t>
  </si>
  <si>
    <t>New Corp Loan fee_Coordination fee  (upsize)_3days from SBV approval</t>
  </si>
  <si>
    <t>Professional service fee</t>
  </si>
  <si>
    <t>New Corp Loan fee_Legal fee (upsize)</t>
  </si>
  <si>
    <t>Marketing service fee_Leasing activities_Q2.2025</t>
  </si>
  <si>
    <t>S&amp;M expense</t>
  </si>
  <si>
    <t>DVC</t>
  </si>
  <si>
    <t>DVC_Megaspace_IPC 05</t>
  </si>
  <si>
    <t>DC2</t>
  </si>
  <si>
    <t>Connection fee of power contract_(will be deducted in IPC payment later)</t>
  </si>
  <si>
    <t>TCS</t>
  </si>
  <si>
    <t>Reserve for operating + construction expense</t>
  </si>
  <si>
    <t>DAL_GLC_Payment for construction cost_IPC9</t>
  </si>
  <si>
    <t>DAL_GLC_Payment for construction cost_IPC10</t>
  </si>
  <si>
    <t>BTD</t>
  </si>
  <si>
    <t>NEWTECONS_IPC.09 - PR.10</t>
  </si>
  <si>
    <t>BMP</t>
  </si>
  <si>
    <t>Permit and design service</t>
  </si>
  <si>
    <t>N4C</t>
  </si>
  <si>
    <t>NASTEC_ 13.5ha in VSIP Bac Ninh II_ 20% pmt up on LLA signing (15 days)</t>
  </si>
  <si>
    <t>BB5</t>
  </si>
  <si>
    <t>Payment for Earth work_IPC.01 (GLC) &amp; Design work</t>
  </si>
  <si>
    <t>THA</t>
  </si>
  <si>
    <t>Bank interest in May 2025</t>
  </si>
  <si>
    <t>KTR</t>
  </si>
  <si>
    <t>Payment for bank interest_BIDV</t>
  </si>
  <si>
    <t>BBN</t>
  </si>
  <si>
    <t>Bank loan interest &amp; principal</t>
  </si>
  <si>
    <t>BHP</t>
  </si>
  <si>
    <t>Reinstallment fee after typhoon</t>
  </si>
  <si>
    <t>BNH</t>
  </si>
  <si>
    <t>XA1</t>
  </si>
  <si>
    <t>HBC - Final account</t>
  </si>
  <si>
    <t>Payment for Cash sweep to VTB Tien Son</t>
  </si>
  <si>
    <t>NDV</t>
  </si>
  <si>
    <t>Payment for  Vu Hoang + Kansai (WWT plan + Reinstatement Works)</t>
  </si>
  <si>
    <t>BNH CN10-01_Payment for broker fee</t>
  </si>
  <si>
    <t>Bank loan and interest on 25/05/2024</t>
  </si>
  <si>
    <t xml:space="preserve">Bank loan principal and loan interest </t>
  </si>
  <si>
    <t>BWP</t>
  </si>
  <si>
    <t>Bank loan and interest on 25/06/2024</t>
  </si>
  <si>
    <t>Bank loan and interest on 25/07/2024 (available equity part)</t>
  </si>
  <si>
    <t>Bank loan interest</t>
  </si>
  <si>
    <t>2nd payment of SPA for deal VSIP BN2 13.5ha</t>
  </si>
  <si>
    <t>CHR - FUJI - IPC.08 - 10th payment  (70%)</t>
  </si>
  <si>
    <t>CHR - FUJI - IPC.09 - 11th payment  (70%)</t>
  </si>
  <si>
    <t>CHR - FUJI - After acceptance certificate - 10th payment  (70%)</t>
  </si>
  <si>
    <t>CHR - TIALOC - After warranty bond - 10th payment  (70%)</t>
  </si>
  <si>
    <t>PAE</t>
  </si>
  <si>
    <t>Contract to Uc Phat - PR.06 IPC.05</t>
  </si>
  <si>
    <t>DTP</t>
  </si>
  <si>
    <t>Bank loan and interest on 13/07/2024</t>
  </si>
  <si>
    <t>Bank loan</t>
  </si>
  <si>
    <t>JYP</t>
  </si>
  <si>
    <t>Payment for bank interest</t>
  </si>
  <si>
    <t>Construction payment_IPC8</t>
  </si>
  <si>
    <t>HBC -Construction payment_ Final account</t>
  </si>
  <si>
    <t>PNA</t>
  </si>
  <si>
    <t>Construction payment _IPC 6</t>
  </si>
  <si>
    <t>Construction payment _IPC 8</t>
  </si>
  <si>
    <t>x</t>
  </si>
  <si>
    <t>W3-4Dec25</t>
  </si>
  <si>
    <t>OBW3-4Dec25</t>
  </si>
  <si>
    <t>BWID BINH DUONG</t>
  </si>
  <si>
    <t>2229596789</t>
  </si>
  <si>
    <t>2220016789</t>
  </si>
  <si>
    <t>0611001866868</t>
  </si>
  <si>
    <t>0611371866868</t>
  </si>
  <si>
    <t>0071371866868</t>
  </si>
  <si>
    <t>0071001866868</t>
  </si>
  <si>
    <t>0071372826868</t>
  </si>
  <si>
    <t>0071002826868</t>
  </si>
  <si>
    <t>111005686868</t>
  </si>
  <si>
    <t>113003668668</t>
  </si>
  <si>
    <t>214000488472</t>
  </si>
  <si>
    <t>117002673879</t>
  </si>
  <si>
    <t>118002673880</t>
  </si>
  <si>
    <t>119002676629</t>
  </si>
  <si>
    <t>110002676630</t>
  </si>
  <si>
    <t>110601263999</t>
  </si>
  <si>
    <t>112002870516</t>
  </si>
  <si>
    <t>MB - BINH DUONG</t>
  </si>
  <si>
    <t>1401101888008</t>
  </si>
  <si>
    <t>1401101897007</t>
  </si>
  <si>
    <t>004368306</t>
  </si>
  <si>
    <t>004368342</t>
  </si>
  <si>
    <t>19134274205013</t>
  </si>
  <si>
    <t>0010100011702468</t>
  </si>
  <si>
    <t>0010100013102468</t>
  </si>
  <si>
    <t>23011818</t>
  </si>
  <si>
    <t>23011838</t>
  </si>
  <si>
    <t>119003025529</t>
  </si>
  <si>
    <t>07000800107577</t>
  </si>
  <si>
    <t>BWID HAI DUONG</t>
  </si>
  <si>
    <t>111007158888</t>
  </si>
  <si>
    <t>117007156666</t>
  </si>
  <si>
    <t>214000295447</t>
  </si>
  <si>
    <t>BWID BAC NINH</t>
  </si>
  <si>
    <t>118008108888</t>
  </si>
  <si>
    <t>119000436666</t>
  </si>
  <si>
    <t>BWID HAI DUONG 2</t>
  </si>
  <si>
    <t>118006028888</t>
  </si>
  <si>
    <t>211000487560</t>
  </si>
  <si>
    <t>111008916666</t>
  </si>
  <si>
    <t>BWID HAI PHONG</t>
  </si>
  <si>
    <t>116002681740</t>
  </si>
  <si>
    <t>113010316868</t>
  </si>
  <si>
    <t>BWID NHON TRACH</t>
  </si>
  <si>
    <t>0071001286959</t>
  </si>
  <si>
    <t>0071371286960</t>
  </si>
  <si>
    <t>BWID HAI DUONG 3</t>
  </si>
  <si>
    <t>2221133456</t>
  </si>
  <si>
    <t>BWID THOI HOA</t>
  </si>
  <si>
    <t>0010100014965001</t>
  </si>
  <si>
    <t>TH1 HOLDCO</t>
  </si>
  <si>
    <t>116002901287</t>
  </si>
  <si>
    <t>BWID THOI HOA 2</t>
  </si>
  <si>
    <t>0010100014966008</t>
  </si>
  <si>
    <t>TH2 HOLDCO</t>
  </si>
  <si>
    <t>115002901290</t>
  </si>
  <si>
    <t>BWID LOGISTICS TAN UYEN</t>
  </si>
  <si>
    <t>VIETCOMBANK - DONG SAI GON</t>
  </si>
  <si>
    <t>0531007776868</t>
  </si>
  <si>
    <t>1018776868</t>
  </si>
  <si>
    <t xml:space="preserve">	1019776868</t>
  </si>
  <si>
    <t>001022212767</t>
  </si>
  <si>
    <t>BW SAI GON</t>
  </si>
  <si>
    <t>07000800107177</t>
  </si>
  <si>
    <t>07000800107185</t>
  </si>
  <si>
    <t>3315696868</t>
  </si>
  <si>
    <t>0071370366868</t>
  </si>
  <si>
    <t>BW NEW CITY</t>
  </si>
  <si>
    <t>0071370266868</t>
  </si>
  <si>
    <t>1018291387</t>
  </si>
  <si>
    <t>2224278781</t>
  </si>
  <si>
    <t>GREAT KINGDOM NT 2</t>
  </si>
  <si>
    <t>216000283949</t>
  </si>
  <si>
    <t>110609187777</t>
  </si>
  <si>
    <t>BW BAU BANG</t>
  </si>
  <si>
    <t>117002806218</t>
  </si>
  <si>
    <t>BW PHU NGHIA</t>
  </si>
  <si>
    <t>2220830888</t>
  </si>
  <si>
    <t>BW DINH VU</t>
  </si>
  <si>
    <t>2220151668</t>
  </si>
  <si>
    <t>2220107911</t>
  </si>
  <si>
    <t>802221511344</t>
  </si>
  <si>
    <t>BWID TAN DONG HIEP</t>
  </si>
  <si>
    <t>000658139</t>
  </si>
  <si>
    <t>BWID DONG AN LID</t>
  </si>
  <si>
    <t>114002807847</t>
  </si>
  <si>
    <t>217000301104</t>
  </si>
  <si>
    <t>BWID LONG AN</t>
  </si>
  <si>
    <t>0010100013992005</t>
  </si>
  <si>
    <t>SG LOGISTICS</t>
  </si>
  <si>
    <t>111002882978</t>
  </si>
  <si>
    <t>HANOI MANAGEMENT SERVICES</t>
  </si>
  <si>
    <t>110002855448</t>
  </si>
  <si>
    <t>IRE CONSULTANCY &amp; MANAGEMENT</t>
  </si>
  <si>
    <t>113002864775</t>
  </si>
  <si>
    <t>BW THU DAU MOT</t>
  </si>
  <si>
    <t>113002864762</t>
  </si>
  <si>
    <t>KIM TRUC DN</t>
  </si>
  <si>
    <t>1329397986</t>
  </si>
  <si>
    <t>801321603661</t>
  </si>
  <si>
    <t>BW SUPLLY CHAIN CITY</t>
  </si>
  <si>
    <t>SUMITOMO - HCM</t>
  </si>
  <si>
    <t>10012991</t>
  </si>
  <si>
    <t>10012992</t>
  </si>
  <si>
    <t>1018291733</t>
  </si>
  <si>
    <t>1018291778</t>
  </si>
  <si>
    <t>SAO THO</t>
  </si>
  <si>
    <t>116002866455</t>
  </si>
  <si>
    <t>1150 0286 6456</t>
  </si>
  <si>
    <t>SAO MOC</t>
  </si>
  <si>
    <t>111002866787</t>
  </si>
  <si>
    <t>1100 0286 6788</t>
  </si>
  <si>
    <t>SAO HOA</t>
  </si>
  <si>
    <t>110002867869</t>
  </si>
  <si>
    <t>113002867893</t>
  </si>
  <si>
    <t>110002880534</t>
  </si>
  <si>
    <t>110600968868</t>
  </si>
  <si>
    <t>114002874189</t>
  </si>
  <si>
    <t>115002874190</t>
  </si>
  <si>
    <t>116002904666</t>
  </si>
  <si>
    <t>117002904665</t>
  </si>
  <si>
    <t>1019667606</t>
  </si>
  <si>
    <t>1019667637</t>
  </si>
  <si>
    <t>1015796868</t>
  </si>
  <si>
    <t>1011456868</t>
  </si>
  <si>
    <t>0001574304502</t>
  </si>
  <si>
    <t>0000123466621</t>
  </si>
  <si>
    <t>0010108000006789</t>
  </si>
  <si>
    <t>0010101200006789</t>
  </si>
  <si>
    <t>008735931</t>
  </si>
  <si>
    <t>008969251</t>
  </si>
  <si>
    <t>2221578686</t>
  </si>
  <si>
    <t>2229886688</t>
  </si>
  <si>
    <t>22210377686688</t>
  </si>
  <si>
    <t>92776068</t>
  </si>
  <si>
    <t>92776088</t>
  </si>
  <si>
    <t>BAU BANG 3</t>
  </si>
  <si>
    <t>118002867617</t>
  </si>
  <si>
    <t>117002867618</t>
  </si>
  <si>
    <t>BWID Tan Phu Trung</t>
  </si>
  <si>
    <t>110610727979</t>
  </si>
  <si>
    <t>BAU BANG 4</t>
  </si>
  <si>
    <t>116002867621</t>
  </si>
  <si>
    <t>115002867622</t>
  </si>
  <si>
    <t>SONGTHAN LID</t>
  </si>
  <si>
    <t>112002807481</t>
  </si>
  <si>
    <t>110002807483</t>
  </si>
  <si>
    <t>BW HAI AN</t>
  </si>
  <si>
    <t>2220131688</t>
  </si>
  <si>
    <t>802221486901</t>
  </si>
  <si>
    <t>SPV4A</t>
  </si>
  <si>
    <t>112644826868</t>
  </si>
  <si>
    <t>112642446868</t>
  </si>
  <si>
    <t>0010100020695008</t>
  </si>
  <si>
    <t>SPV4B</t>
  </si>
  <si>
    <t>110624896789</t>
  </si>
  <si>
    <t>SPV4C</t>
  </si>
  <si>
    <t>110634678686</t>
  </si>
  <si>
    <t>110640648686</t>
  </si>
  <si>
    <t>0010100020673004</t>
  </si>
  <si>
    <t>SPV4D</t>
  </si>
  <si>
    <t>114604469999</t>
  </si>
  <si>
    <t>113641449999</t>
  </si>
  <si>
    <t>116002905229</t>
  </si>
  <si>
    <t>SPV4E</t>
  </si>
  <si>
    <t>110619957777</t>
  </si>
  <si>
    <t>110622067777</t>
  </si>
  <si>
    <t>117002905230</t>
  </si>
  <si>
    <t>SPV5A</t>
  </si>
  <si>
    <t>112609476868</t>
  </si>
  <si>
    <t>112624546868</t>
  </si>
  <si>
    <t>SPV5C</t>
  </si>
  <si>
    <t>118604588998</t>
  </si>
  <si>
    <t>116604648998</t>
  </si>
  <si>
    <t>0010100021271007</t>
  </si>
  <si>
    <t>SPV5B</t>
  </si>
  <si>
    <t>110618485555</t>
  </si>
  <si>
    <t>110625945555</t>
  </si>
  <si>
    <t>07000800107516</t>
  </si>
  <si>
    <t>07000800107516_1</t>
  </si>
  <si>
    <t>07000800901715</t>
  </si>
  <si>
    <t>07000800107508</t>
  </si>
  <si>
    <t>07000800106431</t>
  </si>
  <si>
    <t>SPV5D</t>
  </si>
  <si>
    <t>110624787777</t>
  </si>
  <si>
    <t>110625747777</t>
  </si>
  <si>
    <t>SPV5E</t>
  </si>
  <si>
    <t>110619446688</t>
  </si>
  <si>
    <t>110616846688</t>
  </si>
  <si>
    <t>PHUOC LOI</t>
  </si>
  <si>
    <t>1021014947</t>
  </si>
  <si>
    <t>1021015062</t>
  </si>
  <si>
    <t>GIA TAN</t>
  </si>
  <si>
    <t>113002882196</t>
  </si>
  <si>
    <t>111002882198</t>
  </si>
  <si>
    <t>BCI JSC</t>
  </si>
  <si>
    <t>114622278888</t>
  </si>
  <si>
    <t>111641796789</t>
  </si>
  <si>
    <t>VINA PARTNERS INVESTMENT</t>
  </si>
  <si>
    <t>111002902772</t>
  </si>
  <si>
    <t>216000297782</t>
  </si>
  <si>
    <t>HOLDCO4F</t>
  </si>
  <si>
    <t>114631539999</t>
  </si>
  <si>
    <t>HOLDCO4H</t>
  </si>
  <si>
    <t>114641639999</t>
  </si>
  <si>
    <t>807403</t>
  </si>
  <si>
    <t>HOLDCO4G</t>
  </si>
  <si>
    <t>114634209999</t>
  </si>
  <si>
    <t>HOLDCO4I</t>
  </si>
  <si>
    <t>114632528888</t>
  </si>
  <si>
    <t>HOLDCO4J</t>
  </si>
  <si>
    <t>110616845555</t>
  </si>
  <si>
    <t>160381</t>
  </si>
  <si>
    <t>HOLDCO5F</t>
  </si>
  <si>
    <t>114642159999</t>
  </si>
  <si>
    <t>114642459999</t>
  </si>
  <si>
    <t>HOLDCO5G</t>
  </si>
  <si>
    <t>116634859999</t>
  </si>
  <si>
    <t>HOLDCO5H</t>
  </si>
  <si>
    <t>114642759999</t>
  </si>
  <si>
    <t>114644239999</t>
  </si>
  <si>
    <t>HOLDCO5I</t>
  </si>
  <si>
    <t>114627628888</t>
  </si>
  <si>
    <t>HOLDCO5J</t>
  </si>
  <si>
    <t>118642359999</t>
  </si>
  <si>
    <t>DELIWAY</t>
  </si>
  <si>
    <t>691668</t>
  </si>
  <si>
    <t>YEN PHONG</t>
  </si>
  <si>
    <t>114638028888</t>
  </si>
  <si>
    <t>BAU BANG 5</t>
  </si>
  <si>
    <t>112604409888</t>
  </si>
  <si>
    <t>BAU BANG 6</t>
  </si>
  <si>
    <t>115624079999</t>
  </si>
  <si>
    <t>LONG BINH</t>
  </si>
  <si>
    <t>212000281605</t>
  </si>
  <si>
    <t>111002903335</t>
  </si>
  <si>
    <t>XENIA 1</t>
  </si>
  <si>
    <t>116646026868</t>
  </si>
  <si>
    <t>XENIA 2</t>
  </si>
  <si>
    <t>118625469999</t>
  </si>
  <si>
    <t>WINLOCK 2A</t>
  </si>
  <si>
    <t>114628748888</t>
  </si>
  <si>
    <t>WINLOCK 2B</t>
  </si>
  <si>
    <t>119642069999</t>
  </si>
  <si>
    <t>BW MY PHUOC 3</t>
  </si>
  <si>
    <t>111002915309</t>
  </si>
  <si>
    <t>BW BAU BANG 01</t>
  </si>
  <si>
    <t>110002915294</t>
  </si>
  <si>
    <t>HOLDCO4K</t>
  </si>
  <si>
    <t>2221707888</t>
  </si>
  <si>
    <t>HOLDCO4L</t>
  </si>
  <si>
    <t>2221721888</t>
  </si>
  <si>
    <t>0010100021270008</t>
  </si>
  <si>
    <t>HOLDCO4M</t>
  </si>
  <si>
    <t>2221714888</t>
  </si>
  <si>
    <t>HOLDCO4N</t>
  </si>
  <si>
    <t>BIDV - BEN NGHE</t>
  </si>
  <si>
    <t>1380504532</t>
  </si>
  <si>
    <t>HOLDCO4O</t>
  </si>
  <si>
    <t>1380504541</t>
  </si>
  <si>
    <t>HOLDCO4P</t>
  </si>
  <si>
    <t>1380504550</t>
  </si>
  <si>
    <t>HOLDCO5K</t>
  </si>
  <si>
    <t>2223558666</t>
  </si>
  <si>
    <t>HOLDCO5L</t>
  </si>
  <si>
    <t>2221808666</t>
  </si>
  <si>
    <t>0010100021272003</t>
  </si>
  <si>
    <t>HOLDCO5M</t>
  </si>
  <si>
    <t>2227338666</t>
  </si>
  <si>
    <t>WPJV 1</t>
  </si>
  <si>
    <t>110638056688</t>
  </si>
  <si>
    <t>214000300615</t>
  </si>
  <si>
    <t>WPJV 2</t>
  </si>
  <si>
    <t>117626306868</t>
  </si>
  <si>
    <t>WPJV 3</t>
  </si>
  <si>
    <t>113644836666</t>
  </si>
  <si>
    <t>BW DONG HAI</t>
  </si>
  <si>
    <t>2220987979</t>
  </si>
  <si>
    <t>MP3 SOLAR POWER</t>
  </si>
  <si>
    <t>113002928321</t>
  </si>
  <si>
    <t>TPT1 SOLAR POWER</t>
  </si>
  <si>
    <t>113002928481</t>
  </si>
  <si>
    <t>SUPPLY CHAIN 2A</t>
  </si>
  <si>
    <t>114606236688</t>
  </si>
  <si>
    <t>BAC TIEN PHONG</t>
  </si>
  <si>
    <t>2220757668</t>
  </si>
  <si>
    <t>2225191094</t>
  </si>
  <si>
    <t>110609487777</t>
  </si>
  <si>
    <t>2220558999</t>
  </si>
  <si>
    <t>110618908666</t>
  </si>
  <si>
    <t>111622918666</t>
  </si>
  <si>
    <t>THUAN THANH 3B</t>
  </si>
  <si>
    <t>9020128888</t>
  </si>
  <si>
    <t>110002940327</t>
  </si>
  <si>
    <t>114002940156</t>
  </si>
  <si>
    <t>116002940154</t>
  </si>
  <si>
    <t>115648746666</t>
  </si>
  <si>
    <t>381308</t>
  </si>
  <si>
    <t>HOLDCO4Q</t>
  </si>
  <si>
    <t>115645476666</t>
  </si>
  <si>
    <t>HOLDCO4R</t>
  </si>
  <si>
    <t>111602475555</t>
  </si>
  <si>
    <t>HOLDCO4S</t>
  </si>
  <si>
    <t>110624503333</t>
  </si>
  <si>
    <t>HOLDCO4T</t>
  </si>
  <si>
    <t>115648146666</t>
  </si>
  <si>
    <t>HOLDCO4U</t>
  </si>
  <si>
    <t>115632546666</t>
  </si>
  <si>
    <t>HOLDCO4V</t>
  </si>
  <si>
    <t>110638468888</t>
  </si>
  <si>
    <t>HOLDCO4Y</t>
  </si>
  <si>
    <t>110662568888</t>
  </si>
  <si>
    <t>HOLDCO4Z</t>
  </si>
  <si>
    <t>110648268888</t>
  </si>
  <si>
    <t>HOLDCO4W</t>
  </si>
  <si>
    <t>116604476666</t>
  </si>
  <si>
    <t>HOLDCO4X</t>
  </si>
  <si>
    <t>110618512222</t>
  </si>
  <si>
    <t>HOLDCO5Q</t>
  </si>
  <si>
    <t>115648216666</t>
  </si>
  <si>
    <t>HOLDCO5R</t>
  </si>
  <si>
    <t>115648106666</t>
  </si>
  <si>
    <t>HOLDCO5S</t>
  </si>
  <si>
    <t>115644016666</t>
  </si>
  <si>
    <t>HOLDCO5T</t>
  </si>
  <si>
    <t>115648406666</t>
  </si>
  <si>
    <t>HOLDCO5U</t>
  </si>
  <si>
    <t>115648076666</t>
  </si>
  <si>
    <t>517305</t>
  </si>
  <si>
    <t>704971</t>
  </si>
  <si>
    <t>07000800902057</t>
  </si>
  <si>
    <t>BW NAM HAI</t>
  </si>
  <si>
    <t>9020108888</t>
  </si>
  <si>
    <t>UOB - HCM</t>
  </si>
  <si>
    <t>1053037343</t>
  </si>
  <si>
    <t>00870004803</t>
  </si>
  <si>
    <t>00870004818</t>
  </si>
  <si>
    <t>802221614890</t>
  </si>
  <si>
    <t>BW SAIGON LOGISTICS</t>
  </si>
  <si>
    <t>1038935148</t>
  </si>
  <si>
    <t>1038935176</t>
  </si>
  <si>
    <t>802221617093</t>
  </si>
  <si>
    <t>802221617039</t>
  </si>
  <si>
    <t>802221617057</t>
  </si>
  <si>
    <t>801380277427</t>
  </si>
  <si>
    <t>801380277445</t>
  </si>
  <si>
    <t>801380277436</t>
  </si>
  <si>
    <t>802221617084</t>
  </si>
  <si>
    <t>802221617075</t>
  </si>
  <si>
    <t>214000353638</t>
  </si>
  <si>
    <t>213000353639</t>
  </si>
  <si>
    <t>216000353636</t>
  </si>
  <si>
    <t>218000353622</t>
  </si>
  <si>
    <t>211000353629</t>
  </si>
  <si>
    <t>218000353647</t>
  </si>
  <si>
    <t>219000353633</t>
  </si>
  <si>
    <t>211000353631</t>
  </si>
  <si>
    <t>216000354578</t>
  </si>
  <si>
    <t>212000353628</t>
  </si>
  <si>
    <t>218000353634</t>
  </si>
  <si>
    <t>216000353624</t>
  </si>
  <si>
    <t>212000353643</t>
  </si>
  <si>
    <t>210000353645</t>
  </si>
  <si>
    <t>217000353635</t>
  </si>
  <si>
    <t>212000353616</t>
  </si>
  <si>
    <t>219000353646</t>
  </si>
  <si>
    <t>211000353644</t>
  </si>
  <si>
    <t>215000353637</t>
  </si>
  <si>
    <t>213000353642</t>
  </si>
  <si>
    <t>215000353640</t>
  </si>
  <si>
    <t>210000353620</t>
  </si>
  <si>
    <t>210000353618</t>
  </si>
  <si>
    <t>217000353623</t>
  </si>
  <si>
    <t>214000353626</t>
  </si>
  <si>
    <t>211000353617</t>
  </si>
  <si>
    <t>213000353615</t>
  </si>
  <si>
    <t>219000353621</t>
  </si>
  <si>
    <t>219000353619</t>
  </si>
  <si>
    <t>215000353613</t>
  </si>
  <si>
    <t>212000353630</t>
  </si>
  <si>
    <t>117002947699</t>
  </si>
  <si>
    <t>117612416666</t>
  </si>
  <si>
    <t>219000354575</t>
  </si>
  <si>
    <t>215000354566</t>
  </si>
  <si>
    <t>213000354568</t>
  </si>
  <si>
    <t>210000358352</t>
  </si>
  <si>
    <t>045681644</t>
  </si>
  <si>
    <t>THUAN DAO</t>
  </si>
  <si>
    <t>116002949864</t>
  </si>
  <si>
    <t>WPJV 2A</t>
  </si>
  <si>
    <t>111002949708</t>
  </si>
  <si>
    <t>211000361623</t>
  </si>
  <si>
    <t>WPJV 2B</t>
  </si>
  <si>
    <t>113002949867</t>
  </si>
  <si>
    <t>212000361622</t>
  </si>
  <si>
    <t>90443435201</t>
  </si>
  <si>
    <t>90443435101</t>
  </si>
  <si>
    <t>90443435601</t>
  </si>
  <si>
    <t>90443435301</t>
  </si>
  <si>
    <t>90443435501</t>
  </si>
  <si>
    <t>90443660301</t>
  </si>
  <si>
    <t>90443659701</t>
  </si>
  <si>
    <t>90443659801</t>
  </si>
  <si>
    <t>90443660101</t>
  </si>
  <si>
    <t>90443660201</t>
  </si>
  <si>
    <t>NDV HOLDCO 1</t>
  </si>
  <si>
    <t>2225402352</t>
  </si>
  <si>
    <t>NDV HOLDCO 2</t>
  </si>
  <si>
    <t>2225402343</t>
  </si>
  <si>
    <t>YEN PHONG HOLDCO</t>
  </si>
  <si>
    <t>2225402361</t>
  </si>
  <si>
    <t>2225546171</t>
  </si>
  <si>
    <t>2220110627</t>
  </si>
  <si>
    <t>8680006880</t>
  </si>
  <si>
    <t>QV2 HOLDCO</t>
  </si>
  <si>
    <t>8670003775</t>
  </si>
  <si>
    <t>TAY HAI</t>
  </si>
  <si>
    <t>8650003077</t>
  </si>
  <si>
    <t>NSHL HOLDCO</t>
  </si>
  <si>
    <t>2225007614</t>
  </si>
  <si>
    <t>2222201888</t>
  </si>
  <si>
    <t>NSHL LLC</t>
  </si>
  <si>
    <t>2225179735</t>
  </si>
  <si>
    <t>119002947319</t>
  </si>
  <si>
    <t>8660008651</t>
  </si>
  <si>
    <t>8610003832</t>
  </si>
  <si>
    <t>8610003833</t>
  </si>
  <si>
    <t>YEN PHONG PROJECT CO</t>
  </si>
  <si>
    <t>8660004066</t>
  </si>
  <si>
    <t>815013410767</t>
  </si>
  <si>
    <t>8690004067</t>
  </si>
  <si>
    <t>1053001888</t>
  </si>
  <si>
    <t>1053001896</t>
  </si>
  <si>
    <t>1059002622</t>
  </si>
  <si>
    <t>1059002649</t>
  </si>
  <si>
    <t>NDV PROJECT CO</t>
  </si>
  <si>
    <t>8620004064</t>
  </si>
  <si>
    <t>8640004065</t>
  </si>
  <si>
    <t>1053012901</t>
  </si>
  <si>
    <t>1053012928</t>
  </si>
  <si>
    <t>1059017913</t>
  </si>
  <si>
    <t>1059017921</t>
  </si>
  <si>
    <t>DONG TIEN PHONG</t>
  </si>
  <si>
    <t>113632066789</t>
  </si>
  <si>
    <t>118002955174</t>
  </si>
  <si>
    <t>8690003776</t>
  </si>
  <si>
    <t>812001267397</t>
  </si>
  <si>
    <t>117002954749</t>
  </si>
  <si>
    <t>817001485788</t>
  </si>
  <si>
    <t>HOLDCO S4C</t>
  </si>
  <si>
    <t>110616421111</t>
  </si>
  <si>
    <t>TCS JSC</t>
  </si>
  <si>
    <t>118002959877</t>
  </si>
  <si>
    <t>117002959878</t>
  </si>
  <si>
    <t>HOLDCO S4D</t>
  </si>
  <si>
    <t>110641253333</t>
  </si>
  <si>
    <t>MINH PHUONG</t>
  </si>
  <si>
    <t>1024510918</t>
  </si>
  <si>
    <t>1032485398</t>
  </si>
  <si>
    <t>8600013323</t>
  </si>
  <si>
    <t>2220109388</t>
  </si>
  <si>
    <t>2220109722</t>
  </si>
  <si>
    <t>2220022999</t>
  </si>
  <si>
    <t>8600006833</t>
  </si>
  <si>
    <t>1059053081</t>
  </si>
  <si>
    <t>1059053073</t>
  </si>
  <si>
    <t>0010100020900008</t>
  </si>
  <si>
    <t>370830</t>
  </si>
  <si>
    <t>719026</t>
  </si>
  <si>
    <t>501496</t>
  </si>
  <si>
    <t>259248</t>
  </si>
  <si>
    <t>148064</t>
  </si>
  <si>
    <t>429072</t>
  </si>
  <si>
    <t>HOLDCO S4A</t>
  </si>
  <si>
    <t>112621441111</t>
  </si>
  <si>
    <t>HOLDCO S5A</t>
  </si>
  <si>
    <t>110634551111</t>
  </si>
  <si>
    <t>HOLDCO S4B</t>
  </si>
  <si>
    <t>112628442222</t>
  </si>
  <si>
    <t>HOLDCO S5B</t>
  </si>
  <si>
    <t>112627552222</t>
  </si>
  <si>
    <t>HOLDCO S4E</t>
  </si>
  <si>
    <t>110623441111</t>
  </si>
  <si>
    <t>QV2 LLC</t>
  </si>
  <si>
    <t>8610015824</t>
  </si>
  <si>
    <t>WPJV 3A</t>
  </si>
  <si>
    <t>110627612222</t>
  </si>
  <si>
    <t>WPJV 3B</t>
  </si>
  <si>
    <t>112623945555</t>
  </si>
  <si>
    <t>PHO NOI A</t>
  </si>
  <si>
    <t>685603330999</t>
  </si>
  <si>
    <t>681605550999</t>
  </si>
  <si>
    <t>07003600013122</t>
  </si>
  <si>
    <t>1059045925</t>
  </si>
  <si>
    <t>PHUC DIEN</t>
  </si>
  <si>
    <t>8630017620</t>
  </si>
  <si>
    <t>TAY NAM A</t>
  </si>
  <si>
    <t>117615115555</t>
  </si>
  <si>
    <t>216000382800</t>
  </si>
  <si>
    <t>1044607568</t>
  </si>
  <si>
    <t>BIEN HOA</t>
  </si>
  <si>
    <t>KBank - HCM</t>
  </si>
  <si>
    <t>102001123828</t>
  </si>
  <si>
    <t>19037134677017</t>
  </si>
  <si>
    <t>1053037351</t>
  </si>
  <si>
    <t>1059045933</t>
  </si>
  <si>
    <t>07000800107552</t>
  </si>
  <si>
    <t>053376900</t>
  </si>
  <si>
    <t>1059053219</t>
  </si>
  <si>
    <t>HOLDCO N4A</t>
  </si>
  <si>
    <t>119635596888</t>
  </si>
  <si>
    <t>HOLDCO N4B</t>
  </si>
  <si>
    <t>112617216688</t>
  </si>
  <si>
    <t>HOLDCO N4C</t>
  </si>
  <si>
    <t>110630158666</t>
  </si>
  <si>
    <t>HOLDCO N4D</t>
  </si>
  <si>
    <t>110623508666</t>
  </si>
  <si>
    <t>HOLDCO N4E</t>
  </si>
  <si>
    <t>117606776688</t>
  </si>
  <si>
    <t>811004151855</t>
  </si>
  <si>
    <t>216000394097</t>
  </si>
  <si>
    <t>218000393697</t>
  </si>
  <si>
    <t>110002969103</t>
  </si>
  <si>
    <t>LE MINH XUAN 3</t>
  </si>
  <si>
    <t>90433414101</t>
  </si>
  <si>
    <t>218000396190</t>
  </si>
  <si>
    <t>211000396185</t>
  </si>
  <si>
    <t>815004616762</t>
  </si>
  <si>
    <t>114002970384</t>
  </si>
  <si>
    <t>116002970409</t>
  </si>
  <si>
    <t>3243126666</t>
  </si>
  <si>
    <t>215000398695</t>
  </si>
  <si>
    <t>211000398699</t>
  </si>
  <si>
    <t>217000397042</t>
  </si>
  <si>
    <t>215000397044</t>
  </si>
  <si>
    <t>210000397036</t>
  </si>
  <si>
    <t>219000397037</t>
  </si>
  <si>
    <t>219000397040</t>
  </si>
  <si>
    <t>812006742521</t>
  </si>
  <si>
    <t>07000800107577_1</t>
  </si>
  <si>
    <t>DEEP C 2B</t>
  </si>
  <si>
    <t>90436758522</t>
  </si>
  <si>
    <t>37436758555</t>
  </si>
  <si>
    <t>90436758501</t>
  </si>
  <si>
    <t>37436758501</t>
  </si>
  <si>
    <t>PHU AN THANH</t>
  </si>
  <si>
    <t>90438344622</t>
  </si>
  <si>
    <t>37438344655</t>
  </si>
  <si>
    <t>90438344601</t>
  </si>
  <si>
    <t>37438344601</t>
  </si>
  <si>
    <t>SONG THAN 2</t>
  </si>
  <si>
    <t>90429027555</t>
  </si>
  <si>
    <t>37429027502</t>
  </si>
  <si>
    <t>90429027501</t>
  </si>
  <si>
    <t>37429027501</t>
  </si>
  <si>
    <t>90433414122</t>
  </si>
  <si>
    <t>37433414155</t>
  </si>
  <si>
    <t>37433414101</t>
  </si>
  <si>
    <t>TAN DONG HIEP B ELECTRON</t>
  </si>
  <si>
    <t>90433414822</t>
  </si>
  <si>
    <t>37433414855</t>
  </si>
  <si>
    <t>90433414801</t>
  </si>
  <si>
    <t>37433414801</t>
  </si>
  <si>
    <t>115002972462</t>
  </si>
  <si>
    <t>1047222564</t>
  </si>
  <si>
    <t>19040114651012</t>
  </si>
  <si>
    <t>19040114651020</t>
  </si>
  <si>
    <t>0010101568686868</t>
  </si>
  <si>
    <t>703520</t>
  </si>
  <si>
    <t>184072</t>
  </si>
  <si>
    <t>295018</t>
  </si>
  <si>
    <t>840153</t>
  </si>
  <si>
    <t>106415</t>
  </si>
  <si>
    <t>914095</t>
  </si>
  <si>
    <t>MAYBANK - HCM</t>
  </si>
  <si>
    <t>101020000008444</t>
  </si>
  <si>
    <t>111002975027</t>
  </si>
  <si>
    <t>118002972254</t>
  </si>
  <si>
    <t>110002974996</t>
  </si>
  <si>
    <t>117002972458</t>
  </si>
  <si>
    <t>102001530257</t>
  </si>
  <si>
    <t>CTBC - HCM</t>
  </si>
  <si>
    <t>907181285326</t>
  </si>
  <si>
    <t>907181285423</t>
  </si>
  <si>
    <t>110002970120</t>
  </si>
  <si>
    <t>212000403019</t>
  </si>
  <si>
    <t>216000403409</t>
  </si>
  <si>
    <t>101020000008482</t>
  </si>
  <si>
    <t>MPL JSC</t>
  </si>
  <si>
    <t>8610029749</t>
  </si>
  <si>
    <t>212000407628</t>
  </si>
  <si>
    <t>211000406357</t>
  </si>
  <si>
    <t>212000407382</t>
  </si>
  <si>
    <t>211000407222</t>
  </si>
  <si>
    <t>1053051753</t>
  </si>
  <si>
    <t>105001540411</t>
  </si>
  <si>
    <t>812006016470</t>
  </si>
  <si>
    <t>814006107925</t>
  </si>
  <si>
    <t>810005865740</t>
  </si>
  <si>
    <t>815006345076</t>
  </si>
  <si>
    <t>109001462412</t>
  </si>
  <si>
    <t>213000418604</t>
  </si>
  <si>
    <t>212000418068</t>
  </si>
  <si>
    <t>815006820776</t>
  </si>
  <si>
    <t>1050537961</t>
  </si>
  <si>
    <t>6080146666</t>
  </si>
  <si>
    <t>1048666263</t>
  </si>
  <si>
    <t>113002984859</t>
  </si>
  <si>
    <t>07000800109999</t>
  </si>
  <si>
    <t>210000424285</t>
  </si>
  <si>
    <t>817007280651</t>
  </si>
  <si>
    <t>814007295493</t>
  </si>
  <si>
    <t>07003600014838</t>
  </si>
  <si>
    <t>112002987108</t>
  </si>
  <si>
    <t>400000001828</t>
  </si>
  <si>
    <t>212000424722</t>
  </si>
  <si>
    <t>217000427712</t>
  </si>
  <si>
    <t>816007779759</t>
  </si>
  <si>
    <t>819007660245</t>
  </si>
  <si>
    <t>1052530076</t>
  </si>
  <si>
    <t>07003600015026</t>
  </si>
  <si>
    <t>882021224102</t>
  </si>
  <si>
    <t>8680028808</t>
  </si>
  <si>
    <t>1053051826</t>
  </si>
  <si>
    <t>1053051818</t>
  </si>
  <si>
    <t>1053051796</t>
  </si>
  <si>
    <t>1053067161</t>
  </si>
  <si>
    <t>1053067218</t>
  </si>
  <si>
    <t>1053067226</t>
  </si>
  <si>
    <t>1053067234</t>
  </si>
  <si>
    <t>118002953136</t>
  </si>
  <si>
    <t>219000434115</t>
  </si>
  <si>
    <t>812008103877</t>
  </si>
  <si>
    <t>818008211788</t>
  </si>
  <si>
    <t>816008145501</t>
  </si>
  <si>
    <t>119002902461</t>
  </si>
  <si>
    <t>217000439330</t>
  </si>
  <si>
    <t>212000439975</t>
  </si>
  <si>
    <t>218000439518</t>
  </si>
  <si>
    <t>215000439492</t>
  </si>
  <si>
    <t>218000439339</t>
  </si>
  <si>
    <t>813008725727</t>
  </si>
  <si>
    <t>810008720203</t>
  </si>
  <si>
    <t>817008719602</t>
  </si>
  <si>
    <t>815008719852</t>
  </si>
  <si>
    <t>814008339503</t>
  </si>
  <si>
    <t>810008593647</t>
  </si>
  <si>
    <t>14501110378000</t>
  </si>
  <si>
    <t>07003600015486</t>
  </si>
  <si>
    <t>407000002302</t>
  </si>
  <si>
    <t>407000002284</t>
  </si>
  <si>
    <t>7304126666</t>
  </si>
  <si>
    <t>119002970977</t>
  </si>
  <si>
    <t>1053051788</t>
  </si>
  <si>
    <t>7043128888</t>
  </si>
  <si>
    <t>110002974996_1</t>
  </si>
  <si>
    <t>219000442883</t>
  </si>
  <si>
    <t>213000440879</t>
  </si>
  <si>
    <t>819009112551</t>
  </si>
  <si>
    <t>8620004064_1</t>
  </si>
  <si>
    <t>UOB - SINGAPORE</t>
  </si>
  <si>
    <t>7799871320</t>
  </si>
  <si>
    <t>218000445145</t>
  </si>
  <si>
    <t>210000443881</t>
  </si>
  <si>
    <t>116646026868_2</t>
  </si>
  <si>
    <t>116646026868_3</t>
  </si>
  <si>
    <t>116646026868_4</t>
  </si>
  <si>
    <t>114628748888_1</t>
  </si>
  <si>
    <t>114628748888_2</t>
  </si>
  <si>
    <t>210000444999</t>
  </si>
  <si>
    <t>214000444983</t>
  </si>
  <si>
    <t>817009465564</t>
  </si>
  <si>
    <t>819009338065</t>
  </si>
  <si>
    <t>814009298246</t>
  </si>
  <si>
    <t>818009439289</t>
  </si>
  <si>
    <t>1054712853</t>
  </si>
  <si>
    <t>1054983196</t>
  </si>
  <si>
    <t>1054742961</t>
  </si>
  <si>
    <t>0010600071590009</t>
  </si>
  <si>
    <t>07003600015588</t>
  </si>
  <si>
    <t>404000002414</t>
  </si>
  <si>
    <t>813009581655</t>
  </si>
  <si>
    <t>001055323715</t>
  </si>
  <si>
    <t>001055064008</t>
  </si>
  <si>
    <t>001055138348</t>
  </si>
  <si>
    <t>403000002551</t>
  </si>
  <si>
    <t>212000446113</t>
  </si>
  <si>
    <t>1053067366</t>
  </si>
  <si>
    <t>1053067242</t>
  </si>
  <si>
    <t>1053051761</t>
  </si>
  <si>
    <t>210000449603</t>
  </si>
  <si>
    <t>00870011983</t>
  </si>
  <si>
    <t>00870011978</t>
  </si>
  <si>
    <t>215000449171</t>
  </si>
  <si>
    <t>811009812268</t>
  </si>
  <si>
    <t>815009921777</t>
  </si>
  <si>
    <t>07003600015783</t>
  </si>
  <si>
    <t>215000450023</t>
  </si>
  <si>
    <t>217000450019</t>
  </si>
  <si>
    <t>111002915309_1</t>
  </si>
  <si>
    <t>1053067331</t>
  </si>
  <si>
    <t>216000453618</t>
  </si>
  <si>
    <t>217000452414</t>
  </si>
  <si>
    <t>111002975027_1</t>
  </si>
  <si>
    <t>1055968238</t>
  </si>
  <si>
    <t>1055967812</t>
  </si>
  <si>
    <t>1055968026</t>
  </si>
  <si>
    <t>212000454565</t>
  </si>
  <si>
    <t>212000456127</t>
  </si>
  <si>
    <t>218000455204</t>
  </si>
  <si>
    <t>110002974996_2</t>
  </si>
  <si>
    <t>214000454333</t>
  </si>
  <si>
    <t>214000456247</t>
  </si>
  <si>
    <t>211000455526</t>
  </si>
  <si>
    <t>216000456205</t>
  </si>
  <si>
    <t>214000454321</t>
  </si>
  <si>
    <t>217000456229</t>
  </si>
  <si>
    <t>213000456211</t>
  </si>
  <si>
    <t>215000455210</t>
  </si>
  <si>
    <t>218000454302</t>
  </si>
  <si>
    <t>813010526699</t>
  </si>
  <si>
    <t>811010391572</t>
  </si>
  <si>
    <t>814010344089</t>
  </si>
  <si>
    <t>817010342631</t>
  </si>
  <si>
    <t>815010443112</t>
  </si>
  <si>
    <t>816010442989</t>
  </si>
  <si>
    <t>816010522472</t>
  </si>
  <si>
    <t>817010522526</t>
  </si>
  <si>
    <t>814010522556</t>
  </si>
  <si>
    <t>1056718477</t>
  </si>
  <si>
    <t>1056403594</t>
  </si>
  <si>
    <t>1056403522</t>
  </si>
  <si>
    <t>1056403238</t>
  </si>
  <si>
    <t>0010600073373005</t>
  </si>
  <si>
    <t>0010600073108007</t>
  </si>
  <si>
    <t>07003600015934</t>
  </si>
  <si>
    <t>403000002812</t>
  </si>
  <si>
    <t>07000800110068</t>
  </si>
  <si>
    <t>215000457654</t>
  </si>
  <si>
    <t>213000458124</t>
  </si>
  <si>
    <t>218000458814</t>
  </si>
  <si>
    <t>214000457628</t>
  </si>
  <si>
    <t>111002975027_3</t>
  </si>
  <si>
    <t>210000458876</t>
  </si>
  <si>
    <t>00870004610</t>
  </si>
  <si>
    <t>00870004610_1</t>
  </si>
  <si>
    <t>815010593339</t>
  </si>
  <si>
    <t>819010760974</t>
  </si>
  <si>
    <t>001057195607</t>
  </si>
  <si>
    <t>001057112314</t>
  </si>
  <si>
    <t>1057115518</t>
  </si>
  <si>
    <t>1057116624</t>
  </si>
  <si>
    <t>07003600016122</t>
  </si>
  <si>
    <t>07003600016049</t>
  </si>
  <si>
    <t>403000002960</t>
  </si>
  <si>
    <t>400000003022</t>
  </si>
  <si>
    <t>NASTEC JSC</t>
  </si>
  <si>
    <t>111002902469</t>
  </si>
  <si>
    <t>210000461056</t>
  </si>
  <si>
    <t>814010881733</t>
  </si>
  <si>
    <t>811010881907</t>
  </si>
  <si>
    <t>817010925175</t>
  </si>
  <si>
    <t>817010925218</t>
  </si>
  <si>
    <t>816010925304</t>
  </si>
  <si>
    <t>811010925327</t>
  </si>
  <si>
    <t>1057522204</t>
  </si>
  <si>
    <t>07003600016244</t>
  </si>
  <si>
    <t>401000003128</t>
  </si>
  <si>
    <t>217000464056</t>
  </si>
  <si>
    <t>213000463460</t>
  </si>
  <si>
    <t>213000462161</t>
  </si>
  <si>
    <t>218000463318</t>
  </si>
  <si>
    <t>211000461752</t>
  </si>
  <si>
    <t>001057915404</t>
  </si>
  <si>
    <t>001057836946</t>
  </si>
  <si>
    <t>001057954072</t>
  </si>
  <si>
    <t>1057953404</t>
  </si>
  <si>
    <t>1057670538</t>
  </si>
  <si>
    <t>1057669326</t>
  </si>
  <si>
    <t>1057669253</t>
  </si>
  <si>
    <t>1057667032</t>
  </si>
  <si>
    <t>1060986491</t>
  </si>
  <si>
    <t>1057270760</t>
  </si>
  <si>
    <t>00870007065</t>
  </si>
  <si>
    <t>00870012956</t>
  </si>
  <si>
    <t>00870007070</t>
  </si>
  <si>
    <t>00870012961</t>
  </si>
  <si>
    <t>813011516527</t>
  </si>
  <si>
    <t>215000465973</t>
  </si>
  <si>
    <t>213000466782</t>
  </si>
  <si>
    <t>817011512026</t>
  </si>
  <si>
    <t>219000465302</t>
  </si>
  <si>
    <t>218000465643</t>
  </si>
  <si>
    <t>812011512003</t>
  </si>
  <si>
    <t>215000464540</t>
  </si>
  <si>
    <t>212000464543</t>
  </si>
  <si>
    <t>215000467356</t>
  </si>
  <si>
    <t>214000464471</t>
  </si>
  <si>
    <t>215000464470</t>
  </si>
  <si>
    <t>212000465266</t>
  </si>
  <si>
    <t>219000464367</t>
  </si>
  <si>
    <t>214000465182</t>
  </si>
  <si>
    <t>215000465181</t>
  </si>
  <si>
    <t>815011356328</t>
  </si>
  <si>
    <t>819011356127</t>
  </si>
  <si>
    <t>814011478864</t>
  </si>
  <si>
    <t>1058107681</t>
  </si>
  <si>
    <t>07003600016379</t>
  </si>
  <si>
    <t>07003600016387</t>
  </si>
  <si>
    <t>07003600016293</t>
  </si>
  <si>
    <t>07003600016318</t>
  </si>
  <si>
    <t>059817628</t>
  </si>
  <si>
    <t>210000467772</t>
  </si>
  <si>
    <t>216000467736</t>
  </si>
  <si>
    <t>217000467748</t>
  </si>
  <si>
    <t>214000467753</t>
  </si>
  <si>
    <t>215000467764</t>
  </si>
  <si>
    <t>219000467758</t>
  </si>
  <si>
    <t>214000467765</t>
  </si>
  <si>
    <t>219000468893</t>
  </si>
  <si>
    <t>8600037837</t>
  </si>
  <si>
    <t>213000467754</t>
  </si>
  <si>
    <t>216000467749</t>
  </si>
  <si>
    <t>212000467770</t>
  </si>
  <si>
    <t>215000467740</t>
  </si>
  <si>
    <t>211000467771</t>
  </si>
  <si>
    <t>218000467786</t>
  </si>
  <si>
    <t>1053067315</t>
  </si>
  <si>
    <t>210000467732</t>
  </si>
  <si>
    <t>213000467766</t>
  </si>
  <si>
    <t>212000467767</t>
  </si>
  <si>
    <t>211000467744</t>
  </si>
  <si>
    <t>216000467751</t>
  </si>
  <si>
    <t>215000467752</t>
  </si>
  <si>
    <t>211000467756</t>
  </si>
  <si>
    <t>1053051737</t>
  </si>
  <si>
    <t>212000467743</t>
  </si>
  <si>
    <t>218000467747</t>
  </si>
  <si>
    <t>218000467734</t>
  </si>
  <si>
    <t>216000469461</t>
  </si>
  <si>
    <t>214000468437</t>
  </si>
  <si>
    <t>212000468427</t>
  </si>
  <si>
    <t>819011575835</t>
  </si>
  <si>
    <t>810011575877</t>
  </si>
  <si>
    <t>813011576023</t>
  </si>
  <si>
    <t>812011576219</t>
  </si>
  <si>
    <t>817011576227</t>
  </si>
  <si>
    <t>813011576209</t>
  </si>
  <si>
    <t>819011576036</t>
  </si>
  <si>
    <t>1058657740</t>
  </si>
  <si>
    <t>811011575867</t>
  </si>
  <si>
    <t>810011408638</t>
  </si>
  <si>
    <t>215000470222</t>
  </si>
  <si>
    <t>211000470526</t>
  </si>
  <si>
    <t>211000471264</t>
  </si>
  <si>
    <t>214000471713</t>
  </si>
  <si>
    <t>210000471950</t>
  </si>
  <si>
    <t>217000471856</t>
  </si>
  <si>
    <t>219000472731</t>
  </si>
  <si>
    <t>215000471273</t>
  </si>
  <si>
    <t>219000471936</t>
  </si>
  <si>
    <t>215000471724</t>
  </si>
  <si>
    <t>218000472281</t>
  </si>
  <si>
    <t>212000472275</t>
  </si>
  <si>
    <t>218000472157</t>
  </si>
  <si>
    <t>1059252473</t>
  </si>
  <si>
    <t>1058929269</t>
  </si>
  <si>
    <t>1058894664</t>
  </si>
  <si>
    <t>1059070341</t>
  </si>
  <si>
    <t>1059244184</t>
  </si>
  <si>
    <t>1059244935</t>
  </si>
  <si>
    <t>1059096950</t>
  </si>
  <si>
    <t>1058864912</t>
  </si>
  <si>
    <t>1059252702</t>
  </si>
  <si>
    <t>1058981970</t>
  </si>
  <si>
    <t>07003600016505</t>
  </si>
  <si>
    <t>409000003445</t>
  </si>
  <si>
    <t>217000470411</t>
  </si>
  <si>
    <t>812011994043</t>
  </si>
  <si>
    <t>811011932282</t>
  </si>
  <si>
    <t>813012008964</t>
  </si>
  <si>
    <t>810012016093</t>
  </si>
  <si>
    <t>812012016683</t>
  </si>
  <si>
    <t>816012016730</t>
  </si>
  <si>
    <t>817011915630</t>
  </si>
  <si>
    <t>1059595470</t>
  </si>
  <si>
    <t>1059594525</t>
  </si>
  <si>
    <t>1059629680</t>
  </si>
  <si>
    <t>1059693155</t>
  </si>
  <si>
    <t>819012228848</t>
  </si>
  <si>
    <t>214000474710</t>
  </si>
  <si>
    <t>215000474760</t>
  </si>
  <si>
    <t>212000474712</t>
  </si>
  <si>
    <t>215000474706</t>
  </si>
  <si>
    <t>100700488679</t>
  </si>
  <si>
    <t>100700488689</t>
  </si>
  <si>
    <t xml:space="preserve">100700488698 </t>
  </si>
  <si>
    <t>100700488704</t>
  </si>
  <si>
    <t>200700045738</t>
  </si>
  <si>
    <t>200700045749</t>
  </si>
  <si>
    <t>1059960714</t>
  </si>
  <si>
    <t>409000003554</t>
  </si>
  <si>
    <t>07003600016676</t>
  </si>
  <si>
    <t>211000477040</t>
  </si>
  <si>
    <t>217000477657</t>
  </si>
  <si>
    <t>211000477707</t>
  </si>
  <si>
    <t>213000477636</t>
  </si>
  <si>
    <t>218000477274</t>
  </si>
  <si>
    <t>212000477706</t>
  </si>
  <si>
    <t>217000475922</t>
  </si>
  <si>
    <t>212000477049</t>
  </si>
  <si>
    <t>214000477429</t>
  </si>
  <si>
    <t>217000477684</t>
  </si>
  <si>
    <t>219000477694</t>
  </si>
  <si>
    <t>215000476783</t>
  </si>
  <si>
    <t>810012443160</t>
  </si>
  <si>
    <t>810012443158</t>
  </si>
  <si>
    <t>26082025/TGKH/TCB-SHTQ</t>
  </si>
  <si>
    <t>819012442942</t>
  </si>
  <si>
    <t>810012732615</t>
  </si>
  <si>
    <t>218000479423</t>
  </si>
  <si>
    <t>219000479829</t>
  </si>
  <si>
    <t>215000479808</t>
  </si>
  <si>
    <t>212000479853</t>
  </si>
  <si>
    <t>1060370761</t>
  </si>
  <si>
    <t>213000479703</t>
  </si>
  <si>
    <t>1060462381</t>
  </si>
  <si>
    <t>210000482202</t>
  </si>
  <si>
    <t>216000479740</t>
  </si>
  <si>
    <t>212000480349</t>
  </si>
  <si>
    <t>1060911024</t>
  </si>
  <si>
    <t>07003600017007</t>
  </si>
  <si>
    <t>815012941675</t>
  </si>
  <si>
    <t>810012832027</t>
  </si>
  <si>
    <t>814012998525</t>
  </si>
  <si>
    <t>215000482210</t>
  </si>
  <si>
    <t>214000479702</t>
  </si>
  <si>
    <t>116632406789</t>
  </si>
  <si>
    <t>1060629524</t>
  </si>
  <si>
    <t>882300925401</t>
  </si>
  <si>
    <t>217000483459</t>
  </si>
  <si>
    <t>1060983972</t>
  </si>
  <si>
    <t>07003600017043</t>
  </si>
  <si>
    <t>217000488224</t>
  </si>
  <si>
    <t>1061667728</t>
  </si>
  <si>
    <t>1061725061</t>
  </si>
  <si>
    <t>1061582042</t>
  </si>
  <si>
    <t>1061781552</t>
  </si>
  <si>
    <t>1061610518</t>
  </si>
  <si>
    <t>1061782159</t>
  </si>
  <si>
    <t>07003600017296</t>
  </si>
  <si>
    <t>815013369506</t>
  </si>
  <si>
    <t>213000485928</t>
  </si>
  <si>
    <t>217000488673</t>
  </si>
  <si>
    <t>200700047873</t>
  </si>
  <si>
    <t>214000485927</t>
  </si>
  <si>
    <t>219000486127</t>
  </si>
  <si>
    <t>216000487431</t>
  </si>
  <si>
    <t>210000488788</t>
  </si>
  <si>
    <t>216000486842</t>
  </si>
  <si>
    <t>405000003916</t>
  </si>
  <si>
    <t>1060629524_2</t>
  </si>
  <si>
    <t>211000487585</t>
  </si>
  <si>
    <t>116632406789_1</t>
  </si>
  <si>
    <t>212000487450</t>
  </si>
  <si>
    <t>210000487586</t>
  </si>
  <si>
    <t>218000488223</t>
  </si>
  <si>
    <t>211000487449</t>
  </si>
  <si>
    <t>14537134677046</t>
  </si>
  <si>
    <t>212000488544</t>
  </si>
  <si>
    <t>817013450804</t>
  </si>
  <si>
    <t>213000488158</t>
  </si>
  <si>
    <t>816013397735</t>
  </si>
  <si>
    <t>217000486074</t>
  </si>
  <si>
    <t>815013757637</t>
  </si>
  <si>
    <t>216000486075</t>
  </si>
  <si>
    <t>810013677490</t>
  </si>
  <si>
    <t>812013677540</t>
  </si>
  <si>
    <t>814013677566</t>
  </si>
  <si>
    <t>211000490001</t>
  </si>
  <si>
    <t>1062138091</t>
  </si>
  <si>
    <t>215000490022</t>
  </si>
  <si>
    <t>07003600017467</t>
  </si>
  <si>
    <t>210000490039</t>
  </si>
  <si>
    <t>211000491110</t>
  </si>
  <si>
    <t>214000491183</t>
  </si>
  <si>
    <t>07003600017398</t>
  </si>
  <si>
    <t>211000489134</t>
  </si>
  <si>
    <t>210000490002</t>
  </si>
  <si>
    <t>215000489959</t>
  </si>
  <si>
    <t>210000492064</t>
  </si>
  <si>
    <t>218000492233</t>
  </si>
  <si>
    <t>212000491600</t>
  </si>
  <si>
    <t>216000493298</t>
  </si>
  <si>
    <t>214000491241</t>
  </si>
  <si>
    <t>1062228189</t>
  </si>
  <si>
    <t>219000493326</t>
  </si>
  <si>
    <t>218000491695</t>
  </si>
  <si>
    <t>212000491594</t>
  </si>
  <si>
    <t>1062228552</t>
  </si>
  <si>
    <t>1062251027</t>
  </si>
  <si>
    <t>1062250914</t>
  </si>
  <si>
    <t>1062423619</t>
  </si>
  <si>
    <t>211000492063</t>
  </si>
  <si>
    <t>218000492790</t>
  </si>
  <si>
    <t>210000491602</t>
  </si>
  <si>
    <t>214000493739</t>
  </si>
  <si>
    <t>218000491631</t>
  </si>
  <si>
    <t>400000004033</t>
  </si>
  <si>
    <t>814013918943</t>
  </si>
  <si>
    <t>811013837293</t>
  </si>
  <si>
    <t>816013836147</t>
  </si>
  <si>
    <t>813013872774</t>
  </si>
  <si>
    <t>211000496619</t>
  </si>
  <si>
    <t>517360839</t>
  </si>
  <si>
    <t>1062622965</t>
  </si>
  <si>
    <t>517364729</t>
  </si>
  <si>
    <t>811013938399</t>
  </si>
  <si>
    <t>401000004166</t>
  </si>
  <si>
    <t>217000475770</t>
  </si>
  <si>
    <t>210000499507</t>
  </si>
  <si>
    <t>219000498360</t>
  </si>
  <si>
    <t>213000498339</t>
  </si>
  <si>
    <t>213000500946</t>
  </si>
  <si>
    <t>219000498212</t>
  </si>
  <si>
    <t>216000501532</t>
  </si>
  <si>
    <t>216000498281</t>
  </si>
  <si>
    <t>212000498476</t>
  </si>
  <si>
    <t>218000498482</t>
  </si>
  <si>
    <t>215000498600</t>
  </si>
  <si>
    <t>215000498582</t>
  </si>
  <si>
    <t>213000498545</t>
  </si>
  <si>
    <t>214000498544</t>
  </si>
  <si>
    <t>215000498267</t>
  </si>
  <si>
    <t>210000498248</t>
  </si>
  <si>
    <t>816014550444</t>
  </si>
  <si>
    <t>810014573748</t>
  </si>
  <si>
    <t>07003600017858</t>
  </si>
  <si>
    <t>07003600017874</t>
  </si>
  <si>
    <t>812014360465</t>
  </si>
  <si>
    <t>200700050848</t>
  </si>
  <si>
    <t>200700050679</t>
  </si>
  <si>
    <t>403000004164</t>
  </si>
  <si>
    <t>07003600017772</t>
  </si>
  <si>
    <t>405000004092</t>
  </si>
  <si>
    <t>Per Data</t>
  </si>
  <si>
    <t>Per Reconcile</t>
  </si>
  <si>
    <t>Diff</t>
  </si>
  <si>
    <r>
      <t>CLOSING BALANCE (</t>
    </r>
    <r>
      <rPr>
        <b/>
        <sz val="11"/>
        <color rgb="FFFF0000"/>
        <rFont val="Calibri"/>
        <family val="2"/>
        <scheme val="minor"/>
      </rPr>
      <t>USD</t>
    </r>
    <r>
      <rPr>
        <b/>
        <sz val="11"/>
        <rFont val="Calibri"/>
        <family val="2"/>
        <scheme val="minor"/>
      </rPr>
      <t>)</t>
    </r>
  </si>
  <si>
    <t>xx</t>
  </si>
  <si>
    <t>xxx</t>
  </si>
  <si>
    <t>X</t>
  </si>
  <si>
    <t>1063637349</t>
  </si>
  <si>
    <t>07003600018001</t>
  </si>
  <si>
    <t>219000505208</t>
  </si>
  <si>
    <t>`</t>
  </si>
  <si>
    <t>Reporting date:</t>
  </si>
  <si>
    <t>CLOSING BALANCE 
(VND)</t>
  </si>
  <si>
    <t>CLOSING BALANCE
(USD)</t>
  </si>
  <si>
    <t>Term (months)</t>
  </si>
  <si>
    <t>Term (days)</t>
  </si>
  <si>
    <t>Maturity date</t>
  </si>
  <si>
    <t>Interest rate</t>
  </si>
  <si>
    <t>Column1</t>
  </si>
  <si>
    <t>Stablized Asset</t>
  </si>
  <si>
    <t>VNDbn</t>
  </si>
  <si>
    <t>To maturity date</t>
  </si>
  <si>
    <t>Column3</t>
  </si>
  <si>
    <t>Per bank statement</t>
  </si>
  <si>
    <t>Difference</t>
  </si>
  <si>
    <t>Per bank statement2</t>
  </si>
  <si>
    <t>Interest Difference</t>
  </si>
  <si>
    <t>Column2</t>
  </si>
  <si>
    <t>Column22</t>
  </si>
  <si>
    <t>Column23</t>
  </si>
  <si>
    <t>optimize cash avaliable from capital contribution at holdco</t>
  </si>
  <si>
    <t>W4Jan25</t>
  </si>
  <si>
    <t>for credit card's guarantee</t>
  </si>
  <si>
    <t>for deposit of electricity agreement</t>
  </si>
  <si>
    <t>for optimal cashflow purpose</t>
  </si>
  <si>
    <t>4.5%</t>
  </si>
  <si>
    <t>1 Month</t>
  </si>
  <si>
    <t>Cam - Tất toán TKTG</t>
  </si>
  <si>
    <t>C</t>
  </si>
  <si>
    <t>D</t>
  </si>
  <si>
    <t>Xanh - Mở mới TKTG</t>
  </si>
  <si>
    <t>Account</t>
  </si>
  <si>
    <t>Bank description</t>
  </si>
  <si>
    <t>Nợ</t>
  </si>
  <si>
    <t>Có</t>
  </si>
  <si>
    <t>Net</t>
  </si>
  <si>
    <t>Nature</t>
  </si>
  <si>
    <t>Key payment</t>
  </si>
  <si>
    <t>Currcency</t>
  </si>
  <si>
    <t>Account type</t>
  </si>
  <si>
    <t>Period</t>
  </si>
  <si>
    <t>Text</t>
  </si>
  <si>
    <t>Automation</t>
  </si>
  <si>
    <t>(0002.2026/0016325471/MBNT-VCBHCM.KHFDI) CTY TNHH BW SUPPLY CHAIN CITY MUA NTE HOAN TRA LAI TIEN GIU CHO THEO THOA THUAN NGUYEN TAC SO BWSCC</t>
  </si>
  <si>
    <t>/Ref:P01220371N4100015{//}/Ref:P01220371N4100015{//}LONG BINH_INV 497_PO 7000256684 DVC:HUNTSMAN VIETNAM COMPANY LIMITED NO. 225/3, STREET N</t>
  </si>
  <si>
    <t>/Ref:P26007500117{//}/Ref:P26007500117{//}26007500117 Rent deposit   factory service feeDVC:/907181336725 GOLDEN CHANCE ELECTRONICS COMPANY</t>
  </si>
  <si>
    <t>/Ref:P30RE2601051321{//}/Ref:P30RE2601051321{//}PAY TO CONG TY TNHH PHAT TRIEN CONG PAYMENT FOR GOODS/SERVICES DVC:BRENNTAG VIETNAM COMPANY</t>
  </si>
  <si>
    <t>/Ref:P3311816{//}/Ref:P3311816{//}TT tien thue nha xuong A7, A8 Q1.2026 - HD 1 ngay 04/01/2026 DVC:CTY TNHH CN CHERVON VIET NAM</t>
  </si>
  <si>
    <t>/Ref:P3311817{//}/Ref:P3311817{//}TT phi dien nuoc, XLNT T12.25 - HD 62 ngay 29/12/2025 DVC:CTY TNHH CN CHERVON VIET NAM</t>
  </si>
  <si>
    <t>/Ref:PATTMN2ZDHP26006{//}/Ref:PATTMN2ZDHP26006{//}TT VNMN2ZDHP N ST JOHNS VN - RENTAL FEEINV 3405/01/26 DVC:CT TNHH BAO BI ST JOHNS VN/ST JO</t>
  </si>
  <si>
    <t>/Ref:PATTMN2ZIOZ26007{//}TT VNMN2ZIOZ N UTILITYFEE DVC:LESSO VIETNAM TRADING COMPANY LIMITED</t>
  </si>
  <si>
    <t>/Ref:PATTMN2ZQWS26008{//}/Ref:PATTMN2ZQWS26008{//}TT VNMN2ZQWS N WUERTH IND TT CP THUEKHOQ1.2026-INV1NUOC - DIEN VA XU LY NUOC THAI DVC:WUER</t>
  </si>
  <si>
    <t>/Ref:PATTMN30GRW26014{//}/Ref:PATTMN30GRW26014{//}TT VNMN30GRW N PAYMENT RENTAL FEE IN JAN2026 INV00000084 DVC:CT TNHH STOLLE CHAU A THAI BI</t>
  </si>
  <si>
    <t>/REF:UPP260115EN46MHC{//}/B.O:TAI CHUNG CANVAS CO LTD/MID:QA1FD241820L7P33/Rel ref:NOTPROVIDED/70:null/VAL:260115USD22982.00/33B:USD23009.00</t>
  </si>
  <si>
    <t>0200970407011312350520261001076960.84809.123505.T T TIEN HD : 150;151;155;156;157;158</t>
  </si>
  <si>
    <t>020097041501051316342026gw4P273183.66685.131634.CK THANH TOAN TIEN DAT COC TUONG DUONG 06 THANG TIEN THUE NHA XUONG NAM DAU TIEN</t>
  </si>
  <si>
    <t>020097041501051407132026rJ3E410307.3277.140713.Cty Maxswall VN Thanh toan tien nuoc va phi dich vu- HD 315- 3B</t>
  </si>
  <si>
    <t>020097041501091539132026jAyE106991.1172.153913.STV Craft VN thanh toan tien thue xuong 26A-duong 3B thang 12/25 theo HD 487</t>
  </si>
  <si>
    <t>020097041501101226182026zTUs377001.28337.122618.Maxswall VN Thanh toan TIEN Thue Xuong  quy I.2026 theo HD04-BW</t>
  </si>
  <si>
    <t>0200970415011314033120266zo3980668.98240.140331.Proforma invoice INVT3B000539, Customer ID C00001204</t>
  </si>
  <si>
    <t>020097041501131953332026PK4t511460.23380.195333.PTFK202601040003</t>
  </si>
  <si>
    <t>WOORI</t>
  </si>
  <si>
    <t>110630236888 VietinBank - Lembak VN pays for rent in Jan 2026 inv 1</t>
  </si>
  <si>
    <t>119002989558 VietinBank - Cty SWS thanh toan Hoa don so 0000025-1</t>
  </si>
  <si>
    <t>119002989558 VietinBank - Cty SWS thanh toan Hoa don so 0000025-2</t>
  </si>
  <si>
    <t>119002989558 VietinBank - Cty SWS thanh toan Hoa don so 29</t>
  </si>
  <si>
    <t>NS</t>
  </si>
  <si>
    <t>15-01-2026 16:49:19</t>
  </si>
  <si>
    <t>2026011500554639 HUBEI ZHONGKE HUAYE NEW MATERIAL TECHNOLOGY CO. LTD. LEASE DEPOSIT FOR FACTORY PREMISES</t>
  </si>
  <si>
    <t>15-01-2026 17:02:36</t>
  </si>
  <si>
    <t>2094485015JS ESR FUND MANAGERS PTE. LTD. PAYMENT OF MANAGEMENT SERVICE FEES FOR 4Q24 TO 3Q25  00000340   00000341  00000342  00000343</t>
  </si>
  <si>
    <t>14-01-2026 16:36:35</t>
  </si>
  <si>
    <t>2620101TSA-0002648/285N2610N1G7PUH6/NOP NSNN/So TK:0406093583360001</t>
  </si>
  <si>
    <t>14-01-2026 11:20:32</t>
  </si>
  <si>
    <t>2620102TSA-0001294/640N2610MNVNU8ZR/NOP PHAT VPHC LINH VUC DAU TU THEO QD SO 01/QD-XPHC NGAY 06/01/2026 CUA SO TAI CHINH</t>
  </si>
  <si>
    <t>386867879 MB Bank - CTY VIET MY THANH TOAN PHI QUAN LY TIEN ICH T12 2025</t>
  </si>
  <si>
    <t>6007IBT1aWBDD4J6.CONG TY TNHH  INHA BREWERY CHUYEN KHOAN PHI THUE XUONG 52B THANG 1.2026.20260107.105923.700038672770.INHA BREWERY, INC..970</t>
  </si>
  <si>
    <t>6008IBT1eJCZ7MWG.CTY SANCHUANG TT Tien thue nha xuong HD 007.20260108.083522.8610070513.CONG TY TNHH CONG NGHIEP SANCHUANG VIET NAM .970418</t>
  </si>
  <si>
    <t>6012IBT1bJ2QVFW7.CTY TNHH DICH VU TOAN CAU IDT VIET NAM THANH TOAN TIEN THEO HOA DON 76.20260112.135055.0671002246009.CTY TNHH DICH VU TOAN</t>
  </si>
  <si>
    <t>6013IBT1iJQ8YPF2.THANH TOAN TIEN DIEN NUOC KHO CU CHI THEO HOA DON 276.20260113.180324.160720368.CONG TY CO PHAN MY PHAM QUOC TE THUY DUNG.9</t>
  </si>
  <si>
    <t>6014IBT1cW7DA5NJ.Cong ty yingyu thanh toan tien phi ql thang 12.2025 theo HD 330.20260114.164937.111621958666.CONG TY TNHH DIEN TU YINGYU VI</t>
  </si>
  <si>
    <t>AB.MKH : 8414020005.TienNuocT01/2026;ST:299609730;T:CONG TY TNHH MOT THANH VIEN PHAT TRIEN CONG NGHIEP BW THOI HOA;DC:LO A3, DUONG...</t>
  </si>
  <si>
    <t>AB.MKH : 8720010004.TienNuocT01/2026;ST:1793310;T:CONG TY TNHH BW SUPPLY CHAIN CITY;DC:KHU LIEN HOP...</t>
  </si>
  <si>
    <t>AB.MKH : 8720010005.TienNuocT01/2026;ST:1936140;T:CONG TY TNHH BW SUPPLY CHAIN CITY;DC:KHU LIEN HOP...</t>
  </si>
  <si>
    <t>AB.MKH : 8720010009.TienNuocT01/2026;ST:15870;T:CONG TY TNHH BW SUPPLY CHAIN CITY;DC:KHU LIEN HOP...</t>
  </si>
  <si>
    <t>AB.MKH : 8720020006.TienNuocT01/2026;ST:14490;T:CONG TY TNHH BW SUPPLY CHAIN CITY;DC:KHU LIEN HOP...</t>
  </si>
  <si>
    <t>AB.MKH : 8720020008.TienNuocT01/2026;ST:43470;T:CONG TY TNHH JOINT KEY DEVELOPMENT (VIET NAM);DC:NHA XUONG SO...</t>
  </si>
  <si>
    <t>AB.MKH : 8720030022.TienNuocT01/2026;ST:15870;T:CONG TY TNHH BW SUPPLY CHAIN CITY;DC:KHU LIEN HOP...</t>
  </si>
  <si>
    <t>AB.MKH : 8720030023.TienNuocT01/2026;ST:79350;T:CONG TY TNHH BW SUPPLY CHAIN CITY;DC:KHU LIEN HOP...</t>
  </si>
  <si>
    <t>AB.MKH : 8720030024.TienNuocT01/2026;ST:269790;T:CONG TY TNHH BW SUPPLY CHAIN CITY;DC:KHU LIEN HOP...</t>
  </si>
  <si>
    <t>AB.MKH : 8720030025.TienNuocT01/2026;ST:380880;T:CONG TY TNHH BW SUPPLY CHAIN CITY;DC:KHU LIEN HOP...</t>
  </si>
  <si>
    <t>AB.MKH : 8720030026.TienNuocT01/2026;ST:28980;T:CONG TY TNHH BW SUPPLY CHAIN CITY;DC:KHU LIEN HOP...</t>
  </si>
  <si>
    <t>AB.MKH : 8720030027.TienNuocT01/2026;ST:761760;T:CONG TY TNHH BW SUPPLY CHAIN CITY;DC:KHU LIEN HOP...</t>
  </si>
  <si>
    <t>AB.MKH : 8720030028.TienNuocT01/2026;ST:333270;T:CONG TY TNHH BW SUPPLY CHAIN CITY;DC:KHU LIEN HOP...</t>
  </si>
  <si>
    <t>AB.MKH : 8720030029.TienNuocT01/2026;ST:28980;T:CONG TY TNHH BW SUPPLY CHAIN CITY;DC:KHU LIEN HOP...</t>
  </si>
  <si>
    <t>AB.MKH : PB04040088962.01/2026;ST:123113246;KH:K26TTP;S:177134;T:Cong ty TNHH MTV phat trien cong nghiep BW Thoi Hoa;DC:Lo A3, duong NA2,  k</t>
  </si>
  <si>
    <t>AB.MKH : PB04040088962.12/2025;ST:177962910;KH:K26TTP;S:930;T:Cong ty TNHH MTV phat trien cong nghiep BW Thoi Hoa;DC:Lo A3, duong NA2,  khu</t>
  </si>
  <si>
    <t>AB.MKH : PB04040090912.01/2026;ST:126484176;KH:K26TTP;S:177406;T:Cong ty TNHH MTV phat trien cong nghiep BW Thoi Hoa;DC:Lo A3, duong NA2,  k</t>
  </si>
  <si>
    <t>AB.MKH : PB04040090912.12/2025;ST:142494468;KH:K26TTP;S:463;T:Cong ty TNHH MTV phat trien cong nghiep BW Thoi Hoa;DC:Lo A3, duong NA2,  khu</t>
  </si>
  <si>
    <t>AB.MKH : PB04040091133.12/2025;ST:118891539;KH:K26TTP;S:923;T:Cong ty TNHH MTV phat trien cong nghiep BW Thoi Hoa;DC:Lo A3, duong NA2,  khu</t>
  </si>
  <si>
    <t>AB.MKH : PB04040091134.12/2025;ST:144421134;KH:K26TTP;S:924;T:Cong ty TNHH MTV phat trien cong nghiep BW Thoi Hoa;DC:Lo A3, duong NA2,  khu</t>
  </si>
  <si>
    <t>AB.MKH : PB04080008163.12/2025;ST:20646239;KH:K26TGV;S:193855;T:CONG TY TNHH BW SUPPLY CHAIN CITY;DC:Khu lien hop Cong nghiep - Dich vu - Do</t>
  </si>
  <si>
    <t>AB.MKH : PB04080008223.12/2025;ST:12660051;KH:K26TGV;S:193854;T:CONG TY TNHH BW SUPPLY CHAIN CITY;DC:Khu lien hop Cong nghiep - Dich vu - Do</t>
  </si>
  <si>
    <t>AB.MKH : PB04080008921.12/2025;ST:147983594;KH:K26TGV;S:216463;T:CONG TY TNHH BW SUPPLY CHAIN CITY;DC:Khu lien hop Cong nghiep - Dich vu - D</t>
  </si>
  <si>
    <t>AB.MKH : PB04080011734.12/2025;ST:336518;KH:K26TGV;S:193852;T:CONG TY TNHH BW SUPPLY CHAIN CITY;DC:Khu lien hop Cong nghiep - Dich vu - Do t</t>
  </si>
  <si>
    <t>AB.MKH : PB04080013349.12/2025;ST:730832;KH:K26TGV;S:193850;T:CONG TY TNHH BW SUPPLY CHAIN CITY;DC:Khu lien hop Cong nghiep - Dich vu - Do t</t>
  </si>
  <si>
    <t>AB.MKH : PB04080013350.12/2025;ST:323490;KH:K26TGV;S:193853;T:CONG TY TNHH BW SUPPLY CHAIN CITY;DC:Khu lien hop Cong nghiep - Dich vu - Do t</t>
  </si>
  <si>
    <t>AB.MKH : PB04080013351.12/2025;ST:2382231;KH:K26TGV;S:193848;T:CONG TY TNHH BW SUPPLY CHAIN CITY;DC:Khu lien hop Cong nghiep - Dich vu - Do</t>
  </si>
  <si>
    <t>AB.MKH : PB04080013352.12/2025;ST:2865981;KH:K26TGV;S:193849;T:CONG TY TNHH BW SUPPLY CHAIN CITY;DC:Khu lien hop Cong nghiep - Dich vu - Do</t>
  </si>
  <si>
    <t>AB.MKH : PB04080014707.12/2025;ST:596697;KH:K26TGV;S:193847;T:CONG TY TNHH BW SUPPLY CHAIN CITY;DC:Khu lien hop Cong nghiep - Dich vu - Do t</t>
  </si>
  <si>
    <t>AB.MKH : PB04080014741.12/2025;ST:23606;KH:K26TGV;S:193851;T:CONG TY TNHH BW SUPPLY CHAIN CITY;DC:Khu lien hop Cong nghiep - Dich vu - Do th</t>
  </si>
  <si>
    <t>AB.MKH : PB04080015239.12/2025;ST:384813;KH:K26TGV;S:216448;T:CONG TY TNHH BW SUPPLY CHAIN CITY;DC:Khu lien hop Cong nghiep - Dich vu - Do t</t>
  </si>
  <si>
    <t>AB.MKH : PB04080017007.12/2025;ST:415923;KH:K26TGV;S:193872;T:CONG TY TNHH BW SUPPLY CHAIN CITY;DC:Khu lien hop Cong nghiep - Dich vu - Do t</t>
  </si>
  <si>
    <t>AB.MKH : PB04080018406.12/2025;ST:108838;KH:K26TGV;S:193869;T:CONG TY TNHH BW SUPPLY CHAIN CITY;DC:Khu lien hop Cong nghiep - Dich vu - Do t</t>
  </si>
  <si>
    <t>AB.MKH : PB04080025083.12/2025;ST:1353497;KH:K26TGV;S:194459;T:CONG TY TNHH BW SUPPLY CHAIN CITY;DC:Khu lien hop Cong nghiep - Dich vu - Do</t>
  </si>
  <si>
    <t>AB.MKH : PB04080025084.12/2025;ST:1408791;KH:K26TGV;S:194460;T:CONG TY TNHH BW SUPPLY CHAIN CITY;DC:Khu lien hop Cong nghiep - Dich vu - Do</t>
  </si>
  <si>
    <t>AB.MKH : PB04080025085.12/2025;ST:805367;KH:K26TGV;S:194462;T:CONG TY TNHH BW SUPPLY CHAIN CITY;DC:Khu lien hop Cong nghiep - Dich vu - Do t</t>
  </si>
  <si>
    <t>AB.MKH : PB04080025086.12/2025;ST:33657;KH:K26TGV;S:194461;T:CONG TY TNHH BW SUPPLY CHAIN CITY;DC:Khu lien hop Cong nghiep - Dich vu - Do th</t>
  </si>
  <si>
    <t>AB.MKH : PB04080025087.12/2025;ST:23810;KH:K26TGV;S:194456;T:CONG TY TNHH BW SUPPLY CHAIN CITY;DC:Khu lien hop Cong nghiep - Dich vu - Do th</t>
  </si>
  <si>
    <t>AB.MKH : PB04080025088.12/2025;ST:2112741;KH:K26TGV;S:194458;T:CONG TY TNHH BW SUPPLY CHAIN CITY;DC:Khu lien hop Cong nghiep - Dich vu - Do</t>
  </si>
  <si>
    <t>AB.MKH : PB04080025089.12/2025;ST:32997;KH:K26TGV;S:194463;T:CONG TY TNHH BW SUPPLY CHAIN CITY;DC:Khu lien hop Cong nghiep - Dich vu - Do th</t>
  </si>
  <si>
    <t>AB.MKH : PB04080025090.12/2025;ST:20357;KH:K26TGV;S:194457;T:CONG TY TNHH BW SUPPLY CHAIN CITY;DC:Khu lien hop Cong nghiep - Dich vu - Do th</t>
  </si>
  <si>
    <t>AB.MKH : PB04080028592.12/2025;ST:30114292;KH:K26TGV;S:193969;T:CONG TY TNHH MOT THANH VIEN PHAT TRIEN CONG NGHIEP VA HAU CAN BW TAN UYEN;DC</t>
  </si>
  <si>
    <t>AB.MKH : PB04080029426.12/2025;ST:100894516;KH:K26TGV;S:193968;T:CONG TY TNHH MOT THANH VIEN PHAT TRIEN CONG NGHIEP VA HAU CAN BW TAN UYEN;D</t>
  </si>
  <si>
    <t>AB.MKH : PB04080030184.12/2025;ST:94164;KH:K26TGV;S:193846;T:CONG TY TNHH BW SUPPLY CHAIN CITY;DC:Khu lien hop Cong nghiep - Dich vu - Do th</t>
  </si>
  <si>
    <t>AB.MKH : PE09000192253.01/2026;ST:92133248;KH:K26TCH;S:182332;T:CONG TY TNHH PHAT TRIEN CONG NGHIEP HAU CAN SAI GON;DC:LO D2, DUONG D2, THUO</t>
  </si>
  <si>
    <t>AB.MKH : PE09000192253.12/2025;ST:83397159;KH:K26TCH;S:4;T:CONG TY TNHH PHAT TRIEN CONG NGHIEP HAU CAN SAI GON;DC:LO D2, DUONG D2, THUOC KHU</t>
  </si>
  <si>
    <t>AB.MKH : PE09000193238.12/2025;ST:84672708;KH:K25TCH;S:2192308;T:CONG TY TNHH PHAT TRIEN CONG NGHIEP HAU CAN SAI GON;DC:LO D2, DUONG D2, THU</t>
  </si>
  <si>
    <t>06-01-2026 11:20:31</t>
  </si>
  <si>
    <t>BBN_VSIP Bac Ninh_Payment for Water consumption and Wastewater treatment in December 2025_INVOICE 4084,4085</t>
  </si>
  <si>
    <t>15-01-2026 19:17:24</t>
  </si>
  <si>
    <t>BDG_Tongshun_Refund fit out deposit_C7, C8/ Hoan tien dat coc sua chua</t>
  </si>
  <si>
    <t>12/01/2026 13:13:30</t>
  </si>
  <si>
    <t>BDH_Kansai Vina_Payment 100 percentage for Installing cameras to monitor WWT system of Tenant Xiongtai block A Inv 117</t>
  </si>
  <si>
    <t>07/01/2026 15:09:31</t>
  </si>
  <si>
    <t>BHA_IMPC_Payment for FM service in DEC25, OT fee and Minor repair fee from JUL to DEC25_INVOICE 00000736,00000749,00000723</t>
  </si>
  <si>
    <t>14-01-2026 08:17:52</t>
  </si>
  <si>
    <t>BHP_VSIPHP_Pmt for EMF Q 01.26 Inv 271, Power consumption, Registration Dec 25 Inv 4367/68/69/70, Water consumption, treatment Dec 25 Inv 4366</t>
  </si>
  <si>
    <t>14-01-2026 08:18:06</t>
  </si>
  <si>
    <t>BNA_VinaGreen_Payment for WWTP Operation fee in DEC 2025 and Analyzing WWT sample 2nd time in year 2025 Inv 71, 72</t>
  </si>
  <si>
    <t>07-01-2026 15:18:00</t>
  </si>
  <si>
    <t>BTD_ICIC_CS Contract - TOC - PR.16 - INV.00000377 - Phi giam sat xay dung</t>
  </si>
  <si>
    <t>15-01-2026 09:26:50</t>
  </si>
  <si>
    <t>BW - Tranit Vina TT hoa don 363</t>
  </si>
  <si>
    <t>07-01-2026 10:35:00</t>
  </si>
  <si>
    <t>BW - Tranit Vina TT tien thue nha xuong Q1.2026</t>
  </si>
  <si>
    <t>BW Dong Hai_NDV Esco_Payment for Power consumption fee in DEC 2025</t>
  </si>
  <si>
    <t>07/01/2026 15:09:30</t>
  </si>
  <si>
    <t>BWP_IMPC_Payment for FM Service in DEC25 and OT fee in JUL25_INVOICE 00000748,00000760</t>
  </si>
  <si>
    <t>15-01-2026 11:06:21</t>
  </si>
  <si>
    <t>BYP_DIEN BN_Payment for Power consumption from 01/01/2026 to 10/01/2026</t>
  </si>
  <si>
    <t>07-01-2026 15:18:09</t>
  </si>
  <si>
    <t>BYP_DIENBN_Payment for Power consumption December 2025 from 21 Dec 2025 to 31 Dec 2025</t>
  </si>
  <si>
    <t>05-01-2026 17:20:17</t>
  </si>
  <si>
    <t>C00000774 CTY TNHH DUNG CU THE THAO SKYMAX THANH TOAN THEO PI NO.INV BBA 000209 NGAY 03012026</t>
  </si>
  <si>
    <t>CA - TARGET</t>
  </si>
  <si>
    <t>CEVA AIR OCEAN VIETNAM CO.LTDCEVAAIR OCEAN VIETNAM CO.LTDSO364DUONGCONG HOAP.TAN BINH TP.H O CHI MINHVIET NAM ..ID:0302622448VN</t>
  </si>
  <si>
    <t>CHUYEN KHOAN06/01/2026+USD6,705.95+Fee:USD53.25+PMT REFUND BOOKING FEE ACCORDING TO IPA NO.BWSCC IPA 24029 DD15.11.2024  +F/O:QINGYUAN XINGG</t>
  </si>
  <si>
    <t>CHUYEN KHOANINTERNAL TRANSFER FORM VCB HCM TO VTB TS</t>
  </si>
  <si>
    <t>CHUYEN KHOANINTERNAL TRANSFER FROM VCB HCM TO VTB TS</t>
  </si>
  <si>
    <t>CHUYEN KHOANT3B LOT D-DIEN BAC NINH PAYMENT OF POWER CONSUMPTION FEE IN DEC 2025</t>
  </si>
  <si>
    <t>CK SANG TK TIMEMO TKKH 32 NGAY THEO HD 0004.2026/HDTG-VCBHCM.KHFDI NGAY 08.01.2026 LAI SUAT 4.75% DAO HAN GOC KHONG XOAY VONG CO AP DUNG RUT</t>
  </si>
  <si>
    <t>CN TONG CONG TY DIEN LUC TPHCM TNHH-CONG TY DIEN LUC THUAN AN</t>
  </si>
  <si>
    <t>09-01-2026 17:55:23</t>
  </si>
  <si>
    <t>Cong ty Full-Sharp thanh toan HD 00000004</t>
  </si>
  <si>
    <t>12-01-2026 15:43:39</t>
  </si>
  <si>
    <t>CONG TY JIUYU THANHT TOAN TIEN THUE XUONG BW T1-T3.2026 HD00000043</t>
  </si>
  <si>
    <t>10-01-2026 15:59:51</t>
  </si>
  <si>
    <t>Cong ty NLM Autel thanh toan phi nuoc va xu ly nuoc thai T11/2025 HD 241</t>
  </si>
  <si>
    <t>10-01-2026 15:55:00</t>
  </si>
  <si>
    <t>Cong ty NLM Autel thanh toan phi quan ly dien T11/2025 HD 243</t>
  </si>
  <si>
    <t>CONG TY TNHH CONG NGHE CLICK VIET NAM - CLICK TT BW INDUSTRIAL DEVELOPMENT MY PHUOC 3 LIMITED LIABILITY COMPANY PHI DIEN SOLAR X1 T12 THEO</t>
  </si>
  <si>
    <t>CONG TY TNHH CONG NGHE CLICK VIET NAM - CLICK TT BW INDUSTRIAL DEVELOPMENT MY PHUOC 3 LIMITED LIABILITY COMPANY PHI DIEN SOLAR X2 T12 THEO</t>
  </si>
  <si>
    <t>15-01-2026 20:11:49</t>
  </si>
  <si>
    <t>CONG TY TNHH CONG NGHE IN AN VA BAO BI WARTON VIET NAM TT TIEN THUE NHA XUONG A6 TU 01.01.2026 DEN 31.03.2026 HD 16</t>
  </si>
  <si>
    <t>15-01-2026 15:09:10</t>
  </si>
  <si>
    <t>CONG TY TNHH CONG NGHE KERSEN THANH TOAN</t>
  </si>
  <si>
    <t>CONG TY TNHH MOTO INNOVATION VIET NAM - MOTO INNOVATION TT Phi thue nha xuong T01 2026. INV 00000007 (05 01 2026)</t>
  </si>
  <si>
    <t>CONG TY TNHH MOTOMOTION VIET NAM - MOTOMOTION TT Phi thue nha xuong T01 2026. INV 00000004. 00000005 (05 01 2026)</t>
  </si>
  <si>
    <t>CONG TY TNHH NGU KIM VA NHUA JIN JUE (VIET NAM) - HD 09 BW QUY 1.2026</t>
  </si>
  <si>
    <t>CONG TY TNHH SHINSHIBA VIET NAM - Shinshibavietnamco..ltd thanh toan Phi thue xuong C 1B C6 A.C</t>
  </si>
  <si>
    <t>06-01-2026 10:16:20</t>
  </si>
  <si>
    <t>CT DEN:285T26108F99VW80 CT DAI VIET TT TIEN NUOC VA PHI QUAN LY NUOC THAI T12.2025 THD 341 CHO CT BW HD</t>
  </si>
  <si>
    <t>06-01-2026 16:32:39</t>
  </si>
  <si>
    <t>CT DEN:285T26108VW82ZBF ANZ pmt for water BW in Dec.25/ Tt tien hd nuoc 335</t>
  </si>
  <si>
    <t>08-01-2026 13:29:26</t>
  </si>
  <si>
    <t>CT DEN:285T2610BYMGGUPQ Sinno TT tien nuoc cho QUAN LY CONG NGHIEP theo HD 203</t>
  </si>
  <si>
    <t>08-01-2026 15:10:51</t>
  </si>
  <si>
    <t>CT DEN:285T2610C2KDR3XC Four Es - BW thanh toan tien nuoc xuong A1-3 theo hoa don so 333</t>
  </si>
  <si>
    <t>08-01-2026 15:11:43</t>
  </si>
  <si>
    <t>CT DEN:285T2610C2LJNRKC Four Es - BW thanh toan tien nuoc xuong B1B theo hoa don so 374</t>
  </si>
  <si>
    <t>08-01-2026 16:59:51</t>
  </si>
  <si>
    <t>CT DEN:285T2610C6TC10LR CONG TY TNHH EULER TECHNOLOGY VIET NAM chuyen tien phi xu ly nuoc thai va phi quan ly tien ich - HD 212</t>
  </si>
  <si>
    <t>09-01-2026 09:27:56</t>
  </si>
  <si>
    <t>CT DEN:285T2610DB659LB8 CT BOCHENG THANH TOAN HD 00000368 BW</t>
  </si>
  <si>
    <t>09-01-2026 12:46:54</t>
  </si>
  <si>
    <t>CT DEN:285T2610DJWXB2XM Cong ty TNHH Topgoal SMT Viet nam thanh toan Hoa don 137</t>
  </si>
  <si>
    <t>09-01-2026 13:46:44</t>
  </si>
  <si>
    <t>CT DEN:285T2610DM7X5T4Z Yuehai thanh toan tien HD 332</t>
  </si>
  <si>
    <t>09-01-2026 14:03:31</t>
  </si>
  <si>
    <t>CT DEN:285T2610DMW37VKR CONG TY TNHH AUTEL ROBOTICS VIET NAM TT PHI DICH VU CUNG CAP NUOC 20/11-20/12 , PHI Q</t>
  </si>
  <si>
    <t>10-01-2026 10:46:34</t>
  </si>
  <si>
    <t>CT DEN:285T2610F25LGXAQ CTY WISVA - BW thanh toan phi xu li nuoc theo hd 339 31.12.2025</t>
  </si>
  <si>
    <t>12-01-2026 16:38:27</t>
  </si>
  <si>
    <t>CT DEN:285T2610JRPGK4H8 CN CT TNHH AUREOLE BCD TT tien thue nha xuong A2-2 tu ngay T1-T3.26 HD so 00000010 CT TNHH MTV PTCN BW HAI DUONG DU AN 2 TK: 118006028888 tai Ngan hang TMCP Cong Thuong Viet Nam VietinBank</t>
  </si>
  <si>
    <t>15-01-2026 14:16:57</t>
  </si>
  <si>
    <t>CT DEN:285T2610PHZELF3Y CT TNHH CONG NGHE FSP VIET NAM chuyen tien theo hoa don so 344</t>
  </si>
  <si>
    <t>05-01-2026 19:41:32</t>
  </si>
  <si>
    <t>CT DEN:600512761148 16 HTC THANH TOAN</t>
  </si>
  <si>
    <t>05-01-2026 13:33:48</t>
  </si>
  <si>
    <t>CT DEN:600513962435 First quarter of 2026 Factory rent expense</t>
  </si>
  <si>
    <t>05-01-2026 13:33:49</t>
  </si>
  <si>
    <t>CT DEN:600513962439 First quarter of 2026 Factory rent expense</t>
  </si>
  <si>
    <t>05-01-2026 13:33:50</t>
  </si>
  <si>
    <t>CT DEN:600513962442 First quarter of 2026 Factory rent expense</t>
  </si>
  <si>
    <t>06-01-2026 15:47:07</t>
  </si>
  <si>
    <t>CT DEN:600620888338 WASTEWATER TREATMENT COST AND FEE FOR USING CLEANING WATER IN DEC. INVOICE NO 00000244</t>
  </si>
  <si>
    <t>06-01-2026 15:47:08</t>
  </si>
  <si>
    <t>CT DEN:600620888339 PREPAYMENT FOR RENTAL FACTORY COST FOR Q1-2026. INVOICE 00000001</t>
  </si>
  <si>
    <t>07-01-2026 11:35:32</t>
  </si>
  <si>
    <t>CT DEN:600704792572 wellking thanh toan chi phi tien nuoc</t>
  </si>
  <si>
    <t>07-01-2026 14:33:05</t>
  </si>
  <si>
    <t>CT DEN:600720896308 PREPAYMENT FOR RENTAL FACTORY COST FOR Q1-2026. INVOICE 00000001</t>
  </si>
  <si>
    <t>07-01-2026 14:33:06</t>
  </si>
  <si>
    <t>CT DEN:600720896310 PREPAYMENT FOR RENTAL FACTORY COST FOR Q1-2026. INVOICE 00000001</t>
  </si>
  <si>
    <t>07-01-2026 14:33:08</t>
  </si>
  <si>
    <t>CT DEN:600720896312 PREPAYMENT FOR RENTAL FACTORY COST FOR Q1-2026. INVOICE 00000001</t>
  </si>
  <si>
    <t>07-01-2026 14:33:09</t>
  </si>
  <si>
    <t>CT DEN:600720896314 PREPAYMENT FOR RENTAL FACTORY COST FOR Q1-2026. INVOICE 00000001</t>
  </si>
  <si>
    <t>08-01-2026 15:45:06</t>
  </si>
  <si>
    <t>CT DEN:600808000605 THANH TOAN TIEN XU LI NUOC SACH VA NUOC SACH VA NUOC THAI TU</t>
  </si>
  <si>
    <t>09-01-2026 09:56:30</t>
  </si>
  <si>
    <t>CT DEN:600902831712 CTY TNHH PTCN MAXEDGE tt phi thue xuong t1.2026 theo hd so 6 cho CT TNHH PHAT TRIEN CN BW BAU BANG BB01</t>
  </si>
  <si>
    <t>12-01-2026 16:50:01</t>
  </si>
  <si>
    <t>CT DEN:601209893121 Phi thue tram tu ngay 17.11.2025 toi 31.10.2026 tram BDG2608, inv 89</t>
  </si>
  <si>
    <t>CT DEN:601209893122 Thanh toan tien thue mat bang tu 17.11.2025 - 31.12.2025 tram BDG2615, inv 100</t>
  </si>
  <si>
    <t>12-01-2026 19:53:33</t>
  </si>
  <si>
    <t>CT DEN:601212898253 41 HTC TT TIEN CHO CTY XENIA 2</t>
  </si>
  <si>
    <t>CT DEN:601212898254 41 HTC TT TIEN CHO CTY XENIA 2</t>
  </si>
  <si>
    <t>13-01-2026 09:57:52</t>
  </si>
  <si>
    <t>CT DEN:601302362827 Cty TONGFANG nop tien thue xuong 15 ngay tu ngay 01/01-15/01/2026- B1-F CONG NGHIEP BW</t>
  </si>
  <si>
    <t>13-01-2026 15:07:01</t>
  </si>
  <si>
    <t>CT DEN:601308910932 157 HTC TT TIEN COC KHO 2000M2</t>
  </si>
  <si>
    <t>13-01-2026 15:07:00</t>
  </si>
  <si>
    <t>CT DEN:601308910991 157 HTC TT TIEN COC KHO 2000M2</t>
  </si>
  <si>
    <t>13-01-2026 18:39:04</t>
  </si>
  <si>
    <t>CT DEN:601334957640 TT PHI THUE XUONG Q1.2026 HD00055 L3</t>
  </si>
  <si>
    <t>13-01-2026 18:39:07</t>
  </si>
  <si>
    <t>CT DEN:601334957644 TT PHI THUE XUONG Q1.2026 HD00055 L2</t>
  </si>
  <si>
    <t>13-01-2026 18:39:09</t>
  </si>
  <si>
    <t>CT DEN:601334957654 TT PHI THUE XUONG Q1.2026 HD00055 L1</t>
  </si>
  <si>
    <t>15-01-2026 13:22:49</t>
  </si>
  <si>
    <t>CT DEN:601506060054 CONG TY TNHH KYD VIET NAM TT tien phi thue nha xuong Q4 ,HD so 00000031 ngay 06/10/2025.</t>
  </si>
  <si>
    <t>15-01-2026 16:05:45</t>
  </si>
  <si>
    <t>CT DEN:601509960029 1</t>
  </si>
  <si>
    <t>09-01-2026 13:50:01</t>
  </si>
  <si>
    <t>CT DEN:640T2610DMC945MX CONG TY TNHH XINRONGHUI VIET NAM TT CP thue nha xuong T1.2026(inv:1C26TBA-15) (22/01/2026-31/01/2026)</t>
  </si>
  <si>
    <t>10-01-2026 15:28:38</t>
  </si>
  <si>
    <t>CT DEN:640T2610FD43952G CHEN WEI Booking A 17A15</t>
  </si>
  <si>
    <t>02-01-2026 14:33:27</t>
  </si>
  <si>
    <t>CT DEN:900T261025JE78ED DGW TT HD 99 100 CP NUOC V XU LY NUOC THAI QUY IV 2025</t>
  </si>
  <si>
    <t>06-01-2026 16:57:22</t>
  </si>
  <si>
    <t>CT DEN:900T26108WUVR3U1 CL TT TAN DONG HIEP HD 2 CP THUE KHO T12</t>
  </si>
  <si>
    <t>13-01-2026 15:15:40</t>
  </si>
  <si>
    <t>CT DEN:900T2610LADS0KXK CT TNHH MTV TT PHAN PHOI TRANSIMEX thanh toan tien xu ly nuoc thai thang 12/2025, HD so: 19_31/12/2025</t>
  </si>
  <si>
    <t>09-01-2026 10:00:39</t>
  </si>
  <si>
    <t>CT DEN:902T2610DCFCLLCY CTY NHV TT HD 239 CHO CTY TNHH PHAT TRIEN CONG NGHIEP BW NHON TRACH- DU AN 2</t>
  </si>
  <si>
    <t>09-01-2026 16:08:40</t>
  </si>
  <si>
    <t>CT DEN:902T2610DSRC1YZE PONHAN TT PHI TIEN NUOC T11.2025 HD 248 CHO BW</t>
  </si>
  <si>
    <t>12-01-2026 22:03:12</t>
  </si>
  <si>
    <t>CT DEN:946T2610K4ABSBYQ TT CP DIEN, NUOC, XU LY NUOC THAI KHO DC - T12.2025 - KHO DAN - HD00000033 - 28.12.2025</t>
  </si>
  <si>
    <t>CT TNHH SX QINGFENG VIET NAM - CONG TY TNHH SAN XUAT QINGFENG THANH TOAN TIEN THUE NHA XUONG MY PHUOC 3 T1-3 NAM 2026 HD 18</t>
  </si>
  <si>
    <t>CTY  METS DAT COC GD LAP DAT HOAN THIEN CT - CTY CONG NGHIEP HP</t>
  </si>
  <si>
    <t>CTY BOWKER VN. TT TIEN THUE KHO A1.1 TU 01/01/2026-31/03/2026 HD SO BWTU/PLC/22002, THOA THUAN SUA DOI SO 4 NGAY 13/06/2025 (INV 1)-PAYMENT</t>
  </si>
  <si>
    <t>CTY CP HAI BON BAYVietNam</t>
  </si>
  <si>
    <t>06-01-2026 14:27:44</t>
  </si>
  <si>
    <t>CTY DEYISHI THANH TOAN CTY VINA PARTNERS HD: 142 30/12/2025</t>
  </si>
  <si>
    <t>14-01-2026 17:51:02</t>
  </si>
  <si>
    <t>CTY DEYISHI TT CTY VINA PARTNERS INVESTMENT BW TIEN THUE XUONG Q1</t>
  </si>
  <si>
    <t>10-01-2026 16:28:26</t>
  </si>
  <si>
    <t>CTY FUXIN TT HD347</t>
  </si>
  <si>
    <t>CTY TNHH CENTURY CREATION VIET NAM - CTY TNHH CENTURY CREATION VN TT TIEN THUE NHA XUONG THANG 1.2.3 NAM 2026</t>
  </si>
  <si>
    <t>CTY TNHH CN CHERVON (VIET NAM) - Cty TNHH CN Chervon VN - TT tien thue nha xuong C123456 quy I.2026 - HD 12. 13</t>
  </si>
  <si>
    <t>CTY TNHH CN CHERVON (VIET NAM) - TT phi su dung dien NLMT C1 cua BW T11.25 - HD 311 ngay 28 11 2025</t>
  </si>
  <si>
    <t>CTY TNHH CN CHERVON (VIET NAM) - TT phi su dung dien NLMT C5T cua BW T12.25 - HD 30 ngay 13 01 2026</t>
  </si>
  <si>
    <t>15-01-2026 17:15:24</t>
  </si>
  <si>
    <t>CTY TNHH CO KHI GUANGYI TT TIEN THUE XUONG QUI 1 NAM 2026 D2.06/D2.07 CHO BW BAU BANG BB06 HD 20</t>
  </si>
  <si>
    <t>CTY TNHH CONG NGHE JUNENG(VIET NAM) - CTY JUNENG TT HD 23</t>
  </si>
  <si>
    <t>08-01-2026 08:32:58</t>
  </si>
  <si>
    <t>Cty tongshun thanh toan tien thue nha xuong Q1.2026. HD.4</t>
  </si>
  <si>
    <t>DDA Interest/Dividend Transfer-In - TFR-405000004092</t>
  </si>
  <si>
    <t>15-01-2026 16:47:05</t>
  </si>
  <si>
    <t>Deposit for rent C6.01,02,03 of agreement no BWBB6-PLC-24005-PL2 dd 15-12-2025.</t>
  </si>
  <si>
    <t>07-01-2026 13:04:03</t>
  </si>
  <si>
    <t>DONG HDTG 900.2025.36908</t>
  </si>
  <si>
    <t>DOR FEE FOR 6B070TT01804</t>
  </si>
  <si>
    <t>05-01-2026 20:09:25</t>
  </si>
  <si>
    <t>EK TT hoa don so 275,276</t>
  </si>
  <si>
    <t>12-01-2026 10:21:45</t>
  </si>
  <si>
    <t>Factory Rental for Jan. 2026; Invoice INV/BBA/000206</t>
  </si>
  <si>
    <t>06-01-2026 15:42:43</t>
  </si>
  <si>
    <t>Fee for 285O260106T25125</t>
  </si>
  <si>
    <t>14-01-2026 17:50:02</t>
  </si>
  <si>
    <t>Fee for 285O260114133348</t>
  </si>
  <si>
    <t>08-01-2026 16:40:13</t>
  </si>
  <si>
    <t>FLYIN TT PHI XU LY NUOC THAI T12.2025, HD: 360</t>
  </si>
  <si>
    <t>Fund transfer - So GD: 900A2610DMTY2V3G TH2-BLUEANDGREEN-REFUND FIT OUT DEPOSIT/ HOAN TIEN DAT COC SUA CHUA</t>
  </si>
  <si>
    <t>Fund transfer - So GD: 900A2610DMXL3A9M TH2-CBRE-PAYMENT FOR REPORT ISSUANCE-VALUATION FOR YEAR-END 2025-INV NO.00001221/TT PHI PHAT HANH BC DINH GIA</t>
  </si>
  <si>
    <t>Fund transfer - So GD: 900A2610DN122CVS BHI-EVN TRANG BOM-ELECTRICITY CONSUMPTION IN 12.2025-CODE PK10000114462</t>
  </si>
  <si>
    <t>Fund transfer - So GD: 900A2610MNF246WB TH2-EVN-ELECTRICITY FEE IN JAN 2025-TERM 1-PB04040091191/ TT TIEN DIEN</t>
  </si>
  <si>
    <t>14-01-2026 17:04:43</t>
  </si>
  <si>
    <t>GROWATT THANH TOAN TIEN PHI QUAN LY TIEN ICH NUOC SACH, NUOC THAI T12 - 2025</t>
  </si>
  <si>
    <t>05-01-2026 15:44:55</t>
  </si>
  <si>
    <t>GROWATT THANH TOAN TIEN THUE NHA XUONG QUY I 2026</t>
  </si>
  <si>
    <t>12-01-2026 18:22:13</t>
  </si>
  <si>
    <t>GUI TIET KIEM THEO HDTG SO 285 2026 45054 NGAY 12012026</t>
  </si>
  <si>
    <t>HD3_IMPC_Payment for FM service fee in DEC25 and OT fee in JUL25_INVOICE 00000742,00000759</t>
  </si>
  <si>
    <t>HD3_TVAN_Payment for E-signature token 3 years_INVOICE 2844</t>
  </si>
  <si>
    <t>IBBIZ6052251277.CONG TY TMK thanh toan Tien Dien (Theo Thong bao thanh toan so: INV/BSL/000806)</t>
  </si>
  <si>
    <t>IBBIZ6052467184. JIAWEI (VIET NAM)T/T TIEN NUOC SU DUNG T12.2025 HD 00000149 CHO BW</t>
  </si>
  <si>
    <t>IBBIZ6052594260.CONG TY TNHH TM DV SX DAI NGOC chuyen tien phi thue nha xuong Quy 1.2026 theo HD 00000035</t>
  </si>
  <si>
    <t>IBBIZ6052712174.CONG TY TNHH THUONG MAI QUOC TE TMK thanh toan Chi phi Thue (Theo Thong bao thanh toan so: INV/BSL/000812 va Hoa don so: 004</t>
  </si>
  <si>
    <t>IBVCB.0501260586437002.CT Youngan TT tien nuoc cho CT Thuan Thanh 3B theo HD: 323</t>
  </si>
  <si>
    <t>IBVCB.0701260075299002.VITAL Link thanh toan tien nuoc thang 12 nam 2025 cho cong ty BW</t>
  </si>
  <si>
    <t>IBVCB.0701260081383002.CTY HONDAPLUS VN TT HD 406 NG 21/10/2025 TIEN THUE XUONG T10-12/2025 (CNLONGBINH)</t>
  </si>
  <si>
    <t>IBVCB.0701260366909002.CTY JUYI VN thanh toan cho Thuan Thanh 3B theo HD335 ngay 31.12.2025</t>
  </si>
  <si>
    <t>IBVCB.0701260473095010.TT phi xu ly nuoc thai sinh hoat, phi QL tien ich lq nuoc, nuoc thai 20/11/25-20/12/25 theo HD314 ngay 29/12/2025</t>
  </si>
  <si>
    <t>IBVCB.0801260797263002.</t>
  </si>
  <si>
    <t>IBVCB.0801261046097004.BETHEL TT PHI THUE NHA XUONG QUY 1.2026, HD 18_BW</t>
  </si>
  <si>
    <t>IBVCB.0901260669977001.CTY TAM NHIN MUC TIEU TT HD SO 39</t>
  </si>
  <si>
    <t>IBVCB.0901260852553002.CT Youngan TT tien thue xuong Q1.2026 cho CT Thuan Thanh 3B theo HD: 18</t>
  </si>
  <si>
    <t>IBVCB.1001260732999001.YUANFANG TTT THUE XUONG D2D3 QUY1/2026 CHO CONG TY THUAN THANH 3B</t>
  </si>
  <si>
    <t>IBVCB.1001261019503002.YUANFANG TTT CHO CONG TY THUAN THANH 3B HD 320</t>
  </si>
  <si>
    <t>IBVCB.1201260350037002.Alltech_Amata rental 01.01.2026-26.01.2026 inv.20 date 04.01.2026_Long Binh 0544</t>
  </si>
  <si>
    <t>IBVCB.1201260612345001.Gold Cat TT phi thue xuong A3 Q1.2026 cho Thuan Thanh 3B theo HD 00000005 ngay 03/01/2026</t>
  </si>
  <si>
    <t>IBVCB.1301260073177001.VITAL Link thanh toan tien  thu xuong quy 1 nam 2026 cho bw thuan thanh</t>
  </si>
  <si>
    <t>IBVCB.1301260781511004.FLX power Sep 23 to Dec 22, 2025 ,Inv#:524, FLX Rental Office Q.1/2026, Inv#:000041</t>
  </si>
  <si>
    <t>IBVCB.1401260176099001.BILLDA THANH TOAN TIEN THUE XUONG CHO 3B HD 20</t>
  </si>
  <si>
    <t>IBVCB.1401260619377002.Takagi thanh toan phi thue xuong Cn Long Binh/ Factory rental fee from Jan.2026 to Mar.2026 Inv.</t>
  </si>
  <si>
    <t>IBVCB.1401260782843003.BILLDA THANH TOAN PHI NUOC SACH NUOC THAI HD 326</t>
  </si>
  <si>
    <t>IBVCB.1401260803059002.BILLDA THANH TOAN TIEN THUE XUONG CHO 3B HD 20</t>
  </si>
  <si>
    <t>IBVCB.1501260262809004.Alltech_Additional deposit for Amata rental Amendment agreement No.4_Long Binh 0544</t>
  </si>
  <si>
    <t>IBVCB.1501260316809001.Cong Ty MYD thanh toan tien phi xu ly nuoc thai theo HD00000324 va HD00000304</t>
  </si>
  <si>
    <t>JHP CONG NGHIEP HP VN_NDV Esco_Payment for Power Consumption fee from 16 to 31 DEC and Underloading fee in DEC2025_INVOICE 66,2865</t>
  </si>
  <si>
    <t>KTR_IDICO_Electricity fee in 12.2025_Term 3 - INV.00000339</t>
  </si>
  <si>
    <t>15/01/2026 10:59:30</t>
  </si>
  <si>
    <t>KTR_VNPT_Purchasing material va Garbage collection fee - INV.00273103 - Phi thu gom rac thang 12.2025</t>
  </si>
  <si>
    <t>Loan Repayment - Loan Repayment</t>
  </si>
  <si>
    <t>05-01-2026 14:59:08</t>
  </si>
  <si>
    <t>MHIVN payment for B3 rental fee from 01012026 to 31032026</t>
  </si>
  <si>
    <t>05-01-2026 15:01:46</t>
  </si>
  <si>
    <t>MHIVN payment for B4 rental fee from 01012026 to 31032026</t>
  </si>
  <si>
    <t xml:space="preserve">MISC CREDIT
2026010700003447
MIR601073934C01
Payment of SHL interest to VC3 Tra
</t>
  </si>
  <si>
    <t>14/1/2026</t>
  </si>
  <si>
    <t>MISC CREDIT
2026011400001929
MIR601142228C01
KTRPayment SHL interest up to 30.1</t>
  </si>
  <si>
    <t>12-01-2026 14:30:50</t>
  </si>
  <si>
    <t>Morteng TT phi nuoc sach va phi xu ly HD 331</t>
  </si>
  <si>
    <t>12-01-2026 14:30:49</t>
  </si>
  <si>
    <t>Morteng TT phi thue xuong hd 19</t>
  </si>
  <si>
    <t>NGAN HANG TNHH MTV WOORI VIET NAM - BW MP3 FEE PAYMENT -IBD/ PHI THU XEP VON DOT 2</t>
  </si>
  <si>
    <t>NGAN HANG TNHH MTV WOORI VIET NAM - BW MP3 FEE PAYMENT-IBD/ PHI THU XEP VON DOT 2</t>
  </si>
  <si>
    <t>NIPPON EXPRESS (VIETNAM) CO.LTD.P.5.2-5.3TOA NHA E-TOWNSO 364D.CONG HOAP.TAN BINHTPHCMVIETNAM</t>
  </si>
  <si>
    <t>NSHL_RCB_Payment 100 percentage of Contract for Office Renovation Inv 00000014</t>
  </si>
  <si>
    <t>09-01-2026 09:22:04</t>
  </si>
  <si>
    <t>ONOGAWA TT Payment rent from01/2026 to 03/2026</t>
  </si>
  <si>
    <t>09-01-2026 09:22:10</t>
  </si>
  <si>
    <t>ONOGAWA TT water 20/11/2025 to 20/12/2025</t>
  </si>
  <si>
    <t>PAE_EVN_Electricity consumption in 12.2025 - PB06060074545 - Tien dien thang 12.2025</t>
  </si>
  <si>
    <t>08/01/2026 09:40:23</t>
  </si>
  <si>
    <t>PHI QUAN LY TAI KHOAN 132xxx986 T01 2026</t>
  </si>
  <si>
    <t>PHI QUAN LY TAI KHOAN 138xxx532 T01 2026</t>
  </si>
  <si>
    <t>PHI QUAN LY TAI KHOAN 138xxx541 T01 2026</t>
  </si>
  <si>
    <t>PHI QUAN LY TAI KHOAN 138xxx550 T01 2026</t>
  </si>
  <si>
    <t>08/01/2026 09:44:08</t>
  </si>
  <si>
    <t>PHI QUAN LY TAI KHOAN 150xxx050 T01 2026</t>
  </si>
  <si>
    <t>08/01/2026 09:50:34</t>
  </si>
  <si>
    <t>PHI QUAN LY TAI KHOAN 150xxx128 T01 2026</t>
  </si>
  <si>
    <t>PHI QUAN LY TAI KHOAN 222xxx343 T01 2026</t>
  </si>
  <si>
    <t>PHI QUAN LY TAI KHOAN 222xxx352 T01 2026</t>
  </si>
  <si>
    <t>PHI QUAN LY TAI KHOAN 222xxx361 T01 2026</t>
  </si>
  <si>
    <t>08/01/2026 09:43:23</t>
  </si>
  <si>
    <t>PHI QUAN LY TAI KHOAN 222xxx456 T01 2026</t>
  </si>
  <si>
    <t>PHI QUAN LY TAI KHOAN 222xxx614 T01 2026</t>
  </si>
  <si>
    <t>PHI QUAN LY TAI KHOAN 222xxx666 T01 2026</t>
  </si>
  <si>
    <t>08/01/2026 09:47:46</t>
  </si>
  <si>
    <t>PHI QUAN LY TAI KHOAN 222xxx668 T01 2026</t>
  </si>
  <si>
    <t>08/01/2026 09:44:31</t>
  </si>
  <si>
    <t>PHI QUAN LY TAI KHOAN 222xxx686 T01 2026</t>
  </si>
  <si>
    <t>PHI QUAN LY TAI KHOAN 222xxx688 T01 2026</t>
  </si>
  <si>
    <t>08/01/2026 09:47:55</t>
  </si>
  <si>
    <t>PHI QUAN LY TAI KHOAN 222xxx735 T01 2026</t>
  </si>
  <si>
    <t>PHI QUAN LY TAI KHOAN 222xxx781 T01 2026</t>
  </si>
  <si>
    <t>08/01/2026 09:50:40</t>
  </si>
  <si>
    <t>PHI QUAN LY TAI KHOAN 222xxx789 T01 2026</t>
  </si>
  <si>
    <t>08/01/2026 09:40:22</t>
  </si>
  <si>
    <t>PHI QUAN LY TAI KHOAN 222xxx888 T01 2026</t>
  </si>
  <si>
    <t>08/01/2026 09:44:16</t>
  </si>
  <si>
    <t>08/01/2026 09:48:07</t>
  </si>
  <si>
    <t>PHI QUAN LY TAI KHOAN 222xxx911 T01 2026</t>
  </si>
  <si>
    <t>08/01/2026 09:43:46</t>
  </si>
  <si>
    <t>PHI QUAN LY TAI KHOAN 222xxx979 T01 2026</t>
  </si>
  <si>
    <t>08/01/2026 09:45:22</t>
  </si>
  <si>
    <t>PHI QUAN LY TAI KHOAN 222xxx999 T01 2026</t>
  </si>
  <si>
    <t>PHI QUAN LY TAI KHOAN 860xxx323 T01 2026</t>
  </si>
  <si>
    <t>PHI QUAN LY TAI KHOAN 861xxx749 T01 2026</t>
  </si>
  <si>
    <t>PHI QUAN LY TAI KHOAN 861xxx824 T01 2026</t>
  </si>
  <si>
    <t>PHI QUAN LY TAI KHOAN 861xxx832 T01 2026</t>
  </si>
  <si>
    <t>PHI QUAN LY TAI KHOAN 862xxx064 T01 2026</t>
  </si>
  <si>
    <t>PHI QUAN LY TAI KHOAN 863xxx620 T01 2026</t>
  </si>
  <si>
    <t>PHI QUAN LY TAI KHOAN 867xxx775 T01 2026</t>
  </si>
  <si>
    <t>PHI QUAN LY TAI KHOAN 868xxx808 T01 2026</t>
  </si>
  <si>
    <t>PRIMUS VIETNAM LIMITED LIABILITY  COMPANY - 3702907323 - FACTORY LEASE (01 JAN. 2026 - 31 JAN. 2026)</t>
  </si>
  <si>
    <t>QV2_ATELIER_2ND PAYMENT REQUEST FOR CS PACKAGE INVOICE</t>
  </si>
  <si>
    <t>QV2_ATELIER_2ND PAYMENT REQUEST FOR CS PACKAGE_INVOICE</t>
  </si>
  <si>
    <t>QV2_KANSAI VINA PAYMENT FOR IPC1 UN DER CONTRACT NO QV2/XD/25001 DATED 28/10/2025_INVOIC E 111</t>
  </si>
  <si>
    <t>REF P3186033372. 1112601080226576.DVC:GREEN PLANET DC CO., LTD.INV 1C25TBA 00000273</t>
  </si>
  <si>
    <t>REF222A2610AEL0PBWJ B/O 2220151668 CTY TNHH PT CONG NGHIEP HAU CAN BW DINH F/O 1053037351 CONG TY CO PHAN SAO HOA TOAN QUOC NHH79665001 Payment of SHL interest to VC3 Tra no lai vay co dong cho VC3</t>
  </si>
  <si>
    <t>REF222A2610AEL0S5HF B/O 2220830888 CTY TNHH PT CONG NGHIEP BW PHU NGHIA F/O 114000087901 CTCP DAU TU SUOI NGOC NHH01201001 BWP_Suoi Ngoc_Payment for Water consumption fee Dec 2025_INVOICE 1075</t>
  </si>
  <si>
    <t>REF222A2610AEL0SX2J B/O 2220830888 CTY TNHH PT CONG NGHIEP BW PHU NGHIA F/O 115000032860 CTCP TAP DOAN PHU MY NHH01201001 BWP_Phu My_Payment for Wastewater Treatment fee Dec 2025_INVOICE 1583</t>
  </si>
  <si>
    <t>REF222A2610AEL0YXGC B/O 2221133456 CTY TNHH MTV PT CONG NGHIEP BW HAI DUONG F/O 047626210001 CONG TY TNHH EES SOLUTIONS TKTT VND NHH01357001 HD3_EES_Payment for Operation of WWTP system in DEC25 and Quarterly Analyzing WWT sample in Q4 Y2025_INVOICE 00000310</t>
  </si>
  <si>
    <t>REF222A2610AEL13PB5 B/O 2220131688 CTY TNHH PT CONG NGHIEP HAU CAN BW HAI A F/O 0031000222404 CT TNHH DEEP C BLUE NHH01203001 BHA_DEEPC Blue_Payment for Water consumption and Wastewater treatment in Dec 2025_INVOICE 3553,3514</t>
  </si>
  <si>
    <t>REF222A2610AEL14EMU B/O 2220131688 CTY TNHH PT CONG NGHIEP HAU CAN BW HAI A F/O 0031000666668 CT TNHH NANG LUONG XANH DEEP C VN NHH01203001 BHA_DEEPC Green_Payment for Power consumption,Power Management and Low power compensation fee in December 2025_INVOICE 4977,5326,5118,5431</t>
  </si>
  <si>
    <t>REF222A2610AEL18GCK B/O 2220131688 CTY TNHH PT CONG NGHIEP HAU CAN BW HAI A F/O 0031000190558 CTY CP CONG NGHIEP HONG DUC NHH01203001 BHA_Cong nghiep Hong Duc_Payment for EMF fee in December 2025_INVOICE 518</t>
  </si>
  <si>
    <t>REF222A2610AEL1A1FJ B/O 2221133456 CTY TNHH MTV PT CONG NGHIEP BW HAI DUONG F/O 113002179928 CONG TY TNHH VSIP HAI DUONG NHH01201001 HD3_VSIP HD_Payment for Water consumption and Wastewater treatment in DEC2025_INVOICE 00000403</t>
  </si>
  <si>
    <t>REF222A2610BSL7GV72 B/O 8620004064 CTY CP PHAT TRIEN CONG NGHIEP HAI PHONG (VIET NAM) F/O 112000009315 CONG TY TNHH THIET BI PHONG CHAY CHUACHAY HAI PHONG NHH01201001 JHP CONG NGHIEP HP VN_PCCC Hai Phong_Payment 100PT Contract of Performing the fire prevention, firefighting, and rescue works FY2025_INVOICE 00000557</t>
  </si>
  <si>
    <t>REF222A2610BSL7P90T B/O 2225179735 CONG TY TNHH PHAT TRIEN CONG NGHIEP NSHL F/O 001090331001 CONG TY TNHH THAM DINH GIA VAS NHH79617001 NSHL_VAS_Payment for Report issuance fee for year-end valuation 2025 Inv 00001229</t>
  </si>
  <si>
    <t>REF222A2610BSL7RJ3B B/O 2225179735 CONG TY TNHH PHAT TRIEN CONG NGHIEP NSHL F/O 113000066074 TCT PT DO THI KINH BAC-CTCP NHH24201005 NSHL_Kinh Bac_Payment for EMF fee from Jan 2026 to June 2026</t>
  </si>
  <si>
    <t>REF222A2610JHQUE2LS B/O 2220987979 CTY TNHH PT CONG NGHIEP BW DONG HAI F/O 680201826886 CONG TY CO PHAN CREW24 NHH01311001 BDH_CREW24_Payment for FM Service fee in DEC25 Inv 00000213</t>
  </si>
  <si>
    <t>REF222A2610JHQUFSWF B/O 1329397986 CTCP DV KHKT VA SX GOM SU KIM TRUC DONG NAI F/O 001090331001 CONG TY TNHH THAM DINH GIA VAS NHH79617001 KTR_CBRE_Valuation fee for YE2025 - Report issuance - INV.00001225 - Phi dinh gia cuoi nam 2025</t>
  </si>
  <si>
    <t>REF222A2610JHQUKEB9 B/O 8680028808 CONG TY CO PHAN TCS INDUSTRIAL F/O 117222489 CTY CP TV XD GIA TRI KY THUAT VIET NHH01307001 TCS_VEV_4th Payment for Design service fee upon Awarding General Contractor.</t>
  </si>
  <si>
    <t>14/01/2026 13:59:00</t>
  </si>
  <si>
    <t>REF222A2610MVC44MVL B/O 1329397986 CTCP DV KHKT VA SX GOM SU KIM TRUC DONG NAI F/O 1053037351 CONG TY CO PHAN SAO HOA TOAN QUOC NHH79665001 KTR_Payment SHL interest up to 30.11.25 for VC3 - KTR tra lai vay cho VC3</t>
  </si>
  <si>
    <t>REF222A2610PAANZXX3 B/O 1329397986 CTCP DV KHKT VA SX GOM SU KIM TRUC DONG NAI F/O 668877996688 CONG TY CO PHAN DAU TU PHAT TRIEN NHA VA DO THI IDICO NHH01311001 KTR_IDICO_Install galvanometer - Misan and HJC - INV.00023192 - Lap dat dien ke</t>
  </si>
  <si>
    <t>REFUND CAUSE Error response - REFUND CAUSE Error response</t>
  </si>
  <si>
    <t>05/01/2026 09:21:05</t>
  </si>
  <si>
    <t>REM 9901CI260105000053059 B/O CT TNHH HONDA LOGICOM (VIET NAM) F/O-2220131688 BW ID LOGISTICS HAI AN CO., LTD DTLS-REF/202601051010011002593501203008 IBVCB.202601025087072655.21.Honda Logicom - Payment of WH rental fee, electric and water fee in Jan in Iv 43 on 01/2025 Bank Charge .00 VAT .00</t>
  </si>
  <si>
    <t>05/01/2026 09:31:29</t>
  </si>
  <si>
    <t>REM 9901CI260105000057857 B/O CT TNHH SAN PHAM KIM LOAI YU XING VIET N F/O-22210001133456 CONG TY TNHH MOT THANH VIEN PHAT TRIEN CONG NGHIEP BW HAI DUONG- HD 03 DTLS-REF/202601051010011002956901203008 CONG TY TNHH SAN PHAM KIM LOAN YUXING VIET NAM TT TIEN NUOC 2025.12 SHUI FEI Bank Charge .00 VAT .00</t>
  </si>
  <si>
    <t>REM 9901CI260105000067952 B/O CONG TY TNHH RR DONNELLEY          (BAC NINH) F/O-22210005179735 CONG TY TNHH PHAT TRIEN CONG NGHIEP NSHL DTLS-REF/202601052010011000070379665001 thanh toan not tien coc kho thuengoai BW theo hop dong soPROC-Logistic-00136-2025 Bank Charge .00 VAT .00</t>
  </si>
  <si>
    <t>REM 9901CI260106000055315 B/O CONG TY TNHH PHU TUNG O TO LT F/O-8620004064 HAI PHONG INDUSTRIAL DEVELOPMENT (VIETNAM) JOINT STOCK COMPANY DTLS-REF/202601062010011000038901649001 Payment of rent for January to March 2026 Bank Charge .00 VAT .00</t>
  </si>
  <si>
    <t>07/01/2026 10:06:14</t>
  </si>
  <si>
    <t>REM 9901CI260107000021454 B/O COHERENT VIETNAM (DONG NAI) CO LTD . F/O-1329397986 KIM TRUC DONA CERAMIC JSC DTLS-REF/202601071010011000103679654001 [3186021452] BIDV TPHCM HCM PAYMENT INV 106 Bank Charge .00 VAT .00</t>
  </si>
  <si>
    <t>07/01/2026 12:25:51</t>
  </si>
  <si>
    <t>REM 9901CI260107000035995 B/O CONG TY TNHH CERTOPLAST VIET NAM F/O-2220987979 CONG TY TNHH PHAT TRIEN CONG NGHIEP bw dong hai DTLS-REF/202601071010011000094501604003 CERTOPLAST VN THANH TOAN PHI QUAN LY NUOC VA DIEN T12 ChargeDetails OUR Bank Charge .00 VAT .00</t>
  </si>
  <si>
    <t>REM 9901CI260107000060778 B/O CONG TY TNHH KOMASPEC VIET NAM F/O-8620004064 HPID VN DTLS-REF/202601072010011000805801203002 IBBIZ6052499864.IBPS.CONG TY TNHH KOMASPEC VIET NAM TT CN HP THUE XUONG QUY 1.26 Bank Charge .00 VAT .00</t>
  </si>
  <si>
    <t>REM 9901CI260108000024340 B/O CT TNHH VAT LIEU MOI HONGYI F/O-8620004064 CTY CP PHAT TRIEN CONG NGHIEP HAI PHONG (VIET NAM) DTLS-REF/202601082010011000483301203002 HONGYI THANH TOAN TIEN PHI THUE XUONG A2/A3 Bank Charge .00 VAT .00</t>
  </si>
  <si>
    <t>REM 9901CI260108000024376 B/O CT TNHH VAT LIEU MOI HONGYI F/O-8620004064 CTY CP PHAT TRIEN CONG NGHIEP HAI PHONG (VIET NAM) DTLS-REF/202601081010011000482301203008 HONGYI THANH TOAN Bank Charge .00 VAT .00</t>
  </si>
  <si>
    <t>08/01/2026 15:01:19</t>
  </si>
  <si>
    <t>REM 9901CI260108000060955 B/O CTY TNHH CONG NGHE ALLTOP (VIETNAM) F/O-22210001133456 BWID HD 03 DTLS-REF/202601082010011000009701642001 Factory rent and water fee Bank Charge .00 VAT .00</t>
  </si>
  <si>
    <t>08/01/2026 15:21:11</t>
  </si>
  <si>
    <t>REM 9901CI260108000065254 B/O TREASURE GRAND TECHNOLOGY LIMITED F/O-2221133456 BWID HD 03 DTLS-REF/202601081010011000066779629001 TREASURE TT NUOC T12 2025 Bank Charge .00 VAT .00</t>
  </si>
  <si>
    <t>09/01/2026 15:34:28</t>
  </si>
  <si>
    <t>REM 9901CI260109000098239 B/O CONG TY TNHH LINKCONN ELECTRONICS VIET N F/O-2221133456 BWID HD 03 DTLS-REF/202601092010011001473401203008 LINKCONN ELECTRONICS VIETNAM CO., LTD-TT PHI THUE NHA XUONG Q1 2026 Bank Charge .00 VAT .00</t>
  </si>
  <si>
    <t>09/01/2026 15:35:11</t>
  </si>
  <si>
    <t>REM 9901CI260109000098355 B/O CONG TY TNHH LINKCONN ELECTRONICS VIET N F/O-2221133456 BWID HD 03 DTLS-REF/202601091010011001470101203004 LINKCONN ELECTRONICS VIETNAM CO., LTD-TT PHI QUAN LY NUOC VA XU LY NUOC THAI T12 HD 00000189 Bank Charge .00 VAT .00</t>
  </si>
  <si>
    <t>10/01/2026 15:16:46</t>
  </si>
  <si>
    <t>REM 9901CI260110000052679 B/O CONG TY TNHH TRUSTTAG VIET NAM F/O-2221133456 BWID HD 03 DTLS-REF/202601101010011000771201203008 Thanh toan phi xl nuoc thai 12.2025 hd 199 Bank Charge .00 VAT .00</t>
  </si>
  <si>
    <t>10/01/2026 16:13:22</t>
  </si>
  <si>
    <t>REM 9901CI260110000061351 B/O CONG TY TNHH TRUSTTAG VIET NAM F/O-2221133456 BWID HD 03 DTLS-REF/202601102010011000869801203005 Thanh toan tien thue nha xuong quy 01.02.03/2026 Bank Charge .00 VAT .00</t>
  </si>
  <si>
    <t>12/01/2026 08:38:14</t>
  </si>
  <si>
    <t>REM 9901CI260112000009122 B/O CONG TY TNHH CERTOPLAST VIET NAM F/O-2220987979 CONG TY TNHH PHAT TRIEN CONG NGHIEP bw dong hai DTLS-REF/202601122010011000576379604001 CERTOPLAST VN THANH TOAN TIEN THUE XUONG QUY 1.2026 ChargeDetails OUR Bank Charge .00 VAT .00</t>
  </si>
  <si>
    <t>12/01/2026 11:19:48</t>
  </si>
  <si>
    <t>REM 9901CI260112000037630 B/O CTY TNHH SABLE ELECTRONICS (VN) F/O-2221133456 BWID HD 03 DTLS-REF/202601122010011000002801642001 Sable payment Bank Charge .00 VAT .00</t>
  </si>
  <si>
    <t>13/01/2026 10:43:01</t>
  </si>
  <si>
    <t>REM 9901CI260113000029948 B/O SNOW KING GLOBAL COMPANY LIMITED F/O-2220830888 CONG TY TNHH PHAT TRIEN CONG NGHIEP BW PHU NGHIA DTLS-REF/202601131010011000093079617001 TT VNMN301RE N 000001SBFYFK2601040001 Bank Charge .00 VAT .00</t>
  </si>
  <si>
    <t>14/01/2026 09:40:17</t>
  </si>
  <si>
    <t>REM 9901CI260114000019988 B/O SILICON CARBIDE VIETNAM LIMITED LIABILITY COMPANY F/O-1329397986 KIM TRUC DONA CERAMIC JSC DTLS-REF/202601142010011000119679627001 PMT ELECTRIC , RENTAL BUILDING INV INV 3-105                          5B 2.F1,F2,5A 1.F1,F2              SIC VN PMT DEPOSIT LEASING BUILDING Bank Charge .00 VAT .00</t>
  </si>
  <si>
    <t>14/01/2026 13:10:21</t>
  </si>
  <si>
    <t>REM 9901CI260114000041264 B/O CT TNHH DAIN TECHNOLOGY VIET NAM F/O-2221133456 BWID HD 03 DTLS-REF/202601142010011000535101203004 BWID HD 03 (202601-202603) Bank Charge .00 VAT .00</t>
  </si>
  <si>
    <t>14/01/2026 13:17:24</t>
  </si>
  <si>
    <t>REM 9901CI260114000041678 B/O CT TNHH DAIN TECHNOLOGY VIET NAM F/O-2221133456 BWID HD 03 DTLS-REF/202601141010011000541001203008 BWID HD 03 Bank Charge .00 VAT .00</t>
  </si>
  <si>
    <t>15/01/2026 12:02:17</t>
  </si>
  <si>
    <t>REM 9901CI260115000050156 B/O COHERENT VIETNAM (DONG NAI) CO LTD . F/O-1329397986 KIM TRUC DONA CERAMIC JSC DTLS-REF/202601152010011000278579654001 [3186060671] BIDV TPHCM HCM PAYMENT INV 0002,0005- BIDV - CN NAM SAI GON Bank Charge .00 VAT .00</t>
  </si>
  <si>
    <t>15/01/2026 14:37:43</t>
  </si>
  <si>
    <t>REM 9901CI260115000078704 B/O CONG TY TNHH RRC POWER SOLUTIONS F/O-1500871050 CONG TY TNHH PHAT TRIEN CONG NGHIEP BW NAM DINH VU DTLS-REF/202601151010011000999501203005 Payment for waste water treatment fee Dec - BW Bank Charge .00 VAT .00</t>
  </si>
  <si>
    <t>15/01/2026 14:44:53</t>
  </si>
  <si>
    <t>REM 9901CI260115000080514 B/O CTY TNHH SABLE ELECTRONICS (VN) F/O-2221133456 BWID HD 03 DTLS-REF/202601152010011000014401642001 Sable payment INV 1C25TBA00000190 Bank Charge .00 VAT .00</t>
  </si>
  <si>
    <t>15/01/2026 15:13:41</t>
  </si>
  <si>
    <t>REM 9901CI260115000091596 B/O TREASURE GRAND TECHNOLOGY LIMITED F/O-2221133456 BWID HD 03 DTLS-REF/202601152010011000116279629001 TREASURE TT THUE XUONG Q126 Bank Charge .00 VAT .00</t>
  </si>
  <si>
    <t>REM 9901SP260109000116789 B/O CONG TY TNHH CONG NGHIEP MAX FLEX F/O-8620004064 CTY CP PHAT TRIEN CONG NGHIEP HAI PHONG (VIET NAM) DTLS-REF/164A2610DTMT6DAU the rent Q1.2026 for A1 Bank Charge .00 VAT .00</t>
  </si>
  <si>
    <t>14/01/2026 17:18:54</t>
  </si>
  <si>
    <t>REM 9901SP260114000083840 B/O CT TNHH CONG NGHE THONG MINH RONNIE VN F/O-2221133456 BWID HD 03 DTLS-REF/346A2610N33DX7GX RONNIE THANH TOAN TIEN THUE XUONG Q1 2026 Bank Charge .00 VAT .00</t>
  </si>
  <si>
    <t>15/01/2026 14:00:08</t>
  </si>
  <si>
    <t>REM 9901SP260115000069224 B/O CONG TY TNHH XDC INDUSTRIES VIET NAM F/O-2220987979 CTY TNHH PT CONG NGHIEP BW DONG HAI DTLS-REF/168A2610PHAD3Q26 Payment for water and sewerage in Nov-Dec 2025, according to INV00000092, Contract BWDH/PLC/23003/PL1 Bank Charge .00 VAT .00</t>
  </si>
  <si>
    <t>REM 9901SP260115000069225 B/O CONG TY TNHH XDC INDUSTRIES VIET NAM F/O-2220987979 CTY TNHH PT CONG NGHIEP BW DONG HAI DTLS-REF/168A2610PHACX1SC Payment for rent for first quarter in 2026, according to INV00000001, Contract BWDH/PLC/23003 Bank Charge .00 VAT .00</t>
  </si>
  <si>
    <t>REM 9901SP260115000120125 B/O CONG TY TNHH MAX VANADIUM VIET NAM F/O-8620004064 CTY CP PHAT TRIEN CONG NGHIEP HAI PHONG (VIET NAM) DTLS-REF/168A2610PQ7CWKQQ Thanh toan tien thue nha xuong Quy 1/2026 Bank Charge .00 VAT .00</t>
  </si>
  <si>
    <t>04/01/2026 16:09:04</t>
  </si>
  <si>
    <t>REM Tfr Ac:2220830888 O@L_020001_212001_0_0_1193664334_PD18007265621_TT tien dien: 12/2025 Cong ty TNHH Phat trien cong nghiep BW Phu Nghia-PD18007265621-HD:1417882813-so tien:1710763</t>
  </si>
  <si>
    <t>02/01/2026 16:21:00</t>
  </si>
  <si>
    <t>REM Tfr Ac:2221133456 O@L_021001_212001_0_0_1184011134_PM17000096329_TT tien dien  1/12/2025 Cong ty TNHH Mot Thanh Vien Phat trien cong nghiep BW Hai Duong HD 03 PM17000096329 HD:1709392013 So tien: 42124320 VND</t>
  </si>
  <si>
    <t>REM Tfr Ac:2225179735 O@L_021001_212001_0_0_1184012039_PA22010240717_TT tien dien  1/12/2025 CONG TY TNHH PHAT TRIEN CONG NGHIEP NSHL PA22010240717 HD:1709570699 So tien: 92504415 VND</t>
  </si>
  <si>
    <t>14-01-2026 07:29:18</t>
  </si>
  <si>
    <t>Rent 220251200154</t>
  </si>
  <si>
    <t>09-01-2026 14:56:49</t>
  </si>
  <si>
    <t>SHDC THANH TOAN TIEN HANG HD 353 - BW</t>
  </si>
  <si>
    <t>15-01-2026 09:56:33</t>
  </si>
  <si>
    <t>SHENG SHING VN HD THANH TOAN TIEN NUOC T12  HD 00000362 CHO BW</t>
  </si>
  <si>
    <t>15-01-2026 10:19:43</t>
  </si>
  <si>
    <t>SHENG SHING VN HD THANH TOAN TIEN THUE NHA XUONG HD 00000012 CHO BW</t>
  </si>
  <si>
    <t>SHGD:10000018.DD:260112.BO:WOOIN TECHNOLOGY VINA COMPANY LIMITED.Remark:RENTAL FEE</t>
  </si>
  <si>
    <t>SHGD:10000105.DD:260108.BO:THE VALSPAR (VN) CORP LTD LOT 104/2-4, ROAD 4, AMATA INDUSTRI.Remark:[3186031269] VIETCOMBANK VN HCM PAYMENT FOR</t>
  </si>
  <si>
    <t>SHGD:10000337.DD:260113.BO:SMTV COMPANY LIMITED.Remark:SMTV TT TIEN THUE XUONG Q1.2026 LAN 1</t>
  </si>
  <si>
    <t>SHGD:10000776.DD:260106.BO:TCL SMART DEVICE (VIET NAM) COMPANY LIMITED.Remark:1C25TBA149 150 151 152</t>
  </si>
  <si>
    <t>SHGD:10001231.DD:260113.BO:GOOD VIEW PLASTICS (VIETNAM) COMPANY LIMTED.Remark:[3186049810] VIETCOMBANK VN HCM INV/BSL/00010</t>
  </si>
  <si>
    <t>SHGD:10001275.DD:260115.BO:CONG TY TNHH WANG LONG (VN).Remark:TT F305 PQL NHA XUONG T12/2025 01/12-31/12 504 - CTY TNHH PHAT TRIEN CONG NGHI</t>
  </si>
  <si>
    <t>SHGD:10001276.DD:260115.BO:CONG TY TNHH WANG LONG (VN).Remark:TT F305 PHI THUE XUONG 2026.01 22 - CTY TNHH PHAT TRIEN CONG NGHIEP LONG BINH</t>
  </si>
  <si>
    <t>SHGD:10002534.DD:260109.BO:CONG TY TRACH NHIEM HUU HAN HOA CHAT WASHIN VIET NAM.Remark:INVOICE 512</t>
  </si>
  <si>
    <t>SHGD:10003213.DD:260107.BO:CONG TY TNHH CONG NGHE KAIBAO(VIET NAM).Remark:CHUYEN TIEN CTY THUAN THANH 3B</t>
  </si>
  <si>
    <t>SHGD:10003496.DD:260109.BO:CONG TY TNHH SOLAIR INDUSTRIES.Remark:T/T TIEN THUE NHA XUONG TU 01/01/2026 DEN 31/03/2026 HD34</t>
  </si>
  <si>
    <t>SHGD:10003737.DD:260105.BO:GOOD VIEW PLASTICS (VIETNAM) COMPANY LIMTED.Remark:[3186008843] VIETCOMBANK VN HCM INV-280</t>
  </si>
  <si>
    <t>SHGD:10003960.DD:260112.BO:41412252-CONG TY TNHH FRIWO VIET NAM.Remark:CTY TNHH FRIWO VN PAYMENT FOR RENTAL F1 Q1.2026 RENT20260112108448169</t>
  </si>
  <si>
    <t>SHGD:10006043.DD:260112.BO:CONG TY TNHH NHUA KY THUAT SAKURA.Remark:SKR TT HD 16, 29 ChargeDetails OUR</t>
  </si>
  <si>
    <t>SHGD:10006667.DD:260114.BO:CONG TY CO PHAN CONG NGHE &amp; TRUYEN THONG VIET NAM.Remark:VNTT TT TIEN THUE VAN PHONG Q1 2026 HD 0036</t>
  </si>
  <si>
    <t>SHGD:10006814.DD:260114.BO:CONG TY TNHH MASPRO VIET NAM.Remark:MASPRO VN TT PHI QUAN LY XUONG 40A T12.2025 HD492 CHO CN LONG BINH</t>
  </si>
  <si>
    <t>SHGD:10007041.DD:260114.BO:CONG TY TNHH MASPRO VIET NAM.Remark:MASPRO VN TT TIEN THUE XUONG 40A T01 DEN T03.2026 HD15 CHO CONG NGHIEP LONG B</t>
  </si>
  <si>
    <t>SHGD:10009989.DD:260109.BO:CONG TY TNHH VAT LIEU DIEN TU QILIDA VIET NAM.Remark:TT TIEN THUE XUONG 6 THANG CTY TT3B</t>
  </si>
  <si>
    <t>SHGD:10010080.DD:260109.BO:CONG TY TNHH VAT LIEU DIEN TU QILIDA VIET NAM.Remark:TT TIEN NUOC THANG 12 CTY THUAN THANH 3B</t>
  </si>
  <si>
    <t>SHGD:10012895.DD:260115.BO:CTCP MY PHAM QUOC TE THUY DUNG.Remark:THUYDUNG- TIEN THUE KHO CU CHI T1-2026 THEO HOA DON 7</t>
  </si>
  <si>
    <t>SHGD:10014039.DD:260109.BO:CONG TY TNHH KY THUAT SUNTONE.Remark:PAYMENT FOR INVOICE NO 00000152</t>
  </si>
  <si>
    <t>SHGD:10015651.DD:260105.BO:CONG TY TNHH KIM LOAI NGU KIM TIN PING VIET NAM.Remark:CONG TY TNHH KIM LOAI NGU KIM TIN PING VIET NAM thanh toan</t>
  </si>
  <si>
    <t>SHGD:10016164.DD:260105.BO:CTY TNHH THIET BI THONG MINH TAIKAN (VIET NAM).Remark:Plant water and electricity charges</t>
  </si>
  <si>
    <t>SHGD:10016253.DD:260105.BO:CTY TNHH THIET BI THONG MINH TAIKAN (VIET NAM).Remark:Workshop rent</t>
  </si>
  <si>
    <t>SHGD:10017493.DD:260105.BO:CONG TY TNHH YANG GUANG.Remark:CTY YANG GUANG TT HD8 NGAY 05-01-2026</t>
  </si>
  <si>
    <t>08-01-2026 10:52:00</t>
  </si>
  <si>
    <t>So GD goc: 10000002 JYSP VN THANH TOAN THUE XUONG TU 1/1/2026 DEN 14/7/2026</t>
  </si>
  <si>
    <t>07-01-2026 09:05:29</t>
  </si>
  <si>
    <t>So GD goc: 10000007 FULUHASHI THANH TOAN TIEN NHA XUONG TU 01.01.2026 DEN 31.03.2026</t>
  </si>
  <si>
    <t>So GD goc: 10000008 FULUHASHI THANH TOAN HD 359</t>
  </si>
  <si>
    <t>07-01-2026 09:05:21</t>
  </si>
  <si>
    <t>So GD goc: 10000009 FULUHASHI THANH TOAN TIEN NHA XUONG TU 01.01.2026 DEN 31.03.2026</t>
  </si>
  <si>
    <t>08-01-2026 10:54:29</t>
  </si>
  <si>
    <t>So GD goc: 10000059 TT TIEN NUOC NHA XUONG A5,A6</t>
  </si>
  <si>
    <t>12-01-2026 09:49:51</t>
  </si>
  <si>
    <t>So GD goc: 10000063 Payment196287</t>
  </si>
  <si>
    <t>14-01-2026 10:11:09</t>
  </si>
  <si>
    <t>So GD goc: 10000082 Rent</t>
  </si>
  <si>
    <t>14-01-2026 16:13:01</t>
  </si>
  <si>
    <t>So GD goc: 10000100 MOONS TT CHI PHI THUE NHA XUONG TU  01/01-31/03 THEO HD 00000003</t>
  </si>
  <si>
    <t>06-01-2026 16:40:18</t>
  </si>
  <si>
    <t>So GD goc: 10000108 MOONS TT TIEN DIEN NUOC T12.2025 HD  267,268</t>
  </si>
  <si>
    <t>09-01-2026 17:29:31</t>
  </si>
  <si>
    <t>So GD goc: 10000120 DT2399 2600990722200059 Wastewater treatment fee</t>
  </si>
  <si>
    <t>13-01-2026 10:27:39</t>
  </si>
  <si>
    <t>So GD goc: 10000143 HANGCHA 3604004203 TT CP THUENHA XUONG Q1.2026</t>
  </si>
  <si>
    <t>06-01-2026 09:16:38</t>
  </si>
  <si>
    <t>So GD goc: 10000175 THANH TOAN TIEN HOA DON SO 457,478 THANG 11.2025</t>
  </si>
  <si>
    <t>09-01-2026 11:38:44</t>
  </si>
  <si>
    <t>So GD goc: 10000199 JYSP VN PAYMENT WATER FEE IN DEC 2025</t>
  </si>
  <si>
    <t>10-01-2026 09:22:10</t>
  </si>
  <si>
    <t>So GD goc: 10000219 Pmt for electricity,water Dec25 ChargeDetails OUR</t>
  </si>
  <si>
    <t>07-01-2026 10:57:41</t>
  </si>
  <si>
    <t>So GD goc: 10000232 2026 Q1</t>
  </si>
  <si>
    <t>07-01-2026 11:12:14</t>
  </si>
  <si>
    <t>So GD goc: 10000233 2026 Q1</t>
  </si>
  <si>
    <t>07-01-2026 11:02:49</t>
  </si>
  <si>
    <t>So GD goc: 10000245 FANGZUWEIKUAN</t>
  </si>
  <si>
    <t>12-01-2026 09:12:19</t>
  </si>
  <si>
    <t>So GD goc: 10000249 PAYMENT FACTOFY RENTALS IN JAN, INVOICE NO.00000012, DATED 09 JAN 2026</t>
  </si>
  <si>
    <t>So GD goc: 10000262 CT THUAN PHONG TT CP THUE KHO 202601 INV 2 CT tu 0531002562100 CTTNHH MTV CHUYEN PHAT NHANH THUAN PHONG  toi 118002972254 CTCP DAU TU VA PHAT TRIEN CONG NGHIEPLE MINH XUAN 3 SAIGON NH C</t>
  </si>
  <si>
    <t>09-01-2026 11:35:49</t>
  </si>
  <si>
    <t>So GD goc: 10000355 ASINK THANH TOAN BW HAI DUONG CHI PHI THUE NHA XUONG THANG 1-3.2026 VA TIEN NUOC THANG 12.2025</t>
  </si>
  <si>
    <t>So GD goc: 10000367 TT VNMN307B5 N PAYMENT FOR VENDOR</t>
  </si>
  <si>
    <t>14-01-2026 08:52:57</t>
  </si>
  <si>
    <t>So GD goc: 10000445 TT VNMN307T4 N TT HD: 32 THUE KHO BW BAU BANGA17,A18</t>
  </si>
  <si>
    <t>08-01-2026 15:01:44</t>
  </si>
  <si>
    <t>So GD goc: 10000496 DRINDA</t>
  </si>
  <si>
    <t>12-01-2026 15:28:40</t>
  </si>
  <si>
    <t>So GD goc: 10000528 INTERNAL TRANSFER FORM VCB HCM TO VTB TS</t>
  </si>
  <si>
    <t>13-01-2026 09:44:59</t>
  </si>
  <si>
    <t>So GD goc: 10000552 TT1446998 GHTK THANH TOAN CHI PHI VAN HANH TRAM XU LY NUOC THAI THANG 01.2026 KHO TAN PHU TRUNG</t>
  </si>
  <si>
    <t>10-01-2026 08:03:22</t>
  </si>
  <si>
    <t>So GD goc: 10000649 CT THUAN PHONG TT CP DIEN NUOC 202512 INV 95 CT tu 0531002562100 CTTNHH MTV CHUYEN PHAT NHANH THUAN PHONG  toi 110002974996 CTCP DT VA PT CN TAN DONG HIEP B BINH DUONG NH Cong thuong VN</t>
  </si>
  <si>
    <t>10-01-2026 08:03:20</t>
  </si>
  <si>
    <t>So GD goc: 10000684 CT THUAN PHONG TT CP THUE KHO 202601 INV 3 CT tu 0531002562100 CTTNHH MTV CHUYEN PHAT NHANH THUAN PHONG  toi 110610727979 CT TNHH PT CONG NGHIEP BW TAN PHU TRUNG NH Cong thuong VN (Viet</t>
  </si>
  <si>
    <t>06-01-2026 17:34:17</t>
  </si>
  <si>
    <t>So GD goc: 10000690 pay for water and electricity</t>
  </si>
  <si>
    <t>06-01-2026 17:35:16</t>
  </si>
  <si>
    <t>So GD goc: 10000691 Pay the property management fee</t>
  </si>
  <si>
    <t>08-01-2026 13:20:59</t>
  </si>
  <si>
    <t>So GD goc: 10000753 THANH TOAN TIEN NHA, THUE GTGT (01/01/2026 - 31/03/2026) CUA DIA CHI THUE NHA KHO SO WH1.1 KHU CONG NGHIEP XUYEN A, X. MY HANH BAC, H. DUC H ChargeDetails OUR</t>
  </si>
  <si>
    <t>14-01-2026 13:54:47</t>
  </si>
  <si>
    <t>So GD goc: 10000823 TT VNMN308TG N UTILITIES</t>
  </si>
  <si>
    <t>08-01-2026 08:20:41</t>
  </si>
  <si>
    <t>So GD goc: 10000858 Cty Condor TT Cty BW hd 22 Pay Factory Rent, Jan - Mar</t>
  </si>
  <si>
    <t>09-01-2026 11:39:52</t>
  </si>
  <si>
    <t>So GD goc: 10000875 LEASING Q1 2026 VAT..000006</t>
  </si>
  <si>
    <t>12-01-2026 16:27:23</t>
  </si>
  <si>
    <t>So GD goc: 10000884 RENT 2026/1-3</t>
  </si>
  <si>
    <t>15-01-2026 15:18:45</t>
  </si>
  <si>
    <t>So GD goc: 10001011 INTERNAL TRANSFER FROM VCB HCM TO VTB TS</t>
  </si>
  <si>
    <t>12-01-2026 08:14:29</t>
  </si>
  <si>
    <t>So GD goc: 10001169 IBBIZ6052754252.IBPS.CONG TY TNHH MAN HINH ELITE VIET NAM THANH TOAN CHO CONG TY BW THEO HOA DON SO 1C26TBA00000053</t>
  </si>
  <si>
    <t>10-01-2026 09:05:41</t>
  </si>
  <si>
    <t>So GD goc: 10001203 //SAL2026009S107005644063//CTY JY Phi dat coc dam bao A 18 6 CN A</t>
  </si>
  <si>
    <t>10-01-2026 08:15:53</t>
  </si>
  <si>
    <t>So GD goc: 10001210 //SAL2026009S107005644063//CTY JY Thanh toan hoa don so 50</t>
  </si>
  <si>
    <t>So GD goc: 10001212 //SAL2026009S107005644063//CTY JY Thanh toan hoa don so 48</t>
  </si>
  <si>
    <t>10-01-2026 08:17:39</t>
  </si>
  <si>
    <t>So GD goc: 10001233 //SAL2026009S107005644063//CTY JY Thanh toan hoa don so 56</t>
  </si>
  <si>
    <t>So GD goc: 10001253 //SAL2026009S107005644063//CTY JY Thanh toan hoa don so 49</t>
  </si>
  <si>
    <t>09-01-2026 13:51:39</t>
  </si>
  <si>
    <t>So GD goc: 10001470 TT1445864 GHTK HCM163.01-THANH TOAN TIEN THUE KHO TAN PHU TRUNG TU 01.01.2026 DEN 31.01.2026</t>
  </si>
  <si>
    <t>15-01-2026 15:03:19</t>
  </si>
  <si>
    <t>So GD goc: 10001471 CONG TY TNHH FUAN TT TIEN THUEXUONG T1</t>
  </si>
  <si>
    <t>15-01-2026 17:26:45</t>
  </si>
  <si>
    <t>So GD goc: 10001543 TT VNM600ANQ N HARTING VN TT HOA DON 349 -WATER BILL (20.NOV-20.DEC.25)</t>
  </si>
  <si>
    <t>09-01-2026 11:39:24</t>
  </si>
  <si>
    <t>So GD goc: 10001644 TT VNM6005RL N HARTING VN TT TIEN THU XUONG Q1.26-FACTORY RENTAL FEE (JAN-MAR.26)</t>
  </si>
  <si>
    <t>09-01-2026 14:46:49</t>
  </si>
  <si>
    <t>So GD goc: 10001654 BW WATER FEE DEC 25 VAT.00000201</t>
  </si>
  <si>
    <t>14-01-2026 14:05:51</t>
  </si>
  <si>
    <t>So GD goc: 10001676 TT1443461 GHTK MKH NUOC-TAN PHU TRUNG TT TIEN NUOC TU 2025-11-22 DEN 2025-12-21 TAN PHU TRUNG</t>
  </si>
  <si>
    <t>14-01-2026 14:05:50</t>
  </si>
  <si>
    <t>So GD goc: 10001677 TT1443462 GHTK MKH C00000267 TT TIEN NUOC TU 2025-11-22 DEN 2025-12-21 TAN PHU TRUNG</t>
  </si>
  <si>
    <t>12-01-2026 13:36:09</t>
  </si>
  <si>
    <t>So GD goc: 10001693 --TAT TOAN TGCKH SO 517360839 NGAY 12/12/2025 CHUYEN VE TK VIETINBANK CN BINH DUONG CUA CTY CP SAO HOA TOAN QUOC (PHI CHUYEN TIEN TOI DA 1.000.000 VND TRU VAO TK TG TRUOC KHI TAT TOAN)--</t>
  </si>
  <si>
    <t>14-01-2026 14:05:19</t>
  </si>
  <si>
    <t>So GD goc: 10001724 TT1443460 GHTK MKH PE09000208673 TT TIEN DIEN TU 2025-11-22 DEN 2025-12-21 TAN PHU TRUNG</t>
  </si>
  <si>
    <t>12-01-2026 14:12:39</t>
  </si>
  <si>
    <t>So GD goc: 10001921 --TAT TOAN TGCKH SO 517364729 NGAY 12/12/2025 CHUYEN VE TK VIETINBANK CN BINH DUONG CUA CTY CP SAO HOA TOAN QUOC (PHI CHUYEN TIEN TOI DA 1.000.000 VND TRU VAO TK TG TRUOC KHI TAT TOAN)--</t>
  </si>
  <si>
    <t>14-01-2026 08:09:23</t>
  </si>
  <si>
    <t>So GD goc: 10002067 SPX WH_Rent 50SOCMC TT cp thue kho tu 01/01/26-31/01/26</t>
  </si>
  <si>
    <t>So GD goc: 10002521 CT THUAN PHONG TT CP DIEN NUOC 202512 INV 54 CT tu 0531002562100 CTTNHH MTV CHUYEN PHAT NHANH THUAN PHONG  toi 118002972254 CTCP DAU TU VA PHAT TRIEN CONG NGHIEPLE MINH XUAN 3 SAIGON NH</t>
  </si>
  <si>
    <t>09-01-2026 08:13:00</t>
  </si>
  <si>
    <t>So GD goc: 10002660 Magnetec pay for INV.2.3.8</t>
  </si>
  <si>
    <t>14-01-2026 08:11:05</t>
  </si>
  <si>
    <t>So GD goc: 10002683 CT THUAN PHONG TT CP THUE KHO 202601 INV 4 CT tu 0531002562100 CTTNHH MTV CHUYEN PHAT NHANH THUAN PHONG  toi 110002974996 CTCP DT VA PT CN TAN DONG HIEP B BINH DUONG NH Cong thuong VN (</t>
  </si>
  <si>
    <t>07-01-2026 08:18:29</t>
  </si>
  <si>
    <t>So GD goc: 10002861 IBBIZ6052385715.IBPS.HO YUAN  managerment fee 2011 20122025</t>
  </si>
  <si>
    <t>07-01-2026 08:18:33</t>
  </si>
  <si>
    <t>So GD goc: 10002861 IBBIZ6052385727.IBPS.HO YUAN  rental fee from 01012026 to 31032026</t>
  </si>
  <si>
    <t>09-01-2026 13:56:22</t>
  </si>
  <si>
    <t>So GD goc: 10002882 TT VNMN2ZS0O N KEX THANH TOAN TIENTHUE KHO Q1.2026</t>
  </si>
  <si>
    <t>09-01-2026 10:08:42</t>
  </si>
  <si>
    <t>So GD goc: 10003004 CONG TY MAEDEN TT CTY BW TIEN THUE NHA XUONG T01 DEN T03 NAM 2026</t>
  </si>
  <si>
    <t>15-01-2026 17:27:19</t>
  </si>
  <si>
    <t>So GD goc: 10003394 Payment for workshop rental fees for Q1/2026 and monthly management expenses, including electricity and wastewater tr</t>
  </si>
  <si>
    <t>15-01-2026 08:55:37</t>
  </si>
  <si>
    <t>So GD goc: 10003776 ABCD tt tien nuoc sach, nuoc thai tu 20/11-&gt;20/12/25 (HD so 00000337)</t>
  </si>
  <si>
    <t>07-01-2026 10:26:49</t>
  </si>
  <si>
    <t>So GD goc: 10003777 IBBIZ6052469439.IBPS.CTY TNHH THIET BI Y TE KOOLCARE TT PHI THUE XUONG THEO HD SO 33 NGAY 5.1.2026 CHO CTY 3703067405</t>
  </si>
  <si>
    <t>09-01-2026 11:35:04</t>
  </si>
  <si>
    <t>So GD goc: 10003782 CT BOCHENG THANH TOAN HD 00000016 BW</t>
  </si>
  <si>
    <t>09-01-2026 17:37:14</t>
  </si>
  <si>
    <t>So GD goc: 10003804 SF</t>
  </si>
  <si>
    <t>15-01-2026 08:25:23</t>
  </si>
  <si>
    <t>So GD goc: 10003950 CONG TY SUNLU TT HD367 PHI QL XU LY NUOC THAI (CONG TY BW HAI DUONG)</t>
  </si>
  <si>
    <t>12-01-2026 10:08:50</t>
  </si>
  <si>
    <t>So GD goc: 10003992 CT DAI VIET TT TIEN THUE XUONG QUY 1.2026 THEO HD SO 5 CHO CT BW HAI DUONG DU AN 2</t>
  </si>
  <si>
    <t>15-01-2026 08:56:19</t>
  </si>
  <si>
    <t>So GD goc: 10004188 Yuehai thanh toan tien thue xuong QI 2026</t>
  </si>
  <si>
    <t>08-01-2026 16:11:52</t>
  </si>
  <si>
    <t>So GD goc: 10004877 CTY OWEN TT BW HD 29</t>
  </si>
  <si>
    <t>10-01-2026 12:29:09</t>
  </si>
  <si>
    <t>So GD goc: 10004957 TT TIEN THUE XUONG T1.2026</t>
  </si>
  <si>
    <t>09-01-2026 15:29:31</t>
  </si>
  <si>
    <t>So GD goc: 10005070 TT VNM6006GS N 00000093</t>
  </si>
  <si>
    <t>09-01-2026 15:49:59</t>
  </si>
  <si>
    <t>So GD goc: 10005100 TT VNMN2ZUVI N TT HD 94,97,98</t>
  </si>
  <si>
    <t>15-01-2026 16:37:13</t>
  </si>
  <si>
    <t>So GD goc: 10005199 TT PHI TIEN NUOC KHO THUE HD 111,115</t>
  </si>
  <si>
    <t>06-01-2026 13:24:19</t>
  </si>
  <si>
    <t>So GD goc: 10005247 DGW TT HD 3 CP THUE KHO VA CP DICH VU T1 2026</t>
  </si>
  <si>
    <t>09-01-2026 10:04:25</t>
  </si>
  <si>
    <t>So GD goc: 10005508 Magnetec pay for INV.83</t>
  </si>
  <si>
    <t>05-01-2026 17:30:20</t>
  </si>
  <si>
    <t>So GD goc: 10005844 TT VNMN2Z45Y N KEX THANH TOAN TIEN DIENNUOC 12.2025</t>
  </si>
  <si>
    <t>10-01-2026 13:38:55</t>
  </si>
  <si>
    <t>So GD goc: 10005852 IBBIZ6052778533.IBPS.YUEJIXING TT HD 3 CHO BW TIEN THUE XUONG THANG 1-3 NAM 2026</t>
  </si>
  <si>
    <t>14-01-2026 14:04:49</t>
  </si>
  <si>
    <t>So GD goc: 10006003 SCC-VC3-Thanh toan phi dich vu (management fee)</t>
  </si>
  <si>
    <t>14-01-2026 14:05:52</t>
  </si>
  <si>
    <t>So GD goc: 10006025 ITTA TT TIEN THUE DAT TRAM BTS LAN2024-056 TU 01.01.26 - 31.12.26 HD 03 NGAY 06.01.25 CAN TRU VOI TIEN CK DU NGAY 13.11.2025</t>
  </si>
  <si>
    <t>13-01-2026 14:08:00</t>
  </si>
  <si>
    <t>So GD goc: 10006129 CTY NHV TT PHI THUE XUONG T1 2 3 HD 13 CHO CTY TNHH PHAT TRIEN CONG NGHIEP BW NHON TRACH- DU AN 2</t>
  </si>
  <si>
    <t>08-01-2026 13:31:29</t>
  </si>
  <si>
    <t>So GD goc: 10006442 Sinno TT tien thue xuong cho BW BAC NINH theo HD 2</t>
  </si>
  <si>
    <t>15-01-2026 17:38:23</t>
  </si>
  <si>
    <t>So GD goc: 10006590 Wongeak HD chuyen tien  Phi nuoc sach tu 20.11.2025 den 20.12.2025 hd : 354 -29.12.2025</t>
  </si>
  <si>
    <t>13-01-2026 15:34:12</t>
  </si>
  <si>
    <t>So GD goc: 10006916 MBBIZ6053011249.IBPS.AMP COMPOSITES COMPANY TT phi thue xuong den T3.2026 inv 31 date 05.01.2026</t>
  </si>
  <si>
    <t>14-01-2026 15:07:39</t>
  </si>
  <si>
    <t>So GD goc: 10007329 CONG TY TNHH AUTEL ROBOTICS VIET NAM TT PHI THUE NHA XUONG VA THUE NHA XE T01+02+03</t>
  </si>
  <si>
    <t>07-01-2026 15:10:44</t>
  </si>
  <si>
    <t>So GD goc: 10007515 SCC-VC3-Thanh toan chi phi tham dinh (valuation fee)</t>
  </si>
  <si>
    <t>12-01-2026 15:45:59</t>
  </si>
  <si>
    <t>So GD goc: 10007578 [3186046203] NH CONG THUONG DONG DA HN MATERIAL PURCHASES</t>
  </si>
  <si>
    <t>09-01-2026 13:49:09</t>
  </si>
  <si>
    <t>So GD goc: 10007980 ITL mien Bac thanh toan INV 210 ChargeDetails OUR</t>
  </si>
  <si>
    <t>09-01-2026 13:50:09</t>
  </si>
  <si>
    <t>So GD goc: 10007984 ITL mien Bac thanh toan tien thue xuong ChargeDetails OUR</t>
  </si>
  <si>
    <t>12-01-2026 17:18:22</t>
  </si>
  <si>
    <t>So GD goc: 10008531 CONG TY TNHH PVTECH LIGHTING (BW VIET NAM) TT TIEN THUE XUONG Q1.2026-HD14-BWID</t>
  </si>
  <si>
    <t>07-01-2026 17:03:34</t>
  </si>
  <si>
    <t>So GD goc: 10008866 SYNTHITE THANH TOAN CHO BW BAU BANG BB01 - HD 00000020</t>
  </si>
  <si>
    <t>07-01-2026 16:53:59</t>
  </si>
  <si>
    <t>So GD goc: 10009466 CTY GRETEC TT TIEN THUE NHA XUONG TRA TRUOC (T1/2026-T3/2026)- PHI XU LY NUOC THAI NHA XUONG + PHI NUOC - BW</t>
  </si>
  <si>
    <t>15-01-2026 14:49:57</t>
  </si>
  <si>
    <t>So GD goc: 10009612 IBBIZ6053135151.IBPS.CT TNHH CONG NGHE FSP VIET NAM chuyen tien theo hoa don so 4</t>
  </si>
  <si>
    <t>So GD goc: 10009645 IBBIZ6053135016.IBPS.CT TNHH CONG NGHE FSP VIET NAM chuyen tien theo hoa don so 2</t>
  </si>
  <si>
    <t>08-01-2026 16:54:29</t>
  </si>
  <si>
    <t>So GD goc: 10010315 Payment for Rental factory C3 fee Jan 1 -Mar 31, 2026- BWID</t>
  </si>
  <si>
    <t>08-01-2026 16:54:59</t>
  </si>
  <si>
    <t>So GD goc: 10010318 Payment for Rental factory C2 fee Jan 1 -Mar 31, 2026- BWID</t>
  </si>
  <si>
    <t>09-01-2026 15:13:14</t>
  </si>
  <si>
    <t>So GD goc: 10012116 CTY SUNLITETEK TT HD27 (05/01/2026) CHO CTY BW BAU BANG</t>
  </si>
  <si>
    <t>15-01-2026 15:46:05</t>
  </si>
  <si>
    <t>So GD goc: 10012151 CONG TY SUNLU TT HD17 PHI THUE XUONG TU 1.1.2026 - 31.03.2026 (CONG TY BW HAI DUONG)</t>
  </si>
  <si>
    <t>06-01-2026 12:36:50</t>
  </si>
  <si>
    <t>So GD goc: 10025152 IBBIZ6052384539.IBPS.CONG TY TNHH NAM ANH MFG chuyen tien Thanh toan phi thue xuong A-17B-2-CN-E tu ngay 1/1/2026 den 31/1/2026(DT=2,034m2 don gia 106,294 d/m2/thang)</t>
  </si>
  <si>
    <t>05-01-2026 15:35:41</t>
  </si>
  <si>
    <t>So GD goc: 10035491 Pay the factory rental fee 20260101-20260331</t>
  </si>
  <si>
    <t>05-01-2026 15:36:22</t>
  </si>
  <si>
    <t>So GD goc: 10036656 .</t>
  </si>
  <si>
    <t>14-01-2026 11:04:06</t>
  </si>
  <si>
    <t>So GD goc: 220A2610MNHQ1UHL Nichietsu Machinery payment for Factory A2 VSIP Tu Son rent - Invoice No. INVBBN000258</t>
  </si>
  <si>
    <t>08-01-2026 14:37:59</t>
  </si>
  <si>
    <t>So GD goc: 3186033974Y26 VIETINBANK HOHN INV 1C25TBA 0000015 9</t>
  </si>
  <si>
    <t>08-01-2026 08:10:09</t>
  </si>
  <si>
    <t>So GD goc: 3586003649Y26 NHCT CN 1TPHCMHCM PAYMENT TO VENDOR</t>
  </si>
  <si>
    <t>06-01-2026 15:50:04</t>
  </si>
  <si>
    <t>So GD goc: 432A26108U5MY0WW CTY SHEN YUE THANH TOAN PHI QUAN LY NUOC NHA XUONG CHO CT TNHH DICH VU QUAN LY CONG NGHIEP HN</t>
  </si>
  <si>
    <t>07-01-2026 16:30:05</t>
  </si>
  <si>
    <t>So GD goc: 432A2610AHNC1J25 CTY SHEN YUE THANH TOAN CHO CT TNHH MTV PHAT TRIEN CONG NGHIEP BW BAC NINH</t>
  </si>
  <si>
    <t>08-01-2026 16:34:07</t>
  </si>
  <si>
    <t>So GD goc: 432A2610C5RSVK6Q ODVN TT tien thue xuong Q1.2026 rent the factory</t>
  </si>
  <si>
    <t>09-01-2026 17:30:04</t>
  </si>
  <si>
    <t>So GD goc: 460A2610DQ405W13 CONG TY TNHH AUDEN TECHNO VIET NAM THANH TOAN TIEN</t>
  </si>
  <si>
    <t>05-01-2026 15:46:08</t>
  </si>
  <si>
    <t>So GD goc: 652A261075TY2L7Q ANYING TECHNOLOGY INNOVATION COMPANY LIMITTED THANH TOAN KHOAN TIEN DEN BU DO CHAM DUT THOA THUAN NGUYEN TAC</t>
  </si>
  <si>
    <t>07-01-2026 17:00:07</t>
  </si>
  <si>
    <t>So GD goc: 652A2610AHSW46FA CONG TY TNHH PENG BO VIET NAM MKH C00000049 TT TIEN THUE XUONG Q1</t>
  </si>
  <si>
    <t>08-01-2026 08:10:04</t>
  </si>
  <si>
    <t>So GD goc: 652A2610BL6B5YL6 Berjayapak thanh toan phi thue nha xuong - Payment fee Factory rental fr 01012026 to 31032026 VAT No: 00000047 date 005012026 to BW BAU BANGBB01 L1</t>
  </si>
  <si>
    <t>So GD goc: 652A2610BL6B7ELU Berjayapak thanh toan phi thue nha xuong - Payment fee Factory rental fr 01012026 to 31032026 VAT No: 00000047 date 005012026 to BW BAU BANGBB01 L2</t>
  </si>
  <si>
    <t>08-01-2026 09:00:05</t>
  </si>
  <si>
    <t>So GD goc: 652A2610BMU7KCXS CONG TY TNHH TECHX SEMICONDUCTOR (VIET NAM) TT TIEN THUE NHA XUONG A 18A22 B QUY 1 NAM 2026 (01/01/2026-31/03/2026) THEO HD SO 00000041</t>
  </si>
  <si>
    <t>09-01-2026 17:19:05</t>
  </si>
  <si>
    <t>So GD goc: 652A2610DVCH4NMG CONG TY TNHH PENG BO VIET NAM MKH C00000049 TT TIEN THUE XUONG QUY 1</t>
  </si>
  <si>
    <t>14-01-2026 16:53:03</t>
  </si>
  <si>
    <t>So GD goc: 652A2610N21XTQRB 2026.01</t>
  </si>
  <si>
    <t>12-01-2026 15:37:05</t>
  </si>
  <si>
    <t>So GD goc: 679A2610JP90MZJ6 Thanh toan tien nuoc theo hoa don so 00000143 - 30122025</t>
  </si>
  <si>
    <t>14-01-2026 08:18:13</t>
  </si>
  <si>
    <t>So GD: 264A2610MG43M4RV THA_EY_1st Payment 50% audit fee FY 2025 Inv 00004444</t>
  </si>
  <si>
    <t>06-01-2026 11:20:24</t>
  </si>
  <si>
    <t>So GD: 285A26108HRWDALG BBN_CBRE_Payment for Report issuance fee for year-end valuation 2025_INVOICE 00001215</t>
  </si>
  <si>
    <t>06-01-2026 11:20:33</t>
  </si>
  <si>
    <t>So GD: 285A26108HS2E1BR BBN_IMPC_Payment for Minor repair fee from JUL to DEC25_INVOICE 00000720</t>
  </si>
  <si>
    <t>06-01-2026 11:20:37</t>
  </si>
  <si>
    <t>So GD: 285A26108HS5EM6D BBN_EES_Payment for Operation of WWTP system in DEC25 and Quarterly Analyzing WWT sample in Q4 Y2025_INVOICE 00000311</t>
  </si>
  <si>
    <t>06-01-2026 11:25:02</t>
  </si>
  <si>
    <t>So GD: 285A26108HY0AH0H BBN_ASIAN VISION_Payment of office tree service in Hanoi office_Q4.2025_INVOICE 3160</t>
  </si>
  <si>
    <t>06-01-2026 21:15:43</t>
  </si>
  <si>
    <t>So GD: 285A261096W19TSG WL2B_DIEN VL_Electricity fee in 12.2025_Term 3 - DVL086.1.1.04 and DVL087.1.2.04 - Tien dien thang 12.2025</t>
  </si>
  <si>
    <t>06-01-2026 21:34:38</t>
  </si>
  <si>
    <t>So GD: 285A261097M0SQVG XA1_KCN.XA_Water fee in 12.2025 - INV.00002213 - Tien nuoc thang 12.2025</t>
  </si>
  <si>
    <t>06-01-2026 21:34:40</t>
  </si>
  <si>
    <t>So GD: 285A261097M2A2CN XA2_NP_Wastewater fee in 12/2025 - INV.00002176 - Tien nuoc thai thang 12.2025</t>
  </si>
  <si>
    <t>06-01-2026 21:34:42</t>
  </si>
  <si>
    <t>So GD: 285A261097M3S7ZY XA2_KCN.XA_ Water fee in 12/2025 - INV.00002212 - Tien nuoc thang 12.2025</t>
  </si>
  <si>
    <t>06-01-2026 21:34:45</t>
  </si>
  <si>
    <t>So GD: 285A261097M5APPL XA1_NP_Wastewater fee in 12.2025 - INV00002179 - Tien nuoc thai thang 12.2025</t>
  </si>
  <si>
    <t>06-01-2026 21:34:46</t>
  </si>
  <si>
    <t>So GD: 285A261097M6SB9T WL2A_KCN VL_ Water fee in 12.2025 - INV.00001406</t>
  </si>
  <si>
    <t>06-01-2026 21:34:48</t>
  </si>
  <si>
    <t>So GD: 285A261097M85PJ6 WL2A_VL BL_EMF fee from 04.2025 to 12.2025 - INV.00001428 - Phi duy tu CSHT</t>
  </si>
  <si>
    <t>06-01-2026 21:34:50</t>
  </si>
  <si>
    <t>So GD: 285A261097M9GQTJ XA2_CBRE_Valuation for YE2025 - Report issuance - INV.00001227 - Phi dinh gia cuoi nam 2025</t>
  </si>
  <si>
    <t>06-01-2026 21:34:52</t>
  </si>
  <si>
    <t>So GD: 285A261097MAWQ3V WL2A_DIEN VL_Electricity fee in 12.2025_Term 3 - DVL080.1.1.05 - Tien dien thang 12.2025</t>
  </si>
  <si>
    <t>06-01-2026 21:34:54</t>
  </si>
  <si>
    <t>So GD: 285A261097MCBV6Z XA1_NP_EMF fee in 12.2025 - INV.00002178 - Phi duy tu CSHT</t>
  </si>
  <si>
    <t>06-01-2026 21:34:56</t>
  </si>
  <si>
    <t>So GD: 285A261097MDP87S XA2_NP_ EMF fee in 12.2025 - INV.00002177 - Phi duy tu CSHT</t>
  </si>
  <si>
    <t>06-01-2026 21:34:58</t>
  </si>
  <si>
    <t>So GD: 285A261097MF1NPT WL2A_VL BL_EMF fee in 01.2026 - Phi duy tu CSHT</t>
  </si>
  <si>
    <t>07-01-2026 15:18:07</t>
  </si>
  <si>
    <t>So GD: 285A2610AEXDC688 BYP_IMPC_Payment for FM service in DEC 25 Inv 00000744</t>
  </si>
  <si>
    <t>07-01-2026 15:18:12</t>
  </si>
  <si>
    <t>So GD: 285A2610AEXHMVFA VC3_JLL - RBW/RBW market research - 1st payment_Bao cao nghien cuu thi truong</t>
  </si>
  <si>
    <t>07-01-2026 15:18:16</t>
  </si>
  <si>
    <t>So GD: 285A2610AEXLFD2K VC3_LOGIC_1st payment_SCC office fitout_Cai tao van phong</t>
  </si>
  <si>
    <t>12-01-2026 12:30:01</t>
  </si>
  <si>
    <t>So GD: 285A2610JG1DY1JQ VC3_MERCANTILE_Advance _TET GIFT CONTRACT VALUE_Wine_Tam ung qua tet</t>
  </si>
  <si>
    <t>So GD: 285A2610JG1EEHLA VC3_WINCOMMERCE_PAYMENT FOR TET GIFT CONTRACT 2026 _ WINMART VOUCHER_Qua tet</t>
  </si>
  <si>
    <t>12-01-2026 13:18:07</t>
  </si>
  <si>
    <t>So GD: 285A2610JHWXX13Z VC3_Vhunter_Payment for Event Planning Service Inv 00000331</t>
  </si>
  <si>
    <t>12-01-2026 13:18:11</t>
  </si>
  <si>
    <t>So GD: 285A2610JHX10JLZ VC3_CREW24_Payment for FM Service in DEC25 for Project NDV JV CN3-03_INVOICE 00000214</t>
  </si>
  <si>
    <t>12-01-2026 13:18:13</t>
  </si>
  <si>
    <t>So GD: 285A2610JHX2FUNR VC3_IMPC_Payment for Minor repair fee in JUL25 for Project Logos BN1_INVOICE 00000718</t>
  </si>
  <si>
    <t>12-01-2026 13:18:15</t>
  </si>
  <si>
    <t>So GD: 285A2610JHX3ZNQ7 VC3_VNPT_Payment for FM Service fee for Project NSHL JV and YP JV in DEC25_INVOICE 00269665,00269666</t>
  </si>
  <si>
    <t>12-01-2026 13:18:18</t>
  </si>
  <si>
    <t>So GD: 285A2610JHX5MUBW VC3_IMPC_Payment for FM Service fee in DEC25 and OT fee from JUL to DEC25 for Project Logos BN1_INVOICE 00000743,00000754</t>
  </si>
  <si>
    <t>13-01-2026 09:53:04</t>
  </si>
  <si>
    <t>So GD: 285A2610KXVRMBGB VC3_Becamex IDC_Office rental and management fee of Binh Duong Office in Jan and Feb 2026_Tien thue van phong</t>
  </si>
  <si>
    <t>So GD: 285A2610KXVRQ75P TPT_NL_Electrical experiment and maintenance 2025_Kiem tra dinh ky</t>
  </si>
  <si>
    <t>So GD: 285A2610KXVRQT4Z TPT_SCD_Water and Sewage fee paid on behalf of J&amp;T from 20/11/2025 to 20/12/2025_Nuoc nuoc thai</t>
  </si>
  <si>
    <t>So GD: 285A2610KXVRR5MA TPT_SCD_ Water consumption and wastewater treatment fee in 12.25_GHTK_Tien nuoc nuoc thai</t>
  </si>
  <si>
    <t>So GD: 285A2610KXVRSGZA TPT_CBRE_Payment for Report issuance_Valuation YE2025_Phi phat hanh bao cao</t>
  </si>
  <si>
    <t>So GD: 285A2610KXVRSU9V VC3_DHL_Oversea Courier Fee in 12.2025 Inv No:201268  206657 and 211360_Phi gui thu</t>
  </si>
  <si>
    <t>So GD: 285A2610KXVRT436 TPT_SCD_ Water and Sewage fee paid on behalf of SPX in December 2025 _ Nuoc nuoc thai</t>
  </si>
  <si>
    <t>So GD: 285A2610KXVRTG6R VC3_Thao Tran - Reimbursement for Team Christmas Party_Chi phi an uong</t>
  </si>
  <si>
    <t>So GD: 285A2610KXVRTSK3 VC3_VNTT_Payment fee for internet line Binh Duong Office 12/1025_Duong truyen mand</t>
  </si>
  <si>
    <t>13-01-2026 09:53:46</t>
  </si>
  <si>
    <t>So GD: 285A2610KXWNZ41F VC3_EY_Transfer pricing_Preparation of local file and TP documents - FY24_Full payment_Dich vu ho so quoc gia</t>
  </si>
  <si>
    <t>So GD: 285A2610KXWP26DN VC3_DAY ONE_Payment to purchase Got-it Vouchers</t>
  </si>
  <si>
    <t>So GD: 285A2610KXWP2NNQ VC3_AST_Business trip expenses in December 2025_Chi phi cong tac</t>
  </si>
  <si>
    <t>So GD: 285A2610KXWP305N VC3_VUTHAO_ Final payment for contract Maintenance service and technical Support for OA System 2025_Bao tri he thong</t>
  </si>
  <si>
    <t>So GD: 285A2610KXWP38DJ VC3_Deloitte Training on Circular No. 99/2025/TT-BTC_Dao tao tt99</t>
  </si>
  <si>
    <t>So GD: 285A2610KXWP3JG9 Phuoc An_VC3_LDD service agreement_1st Payment_Phi tu van luat</t>
  </si>
  <si>
    <t>So GD: 285A2610KXWP3SQ0 VC3_Viettel Telecom Payment fee 12 Month from 01/2026 - 02/2027 for internet line HCM Office_Duong truyen mand</t>
  </si>
  <si>
    <t>So GD: 285A2610KXWP41TV VC3_LOGIC_Purchasing storage shelves for VSIPIIA_Ke luu tru ho so</t>
  </si>
  <si>
    <t>So GD: 285A2610KXWP4BLS VC3_XANH GSM_TAXI FEE IN 12.2025 INV No: 00030935_Chi phi di lai</t>
  </si>
  <si>
    <t>So GD: 285A2610KXWP4M7T VC3_Le Hoang Vu - Location verification services on Google Maps 2026 - 1st payment_Dich vu xac minh google maps</t>
  </si>
  <si>
    <t>So GD: 285A2610KXWP50MJ VC3_LANTRAN_PANTRY FEE OF BINH DUONG OFFICE IN 11 12/2025_Chi phi van phong</t>
  </si>
  <si>
    <t>So GD: 285A2610KXWP5ABY VC3_VAN ANH_Claim reimbursement for CEO Meeting Expense and other administrative fees_Dec 2025_Chi phi van phong</t>
  </si>
  <si>
    <t>So GD: 285A2610KXWP5KUD VC3_TN_ Fire Safety Training Course_Khoa hoc nghiep vu</t>
  </si>
  <si>
    <t>So GD: 285A2610KXWP5VJV VC3_LAVIE_Water for HCM and BD office in 12.2025_Chi phi nuoc uong</t>
  </si>
  <si>
    <t>So GD: 285A2610KXWP6576 DICH THUAT LONG VU_Claim for notarized fee from 11-Jul-24 to 14-Mar-25_Phi cong chung</t>
  </si>
  <si>
    <t>So GD: 285A2610KXWP6XR1 Dec_Legal team_Team Entertainment_Chi phi an uong</t>
  </si>
  <si>
    <t>So GD: 285A2610KXWP77C0 DICH THUAT LONG VU_Claim for notarized fee from 19-Mar-2025 to 03-Dec-2025_Phi cong chung</t>
  </si>
  <si>
    <t>So GD: 285A2610KXWP7HB5 VC3_VI_Meeting claim - Nov and Dec_Chi phi tiep khach</t>
  </si>
  <si>
    <t>So GD: 285A2610KXWP800S VC3_Becamex IDC_Electricity Fee of Binh Duong Office in 12.2025 Inv No: 15509_Tien dien van phong</t>
  </si>
  <si>
    <t>So GD: 285A2610KXWP8B2F VC3_QUYNHANH_Site visit in Bac Ninh_Perdiem_Cong tac phi</t>
  </si>
  <si>
    <t>13-01-2026 09:54:29</t>
  </si>
  <si>
    <t>So GD: 285A2610KXXM12ZV Fit-out BW Office - Contract to AKI - PR.06 PC.04 Release 25% Retention Money after having Retention Money Security_Sua chua van phong</t>
  </si>
  <si>
    <t>So GD: 285A2610KXXM4PR7 WL2B_CBRE_Valuation for YE2025 - Report issuance - INV.00001226 - Phi dinh gia cuoi nam 2025</t>
  </si>
  <si>
    <t>So GD: 285A2610KXXM648S VC3_247_Postage fee for HCM office in 12.2025_Chi phi gui thu</t>
  </si>
  <si>
    <t>13-01-2026 16:56:38</t>
  </si>
  <si>
    <t>So GD: 285A2610LE6ADMC4 TPT_INTERNAL TRANSFER TO KEBHANA FOR LOAN PRINCIPAL AND INTEREST PAYMENT DUE ON 26TH JAN 2026</t>
  </si>
  <si>
    <t>13-01-2026 17:09:40</t>
  </si>
  <si>
    <t>So GD: 285A2610LES56ST7 TPT_INTERNAL TRANSFER TO KEBHANA FOR LOAN PRINCIPAL AND INTEREST PAYMENT DUE ON 26TH JAN 2026</t>
  </si>
  <si>
    <t>14-01-2026 08:17:54</t>
  </si>
  <si>
    <t>So GD: 285A2610MG3P4XRG BHP_EES_Payment for WWTP Operation fee in DEC25 and Sample Testing fee in Quarter 4 Y2025 Inv 00000313, 00000307</t>
  </si>
  <si>
    <t>14-01-2026 08:17:56</t>
  </si>
  <si>
    <t>So GD: 285A2610MG3QGYZT BNA_EY_1st Payment for Audit fee FY 2025 Inv 00004427</t>
  </si>
  <si>
    <t>14-01-2026 08:18:00</t>
  </si>
  <si>
    <t>So GD: 285A2610MG3TEPMT BNA_IMPC_Payment for FM Service fee in DEC25 and OT fee from JUL to DEC25 Inv 00000735, 00000755 and Minor repair Inv 00000721</t>
  </si>
  <si>
    <t>14-01-2026 08:18:02</t>
  </si>
  <si>
    <t>So GD: 285A2610MG3UXFAC BNA_VSIP NA_EMF in JAN 2026 Inv 25</t>
  </si>
  <si>
    <t>14-01-2026 08:18:08</t>
  </si>
  <si>
    <t>So GD: 285A2610MG3ZE96Y BYP_EY_1st Payment for 50% audit fee FY2025 HD 00004425</t>
  </si>
  <si>
    <t>14-01-2026 08:18:10</t>
  </si>
  <si>
    <t>So GD: 285A2610MG410RGA BHP_EY_1st Payment 50% for audit fee FY2025 Inv 00004431</t>
  </si>
  <si>
    <t>14-01-2026 08:18:12</t>
  </si>
  <si>
    <t>So GD: 285A2610MG42BQRB BHP_IMPC_Payment for FM Service in DEC 25 and OT fee from JUL to DEC 25 Inv 00000738, 00000752, Minor repair Inv 00000725</t>
  </si>
  <si>
    <t>14-01-2026 08:18:15</t>
  </si>
  <si>
    <t>So GD: 285A2610MG44Z4W5 BBN_Luong Thi Van_Final payment of cleaning service for Hanoi office_Q4.2025</t>
  </si>
  <si>
    <t>14-01-2026 08:18:17</t>
  </si>
  <si>
    <t>So GD: 285A2610MG46CWDT BBN_New Post_Payment of Hanoi office courier fee_December 2025_INVOICE 52313</t>
  </si>
  <si>
    <t>15-01-2026 11:06:43</t>
  </si>
  <si>
    <t>So GD: 285A2610PAL7DZJ3 BBN_EY_1st payment for audit fee 2025_INVOICE 00004448</t>
  </si>
  <si>
    <t>15-01-2026 11:06:45</t>
  </si>
  <si>
    <t>So GD: 285A2610PAL8XMBP BBN_IMPC_Payment for FM service in DEC25 and OT fee from JUL to DEC25_INVOICE 00000747,00000753</t>
  </si>
  <si>
    <t>So GD: 285A2610PALENGZX PNA_CBRE_Payment for Report issuance_Valuation for Year-end 2025 Inv 00001235</t>
  </si>
  <si>
    <t>So GD: 285A2610PALG5NVU PNA_EY_1st Payment 50% for audit fee FY 2025 Inv 00004407</t>
  </si>
  <si>
    <t>15-01-2026 11:06:59</t>
  </si>
  <si>
    <t>So GD: 285A2610PALK7BYZ NAS_EY_1st payment for audit fee 2025_INVOICE 00004430</t>
  </si>
  <si>
    <t>15-01-2026 19:17:12</t>
  </si>
  <si>
    <t>So GD: 285A2610PVMXL7Z8 WL2B_DIEN VL_Electricity fee in 01.2026_Term 1</t>
  </si>
  <si>
    <t>15-01-2026 19:18:54</t>
  </si>
  <si>
    <t>So GD: 285A2610PVQ5W3VW WL2A_DIEN VL_Electricity fee in 01.2026_Term 1 - DVL080.1.1.05 - Tien dien thang 01.2026</t>
  </si>
  <si>
    <t>15-01-2026 19:18:56</t>
  </si>
  <si>
    <t>So GD: 285A2610PVQ7CW9L WL2A_KCN VL_MV Power Grid Maintenance - INV.0000003 and 0000004 - Phi QL van hanh</t>
  </si>
  <si>
    <t>07-01-2026 15:18:11</t>
  </si>
  <si>
    <t>So GD: 640A2610AEXGB0L3 BB6_BECAMEX_ Electricity fee in 12/2025_Term 3.</t>
  </si>
  <si>
    <t>12-01-2026 13:18:09</t>
  </si>
  <si>
    <t>So GD: 640A2610JHWZHCGQ BWD_Citek_Maintenance fee from 1May25 to 31Oct25_2nd payment_Inv no.58/ TT phi bao tri he thong</t>
  </si>
  <si>
    <t>12-01-2026 20:17:58</t>
  </si>
  <si>
    <t>So GD: 640A2610K07C7SAY NDV_NDV ESCO_Payment for Power Consumption fee in December 2025</t>
  </si>
  <si>
    <t>So GD: 640A2610KXXM1DZY BB01-YG-Galvanometer installation for 17A4 BC-KOOLCARE_Inv no.931/ TT phi lat dat dien ke</t>
  </si>
  <si>
    <t>So GD: 640A2610KXXM6G1W BB01-HA-Tenant directory board update_Inv no.46/ TT phi cap nhat bang ten</t>
  </si>
  <si>
    <t>So GD: 640A2610KXXM76XE BB1_NL_ Replace spare parts after electrical maintenance_Inv no.428/ TT phi thay the thiet bi</t>
  </si>
  <si>
    <t>So GD: 640A2610KXXM7KY4 BB1_THAO CS_Meeting expense/ TT phi tiep khach</t>
  </si>
  <si>
    <t>14-01-2026 08:17:46</t>
  </si>
  <si>
    <t>So GD: 640A2610MG3HJ0HY BB6_BECAMEX_ Electricity fee in 01/2026_Term 1_Tien dien</t>
  </si>
  <si>
    <t>14-01-2026 08:17:49</t>
  </si>
  <si>
    <t>So GD: 640A2610MG3K409V BB6_BECAMEX_Wastewater fee in 12/2025._Tien nuoc thai</t>
  </si>
  <si>
    <t>14-01-2026 08:17:50</t>
  </si>
  <si>
    <t>So GD: 640A2610MG3LEZHW NDV_Sao Do_Payment for EMF fee in Q1, Q2 Y2026 Inv 00000016</t>
  </si>
  <si>
    <t>14-01-2026 08:17:58</t>
  </si>
  <si>
    <t>So GD: 640A2610MG3RZB8X NDV_EY_1st Payment 50% for audit fee FY2025 Inv 00004401</t>
  </si>
  <si>
    <t>14-01-2026 08:18:04</t>
  </si>
  <si>
    <t>So GD: 640A2610MG3WES41 NDV_CREW24_Payment for FM Service fee in DEC 25 Inv 00000212</t>
  </si>
  <si>
    <t>14-01-2026 14:31:03</t>
  </si>
  <si>
    <t>So GD: 640A2610MWLFCQGN BB6_YG_Full payment for contract BWBB6.VD.25029_ LV system installation_Lap dat tu dien</t>
  </si>
  <si>
    <t>14-01-2026 14:31:28</t>
  </si>
  <si>
    <t>So GD: 640A2610MWM041QK BB6_KMG_2nd Payment BWBB6.VD.25035_ ALC wall partition installation for tenants_Lap dat vach ngan</t>
  </si>
  <si>
    <t>15-01-2026 10:28:09</t>
  </si>
  <si>
    <t>So GD: 640A2610P939TW8L BB5_GLC_Main contractor_PR.03 IPC.02_Thanh toan thau</t>
  </si>
  <si>
    <t>So GD: 640A2610P939W2HM BB5_VTC_Main contractor - PR.03 IPC.02_Thanh toan thau</t>
  </si>
  <si>
    <t>15-01-2026 19:16:40</t>
  </si>
  <si>
    <t>So GD: 640A2610PVM7BD8E BB1_ Phuc Hung Kim_Licensing fee - Tenant BERJAYAPAK_Inv no.5/ TT phi dieu chinh giay phep</t>
  </si>
  <si>
    <t>15-01-2026 19:16:50</t>
  </si>
  <si>
    <t>So GD: 640A2610PVMF1HJ8 BB01_IMPC_FM service fee in Dec 25_Inv no.00000674/ TT phi quan ly BDS</t>
  </si>
  <si>
    <t>15-01-2026 19:16:52</t>
  </si>
  <si>
    <t>So GD: 640A2610PVMGFAL2 BB1_THAO CS_Meeting expense/ TT chi phi an uong</t>
  </si>
  <si>
    <t>15-01-2026 19:16:54</t>
  </si>
  <si>
    <t>So GD: 640A2610PVMHVEH1 BB01_BECAMEX_EMF in 01.26_Inv no.146/ TT phi quan ly CSHT</t>
  </si>
  <si>
    <t>15-01-2026 19:16:56</t>
  </si>
  <si>
    <t>So GD: 640A2610PVMK9WSE BB01_IMPC_OT service fee in Sep and Oct.25_Inv no.00000653/ TT phi lam viec ngoai gio</t>
  </si>
  <si>
    <t>15-01-2026 19:17:00</t>
  </si>
  <si>
    <t>So GD: 640A2610PVMN8PTX BB1-BA DUONG-Replace FF parts after 03rd maintenance_Inv no.289/ TT phi thay the thiet bi</t>
  </si>
  <si>
    <t>15-01-2026 19:17:20</t>
  </si>
  <si>
    <t>So GD: 640A2610PVN3AYFZ BB1_YGE_Galvanometer installation for 17B2_Drinda_Inv no.966/ TT phi lap dat dien ke</t>
  </si>
  <si>
    <t>So GD: 640A2610PVN3N1XU BB2_EY_Audit fees for Fiscal year 2025_1st invoice_Inv no.00004418/ TT phi kiem toan</t>
  </si>
  <si>
    <t>So GD: 900A26108HRR2UXG DC2_EES_Payment for Operation of WWTP system in NOV25_INVOICE 00000316</t>
  </si>
  <si>
    <t>So GD: 900A26108HRT7S37 DC2_EES_Payment for Operation of WWTP system in DEC25 and Quarterly Analyzing WWT sample in Q4 Y2025_INVOICE 00000317</t>
  </si>
  <si>
    <t>So GD: 900A26108HRUP98F DC2_DEEPCBLUE_Payment for Water consumption fee Dec 2025_INVOICE 3563</t>
  </si>
  <si>
    <t>So GD: 900A26108HRXZ5VL DC2_DV XUYEN THAI BINH_Payment for FM service fee in DEC25_INVOICE 00005676</t>
  </si>
  <si>
    <t>So GD: 900A26108HRZGB7F DC2_CBRE_Payment for Report issuance fee for year-end valuation 2025_INVOICE 00001234</t>
  </si>
  <si>
    <t>So GD: 900A26108HS3UT04 DC2_DeepC Green_Payment for Power consumption and Power Management Dec 2025_INVOICE 4988,5340,5131</t>
  </si>
  <si>
    <t>So GD: 900A26108HS72N9X DC2_RCB_Payment 100PT Contract for Office Renovation_INVOICE 00000015</t>
  </si>
  <si>
    <t>So GD: 900A26108HXVT22J PAE_PAT_Wastewater treatment and water supply in 12.2025 - INV.2729 and 2730 - Tien nuoc va nuoc thai thang 12.2025</t>
  </si>
  <si>
    <t>So GD: 900A26108HXYV93B LMX_VRG_Electricicty fee in 12.2025</t>
  </si>
  <si>
    <t>07-01-2026 15:17:58</t>
  </si>
  <si>
    <t>So GD: 900A2610AEX72AYA BTD_VEV_Design Contract - PR.07 - Tu van thiet ke - INV.89</t>
  </si>
  <si>
    <t>So GD: 900A2610KXVRPTUR LMX_PMC_Facility Management service in 12.2025 - Phi duy tu CSHT</t>
  </si>
  <si>
    <t>So GD: 900A2610KXVRRM4X TDE_TDH_Wastewater fee from Jul25 to Dec25 - INV.00000270 - Phi xu ly nuoc thai</t>
  </si>
  <si>
    <t>So GD: 900A2610KXVRS0YV TDE_BIWASE_Water comsumption in 01.2026 - INV.8107080125 - Tien nuoc va phi bao ve MT</t>
  </si>
  <si>
    <t>So GD: 900A2610KXVRU3Y5 ST2_NL_Electrical part replacement in 2025 - INV.407 - Thay tu dien</t>
  </si>
  <si>
    <t>So GD: 900A2610KXXM0SNT BTD_PL DEPOT_Consultancy service - Shundao - INV.149 - Phi DV tu van</t>
  </si>
  <si>
    <t>So GD: 900A2610KXXM2323 LMX_NL_Electrical experiment and maintenance 2025 - INV.00000386 - Bao duong kiem tra dinh ky tram bien ap</t>
  </si>
  <si>
    <t>So GD: 900A2610KXXM2MEU TDE_NL_Electrical experiment and maintenance 2025 - INV.00000385 - - Bao duong kiem tra dinh ky tram bien ap</t>
  </si>
  <si>
    <t>So GD: 900A2610KXXM3CSB ST2_NL_Electrical experiment and maintenance 2025 - INV.00000384 - Bao duong kiem tra dinh ky tram bien ap</t>
  </si>
  <si>
    <t>So GD: 900A2610KXXM3RS1 ST2_CBRE_Valuation for YE2025 - Report issuance - INV.00001231 - Phi dinh gia cuoi nam 2025</t>
  </si>
  <si>
    <t>So GD: 900A2610KXXM55JD BTD_CBRE_Valuation for YE2025 - Report issuance - INV.00001230 - Phi dinh gia cuoi nam 2025</t>
  </si>
  <si>
    <t>So GD: 900A2610KXXM5GB5 LMX_CBRE_Valuation for YE2025 - INV.00001233 - Report issuance - Phi dinh gia cuoi nam 2025</t>
  </si>
  <si>
    <t>So GD: 900A2610KXXM5T42 TDE_CBRE_Valuation for YE2025 - Report issuance - INV.00001226 - Phi dinh gia cuoi nam 2025</t>
  </si>
  <si>
    <t>15-01-2026 11:06:23</t>
  </si>
  <si>
    <t>So GD: 900A2610PAKSEBQB BTD_AVALUE_Asset valuation fee - INV.00000020 - Phi dinh gia tai san</t>
  </si>
  <si>
    <t>So GD: 900A2610PAL006EW DC2_EY_1st payment for audit fee 2025_INVOICE 00004439</t>
  </si>
  <si>
    <t>15-01-2026 11:06:47</t>
  </si>
  <si>
    <t>So GD: 900A2610PALAFFQG BTD_PMC_FM service in Dec 25 - INV.273099 and 273100 - Phi DV quan li CSHT</t>
  </si>
  <si>
    <t>So GD: 900A2610PVMUKGCQ LMX_VRG_Electricity, management and maintenance fees in 01.2026 - INV.33 and 34 - Tien dien va phi duy tu HT luoi dien thang 01.2026</t>
  </si>
  <si>
    <t>So GD: 900A2610PVMW3QBZ PAE_IMPC_FM service fee in Dec25 - INV.00000676 - Phi QL BDS</t>
  </si>
  <si>
    <t>06-01-2026 11:24:58</t>
  </si>
  <si>
    <t>So GD: 902A26108HXXAN6H BDG_KCN.DG_Water + Wastewater fee in 12/2025_Inv no.000000746, 000000768/ TT tien nuoc + nuoc thai</t>
  </si>
  <si>
    <t>07-01-2026 15:18:14</t>
  </si>
  <si>
    <t>So GD: 902A2610AEXJZGTD NT2_IDICO_Electricity fee in 12/2025_Term 3_Inv no.00000216, 00000217/ TT tien dien</t>
  </si>
  <si>
    <t>So GD: 902A2610KXXM1PMR NT2_DL_ Fire drill in 2025_Inv no.185/ TT phi dien tap PCCC</t>
  </si>
  <si>
    <t>So GD: 902A2610KXXM305K NT2_ AN TIN_ Elevator maintenance fee in 12/2025_Inv no.00000109/ TT phi bao tri thang may</t>
  </si>
  <si>
    <t>So GD: 902A2610KXXM4B37 NT2_CBRE_Payment for Report issuance_Valuation for Year-end 2025_Inv no.00001224/ TT phi phat hanh BC dinh gia</t>
  </si>
  <si>
    <t>So GD: 902A2610KXXM6VY2 NT2_DONG A_Replace FF parts after 01st maintenance_Inv no.285/ TT phi sua chua PCCC</t>
  </si>
  <si>
    <t>14-01-2026 13:57:14</t>
  </si>
  <si>
    <t>So GD: 902A2610MV9T3RDB BDG_YG_LV system installation for tenant Paizes_Inv no.888/ TT phi lap dat tu dien</t>
  </si>
  <si>
    <t>15-01-2026 19:16:44</t>
  </si>
  <si>
    <t>So GD: 902A2610PVMADVLA BDG_VNPT_Purchasing material_Inv no.00273346/ TT tien mua vat tu</t>
  </si>
  <si>
    <t>15-01-2026 19:16:46</t>
  </si>
  <si>
    <t>So GD: 902A2610PVMBX0NT NT2_IMPC_ FM service fee &amp; OT fee in 12/2025_Inv no.00000669,00000649/ TT phi quan ly BDS va phi lam ngoai gio</t>
  </si>
  <si>
    <t>15-01-2026 19:16:48</t>
  </si>
  <si>
    <t>So GD: 902A2610PVMDEHV9 NT2_IDICO_Install galvanometer for Misan_Inv no.NT2_IDICO_Lap dien ke cho Misan/ TT phi lap dat dien ke</t>
  </si>
  <si>
    <t>15-01-2026 19:16:58</t>
  </si>
  <si>
    <t>So GD: 902A2610PVMLR1F3 BDG_KMG_ALC wall partition installation D4, D5_Paizes_1st Payment_Inv no.6/ TT phi lap dat vach ngan chay</t>
  </si>
  <si>
    <t>15-01-2026 19:17:02</t>
  </si>
  <si>
    <t>So GD: 902A2610PVMQ1UC3 NT2_EY_Audit fees for Fiscal year 2025_1st invoice_Inv no.00004423/ TT phi kiem toan</t>
  </si>
  <si>
    <t>15-01-2026 19:17:04</t>
  </si>
  <si>
    <t>So GD: 902A2610PVMRK99G BDG_VNPT_FM service fee in 12/2025_Inv no.00273122,00273118/ TT phi quan ly BDS</t>
  </si>
  <si>
    <t>15-01-2026 19:17:06</t>
  </si>
  <si>
    <t>So GD: 902A2610PVMT3MKM BDG_EY_Audit fees for Fiscal year 2025_1st invoice_Inv no.00004429/ TT phi kiem toan</t>
  </si>
  <si>
    <t>15-01-2026 19:17:17</t>
  </si>
  <si>
    <t>So GD: 902A2610PVN1BSGC NT2_IDICO_Electricity fee in 01/2026_Term 1_Inv no.00000754,00000755/ TT tien dien</t>
  </si>
  <si>
    <t>15-01-2026 19:17:19</t>
  </si>
  <si>
    <t>So GD: 902A2610PVN2USLP NT2_IDICO_Electrical experiment &amp; maintenance 2025_Inv no.00023190/ TT phi bao tri</t>
  </si>
  <si>
    <t>06-01-2026 11:20:41</t>
  </si>
  <si>
    <t>So GD: 946A26108HS8MVAY DAL_KT NANG LUONG_Payment for Electrical experiment and maintenance 2025_INVOICE 00000392</t>
  </si>
  <si>
    <t>06-01-2026 11:20:43</t>
  </si>
  <si>
    <t>So GD: 946A26108HSA29J1 DAL_CBRE_Payment for Report issuance fee for year-end valuation 2025_INVOICE 00001217</t>
  </si>
  <si>
    <t>06-01-2026 11:20:45</t>
  </si>
  <si>
    <t>So GD: 946A26108HSBKZWX STL_KT NANG LUONG_Payment for Electrical experiment and maintenance 2025_INVOICE 00000389</t>
  </si>
  <si>
    <t>15-01-2026 11:06:25</t>
  </si>
  <si>
    <t>So GD: 946A2610PAKTTUDY DAL_ IMPC_Payment for OT from 07-09/25_INVOICE 662</t>
  </si>
  <si>
    <t>15-01-2026 11:06:28</t>
  </si>
  <si>
    <t>So GD: 946A2610PAKVT7NG STL_EY_1st payment for audit fee 2025_INVOICE 00004419</t>
  </si>
  <si>
    <t>15-01-2026 11:06:30</t>
  </si>
  <si>
    <t>So GD: 946A2610PAKXE2XQ DAL_KT NANG LUONG_Payment fee of replacing capacitor_INVOICE 00000406</t>
  </si>
  <si>
    <t>15-01-2026 11:06:32</t>
  </si>
  <si>
    <t>So GD: 946A2610PAKYQDUN DAL_Ba Duong_Payment fee of Replacing FF spare parts 11.25_INVOICE 296</t>
  </si>
  <si>
    <t>15-01-2026 11:06:35</t>
  </si>
  <si>
    <t>So GD: 946A2610PAL1D40H DAL_EY_1st payment for audit fee 2025_INVOICE 00004413</t>
  </si>
  <si>
    <t>15-01-2026 11:06:37</t>
  </si>
  <si>
    <t>So GD: 946A2610PAL2RU7W DAL_ IMPC_Payment for FM SERVICE IN 12.25_INVOICE 666</t>
  </si>
  <si>
    <t>15-01-2026 11:06:39</t>
  </si>
  <si>
    <t>So GD: 946A2610PAL48XVK STL_KZN_Payment fee of Defect rectification_INVOICE 206</t>
  </si>
  <si>
    <t>15-01-2026 11:06:41</t>
  </si>
  <si>
    <t>So GD: 946A2610PAL5WTH9 STL_KT NANG LUONG_Payment fee of replacing capacitor_INVOICE 00000405</t>
  </si>
  <si>
    <t>08-01-2026 17:40:04</t>
  </si>
  <si>
    <t>TAT TOAN HDTG SO 640-2025-36744</t>
  </si>
  <si>
    <t>TCS_VSIP NA_Payment for EMF from 18 DEC to 31 DEC 2025 Inv 3426</t>
  </si>
  <si>
    <t>09-01-2026 10:51:50</t>
  </si>
  <si>
    <t>Thanh toan chi phi thue nha xuong tu 01 01 2026 25 03 2026 theo hoa don 00000011</t>
  </si>
  <si>
    <t>Thanh toan hoa don 8414020006 tu dong-24313</t>
  </si>
  <si>
    <t>Thanh toan hoa don PB04040091140 tudong-PB04040091140</t>
  </si>
  <si>
    <t>Thanh toan hoa don PB04040091141 tudong-PB04040091141</t>
  </si>
  <si>
    <t>Thanh toan hoa don PB04040091181 tudong-PB04040091181</t>
  </si>
  <si>
    <t>Thanh toan hoa don PB04040091182 tudong-PB04040091182</t>
  </si>
  <si>
    <t>Thanh toan hoa don PB04040091186 tudong-PB04040091186</t>
  </si>
  <si>
    <t>Thanh toan hoa don PB04040091191 tudong-PB04040091191</t>
  </si>
  <si>
    <t>Thanh toan hoa don PB04040091192 tudong-PB04040091192</t>
  </si>
  <si>
    <t>Thanh toan hoa don PB04040091205 tudong-PB04040091205</t>
  </si>
  <si>
    <t>Thanh toan lai tai khoan tien gui 810011575877 so tien 2949041 VND</t>
  </si>
  <si>
    <t>Thanh toan lai tai khoan tien gui 811011575867 so tien 4536986 VND</t>
  </si>
  <si>
    <t>09/01/2026 01:51:23</t>
  </si>
  <si>
    <t>Thanh toan lai tai khoan tien gui 812006016470 so tien 52445205 VND</t>
  </si>
  <si>
    <t>Thanh toan lai tai khoan tien gui 812011576219 so tien 2495342 VND</t>
  </si>
  <si>
    <t>06/01/2026 02:02:15</t>
  </si>
  <si>
    <t>Thanh toan lai tai khoan tien gui 813009581655 so tien 24205479 VND</t>
  </si>
  <si>
    <t>Thanh toan lai tai khoan tien gui 813011576023 so tien 2722192 VND</t>
  </si>
  <si>
    <t>Thanh toan lai tai khoan tien gui 813011576209 so tien 2268493 VND</t>
  </si>
  <si>
    <t>14/01/2026 01:52:05</t>
  </si>
  <si>
    <t>Thanh toan lai tai khoan tien gui 814006107925 so tien 32273973 VND</t>
  </si>
  <si>
    <t>Thanh toan lai tai khoan tien gui 815006820776 so tien 68861096 VND</t>
  </si>
  <si>
    <t>14/01/2026 01:52:18</t>
  </si>
  <si>
    <t>Thanh toan lai tai khoan tien gui 815013757637 so tien 20171233 VND</t>
  </si>
  <si>
    <t>Thanh toan lai tai khoan tien gui 817011576227 so tien 2268493 VND</t>
  </si>
  <si>
    <t>Thanh toan lai tai khoan tien gui 819011575835 so tien 2722192 VND</t>
  </si>
  <si>
    <t>Thanh toan lai tai khoan tien gui 819011576036 so tien 2722192 VND</t>
  </si>
  <si>
    <t>09-01-2026 08:38:42</t>
  </si>
  <si>
    <t>THANH TOAN PHI DIEN NUOC THANG 12</t>
  </si>
  <si>
    <t>09-01-2026 14:53:35</t>
  </si>
  <si>
    <t>THANH TOAN TIEN COC THI  CONG NOI THAT NHA XUONG C-1B-B5-B</t>
  </si>
  <si>
    <t>09-01-2026 14:59:52</t>
  </si>
  <si>
    <t>THANH TOAN TIEN DAT COC DAM BAO NHA XUONG C-1B-C4-B-C</t>
  </si>
  <si>
    <t>02-01-2026 16:42:04</t>
  </si>
  <si>
    <t>Thanh toan tien nuoc va phi xu ly nuoc thai thang 12.2025</t>
  </si>
  <si>
    <t>Thanh toan tien thue nha xuong quy 1 nam 2026 theo hoa don so 00000010</t>
  </si>
  <si>
    <t>10-01-2026 14:16:51</t>
  </si>
  <si>
    <t>The Gauss Vina thanh toan phi quan ly cap nuoc sach va phi xu ly nuoc thai thang 12.2025 HD:334</t>
  </si>
  <si>
    <t>14-01-2026 23:08:09</t>
  </si>
  <si>
    <t>Thu phi BDSD 01/2026, So TK: 111002902469, SDT: 0983085310</t>
  </si>
  <si>
    <t>THU PHI DICH VU SMS CHU DONG THANG 12/2025. SDT: 0901940140. So tien 55000 VND</t>
  </si>
  <si>
    <t>THU PHI DICH VU SMS CHU DONG THANG 12/2025. SDT: 0906278128. So tien 55000 VND</t>
  </si>
  <si>
    <t>14-01-2026 04:51:09</t>
  </si>
  <si>
    <t>Thu phi duy tri dich vu IB 01/2026</t>
  </si>
  <si>
    <t>07-01-2026 04:36:00</t>
  </si>
  <si>
    <t>THU PHI IN SAO KE TU NGAY MO TAI KHOAN DEN 30.11.2025 CUA TK 1018291733 VA TK 1018291778</t>
  </si>
  <si>
    <t>07/01/2026 16:24:49</t>
  </si>
  <si>
    <t>TKThe :110631966688, tai ICBVVNVX. CONG TY TNHH BAIKE VEHICLE VIET NAM MS 5702151048 thanh toan chi phi quan ly dien tieu thu tu 20.11 den 20.12.2025 HD41. CON-1731-020097041501071624482026mGo2153190</t>
  </si>
  <si>
    <t>05/01/2026 16:18:12</t>
  </si>
  <si>
    <t>TKThe :116641678686, tai ICBVVNVX. TT PHI QL DIEN NUOC NUOC THAI 01.12-15.12 HD 109- CTY KIM TRUC-020097041501051618122026zniU880301</t>
  </si>
  <si>
    <t>09/01/2026 12:58:09</t>
  </si>
  <si>
    <t>TKThe :118665088888, tai ICBVVNVX. RONNIE THANH TOAN TIEN NUOC THANG 12 HD 191-020097041501091258092026B20W523756</t>
  </si>
  <si>
    <t>10/01/2026 15:25:13</t>
  </si>
  <si>
    <t>TKThe :99444473899, tai SCB VN. Booking fee for factory C1 BDH                                                                                                                                -CTLNHIDI000014035185509-1/1-CRE-002</t>
  </si>
  <si>
    <t>15-01-2026 11:25:49</t>
  </si>
  <si>
    <t>TKVN ck chi phi nuoc sach va xu ly nuoc thai thang 12 theo HD 338 ngay 31.12.2025</t>
  </si>
  <si>
    <t>15-01-2026 11:29:56</t>
  </si>
  <si>
    <t>TKVN ck chi phi thue nha xuong quy 1.2026 theo HD 11 ngay 08.01.2026</t>
  </si>
  <si>
    <t>15-01-2026 02:33:45</t>
  </si>
  <si>
    <t>Tra goc TK tien gui 212000491600</t>
  </si>
  <si>
    <t>01-01-2026 04:56:33</t>
  </si>
  <si>
    <t>Tra lai TK tien gui 210000467732</t>
  </si>
  <si>
    <t>07-01-2026 02:49:40</t>
  </si>
  <si>
    <t>Tra lai TK tien gui 210000490002</t>
  </si>
  <si>
    <t>Tra lai TK tien gui 210000490039</t>
  </si>
  <si>
    <t>01-01-2026 04:56:34</t>
  </si>
  <si>
    <t>Tra lai TK tien gui 211000467744</t>
  </si>
  <si>
    <t>Tra lai TK tien gui 211000467756</t>
  </si>
  <si>
    <t>Tra lai TK tien gui 211000467771</t>
  </si>
  <si>
    <t>07-01-2026 02:49:42</t>
  </si>
  <si>
    <t>Tra lai TK tien gui 211000490001</t>
  </si>
  <si>
    <t>01-01-2026 04:56:36</t>
  </si>
  <si>
    <t>Tra lai TK tien gui 212000467743</t>
  </si>
  <si>
    <t>Tra lai TK tien gui 212000467767</t>
  </si>
  <si>
    <t>Tra lai TK tien gui 212000467770</t>
  </si>
  <si>
    <t>13-01-2026 02:54:04</t>
  </si>
  <si>
    <t>Tra lai TK tien gui 212000474712</t>
  </si>
  <si>
    <t>Tra lai TK tien gui 212000491600</t>
  </si>
  <si>
    <t>01-01-2026 04:56:40</t>
  </si>
  <si>
    <t>Tra lai TK tien gui 213000467754</t>
  </si>
  <si>
    <t>Tra lai TK tien gui 213000467766</t>
  </si>
  <si>
    <t>Tra lai TK tien gui 214000467753</t>
  </si>
  <si>
    <t>Tra lai TK tien gui 214000467765</t>
  </si>
  <si>
    <t>01-01-2026 04:56:52</t>
  </si>
  <si>
    <t>Tra lai TK tien gui 215000467740</t>
  </si>
  <si>
    <t>Tra lai TK tien gui 215000467752</t>
  </si>
  <si>
    <t>Tra lai TK tien gui 215000467764</t>
  </si>
  <si>
    <t>13-01-2026 02:54:22</t>
  </si>
  <si>
    <t>Tra lai TK tien gui 215000474706</t>
  </si>
  <si>
    <t>07-01-2026 02:50:05</t>
  </si>
  <si>
    <t>Tra lai TK tien gui 215000489959</t>
  </si>
  <si>
    <t>07-01-2026 02:50:06</t>
  </si>
  <si>
    <t>Tra lai TK tien gui 215000490022</t>
  </si>
  <si>
    <t>15-01-2026 02:34:57</t>
  </si>
  <si>
    <t>Tra lai TK tien gui 216000453618</t>
  </si>
  <si>
    <t>Tra lai TK tien gui 216000467736</t>
  </si>
  <si>
    <t>01-01-2026 04:57:00</t>
  </si>
  <si>
    <t>Tra lai TK tien gui 216000467749</t>
  </si>
  <si>
    <t>Tra lai TK tien gui 216000467751</t>
  </si>
  <si>
    <t>Tra lai TK tien gui 217000467748</t>
  </si>
  <si>
    <t>Tra lai TK tien gui 218000467734</t>
  </si>
  <si>
    <t>01-01-2026 04:57:20</t>
  </si>
  <si>
    <t>Tra lai TK tien gui 218000467747</t>
  </si>
  <si>
    <t>Tra lai TK tien gui 218000467786</t>
  </si>
  <si>
    <t>01-01-2026 04:57:31</t>
  </si>
  <si>
    <t>Tra lai TK tien gui 219000467758</t>
  </si>
  <si>
    <t>Transfer to deposit - CT DEN:101871196996 BLUE GREEN TT HD 193 MST 3702745009</t>
  </si>
  <si>
    <t>Transfer to deposit - CT DEN:101871196996 BLUE GREEN TT HD 3 MST 3702745009</t>
  </si>
  <si>
    <t>Transfer to deposit - So GD goc: 10000005 PAY THE WATER BILLS FOR DEC 2025</t>
  </si>
  <si>
    <t>Transfer to deposit - So GD goc: 10000109 TT TIEN DIEN + NUOC T12.2025 THEO HD 199 + HD 205</t>
  </si>
  <si>
    <t>Transfer to deposit - So GD goc: 10000338 Factory rent</t>
  </si>
  <si>
    <t>Transfer to deposit - So GD goc: 10000357 Water bill</t>
  </si>
  <si>
    <t>Transfer to deposit - So GD goc: 10000366 Water rate</t>
  </si>
  <si>
    <t>Transfer to deposit - So GD goc: 10000886 Electricity bill F3-5</t>
  </si>
  <si>
    <t>Transfer to deposit - So GD goc: 10000904 RENTAI f3-1/2/3/4/5 26.Q1</t>
  </si>
  <si>
    <t>Transfer to deposit - So GD goc: 10003356 CONG TY TNHH YOURSHINE OPTRONICS - TTHD 198</t>
  </si>
  <si>
    <t>Transfer to deposit - So GD goc: 10003421 The rent for the first quarter of 2026.</t>
  </si>
  <si>
    <t>Transfer to deposit - So GD goc: 10006358 CTY MINHAS THANH TOAN PHI THUE XUONG F23,F24 THANG 2 3 2026</t>
  </si>
  <si>
    <t>Transfer to deposit - So GD goc: 10048635 CTY MINHAS THANH TOAN PHI THUE XUONG F23,F24 THANG 01.2026</t>
  </si>
  <si>
    <t>Transfer to deposit - So GD goc: 10048664 CTY MINHAS THANH TOAN HOA DON 200</t>
  </si>
  <si>
    <t>Transfer to KBank Account - TF50_Courier Charge - VND. STATEMENT &amp;amp; RECEIPTS DEC 2025</t>
  </si>
  <si>
    <t>05-01-2026 05:10:59</t>
  </si>
  <si>
    <t>Trich no tu dong the thanh toan cho TK the tin dung 257110000573639</t>
  </si>
  <si>
    <t>TT CHI HO TIEN DIEN NUOC T11-2025 HD: 324 CTY TNHH PHAT TRIEN CONG NGHIEP BW MY PHUOC 3</t>
  </si>
  <si>
    <t>07-01-2026 09:42:45</t>
  </si>
  <si>
    <t>TT phi thue nha xuong tu thang 1-3/2026</t>
  </si>
  <si>
    <t>13-01-2026 12:15:09</t>
  </si>
  <si>
    <t>TT PHI THUE XUONG A-18A16 TU NGAY 01.01.2026 DEN NGAY 31.03.2026 - HD SO 40</t>
  </si>
  <si>
    <t>09-01-2026 16:20:36</t>
  </si>
  <si>
    <t>TT tien thue xuong quy 1.2026 HD 00000044</t>
  </si>
  <si>
    <t>03-01-2026 13:20:08</t>
  </si>
  <si>
    <t>TTHD Tien dien Ma KH-PA13NH0039621 Ma HD-Ky 1706859990-T12.2025/NH$1</t>
  </si>
  <si>
    <t>12-01-2026 11:49:44</t>
  </si>
  <si>
    <t>TTHD Tien dien Ma KH-PA13NH0039621 Ma HD-Ky 1713651803-T01.2026/NH$1</t>
  </si>
  <si>
    <t>02-01-2026 14:54:08</t>
  </si>
  <si>
    <t>TTHD Tien dien Ma KH-PA22070819970 Ma HD-Ky 1712998531-T12.2025/07D1AM$1</t>
  </si>
  <si>
    <t>TTHD Tien dien Ma KH-PA22070819971 Ma HD-Ky 1712998519-T12.2025/07D1AM$1</t>
  </si>
  <si>
    <t>TTHD Tien dien Ma KH-PA23MV0057603 Ma HD-Ky 1707087235-T12.2025/MVQ$1</t>
  </si>
  <si>
    <t>TTHD Tien dien Ma KH-PA23MV0057604 Ma HD-Ky 1707087371-T12.2025/MVQ$1</t>
  </si>
  <si>
    <t>03-01-2026 10:03:40</t>
  </si>
  <si>
    <t>TTHD Tien dien Ma KH-PB04020117801 Ma HD-Ky 260110TD-T12.2025/0</t>
  </si>
  <si>
    <t>03-01-2026 10:03:38</t>
  </si>
  <si>
    <t>TTHD Tien dien Ma KH-PB04020117803 Ma HD-Ky 260110TD-T12.2025/0</t>
  </si>
  <si>
    <t>03-01-2026 10:01:46</t>
  </si>
  <si>
    <t>TTHD Tien dien Ma KH-PB04020117837 Ma HD-Ky 260110TD-T12.2025/0</t>
  </si>
  <si>
    <t>TTHD Tien dien Ma KH-PB04020117844 Ma HD-Ky 260110TD-T12.2025/0</t>
  </si>
  <si>
    <t>03-01-2026 10:01:44</t>
  </si>
  <si>
    <t>TTHD Tien dien Ma KH-PB04020117847 Ma HD-Ky 260110TD-T12.2025/0</t>
  </si>
  <si>
    <t>03-01-2026 10:07:28</t>
  </si>
  <si>
    <t>TTHD Tien dien Ma KH-PB04030118035 Ma HD-Ky 260110TD-T12.2025/0</t>
  </si>
  <si>
    <t>04-01-2026 09:54:18</t>
  </si>
  <si>
    <t>TTHD Tien dien Ma KH-PB04040080465 Ma HD-Ky 260110TD-T12.2025/0</t>
  </si>
  <si>
    <t>03-01-2026 10:09:14</t>
  </si>
  <si>
    <t>TTHD Tien dien Ma KH-PB04040082734 Ma HD-Ky 260110TD-T12.2025/0</t>
  </si>
  <si>
    <t>TTHD Tien dien Ma KH-PB04040082736 Ma HD-Ky 260110TD-T12.2025/0</t>
  </si>
  <si>
    <t>TTHD Tien dien Ma KH-PB04040083636 Ma HD-Ky 260110TD-T12.2025/0</t>
  </si>
  <si>
    <t>04-01-2026 09:54:56</t>
  </si>
  <si>
    <t>TTHD Tien dien Ma KH-PB04040084886 Ma HD-Ky 260110TD-T12.2025/0</t>
  </si>
  <si>
    <t>TTHD Tien dien Ma KH-PB04040084931 Ma HD-Ky 260110TD-T12.2025/0</t>
  </si>
  <si>
    <t>03-01-2026 10:13:02</t>
  </si>
  <si>
    <t>TTHD Tien dien Ma KH-PB04090019926 Ma HD-Ky 260110TD-T12.2025/0</t>
  </si>
  <si>
    <t>03-01-2026 10:13:04</t>
  </si>
  <si>
    <t>TTHD Tien dien Ma KH-PB04090028199 Ma HD-Ky 260110TD-T12.2025/0</t>
  </si>
  <si>
    <t>TTHD Tien dien Ma KH-PB04090028600 Ma HD-Ky 260110TD-T12.2025/0</t>
  </si>
  <si>
    <t>TTHD Tien dien Ma KH-PB04090028957 Ma HD-Ky 260110TD-T12.2025/0</t>
  </si>
  <si>
    <t>TTHD Tien dien Ma KH-PB04090028958 Ma HD-Ky 260110TD-T12.2025/0</t>
  </si>
  <si>
    <t>TTHD Tien dien Ma KH-PB04090030004 Ma HD-Ky 260110TD-T12.2025/0</t>
  </si>
  <si>
    <t>TTHD Tien dien Ma KH-PB04090030065 Ma HD-Ky 260110TD-T12.2025/0</t>
  </si>
  <si>
    <t>TTHD Tien dien Ma KH-PB04090030927 Ma HD-Ky 260110TD-T12.2025/0</t>
  </si>
  <si>
    <t>03-01-2026 10:13:06</t>
  </si>
  <si>
    <t>TTHD Tien dien Ma KH-PB04090030985 Ma HD-Ky 260110TD-T12.2025/0</t>
  </si>
  <si>
    <t>TTHD Tien dien Ma KH-PB04090034081 Ma HD-Ky 260120TD-T12.2025/0</t>
  </si>
  <si>
    <t>TTHD Tien dien Ma KH-PB04090039504 Ma HD-Ky 260110TD-T12.2025/0</t>
  </si>
  <si>
    <t>TTHD Tien dien Ma KH-PB04090039544 Ma HD-Ky 260110TD-T12.2025/0</t>
  </si>
  <si>
    <t>02-01-2026 11:21:08</t>
  </si>
  <si>
    <t>TTHD Tien dien Ma KH-PB06030112110 Ma HD-Ky 101609445718TD-T12.2025/0</t>
  </si>
  <si>
    <t>12-01-2026 10:45:30</t>
  </si>
  <si>
    <t>TTHD Tien dien Ma KH-PB06030112113 Ma HD-Ky 101610476657TD-T01.2026/0</t>
  </si>
  <si>
    <t>TTHD Tien dien Ma KH-PB06030112113 Ma HD-Ky 301609467784TD-T12.2025/0</t>
  </si>
  <si>
    <t>02-01-2026 11:22:24</t>
  </si>
  <si>
    <t>TTHD Tien dien Ma KH-PB06030116071 Ma HD-Ky 101609446155TD-T12.2025/0</t>
  </si>
  <si>
    <t>13-01-2026 10:51:54</t>
  </si>
  <si>
    <t>TTHD Tien dien Ma KH-PB06070069635 Ma HD-Ky 101610480881TD-T01.2026/0</t>
  </si>
  <si>
    <t>02-01-2026 11:33:36</t>
  </si>
  <si>
    <t>TTHD Tien dien Ma KH-PB06070069635 Ma HD-Ky 301608712158TD-T12.2025/0</t>
  </si>
  <si>
    <t>01-01-2026 17:29:18</t>
  </si>
  <si>
    <t>TTHD Tien dien Ma KH-PE09000203451 Ma HD-Ky 260130TD-T12.2025/0</t>
  </si>
  <si>
    <t>12-01-2026 13:20:42</t>
  </si>
  <si>
    <t>TTHD Tien dien Ma KH-PE09000203451 Ma HD-Ky 260210TD-T01.2026/0</t>
  </si>
  <si>
    <t>01-01-2026 17:36:45</t>
  </si>
  <si>
    <t>TTHD Tien dien Ma KH-PE09000208673 Ma HD-Ky 260130TD-T12.2025/0</t>
  </si>
  <si>
    <t>12-01-2026 13:23:09</t>
  </si>
  <si>
    <t>TTHD Tien dien Ma KH-PE09000208673 Ma HD-Ky 260210TD-T01.2026/0</t>
  </si>
  <si>
    <t>12-01-2026 11:52:32</t>
  </si>
  <si>
    <t>TTHD Tien dien Ma KH-PK02000210165 Ma HD-Ky 101610462487TD-T01.2026/0</t>
  </si>
  <si>
    <t>02-01-2026 12:10:00</t>
  </si>
  <si>
    <t>TTHD Tien dien Ma KH-PK02000210165 Ma HD-Ky 301608238780TD-T12.2025/0</t>
  </si>
  <si>
    <t>12-01-2026 11:52:36</t>
  </si>
  <si>
    <t>TTHD Tien dien Ma KH-PK02000210166 Ma HD-Ky 101610462503TD-T01.2026/0</t>
  </si>
  <si>
    <t>02-01-2026 12:10:04</t>
  </si>
  <si>
    <t>TTHD Tien dien Ma KH-PK02000210166 Ma HD-Ky 301608238794TD-T12.2025/0</t>
  </si>
  <si>
    <t>02-01-2026 15:21:40</t>
  </si>
  <si>
    <t>TTHD Tien dien Ma KH-PM17000092634 Ma HD-Ky 1709391740-T12.2025/17$1</t>
  </si>
  <si>
    <t>02-01-2026 15:21:59</t>
  </si>
  <si>
    <t>TTHD Tien dien Ma KH-PM17000094760 Ma HD-Ky 1709391705-T12.2025/17$1</t>
  </si>
  <si>
    <t>13-01-2026 10:18:43</t>
  </si>
  <si>
    <t>TTHD Tien nuoc Ma KH-8108040004 Ma HD-Ky 1/2026$81</t>
  </si>
  <si>
    <t>15-01-2026 09:42:58</t>
  </si>
  <si>
    <t>TTHD Tien nuoc Ma KH-8404630042 Ma HD-Ky 1/2026$84</t>
  </si>
  <si>
    <t>15-01-2026 09:42:56</t>
  </si>
  <si>
    <t>TTHD Tien nuoc Ma KH-8404630043 Ma HD-Ky 1/2026$84</t>
  </si>
  <si>
    <t>14-01-2026 10:23:14</t>
  </si>
  <si>
    <t>TTHD Tien nuoc Ma KH-8405120005 Ma HD-Ky 1/2026$88</t>
  </si>
  <si>
    <t>13-01-2026 10:21:00</t>
  </si>
  <si>
    <t>TTHD Tien nuoc Ma KH-8801010024 Ma HD-Ky 1/2026$88</t>
  </si>
  <si>
    <t>13-01-2026 10:20:42</t>
  </si>
  <si>
    <t>TTHD Tien nuoc Ma KH-8801010028 Ma HD-Ky 1/2026$88</t>
  </si>
  <si>
    <t>13-01-2026 10:21:04</t>
  </si>
  <si>
    <t>TTHD Tien nuoc Ma KH-8801010030 Ma HD-Ky 1/2026$88</t>
  </si>
  <si>
    <t>13-01-2026 10:21:06</t>
  </si>
  <si>
    <t>TTHD Tien nuoc Ma KH-8801010038 Ma HD-Ky 1/2026$88</t>
  </si>
  <si>
    <t>14-01-2026 10:23:18</t>
  </si>
  <si>
    <t>TTHD Tien nuoc Ma KH-8801010039 Ma HD-Ky 1/2026$88</t>
  </si>
  <si>
    <t>13-01-2026 10:21:25</t>
  </si>
  <si>
    <t>TTHD Tien nuoc Ma KH-8801010055 Ma HD-Ky 1/2026$88</t>
  </si>
  <si>
    <t>13-01-2026 10:21:02</t>
  </si>
  <si>
    <t>TTHD Tien nuoc Ma KH-8801010078 Ma HD-Ky 1/2026$88</t>
  </si>
  <si>
    <t>13-01-2026 10:20:47</t>
  </si>
  <si>
    <t>TTHD Tien nuoc Ma KH-8801010085 Ma HD-Ky 1/2026$88</t>
  </si>
  <si>
    <t>13-01-2026 10:20:48</t>
  </si>
  <si>
    <t>TTHD Tien nuoc Ma KH-8801010099 Ma HD-Ky 1/2026$88</t>
  </si>
  <si>
    <t>13-01-2026 10:21:08</t>
  </si>
  <si>
    <t>TTHD Tien nuoc Ma KH-8801010101 Ma HD-Ky 1/2026$88</t>
  </si>
  <si>
    <t>13-01-2026 10:20:50</t>
  </si>
  <si>
    <t>TTHD Tien nuoc Ma KH-8801010104 Ma HD-Ky 1/2026$88</t>
  </si>
  <si>
    <t>13-01-2026 10:20:53</t>
  </si>
  <si>
    <t>TTHD Tien nuoc Ma KH-8801010125 Ma HD-Ky 1/2026$88</t>
  </si>
  <si>
    <t>14-01-2026 10:23:28</t>
  </si>
  <si>
    <t>TTHD Tien nuoc Ma KH-8801010127 Ma HD-Ky 1/2026$88</t>
  </si>
  <si>
    <t>14-01-2026 10:23:30</t>
  </si>
  <si>
    <t>TTHD Tien nuoc Ma KH-8801010128 Ma HD-Ky 1/2026$88</t>
  </si>
  <si>
    <t>14-01-2026 10:23:32</t>
  </si>
  <si>
    <t>TTHD Tien nuoc Ma KH-8801010129 Ma HD-Ky 1/2026$88</t>
  </si>
  <si>
    <t>VAT</t>
  </si>
  <si>
    <t>15-01-2026 09:50:33</t>
  </si>
  <si>
    <t>VC3_ BB5_ BCC transfer/ SHTQ chuyen tien hop tac kinh doanh</t>
  </si>
  <si>
    <t>VC3_SSG_Electricity  Water fee in 12/2025_Dien nuoc van phong</t>
  </si>
  <si>
    <t>VC3_TANDUC_Payment for purchase 1 license Power Automate Premium 8-Months_Phan mem</t>
  </si>
  <si>
    <t>VC3_XUAN_FM team lunch year end_Chi phi an uong</t>
  </si>
  <si>
    <t>VCBCSH. 1112512239270449.BLB BD 3rd Payment for contract LB VD 25022 FF system renovation RBF 48A 56AB 52B Lap dat PCCC CT tu 1060629524 CT</t>
  </si>
  <si>
    <t>VCBCSH. 1112601070140495.SCC Vo Thi Thu Thao Gift for Jinglianchuang as 1st anniversary Hoan tien qua tang khach hang CT tu 1018291733 CT TN</t>
  </si>
  <si>
    <t>VCBCSH. 1112601070140496.SCC CBRE Valuation fee Inv no 00001261 TT phi dinh gia CT tu 1018291733 CT TNHH BW SUPPLY CHAIN CITY  toi 001090331</t>
  </si>
  <si>
    <t>VCBCSH. 1112601070140497.SCC AN TIN Repairing spare parts of elevator Inv no 105 TT phi thay the thiet bi thang may CT tu 1018291733 CT TNHH</t>
  </si>
  <si>
    <t>VCBCSH. 1112601070140498.SCC KMG FF appraisal for SCC building BWSCC VD 25005 2nd payment Inv no 8 TT phi tham duyet nghiem thu CT tu 101829</t>
  </si>
  <si>
    <t>VCBCSH. 1112601070140499.SCC HHP Minor defects Inv no 50 TT phi sua chua nho CT tu 1018291733 CT TNHH BW SUPPLY CHAIN CITY  toi 7722558888 C</t>
  </si>
  <si>
    <t>VCBCSH. 1112601070140500.SCC AN TIN Elevator maintenance Q4 2025 BWSCC VD 24037 Inv no 104 TT phi bao tri thang may CT tu 1018291733 CT TNHH</t>
  </si>
  <si>
    <t>VCBCSH. 1112601070140501.SCC BIWASE WATER CONSUMPTION FOR FF IN 11 AND 12 25 TT tien nuoc PCCC CT tu 1018291733 CT TNHH BW SUPPLY CHAIN CITY</t>
  </si>
  <si>
    <t>VCBCSH. 1112601070140502.SCC VAN SU LOI Broker fee Star Electric Inv no 22 TT phi moi gioi CT tu 1018291733 CT TNHH BW SUPPLY CHAIN CITY  to</t>
  </si>
  <si>
    <t>VCBCSH. 1112601070140503.SCC TXM Repairing folding doors for u1 TP7 and u12 TP14 Inv no 335 TT phi sua chua hu hong CT tu 1018291733 CT TNHH</t>
  </si>
  <si>
    <t>VCBCSH. 1112601070140504.SCC HOMO Pay translation fee for docs of tenant WORLD SYMBOL Inv no 211 TT phi dich thuat CT tu 1018291733 CT TNHH</t>
  </si>
  <si>
    <t>VCBCSH. 1112601070145549.BTH PVN WWTP maintenance fee in 10 11 12 2025 Inv no 29 TT phi van hanh tram xu ly nuoc thai CT tu 1057270760 CT TN</t>
  </si>
  <si>
    <t>VCBCSH. 1112601070145550.BTH Nguyen Dang Quang Ngoc Anniversary gift for tenant Hoan tien qua tang khach hang CT tu 1057270760 CT TNHH MTV P</t>
  </si>
  <si>
    <t>VCBCSH. 1112601070145551.BTU NL Replace suntrip MCCB Inv no 00000409 TT phi thay the thiet bi CT tu 1018776868 CT TNHH MTV PT CN VA HAU CAN</t>
  </si>
  <si>
    <t>VCBCSH. 1112601070145552.BTU NL Electrical experiment and maintenance 2025 Inv no 00000388 TT phi bao duong va kiem tra CT tu 1018776868 CT</t>
  </si>
  <si>
    <t>VCBCSH. 1112601070145553.BNT CBRE Payment for Report issuance Valuation for Year end 2025 Inv no 00001223 TT phi phat hanh BC dinh gia CT tu</t>
  </si>
  <si>
    <t>VCBCSH. 1112601070145554.BNT AN TIN Elevator maintenance fee in 12 2025 Inv no 00000110 TT phi bao tri thang may CT tu 0071001286959 CT TNHH</t>
  </si>
  <si>
    <t>VCBCSH. 1112601120712395.BSL AN TIN Elevator maintenance Q4 25 Bao tri thang may CT tu 1038935148 CT TNHH PT CONG NGHIEP HAU CAN SAI GON  to</t>
  </si>
  <si>
    <t>VCBCSH. 1112601130768929.CT THUAN PHONG TT CP THUE KHO 202601 NV 9 CT tu 0531002562100 CTTNHH MTV CHUYEN PHAT NHANH THUAN PHONG toi 10389351</t>
  </si>
  <si>
    <t>VCBCSH. 1112601130768933.CT THUAN PHONG TT CP DIEN 202512 NV 279 CT tu 0531002562100 CTTNHH MTV CHUYEN PHAT NHANH THUAN PHONG toi 1038935148</t>
  </si>
  <si>
    <t>VCBCSH. C712040126093741.T3B Lot D-IMPC-Payment for FM service fee in DEC25,OT fee and Minor repair from JUL to DEC25-INVOICE 00000745,00000</t>
  </si>
  <si>
    <t>VCBCSH. C724311225110246.BSL SCD Water and Sewage consumption in 1225 Tien nuoc va nuoc thai CT tu 1038935148 CT TNHH PT CONG NGHIEP HAU CAN</t>
  </si>
  <si>
    <t>VCBCSH. C729080126021629.BNH-CBRE-Payment for Report issuance of Valuation for Year-end 2025 Inv 00001228 CT tu 1048666263 CT TNHH PTCN BW N</t>
  </si>
  <si>
    <t>VCBCSH. C734040126090639.T3B Lot D-Refund Fitout Deposit to Goldcat tenant CT tu 9020128888 CT TNHH PHAT TRIEN CONG NGHIEP THUAN THANH 3B to</t>
  </si>
  <si>
    <t>VCBCSH. C734040126093234.T3B Lot D-Trung Quy-Payment for Water consumption and Wastewater treatment fee December 2025-INVOICE 314,315 CT tu</t>
  </si>
  <si>
    <t>VCBCSH. C737080126022356.BNH CN10-01-CREW24-FM service Dec 2025 Inv 00000216 CT tu 9020108888 CT TNHH PTCN BW NAM HAI  toi 680201826886 CONG</t>
  </si>
  <si>
    <t>VCBCSH. C74060126113412.SCC-VC3-Thanh toan phi dich vu (management fee) CT tu 1018291733 CT TNHH BW SUPPLY CHAIN CITY  toi 114002874189 CONG</t>
  </si>
  <si>
    <t>VCBCSH. C748040126094640.T3B-Long Vu-Payment for Notarized translation fee-INVOICE 00000240 CT tu 9020128888 CT TNHH PHAT TRIEN CONG NGHIEP</t>
  </si>
  <si>
    <t>VCBCSH. C754050126033957.BNT-IDICO-Electricity fee in 12/25-Term 3-Inv no.00000215/ TT tien dien CT tu 0071001286959 CT TNHH MTV PT CONG NGH</t>
  </si>
  <si>
    <t>VCBCSH. C754080126110605.BNT-DL-Fire drill in 2025-Inv no.184/ TT phi dien tap PCCC CT tu 0071001286959 CT TNHH MTV PT CONG NGHIEP BW NHON T</t>
  </si>
  <si>
    <t>VCBCSH. C759040126092343.T3B-TVAN-Payment for E-signature token 3 years-INVOICE 00002843 CT tu 9020128888 CT TNHH PHAT TRIEN CONG NGHIEP THU</t>
  </si>
  <si>
    <t>VCBCSH. C760301225100802.PDE - Payment for Connection fee under Notification 469/2025/TB-TQBN CT tu 6080146666 CONG TY TNHH PHAT TRIEN CONG</t>
  </si>
  <si>
    <t>VCBCSH. C763040126093154.T3B Lot E-Trung Quy-Payment for Water consumption December 2025-INVOICE 313 CT tu 3243126666 CT TNHH PHAT TRIEN CON</t>
  </si>
  <si>
    <t>VCBCSH. C764080126022430.BNH Lot CN10-02-CREW24-Payment for FM Service in Dec 25 Inv 00000215 CT tu 1048666263 CT TNHH PTCN BW NAM HAI  toi</t>
  </si>
  <si>
    <t>VCBCSH. C765040126094122.T3B Lot D-EES-Payment for Operation of WWTP system in DEC25 and Quarterly Analyzing WWT sample in Q4 Y2025-INVOICE</t>
  </si>
  <si>
    <t>VCBCSH. C77040126094548.T3B Lot E-BWCONSULTING-Payment for Licensing Service Contract-Tenant Yangchaoming,Kenta-INVOICE 32,33 CT tu 32431266</t>
  </si>
  <si>
    <t>VCBCSH. C773120126041227.BSL KDAT3 Renew safety certificates for lifts Kiem tra dinh ky thang may CT tu 1038935148 CT TNHH PT CONG NGHIEP HA</t>
  </si>
  <si>
    <t>VCBCSH. C785080126021755.BW Nam Hai lot CN10-02 - NDV Esco - Pay to Power Consumption fee in Dec 2025 CT tu 1048666263 CT TNHH PTCN BW NAM H</t>
  </si>
  <si>
    <t>VCBCSH. C786040126093708.T3B Lot E-IMPC-Payment for Minor repair fee from JUL to DEC25-INVOICE 00000717 CT tu 3243126666 CT TNHH PHAT TRIEN</t>
  </si>
  <si>
    <t>VCBCSH. C786060126113549.SCC-VC3-Thanh toan chi phi tham dinh (valuation fee) CT tu 1018291733 CT TNHH BW SUPPLY CHAIN CITY  toi 11400287418</t>
  </si>
  <si>
    <t>VCBCSH. C79040126094035.T3B Lot E-EES-Payment for Operation of WWTP system in DEC25 and Quarterly Analyzing WWT sample in Q4 Y2025-INVOICE 0</t>
  </si>
  <si>
    <t>VCBCSH. C791040126092900.T3B Lot E-Dien Bac Ninh-Payment of Power consumption fee in Dec 2025 CT tu 3243126666 CT TNHH PHAT TRIEN CONG NGHIE</t>
  </si>
  <si>
    <t>12-01-2026 15:21:16</t>
  </si>
  <si>
    <t>VFX - 3015876551 - 28598.65RI0001.V01.VND # NGAN HANG MUA 8513USD TY GIA 26068. DVC: SMARTEST DIGITAL INNOVATION LLP. NOI DUNG: PAYMENT TOWARDS OPERATIONAL LEASING SERVICES</t>
  </si>
  <si>
    <t>14-01-2026 17:37:18</t>
  </si>
  <si>
    <t>VFX - 3024140029 - 28598.66RI0006.V01.VND # NH BAN 62332.47 USD TY GIA 26285</t>
  </si>
  <si>
    <t>VPDD CITIGROUP LIMITED TAI VIET NAM TT TIEN DIEN TANG TRET VA TANG 1 TU NGAY 23.09.2025 DEN 22.12.2025</t>
  </si>
  <si>
    <t>VPDD CITIGROUP LIMITED TAI VIET NAM TT TIEN PHI DICH VU VA THUE VAN PHONG CUA TANG TRET VA TANG 1 TU NGAY 01/01/2026 DEN NGAY 30/01/2026</t>
  </si>
  <si>
    <t>05-01-2026 14:14:17</t>
  </si>
  <si>
    <t>water rate 1200432</t>
  </si>
  <si>
    <t>07-01-2026 15:18:04</t>
  </si>
  <si>
    <t>WL2B_ICIC_CS Contract - PR.15 - INV.00000400 - Phi giam sat XD</t>
  </si>
  <si>
    <t>13-01-2026 13:02:30</t>
  </si>
  <si>
    <t>YOURCHANG TT PHI THUE XUONG HD 3 T1-3.A4 ZUJIN</t>
  </si>
  <si>
    <t>13-01-2026 13:02:29</t>
  </si>
  <si>
    <t>YOURCHANG TT PHI THUE XUONG T1-3.B4-B6 HD 3 ZUJIN</t>
  </si>
  <si>
    <t>YOURCHANG TT PHI XLNT HD 140 20.11-20-12 A4.B1-B6.C5-C6 SHUI+FEISHUICHULI</t>
  </si>
  <si>
    <t>YOURCHANG TT TIEN THUE XUONG T1-3.B1-B3 HD 3 ZUJIN+FUWUFEI</t>
  </si>
  <si>
    <t>YOURCHANG TTPHI THUE XUONG HD 3 T1-3.C5-C6 ZUJIN</t>
  </si>
  <si>
    <t>PHI QUAN LY TAI KHOAN 222xxx094 T01 2026</t>
  </si>
  <si>
    <t>15/01/2026 09:01:32</t>
  </si>
  <si>
    <t>6-MONTH RENTAL DEPOSIT FOR NEW FACTORY, DVH: CTY CP PHAT TRIEN CONG NGHIEP YEN PHONG VIET NAM. REF NO: JYP-PLC-26001 ON 02.01.2026</t>
  </si>
  <si>
    <t>FIT-OUT DEPOSIT, DVH: CTY CP PHAT TRIEN CONG NGHIEP YEN PHONG VIET NAM. REF NO: JYP-PLC-26001 ON 02.01.2026</t>
  </si>
  <si>
    <t>12/01/2026 15:13:12</t>
  </si>
  <si>
    <t>TKThe :110003002878, tai ICBVVNVX. Cty Lantro Vietnam dat coc thi cong nha kho B1-1, B1-2, B1-3, B1-4, Lo dat CN4-3 va CN1-1, KCN Yen Phong, Bac Ninh-020097041501121513122026jhzp439028</t>
  </si>
  <si>
    <t>08/01/2026 10:54:00</t>
  </si>
  <si>
    <t>REF222A2610BSL7JGMZ B/O 8660004066 CTY CP PHAT TRIEN CONG NGHIEP YEN PHONG (VIET NAM) F/O 119000234614 CTDTPT HATANG VIGLACERA-CNTCT VIGLACERA NHH01201001 JYP_Viglacera_Payment for Water supply and Wastewater treatment fee Dec 2025_INVOICE 35204,3634</t>
  </si>
  <si>
    <t>REF222A2610BSL7HY5L B/O 8660004066 CTY CP PHAT TRIEN CONG NGHIEP YEN PHONG (VIET NAM) F/O 110000162750 CONG TY CP DIEN LUC KV 1 NHH01201001 JYP_DLKV1_Payment of Power consumption period 3- Dec 2025</t>
  </si>
  <si>
    <t>08/01/2026 09:51:19</t>
  </si>
  <si>
    <t>PHI QUAN LY TAI KHOAN 866xxx066 T01 2026</t>
  </si>
  <si>
    <t>06/01/2026 09:03:52</t>
  </si>
  <si>
    <t>THNS-SCT1177940-USER163730-MST2301315053-NOPTHUE-(ST154922637)</t>
  </si>
  <si>
    <t>CONG TY TNHH S-RETAIL VN</t>
  </si>
  <si>
    <t>VietinBank VNM 117689656789 VietinBank phi thue xuong 27 tu ngay 01/12/202 5 den ngay 31/12/2025,dien tich 1. 410.40 m2,</t>
  </si>
  <si>
    <t>VietinBank VNM 113640186868 VietinBank Pay the rent Invoice Number 0000000 9</t>
  </si>
  <si>
    <t>WOORI BANK VIETNAM 700 704 100700394509 WOORI BANK VIETNAM 700 GEUNSOO TT PHI THUE NHA XUONG T01/2 6 HD 03-BW</t>
  </si>
  <si>
    <t>CONG TY ΤΝΗΗ VINA SHINKWANG SEALING ΝΗ TNHH Shinhan Viet Nam Hoi so chi (B/O CONG TY TNHH VINA SHINKWANG SEALING) TT TIEN THUE XUONG THANG 12.2025 HD 398 NGAY 06.10- FT26006A04004065\XNV KHU VUC MIEN NAM(SAI GON)</t>
  </si>
  <si>
    <t>SACOMBANK HCM VNM 050115179818 SACOMBANK HCM CTY AUSPIC TT TIEN THUE NHA XUONG T HANG 01.2026 HD SO 17 CHO CTY TNHH BW SUPPLY CHAIN CITY</t>
  </si>
  <si>
    <t>CONG TY TΝΗΗ DAE JUNG VINA NH TNHH Shinhan Viet Nam Hoi so chi (B/O CONG TY TNHH DAE JUNG VINA) THANH TOAN PHI THUE NHA XUONG QUY FT26007A04003852\XNV</t>
  </si>
  <si>
    <t>(B/O CONG TY TNHH RIGHT WEIGH) RWVN pays for inv no 00000064</t>
  </si>
  <si>
    <t xml:space="preserve"> (B/O CONG TY TNHH FLEXTEC OONISHI VIET NAM) CONG TY TNHH FLEXTEC OONISHI VIETNAM THANH TOAN TIEN THUE XUONGQ1.2026 LAN 1 </t>
  </si>
  <si>
    <t>(B/O CONG TY TNHH FLEXTEC OONISHI VIET NAM) CONG TY TNHH FLEXTEC OONISHI VIETNAM THANH TOAN TIEN THUE XUONGQ1.2026 LAN 2</t>
  </si>
  <si>
    <t xml:space="preserve">Leading Tech TT HD so 00000520 va  00000058 </t>
  </si>
  <si>
    <t xml:space="preserve"> (B/O CONG TY TNHH TOWA PLASTICS VIET NAM) THANH TOAN TIEN THUE XUONG VA PHI QUAN LY THANG 1 2026 HD 1 NGAY 06.01.2026</t>
  </si>
  <si>
    <t>(B/O CONG TY TNHH MEGA TECH VIETNAM HCMC) MEGA TECH CK TIEN THUE NHA XUONG QUY 1 2026 HD 28</t>
  </si>
  <si>
    <t>(B/O CONG TY TNHH MEGA TECH VIETNAM HCMC) MEGA TECH CK TIEN THUE NHA XUONG QUY 1 2026 HD 29</t>
  </si>
  <si>
    <t>RENT FOR FACTORY FOR QUARTER 1 JAN- FEB-MAR.2026 INV 37</t>
  </si>
  <si>
    <t>(B/O CONG TY ΤΝΗΗ SEWHA VIET NAM) THANH TOAN/TECHCOMBANK</t>
  </si>
  <si>
    <t>(B/O CONG TY TNHH JING LIAN CHUANG VIET NAM) TT TIEN THUE XUONG Q1/2026 HD 62 NGAY 06/01/2026</t>
  </si>
  <si>
    <t>(B/O CTY TNHH XIN YE COATING) TT PHI THUE XUONG CTY BW HD068</t>
  </si>
  <si>
    <t>CT ELEMENTS TT TIEN PHI GIU CHO CHO CTY BWSCC</t>
  </si>
  <si>
    <t>THANH TOAN TIEN DIEN QUY 4 NAM 2025 HD:00000522 NGAY 31/12/2025</t>
  </si>
  <si>
    <t>(B/O CT TNHH MAY MOC CHINH XAC CHENGCHUANG VN) THANH TOAN TIEN THUE XUONG T1-T3 THEO HD SO: 69, 08-01-2026</t>
  </si>
  <si>
    <t>tt hoa don 65 cty BW</t>
  </si>
  <si>
    <t>(B/O KOREA VANE HIGH TECH VINA COMPANY LIMITED) THANH TOAN TIEN THEO HD: 517,26</t>
  </si>
  <si>
    <t>(B/O KOREA VANE HIGH TECH VINA COMPANY LIMITED) THANH TOAN TIEN THEO HD: 518,27</t>
  </si>
  <si>
    <t>CT CARLILE JEWELRY TT TIEN THUE XUO NG T01.2026 CHO CT TNHH BW SUPPLY C HAIN CITY. HD 05</t>
  </si>
  <si>
    <t>CTY TNHH KIEM DINH WE.M.E X I U H U A TT PHI THUE XUONG 13, TP14 (T1. 2026) HD 053</t>
  </si>
  <si>
    <t>Rent from January to March</t>
  </si>
  <si>
    <t>(B/O CONG TY TNHH I VA M COATING) CTY IM COATING TT TIEN THUE XUONG T123.2026 CHO CTY BW SUPPLY</t>
  </si>
  <si>
    <t>(B/O CONG TY TNHH JOINT KEY DEVELOPMENT VIETNAM) CONG TY TNHH JOINT KEY DEVELOPMENT (VIETNAM) TT TIEN DIEN NUOC HD 532</t>
  </si>
  <si>
    <t>(B/O CONG TY TNHH JOINT KEY DEVELOPMENT VIETNAM) CONG TY TNHH JOINT KEY DEVELOPMENT (VIETNAM) TT TIEN THUE XUONG THANG 1 3/2026 HD 48</t>
  </si>
  <si>
    <t>(B/O CONG TY TNHH SAN XUAT GIAY DEP GRAND GAIN) GRAND GAIN THANH TOAN HOA DON SO 1C26TBA-57 NGAY 6/1/2026</t>
  </si>
  <si>
    <t>Adjustment</t>
  </si>
  <si>
    <t>KEB</t>
  </si>
  <si>
    <t>THU PHI TAI KHOAN KHONG CO GIAO DICH TRONG THOI GIAN DAI - THANG 12 NAM 2025</t>
  </si>
  <si>
    <t>THANH TOAN HOA DON PB04040091140 TUDONG-PB04040091140</t>
  </si>
  <si>
    <t>THANH TOAN HOA DON PB04040091141 TUDONG-PB04040091141</t>
  </si>
  <si>
    <t>THANH TOAN HOA DON PB04040091192 TUDONG-PB04040091192</t>
  </si>
  <si>
    <t>THANH TOAN HOA DON PB04040091181 TUDONG-PB04040091181</t>
  </si>
  <si>
    <t>THANH TOAN HOA DON PB04040091191 TUDONG-PB04040091191</t>
  </si>
  <si>
    <t>THANH TOAN HOA DON PB04040091186 TUDONG-PB04040091186</t>
  </si>
  <si>
    <t>THANH TOAN HOA DON PB04040091205 TUDONG-PB04040091205</t>
  </si>
  <si>
    <t>THANH TOAN HOA DON PB04040091182 TUDONG-PB04040091182</t>
  </si>
  <si>
    <t>THANH TOAN HOA DON 8414020006 TU DONG-24313</t>
  </si>
  <si>
    <t>No.</t>
  </si>
  <si>
    <t>Account No.</t>
  </si>
  <si>
    <t>CODE</t>
  </si>
  <si>
    <t>65010002666868</t>
  </si>
  <si>
    <t>BIDV - BINH DUONG</t>
  </si>
  <si>
    <t>22210001498702</t>
  </si>
  <si>
    <t>BHD</t>
  </si>
  <si>
    <t>15010002801406</t>
  </si>
  <si>
    <t>001026309225</t>
  </si>
  <si>
    <t>001030122288</t>
  </si>
  <si>
    <t>001030122194</t>
  </si>
  <si>
    <t>001025630948</t>
  </si>
  <si>
    <t>0531002826868</t>
  </si>
  <si>
    <t>HD2</t>
  </si>
  <si>
    <t>001030109503</t>
  </si>
  <si>
    <t>001030109476</t>
  </si>
  <si>
    <t>001030109448</t>
  </si>
  <si>
    <t>001030109425</t>
  </si>
  <si>
    <t>001030109397</t>
  </si>
  <si>
    <t>001030109364</t>
  </si>
  <si>
    <t>001030109156</t>
  </si>
  <si>
    <t>001029442095</t>
  </si>
  <si>
    <t>001025647384</t>
  </si>
  <si>
    <t>001025647431</t>
  </si>
  <si>
    <t>001025647325</t>
  </si>
  <si>
    <t>001025647259</t>
  </si>
  <si>
    <t>0075001588679</t>
  </si>
  <si>
    <t>1015205556</t>
  </si>
  <si>
    <t>Escrow Account</t>
  </si>
  <si>
    <t>219000285028</t>
  </si>
  <si>
    <t>213000258216</t>
  </si>
  <si>
    <t>214000258215</t>
  </si>
  <si>
    <t>111002810513</t>
  </si>
  <si>
    <t>DVL</t>
  </si>
  <si>
    <t>217000284840</t>
  </si>
  <si>
    <t>213000257965</t>
  </si>
  <si>
    <t>214000257964</t>
  </si>
  <si>
    <t>212000234625</t>
  </si>
  <si>
    <t>212000261497</t>
  </si>
  <si>
    <t>216000265762</t>
  </si>
  <si>
    <t>215000266762</t>
  </si>
  <si>
    <t>212000295521</t>
  </si>
  <si>
    <t>216000231157</t>
  </si>
  <si>
    <t>218000256310</t>
  </si>
  <si>
    <t>213000234609</t>
  </si>
  <si>
    <t>213000230806</t>
  </si>
  <si>
    <t>110600143999</t>
  </si>
  <si>
    <t>214000316132</t>
  </si>
  <si>
    <t>113002861153</t>
  </si>
  <si>
    <t>113002807480</t>
  </si>
  <si>
    <t>119002870521</t>
  </si>
  <si>
    <t>219000316043</t>
  </si>
  <si>
    <t>210000258027</t>
  </si>
  <si>
    <t>218000258029</t>
  </si>
  <si>
    <t>216000212668</t>
  </si>
  <si>
    <t>2011104355004</t>
  </si>
  <si>
    <t>90355921101</t>
  </si>
  <si>
    <t>111111111111</t>
  </si>
  <si>
    <t>0010600047880004</t>
  </si>
  <si>
    <t>0010600050568003</t>
  </si>
  <si>
    <t>0010600050571004</t>
  </si>
  <si>
    <t>0010600050570008</t>
  </si>
  <si>
    <t>357449089</t>
  </si>
  <si>
    <t>357449699</t>
  </si>
  <si>
    <t>357449939</t>
  </si>
  <si>
    <t>700-015-062680</t>
  </si>
  <si>
    <t>SHINHAN BANK</t>
  </si>
  <si>
    <t>1900201454264</t>
  </si>
  <si>
    <t>AGRIBANK - TT SAI GON</t>
  </si>
  <si>
    <t>5500201033201</t>
  </si>
  <si>
    <t>AGRIBANK - BINH DUONG</t>
  </si>
  <si>
    <t>218000291531</t>
  </si>
  <si>
    <t>219000302672</t>
  </si>
  <si>
    <t>210000268887</t>
  </si>
  <si>
    <t>210000267166</t>
  </si>
  <si>
    <t>219000194121</t>
  </si>
  <si>
    <t>219000279034</t>
  </si>
  <si>
    <t>210000271101</t>
  </si>
  <si>
    <t>211000271100</t>
  </si>
  <si>
    <t>216000271099</t>
  </si>
  <si>
    <t>219000286081</t>
  </si>
  <si>
    <t>213000308287</t>
  </si>
  <si>
    <t>GTC</t>
  </si>
  <si>
    <t>216000278711</t>
  </si>
  <si>
    <t>211000306676</t>
  </si>
  <si>
    <t>215000278712</t>
  </si>
  <si>
    <t>BCI</t>
  </si>
  <si>
    <t>BNT</t>
  </si>
  <si>
    <t>001032842700</t>
  </si>
  <si>
    <t>H5F</t>
  </si>
  <si>
    <t>110002682802</t>
  </si>
  <si>
    <t>119002685085</t>
  </si>
  <si>
    <t>HD3</t>
  </si>
  <si>
    <t>216000154286</t>
  </si>
  <si>
    <t>22210001547093</t>
  </si>
  <si>
    <t>22210001551915</t>
  </si>
  <si>
    <t>22210001532761</t>
  </si>
  <si>
    <t>115002687336</t>
  </si>
  <si>
    <t>BTH</t>
  </si>
  <si>
    <t>0010600053303008</t>
  </si>
  <si>
    <t>0010600050717009</t>
  </si>
  <si>
    <t>0010600050718005</t>
  </si>
  <si>
    <t>0010600050721006</t>
  </si>
  <si>
    <t>0010600050720007</t>
  </si>
  <si>
    <t>0010600050719001</t>
  </si>
  <si>
    <t>0010600050015004</t>
  </si>
  <si>
    <t>0010600050014008</t>
  </si>
  <si>
    <t>0010600048410001</t>
  </si>
  <si>
    <t>0010600049450007</t>
  </si>
  <si>
    <t>0010600048409003</t>
  </si>
  <si>
    <t>0010600045625007</t>
  </si>
  <si>
    <t>0010600045624008</t>
  </si>
  <si>
    <t>0010600045623004</t>
  </si>
  <si>
    <t>0010600045288008</t>
  </si>
  <si>
    <t>TH1HC</t>
  </si>
  <si>
    <t>112002687339</t>
  </si>
  <si>
    <t>TH2</t>
  </si>
  <si>
    <t>0010600051284009</t>
  </si>
  <si>
    <t>0010600051286001</t>
  </si>
  <si>
    <t>0010600051285005</t>
  </si>
  <si>
    <t>0010600051287008</t>
  </si>
  <si>
    <t>0010600051283002</t>
  </si>
  <si>
    <t>0010600051282006</t>
  </si>
  <si>
    <t>0010600048412004</t>
  </si>
  <si>
    <t>0010600048414007</t>
  </si>
  <si>
    <t>0010600049475007</t>
  </si>
  <si>
    <t>0010600048413008</t>
  </si>
  <si>
    <t>TH2HC</t>
  </si>
  <si>
    <t>BTU</t>
  </si>
  <si>
    <t>H5H</t>
  </si>
  <si>
    <t xml:space="preserve">	001024381089</t>
  </si>
  <si>
    <t>001024380974</t>
  </si>
  <si>
    <t>001025964505</t>
  </si>
  <si>
    <t>001025964294</t>
  </si>
  <si>
    <t>001032353433</t>
  </si>
  <si>
    <t>001031267436</t>
  </si>
  <si>
    <t>001031334893</t>
  </si>
  <si>
    <t>001031334939</t>
  </si>
  <si>
    <t>001029313118</t>
  </si>
  <si>
    <t>001029313172</t>
  </si>
  <si>
    <t>001029313238</t>
  </si>
  <si>
    <t>001026551452</t>
  </si>
  <si>
    <t>001022212908</t>
  </si>
  <si>
    <t>2011104095002</t>
  </si>
  <si>
    <t>BSG</t>
  </si>
  <si>
    <t>0001565028545</t>
  </si>
  <si>
    <t>0001899902824</t>
  </si>
  <si>
    <t>0001339626005</t>
  </si>
  <si>
    <t>0000742063598</t>
  </si>
  <si>
    <t>0000647784565</t>
  </si>
  <si>
    <t>5271039428205</t>
  </si>
  <si>
    <t>0001000432597</t>
  </si>
  <si>
    <t>0000393395652</t>
  </si>
  <si>
    <t>0000673668091</t>
  </si>
  <si>
    <t>0000460907759</t>
  </si>
  <si>
    <t>0000358479554</t>
  </si>
  <si>
    <t>0001528935190</t>
  </si>
  <si>
    <t>07003600009901</t>
  </si>
  <si>
    <t>0071000366868</t>
  </si>
  <si>
    <t>0071000166868</t>
  </si>
  <si>
    <t>BNC</t>
  </si>
  <si>
    <t>001032463863</t>
  </si>
  <si>
    <t>001030171625</t>
  </si>
  <si>
    <t>001018429157</t>
  </si>
  <si>
    <t>0010105768686868</t>
  </si>
  <si>
    <t>BSL</t>
  </si>
  <si>
    <t>0010600053416007</t>
  </si>
  <si>
    <t>0010600052734008</t>
  </si>
  <si>
    <t>0010600046916005</t>
  </si>
  <si>
    <t>116002783047</t>
  </si>
  <si>
    <t>NT2</t>
  </si>
  <si>
    <t>BWB</t>
  </si>
  <si>
    <t>001029061835</t>
  </si>
  <si>
    <t>1018726868</t>
  </si>
  <si>
    <t xml:space="preserve"> 1027395868 </t>
  </si>
  <si>
    <t>22210001570594</t>
  </si>
  <si>
    <t>114002806492</t>
  </si>
  <si>
    <t>112002810512</t>
  </si>
  <si>
    <t>22210001520216</t>
  </si>
  <si>
    <t>22210001546230</t>
  </si>
  <si>
    <t>22210001553133</t>
  </si>
  <si>
    <t>22210001511335</t>
  </si>
  <si>
    <t>22210001498711</t>
  </si>
  <si>
    <t>22210001498720</t>
  </si>
  <si>
    <t>22210001419129</t>
  </si>
  <si>
    <t>118002851471</t>
  </si>
  <si>
    <t>15010002884106</t>
  </si>
  <si>
    <t>15010002887682</t>
  </si>
  <si>
    <t>15010002861057</t>
  </si>
  <si>
    <t>15010002861066</t>
  </si>
  <si>
    <t>TDH</t>
  </si>
  <si>
    <t>882231122601</t>
  </si>
  <si>
    <t>211000300645</t>
  </si>
  <si>
    <t>216000285264</t>
  </si>
  <si>
    <t>218000193654</t>
  </si>
  <si>
    <t>5500201033218</t>
  </si>
  <si>
    <t>BLA</t>
  </si>
  <si>
    <t>SGL</t>
  </si>
  <si>
    <t>114002867880</t>
  </si>
  <si>
    <t>217000207401</t>
  </si>
  <si>
    <t>002310020</t>
  </si>
  <si>
    <t>214000267175</t>
  </si>
  <si>
    <t>HNM</t>
  </si>
  <si>
    <t>IRE</t>
  </si>
  <si>
    <t>TDM</t>
  </si>
  <si>
    <t>13210001586221</t>
  </si>
  <si>
    <t>13210001586230</t>
  </si>
  <si>
    <t>13210001586258</t>
  </si>
  <si>
    <t>13210001586249</t>
  </si>
  <si>
    <t>118002866835</t>
  </si>
  <si>
    <t>0010100020696004</t>
  </si>
  <si>
    <t>STL</t>
  </si>
  <si>
    <t>001027967859</t>
  </si>
  <si>
    <t>001022162629</t>
  </si>
  <si>
    <t>001032302825</t>
  </si>
  <si>
    <t>001032124488</t>
  </si>
  <si>
    <t>001032124455</t>
  </si>
  <si>
    <t>001032842516</t>
  </si>
  <si>
    <t>001034532280</t>
  </si>
  <si>
    <t>001034564887</t>
  </si>
  <si>
    <t>001033190072</t>
  </si>
  <si>
    <t>001033029083</t>
  </si>
  <si>
    <t>001031962218</t>
  </si>
  <si>
    <t>001031962173</t>
  </si>
  <si>
    <t>001022262416</t>
  </si>
  <si>
    <t>001029915484</t>
  </si>
  <si>
    <t>001023760818</t>
  </si>
  <si>
    <t>001023760878</t>
  </si>
  <si>
    <t>001023760683</t>
  </si>
  <si>
    <t>VC1</t>
  </si>
  <si>
    <t>VC2</t>
  </si>
  <si>
    <t>216000280354</t>
  </si>
  <si>
    <t>212000286076</t>
  </si>
  <si>
    <t>213000283545</t>
  </si>
  <si>
    <t>116002913346</t>
  </si>
  <si>
    <t>216000286985</t>
  </si>
  <si>
    <t>211000267095</t>
  </si>
  <si>
    <t>216000247072</t>
  </si>
  <si>
    <t>217000286114</t>
  </si>
  <si>
    <t>214000286117</t>
  </si>
  <si>
    <t>213000286120</t>
  </si>
  <si>
    <t>213000286105</t>
  </si>
  <si>
    <t>212000280321</t>
  </si>
  <si>
    <t>216000259715</t>
  </si>
  <si>
    <t>211000267004</t>
  </si>
  <si>
    <t>217000259714</t>
  </si>
  <si>
    <t>001032156686</t>
  </si>
  <si>
    <t>001032156661</t>
  </si>
  <si>
    <t>001032156615</t>
  </si>
  <si>
    <t>001032346839</t>
  </si>
  <si>
    <t>001032347067</t>
  </si>
  <si>
    <t>001032347190</t>
  </si>
  <si>
    <t>001031615330</t>
  </si>
  <si>
    <t>001031303395</t>
  </si>
  <si>
    <t>001031303491</t>
  </si>
  <si>
    <t>001031303513</t>
  </si>
  <si>
    <t>001031303537</t>
  </si>
  <si>
    <t>001031303565</t>
  </si>
  <si>
    <t>001031303584</t>
  </si>
  <si>
    <t>001031304002</t>
  </si>
  <si>
    <t>001031304029</t>
  </si>
  <si>
    <t>0010600052773003</t>
  </si>
  <si>
    <t>0010600048377004</t>
  </si>
  <si>
    <t>BB3</t>
  </si>
  <si>
    <t>882101122610</t>
  </si>
  <si>
    <t>882110822601</t>
  </si>
  <si>
    <t>882270122601</t>
  </si>
  <si>
    <t>BB4</t>
  </si>
  <si>
    <t>22210001527396</t>
  </si>
  <si>
    <t>22210001553443</t>
  </si>
  <si>
    <t>22210001556859</t>
  </si>
  <si>
    <t>22210001488864</t>
  </si>
  <si>
    <t>15010002864807</t>
  </si>
  <si>
    <t>15010002810013</t>
  </si>
  <si>
    <t>13210001600103</t>
  </si>
  <si>
    <t>13210001598952</t>
  </si>
  <si>
    <t>13210001596868</t>
  </si>
  <si>
    <t>003134984</t>
  </si>
  <si>
    <t>TPT</t>
  </si>
  <si>
    <t>215000278709</t>
  </si>
  <si>
    <t>211000303411</t>
  </si>
  <si>
    <t>215000295613</t>
  </si>
  <si>
    <t>215000295625</t>
  </si>
  <si>
    <t>218000295607</t>
  </si>
  <si>
    <t>218000293363</t>
  </si>
  <si>
    <t>213000234815</t>
  </si>
  <si>
    <t>219000303191</t>
  </si>
  <si>
    <t>218000303192</t>
  </si>
  <si>
    <t>216000312326</t>
  </si>
  <si>
    <t>212000266996</t>
  </si>
  <si>
    <t>217000229292</t>
  </si>
  <si>
    <t>216000308639</t>
  </si>
  <si>
    <t>214000298948</t>
  </si>
  <si>
    <t>BHA</t>
  </si>
  <si>
    <t>22210001527110</t>
  </si>
  <si>
    <t>22210001527138</t>
  </si>
  <si>
    <t>22210001527129</t>
  </si>
  <si>
    <t>22210001522319</t>
  </si>
  <si>
    <t>22210001505602</t>
  </si>
  <si>
    <t>810009385180</t>
  </si>
  <si>
    <t>PLC</t>
  </si>
  <si>
    <t>211000267138</t>
  </si>
  <si>
    <t>0531372826868</t>
  </si>
  <si>
    <t>210000255779</t>
  </si>
  <si>
    <t>211000255753</t>
  </si>
  <si>
    <t>219000255767</t>
  </si>
  <si>
    <t>07000800106423</t>
  </si>
  <si>
    <t>07000800800088</t>
  </si>
  <si>
    <t>JHP</t>
  </si>
  <si>
    <t>211000267141</t>
  </si>
  <si>
    <t>218000267131</t>
  </si>
  <si>
    <t>1021003212</t>
  </si>
  <si>
    <t>213000267163</t>
  </si>
  <si>
    <t>214000267162</t>
  </si>
  <si>
    <t>060246973477</t>
  </si>
  <si>
    <t>SACOMBANK - SAI GON</t>
  </si>
  <si>
    <t>0001408684185</t>
  </si>
  <si>
    <t>BDG</t>
  </si>
  <si>
    <t>218000267648</t>
  </si>
  <si>
    <t>218000267650</t>
  </si>
  <si>
    <t>217000267651</t>
  </si>
  <si>
    <t>218000315551</t>
  </si>
  <si>
    <t>217000300649</t>
  </si>
  <si>
    <t>212000283163</t>
  </si>
  <si>
    <t>217000267649</t>
  </si>
  <si>
    <t>67010001258693</t>
  </si>
  <si>
    <t>BIDV - DONG NAI</t>
  </si>
  <si>
    <t>H4F</t>
  </si>
  <si>
    <t>0010100020725004</t>
  </si>
  <si>
    <t>H4H</t>
  </si>
  <si>
    <t>H4G</t>
  </si>
  <si>
    <t>H4I</t>
  </si>
  <si>
    <t>H4J</t>
  </si>
  <si>
    <t>H5G</t>
  </si>
  <si>
    <t>PAT</t>
  </si>
  <si>
    <t>H5I</t>
  </si>
  <si>
    <t>H5J</t>
  </si>
  <si>
    <t>07000800106651</t>
  </si>
  <si>
    <t>07003600009877</t>
  </si>
  <si>
    <t>07003600009885</t>
  </si>
  <si>
    <t>07003600009893</t>
  </si>
  <si>
    <t>358200639</t>
  </si>
  <si>
    <t>358200269</t>
  </si>
  <si>
    <t>358199929</t>
  </si>
  <si>
    <t>BYP</t>
  </si>
  <si>
    <t>219000304394</t>
  </si>
  <si>
    <t>213000267436</t>
  </si>
  <si>
    <t>212000267437</t>
  </si>
  <si>
    <t>211000267438</t>
  </si>
  <si>
    <t>219000282910</t>
  </si>
  <si>
    <t>212000273134</t>
  </si>
  <si>
    <t>BB6</t>
  </si>
  <si>
    <t>217000313309</t>
  </si>
  <si>
    <t>218000313156</t>
  </si>
  <si>
    <t>218000278746</t>
  </si>
  <si>
    <t>BLB</t>
  </si>
  <si>
    <t>213000298879</t>
  </si>
  <si>
    <t>219000278745</t>
  </si>
  <si>
    <t>212000311139</t>
  </si>
  <si>
    <t>213000311138</t>
  </si>
  <si>
    <t>213000311141</t>
  </si>
  <si>
    <t>210000278744</t>
  </si>
  <si>
    <t>216000267119</t>
  </si>
  <si>
    <t>214000267150</t>
  </si>
  <si>
    <t>XA2</t>
  </si>
  <si>
    <t>211000278813</t>
  </si>
  <si>
    <t>WL1</t>
  </si>
  <si>
    <t>WL2</t>
  </si>
  <si>
    <t>MP3</t>
  </si>
  <si>
    <t>BBA</t>
  </si>
  <si>
    <t>H4K</t>
  </si>
  <si>
    <t>H4L</t>
  </si>
  <si>
    <t>H4M</t>
  </si>
  <si>
    <t>H4N</t>
  </si>
  <si>
    <t>H4O</t>
  </si>
  <si>
    <t>H4P</t>
  </si>
  <si>
    <t>H5K</t>
  </si>
  <si>
    <t>H5L</t>
  </si>
  <si>
    <t>H5M</t>
  </si>
  <si>
    <t>WJ1</t>
  </si>
  <si>
    <t>WJ2</t>
  </si>
  <si>
    <t>219000300622</t>
  </si>
  <si>
    <t>WJ3</t>
  </si>
  <si>
    <t>216000300625</t>
  </si>
  <si>
    <t>2225646868</t>
  </si>
  <si>
    <t>22210001520304</t>
  </si>
  <si>
    <t>BDH</t>
  </si>
  <si>
    <t>22210001520298</t>
  </si>
  <si>
    <t>MSP</t>
  </si>
  <si>
    <t>TSP</t>
  </si>
  <si>
    <t>SC2</t>
  </si>
  <si>
    <t>210000315700</t>
  </si>
  <si>
    <t>217000315698</t>
  </si>
  <si>
    <t>216000315699</t>
  </si>
  <si>
    <t>110637575555</t>
  </si>
  <si>
    <t>T3B</t>
  </si>
  <si>
    <t>216000300421</t>
  </si>
  <si>
    <t>22210001503749</t>
  </si>
  <si>
    <t>BTP</t>
  </si>
  <si>
    <t>386939289</t>
  </si>
  <si>
    <t>217000318177</t>
  </si>
  <si>
    <t>1470228888</t>
  </si>
  <si>
    <t>1111111111</t>
  </si>
  <si>
    <t>22210001572952</t>
  </si>
  <si>
    <t>22210001572970</t>
  </si>
  <si>
    <t>22210001580876</t>
  </si>
  <si>
    <t>13210001617246</t>
  </si>
  <si>
    <t>001035573489</t>
  </si>
  <si>
    <t>211000323291</t>
  </si>
  <si>
    <t>219000323132</t>
  </si>
  <si>
    <t>217000323229</t>
  </si>
  <si>
    <t>215000323188</t>
  </si>
  <si>
    <t>219000323336</t>
  </si>
  <si>
    <t>218000323337</t>
  </si>
  <si>
    <t>210000323335</t>
  </si>
  <si>
    <t>22210001573593</t>
  </si>
  <si>
    <t>882100323101</t>
  </si>
  <si>
    <t>07003600010827</t>
  </si>
  <si>
    <t>ST2</t>
  </si>
  <si>
    <t>001035686922</t>
  </si>
  <si>
    <t>001036141745</t>
  </si>
  <si>
    <t>217000327782</t>
  </si>
  <si>
    <t>216000327744</t>
  </si>
  <si>
    <t>219000327780</t>
  </si>
  <si>
    <t>213000327434</t>
  </si>
  <si>
    <t>216000327201</t>
  </si>
  <si>
    <t>215000327202</t>
  </si>
  <si>
    <t>LMX</t>
  </si>
  <si>
    <t>394612719</t>
  </si>
  <si>
    <t>393576919</t>
  </si>
  <si>
    <t>22210001592783</t>
  </si>
  <si>
    <t>22210001592774</t>
  </si>
  <si>
    <t>22210001592808</t>
  </si>
  <si>
    <t>1036609077</t>
  </si>
  <si>
    <t>111623298666</t>
  </si>
  <si>
    <t>214000331348</t>
  </si>
  <si>
    <t>215000331347</t>
  </si>
  <si>
    <t>217000331345</t>
  </si>
  <si>
    <t>22210001595986</t>
  </si>
  <si>
    <t>001037232640</t>
  </si>
  <si>
    <t>1037150624</t>
  </si>
  <si>
    <t>TDE</t>
  </si>
  <si>
    <t>217000338444</t>
  </si>
  <si>
    <t>214000338134</t>
  </si>
  <si>
    <t>210000338153</t>
  </si>
  <si>
    <t>217000338483</t>
  </si>
  <si>
    <t>217000338484</t>
  </si>
  <si>
    <t>218000338494</t>
  </si>
  <si>
    <t>0010600057641008</t>
  </si>
  <si>
    <t>0010600057642004</t>
  </si>
  <si>
    <t>22210001597016</t>
  </si>
  <si>
    <t>22210001599632</t>
  </si>
  <si>
    <t>22210001599094</t>
  </si>
  <si>
    <t>22210001599119</t>
  </si>
  <si>
    <t>22210001599100</t>
  </si>
  <si>
    <t>22210001599128</t>
  </si>
  <si>
    <t>001037963631</t>
  </si>
  <si>
    <t>22210001598170</t>
  </si>
  <si>
    <t>217000339659</t>
  </si>
  <si>
    <t>123123123</t>
  </si>
  <si>
    <t>882050623101</t>
  </si>
  <si>
    <t>15010002951611</t>
  </si>
  <si>
    <t>22210001604952</t>
  </si>
  <si>
    <t>22210001604961</t>
  </si>
  <si>
    <t>22210001604989</t>
  </si>
  <si>
    <t>22210001604970</t>
  </si>
  <si>
    <t>22210001604998</t>
  </si>
  <si>
    <t>22210001601616</t>
  </si>
  <si>
    <t>211000343038</t>
  </si>
  <si>
    <t>216000343046</t>
  </si>
  <si>
    <t>215000343047</t>
  </si>
  <si>
    <t>213000343009</t>
  </si>
  <si>
    <t>217000342907</t>
  </si>
  <si>
    <t>217000341541</t>
  </si>
  <si>
    <t>214000342900</t>
  </si>
  <si>
    <t>214000342230</t>
  </si>
  <si>
    <t>213000342231</t>
  </si>
  <si>
    <t>212000342232</t>
  </si>
  <si>
    <t>211000342233</t>
  </si>
  <si>
    <t>214000340342</t>
  </si>
  <si>
    <t>217000342674</t>
  </si>
  <si>
    <t>219000342657</t>
  </si>
  <si>
    <t>212000342679</t>
  </si>
  <si>
    <t>212000342666</t>
  </si>
  <si>
    <t>218000342673</t>
  </si>
  <si>
    <t>219000343055</t>
  </si>
  <si>
    <t>218000343056</t>
  </si>
  <si>
    <t>217000343057</t>
  </si>
  <si>
    <t>216000343058</t>
  </si>
  <si>
    <t>213000343051</t>
  </si>
  <si>
    <t>212000343052</t>
  </si>
  <si>
    <t>211000343053</t>
  </si>
  <si>
    <t>210000343054</t>
  </si>
  <si>
    <t>212000342681</t>
  </si>
  <si>
    <t>219000342684</t>
  </si>
  <si>
    <t>215000342688</t>
  </si>
  <si>
    <t>212000342654</t>
  </si>
  <si>
    <t>217000342661</t>
  </si>
  <si>
    <t>211000342670</t>
  </si>
  <si>
    <t>215000342676</t>
  </si>
  <si>
    <t>213000342680</t>
  </si>
  <si>
    <t>211000342682</t>
  </si>
  <si>
    <t>217000342686</t>
  </si>
  <si>
    <t>212000342693</t>
  </si>
  <si>
    <t>211000342694</t>
  </si>
  <si>
    <t>219000342696</t>
  </si>
  <si>
    <t>218000342697</t>
  </si>
  <si>
    <t>210000342700</t>
  </si>
  <si>
    <t>H4Q</t>
  </si>
  <si>
    <t>H4R</t>
  </si>
  <si>
    <t>H4S</t>
  </si>
  <si>
    <t>H4T</t>
  </si>
  <si>
    <t>H4U</t>
  </si>
  <si>
    <t>H4V</t>
  </si>
  <si>
    <t>H4Y</t>
  </si>
  <si>
    <t>H4Z</t>
  </si>
  <si>
    <t>H4W</t>
  </si>
  <si>
    <t>H4X</t>
  </si>
  <si>
    <t>H5Q</t>
  </si>
  <si>
    <t>H5R</t>
  </si>
  <si>
    <t>H5S</t>
  </si>
  <si>
    <t>H5T</t>
  </si>
  <si>
    <t>H5U</t>
  </si>
  <si>
    <t>217000342698</t>
  </si>
  <si>
    <t>219000342701</t>
  </si>
  <si>
    <t>214000342664</t>
  </si>
  <si>
    <t>219000342672</t>
  </si>
  <si>
    <t>214000342677</t>
  </si>
  <si>
    <t>218000342685</t>
  </si>
  <si>
    <t>218000342702</t>
  </si>
  <si>
    <t>215000342690</t>
  </si>
  <si>
    <t>213000342692</t>
  </si>
  <si>
    <t>213000342653</t>
  </si>
  <si>
    <t>210000342656</t>
  </si>
  <si>
    <t>217000342659</t>
  </si>
  <si>
    <t>218000342660</t>
  </si>
  <si>
    <t>213000342665</t>
  </si>
  <si>
    <t>210000342671</t>
  </si>
  <si>
    <t>1038349898</t>
  </si>
  <si>
    <t>213000346307</t>
  </si>
  <si>
    <t>22210001606781</t>
  </si>
  <si>
    <t>001038868611</t>
  </si>
  <si>
    <t>001038869031</t>
  </si>
  <si>
    <t>0010600058299001</t>
  </si>
  <si>
    <t>217000343851</t>
  </si>
  <si>
    <t>0010600058216009</t>
  </si>
  <si>
    <t>22210001605779</t>
  </si>
  <si>
    <t>22210001605788</t>
  </si>
  <si>
    <t>6473152588908</t>
  </si>
  <si>
    <t>MB - GIA DINH</t>
  </si>
  <si>
    <t>3406679534695</t>
  </si>
  <si>
    <t>MB - NGUYEN TRI PHUONG</t>
  </si>
  <si>
    <t>219000347340</t>
  </si>
  <si>
    <t>218000347338</t>
  </si>
  <si>
    <t>11111</t>
  </si>
  <si>
    <t>882250723201</t>
  </si>
  <si>
    <t>882260723202</t>
  </si>
  <si>
    <t>22210001611192</t>
  </si>
  <si>
    <t>001039552967</t>
  </si>
  <si>
    <t>219000350539</t>
  </si>
  <si>
    <t>119002945935</t>
  </si>
  <si>
    <t>1050033959_1</t>
  </si>
  <si>
    <t>1050033959_2</t>
  </si>
  <si>
    <t>215000349723</t>
  </si>
  <si>
    <t>405447919</t>
  </si>
  <si>
    <t>3858696868</t>
  </si>
  <si>
    <t>112233</t>
  </si>
  <si>
    <t>07003600011593</t>
  </si>
  <si>
    <t>1050033959_3</t>
  </si>
  <si>
    <t>001039722038</t>
  </si>
  <si>
    <t>22210001614906</t>
  </si>
  <si>
    <t>214000351682</t>
  </si>
  <si>
    <t>210000352018</t>
  </si>
  <si>
    <t>219000352019</t>
  </si>
  <si>
    <t>214000351246</t>
  </si>
  <si>
    <t>218000351239</t>
  </si>
  <si>
    <t>210000351240</t>
  </si>
  <si>
    <t>214000352505</t>
  </si>
  <si>
    <t>408045969</t>
  </si>
  <si>
    <t>407777599</t>
  </si>
  <si>
    <t>801502967654</t>
  </si>
  <si>
    <t>802221617020</t>
  </si>
  <si>
    <t>802221617686</t>
  </si>
  <si>
    <t>802221616771</t>
  </si>
  <si>
    <t>802221617048</t>
  </si>
  <si>
    <t>802221617066</t>
  </si>
  <si>
    <t>217000355621</t>
  </si>
  <si>
    <t>215000354293</t>
  </si>
  <si>
    <t>217000354361</t>
  </si>
  <si>
    <t>212000353860</t>
  </si>
  <si>
    <t>211000353861</t>
  </si>
  <si>
    <t>219000355440</t>
  </si>
  <si>
    <t>216000354362</t>
  </si>
  <si>
    <t>219000354372</t>
  </si>
  <si>
    <t>218000354563</t>
  </si>
  <si>
    <t>1040450593</t>
  </si>
  <si>
    <t>1040449497</t>
  </si>
  <si>
    <t>14534274205013</t>
  </si>
  <si>
    <t>215000353625</t>
  </si>
  <si>
    <t>214000353614</t>
  </si>
  <si>
    <t>216000353612</t>
  </si>
  <si>
    <t>213000353627</t>
  </si>
  <si>
    <t>210000353632</t>
  </si>
  <si>
    <t>14539697228038</t>
  </si>
  <si>
    <t>409294069</t>
  </si>
  <si>
    <t>409316549</t>
  </si>
  <si>
    <t>217000357125</t>
  </si>
  <si>
    <t>216000356921</t>
  </si>
  <si>
    <t>211000357185</t>
  </si>
  <si>
    <t>219000357257</t>
  </si>
  <si>
    <t>0010600059509007</t>
  </si>
  <si>
    <t>0010600059511004</t>
  </si>
  <si>
    <t>0010600059512008</t>
  </si>
  <si>
    <t>001041141495</t>
  </si>
  <si>
    <t>922202331786</t>
  </si>
  <si>
    <t>219000358798</t>
  </si>
  <si>
    <t>218000358799</t>
  </si>
  <si>
    <t>882111023201</t>
  </si>
  <si>
    <t>211000363020</t>
  </si>
  <si>
    <t>882131023201</t>
  </si>
  <si>
    <t>882131023202</t>
  </si>
  <si>
    <t>882131023203</t>
  </si>
  <si>
    <t>111635415555</t>
  </si>
  <si>
    <t>BHI</t>
  </si>
  <si>
    <t>W2A</t>
  </si>
  <si>
    <t>W2B</t>
  </si>
  <si>
    <t>816000872480</t>
  </si>
  <si>
    <t>819000834384</t>
  </si>
  <si>
    <t>001042018168</t>
  </si>
  <si>
    <t>216000364760</t>
  </si>
  <si>
    <t>HJ1</t>
  </si>
  <si>
    <t>HJ2</t>
  </si>
  <si>
    <t>YPH</t>
  </si>
  <si>
    <t>0010106479797979</t>
  </si>
  <si>
    <t>HQV</t>
  </si>
  <si>
    <t>818000750931</t>
  </si>
  <si>
    <t>HHL</t>
  </si>
  <si>
    <t>BHL</t>
  </si>
  <si>
    <t>415032929</t>
  </si>
  <si>
    <t>210000365684</t>
  </si>
  <si>
    <t>212000366053</t>
  </si>
  <si>
    <t>216000368439</t>
  </si>
  <si>
    <t>882081123201</t>
  </si>
  <si>
    <t>816001226723</t>
  </si>
  <si>
    <t>2024883050</t>
  </si>
  <si>
    <t>8600007536</t>
  </si>
  <si>
    <t>8600007536_1</t>
  </si>
  <si>
    <t>8640008431</t>
  </si>
  <si>
    <t>814001332786</t>
  </si>
  <si>
    <t>815001485805</t>
  </si>
  <si>
    <t>213000369731</t>
  </si>
  <si>
    <t>217000370442</t>
  </si>
  <si>
    <t>213000369010</t>
  </si>
  <si>
    <t>882221123201</t>
  </si>
  <si>
    <t>816001347776</t>
  </si>
  <si>
    <t>819001372551</t>
  </si>
  <si>
    <t>819001508512</t>
  </si>
  <si>
    <t>001042803088</t>
  </si>
  <si>
    <t>H4C</t>
  </si>
  <si>
    <t>418730809</t>
  </si>
  <si>
    <t>418835479</t>
  </si>
  <si>
    <t>0010600061094003</t>
  </si>
  <si>
    <t>0010600061096006</t>
  </si>
  <si>
    <t>0010600061095007</t>
  </si>
  <si>
    <t>882011223201</t>
  </si>
  <si>
    <t>H4D</t>
  </si>
  <si>
    <t>216000374682</t>
  </si>
  <si>
    <t>219000374691</t>
  </si>
  <si>
    <t>818002020308</t>
  </si>
  <si>
    <t>811002061246</t>
  </si>
  <si>
    <t>882251223101</t>
  </si>
  <si>
    <t>213000374563</t>
  </si>
  <si>
    <t>215000375382</t>
  </si>
  <si>
    <t>119002958310</t>
  </si>
  <si>
    <t>H4A</t>
  </si>
  <si>
    <t>H5A</t>
  </si>
  <si>
    <t>H4B</t>
  </si>
  <si>
    <t>H5B</t>
  </si>
  <si>
    <t>H4E</t>
  </si>
  <si>
    <t>214000377475</t>
  </si>
  <si>
    <t>217000377457</t>
  </si>
  <si>
    <t>07003600013065</t>
  </si>
  <si>
    <t>QV2</t>
  </si>
  <si>
    <t>W3A</t>
  </si>
  <si>
    <t>W3B</t>
  </si>
  <si>
    <t>217000380578</t>
  </si>
  <si>
    <t>810002537245</t>
  </si>
  <si>
    <t>812002537246</t>
  </si>
  <si>
    <t>811002537256</t>
  </si>
  <si>
    <t>BPD</t>
  </si>
  <si>
    <t>TNA</t>
  </si>
  <si>
    <t>211000384600</t>
  </si>
  <si>
    <t>213000384592</t>
  </si>
  <si>
    <t>426028289</t>
  </si>
  <si>
    <t>07003600013244</t>
  </si>
  <si>
    <t>07003600013252</t>
  </si>
  <si>
    <t>882010224101</t>
  </si>
  <si>
    <t>216000385789</t>
  </si>
  <si>
    <t>1045418757</t>
  </si>
  <si>
    <t>001045418756</t>
  </si>
  <si>
    <t>217000386902</t>
  </si>
  <si>
    <t>819003524027</t>
  </si>
  <si>
    <t>1050033967</t>
  </si>
  <si>
    <t>218000389611</t>
  </si>
  <si>
    <t>219000389610</t>
  </si>
  <si>
    <t>210000388443</t>
  </si>
  <si>
    <t>210000388359</t>
  </si>
  <si>
    <t>215000388393</t>
  </si>
  <si>
    <t>210000388347</t>
  </si>
  <si>
    <t>210000388334</t>
  </si>
  <si>
    <t>214000388328</t>
  </si>
  <si>
    <t>210000388289</t>
  </si>
  <si>
    <t>811003606852</t>
  </si>
  <si>
    <t>431532569</t>
  </si>
  <si>
    <t>431524349</t>
  </si>
  <si>
    <t>0010600063450001</t>
  </si>
  <si>
    <t>882190324101</t>
  </si>
  <si>
    <t>001045705894</t>
  </si>
  <si>
    <t>001045709642</t>
  </si>
  <si>
    <t>14537134677011</t>
  </si>
  <si>
    <t>07000800107552_1</t>
  </si>
  <si>
    <t>VPBank</t>
  </si>
  <si>
    <t>216000389173</t>
  </si>
  <si>
    <t>217000389172</t>
  </si>
  <si>
    <t>110002967432</t>
  </si>
  <si>
    <t>110002967432_1</t>
  </si>
  <si>
    <t>211000390621</t>
  </si>
  <si>
    <t>819003848409</t>
  </si>
  <si>
    <t>1046119127</t>
  </si>
  <si>
    <t>1046123420</t>
  </si>
  <si>
    <t>0010600063886004</t>
  </si>
  <si>
    <t>882040424104</t>
  </si>
  <si>
    <t>882040424103</t>
  </si>
  <si>
    <t>882040424102</t>
  </si>
  <si>
    <t>882040424101</t>
  </si>
  <si>
    <t>882040424108</t>
  </si>
  <si>
    <t>882040424107</t>
  </si>
  <si>
    <t>882040424106</t>
  </si>
  <si>
    <t>882040424105</t>
  </si>
  <si>
    <t>882030424104</t>
  </si>
  <si>
    <t>882030424103</t>
  </si>
  <si>
    <t>882030424102</t>
  </si>
  <si>
    <t>882030424101</t>
  </si>
  <si>
    <t>N4A</t>
  </si>
  <si>
    <t>N4B</t>
  </si>
  <si>
    <t>N4D</t>
  </si>
  <si>
    <t>N4E</t>
  </si>
  <si>
    <t>217000393703</t>
  </si>
  <si>
    <t>8630017620_1</t>
  </si>
  <si>
    <t>217000396489</t>
  </si>
  <si>
    <t>218000396488</t>
  </si>
  <si>
    <t>114002874189_1</t>
  </si>
  <si>
    <t>210000395123</t>
  </si>
  <si>
    <t>217000396191</t>
  </si>
  <si>
    <t>110662568888_1</t>
  </si>
  <si>
    <t>116604476666_1</t>
  </si>
  <si>
    <t>115648216666_1</t>
  </si>
  <si>
    <t>813004634608</t>
  </si>
  <si>
    <t>816004617403</t>
  </si>
  <si>
    <t>811004616621</t>
  </si>
  <si>
    <t>882260424101</t>
  </si>
  <si>
    <t>217000396777</t>
  </si>
  <si>
    <t>218000396776</t>
  </si>
  <si>
    <t>212000397814</t>
  </si>
  <si>
    <t>214000397812</t>
  </si>
  <si>
    <t>115648216666_2</t>
  </si>
  <si>
    <t>110638468888_1</t>
  </si>
  <si>
    <t>812004729785</t>
  </si>
  <si>
    <t>816004729797</t>
  </si>
  <si>
    <t>817004729832</t>
  </si>
  <si>
    <t>812004729849</t>
  </si>
  <si>
    <t>815004744965</t>
  </si>
  <si>
    <t>812004848307</t>
  </si>
  <si>
    <t>0010600064879001</t>
  </si>
  <si>
    <t>0010600064878005</t>
  </si>
  <si>
    <t>07003600013819</t>
  </si>
  <si>
    <t>07003600013827</t>
  </si>
  <si>
    <t>07003600013855</t>
  </si>
  <si>
    <t>07003600013863</t>
  </si>
  <si>
    <t>07003600013753</t>
  </si>
  <si>
    <t>65010370266868</t>
  </si>
  <si>
    <t>6868688879</t>
  </si>
  <si>
    <t>SHB</t>
  </si>
  <si>
    <t>210000400435</t>
  </si>
  <si>
    <t>101020000008444_1</t>
  </si>
  <si>
    <t>213000403212</t>
  </si>
  <si>
    <t>211000402745</t>
  </si>
  <si>
    <t>218000403410</t>
  </si>
  <si>
    <t>216000403176</t>
  </si>
  <si>
    <t>216000402668</t>
  </si>
  <si>
    <t>218000402596</t>
  </si>
  <si>
    <t>215000402587</t>
  </si>
  <si>
    <t>219000403337</t>
  </si>
  <si>
    <t>216000403297</t>
  </si>
  <si>
    <t>818005320524</t>
  </si>
  <si>
    <t>810005291166</t>
  </si>
  <si>
    <t>001048326057</t>
  </si>
  <si>
    <t>001048325607</t>
  </si>
  <si>
    <t>0010600065666001</t>
  </si>
  <si>
    <t>406000001344</t>
  </si>
  <si>
    <t>402000001350</t>
  </si>
  <si>
    <t>07003600013999</t>
  </si>
  <si>
    <t>90770000086364</t>
  </si>
  <si>
    <t>90770000086872</t>
  </si>
  <si>
    <t>301020000075978</t>
  </si>
  <si>
    <t>216000405301</t>
  </si>
  <si>
    <t>214000405303</t>
  </si>
  <si>
    <t>07003600014235</t>
  </si>
  <si>
    <t>101020000008482_1</t>
  </si>
  <si>
    <t>07003600014194</t>
  </si>
  <si>
    <t>MPL</t>
  </si>
  <si>
    <t>212000407303</t>
  </si>
  <si>
    <t>217000407375</t>
  </si>
  <si>
    <t>110002969103_2</t>
  </si>
  <si>
    <t>216000407418</t>
  </si>
  <si>
    <t>211000406318</t>
  </si>
  <si>
    <t>210000407223</t>
  </si>
  <si>
    <t>216000407376</t>
  </si>
  <si>
    <t>219000407193</t>
  </si>
  <si>
    <t>216000407309</t>
  </si>
  <si>
    <t>214000407301</t>
  </si>
  <si>
    <t>216000407293</t>
  </si>
  <si>
    <t>214000407641</t>
  </si>
  <si>
    <t>817005836420</t>
  </si>
  <si>
    <t>815005836440</t>
  </si>
  <si>
    <t>814005821099</t>
  </si>
  <si>
    <t>818005784936</t>
  </si>
  <si>
    <t>813005784959</t>
  </si>
  <si>
    <t>814005784864</t>
  </si>
  <si>
    <t>813005784895</t>
  </si>
  <si>
    <t>1049103404</t>
  </si>
  <si>
    <t>0010600066423005</t>
  </si>
  <si>
    <t>07003600014263</t>
  </si>
  <si>
    <t>215000408349</t>
  </si>
  <si>
    <t>216000408348</t>
  </si>
  <si>
    <t>219000410793</t>
  </si>
  <si>
    <t>211000409175</t>
  </si>
  <si>
    <t>212000409174</t>
  </si>
  <si>
    <t>817005865687</t>
  </si>
  <si>
    <t>813005865708</t>
  </si>
  <si>
    <t>816005871184</t>
  </si>
  <si>
    <t>1049563685</t>
  </si>
  <si>
    <t>1049660951</t>
  </si>
  <si>
    <t>1049660970</t>
  </si>
  <si>
    <t>212000411584</t>
  </si>
  <si>
    <t>810006249614</t>
  </si>
  <si>
    <t>816006259371</t>
  </si>
  <si>
    <t>817006347368</t>
  </si>
  <si>
    <t>0010600067114006</t>
  </si>
  <si>
    <t>6080146666_1</t>
  </si>
  <si>
    <t>219000414820</t>
  </si>
  <si>
    <t>217000414807</t>
  </si>
  <si>
    <t>215000414933</t>
  </si>
  <si>
    <t>216000414932</t>
  </si>
  <si>
    <t>219000415040</t>
  </si>
  <si>
    <t>217000415027</t>
  </si>
  <si>
    <t>001050374683</t>
  </si>
  <si>
    <t>001050374624</t>
  </si>
  <si>
    <t>07003600014467</t>
  </si>
  <si>
    <t>404000001658</t>
  </si>
  <si>
    <t>212000417402</t>
  </si>
  <si>
    <t>214000417400</t>
  </si>
  <si>
    <t>213000417396</t>
  </si>
  <si>
    <t>217000416639</t>
  </si>
  <si>
    <t>219000418375</t>
  </si>
  <si>
    <t>001050571215</t>
  </si>
  <si>
    <t>07003600014508</t>
  </si>
  <si>
    <t>409000001710</t>
  </si>
  <si>
    <t>406000001695</t>
  </si>
  <si>
    <t>301020000078267</t>
  </si>
  <si>
    <t>07003600014593</t>
  </si>
  <si>
    <t>07003600014654</t>
  </si>
  <si>
    <t>211000423597</t>
  </si>
  <si>
    <t>216000424291</t>
  </si>
  <si>
    <t>215000423011</t>
  </si>
  <si>
    <t>210000423586</t>
  </si>
  <si>
    <t>814007227684</t>
  </si>
  <si>
    <t>817007227783</t>
  </si>
  <si>
    <t>817007296714</t>
  </si>
  <si>
    <t>810007280663</t>
  </si>
  <si>
    <t>814007266840</t>
  </si>
  <si>
    <t>815007266946</t>
  </si>
  <si>
    <t>216000423168</t>
  </si>
  <si>
    <t>216000424470</t>
  </si>
  <si>
    <t>213000424516</t>
  </si>
  <si>
    <t>815007325621</t>
  </si>
  <si>
    <t>07003600014969</t>
  </si>
  <si>
    <t>07003600014977</t>
  </si>
  <si>
    <t>07003600014858</t>
  </si>
  <si>
    <t>408000001832</t>
  </si>
  <si>
    <t>408000001831</t>
  </si>
  <si>
    <t>213000427634</t>
  </si>
  <si>
    <t>214000427536</t>
  </si>
  <si>
    <t>214000427851</t>
  </si>
  <si>
    <t>212000427950</t>
  </si>
  <si>
    <t>211000427912</t>
  </si>
  <si>
    <t>211000427690</t>
  </si>
  <si>
    <t>211000427469</t>
  </si>
  <si>
    <t>810007685514</t>
  </si>
  <si>
    <t>818007660203</t>
  </si>
  <si>
    <t>813007660278</t>
  </si>
  <si>
    <t>001052364453</t>
  </si>
  <si>
    <t>001052364502</t>
  </si>
  <si>
    <t>001052354939</t>
  </si>
  <si>
    <t>0010600069346001</t>
  </si>
  <si>
    <t>07003600015018</t>
  </si>
  <si>
    <t>404000001973</t>
  </si>
  <si>
    <t>90770030003621</t>
  </si>
  <si>
    <t>1052530706</t>
  </si>
  <si>
    <t>213000430824</t>
  </si>
  <si>
    <t>07003600015079</t>
  </si>
  <si>
    <t>1052909773</t>
  </si>
  <si>
    <t>114606236688_1</t>
  </si>
  <si>
    <t>216000433843</t>
  </si>
  <si>
    <t>213000434366</t>
  </si>
  <si>
    <t>118002953136_1</t>
  </si>
  <si>
    <t>213000433436</t>
  </si>
  <si>
    <t>212000434573</t>
  </si>
  <si>
    <t>217000433839</t>
  </si>
  <si>
    <t>816008307782</t>
  </si>
  <si>
    <t>07003600015323</t>
  </si>
  <si>
    <t>07003600015238</t>
  </si>
  <si>
    <t>07003600015266</t>
  </si>
  <si>
    <t>07003600015274</t>
  </si>
  <si>
    <t>403000002115</t>
  </si>
  <si>
    <t>409000002121</t>
  </si>
  <si>
    <t>00870010925</t>
  </si>
  <si>
    <t>00870010930</t>
  </si>
  <si>
    <t>00870010866</t>
  </si>
  <si>
    <t>216000439329</t>
  </si>
  <si>
    <t>219000439498</t>
  </si>
  <si>
    <t>219000440382</t>
  </si>
  <si>
    <t>210000440315</t>
  </si>
  <si>
    <t>816008796987</t>
  </si>
  <si>
    <t>810008797191</t>
  </si>
  <si>
    <t>817008726525</t>
  </si>
  <si>
    <t>817008761850</t>
  </si>
  <si>
    <t>813008761890</t>
  </si>
  <si>
    <t>001054236274_1</t>
  </si>
  <si>
    <t>07003600015376</t>
  </si>
  <si>
    <t>212000440913</t>
  </si>
  <si>
    <t>001054236274</t>
  </si>
  <si>
    <t>001054308348</t>
  </si>
  <si>
    <t>217000444680</t>
  </si>
  <si>
    <t>214000444834</t>
  </si>
  <si>
    <t>213000444575</t>
  </si>
  <si>
    <t>1054713095</t>
  </si>
  <si>
    <t>0010600071591005</t>
  </si>
  <si>
    <t>115624079999_1</t>
  </si>
  <si>
    <t>815010464614</t>
  </si>
  <si>
    <t>813010464634</t>
  </si>
  <si>
    <t>817010391806</t>
  </si>
  <si>
    <t>210000458851</t>
  </si>
  <si>
    <t>NAS</t>
  </si>
  <si>
    <t>219000461096</t>
  </si>
  <si>
    <t>810010998263</t>
  </si>
  <si>
    <t>213000472740</t>
  </si>
  <si>
    <t>211000472739</t>
  </si>
  <si>
    <t>815012078776</t>
  </si>
  <si>
    <t>213000477118</t>
  </si>
  <si>
    <t>213000477420</t>
  </si>
  <si>
    <t>218000476932</t>
  </si>
  <si>
    <t>810012732609</t>
  </si>
  <si>
    <t>213000480580</t>
  </si>
  <si>
    <t>212000481580</t>
  </si>
  <si>
    <t>210000486969</t>
  </si>
  <si>
    <t>818013513173</t>
  </si>
  <si>
    <t>819012425984</t>
  </si>
  <si>
    <t>Bank account</t>
  </si>
  <si>
    <t>Banks</t>
  </si>
  <si>
    <t>Bank Branch</t>
  </si>
  <si>
    <t>Key payment - receipt</t>
  </si>
  <si>
    <t>Customer</t>
  </si>
  <si>
    <t>Provision percentage</t>
  </si>
  <si>
    <t>Use</t>
  </si>
  <si>
    <t>Abb.</t>
  </si>
  <si>
    <t>Entities</t>
  </si>
  <si>
    <t>Name</t>
  </si>
  <si>
    <t>Branch</t>
  </si>
  <si>
    <t>Category</t>
  </si>
  <si>
    <t>Customer code</t>
  </si>
  <si>
    <t>Customer Name</t>
  </si>
  <si>
    <t>Project Site</t>
  </si>
  <si>
    <t>Overdue</t>
  </si>
  <si>
    <t>Provision</t>
  </si>
  <si>
    <t>G&amp;A expense</t>
  </si>
  <si>
    <t>Payment</t>
  </si>
  <si>
    <t>C00000025</t>
  </si>
  <si>
    <t>CÔNG TY TNHH HANSEI SÀI GÒN</t>
  </si>
  <si>
    <t>BBA_02</t>
  </si>
  <si>
    <t>C00000128</t>
  </si>
  <si>
    <t>CÔNG TY CP THƯƠNG MẠI VÀ DỊCH VỤ LOGISTICS T&amp;T GLOBAL</t>
  </si>
  <si>
    <t>BBA_04</t>
  </si>
  <si>
    <t>Repair and maintenance expense</t>
  </si>
  <si>
    <t>C00000022</t>
  </si>
  <si>
    <t>CÔNG TY TNHH SẢN XUẤT INSEASON</t>
  </si>
  <si>
    <t>C00000129</t>
  </si>
  <si>
    <t>CÔNG TY TNHH TẬP ĐOÀN ĐỔI MỚI BIOPLASTIC</t>
  </si>
  <si>
    <t>MP3_04</t>
  </si>
  <si>
    <t>Land deposit payment</t>
  </si>
  <si>
    <t>C00000068</t>
  </si>
  <si>
    <t>CÔNG TY TNHH CÔNG NGHỆ CIMIYA (VIỆT NAM)</t>
  </si>
  <si>
    <t>BN1_01</t>
  </si>
  <si>
    <t>MB</t>
  </si>
  <si>
    <t>C00000132</t>
  </si>
  <si>
    <t>CÔNG TY TNHH TECHTRONIC INDUSTRIES VIỆT NAM MANUFACTURING</t>
  </si>
  <si>
    <t>MP3_05</t>
  </si>
  <si>
    <t>C00000180</t>
  </si>
  <si>
    <t>ZHONGSHAN CITY QINGFENG METAL MACHINERY CO., LTD</t>
  </si>
  <si>
    <t>Fee related land payment</t>
  </si>
  <si>
    <t>C00000181</t>
  </si>
  <si>
    <t>RR DONNELLEY ASIA PRINTING  SOLUTIONS LIMITED</t>
  </si>
  <si>
    <t>HD1_01</t>
  </si>
  <si>
    <t>C00000179</t>
  </si>
  <si>
    <t>CÔNG TY TNHH RAWLPLUG VIỆT NAM</t>
  </si>
  <si>
    <t>BBA_06</t>
  </si>
  <si>
    <t>Bank charge</t>
  </si>
  <si>
    <t>C00000073</t>
  </si>
  <si>
    <t>CÔNG TY TNHH OERLIKON BALZERS COATING VIỆT NAM</t>
  </si>
  <si>
    <t>S00001076</t>
  </si>
  <si>
    <t>CÔNG TY CỔ PHẦN XÂY LẮP PEICO</t>
  </si>
  <si>
    <t>Transfer account</t>
  </si>
  <si>
    <t>C00000111</t>
  </si>
  <si>
    <t>CÔNG TY TNHH TRANIT VINA</t>
  </si>
  <si>
    <t>Return booking fee</t>
  </si>
  <si>
    <t>C00000131</t>
  </si>
  <si>
    <t>CÔNG TY TNHH A-TECH AUTOMOTIVE VIỆT NAM</t>
  </si>
  <si>
    <t>Return rental deposit</t>
  </si>
  <si>
    <t>C00000167</t>
  </si>
  <si>
    <t>CÔNG TY TNHH CÔNG NGHỆ SHENG SHING (VIỆT NAM - HẢI DƯƠNG)</t>
  </si>
  <si>
    <t>Capital contribution</t>
  </si>
  <si>
    <t>Internal Contribution</t>
  </si>
  <si>
    <t>C00000081</t>
  </si>
  <si>
    <t>CÔNG TY CỔ PHẦN VINACAPITAL VIỆT NAM</t>
  </si>
  <si>
    <t>SG1_01</t>
  </si>
  <si>
    <t>MAYBANK</t>
  </si>
  <si>
    <t>C00000013</t>
  </si>
  <si>
    <t>CÔNG TY TNHH T'S LAB</t>
  </si>
  <si>
    <t>BBA_01</t>
  </si>
  <si>
    <t>CTBC</t>
  </si>
  <si>
    <t>C00000004</t>
  </si>
  <si>
    <t>CÔNG TY TNHH CONDOR VIỆT NAM</t>
  </si>
  <si>
    <t>C00000006</t>
  </si>
  <si>
    <t>CÔNG TY TNHH DKW BÌNH DƯƠNG</t>
  </si>
  <si>
    <t>C00000044</t>
  </si>
  <si>
    <t>CÔNG TY TNHH SEMIWORLD VIỆT NAM</t>
  </si>
  <si>
    <t>C00000014</t>
  </si>
  <si>
    <t>CÔNG TY TNHH KAIDI ELECTRICAL VIỆT NAM</t>
  </si>
  <si>
    <t>C00000012</t>
  </si>
  <si>
    <t>CÔNG TY TNHH THÁI INTERTAPE VIỆT NAM</t>
  </si>
  <si>
    <t>C00000114</t>
  </si>
  <si>
    <t>CÔNG TY TNHH SẢN XUẤT NGUYÊN LIỆU KHẨU TRANG AN HƯNG PHÁT</t>
  </si>
  <si>
    <t>Refund land deposit payment</t>
  </si>
  <si>
    <t>Receipt</t>
  </si>
  <si>
    <t>C00000023</t>
  </si>
  <si>
    <t>CÔNG TY TNHH BERJAYAPAK VIỆT NAM</t>
  </si>
  <si>
    <t>Refund deal deposit payment</t>
  </si>
  <si>
    <t>C00000080</t>
  </si>
  <si>
    <t>CÔNG TY TNHH KAMMI VINA</t>
  </si>
  <si>
    <t>BBA_03</t>
  </si>
  <si>
    <t>Shareholder loan received from WP</t>
  </si>
  <si>
    <t>Cash from WP</t>
  </si>
  <si>
    <t>C00000082</t>
  </si>
  <si>
    <t>CÔNG TY TNHH ĐỒ NỘI THẤT JY</t>
  </si>
  <si>
    <t>C00000026</t>
  </si>
  <si>
    <t>CÔNG TY TNHH PIGTEK VIỆT NAM</t>
  </si>
  <si>
    <t>C00000027</t>
  </si>
  <si>
    <t>CÔNG TY TNHH RK RESOURCES</t>
  </si>
  <si>
    <t>C00000036</t>
  </si>
  <si>
    <t>CÔNG TY TNHH MỘT THÀNH VIÊN LONG TAI</t>
  </si>
  <si>
    <t>Other charge to tenant</t>
  </si>
  <si>
    <t>C00000021</t>
  </si>
  <si>
    <t>CÔNG TY TNHH SẢN XUẤT GIẤY LÚA VÀNG</t>
  </si>
  <si>
    <t>Booking fee from tenant</t>
  </si>
  <si>
    <t>C00000096</t>
  </si>
  <si>
    <t>CÔNG TY TNHH ARNEPLANT VIỆT NAM</t>
  </si>
  <si>
    <t>SINOPAC - HCM</t>
  </si>
  <si>
    <t>SNP - HCM</t>
  </si>
  <si>
    <t>Bank interest</t>
  </si>
  <si>
    <t>C00000097</t>
  </si>
  <si>
    <t>CÔNG TY TNHH GENEPA VIETNAM</t>
  </si>
  <si>
    <t>SINOPAC - TAIWAN</t>
  </si>
  <si>
    <t>SNP - TW</t>
  </si>
  <si>
    <t>Rental deposits</t>
  </si>
  <si>
    <t>C00000098</t>
  </si>
  <si>
    <t>CÔNG TY TNHH HUKON QUỐC TẾ (VIỆT NAM)</t>
  </si>
  <si>
    <t>C00000107</t>
  </si>
  <si>
    <t>CÔNG TY TNHH YULONG INTELLIGENT TECHNOLOGY VIỆT NAM</t>
  </si>
  <si>
    <t>BBA_05</t>
  </si>
  <si>
    <t>Capital receipts</t>
  </si>
  <si>
    <t>C00000171</t>
  </si>
  <si>
    <t>CÔNG TY TNHH MÁY MÓC VÀ CÔNG NGHỆ REMACRO (VIỆT NAM)</t>
  </si>
  <si>
    <t>Capital receipts from WP</t>
  </si>
  <si>
    <t>C00000113</t>
  </si>
  <si>
    <t>CÔNG TY TNHH EMIVEST FEEDMILL VIỆT NAM</t>
  </si>
  <si>
    <t>Capital receipts from Becamex</t>
  </si>
  <si>
    <t>C00000130</t>
  </si>
  <si>
    <t>CÔNG TY TNHH CHẾ TẠO CHÍNH XÁC BÀU BÀNG VIỆT NAM</t>
  </si>
  <si>
    <t>C00000094</t>
  </si>
  <si>
    <t>CÔNG TY TNHH ĐIỆN TỬ HUAJIE VIỆT NAM</t>
  </si>
  <si>
    <t>MP3_01</t>
  </si>
  <si>
    <t>C00000067</t>
  </si>
  <si>
    <t>CÔNG TY TNHH NEXTERN VIỆT NAM</t>
  </si>
  <si>
    <t>C00000062</t>
  </si>
  <si>
    <t>CÔNG TY TNHH CARRYINGMATE INDUSTRIES VIỆT NAM</t>
  </si>
  <si>
    <t>C00000056</t>
  </si>
  <si>
    <t>CÔNG TY TNHH MOTOMOTION VIỆT NAM</t>
  </si>
  <si>
    <t>C00000061</t>
  </si>
  <si>
    <t>CÔNG TY TNHH SẢN XUẤT NHỰA VÀ ĐIỆN TỬ YUEN FUNG VIỆT NAM</t>
  </si>
  <si>
    <t>Cash balance on MBC account</t>
  </si>
  <si>
    <t>N/a</t>
  </si>
  <si>
    <t>C00000058</t>
  </si>
  <si>
    <t>CÔNG TY TNHH CÔNG NGHỆ CLICK (VIỆT NAM)</t>
  </si>
  <si>
    <t>C00000102</t>
  </si>
  <si>
    <t>CÔNG TY TNHH CENTURY CREATION (VIỆT NAM)</t>
  </si>
  <si>
    <t>MP3_03</t>
  </si>
  <si>
    <t>C00000105</t>
  </si>
  <si>
    <t>CÔNG TY TNHH CÔNG NGHIỆP CHERVON (VIỆT NAM)</t>
  </si>
  <si>
    <t>C00000122</t>
  </si>
  <si>
    <t>CÔNG TY TRÁCH NHIỆM HỮU HẠN SUNG JIN PRESS</t>
  </si>
  <si>
    <t>C00000074</t>
  </si>
  <si>
    <t>CÔNG TY TNHH JDI VINA</t>
  </si>
  <si>
    <t>C00000076</t>
  </si>
  <si>
    <t>CÔNG TY TNHH FABRI-TECH COMPONENTS VIỆT NAM</t>
  </si>
  <si>
    <t>C00000075</t>
  </si>
  <si>
    <t>CÔNG TY TNHH VOLTRONIC POWER TECHNOLOGY VIỆT NAM</t>
  </si>
  <si>
    <t>C00000078</t>
  </si>
  <si>
    <t>CÔNG TY TNHH SJ THERMAL VINA</t>
  </si>
  <si>
    <t>C00000084</t>
  </si>
  <si>
    <t>CÔNG TY TNHH CÔNG NGHỆ IN ẤN VÀ BAO BÌ WARTON VIỆT NAM</t>
  </si>
  <si>
    <t>C00000085</t>
  </si>
  <si>
    <t>CÔNG TY TRÁCH NHIỆM HỮU HẠN K-MATE (VIỆT NAM)</t>
  </si>
  <si>
    <t>C00000086</t>
  </si>
  <si>
    <t>CÔNG TY TNHH MỘT THÀNH VIÊN ITL (MIỀN BẮC)</t>
  </si>
  <si>
    <t>C00000083</t>
  </si>
  <si>
    <t>CÔNG TY TNHH TOYOPLAS MANUFACTURING (VIỆT NAM)</t>
  </si>
  <si>
    <t>C00000099</t>
  </si>
  <si>
    <t>CÔNG TY TNHH VISION SEMICON VIỆT NAM</t>
  </si>
  <si>
    <t>C00000092</t>
  </si>
  <si>
    <t>CÔNG TY TNHH VINH THÁI</t>
  </si>
  <si>
    <t>C00000182</t>
  </si>
  <si>
    <t>CÔNG TY TNHH SHINSHIBA VIỆT NAM</t>
  </si>
  <si>
    <t>C00000119</t>
  </si>
  <si>
    <t>CÔNG TY TNHH THỰC PHẨM YERGAT</t>
  </si>
  <si>
    <t>DA1_01</t>
  </si>
  <si>
    <t>C00000118</t>
  </si>
  <si>
    <t>CÔNG TY TNHH MAY MẶC PREMIER GLOBAL VIỆT NAM</t>
  </si>
  <si>
    <t>C00000189</t>
  </si>
  <si>
    <t>CÔNG TY TNHH SHOPEE EXPRESS</t>
  </si>
  <si>
    <t>C00000110</t>
  </si>
  <si>
    <t>CÔNG TY TNHH S-TRADING - CHI NHÁNH THÀNH PHỐ HỒ CHÍ MINH</t>
  </si>
  <si>
    <t>C00000178</t>
  </si>
  <si>
    <t>CÔNG TY TNHH MỘT THÀNH VIÊN TIẾP VẬN GEMADEPT</t>
  </si>
  <si>
    <t>STL_00</t>
  </si>
  <si>
    <t>C00000160</t>
  </si>
  <si>
    <t>CÔNG TY TNHH SQUADRONI VIỆT NAM</t>
  </si>
  <si>
    <t>SCC_04</t>
  </si>
  <si>
    <t>C00000133</t>
  </si>
  <si>
    <t>CÔNG TY TNHH SUNG TECH</t>
  </si>
  <si>
    <t>C00000149</t>
  </si>
  <si>
    <t>MLM CHINA LIMITED</t>
  </si>
  <si>
    <t>SCC_06</t>
  </si>
  <si>
    <t>C00000159</t>
  </si>
  <si>
    <t>CÔNG TY TNHH SON MACHINING VINA</t>
  </si>
  <si>
    <t>C00000144</t>
  </si>
  <si>
    <t>CÔNG TY TNHH DỊCH VỤ TOÀN CẦU IDT VIỆT NAM</t>
  </si>
  <si>
    <t>S00000044</t>
  </si>
  <si>
    <t>CÔNG TY CỔ PHẦN CÔNG NGHỆ &amp; TRUYỀN THÔNG VIỆT NAM</t>
  </si>
  <si>
    <t>SCC_01</t>
  </si>
  <si>
    <t>C00000156</t>
  </si>
  <si>
    <t>CÔNG TY TNHH SEUNGIL LABEL VINA</t>
  </si>
  <si>
    <t>SCC_08</t>
  </si>
  <si>
    <t>C00000173</t>
  </si>
  <si>
    <t>CÔNG TY TNHH TOWA PLASTICS VIỆT NAM</t>
  </si>
  <si>
    <t>C00000143</t>
  </si>
  <si>
    <t>CÔNG TY TNHH VINA HIT KLEIDER</t>
  </si>
  <si>
    <t>C00000141</t>
  </si>
  <si>
    <t>CÔNG TY TNHH HATTORI VIỆT NAM</t>
  </si>
  <si>
    <t>SCC_05</t>
  </si>
  <si>
    <t>C00000138</t>
  </si>
  <si>
    <t>CÔNG TY TNHH DETMOLD PACKAGING VIỆT NAM</t>
  </si>
  <si>
    <t>SCC_02</t>
  </si>
  <si>
    <t>C00000163</t>
  </si>
  <si>
    <t>CÔNG TY TNHH TẦM NHÌN MỤC TIÊU VIỆT NAM</t>
  </si>
  <si>
    <t>SCC_03</t>
  </si>
  <si>
    <t>C00000134</t>
  </si>
  <si>
    <t>CÔNG TY TNHH BETHEL VIỆT NAM</t>
  </si>
  <si>
    <t>C00000162</t>
  </si>
  <si>
    <t>CÔNG TY TNHH TAE LIM VINA</t>
  </si>
  <si>
    <t>C00000139</t>
  </si>
  <si>
    <t>CÔNG TY TNHH FLINT GROUP VIỆT NAM</t>
  </si>
  <si>
    <t>C00000147</t>
  </si>
  <si>
    <t xml:space="preserve">CÔNG TY TNHH KOREA VANE HIGH TECH VINA </t>
  </si>
  <si>
    <t>C00000135</t>
  </si>
  <si>
    <t>CÔNG TY TNHH CNTUS AEGIS VINA</t>
  </si>
  <si>
    <t>C00000146</t>
  </si>
  <si>
    <t>CÔNG TY TNHH KIM HOA VIỆT NAM</t>
  </si>
  <si>
    <t>C00000153</t>
  </si>
  <si>
    <t>CÔNG TY TNHH R-PAC VIỆT NAM</t>
  </si>
  <si>
    <t>C00000154</t>
  </si>
  <si>
    <t>CÔNG TY TNHH SAGASIKI VIỆT NAM</t>
  </si>
  <si>
    <t>C00000145</t>
  </si>
  <si>
    <t>CÔNG TY TNHH JJ FOAM &amp; TAPE</t>
  </si>
  <si>
    <t>C00000165</t>
  </si>
  <si>
    <t>CÔNG TY TNHH ZERO LABEL VIỆT NAM</t>
  </si>
  <si>
    <t>C00000161</t>
  </si>
  <si>
    <t>CÔNG TY TNHH STOLLE CHÂU Á THÁI BÌNH DƯƠNG</t>
  </si>
  <si>
    <t>C00000150</t>
  </si>
  <si>
    <t>CHI NHÁNH CÔNG TY TNHH NAMYANG INNOTECH VINA</t>
  </si>
  <si>
    <t>C00000157</t>
  </si>
  <si>
    <t>CÔNG TY TNHH VINA SHINKWANG SEALING</t>
  </si>
  <si>
    <t>C00000140</t>
  </si>
  <si>
    <t>CÔNG TY TNHH GPNC-TECH VIETNAM</t>
  </si>
  <si>
    <t>C00000151</t>
  </si>
  <si>
    <t>CÔNG TY TNHH O.N VINA</t>
  </si>
  <si>
    <t>C00000164</t>
  </si>
  <si>
    <t>CÔNG TY TNHH YTI VINA</t>
  </si>
  <si>
    <t>C00000137</t>
  </si>
  <si>
    <t>CÔNG TY TNHH DAE JUNG VINA</t>
  </si>
  <si>
    <t>C00000158</t>
  </si>
  <si>
    <t>CÔNG TY TNHH BAO BÌ ST JOHNS VIỆT NAM</t>
  </si>
  <si>
    <t>C00000155</t>
  </si>
  <si>
    <t>CÔNG TY TNHH SANKEI (VIỆT NAM) - CHI NHÁNH BÌNH DƯƠNG</t>
  </si>
  <si>
    <t>C00000148</t>
  </si>
  <si>
    <t>CÔNG TY TNHH MEGA TECH VIETNAM HCMC</t>
  </si>
  <si>
    <t>C00000152</t>
  </si>
  <si>
    <t>CÔNG TY TNHH MỘT THÀNH VIÊN MODELLEISENBAHN VIỆT NAM</t>
  </si>
  <si>
    <t>C00000136</t>
  </si>
  <si>
    <t>CÔNG TY TNHH AUSPIC PRECISION ELECTRONIC</t>
  </si>
  <si>
    <t>C00000166</t>
  </si>
  <si>
    <t>CÔNG TY TNHH ZYLUX VIETNAM</t>
  </si>
  <si>
    <t>C00000142</t>
  </si>
  <si>
    <t>HFI, LLC</t>
  </si>
  <si>
    <t>S00001032</t>
  </si>
  <si>
    <t>CÔNG TY CỔ PHẦN ĐẦU TƯ XD &amp; TM GIA VIỆT</t>
  </si>
  <si>
    <t>C00000183</t>
  </si>
  <si>
    <t>NGÔ THỊ HÀ</t>
  </si>
  <si>
    <t>C00000188</t>
  </si>
  <si>
    <t>CÔNG TY TNHH SẢN XUẤT QINGFENG VIỆT NAM</t>
  </si>
  <si>
    <t>C00000186</t>
  </si>
  <si>
    <t>CÔNG TY TNHH CÔNG NGHỆ HAIXING VIỆT NAM</t>
  </si>
  <si>
    <t>C00000184</t>
  </si>
  <si>
    <t>TK PRECISION TECHNOLOGY VIETNAM (HONGKONG) LIMITED</t>
  </si>
  <si>
    <t>C00000185</t>
  </si>
  <si>
    <t>CÔNG TY TNHH KỸ THUẬT CÔNG NGHỆ CAO HANJIE</t>
  </si>
  <si>
    <t>C00000093</t>
  </si>
  <si>
    <t>ONOGAWA ELECTORIC WORKS INC</t>
  </si>
  <si>
    <t>C00000190</t>
  </si>
  <si>
    <t>CÔNG TY TNHH LANTERN - OPERA</t>
  </si>
  <si>
    <t>C00000191</t>
  </si>
  <si>
    <t>CÔNG TY TNHH NGŨ KIM VÀ NHỰA JIN JUE (VIỆT NAM)</t>
  </si>
  <si>
    <t>C00000192</t>
  </si>
  <si>
    <t>CÔNG TY TNHH PENG BO VIỆT NAM</t>
  </si>
  <si>
    <t>C00000193</t>
  </si>
  <si>
    <t>CÔNG TY TNHH SUPOR VIỆT NAM</t>
  </si>
  <si>
    <t>TU1_01</t>
  </si>
  <si>
    <t>C00000177</t>
  </si>
  <si>
    <t>CÔNG TY TNHH OPERA</t>
  </si>
  <si>
    <t>C00000194</t>
  </si>
  <si>
    <t>CÔNG TY TNHH THƯƠNG MẠI DỊCH VỤ IDRINK</t>
  </si>
  <si>
    <t>C00000204</t>
  </si>
  <si>
    <t>VĂN PHÒNG ĐẠI DIỆN CITIGROUP LTD TẠI VIỆT NAM</t>
  </si>
  <si>
    <t>C00000195</t>
  </si>
  <si>
    <t>CÔNG TY TNHH KHOA HỌC VÀ CÔNG NGHỆ TAI MEI VIỆT NAM</t>
  </si>
  <si>
    <t>C00000196</t>
  </si>
  <si>
    <t>CÔNG TY TNHH SYNTHITE VIỆT NAM</t>
  </si>
  <si>
    <t>C00000197</t>
  </si>
  <si>
    <t>CÔNG TY TNHH KỸ NGHỆ GỖ HOA NÉT</t>
  </si>
  <si>
    <t>C00000198</t>
  </si>
  <si>
    <t>CÔNG TY TNHH ONOGAWA VIỆT NAM</t>
  </si>
  <si>
    <t>C00000199</t>
  </si>
  <si>
    <t>CÔNG TY TNHH TK PRECISION TECHNOLOGY HỒNG KÔNG VIỆT NAM</t>
  </si>
  <si>
    <t>S00000603</t>
  </si>
  <si>
    <t>CÔNG TY CỔ PHẦN XÂY DỰNG BÔNG SEN VÀNG</t>
  </si>
  <si>
    <t>C00000206</t>
  </si>
  <si>
    <t>CÔNG TY TNHH BĂNG KEO TINH HUY VIỆT NAM</t>
  </si>
  <si>
    <t>C00000200</t>
  </si>
  <si>
    <t>CÔNG TY TNHH TONGFANG TECHNOLOGY VIỆT NAM</t>
  </si>
  <si>
    <t>C00000205</t>
  </si>
  <si>
    <t>CÔNG TY TNHH FLAT VIỆT NAM</t>
  </si>
  <si>
    <t>DV1_01</t>
  </si>
  <si>
    <t>C00000203</t>
  </si>
  <si>
    <t>CÔNG TY TNHH HFI VIỆT NAM</t>
  </si>
  <si>
    <t>C00000202</t>
  </si>
  <si>
    <t>CÔNG TY TNHH YUWA VIỆT NAM</t>
  </si>
  <si>
    <t>C00000208</t>
  </si>
  <si>
    <t>CÔNG TY TNHH ARDA</t>
  </si>
  <si>
    <t>C00000209</t>
  </si>
  <si>
    <t>CÔNG TY TNHH ZHONGHENG VIỆT NAM MANUFACTURING</t>
  </si>
  <si>
    <t>C00000210</t>
  </si>
  <si>
    <t>FLEXSTEEL INDUSTRIES, INC</t>
  </si>
  <si>
    <t>C00000211</t>
  </si>
  <si>
    <t>CHI NHÁNH CÔNG TY TNHH AUREOLE BCD</t>
  </si>
  <si>
    <t>HD2_01</t>
  </si>
  <si>
    <t>C00000213</t>
  </si>
  <si>
    <t xml:space="preserve">CÔNG TY TNHH LINFOX LOGISTICS VIỆT NAM </t>
  </si>
  <si>
    <t>TH1_01</t>
  </si>
  <si>
    <t>S00000716</t>
  </si>
  <si>
    <t>CÔNG TY CỔ PHẦN DỊCH VỤ THƯƠNG MẠI TỔNG HỢP VINCOMMERCE</t>
  </si>
  <si>
    <t>C00000216</t>
  </si>
  <si>
    <t>CHANGHONGGRAND-PROTECH CO., LTD</t>
  </si>
  <si>
    <t>RADIANT SUN VENTURES LIMITED</t>
  </si>
  <si>
    <t>C00000217</t>
  </si>
  <si>
    <t>TEXEG SINGAPORE PTE.LTD</t>
  </si>
  <si>
    <t>HP1_01</t>
  </si>
  <si>
    <t>C00000218</t>
  </si>
  <si>
    <t>CÔNG TY TNHH GREENWORKS (VIỆT NAM)</t>
  </si>
  <si>
    <t>C00000207</t>
  </si>
  <si>
    <t>C00000219</t>
  </si>
  <si>
    <t xml:space="preserve">CÔNG TY TNHH SÀI GÒN STEC </t>
  </si>
  <si>
    <t>TH2_01</t>
  </si>
  <si>
    <t>C00000214</t>
  </si>
  <si>
    <t>CÔNG TY TNHH FINE CHEMICAL VIỆT NAM</t>
  </si>
  <si>
    <t>C00000221</t>
  </si>
  <si>
    <t>CÔNG TY TNHH CÔNG NGHỆ DINGHE (VIỆT NAM)</t>
  </si>
  <si>
    <t>C00000222</t>
  </si>
  <si>
    <t>CÔNG TY TNHH THỰC PHẨM ORION VINA</t>
  </si>
  <si>
    <t>S00000563</t>
  </si>
  <si>
    <t>Công ty Cổ Phần Seven System Việt Nam</t>
  </si>
  <si>
    <t>SL1_01</t>
  </si>
  <si>
    <t>C00000223</t>
  </si>
  <si>
    <t>CÔNG TY TNHH KUEHNE + NAGEL</t>
  </si>
  <si>
    <t>C00000229</t>
  </si>
  <si>
    <t>CÔNG TY TNHH KAE IOU</t>
  </si>
  <si>
    <t>C00000234</t>
  </si>
  <si>
    <t>Ms Luong Truc Thuy Anh</t>
  </si>
  <si>
    <t>C00000232</t>
  </si>
  <si>
    <t>FULL-SHARP AUTOMATIZED CO.,LTD</t>
  </si>
  <si>
    <t>C00000235</t>
  </si>
  <si>
    <t>CÔNG TY TNHH NOA VIỆT NAM</t>
  </si>
  <si>
    <t>C00000227</t>
  </si>
  <si>
    <t>CÔNG TY CỔ PHẦN LOGISTICS TOÀN TÍN</t>
  </si>
  <si>
    <t>C00000170</t>
  </si>
  <si>
    <t>CÔNG TY TNHH MỘT THÀNH VIÊN CHUYỂN PHÁT NHANH THUẬN PHONG - CHI NHÁNH THÀNH PHỐ HỒ CHÍ MINH</t>
  </si>
  <si>
    <t>TPT_01</t>
  </si>
  <si>
    <t>C00000201</t>
  </si>
  <si>
    <t>CÔNG TY TNHH CÔNG NGHỆ BAO BÌ RR DONNELLEY (VIỆT NAM)</t>
  </si>
  <si>
    <t>C00000237</t>
  </si>
  <si>
    <t>CÔNG TY TNHH CÔNG NGHỆ CHÍNH XÁC WONDER ACE (VIỆT NAM)</t>
  </si>
  <si>
    <t>LBN</t>
  </si>
  <si>
    <t>LOGOS VIETNAM BN 1 LLC</t>
  </si>
  <si>
    <t>C00000230</t>
  </si>
  <si>
    <t>VĂN PHÒNG ĐẠI DIỆN FLEXSTEEL INDUSTRIES, INC TẠI BÌNH DƯƠNG</t>
  </si>
  <si>
    <t>C00000220</t>
  </si>
  <si>
    <t>C00000228</t>
  </si>
  <si>
    <t xml:space="preserve">CÔNG TY TNHH THAI WAH VIỆT NAM </t>
  </si>
  <si>
    <t>C00000239</t>
  </si>
  <si>
    <t xml:space="preserve">PRYM FASHION BETEILIGUNGS GMBH </t>
  </si>
  <si>
    <t>C00000240</t>
  </si>
  <si>
    <t>CÔNG TY TNHH WUERTH DỊCH VỤ CÔNG NGHIỆP (VIỆT NAM)</t>
  </si>
  <si>
    <t>C00000247</t>
  </si>
  <si>
    <t>CÔNG TY TNHH HONDAPLUS VIỆT NAM</t>
  </si>
  <si>
    <t>BLB_00</t>
  </si>
  <si>
    <t>C00000249</t>
  </si>
  <si>
    <t>CÔNG TY TNHH NHỰA GOOD VIEW (VIỆT NAM)</t>
  </si>
  <si>
    <t>C00000246</t>
  </si>
  <si>
    <t>CÔNG TY TNHH UNICITY LABS VIỆT NAM</t>
  </si>
  <si>
    <t>C00000245</t>
  </si>
  <si>
    <t>CÔNG TY TNHH DUBUIT INKS VIỆT NAM</t>
  </si>
  <si>
    <t>C00000248</t>
  </si>
  <si>
    <t>CÔNG TY TNHH EPE PACKAGING (VIỆT NAM)</t>
  </si>
  <si>
    <t>C00000244</t>
  </si>
  <si>
    <t>CÔNG TY TNHH VIỆT NAM WACOAL</t>
  </si>
  <si>
    <t>C00000250</t>
  </si>
  <si>
    <t>CÔNG TY TNHH NAXIS VIỆT NAM</t>
  </si>
  <si>
    <t>C00000251</t>
  </si>
  <si>
    <t>CÔNG TY TNHH MATSUYA R&amp;D (VIỆT NAM)</t>
  </si>
  <si>
    <t>C00000242</t>
  </si>
  <si>
    <t>CÔNG TY TNHH LINH KIỆN HO YUAN (VIỆT NAM)</t>
  </si>
  <si>
    <t>C00000238</t>
  </si>
  <si>
    <t>S00001015</t>
  </si>
  <si>
    <t>CÔNG TY CỔ PHẦN XÂY DỰNG AN PHÚ GIA</t>
  </si>
  <si>
    <t>C00000253</t>
  </si>
  <si>
    <t>MAGNETEC GMBH</t>
  </si>
  <si>
    <t>NDV_01</t>
  </si>
  <si>
    <t>C00000267</t>
  </si>
  <si>
    <t>HK JS INDUSTRY CO., LTD.</t>
  </si>
  <si>
    <t>C00000254</t>
  </si>
  <si>
    <t>CÔNG TY TNHH JY STEEL PROCESSING VIỆT NAM</t>
  </si>
  <si>
    <t>C00000257</t>
  </si>
  <si>
    <t>CÔNG TY TNHH SHIOGAI SEIKI VIỆT NAM</t>
  </si>
  <si>
    <t>C00000258</t>
  </si>
  <si>
    <t>CÔNG TY TNHH FRIWO VIỆT NAM</t>
  </si>
  <si>
    <t>C00000259</t>
  </si>
  <si>
    <t>CÔNG TY TNHH DAITOH INDUSTRY VIỆT NAM</t>
  </si>
  <si>
    <t>C00000260</t>
  </si>
  <si>
    <t>CÔNG TY TNHH MASPRO VIỆT NAM</t>
  </si>
  <si>
    <t>C00000261</t>
  </si>
  <si>
    <t>CÔNG TY TNHH NHỰA KỸ THUẬT SAKURA</t>
  </si>
  <si>
    <t>C00000262</t>
  </si>
  <si>
    <t>CÔNG TY TNHH DAIWA KENKOZAI VIỆT NAM</t>
  </si>
  <si>
    <t>C00000263</t>
  </si>
  <si>
    <t>CÔNG TY TNHH BRISKHEAT VIỆT NAM</t>
  </si>
  <si>
    <t>C00000264</t>
  </si>
  <si>
    <t>CÔNG TY TNHH MARUSHIN (VIỆT NAM) &amp;</t>
  </si>
  <si>
    <t>C00000266</t>
  </si>
  <si>
    <t>CÔNG TY TNHH MỘT THÀNH VIÊN SẢN XUẤT THƯƠNG MẠI THỰC PHẨM YẾN NHUNG</t>
  </si>
  <si>
    <t>C00000265</t>
  </si>
  <si>
    <t>CÔNG TY TNHH HUNTSMAN VIỆT NAM</t>
  </si>
  <si>
    <t>C00000255</t>
  </si>
  <si>
    <t>CÔNG TY TNHH LAUTAN LUAS VIỆT NAM</t>
  </si>
  <si>
    <t>C00000268</t>
  </si>
  <si>
    <t>CÔNG TY TNHH GOOD TIME HEALTH CARE PRODUCTS</t>
  </si>
  <si>
    <t>C00000271</t>
  </si>
  <si>
    <t>PARK INHO</t>
  </si>
  <si>
    <t>C00000270</t>
  </si>
  <si>
    <t>CÔNG TY CP CÔNG NGHỆ SABUROKU</t>
  </si>
  <si>
    <t>C00000256</t>
  </si>
  <si>
    <t>CÔNG TY TNHH COMPETITION TEAM TECHNOLOGY (VIỆT NAM)</t>
  </si>
  <si>
    <t>C00000241</t>
  </si>
  <si>
    <t>C00000276</t>
  </si>
  <si>
    <t>CÔNG TY TNHH CÔNG NGHIỆP WONGEAK (VIỆT NAM)</t>
  </si>
  <si>
    <t>C00000278</t>
  </si>
  <si>
    <t>CÔNG TY TNHH MTV VEC</t>
  </si>
  <si>
    <t>C00000280</t>
  </si>
  <si>
    <t>CÔNG TY CỔ PHẦN THỰC PHẨM DINH DƯỠNG NUTIFOOD BÌNH DƯƠNG</t>
  </si>
  <si>
    <t>C00000283</t>
  </si>
  <si>
    <t>HONGKONG YILIANJU INTERNATIONAL GROUP LIMITED</t>
  </si>
  <si>
    <t>C00000284</t>
  </si>
  <si>
    <t>TALENT ZONE INTERNATIONAL HOLDINGS LIMITED</t>
  </si>
  <si>
    <t>C00000282</t>
  </si>
  <si>
    <t>CÔNG TY CỔ PHẦN GIAO HẢNG TIẾT KIỆM</t>
  </si>
  <si>
    <t>C00000279</t>
  </si>
  <si>
    <t>CÔNG TY TNHH AUTEL ROBOTICS VIỆT NAM</t>
  </si>
  <si>
    <t>HP1_02</t>
  </si>
  <si>
    <t>C00000272</t>
  </si>
  <si>
    <t>CÔNG TY TNHH FULL-SHARP AUTOMATIZED VN</t>
  </si>
  <si>
    <t>C00000269</t>
  </si>
  <si>
    <t>CÔNG TY TNHH CÔNG NGHỆ NĂNG LƯỢNG MỚI AUTEL VIỆT NAM</t>
  </si>
  <si>
    <t>C00000252</t>
  </si>
  <si>
    <t>Công ty TNHH Texeg Vina</t>
  </si>
  <si>
    <t>C00000294</t>
  </si>
  <si>
    <t>CÔNG TY TNHH MOONS' INDUSTRIES(VIỆT NAM)</t>
  </si>
  <si>
    <t>C00000289</t>
  </si>
  <si>
    <t>CÔNG TY TNHH GREEN CERA (VIỆT NAM)</t>
  </si>
  <si>
    <t>C00000290</t>
  </si>
  <si>
    <t>Mr. YAO JIAN MING</t>
  </si>
  <si>
    <t>C00000291</t>
  </si>
  <si>
    <t>TAIYO KK</t>
  </si>
  <si>
    <t>C00000274</t>
  </si>
  <si>
    <t>CÔNG TY TNHH FULUHASHI VIỆT NAM</t>
  </si>
  <si>
    <t>C00000296</t>
  </si>
  <si>
    <t>CÔNG TY TNHH NGŨ KIM MINH VIỆT</t>
  </si>
  <si>
    <t>BBA_08</t>
  </si>
  <si>
    <t>C00000298</t>
  </si>
  <si>
    <t>CÔNG TY TNHH KYUNGBANG VIỆT NAM</t>
  </si>
  <si>
    <t>C00000299</t>
  </si>
  <si>
    <t>NGUYỄN TIẾN LÂM</t>
  </si>
  <si>
    <t>C00000236</t>
  </si>
  <si>
    <t>C00000287</t>
  </si>
  <si>
    <t>CÔNG TY TNHH PRYM FASHION VIỆT NAM</t>
  </si>
  <si>
    <t>C00000286</t>
  </si>
  <si>
    <t>CÔNG TY CỔ PHẦN DỊCH VỤ NỀN DI ĐỘNG VIỆT NAM</t>
  </si>
  <si>
    <t>C00000297</t>
  </si>
  <si>
    <t>JIABEN ELECTRONICS (HONGKONG) LIMITED</t>
  </si>
  <si>
    <t>C00000300</t>
  </si>
  <si>
    <t>CÔNG TY TRÁCH NHIỆM HỮU HẠN PPG VIỆT NAM</t>
  </si>
  <si>
    <t>C00000301</t>
  </si>
  <si>
    <t>CÔNG TY TNHH SPITFIRE CONTROLS (VIỆT NAM)</t>
  </si>
  <si>
    <t>C00000302</t>
  </si>
  <si>
    <t>CÔNG TY TNHH LIGHTING &amp; EQUIPMENT (VIỆT NAM)</t>
  </si>
  <si>
    <t>C00000303</t>
  </si>
  <si>
    <t>CÔNG TY TRÁCH NHIỆM HỮU HẠN HÓA CHẤT WASHIN VIỆT NAM</t>
  </si>
  <si>
    <t>C00000304</t>
  </si>
  <si>
    <t>CHI NHÁNH CÔNG TY TNHH QUỐC TẾ MEDINO</t>
  </si>
  <si>
    <t>C00000305</t>
  </si>
  <si>
    <t>CÔNG TY TNHH GREEN PRINTING &amp; PACKAGING</t>
  </si>
  <si>
    <t>C00000306</t>
  </si>
  <si>
    <t>CÔNG TY TNHH ALLTECH VIỆT NAM</t>
  </si>
  <si>
    <t>C00000308</t>
  </si>
  <si>
    <t>CÔNG TY TNHH SẢN XUẤT VÀ THƯƠNG MẠI AKIKO VIỆT NAM</t>
  </si>
  <si>
    <t>C00000106</t>
  </si>
  <si>
    <t>CÔNG TY TNHH NHÀ MÁY BIA HEINEKEN VIỆT NAM</t>
  </si>
  <si>
    <t>C00000315</t>
  </si>
  <si>
    <t>Kenner Hitech Korea Co.,Ltd</t>
  </si>
  <si>
    <t>C00000316</t>
  </si>
  <si>
    <t xml:space="preserve">EVA HAI PHONG PRECISION </t>
  </si>
  <si>
    <t>C00000311</t>
  </si>
  <si>
    <t>CÔNG TY TNHH SUNAGRO FOOD (VIET NAM)</t>
  </si>
  <si>
    <t>C00000309</t>
  </si>
  <si>
    <t>CÔNG TY TNHH HAESIN TEXTILE</t>
  </si>
  <si>
    <t>C00000313</t>
  </si>
  <si>
    <t>Hong Kong D&amp;S Electronics International</t>
  </si>
  <si>
    <t>C00000292</t>
  </si>
  <si>
    <t>CÔNG TY TNHH ĐIỆN TỬ THÔNG MINH TCL (VIỆT NAM)</t>
  </si>
  <si>
    <t>C00000295</t>
  </si>
  <si>
    <t>CÔNG TY TNHH MAY MẶC BOWKER VIỆT NAM</t>
  </si>
  <si>
    <t>C00000319</t>
  </si>
  <si>
    <t>CÔNG TY TNHH XIN YE COATING</t>
  </si>
  <si>
    <t>C00000320</t>
  </si>
  <si>
    <t>ZHEJIANG CHUANGHONG INTELLIGENT TECHNOLOGY CO., LTD</t>
  </si>
  <si>
    <t>C00000317</t>
  </si>
  <si>
    <t>CÔNG TY CỔ PHẦN THIẾT BỊ DẦU KHÍ VIỆT MỸ</t>
  </si>
  <si>
    <t>C00000314</t>
  </si>
  <si>
    <t>CÔNG TY TNHH BIA VÀ NƯỚC GIẢI KHÁT HEINEKEN</t>
  </si>
  <si>
    <t>C00000324</t>
  </si>
  <si>
    <t>Công ty TNHH Công nghệ Nam Hải</t>
  </si>
  <si>
    <t>C00000325</t>
  </si>
  <si>
    <t>Great Eastern Resins Industrial Co.,Ltd</t>
  </si>
  <si>
    <t>S00001284</t>
  </si>
  <si>
    <t>Công ty Cổ phần Xây dựng Tập đoàn Hòa Bình</t>
  </si>
  <si>
    <t>HD3_01</t>
  </si>
  <si>
    <t>C00000322</t>
  </si>
  <si>
    <t>CÔNG TY TNHH SẢN XUẤT GIÀY DÉP GRAND GAIN</t>
  </si>
  <si>
    <t>C00000327</t>
  </si>
  <si>
    <t>GOODWIN TECHNOLOGY ASIA CO., LIMITED</t>
  </si>
  <si>
    <t>S00000996</t>
  </si>
  <si>
    <t>CÔNG TY CỔ PHẨN HAI BỐN BẢY</t>
  </si>
  <si>
    <t>TDH_01</t>
  </si>
  <si>
    <t>S00001282</t>
  </si>
  <si>
    <t>Công ty cổ phần Đầu tư Xây dựng NEWTECONS</t>
  </si>
  <si>
    <t>C00000338</t>
  </si>
  <si>
    <t>CHI NHÁNH CÔNG TY TNHH CÔNG NGHIỆP WONGEAK (VIỆT NAM) TẠI HẢI DƯƠNG</t>
  </si>
  <si>
    <t>C00000357</t>
  </si>
  <si>
    <t>CÔNG TY TNHH ĐIỆN TỬ SHDC</t>
  </si>
  <si>
    <t>C00000376</t>
  </si>
  <si>
    <t xml:space="preserve">CÔNG TY TNHH GREAT EASTERN HIGH TECH MATERIALS (VIỆT NAM) </t>
  </si>
  <si>
    <t>C00000332</t>
  </si>
  <si>
    <t>CÔNG TY TNHH FAVORATENG</t>
  </si>
  <si>
    <t>C00000329</t>
  </si>
  <si>
    <t>CÔNG TY CỔ PHẦN MỸ PHẨM QUỐC TẾ THÙY DUNG</t>
  </si>
  <si>
    <t>C00000330</t>
  </si>
  <si>
    <t>EAH SINGAPORE PTE. LTD</t>
  </si>
  <si>
    <t>C00000335</t>
  </si>
  <si>
    <t>SHIU LI TECHNOLOGY CO., LTD</t>
  </si>
  <si>
    <t>C00000334</t>
  </si>
  <si>
    <t>CÔNG TY TNHH DAIWA LOGISTICS VIỆT NAM</t>
  </si>
  <si>
    <t>C00000310</t>
  </si>
  <si>
    <t>CÔNG TY TNHH MAGNETEC VIỆT NAM</t>
  </si>
  <si>
    <t>NV1_01</t>
  </si>
  <si>
    <t>C00000331</t>
  </si>
  <si>
    <t>CÔNG TY TNHH CÔNG NGHỆ THỰC PHẨM STARRY</t>
  </si>
  <si>
    <t>C00000340</t>
  </si>
  <si>
    <t>C00000358</t>
  </si>
  <si>
    <t>CÔNG TY LD TNHH NIPPON EXPRESS (VIỆT NAM)</t>
  </si>
  <si>
    <t>C00000360</t>
  </si>
  <si>
    <t>CÔNG TY CỔ PHẦN HAI BỐN BẢY</t>
  </si>
  <si>
    <t>C00000347</t>
  </si>
  <si>
    <t>CÔNG TY TNHH AUROMEX VIỆT NAM</t>
  </si>
  <si>
    <t>C00000348</t>
  </si>
  <si>
    <t>CÔNG TY TNHH SHINWA VIỆT NAM</t>
  </si>
  <si>
    <t>C00000349</t>
  </si>
  <si>
    <t>CÔNG TY TNHH KHUÔN MẪU SÁNG TẠO</t>
  </si>
  <si>
    <t>C00000350</t>
  </si>
  <si>
    <t>CÔNG TY TRÁCH NHIỆM HỮU HẠN VALSPAR (VIỆT NAM)</t>
  </si>
  <si>
    <t>C00000351</t>
  </si>
  <si>
    <t>CÔNG TY CỔ PHẦN NƯỚC TINH KHIẾT ỐC ĐẢO XANH</t>
  </si>
  <si>
    <t>C00000352</t>
  </si>
  <si>
    <t>CHI NHÁNH CÔNG TY TNHH KANEPACKAGE VIỆT NAM</t>
  </si>
  <si>
    <t>C00000353</t>
  </si>
  <si>
    <t>CÔNG TY TNHH WANG LONG (VIỆT NAM)</t>
  </si>
  <si>
    <t>C00000354</t>
  </si>
  <si>
    <t>CÔNG TY TNHH SILK VIỆT NAM</t>
  </si>
  <si>
    <t>C00000355</t>
  </si>
  <si>
    <t>CÔNG TY TNHH TS MOLYMER VIỆT NAM</t>
  </si>
  <si>
    <t>C00000333</t>
  </si>
  <si>
    <t>CÔNG TY TNHH HONDA LOGICOM (VIỆT NAM)</t>
  </si>
  <si>
    <t>C00000361</t>
  </si>
  <si>
    <t>CÔNG TY TNHH NĂNG LƯỢNG MỚI GROWATT VIỆT NAM</t>
  </si>
  <si>
    <t>C00000379</t>
  </si>
  <si>
    <t>CÔNG TY TNHH TARGET AGRICULTURE VIỆT NAM</t>
  </si>
  <si>
    <t>C00000380</t>
  </si>
  <si>
    <t>CÔNG TY TNHH CASTERBUY</t>
  </si>
  <si>
    <t>BBA_07</t>
  </si>
  <si>
    <t>C00000362</t>
  </si>
  <si>
    <t>Công ty TNHH Công nghiệp Chính xác EWISDOM Hải Phòng</t>
  </si>
  <si>
    <t>C00000363</t>
  </si>
  <si>
    <t>Công ty TNHH Eager Kenner Hitech Việt Nam</t>
  </si>
  <si>
    <t>C00000373</t>
  </si>
  <si>
    <t>CÔNG TY TNHH ETRON VIETNAM TECHNOLOGIES</t>
  </si>
  <si>
    <t>C00000370</t>
  </si>
  <si>
    <t>CÔNG TY TNHH SẢN PHẨM CAO SU &amp; NHỰA GENIUS WIN VIỆT NAM</t>
  </si>
  <si>
    <t>C00000371</t>
  </si>
  <si>
    <t>CÔNG TY TNHH BLUE &amp; GREEN VIỆT NAM</t>
  </si>
  <si>
    <t>C00000381</t>
  </si>
  <si>
    <t>Mr. JACKY LAI/ LAI, YU-SHIUN</t>
  </si>
  <si>
    <t>C00000368</t>
  </si>
  <si>
    <t>CÔNG TY TNHH PRO PESTIC VIỆT NAM</t>
  </si>
  <si>
    <t>C00000382</t>
  </si>
  <si>
    <t>CÔNG TY TNHH TH GLOBAL ENTERPRISE</t>
  </si>
  <si>
    <t>C00000383</t>
  </si>
  <si>
    <t>JOY RIDER LIMITED</t>
  </si>
  <si>
    <t>C00000384</t>
  </si>
  <si>
    <t>CÔNG TY TNHH CÔNG NGHỆ ESSENCE FASTENER VIỆT NAM</t>
  </si>
  <si>
    <t>C00000367</t>
  </si>
  <si>
    <t>Công ty TNHH xây dựng ZYF Việt Nam</t>
  </si>
  <si>
    <t>C00000389</t>
  </si>
  <si>
    <t>HARTING International GmbH</t>
  </si>
  <si>
    <t>C00000390</t>
  </si>
  <si>
    <t>MAEDEN INNOVATION CO., LTD</t>
  </si>
  <si>
    <t>C1</t>
  </si>
  <si>
    <t>AAAAA</t>
  </si>
  <si>
    <t>C2</t>
  </si>
  <si>
    <t>BBBBB</t>
  </si>
  <si>
    <t>Ms. Wu Jing Lian</t>
  </si>
  <si>
    <t>C00000411</t>
  </si>
  <si>
    <t>CÔNG TY CỔ PHẦN SẢN XUẤT VÀ KINH DOANH VINFAST</t>
  </si>
  <si>
    <t>LV2_01</t>
  </si>
  <si>
    <t>C00000408</t>
  </si>
  <si>
    <t>CÔNG TY TNHH SNOW KING GLOBAL</t>
  </si>
  <si>
    <t>PN_01</t>
  </si>
  <si>
    <t>C00000410</t>
  </si>
  <si>
    <t>DAYUE INTERNATIONAL (HK) LIMITED</t>
  </si>
  <si>
    <t>Bank Account Number</t>
  </si>
  <si>
    <t>TRANS CONTENT</t>
  </si>
  <si>
    <t>Bank Category</t>
  </si>
  <si>
    <t>AMOUNT</t>
  </si>
  <si>
    <t>TYPE</t>
  </si>
  <si>
    <t>BANK CODE(CM)</t>
  </si>
  <si>
    <t>Transaction Date</t>
  </si>
  <si>
    <t>Ending Balance</t>
  </si>
  <si>
    <t>Note</t>
  </si>
  <si>
    <t>BWD_MP3_LAST PAYMENT FOR SUPPLEMENTAL AGREEMENT FOR ASSET TRANSFER NO/MP3</t>
  </si>
  <si>
    <t>Internal transfer - in</t>
  </si>
  <si>
    <t>0% -</t>
  </si>
  <si>
    <t>Internal transfer - out</t>
  </si>
  <si>
    <t>So GD goc: 10000613 CT CP SAO HOA TOAN QUOC INTERNAL TRANSFER FROM VCB TO VTB QM</t>
  </si>
  <si>
    <t>100% - INTERNAL TRANSFER</t>
  </si>
  <si>
    <t>GUI HDTG SO 640/2025/22338</t>
  </si>
  <si>
    <t>100% - HDTG</t>
  </si>
  <si>
    <t>Thanh toan lai tai khoan tien gui 813009581655 so tien 22191781 VND</t>
  </si>
  <si>
    <t>100% - THANH TOAN LAI</t>
  </si>
  <si>
    <t>THU NO GOC KU401320422011</t>
  </si>
  <si>
    <t>100% - THU NO</t>
  </si>
  <si>
    <t>VC3_CASH TRANSFER TO BTD</t>
  </si>
  <si>
    <t>KTR_IDICO_Electricity fee in Jun 2025_ Term 3_INV.00018552</t>
  </si>
  <si>
    <t>100% - ELECTRICITY</t>
  </si>
  <si>
    <t>REM 9901CI250703000005519 B/O COHERENT VIETNAM (DONG NAI) CO LTD . F/O-1329397986 KIM TRUC DONA CERAMIC JSC DTLS-REF/202507032010011000057079654001 [3185744336] BIDV TPHCM HCM PAYMENT INV 00000048- BIDV - CN NA M SAI GON Bank Charge .00 VAT .00</t>
  </si>
  <si>
    <t>REM 9901CI250703000012670 B/O CONG TY TNHH DIEN TU HUIJIN (VIET NAM) F/O-1329397986 KIM TRUC DONA CERAMIC JSC DTLS-REF/202507032010011000001179615001 SERVICE CHARGE 02/06-30/06 Bank Charge .00 VAT .00</t>
  </si>
  <si>
    <t>100% - DIEN</t>
  </si>
  <si>
    <t>REF222A2570GQ7R7BFW B/O 1329397986 CTCP DV KHKT VA SX GOM SU KIM TRUC DONG NAI F/O 0071000798143 CT TNHH XD VA KT DIEN KHANG NAM NHH79203001 KTR_KHANG NAM_ Advance payment for LV system installation - Taizhou - KTDN.VD.25005</t>
  </si>
  <si>
    <t>So GD: 285A2570PKVGYNZV DCQN HOLDCO transfer SHL to DTP/ DCQN HOLDCO chuyen tien SHL den DTP</t>
  </si>
  <si>
    <t>100% - SHL</t>
  </si>
  <si>
    <t>BW Nam Dinh Vu_NDV ESCO_Payment for Power Consumption fee in June 2025</t>
  </si>
  <si>
    <t>NDV_Sao Do_Payment for EMF fee in Quarter 3, Quarter 4 Y2025 Inv 00001191</t>
  </si>
  <si>
    <t>100% - EMF</t>
  </si>
  <si>
    <t>TKThe :1801116888668, tai MB. CT Zhejiang Taifu Pump VN TT Phi dich vu dien tu 20 3 den 20 6 2025  theo TB so INVNDV000185 ngay 26 6 2025                                                     -CTLNHIDI000012149506045-1/1-CRE-002</t>
  </si>
  <si>
    <t>TKThe :1801116888668, tai MB. CT Zhejiang Taifu Pump VN TT Phi dich vu nuoc nuoc thai tu 20 3 den 20 6 2025  theo TB so INVNDV000186 ngay 26 6 2025                                           -CTLNHIDI000012149504750-1/1-CRE-002</t>
  </si>
  <si>
    <t>100% - NUOC</t>
  </si>
  <si>
    <t>REM 9901CI250714000035503 B/O CONG TY TNHH MAGNETEC VIET NAM F/O-1500871050 CONG TY TNHH PHAT TRIEN CONG NGHIEP BW NAM DINH VU DTLS-REF/202507142010011000683701203004 Magnetec Vietnam - Payment for notification Q3.2025 (Rental expense) Bank Charge .00 VAT .00</t>
  </si>
  <si>
    <t>REM 9901DP250703000007493 B/O ZHEJIANG TAIFU PUMP CO., LTD F/O-1500871050 CTY TNHH PT CONG NGHIEP BW NAM DINH VU DTLS-REF/FT25184395221995 CT ZHEJIANG TAIFU PUMP VN TT TIEN THUE KHO THANG 7 8 9 THEO TB SO INVNDV000184 NGAY 23 6 2025 Bank Charge .00 VAT .00</t>
  </si>
  <si>
    <t>100% - THUE KHO</t>
  </si>
  <si>
    <t>REM 9901DP250710000044684 B/O STARRY FOOD TECHNOLOGY .,CO LTD F/O-15010000871050 CTY TNHH PT CONG NGHIEP BW NAM DINH VU DTLS-REF/BNK5191370720352 STARRY   BW, THANH TOAN PHI THUE NHA XUONG THANG 07,08,09.2025 Bank Charge .00 VAT .00</t>
  </si>
  <si>
    <t>REM 9901SP250704000021822 B/O CTY TNHH M VA H INNOVATION VIET NAM F/O-1500871050 CTY TNHH PT CONG NGHIEP BW NAM DINH VU DTLS-REF/164A257057WC8M73 MHIVN payment for B4 Rental fee from 01072025 to 30092025 Bank Charge .00 VAT .00</t>
  </si>
  <si>
    <t>100% - RENTAL FEE</t>
  </si>
  <si>
    <t>REM 9901CI250703000001962 B/O CONG TY TNHH RRC POWER SOLUTIONS F/O-1500871050 BWID NAM DINH VU CO.,LTD DTLS-REF/202507032010011000127501203006 Payment for rental factory C2+C3-BW Bank Charge .00 VAT .00</t>
  </si>
  <si>
    <t>REF222A2570MVRZL7LK B/O 1500871050 CTY TNHH PT CONG NGHIEP BW NAM DINH VU F/O 19135208333015 CT CP DV KT VA THI NGHIEM DIEN HP NHH01310001 NDV_HP Testing_Payment Annual testing for lightning system 2025 Inv 00000228</t>
  </si>
  <si>
    <t>VC3_H4G_Transfer SHL from VC3 to DCQN_Chuyen tien vay SHL tu VC3 cho DCQN</t>
  </si>
  <si>
    <t>REF222A25700RSV4H3L B/O 2220131688 CTY TNHH PT CONG NGHIEP HAU CAN BW HAI A F/O 11123438844011 CTY CP SKY LINK NHH01310012 BHA-Skylink-Payment remaining amount of contract value: BWHAVD24008 - Temp Fix and Reinstalment - Rolling door, sectional door after Typhoon Yagi-INVOICE 27,44</t>
  </si>
  <si>
    <t>REF222A257055V802NM B/O 2220131688 CTY TNHH PT CONG NGHIEP HAU CAN BW HAI A F/O 19135208333015 CT CP DV KT VA THI NGHIEM DIEN HP NHH01310001 BHA_DIEN HP_Payment of Annual testing for lightning system 2025_INVOICE 00000223 and Incurred costs_Cleaning and maintenance substation-INVOICE 00000632</t>
  </si>
  <si>
    <t>REF222A2570F1RNTD2X B/O 2220131688 CTY TNHH PT CONG NGHIEP HAU CAN BW HAI A F/O 0031000666668 CT TNHH NANG LUONG XANH DEEP C VN NHH01203001 BHA_DEEPC Green_Payment of Power consumption and Power Management fee in June 2025_INVOICE 2268,2412</t>
  </si>
  <si>
    <t>100% - MANAGEMENT FEE</t>
  </si>
  <si>
    <t>REF222A2570F1RNX51R B/O 2220131688 CTY TNHH PT CONG NGHIEP HAU CAN BW HAI A F/O 0031000222404 CT TNHH DEEP C BLUE NHH01203001 BHA_DEEPC Blue_Payment of Water consumption and Wastewater treatment in June 2025_INVOICE 1517,1719</t>
  </si>
  <si>
    <t>100% - WATER</t>
  </si>
  <si>
    <t>REF222A2570MVS00TC1 B/O 2220131688 CTY TNHH PT CONG NGHIEP HAU CAN BW HAI A F/O 0963337707 LE VAN TAN NHH01311001 BHA_Le Van Tan_Payment of  meeting expense_INVOICE 1641736</t>
  </si>
  <si>
    <t>100% - MEETING</t>
  </si>
  <si>
    <t>VC3_SPV4C_CASH TRANSFER FROM VC3 TO SPV4C/CHUYEN TIEN TU VC3 DEN SPV4C</t>
  </si>
  <si>
    <t>REF222A25703H8FSQK3 B/O 2220151668 CTY TNHH PT CONG NGHIEP HAU CAN BW DINH F/O 0431000198871 NGUYEN VU TRUONG NHH79203001 DVL_Payment Meeting expense Inv 00006177</t>
  </si>
  <si>
    <t>REF222A257055V2TLMP B/O 2220151668 CTY TNHH PT CONG NGHIEP HAU CAN BW DINH F/O 0031000666668 CTTNHH NANG LUONG XANH DEEP C VN NHH31203001 DVL_DEEPC Green_Power Consumption and Power Management fee in June 2025 Inv 2264, 2264</t>
  </si>
  <si>
    <t>REF222A2570MVRZVF7B B/O 2220151668 CTY TNHH PT CONG NGHIEP HAU CAN BW DINH F/O 0031000003058 CTY CP KHU CONG NGHIEP DINH VU NHH31203001 DVL_Cong nghiep Dinh Vu_Payment for EMF fee in June 2025 Inv 1166</t>
  </si>
  <si>
    <t>REF222A2570MVRZWAQP B/O 2220151668 CTY TNHH PT CONG NGHIEP HAU CAN BW DINH F/O 0991000003869 CONG TY CO PHAN SIEU THANH - CN HA NOI NHH01203003 DVL_Sieu Thanh HP_Payment of renting photocopier machine_Q2 2025 Inv 00001172</t>
  </si>
  <si>
    <t>REF222A2570MVRZX2F9 B/O 2220151668 CTY TNHH PT CONG NGHIEP HAU CAN BW DINH F/O 19135208333015 CT CP DV KT VA THI NGHIEM DIEN HP NHH01310001 DVL_HP Testing_Payment Annual testing for lightning system 2025 Inv 00000229, cleaning and maintenance transformer station Inv 00000631</t>
  </si>
  <si>
    <t>SPV4C_CASH TRANSFER FROM SPV4C TO SPV5C/CHUYEN TIEN TU SPV4C DEN SPV5C</t>
  </si>
  <si>
    <t>Thanh toan lai tai khoan tien gui 814006107925 so tien 28273973 VND</t>
  </si>
  <si>
    <t>Thanh toan lai tai khoan tien gui 812006016470 so tien 45945205 VND</t>
  </si>
  <si>
    <t>BTP_IMPC_Payment for FM service in May 2025 Inv 00000258</t>
  </si>
  <si>
    <t>100% - IMPC</t>
  </si>
  <si>
    <t>REF222A25703H8KABV7 B/O 2220757668 CTY TNHH PT CONG NGHIEP BW BAC TIEN PHON F/O 1013836868 CTCP KHU CONG NGHIEP BAC TIEN PHONG NHH01203006 BTP_BTP IZ_Payment for Power Management fee in June 2025 and Power consumption from 10.05.2025 - 31.05.2025</t>
  </si>
  <si>
    <t>REF222A257055V0CRL7 B/O 2220757668 CTY TNHH PT CONG NGHIEP BW BAC TIEN PHON F/O 11123438844011 CTY CP SKY LINK NHH01310001 BTP_Skylink_Payment 10 remaining of Temp Fix va Reinstalment after Typhoon Yagi Inv 374, 375</t>
  </si>
  <si>
    <t>REF222A2570MVRZRH1V B/O 2220757668 CTY TNHH PT CONG NGHIEP BW BAC TIEN PHON F/O 19135208333015 CT CP DV KT VA THI NGHIEM DIEN HP NHH01310001 BTP_HP Testing_Payment for Testing substation T3 Inv 00000128, and Annual testing for lightning system 2025 Inv 00000227</t>
  </si>
  <si>
    <t>So GD: 285A25702FG0W274 H4T_BMP_TRANSFER SHL _CHUYEN TIEN VAY SHL</t>
  </si>
  <si>
    <t>VC3_H4T_Transfer SHL _Chuyen tien vay SHL</t>
  </si>
  <si>
    <t>REF222A2570F1RPJY15 B/O 2220830888 CTY TNHH PT CONG NGHIEP BW PHU NGHIA F/O 8910205059472 LE THU THAO NHH01204001 BWP_Le Thu Thao_Payment of meeting expense_INVOICE 00003943</t>
  </si>
  <si>
    <t>REF222A2570F1RPLB83 B/O 2220830888 CTY TNHH PT CONG NGHIEP BW PHU NGHIA F/O 115000032860 CTCP TAP DOAN PHU MY NHH01201001 BWP_Phu My_Payment of Land fee from July 2025 to December 2025_INVOICE 943</t>
  </si>
  <si>
    <t>REF222A2570MVS05MN9 B/O 2220830888 CTY TNHH PT CONG NGHIEP BW PHU NGHIA F/O 115000032860 CTCP TAP DOAN PHU MY NHH01201001 BWP_Phu My_Payment of EMF fee in Quarter 3,4 Y2025 and Wastewater Treatment fee June 2025_INVOICE 874,774</t>
  </si>
  <si>
    <t>REF222A2570MVS06KEN B/O 2220830888 CTY TNHH PT CONG NGHIEP BW PHU NGHIA F/O 114000087901 CTCP DAU TU SUOI NGOC NHH01201001 BWP_Suoi Ngoc_Payment of Water consumption fee June 2025_INVOICE 480</t>
  </si>
  <si>
    <t>100% - GOC</t>
  </si>
  <si>
    <t>BDH_NDV Esco_Payment for Power consumption fee in Jun 2025</t>
  </si>
  <si>
    <t>BDH_Sao Do_Payment for EMF Q3, Q4 Year 2025 Inv 00001204, 00001205</t>
  </si>
  <si>
    <t>BDH_Trung Viet Trung_Payment 50 percentage remaining for Booth registration fee at Vietnam International Electronics Industry Expo 2025 Inv 56</t>
  </si>
  <si>
    <t>TKThe :90201806784, tai Tienphongbank. EC thanh toan tien phi dich vu CT Pumpman                                                                                                              -CTLNHIDI000012136075155-1/1-CRE-002</t>
  </si>
  <si>
    <t>TKThe :90201806784, tai Tienphongbank. EC thanh toan chi phi xuong FC3                                                                                                                        -CTLNHIDI000012152340933-1/1-CRE-002</t>
  </si>
  <si>
    <t>REM 9901CI250715000038748 B/O CT TNHH CONG NGHE DIEN TU TIANLIDA (VN) F/O-2220987979 BWID DONG HAI DTLS-REF/202507152010011000582301203010 . Bank Charge .00 VAT .00</t>
  </si>
  <si>
    <t>REM 9901SP250715000074938 B/O CONG TY TNHH XDC INDUSTRIES VIET NAM F/O-2220987979 CTY TNHH PT CONG NGHIEP BW DONG HAI DTLS-REF/168A2570PPX30MJL Payment for rent for third quarter in 2025, according to PF INVINV/BDH/000171,Contract BWDH/PLC/23003 Bank Charge .00 VAT .00</t>
  </si>
  <si>
    <t>REF222A2570F1RNYATH B/O 2220987979 CTY TNHH PT CONG NGHIEP BW DONG HAI F/O 0011003206257 NGUYEN QUANG HOP NHH01203001 BDH_Payment meeting expense Inv 00005427</t>
  </si>
  <si>
    <t>REF222A2570F1RNZZXB B/O 2220987979 CTY TNHH PT CONG NGHIEP BW DONG HAI F/O 19135208333015 CT CP DV KT VA THI NGHIEM DIEN HP NHH01310001 BDH_DIENHP_Payment for Testing substation Inv 00000157, 00000529 and Annual testing for lightning system 2025 Inv 00000224</t>
  </si>
  <si>
    <t>REF222A2570F1RP33H8 B/O 2220987979 CTY TNHH PT CONG NGHIEP BW DONG HAI F/O 1031833759 NGUYEN MINH QUAN NHH01203001 BDH_Payment for Booth backdrop printing and installation fee in the Electronics Expo in Bac Ninh June 2025 Inv 56</t>
  </si>
  <si>
    <t>REF222A2570F1RP5BMB B/O 2220987979 CTY TNHH PT CONG NGHIEP BW DONG HAI F/O 66434228566 CONG TY CO PHAN CO - DIEN GALAXY NHH01604003 BDH_GME_Payment 10 percentage remaining_ Low Voltage System Connection for Unit E3 Tenant Tianlida Inv 57, 58</t>
  </si>
  <si>
    <t>REF222A2570MVS093UZ B/O 2220987979 CTY TNHH PT CONG NGHIEP BW DONG HAI F/O 0963337707 LE VAN TAN NHH01311001 BDH_Payment meeting expense Inv 758, 1225</t>
  </si>
  <si>
    <t>Thanh toan lai tai khoan tien gui 810005865740 so tien 32219178 VND</t>
  </si>
  <si>
    <t>REM Tfr Ac:2221133456 O@L_021001_212001_0_0_192923792_PM17000096329_TT tien dien  1/6/2025 Cong ty TNHH Mot Thanh Vien Phat trien cong nghiep BW Hai Duong HD 03 PM17000096329 HD:1628966715 So tien: 46754280 VND</t>
  </si>
  <si>
    <t>100% - TIEN DIEN</t>
  </si>
  <si>
    <t>So GD: 285A25700J81WKTG SPV5C_Cash transfer from SPV5C to BNH/Chuyen tien tu SPV5C den BNH</t>
  </si>
  <si>
    <t>REM 9901CI250715000042228 B/O CONG TY TNHH CONG NGHE DIEN TU KWONG KEI TAT (VIET NAM) F/O-2221133456 BWID HD 03 DTLS-REF/202507152010011000170879620001 KKT THANH TOAN PHI DICH VU NHA XUONG F6-1 TU 1.7-30.9.2025 Bank Charge .00 VAT .00</t>
  </si>
  <si>
    <t>REM 9901CI250711000005523 B/O CONG TY TNHH TRUSTTAG VIET NAM F/O-2221133456 BWID HD 03 DTLS-REF/202507112010011000162801203003 Thanh toan tien thue nha xuong 3 thang 07-09-2025 Bank Charge .00 VAT .00</t>
  </si>
  <si>
    <t>100% - TIEN THUE</t>
  </si>
  <si>
    <t>REM 9901CI250715000064902 B/O CTY TNHH SABLE ELECTRONICS (VN) F/O-2221133456 BWID HD 03 DTLS-REF/202507152010011000016301642001 Sable payment INV 1C25TBA00000092 Bank Charge .00 VAT .00</t>
  </si>
  <si>
    <t>REM 9901CI250715000042187 B/O CONG TY TNHH CONG NGHE DIEN TU KWONG KEI TAT (VIET NAM) F/O-2221133456 BWID HD 03 DTLS-REF/202507152010011000170979620001 KKT THANH TOAN PHI DICH VU NHA XUONG F6-2 TU 1.7-30.9.2025 Bank Charge .00 VAT .00</t>
  </si>
  <si>
    <t>REM 9901CI250709000044005 B/O CT TNHH DAIN TECHNOLOGY VIET NAM F/O-2221133456 BWID HD 03 DTLS-REF/202507092010011000826801203008 BWID HD 03(202507-202509) Bank Charge .00 VAT .00</t>
  </si>
  <si>
    <t>REM 9901CI250715000053220 B/O CONG TY TNHH DS VIETNAM F/O-22210001133456 CTY TNHH MTV PT CONG NGHIEP BW HAI DUONG DTLS-REF/202507151010011000030801652001 PAYMENT WATER FEE FOR FACTORY 06.2025 Bank Charge .00 VAT .00</t>
  </si>
  <si>
    <t>REM 9901CI250715000042946 B/O CONG TY TNHH CONG NGHE DIEN TU KWONG KEI TAT (VIET NAM) F/O-2221133456 BWID HD 03 DTLS-REF/202507151010011000171279620001 KKT THANH TOAN TIEN NUOC 06.2025 Bank Charge .00 VAT .00</t>
  </si>
  <si>
    <t>100% - TIEN NUOC</t>
  </si>
  <si>
    <t>REM 9901SP250709000029410 B/O CT TNHH CONG NGHE THONG MINH RONNIE VN F/O-2221133456 BWID HD 03 DTLS-REF/346A2570DM0B6KEA RONNIE THANH TOAN TIEN THUE XUONG Q3 Bank Charge .00 VAT .00</t>
  </si>
  <si>
    <t>100% - THUE XUONG</t>
  </si>
  <si>
    <t>REM 9901CI250710000081119 B/O CTY TNHH CONG NGHE ALLTOP (VIETNAM) F/O-22210001133456 BWID HD 03 DTLS-REF/202507102010011000030301642001 Factory rent Bank Charge .00 VAT .00</t>
  </si>
  <si>
    <t>REM 9901CI250703000011596 B/O CTY TNHH CONG NGHE ALLTOP (VIETNAM) F/O-22210001133456 BWID HD 03 DTLS-REF/202507032010011000000601642001 water fee Bank Charge .00 VAT .00</t>
  </si>
  <si>
    <t>REM 9901CI250715000064534 B/O CTY TNHH SABLE ELECTRONICS (VN) F/O-2221133456 BWID HD 03 DTLS-REF/202507152010011000017101642001 Sable payment INV 1C25TBA00000108 Bank Charge .00 VAT .00</t>
  </si>
  <si>
    <t>REM 9901CI250710000089583 B/O TREASURE GRAND TECHNOLOGY LIMITED F/O-2221133456 BWID HD 03 DTLS-REF/202507101010011000093779629001 TREASURE TT TIEN PHI XL NUOC  HD94 Bank Charge .00 VAT .00</t>
  </si>
  <si>
    <t>100% - TT TIEN</t>
  </si>
  <si>
    <t>REM 9901CI250704000035034 B/O CONG TY TNHH LINKCONN ELECTRONICS VIET N F/O-2221133456 BWID HD 03 DTLS-REF/202507042010011000606301203006 LINKCONN ELECTRONICS VIETNAM CO., LTD-TT PHI THUE NHA XUONG Q2.2025 Bank Charge .00 VAT .00</t>
  </si>
  <si>
    <t>REM 9901CI250711000007547 B/O CONG TY TNHH TRUSTTAG VIET NAM F/O-2221133456 BWID HD 03 DTLS-REF/202507111010011000161001203003 Thanh toan phi xu ly nuoc thai 06.2025 Bank Charge .00 VAT .00</t>
  </si>
  <si>
    <t>REM 9901CI250710000011568 B/O CACTUS WELLHEAD VIETNAM LIMITED COMPANY F/O-2221133456 BWID HD 03 DTLS-REF/202507102010011000068279627001 RENTAL FACTORY FEE Q32025          INV 436 Bank Charge .00 VAT .00</t>
  </si>
  <si>
    <t>REM 9901CI250704000035083 B/O CONG TY TNHH LINKCONN ELECTRONICS VIET N F/O-2221133456 BWID HD 03 DTLS-REF/202507041010011000607101203007 LINKCONN ELECTRONICS VIETNAM CO., LTD-TT PHI QUAN LY NUOC VA XU LY NUOC THAI T06 HD 00000091 Bank Charge .00 VAT .00</t>
  </si>
  <si>
    <t>100% - PHI QUAN LY</t>
  </si>
  <si>
    <t>REM 9901CI250704000011071 B/O CACTUS WELLHEAD VIETNAM LIMITED COMPANY F/O-2221133456 BWID HD 03 DTLS-REF/202507042010011000071679627001 WATER FEE 06 2025                  INV 426 Bank Charge .00 VAT .00</t>
  </si>
  <si>
    <t>REM 9901SP250707000040848 B/O CT TNHH CONG NGHE THONG MINH RONNIE VN F/O-2221133456 BWID HD 03 DTLS-REF/346A2570AALEK2GQ RONNIE THANH TOAN TIEN NUOC THANG 6 HD 93 Bank Charge .00 VAT .00</t>
  </si>
  <si>
    <t>REF222A2570F1RPHMU3 B/O 2221133456 CTY TNHH MTV PT CONG NGHIEP BW HAI DUONG F/O 113002179928 CONG TY TNHH VSIP HAI DUONG NHH01201001 HD3_VSIP Hai Duong_Payment of EMF fee in Quarter 3 Y2025_INVOICE 00000193</t>
  </si>
  <si>
    <t>REF222A2570MVS03N3P B/O 2221133456 CTY TNHH MTV PT CONG NGHIEP BW HAI DUONG F/O 113002179928 CONG TY TNHH VSIP HAI DUONG NHH01201001 HD3_VSIP Hai Duong_Payment of Water consumption and Wastewater treatment in JUN 2025_INVOICE 00000222</t>
  </si>
  <si>
    <t>So GD: 902A2570LU2CE0CP NT2_YG_LV system installation panel for factory A3.3-F2_100% Payment_BWNT2.VD.25004_Inv no.334</t>
  </si>
  <si>
    <t>GUI TIEN VAO HDTG SO 285/2025/21010</t>
  </si>
  <si>
    <t>Cimiya TT tien nuoc sach va phi xu ly nuoc thai theo HD so 78+81</t>
  </si>
  <si>
    <t>So GD goc: 10000072 SJ THERMAL VINA TT HD 76</t>
  </si>
  <si>
    <t>So GD goc: 10001579 ITL mien Bac thanh toan INV 90 97 ChargeDetails OUR</t>
  </si>
  <si>
    <t>So GD goc: 10000348 BW WATER FEE JUN 25 VAT..000074</t>
  </si>
  <si>
    <t>CT DEN:285T2570BSLT2GK6 CONG TY TNHH EULER TECHNOLOGY VIET NAM chuyen tien phi quan ly T06.2025 - HD 73</t>
  </si>
  <si>
    <t>CT DEN:285T2570DNAMYVTW Cty TONGFANG TT tien nuoc, phi su ly nuoc thai hd 88+93 t6/25</t>
  </si>
  <si>
    <t>GUI TIET KIEM KH 6 THANG TRA LAI SAU LAI CHUYEN SANG TKTT THEO HDTG SO 285 2025 21018</t>
  </si>
  <si>
    <t>So GD: 640A2570LU0442YN BB01_KZN_Anti-leaking defect_Inv no.66</t>
  </si>
  <si>
    <t>100% - KZN</t>
  </si>
  <si>
    <t>So GD: 640A2570LU044H0K BB1_KZN_Anti-leaking for RBFs at BB site_BWBB1.VD.25014_Inv no.51</t>
  </si>
  <si>
    <t>So GD: 640A2570LU047LYK BB01_DQ_Replace new glass 17B1D_Inv no.57</t>
  </si>
  <si>
    <t>So GD: 640A2570LU2CG9JB BB01_HHP_FF Pipe leaking rectification_Inv no.24</t>
  </si>
  <si>
    <t>So GD goc: 10000245 THANH TOAN TIEN THUE NHA XUONGQUY 3/2025, INV: 193</t>
  </si>
  <si>
    <t>So GD goc: 10000818 CT CP SAO HOA TOAN QUOC INTERNAL TRANSFER FROM VCB HCM TO VIETINBANK QUANG MINH</t>
  </si>
  <si>
    <t>So GD: 902A2570416DENNQ NT2_KCN.LK_EMF fee in Q2.2025_Inv no.00000056</t>
  </si>
  <si>
    <t>So GD: 902A2570416F4DR6 NT2_KCN.LK_Water &amp; Wastewater fee in 06/2025_Inv no.00000055</t>
  </si>
  <si>
    <t>So GD: 902A2570416GA2NB NT2_IDICO_ Electricity fee in 06/2025_Term 3_Inv no.00018640, 00018684</t>
  </si>
  <si>
    <t>CT DEN:902T25705H8PF0B2 TT tien nuoc HD 112 cho CTY TNHH PHAT TRIEN CONG NGHIEP BW NHON TRACH- DU AN 2</t>
  </si>
  <si>
    <t>So GD goc: 10003198 TT tien thue xuong HD 125 cho CTY TNHH PHAT TRIEN CONG NGHIEP BW NHON TRACH- DU AN 2</t>
  </si>
  <si>
    <t>So GD goc: 10006219 TT tien thue nha xuong quy 3 HD 120 cho CTY TNHH PHAT TRIEN CONG NGHIEP BW NHON TRACH- DU AN 2</t>
  </si>
  <si>
    <t>CT DEN:902T2570F8VU31T3 TT tien nuoc HD 107 cho CTY TNHH PHAT TRIEN CONG NGHIEP BW NHON TRACH- DU AN 2</t>
  </si>
  <si>
    <t>So GD goc: 10002089 TT PHI QUAN LY T6.2025</t>
  </si>
  <si>
    <t>So GD goc: 10000247 THANH TOAN TIEN THUE NHA XUONGQUY 3/2025, INV: 193</t>
  </si>
  <si>
    <t>CT DEN:519213647330 Third quarter factory rent and June water bill</t>
  </si>
  <si>
    <t>CT DEN:519120319253 WASTEWATER TREATMENT COST AND FEE FOR USING CLEANING WATER IN JUNE. INVOICE 00000104</t>
  </si>
  <si>
    <t>CT DEN:519120319256 PREPAYMENT FOR RENTAL FACTORY COST FOR QIII-2025. INVOICE INV/NT2/000491</t>
  </si>
  <si>
    <t>CT DEN:519213647340 Third quarter factory rent and June water bill</t>
  </si>
  <si>
    <t>CT DEN:519120319247 PREPAYMENT FOR RENTAL FACTORY COST FOR QIII-2025. INVOICE INV/NT2/000491</t>
  </si>
  <si>
    <t>So GD: 902A2570LU044XYJ NT2_ADP_100% Payment for installation of separate water supply pipes_Inv no.34</t>
  </si>
  <si>
    <t>CT DEN:519120319251 PREPAYMENT FOR RENTAL FACTORY COST FOR QIII-2025. INVOICE INV/NT2/000491</t>
  </si>
  <si>
    <t>CT DEN:519120319271 PREPAYMENT FOR RENTAL FACTORY COST FOR QIII-2025. INVOICE INV/NT2/000491</t>
  </si>
  <si>
    <t>CT DEN:519120319273 PREPAYMENT FOR RENTAL FACTORY COST FOR QIII-2025. INVOICE INV/NT2/000491</t>
  </si>
  <si>
    <t>So GD: 902A2570LU2CGJJP NT2_ADP_ Repair damage to factory at NT2 Lot A_Inv no.35</t>
  </si>
  <si>
    <t>CT DEN:902T2570MS4F9JET thanh toan tien hoa don  124 ngay2025.7.14</t>
  </si>
  <si>
    <t>CT DEN:902T2570MS4FXZG6 thanh toan tien hoa don  124 ngay2025.7.14</t>
  </si>
  <si>
    <t>CT DEN:902T2570MS4HMKXW thanh toan tien hoa don 124  ngay2025.7.14</t>
  </si>
  <si>
    <t>TTHD Tien dien Ma KH-PE09000203451 Ma HD-Ky 250730TD-T06.2025/0</t>
  </si>
  <si>
    <t>So GD goc: 10000231 SPX WH_Utilities 50SOCMC 21/04-20/05/2025 1C25TBA-74 1C25TBA-75</t>
  </si>
  <si>
    <t>So GD goc: 10003592 SPX WH_Rent 50SOCMC TT cp thue kho tu 01/07/25-31/07/25</t>
  </si>
  <si>
    <t>So GD goc: 10001108 CT THUAN PHONG TT CP THUE KHO 202507 INV 81 CT tu 0531002562100 CTTNHH MTV CHUYEN PHAT NHANH THUAN PHONG  toi 110610727979 CT TNHH PT CONG NGHIEP BW TAN PHU TRUNG NH Cong thuong VN (Vie</t>
  </si>
  <si>
    <t>So GD goc: 10006770 SPX WH_Utilities 50SOCMC 21/05-20/06/2025 1C25TBA-76 1C25TBA-76</t>
  </si>
  <si>
    <t>So GD: 285A2570H197S4RF TPT_KEB HANA_DEPOSIT FOR NEXT PRINCIPAL AND INTEREST PAYMENT ON 25TH JUL 2025</t>
  </si>
  <si>
    <t>100% - INTEREST PAYMENT</t>
  </si>
  <si>
    <t>TTHD Tien dien Ma KH-PE09000203451 Ma HD-Ky 250810TD-T07.2025/0</t>
  </si>
  <si>
    <t>So GD: 285A2570LU044PMW TPT_Hop Vien_Floor waterproofing_Advance payment</t>
  </si>
  <si>
    <t>GUI TIEN THEO HOP DONG TIEN GUI CO KY HAN SO 285.2025.21021 NGAY 01.07.2025</t>
  </si>
  <si>
    <t>100% - TIEN GUI</t>
  </si>
  <si>
    <t>So GD: 285A2570LU046H54 TPT_Ba Duong_Replace FF equipment after 2nd maintenance</t>
  </si>
  <si>
    <t>100% - BA DUONG</t>
  </si>
  <si>
    <t>So GD: 285A2570LU04796J TPT_PhuongNam_Quarterly service of measuring and analyzing wastewater sample fee in Q2.25</t>
  </si>
  <si>
    <t>CT DEN:640T2570PLUQAUSP CONG TY TNHH CONG NGHE ESSENCE FASTENER chuyen tien thue xuong bw hd 159 6/6/2025 (lan 1)</t>
  </si>
  <si>
    <t>GUI TIEN VAO HDTG SO 285/2025/21014</t>
  </si>
  <si>
    <t>CT DEN:285T257076M5W9RQ CTY WISVA - BW thanh toan phi thue nha xuong quy 3 thang 7,8,9/2025</t>
  </si>
  <si>
    <t>CT DEN:285T257076M6GPNW CTY WISVA - BW thanh toan phi thue nha xuong quy 3 thang 7,8,9/2025</t>
  </si>
  <si>
    <t>TTHD Tien dien Ma KH-PK02000204856 Ma HD-Ky 101542677157TD-T06.2025/0</t>
  </si>
  <si>
    <t>TTHD Tien dien Ma KH-PK02000204856 Ma HD-Ky 101542677158VC-T06.2025/1</t>
  </si>
  <si>
    <t>TTHD Tien dien Ma KH-PK02000204863 Ma HD-Ky 101542677182TD-T06.2025/0</t>
  </si>
  <si>
    <t>TTHD Tien dien Ma KH-PK02000204862 Ma HD-Ky 101542677219TD-T06.2025/0</t>
  </si>
  <si>
    <t>TTHD Tien dien Ma KH-PK02000210166 Ma HD-Ky 301542199462TD-T06.2025/0</t>
  </si>
  <si>
    <t>CTY DEYISHI THANH TOAN CTY VINA PARTNERS NOP THAY TIEN DIEN THANG 6/2025</t>
  </si>
  <si>
    <t>So GD goc: 10000588 THANH TOAN PHI QUAN LY TIEN ICH HD 51  DIAN FEI SHUI FEI FEI SHUI CHU LI</t>
  </si>
  <si>
    <t>So GD goc: 10006358 PAYING SECURITY DEPOSIT</t>
  </si>
  <si>
    <t>So GD: 640A2570LU043MCG MP3_PHUC HUNG KIM_License fee - PRINPROS - INV.84</t>
  </si>
  <si>
    <t>TTHD Tien dien Ma KH-PK02000210165 Ma HD-Ky 101547431192TD-T07.2025/0</t>
  </si>
  <si>
    <t>TTHD Tien dien Ma KH-PK02000210166 Ma HD-Ky 101547431203TD-T07.2025/0</t>
  </si>
  <si>
    <t>So GD: 902A2570LU042ZU5 BDG_HOANG HAI SON_Licensing fee for YONGSHI_Inv no.50</t>
  </si>
  <si>
    <t>So GD: 902A2570LU045MGA BDG_KCN.DG_Water + Wastewater fee in 06/2025_Inv no.00000319  00000342</t>
  </si>
  <si>
    <t>BLB AMATA Water Wastewater fee in 06 2025</t>
  </si>
  <si>
    <t>So GD goc: 10001429 30RE202507030926 - PAY TO CONG TY TNHH PHAT TRIEN CONGPAYMENT FOR GOODS/SERVICES</t>
  </si>
  <si>
    <t>BLB_AMATA_ Land lease fee in 2025</t>
  </si>
  <si>
    <t>100% - LAND LEASE</t>
  </si>
  <si>
    <t>So GD goc: 10003567 TT VNMN2D40Y N /INV/FACTORY RENTAL QUARTER 2INVOICE 156</t>
  </si>
  <si>
    <t>So GD goc: 10004299 TT VNMN2D414 N /INV/WATER CONSUMPTION FEEIN MARCH INV 238</t>
  </si>
  <si>
    <t>So GD goc: 10000335 DN-L2507-06                        LE CHUYEN TIEN PHI QUAN LY HD270</t>
  </si>
  <si>
    <t>So GD goc: 10007045 CTY KHUON MAU SANG TAO THANH TOAN  HD 00000273  CHO CONG TY TNHH PHAT TRIEN CONG NGHIEP LONG BINH</t>
  </si>
  <si>
    <t>STV Craft VN thanh toan tien thue xuong 26A-duong 3B thang 06/25 theo HD 248</t>
  </si>
  <si>
    <t>So GD goc: 10000180 HANGCHA TT CP THUE NX Q2+3/25</t>
  </si>
  <si>
    <t>So GD goc: 670A2570F9FSXJCR MASPRO VN TT PHI QUAN LY T05 VA 06.2025 HD230 261 CHO CTY TNHH PHAT TRIEN CONG NGHIEP LONG BINH</t>
  </si>
  <si>
    <t>So GD goc: 10002288 /Ref:P19102440N4100022{//} Long Binh_inv 244_7000304590 DVC:HUNTSMAN VIETNAM COMPANY LIMITED NO. 225/3, STREET NO. 13, LONG BINH INDUSTRIAL PARK (AMATA) LONG BINH WARD, DONG NAI BIEN HOA CITY VN</t>
  </si>
  <si>
    <t>Tra lai TK tien gui 212000281605</t>
  </si>
  <si>
    <t>THANH TOAN TIEN 50PT THUE XUONG QUY 2.2025 THEO HOA DON 149</t>
  </si>
  <si>
    <t>So GD goc: 10001557 CT TNHH SPITFIRE CONTROLS (VIET NAM) TT HD 268</t>
  </si>
  <si>
    <t>So GD: 902A2570GQ07Q356 BLB_H&amp;V_Refund the booking fee to PIAO YINGHUA</t>
  </si>
  <si>
    <t>So GD: 902A2570H0EHQBE2 BLB_BD_ Payment for Annex 01 of contract LBVD24004.</t>
  </si>
  <si>
    <t>So GD: 902A2570H0EHQRKA BLB-KZN_Defect rectification and anti-leaking defect.BWBB1.VD.25017</t>
  </si>
  <si>
    <t>So GD: 902A2570H0EHR44X BLB_AMATA_ Electricity fee in 06/2025.</t>
  </si>
  <si>
    <t>So GD: 902A2570H0EHRECN BLB_VT_ Repair leaking domestic water pipe in BF 31  48A.</t>
  </si>
  <si>
    <t>So GD: 640A2570LU043ED1 BB6_PHK_License fee for tenants WINNERS POWDER</t>
  </si>
  <si>
    <t>So GD: 902A2570H0EHS581 BLB_HM_ Repairing folding gate for RBF 61.</t>
  </si>
  <si>
    <t>So GD: 902A2570H0EHSGRJ BLB_MYDUNG_Notary and Translation Fee - DEFOND</t>
  </si>
  <si>
    <t>So GD: 902A2570H0EHSV1M BLB_LINH_Claim back meeting lunch for R TECHNO</t>
  </si>
  <si>
    <t>CT DEN:519206408173 BOOKING FEE UNIT 52B</t>
  </si>
  <si>
    <t>Tra lai TK tien gui 217000464056</t>
  </si>
  <si>
    <t>So GD goc: 670A2570MWBSZ3ER MASPRO VN TT PHI THUE XUONG 40A T07 DEN T09.2025 HD293 CHO CONG NGHIEP LONG BINH</t>
  </si>
  <si>
    <t>CT DEN:519508295666 cty hv thanh toan hd 250 cho cty long binh</t>
  </si>
  <si>
    <t>CT DEN:519508295794 cong ty hv thanh toan hd 254 cho cty long binhf</t>
  </si>
  <si>
    <t>So GD goc: 670A2570P5PM1ANV SILK TT 275276</t>
  </si>
  <si>
    <t>So GD goc: 10005541 Payment for Amata warehouse rental in Q3.2025 Inv.302 date 08.07.2025_Long Binh 0544</t>
  </si>
  <si>
    <t>EHK104075HN75142 DEFOND ELECTRICAL INDUSTRIES LIMITE D RIAL CENTRE, 20 LEE CHUNG STREET, C HAI WAN HK,HONG KONG ID:390044 /BUSINESS/SERVICES PROFORMA INVOICE INV/BLB/001670</t>
  </si>
  <si>
    <t>So GD goc: 10005061 TT PHI SU DUNG DIEN T06 25 - HD 169 NGAY 28 06 2025</t>
  </si>
  <si>
    <t>TTHD Tien dien Ma KH-PB04040083638 Ma HD-Ky 250710TD-T06.2025/0</t>
  </si>
  <si>
    <t>TTHD Tien dien Ma KH-PB04040080465 Ma HD-Ky 250710TD-T06.2025/0</t>
  </si>
  <si>
    <t>TTHD Tien dien Ma KH-PB04040083636 Ma HD-Ky 250710TD-T06.2025/0</t>
  </si>
  <si>
    <t>TTHD Tien dien Ma KH-PB04040083640 Ma HD-Ky 250710TD-T06.2025/0</t>
  </si>
  <si>
    <t>TTHD Tien dien Ma KH-PB04040083639 Ma HD-Ky 250710TD-T06.2025/0</t>
  </si>
  <si>
    <t>TTHD Tien dien Ma KH-PB04040084885 Ma HD-Ky 250710TD-T06.2025/0</t>
  </si>
  <si>
    <t>TTHD Tien dien Ma KH-PB04040084886 Ma HD-Ky 250710TD-T06.2025/0</t>
  </si>
  <si>
    <t>So GD: 640A2570LU043VW4 BWD_PHUC HUNG KIM_License fee for tenant CILOMI_Inv no.73</t>
  </si>
  <si>
    <t>GUI HDTG SO 640/2025/22339</t>
  </si>
  <si>
    <t>So GD goc: 10000573 PAYING FITOUT DEPOSIT</t>
  </si>
  <si>
    <t>GUI TIEN THEO HOP DONG TIEN GUI CO KY HAN SO 285.2025.21020 NGAY 01.07.2025</t>
  </si>
  <si>
    <t>So GD goc: 10000248 THANH TOAN TIEN THUE NHA XUONGQUY 3/2025, INV: 193</t>
  </si>
  <si>
    <t>GUI HDTG SO: 285/2025/20981, ST: 100.000.000 VND, KY HAN: 6M</t>
  </si>
  <si>
    <t>Lembak VN pays for factory rent in July 2025 inv 172</t>
  </si>
  <si>
    <t>SWS  20250701/20250930</t>
  </si>
  <si>
    <t>So GD goc: 10004256 TT TIEN THUE XUONG QUY III NAM 2025 THEO SO HD190 NGAY 07/07/2025</t>
  </si>
  <si>
    <t>So GD goc: 652A2570FB3WPNP5 CTY CENTURY CREATION VIET NAM TT PHI THUE NHA XUONG THANG 7.8.9 NAM 2025. HD181</t>
  </si>
  <si>
    <t>So GD goc: FT25191194153069 CTY JUNENG TT QUY 3 2025/</t>
  </si>
  <si>
    <t>So GD goc: 651A2570GVKZGA2Q TT phi thue xuong T7 HD178Pay for rental factory in Jul 2025</t>
  </si>
  <si>
    <t>So GD goc: 10006649 CT 74201001 NHTMCP Cong thuong VN-CN Binh Duong Cty TNHH CN Chervon VN - TT tien thue nha xuong  quy III.2025</t>
  </si>
  <si>
    <t>MP3_THUAN TRAN_Meeting expenses - INV.10020</t>
  </si>
  <si>
    <t>GUI TIEN TIET KIEM CKH VAO HDTG SO 285/2025/21013</t>
  </si>
  <si>
    <t>So GD: 640A2570LU044AJ7 MP3_KZN_Defect rectification - BWTH.VD.25008 - INV.52</t>
  </si>
  <si>
    <t>So GD: 640A2570LU0456WT MP3_TPE_Advance payment for relocating the solar connection point for C5D - Viet My</t>
  </si>
  <si>
    <t>So GD: 640A2570LU0464MY MP3_HHP_Repairing rolling door for C1B6C - INV.25</t>
  </si>
  <si>
    <t>So GD goc: 3185783532Y25 VIETINBANK HOHN CTY TNHH ANANDA VIE T NAM TT TIEN THUE XUONG THANG 678 NAM 2025 HD 180 07072025</t>
  </si>
  <si>
    <t>CT DEN:640T2570P77HA6LV CONG TY TNHH CONG NGHE CHINH XAC WONDERACE (VIET NAM) chuyen tien CT TNHH PT CONG NGHIEP BW MY PHUOC 3 TK: 111002915309/TT TIEN THUE XUONG</t>
  </si>
  <si>
    <t>CT DEN:640T2570P789CNN4 CONG TY TNHH CONG NGHE CHINH XAC WONDERACE (VIET NAM) chuyen tien CT TNHH PT CONG NGHIEP BW MY PHUOC 3 TK: 111002915309 tai Ngan hang TMCP Cong Thuong Viet Nam VietinBan/TT TIEN THUE XUONG</t>
  </si>
  <si>
    <t>GUI TIEN THEO HOP DONG TIEN GUI CO KY HAN SO 285.2025.21016 NGAY 01.07.2025</t>
  </si>
  <si>
    <t>TTHD Tien dien Ma KH-PM17000092634 Ma HD-Ky 1628966488-T06.2025/17$1</t>
  </si>
  <si>
    <t>So GD goc: 10007812 20250701-20250930 Rent</t>
  </si>
  <si>
    <t>So GD: 285A2570416CHFNL BHD_Skylink_Payment for Value Temp Fix &amp; Reinstalment works after Yagi Typhoon Inv 369, 370</t>
  </si>
  <si>
    <t>100% - NL</t>
  </si>
  <si>
    <t>THANH TOAN TIEN  NUOC THANG 6</t>
  </si>
  <si>
    <t>GUI TIET KIEM KH 6 THANG TRA LAI SAU LAI CHUYEN SANG TKTT THEO HDTG SO 285 2025 21015</t>
  </si>
  <si>
    <t>So GD: 285A257059D66WG4 BHD_EES_Payment WWTP Operation fee in May 25 Inv 00000134</t>
  </si>
  <si>
    <t>So GD: 285A25706408JF8C BHD_IMPC_Payment for Defect Rectification and Renovation Quarter 4/2024 Inv 00000169; thoi gian GD:04/07/2025 00:15:30</t>
  </si>
  <si>
    <t>BW - Tranit Vina TT tien thue nha xuong Q3.2025</t>
  </si>
  <si>
    <t>So GD goc: 10000274 June water bill</t>
  </si>
  <si>
    <t>So GD goc: 10000273 May water bill</t>
  </si>
  <si>
    <t>So GD goc: 10011313 CTY GRETEC TT TIEN THUE XUONG Q3 NAM 2025 VA TIEN NUOC T6 HD 185-BW</t>
  </si>
  <si>
    <t>CT DEN:285T2570CCUMFH0M CONG TY TNHH LINH KIEN HO YUAN (VIET NAM pay managerment fee BW from 190425 200625</t>
  </si>
  <si>
    <t>CT DEN:285T2570CCUQ3MP2 CONG TY TNHH LINH KIEN HO YUAN (VIET NAM chuyen tien rental factory 010725 to 010925 No 000899</t>
  </si>
  <si>
    <t>So GD goc: 10005763 CONG TY TNHH PVTECH LIGHTING (BW VIET NAM) THANH TOAN TIEN THUE NHA XUONG QUY III.2025</t>
  </si>
  <si>
    <t>So GD goc: 10000091 FULUHASHI THANH TOAN HD 169</t>
  </si>
  <si>
    <t>So GD goc: 10000127 FULUHASHI THANH TOAN  50 PHAN TRAM  TIEN THUE XUONG TU 01/7/2025-30/9/2025</t>
  </si>
  <si>
    <t>So GD goc: 10007244 BOCHENG PAY FOR BW so:IVN/BHD/000918 29/06/2025</t>
  </si>
  <si>
    <t>So GD goc: 10007064 CTY SUNLU THANH TOAN TIEN THUE XUONG THANG 7+8+9- CTY BW</t>
  </si>
  <si>
    <t>So GD goc: 10000020 THANH TOAN CHI PHI TIEN NUOC CHO BEN BW CUA THANG 06/2025</t>
  </si>
  <si>
    <t>So GD goc: 10008053 BOCHENG PAY FOR BW so:00000180 date:30/06/2025</t>
  </si>
  <si>
    <t>CT DEN:285T2570FDE70TWG SHDC THANH TOAN TIEN PHI QL CAP NUOC T6.2025-BW</t>
  </si>
  <si>
    <t>SHENG SHING VN HD THANH TOAN TIEN THUE XUONG T6 HD 00000188 .00000189 CHO BW</t>
  </si>
  <si>
    <t>FLYIN TT PHI XU LY NUOC THAI, HD: 170</t>
  </si>
  <si>
    <t>Payment rent from 07/2025 to 09/2025</t>
  </si>
  <si>
    <t>water 20/05/2025 to 20/06/2025</t>
  </si>
  <si>
    <t>THANH TOAN TIEN THUE XUONG FA TU THANG 7-9.2025</t>
  </si>
  <si>
    <t>FLYIN TT TIEN THUE NHA XUONG 01.07.2025-30.09.2025</t>
  </si>
  <si>
    <t>So GD goc: 10000301 JYSP VN PAYMENT RENTAL FEE OF FACTORY A1-1 AT CAM DIE-LUONG DIEN FROM 01/07/2025 TO 30/09/2025</t>
  </si>
  <si>
    <t>So GD goc: 10000296 JYSP VN PAYMENT INVOICE 162</t>
  </si>
  <si>
    <t>So GD goc: 460A2570H1YJFXH7 CONG TY TNHH AUDEN TECHNO VIET NAM THANH TOAN TIEN</t>
  </si>
  <si>
    <t>CT DEN:285T2570H2PGB1F7 CTY SUNLU THANH TOAN TIEN HD 179- CTY BW HAI DUONG</t>
  </si>
  <si>
    <t>So GD goc: 10000283 TT TIEN THUE NHA XUONG T 7,8/2025 THEO HD SO 000914</t>
  </si>
  <si>
    <t>So GD goc: 10000027 THANH TOAN CHI PHI  THUE NHA XUONG CHO BEN BW CUA THANG  07-09/2025</t>
  </si>
  <si>
    <t>SHENG SHING VN HD THANH TOAN TIEN NUOC NHA XUONG T6 HD 00000171 CHO BW</t>
  </si>
  <si>
    <t>GUI TIEN VAO HDTG SO 285/2025/21009</t>
  </si>
  <si>
    <t>GUI TIEN VAO HDTG SO 285/2025/21011</t>
  </si>
  <si>
    <t>So GD: 946A257059D271W3 STL_Ba Duong_Payment of Replacing FF equipment after 2nd maintenance_INVOICE 119</t>
  </si>
  <si>
    <t>So GD: 946A2570PHZN2FE0 STL_KZN_Payment of Water meter installation fee_INVOICE 70</t>
  </si>
  <si>
    <t>So GD: 946A2570PHZN31H6 STL_Nguyen Mau Hoang_Payment of meeting expense_INVOICE 00000040</t>
  </si>
  <si>
    <t>GUI TIET KIEM KH 6 THANG TRA LAI SAU LAI CHUYEN SANG TKTT THEO HDTG SO 285 2025 21022</t>
  </si>
  <si>
    <t>GUI TIEN VAO HDTG SO 285/2025/21008</t>
  </si>
  <si>
    <t>GUI TIET KIEM KH 6 THANG TRA LAI SAU LAI CHUYEN SANG TKTT THEO HDTG SO 285 2025 21017</t>
  </si>
  <si>
    <t>So GD goc: 10000090 BSG-TSP-PAYMENT FOR CONTRACT NOHDCN/BWSG/TPT1SOLAR/2025INV NO00000001/THANH TOAN CHO HOP DONGSO HDCN/BWSG/TPT1SOALR/2025HOA DON SO 0000001 DVH TAICN DONG SAI GON</t>
  </si>
  <si>
    <t>So GD: 285A2570PHZN47QQ WJ3_DAO VAN ANH_Payment of Submission fee ERC amendment</t>
  </si>
  <si>
    <t>So GD: 285A25706HVVWSE9 1st payment - Contract with Viet Nhat agency for team outing trip_Part 1</t>
  </si>
  <si>
    <t>HD2_MORTENG_Refund fit out deposit under PLC no BWHD2/PLC/24002</t>
  </si>
  <si>
    <t>So GD: 946A25704167QXZW DAL-Hung Thinh-Payment of Waste Water consumption in 05.25_INVOICE 935</t>
  </si>
  <si>
    <t>TTHD Tien dien Ma KH-PB04030118035 Ma HD-Ky 250710TD-T06.2025/0</t>
  </si>
  <si>
    <t>Thu phi duy tri dich vu IB 07/2025</t>
  </si>
  <si>
    <t>100% - THU PHI DUY TRI DICH VU</t>
  </si>
  <si>
    <t>So GD goc: 10004695 TT VNMN2DACA N /INV/INV/DAL/000055</t>
  </si>
  <si>
    <t>Tra lai TK tien gui 213000463460</t>
  </si>
  <si>
    <t>Tra goc TK tien gui 213000463460</t>
  </si>
  <si>
    <t>HDTG KH 1TH RGLH</t>
  </si>
  <si>
    <t>So GD goc: BNK5192801949933 TT CP DIEN NUOC XU LY NUOC THAI KHO DC T06/2025 VPBD HD00000007 30/06/2025/</t>
  </si>
  <si>
    <t>100% - DIEN NUOC</t>
  </si>
  <si>
    <t>DAL - ICIC- Payment for Design Service Contract PR.05 after issuance of TOC_INVOICE 00000185</t>
  </si>
  <si>
    <t>100% - DESIGN SERVICE</t>
  </si>
  <si>
    <t>So GD: 946A2570PHZMZP1A DAL_KZN_Payment for Defect rectification fee_ factory PG_INVOICE 61</t>
  </si>
  <si>
    <t>So GD: 946A2570PHZN0BUD DAL_ IMPC_Payment of FM SERVICE IN 06.25_INVOICE 295</t>
  </si>
  <si>
    <t>decoration deposit</t>
  </si>
  <si>
    <t>So GD: 285A257041693DLE VC3_VNPT_Payment for FM Service fee in MAY25 for Project NDV JV CN3-03_INVOICE 00083060</t>
  </si>
  <si>
    <t>So GD: 285A2570416A8ZUH VC3_IMPC_Payment for FM Service fee in APR,MAY25 for Project Logos BN1_INVOICE 00000202,00000260</t>
  </si>
  <si>
    <t>So GD: 946A25702QVQ4027 DAL_CW_1st payment for Valuation fee for Mid-year 2025_INVOICE 197</t>
  </si>
  <si>
    <t>So GD: 285A25706HVYLPKP 1st payment - Contract with Viet Nhat agency for team outing trip_Part 2</t>
  </si>
  <si>
    <t>Trich no tu dong the thanh toan cho TK the tin dung 257110000602810</t>
  </si>
  <si>
    <t>So GD: 285A2570PHXBLUF7 CBRE_1st payment_Valuation for Mid-year 2025</t>
  </si>
  <si>
    <t>So GD: 285A2570PHXBNZSA VC3_BIH_Payment for annual check-up Contract of Binh Duong Office in 2025.</t>
  </si>
  <si>
    <t>So GD: 285A2570PHXBPG35 VC3_ANHPHUOC_Stationery for HCM office in 06.2025</t>
  </si>
  <si>
    <t>So GD: 285A2570PHXBPSBZ VC3_LAVIE_Water for HCM &amp; BD office in 06.2025</t>
  </si>
  <si>
    <t>So GD: 285A2570PHXBQ531 Ta Thi Nhat Ha - Vouchers and Gift for Journalism Day 21.6.2025</t>
  </si>
  <si>
    <t>So GD: 285A2570PHXBQJ4D VC3_CHINHNHAN_Payment for purchase 3 external monitor</t>
  </si>
  <si>
    <t>So GD: 285A2570PHXBQZ56 VC3_ Dang Thi Kim Thu_Administrative expenses for COO &amp; meeting expenses</t>
  </si>
  <si>
    <t>So GD: 285A2570PHXBRCJ0 VC3_TRANGNGUYEN_PHYSICAL EXERCISES PICKLEBALL_JUN 2025</t>
  </si>
  <si>
    <t>So GD: 285A2570PHXBSVJJ VC3_ VANI_Claim Meeting</t>
  </si>
  <si>
    <t>So GD: 285A2570PHXBT8Z6 VC3_KK_Claim for project team dinner</t>
  </si>
  <si>
    <t>So GD: 285A2570PHXBZT9M VC3_Hanoi office - Yoga Class_June 25</t>
  </si>
  <si>
    <t>So GD: 285A2570PHXC0SGM VC3_NGHINGUYEN_Payment for purchase IT Equipements</t>
  </si>
  <si>
    <t>So GD: 285A2570PHXC1EES VC3_NEW POST_Courier fee of Binh Duong Office in 06.2025</t>
  </si>
  <si>
    <t>So GD: 285A2570PHXC21A3 VC3_DHL_Oversea Courie Fee Invoice No: 97226 and 93098</t>
  </si>
  <si>
    <t>So GD: 285A2570PHXC2CAT VC3_TRAN NGUYEN_ Having lunch with partner</t>
  </si>
  <si>
    <t>So GD: 285A2570PHXC2QVF VC3 - Tony - Meals with tenants 20-22Jun25</t>
  </si>
  <si>
    <t>So GD: 285A2570PHXC3812 VC3_TAT HAI NGAN_Lunch with new joiners_20250624</t>
  </si>
  <si>
    <t>So GD: 285A2570PHXC3WZE VC3_DUYEN_Meeting with client</t>
  </si>
  <si>
    <t>So GD: 285A2570PHXC5SD5 VC3_LITING_Claim reimbursement for dinner with partner from 24.05 to 30.06.2025</t>
  </si>
  <si>
    <t>So GD: 285A2570PHXC6CPH VC3_QUYNHANH_Meeting with client expense</t>
  </si>
  <si>
    <t>So GD: 285A2570PHXC6PTQ VC3_LI TING_Reimbursement Per-diem for Business Trip_June 2025</t>
  </si>
  <si>
    <t>So GD: 285A2570PHXC71NR VC3_BCM IDC_Electricity Fee of Binh Duong Office in 06.2025 Inv No: 7816</t>
  </si>
  <si>
    <t>So GD: 285A2570PHXC7CEP VC3_VOTHIHONGTHU_Meeting with client</t>
  </si>
  <si>
    <t>So GD: 285A2570PHXC7PA4 VC3 - Tony - Dinner with client 28Jun25</t>
  </si>
  <si>
    <t>So GD: 946A25702QVU5CY9 STL_CW_1st payment for Valuation fee for Mid-year 2025_INVOICE 196</t>
  </si>
  <si>
    <t>So GD: 285A2570LU046AE7 TPT_CBRE_1st payment_Valuation for Mid-year 2025</t>
  </si>
  <si>
    <t>So GD: 285A2570PHXC8USG VC3_Thao Tran_Claim for meeting</t>
  </si>
  <si>
    <t>So GD: 285A2570PHXC9EJH VC3 GENE KING Reimbursement for per diem</t>
  </si>
  <si>
    <t>So GD: 285A2570PHZN39P9 VC3_TU_Team meal with Fion</t>
  </si>
  <si>
    <t>VC3_SIEUTHANH_Photocopy and Click charge fee for HCM &amp; BD office in 06/2025</t>
  </si>
  <si>
    <t>VC3_Nguyen Dang Quang Ngoc_Meeting with fitout vendor</t>
  </si>
  <si>
    <t>So GD: 902A2570H0EHRU90 CBRE_1st payment_Valuation for Mid-year 2025</t>
  </si>
  <si>
    <t>CT DEN:518207322662 Thanh toan cho cong ty BCI chi phi thue kho</t>
  </si>
  <si>
    <t>Thanh toan tien nuoc va phi xu ly nuoc thai thang 06.2025 theo hoa don so 62 ngay 30.06.2025</t>
  </si>
  <si>
    <t>So GD: 285A2570A1F02EHW BNA_VSIP NA_Payment for Water consumption and wastewater treatment fee in Jun 2025 Inv 706, 707</t>
  </si>
  <si>
    <t>So GD: 285A2570A1F1TMG0 BNA_HP Testing_Payment Annual testing for lightning system 2025 Inv 00000220</t>
  </si>
  <si>
    <t>So GD: 285A2570A1F35T03 BNA_EVN Hung Nguyen_Payment for Transformer Management &amp; Operation Service fee from 01 Jan to 30 Jun 2025 Inv 518</t>
  </si>
  <si>
    <t>So GD: 285A2570A1F4NNSS BNA_HOANGGIAP_Payment for copy machine monthly leasing fee from May 20/2025 to June 20/2025 Inv 00000038</t>
  </si>
  <si>
    <t>REF222A2570GQ7R5LGM B/O 1329397986 CTCP DV KHKT VA SX GOM SU KIM TRUC DONG NAI F/O 001090331001 CONG TY TNHH THAM DINH GIA VAS NHH79617001 KTR_CBRE_1st payment - Valuation for Mid-year 2025 - INV.00000566</t>
  </si>
  <si>
    <t>CONG TY TNHH CONG NGHE FUAN CT THUE XUONG QUY 3</t>
  </si>
  <si>
    <t>CT DEN:519009445226 Thanh toan cho cong ty BCI chi phi tien nuoc thang 6.2025</t>
  </si>
  <si>
    <t>So GD: 285A2570GQ085GAE BNA_Fushun_Refund booking fee</t>
  </si>
  <si>
    <t>So GD: 902A2570LU046XS4 NT2_CBRE_1st payment_Valuation for Mid-year 2025_Inv no.00000565</t>
  </si>
  <si>
    <t>CT DEN:519213647404 Third quarter factory rent and June water bill</t>
  </si>
  <si>
    <t>Thanh toan tien thue nha xuong quy 3 nam 2025</t>
  </si>
  <si>
    <t>TTHD Tien dien Ma KH-PA13NH0039621 Ma HD-Ky 1632915406-T07.2025/NH$1</t>
  </si>
  <si>
    <t>So GD goc: 510A2570N1CN09PC Cong ty TNHH Topgoal SMT Viet Nam thanh toan tien nuoc thang 5</t>
  </si>
  <si>
    <t>So GD goc: 510A2570N1DTXKMQ Cong ty TNHH Topgoal SMT Viet Nam thanh toan tien nuoc thang 6</t>
  </si>
  <si>
    <t>Payment for Rent of Q3 2025</t>
  </si>
  <si>
    <t>So GD: 285A25702R1ZKWCB BBN_CBRE_1st payment for Valuation fee for Mid-year 2025_INVOICE 00000560</t>
  </si>
  <si>
    <t>So GD: 285A2570LTV9LEKL WL2A_GIA HUY_Notarize project certs - Teltonika - INV.00000035</t>
  </si>
  <si>
    <t>So GD: 285A2570LTVHU214 WL2A_KCN VL_ Water fee in 06/2025 - INV.00000675</t>
  </si>
  <si>
    <t>So GD: 285A2570LTVMK7AF WL2A_DIEN VL_ Electricity fee in 06/2025_Term 3</t>
  </si>
  <si>
    <t>2025071100052736 GA HEALTH COMPANY LIMITED 5 15/F BLOCK 2, GRAND CENTRAL PLAZA , 138 SHATIN RURAL COMMITTEE ROAD, SHATIN NT,HONG KONG ID:1755120 INVOICE INV/WL1/000002</t>
  </si>
  <si>
    <t>100% - CENTRAL</t>
  </si>
  <si>
    <t>So GD: 285A25702GM15NQV DCQN HOLDCO TRANSFER SHL TO DTP/ DCQN HOLDCO CHUYEN TIEN SHL DEN DTP</t>
  </si>
  <si>
    <t>REF222A2570MVS003CB B/O 2220151668 CTY TNHH PT CONG NGHIEP HAU CAN BW DINH F/O 233188288 CTY TNHH CONG NGHE SO E-SIGN NHH79307001 DVL_Payment for buying E token Inv 726</t>
  </si>
  <si>
    <t>So GD: 285A2570PHXC5AHU MHN_Payment for buying E-token Inv 728</t>
  </si>
  <si>
    <t>BYP_DIENBN_Payment for Power consumption fee in from 21/06/2025 to 30/06/2025</t>
  </si>
  <si>
    <t>BYP_DIENBN_Payment Power consumption Jun 2025 Inv 31013 and 01/07/2025-10/07/2025 Inv 31072</t>
  </si>
  <si>
    <t>BYP_VSIP BN_Payment for Water consumption Jun 2025 Inv 2457</t>
  </si>
  <si>
    <t>GUI TIET KIEM KH 6 THANG TRA LAI SAU LAI CHUYEN SANG TKTT THEO HDTG SO 285 2025 21012</t>
  </si>
  <si>
    <t>YANG  CHAO Chuyen tien thue nha</t>
  </si>
  <si>
    <t>So GD: 640A2570416BEZFL BB6_PHUC HUNG KIM_Licensing fee - OMEGA - INV.60</t>
  </si>
  <si>
    <t>So GD: 640A257059D35NBZ BB6 BECAMEX Electricity fee in 06 2025 Term 3 KVA registration in 06 2025</t>
  </si>
  <si>
    <t>So GD goc: 10000042 CONTRACT BWBB6/PLC/25003 OTAVN MST:3703287104 RENTALS FROM JULY TO SEPTEMBER</t>
  </si>
  <si>
    <t>So GD goc: 10000275 CONG TY TNHH JIUXIN VIET NAM-TT THUE XUONG QUI III (T7-&gt;T9-2025) HD:40</t>
  </si>
  <si>
    <t>So GD goc: 10001641 DECORATION DEPOSIT</t>
  </si>
  <si>
    <t>So GD goc: 650A2570GMVUNHVM CTY FU MEI SEN TT TIEN CONG TY TNHH PHAT TRIEN CONG NGHIEP BW BAU BANG - BB06 PHI THUE XUONGC8.04 VA C8.05 T7.2025 HD 46</t>
  </si>
  <si>
    <t>BB06_Nguyen Dang Quang Ngoc_Fee for notarized translation</t>
  </si>
  <si>
    <t>So GD: 640A2570LU0400LM BB6_Broker fee with Mr In Chanh Phi Fu Mei Sen</t>
  </si>
  <si>
    <t>So GD: 640A2570LU04206B BB6_BECAMEX_EMF fee in 07/2025.</t>
  </si>
  <si>
    <t>So GD: 640A2570LU04270W BB6_PHK - Licensing fee for tenant Bremick and Leggett and Platt</t>
  </si>
  <si>
    <t>So GD: 640A2570LU042JMT BB6 Phuchungkim_License fee for tenants</t>
  </si>
  <si>
    <t>So GD: 640A2570LU042U24 BB6_KN_ Payment for Annex 01 of contract BWBB6.XD.25001</t>
  </si>
  <si>
    <t>So GD: 640A2570LU0438MF BB6_TXM_ Advance_Construction and installation of automatic folding gates aluminum alloy_ BWBB6VD25024.</t>
  </si>
  <si>
    <t>100% - CONSTRUCTION</t>
  </si>
  <si>
    <t>So GD: 285A2570A1F6P92F BNA_E Sign_Payment for Buying E-token Inv 727</t>
  </si>
  <si>
    <t>So GD: 640A2570LU045EJC BB6_BD_Fire extinguisher maintenance for tenant Kuka</t>
  </si>
  <si>
    <t>So GD: 640A2570LU047TQ7 BB6 GIA HUY_Pay notarized fee for docs of tenant STAR NATION</t>
  </si>
  <si>
    <t>So GD: 640A2570LU047Z37 BB6 GIA HUY_Pay notarized fee for docs of tenant KUEITENG</t>
  </si>
  <si>
    <t>So GD: 640A2570LU0486RV BB6_ GIA HUY_Pay notarized fee for docs of tenant MILESUNIN</t>
  </si>
  <si>
    <t>So GD goc: 10000128 CTY TNHH GO DASEN TT PHI DV XUONGTHANG7.2025 THEO HD SO 39 NGAY07.07.2025</t>
  </si>
  <si>
    <t>REF222A257055V5SZW3 B/O 2220830888 CTY TNHH PT CONG NGHIEP BW PHU NGHIA F/O 19135208333015 CT CP DV KT VA THI NGHIEM DIEN HP NHH01310001 BWP_DIEN HP_Payment of Annual testing for lightning system 2025_INVOICE 00000226</t>
  </si>
  <si>
    <t>REF222A2570F1RPDKXF B/O 2221133456 CTY TNHH MTV PT CONG NGHIEP BW HAI DUONG F/O 19033281663018 DAO BICH PHUONG NHH01310001 HD3- DAO BICH PHUONG - Payment of meeting expense - Invoice 00003313</t>
  </si>
  <si>
    <t>So GD: 285A257059D4RSEE BHD_Payment Meeting expense Inv 00003231</t>
  </si>
  <si>
    <t>So GD: 285A2570PHXC7ZK4 VC3 THAO NGUYEN Reimbursement for per diem</t>
  </si>
  <si>
    <t>So GD: 285A2570PHXC8JGL VC3_ NHIMACH_Reimbursement per diem for business trip_2 days</t>
  </si>
  <si>
    <t>Cong ty NLM Autel thanh toan phi quan ly dien T05/2025 HD 122</t>
  </si>
  <si>
    <t>EK TT hoa don so 00000142</t>
  </si>
  <si>
    <t>Cong ty NLM Autel thanh toan tien nuoc va phi xu ly nuoc thai tu 21/04/2025-20/05/2025 HD121</t>
  </si>
  <si>
    <t>So GD goc: 10000147 THANH TOAN PHI NUOC,PHI QUAN LY DIE N CO DINH T6.25</t>
  </si>
  <si>
    <t>Cong ty Full-Sharp thanh toan HD 136,137</t>
  </si>
  <si>
    <t>Cong ty Full-Sharp thanh toan phi thue nha xuong quy 3.2025</t>
  </si>
  <si>
    <t>CONG TY TNHH AUTEL ROBOTICS VIET NAM TT PHI DICH VU CUNG CAP NUOC NHA XUONG 20/05-21/06/2025 , PHI QUAN LY DIEN CO DINH  T6</t>
  </si>
  <si>
    <t>So GD goc: 10000781 Thanh toan BW tien dien T6 va tien nuoc tu ngay 20-5 den ngay 20-6-2025 - VNFY132025070009</t>
  </si>
  <si>
    <t>So GD goc: 10000612 CT CP SAO HOA TOAN QUOC INTERNAL TRANSFER FROM VCB TO VTB BD</t>
  </si>
  <si>
    <t>So GD: 900A257059EF0TRT BTD_NEWTECONS  IPC.09  PR.10</t>
  </si>
  <si>
    <t>100% - NEWTECONS</t>
  </si>
  <si>
    <t>PHI QUAN LY TAI KHOAN 132xxx986 T07 2025</t>
  </si>
  <si>
    <t>100% - PHI QUAN LY TAI KHOAN</t>
  </si>
  <si>
    <t>BTD - ICIC - CS Contract - PR.10 - INV.00000153</t>
  </si>
  <si>
    <t>100% - ICIC</t>
  </si>
  <si>
    <t>So GD: 900A2570LU2CGTGP BTD_CBRE_1st payment_Valuation for Mid year 2025</t>
  </si>
  <si>
    <t>PHI QUAN LY TAI KHOAN 150xxx050 T07 2025</t>
  </si>
  <si>
    <t>PHI QUAN LY TAI KHOAN 222xxx688 T07 2025</t>
  </si>
  <si>
    <t>TTHD Tien dien Ma KH-PB06030112110 Ma HD-Ky 301545300298TD-T06.2025/0</t>
  </si>
  <si>
    <t>TTHD Tien dien Ma KH-PB06030112113 Ma HD-Ky 301545300337TD-T06.2025/0</t>
  </si>
  <si>
    <t>So GD goc: 10000936 Payment138836</t>
  </si>
  <si>
    <t>So GD goc: 10000229 THANH TOAN TIEN NHA, TIEN THUE GTGT (01/07/2025 - 30/09/2025) CUA DIACHI THUE NHA KHO SO WH1.1 KHU CONG NGHIEP XUYEN A, X. MY HANH BAC, H. ChargeDetails OUR</t>
  </si>
  <si>
    <t>So GD: 285A2570LTVAXYA8 XA1_VEV_Design contract - Convert from RBW to RBF - XENIA1.XD.24001 - INV.59</t>
  </si>
  <si>
    <t>100% - VEV</t>
  </si>
  <si>
    <t>So GD: 285A2570LTVCLGR8 XA1_VEV_Permitting contract - Convert from RBW to RBF - XENIA1.XD.24002 - INV.60</t>
  </si>
  <si>
    <t>So GD: 285A2570LTVDXQBH XA1_CBRE_1st payment_Valuation for Mid year 2025 - 00000543</t>
  </si>
  <si>
    <t>So GD: 285A2570LTVJVL5K XA1_KZN_Minor repair - INV.36</t>
  </si>
  <si>
    <t>So GD: 285A2570LTVKAYK9 XA1_KCN XA_ Water fee in 06.2025 - INV.00001089</t>
  </si>
  <si>
    <t>So GD: 285A2570LTVKSBEU XA1_NGOC PHONG_ EMF fee in 06.2025_INV.00001119</t>
  </si>
  <si>
    <t>So GD: 285A2570LTVNGRXG XA1_NGOC PHONG_ Wastewater fee in 06.2025 - INV.00001120</t>
  </si>
  <si>
    <t>TTHD Tien dien Ma KH-PB06030112113 Ma HD-Ky 101547430501TD-T07.2025/0</t>
  </si>
  <si>
    <t>So GD goc: 10001747 TT VNMN2E7WZ N XENIA 1_TTHD 00000057_CP TIEN DIENNUOC TU NGAY 20.05.2025 - 20.06.2025_BHX_LAN_DHO - KHO DC XUYEN A</t>
  </si>
  <si>
    <t>VFX - 3015626570 - 64098.5JJI0018.V01.VND # MUA 14,122.50 USD TG 26.320</t>
  </si>
  <si>
    <t>640O25702AWB4C0Y 129383386838 WEALTHY TECH INTERNATIONAL CO.,LTD ADD. RM 06,13A/F SOUTH TOWER, WORLD FINANCE CTR HARBOUR CITY, 17 CANTON RD TST, HK REFUND BOOKING FEE LOT A-17A-4-B,C ACCORDING TO IPA NO. BWBB/IPA/25002 DD 01MAR 2025</t>
  </si>
  <si>
    <t>So GD: 640A2570416HZE02 BWD_EVNBD_CTCP PTCN BW MKH: PB04090038533 thanh toan tien dien ki 6/2025</t>
  </si>
  <si>
    <t>GUI HDTG SO 640/2025/22031</t>
  </si>
  <si>
    <t>GUI HDTG SO 640/2025/22034</t>
  </si>
  <si>
    <t>TTHD Tien dien Ma KH-PB04090019926 Ma HD-Ky 250710TD-T06.2025/0</t>
  </si>
  <si>
    <t>TTHD Tien dien Ma KH-PB04090028199 Ma HD-Ky 250710TD-T06.2025/0</t>
  </si>
  <si>
    <t>TTHD Tien dien Ma KH-PB04090028600 Ma HD-Ky 250710TD-T06.2025/0</t>
  </si>
  <si>
    <t>TTHD Tien dien Ma KH-PB04090028958 Ma HD-Ky 250710TD-T06.2025/0</t>
  </si>
  <si>
    <t>TTHD Tien dien Ma KH-PB04090030927 Ma HD-Ky 250710TD-T06.2025/0</t>
  </si>
  <si>
    <t>TTHD Tien dien Ma KH-PB04090030004 Ma HD-Ky 250710TD-T06.2025/0</t>
  </si>
  <si>
    <t>TTHD Tien dien Ma KH-PB04090030985 Ma HD-Ky 250710TD-T06.2025/0</t>
  </si>
  <si>
    <t>TTHD Tien dien Ma KH-PB04090030057 Ma HD-Ky 250710TD-T06.2025/0</t>
  </si>
  <si>
    <t>TTHD Tien dien Ma KH-PB04090030065 Ma HD-Ky 250710TD-T06.2025/0</t>
  </si>
  <si>
    <t>TTHD Tien dien Ma KH-PB04090037187 Ma HD-Ky 250710TD-T06.2025/0</t>
  </si>
  <si>
    <t>TTHD Tien dien Ma KH-PB04090039544 Ma HD-Ky 250710TD-T06.2025/0</t>
  </si>
  <si>
    <t>TTHD Tien dien Ma KH-PB04090028957 Ma HD-Ky 250710TD-T06.2025/0</t>
  </si>
  <si>
    <t>TTHD Tien dien Ma KH-PB04090039504 Ma HD-Ky 250710TD-T06.2025/0</t>
  </si>
  <si>
    <t>So GD goc: 652A2570ADXV12BY CONG TY TNHH PENG BO THANH TOAN TIEN THUE XUONG QUY III KH C00000049</t>
  </si>
  <si>
    <t>So GD goc: 10007348 Cty Condor TT Cty BW Factory Rent, Jul - Sep inv 255 Pay Factory Rent, Jul - Sep</t>
  </si>
  <si>
    <t>PHI QUAN LY TAI KHOAN 222xxx668 T07 2025</t>
  </si>
  <si>
    <t>So GD goc: 10000190 Rent</t>
  </si>
  <si>
    <t>So GD goc: 10000199 Factory rent 202507-202509</t>
  </si>
  <si>
    <t>So GD goc: 147A2570DPKLBM4V Qunyao pay security deposit for 18-1-C</t>
  </si>
  <si>
    <t>TT TIEN DIEN T6.2025 HD 273</t>
  </si>
  <si>
    <t>TT PHI NHA XUONG T6.2025 HD 198</t>
  </si>
  <si>
    <t>So GD goc: 10011872 SYNTHITE tt cho BW - HD 00000269</t>
  </si>
  <si>
    <t>CT DEN:640T2570F07X1CWB CONG TY TNHH XINRONGHUI VIET NAM TT CP thue nha xuong T7.2025(inv:1C25TBA-221)</t>
  </si>
  <si>
    <t>CT DEN:640T2570FBG0EDTM CTY TNHH THAI INTERTAPE VN TT PHI THUE XUONG T7, T8, T9 2025 HD1</t>
  </si>
  <si>
    <t>Tra lai TK tien gui 218000463318</t>
  </si>
  <si>
    <t>So GD goc: 10000297 TT VNMN2DN4T N FACTORY RENTAL FROM JUL TO SEPINV00000266</t>
  </si>
  <si>
    <t>So GD goc: 10006460 IBBIZ6041214930.IBPS.CONG TY TNHH MAN HINH ELITE VIET NAM THANH TOAN CHO CONG TY BW TIEN THUE XUONG THANG 7,8,9 THEO HOA DON SO 1C25TBA00000271</t>
  </si>
  <si>
    <t>CTY TNHH DUNG CU THE THAO SKYMAX THANH TOAN THEO TBTT SO INV BWD001112 05072025</t>
  </si>
  <si>
    <t>CT DEN:519211481675 TT PHI THUE XUONG Q3.2025 HD250 L3</t>
  </si>
  <si>
    <t>CT DEN:519211481684 TT PHI THUE XUONG Q3.2025 HD250 L2</t>
  </si>
  <si>
    <t>CT DEN:519211481697 TT PHI THUE XUONG Q3.2025 HD250 L1</t>
  </si>
  <si>
    <t>CT DEN:640T2570GXKY5T18 CTY TNHH CILOMI MFG FURNITURE VIET NAM chuyen tien CONG TY CO PHAN PHAT TRIEN CONG NGHIEP BW TK: 117002673879 /TT TIEN COC THUE XUONG CHO CT BW THEO HD SO BWBB/PLC/25014 NGAY 10.6.2025</t>
  </si>
  <si>
    <t>So GD goc: 10000259 IBBIZ6041293284.IBPS.LIXI TT HD 191</t>
  </si>
  <si>
    <t>CT DEN:519310028347 CTY DIBAO TT LAI CHAM THANH TOAN TIEN THUE NHA XUONG T6 2025 ESTIMATING INTEREST FOR LATE FACTORY RENTAL PAYMENT IN JUNE 2025 028347</t>
  </si>
  <si>
    <t>So GD: 640A2570LU2CE6Z1 BB_TRANG NGAN_Consulting service fee_Okin unit 18-3-A&amp;B</t>
  </si>
  <si>
    <t>So GD: 640A2570LU2CH0PC BWD_Vo Thi Thu Thao_Meeting with Dinh Hong &amp; Cilomi</t>
  </si>
  <si>
    <t>Rental for July 2025</t>
  </si>
  <si>
    <t>CT DEN:640T2570MZC404MF CONG TY TNHH AMP COMPOSITES THANH TOAN CHI PHI THUE XUONG INV 265 DATE 07/07/2025</t>
  </si>
  <si>
    <t>So GD goc: 10004774 CHI NHANH CONG TY TNHH CASTERBUY- TT PHI THUE XUONG A-18A24-CN-A THANG 7-9 HD SO 00000247</t>
  </si>
  <si>
    <t>So GD goc: 10008416 CT TNHH NGU KIM MINH VIET  TT TIEN THUE XUONG QUY 03/2025  CHO CTY BW</t>
  </si>
  <si>
    <t>So GD goc: 10008321 IBBIZ6041470694.IBPS.CONG TY TNHH NAM ANH MFG chuyen tien Thanh toan phi thue xuong A-17B-2-CN-E tu ngay 01/07/2025 den 31/07/2025(DT=2,034m2 don gia 101,232d/m2/thang) HD: 218(07/07)</t>
  </si>
  <si>
    <t>So GD goc: 10003086 CTY SUNLITETEK TT HD227 (07/07/2025)</t>
  </si>
  <si>
    <t>So GD goc: 10003076 CTY SUNLITETEK TT HD185 (15/05/2025)</t>
  </si>
  <si>
    <t>CT DEN:519601521980 CTY TNHH PHAT TRIEN CONG NGHE MAXEDGE tt phi thue nha xuong thang 7.2025 theo hd 222 cho CTY CPPT CONG NGHIEP BW</t>
  </si>
  <si>
    <t>So GD goc: 10006488 CTY OWEN TT BW HD 261</t>
  </si>
  <si>
    <t>TTHD Tien nuoc Ma KH-8801010038 Ma HD-Ky 7/2025$88</t>
  </si>
  <si>
    <t>Tra lai TK tien gui 211000461752</t>
  </si>
  <si>
    <t>TTHD Tien dien Ma KH-PE09000208673 Ma HD-Ky 250730TD-T06.2025/0</t>
  </si>
  <si>
    <t>So GD: 285A25704166CAZ6 TPT SCD Water consumption GHTK in 05 25</t>
  </si>
  <si>
    <t>So GD goc: 10001506 tt1389050 ghtk hcm163.01-thanh toan tien thue kho tan phu trung tu 01.07.2025 den 31.07.2025</t>
  </si>
  <si>
    <t>So GD goc: 10001508 tt1385654 ghtk mkh pe09000208673 tt tien dien tu 2025-05-22 den 2025-06-21 tan phu trung</t>
  </si>
  <si>
    <t>So GD goc: 10001431 tt1385655 ghtk mkh nuoc-tan phu trung tt tien nuoc tu 2025-05-22 den 2025-06-21 tan phu trung</t>
  </si>
  <si>
    <t>So GD goc: 3185779790Y25 VIETINBANK HOHN INV 1C25TBA 0000007 7</t>
  </si>
  <si>
    <t>TTHD Tien dien Ma KH-PE09000208673 Ma HD-Ky 250810TD-T07.2025/0</t>
  </si>
  <si>
    <t>PHI QUAN LY TAI KHOAN 222xxx888 T07 2025</t>
  </si>
  <si>
    <t>So GD: 900A257004ADPY6N DVC_MEGASPACE_Earth Works  IPC.04  PR.05</t>
  </si>
  <si>
    <t>100% - SPA</t>
  </si>
  <si>
    <t>TTHD Tien dien Ma KH-PM17000094760 Ma HD-Ky 1628966466-T06.2025/17$1</t>
  </si>
  <si>
    <t>The Gauss Vina thanh toan phi su dung nuoc sach va phi xu ly nuoc thai thang 6.2025</t>
  </si>
  <si>
    <t>THANH TOAN TIEN DIEN NUOC THANG 6</t>
  </si>
  <si>
    <t>CT DEN:285T25705GXDJJRC Yuehai thanh toan tien HD 162</t>
  </si>
  <si>
    <t>CTY FUXIN TT TIEN THUE NHA XUONG T07.08.09/2025</t>
  </si>
  <si>
    <t>CTY FUXIN TT HD745</t>
  </si>
  <si>
    <t>PHI QUAN LY TAI KHOAN 222xxx979 T07 2025</t>
  </si>
  <si>
    <t>CT DEN:285T257076M6DUFZ CTY WISVA - BW thanh toan phi thue nha xuong quy 3 thang 7,8,9/2025</t>
  </si>
  <si>
    <t>CT DEN:285T257076M6GLH5 CTY WISVA - BW thanh toan tien nuoc theo hoa don 169 30.06.2025</t>
  </si>
  <si>
    <t>PHI QUAN LY TAI KHOAN 222xxx456 T07 2025</t>
  </si>
  <si>
    <t>So GD goc: 10003130 CTY DAI VIET TT CHI PHI THUE XUONG QUY 3.2025 CHO CTY BW HD DU AN 2</t>
  </si>
  <si>
    <t>So GD goc: 10002563 Yuehai thanh toan tien thue xuong quy III</t>
  </si>
  <si>
    <t>CT DEN:285T2570BR8ZGMS1 CTY DAI VIET TT TIEN NUOC VA QL NUOC THAI T6.2025 HD SO 171</t>
  </si>
  <si>
    <t>CT DEN:285T2570C1WLUM91 ANZ Pmt for clean water cost in May.25 for BW INV156</t>
  </si>
  <si>
    <t>So GD goc: 10000690 TT VNMN2DD0U N HARTING VN TT PHI THUE XUONG Q3.2025 - FACTORY RENTAL FEE OF 3Q.25</t>
  </si>
  <si>
    <t>So GD goc: 10002818 MBBIZ6041117744.IBPS.CT TNHH CONG NGHE TAI CHE SACH  GREAT TT hoa don so 00000176</t>
  </si>
  <si>
    <t>So GD goc: 10000080 DT65486 2519090722200307 water bill and rent Q3</t>
  </si>
  <si>
    <t>So GD goc: 10005539 CONG TY MAEDEN TT CTY BW TIEN THUE NHA T07 DEN T09 NAM 2025</t>
  </si>
  <si>
    <t>THANH TOAN TIEN THUE XUONG A1.2 TU THANG 7-9.2025</t>
  </si>
  <si>
    <t>THANH TOAN TIEN THUE XUONG A3 TU THANG 7-9.2025</t>
  </si>
  <si>
    <t>So GD goc: 10001146 TT VNM504QY9 N HARTING VN TT TIEN NUOC T5-WATER COST IN MAY.25</t>
  </si>
  <si>
    <t>So GD goc: 10007950 Four ES thanh toan chi phi tien nuoc hoa don so 163; so 158; so 117</t>
  </si>
  <si>
    <t>Morteng TT phi nuoc sach va phi xu ly HD 161</t>
  </si>
  <si>
    <t>TK thanh toan thue xuong HD 00000183</t>
  </si>
  <si>
    <t>So GD: 285A2570PHXBNCZQ HD2 Lot 6_ GME_ Payment for Canopy Removal Inv 43 and Install retractable roofing Inv 44</t>
  </si>
  <si>
    <t>So GD: 285A2570PHZMXZW3 HD2_ANZ_Refund booking fee under Agreement on refund booking fee no BWHD2/IPA/23014/Agreement</t>
  </si>
  <si>
    <t>So GD: 285A2570PHZN0QZ4 HD2_EES_Payment for WWTP Operation system fee in May.2025 Inv 00000133 and Sludge removal fee Inv 00000131</t>
  </si>
  <si>
    <t>So GD: 285A2570PHZN172E HD2_Seibi_Payment Repair FF pipeline leakage of factory A2-2 Inv 12 13</t>
  </si>
  <si>
    <t>So GD goc: 10001910 ABCD tt tien thue nha xuong A2-2 tu thang 7-&gt; thang 9/25 &amp; nuoc sach, nuoc thai tu 20/05-&gt;20/06/25 (HD so 00000167; 182)</t>
  </si>
  <si>
    <t>CT DEN:285T2570PGVRGLA7 CT TNHH CONG NGHE FSP VIET NAM chuyen tien theo hoa don so 174</t>
  </si>
  <si>
    <t>HD2_VSIP HD_Payment for EMF fee quarter 03.2025 Inv 00000192 and water consumption and wastewater treatment Inv 00000221</t>
  </si>
  <si>
    <t>PHI QUAN LY TAI KHOAN 222xxx789 T07 2025</t>
  </si>
  <si>
    <t>TK thanh toan HD 00000168</t>
  </si>
  <si>
    <t>So GD goc: 10006717 IBBIZ6041526115.IBPS.CT TNHH CONG NGHE FSP VIET NAM chuyen tien theo hoa don so 185</t>
  </si>
  <si>
    <t>So GD goc: 10006705 IBBIZ6041526039.IBPS.CT TNHH CONG NGHE FSP VIET NAM chuyen tien theo hoa don so 187</t>
  </si>
  <si>
    <t>So GD: 285A257008UFZQ7L BBN_Sieu Thanh_Payment for Rent fee photocopy machine_Hanoi Office_ Q2.2025_INVOICE 00001171</t>
  </si>
  <si>
    <t>100% - RENT FEE</t>
  </si>
  <si>
    <t>So GD: 285A257008UH9T53 BBN_DIEN HP_Payment of Annual testing for lightning system 2025_INVOICE 00000231</t>
  </si>
  <si>
    <t>PHI QUAN LY TAI KHOAN 861xxx832 T07 2025</t>
  </si>
  <si>
    <t>TTHD Tien dien Ma KH-PA22070819971 Ma HD-Ky 1628998197-T06.2025/07D1$1</t>
  </si>
  <si>
    <t>TTHD Tien dien Ma KH-PA22070819970 Ma HD-Ky 1628998266-T06.2025/07D1$1</t>
  </si>
  <si>
    <t>PHI QUAN LY TAI KHOAN 150xxx128 T07 2025</t>
  </si>
  <si>
    <t>CT DEN:518408760792 LUONG THU HUONG hoan ung cho Bw Bac Ninh FT25184263801760</t>
  </si>
  <si>
    <t>So GD: 285A257059D0UPR9 BBN-TNPM-Hanoi office - Payment of Electricity and Parking Fee in Jun 2025-INVOICE 00004801,00004895</t>
  </si>
  <si>
    <t>So GD goc: 10000071 SJ THERMAL VINA TT TIEN THUE NHAXUONG T7-8-9</t>
  </si>
  <si>
    <t>So GD goc: 10000815 BW - JDI THANH TOAN THUE XUONGQUY 3</t>
  </si>
  <si>
    <t>So GD goc: 10006150 Cty TONGFANG TT phi thue xuong B1-F tu 01/07/2025 den 30/09/2025</t>
  </si>
  <si>
    <t>So GD goc: 10001113 LEASING Q3 2025 VAT.0000042</t>
  </si>
  <si>
    <t>So GD: 285A2570PHZMYQ82 BBN_IMPC_Payment of FM service fee in APR25 and MAY25_INVOICE 00000201 00000259</t>
  </si>
  <si>
    <t>So GD: 285A2570PHZN1HJJ BBN_NEWPOST_ Payment postage expenses for Hanoi Office _ June 2025_INVOICE 23665</t>
  </si>
  <si>
    <t>So GD: 285A2570PHZN3N71 BBN_Le Thu Thao_Payment of meeting expense_INVOICE 862964</t>
  </si>
  <si>
    <t>Rent Property fee 250700026</t>
  </si>
  <si>
    <t>CONG TY TNHH CONG NGHE IN AN VA BAO BI WARTON VIET NAM TT TIEN THUE NHA XUONG QUY III/2025 HD 38 T07.2025</t>
  </si>
  <si>
    <t>BBN_VSIP Bac Ninh_Payment of Water consumption and Wastewater treatment in June 2025 and EMF fee in Q3 Year 2025_INVOICE 2329 2330 2168</t>
  </si>
  <si>
    <t>BBN_Sieu Thanh BN_Payment of renting photocopier machine for Bac Ninh office_ Q2 2025_INVOICE 00000327</t>
  </si>
  <si>
    <t>PHI QUAN LY TAI KHOAN 222xxx911 T07 2025</t>
  </si>
  <si>
    <t>PHI QUAN LY TAI KHOAN 222xxx999 T07 2025</t>
  </si>
  <si>
    <t>TTHD Tien dien Ma KH-PB06030116071 Ma HD-Ky 301545300401TD-T06.2025/0</t>
  </si>
  <si>
    <t>So GD goc: BNK5190867013499 OTHER SRV PAYS RENTAL DEPOSIT FOR BW XIENIA 2 WH AS PER AGREEMENT XENIA2 COMPANY/</t>
  </si>
  <si>
    <t>So GD: 285A2570LTVL7H4L XA2_KCN XA_Water fee in 06/2025 - INV.00001088</t>
  </si>
  <si>
    <t>So GD: 285A2570LTVLNKJH XA2_NGOC PHONG_ Wastewater fee in 06.2025 - INV.00001118</t>
  </si>
  <si>
    <t>So GD: 285A2570LTVM3ZDF XA2_AVALUE_Asset Valuation Fee - INV.00000326</t>
  </si>
  <si>
    <t>So GD: 285A2570LTVN0QC7 XA2_NGOC PHONG_ EMF fee in 06.2025 - INV.00001117</t>
  </si>
  <si>
    <t>Tra lai TK tien gui 217000452414</t>
  </si>
  <si>
    <t>Travel booking fee</t>
  </si>
  <si>
    <t>Other payment</t>
  </si>
  <si>
    <t>Dividend paid (inside group)</t>
  </si>
  <si>
    <t>Capital receipts from Becaemex</t>
  </si>
  <si>
    <t>N/A</t>
  </si>
  <si>
    <t>CASH BALANCE</t>
  </si>
  <si>
    <t>Thiếu BS</t>
  </si>
  <si>
    <t>10012991 VND</t>
  </si>
  <si>
    <t>10012992 VND</t>
  </si>
  <si>
    <t>xx (sai OB)</t>
  </si>
  <si>
    <t>ACC NO</t>
  </si>
  <si>
    <t>BOP</t>
  </si>
  <si>
    <t>EOP</t>
  </si>
  <si>
    <t>BANK NAME</t>
  </si>
  <si>
    <t>NGÂN HÀNG TMCP CÔNG THƯƠNG VIỆT NAM</t>
  </si>
  <si>
    <t>DỊCH VỤ VIETINBANK eFAST</t>
  </si>
  <si>
    <t>Thời gian in: 16/07/2025 10:22:58</t>
  </si>
  <si>
    <t>BÁO CÁO DANH SÁCH TÀI KHOẢN THANH TOÁN - REPORT OF ACCOUNT LIST</t>
  </si>
  <si>
    <t>CONG TY CP WIN LOCK 2 VIETNAM HOLDCO</t>
  </si>
  <si>
    <t>Số CIF: 3020149191</t>
  </si>
  <si>
    <t>1 .Tổng quan/ Overview</t>
  </si>
  <si>
    <t>Tổng số dư quy đổi VNĐ/ Total balance converted in VND</t>
  </si>
  <si>
    <t>Tổng số dư theo loại tiền/ Total balance by type of money</t>
  </si>
  <si>
    <t>2 .Danh sách tài khoản chi tiết/ Account List Detail</t>
  </si>
  <si>
    <t>STT/ No.</t>
  </si>
  <si>
    <t>Số tài khoản/ Account no</t>
  </si>
  <si>
    <t>Tên công ty/ Entities</t>
  </si>
  <si>
    <t>Ngày mở/ Open date</t>
  </si>
  <si>
    <t>Lãi suất/ Interest rate</t>
  </si>
  <si>
    <t>Loại tiền/ Currency</t>
  </si>
  <si>
    <t>Số dư khả dụng/ Available balance</t>
  </si>
  <si>
    <t>Phòng tỏa/Dừng dữ/ Hold balance</t>
  </si>
  <si>
    <t>Số dư hiện tại/ Curent balance</t>
  </si>
  <si>
    <t>Chi nhánh quản lý/ Branch</t>
  </si>
  <si>
    <t>CONG TY TNHH XENIA 1</t>
  </si>
  <si>
    <t/>
  </si>
  <si>
    <t>CN KCN TIEN SON - HOI SO</t>
  </si>
  <si>
    <t>CONG TY TNHH WIN LOCK 2A</t>
  </si>
  <si>
    <t>CONG TY TNHH XENIA 2</t>
  </si>
  <si>
    <t>CONG TY CP XENIA VIETNAM HOLDCO</t>
  </si>
  <si>
    <t>24-08-2021</t>
  </si>
  <si>
    <t>CTY TNHH DAU TU PHAT TRIEN SPV5D</t>
  </si>
  <si>
    <t>CTY TNHH DAU TU PHAT TRIEN SPV5E</t>
  </si>
  <si>
    <t>118626458888</t>
  </si>
  <si>
    <t>112665567979</t>
  </si>
  <si>
    <t>20-01-2022</t>
  </si>
  <si>
    <t>110647096666</t>
  </si>
  <si>
    <t>15-10-2021</t>
  </si>
  <si>
    <t>21-01-2022</t>
  </si>
  <si>
    <t>Thời gian in: 16/07/2025 10:20:30</t>
  </si>
  <si>
    <t>CONG TY CO PHAN PHAT TRIEN CONG NGHIEP BW</t>
  </si>
  <si>
    <t>Số CIF: 3015626570</t>
  </si>
  <si>
    <t>CTY CP SAO HOA TOAN QUOC</t>
  </si>
  <si>
    <t>CN BINH DUONG - HOI SO</t>
  </si>
  <si>
    <t>CN QUANG MINH - HOI SO</t>
  </si>
  <si>
    <t>CT TNHH PT CONG NGHIEP BW MY PHUOC 3</t>
  </si>
  <si>
    <t>CT TNHH MTV PTCN BW HAI DUONG-DU AN 2</t>
  </si>
  <si>
    <t>CT TNHH MTV PHAT TRIEN CN BW HAI DUONG</t>
  </si>
  <si>
    <t>CN KCN TIEN SON - PGD DAI PHUC</t>
  </si>
  <si>
    <t>CONG TY CO PHAN BCI</t>
  </si>
  <si>
    <t>CT TNHH PHAT TRIEN CONG NGHIEP BW BAU BANG BB06</t>
  </si>
  <si>
    <t>CONG TY CO PHAN VINA PARTNERS INVESTMENT</t>
  </si>
  <si>
    <t>CN 1 - TP HCM - HOI SO</t>
  </si>
  <si>
    <t>CTY TNHH PHAT TRIEN CONG NGHIEP BW NHON TRACH- DU AN 2</t>
  </si>
  <si>
    <t>CT TNHH PT CONG NGHIEP BW TAN PHU TRUNG</t>
  </si>
  <si>
    <t>CT TNHH PT CONG NGHIEP LONG BINH</t>
  </si>
  <si>
    <t>CTY CP PT CONG NGHIEP HAU CAN DONG AN</t>
  </si>
  <si>
    <t>CN DONG SAI GON - HOI SO</t>
  </si>
  <si>
    <t>CTCP DT VA PT CN TAN DONG HIEP B BINH DUONG</t>
  </si>
  <si>
    <t>CN TP HCM - HOI SO</t>
  </si>
  <si>
    <t>CT TNHH MTV PHAT TRIEN CONG NGHIEP BW BAC NINH</t>
  </si>
  <si>
    <t>06-09-2018</t>
  </si>
  <si>
    <t>CT TNHH MTV PT CONG NGHIEP BW HAI PHONG</t>
  </si>
  <si>
    <t>CTCP DAU TU VA PHAT TRIEN CONG NGHIEP LE MINH XUAN 3 SAIGON</t>
  </si>
  <si>
    <t>CT TNHH PHAT TRIEN CN BW BAU BANG BB01</t>
  </si>
  <si>
    <t>CT TNHH DIEN MAT TROI MAI NHA TPT1</t>
  </si>
  <si>
    <t>CT TNHH PHAT TRIEN CONG NGHIEP TAY HAI</t>
  </si>
  <si>
    <t>CONG TY CP DAU TU VA PHAT TRIEN CONG NGHIEP SONG THAN 2 BINH DUONG</t>
  </si>
  <si>
    <t>CTY CP PT CONG NGHIEP HAU CAN SONG THAN</t>
  </si>
  <si>
    <t>CONG TY TNHH DAU TU PHAT TRIEN HOLDCO5Q</t>
  </si>
  <si>
    <t>CONG TY CO PHAN DELIWAY VIET NAM</t>
  </si>
  <si>
    <t>CTCP PHAT TRIEN CONG NGHIEP PHO NOI A</t>
  </si>
  <si>
    <t>CT TNHH DICH VU QUAN LY CONG NGHIEP HN</t>
  </si>
  <si>
    <t>CONG TY TNHH PTCN SUPPLY CHAIN 2A</t>
  </si>
  <si>
    <t>CT CP DT VA PT CN DEEP C 2B HAI PHONG</t>
  </si>
  <si>
    <t>CTY TNHH DAU TU PHAT TRIEN SPV5B</t>
  </si>
  <si>
    <t>CT TNHH DIEN MAT TROI MAI NHA MP3</t>
  </si>
  <si>
    <t>CONG TY TNHH WIN LOCK 2B</t>
  </si>
  <si>
    <t>CT TNHH PHAT TRIEN CONG NGHIEP YEN PHONG</t>
  </si>
  <si>
    <t>CONG TY TNHH DAU TU PHAT TRIEN HOLDCO5J</t>
  </si>
  <si>
    <t>CONG TY CO PHAN WPJV 1 VIETNAM HOLDCO</t>
  </si>
  <si>
    <t>CT TNHH PHAT TRIEN CONG NGHIEP BW BAU BANG BB05</t>
  </si>
  <si>
    <t>CT TNHH DAU TU PHAT TRIEN HOLDCO S4E</t>
  </si>
  <si>
    <t>CT TNHH DAU TU PHAT TRIEN HOLDCO S5A</t>
  </si>
  <si>
    <t>CONG TY CO PHAN WPJV 2 VIETNAM HOLDCO</t>
  </si>
  <si>
    <t>CONG TY CO PHAN BN2 VIETNAM HOLDCO</t>
  </si>
  <si>
    <t>CONG TY TNHH DAU TU PHAT TRIEN HOLDCO4Z</t>
  </si>
  <si>
    <t>CT TNHH DAU TU PHAT TRIEN HOLDCO S4B</t>
  </si>
  <si>
    <t>CT TNHH DAU TU PHAT TRIEN HOLDCO S4A</t>
  </si>
  <si>
    <t>CONG TY CO PHAN PDHD HOLDCO</t>
  </si>
  <si>
    <t>CTY TNHH PT CN BW BAU BANG BB04</t>
  </si>
  <si>
    <t>CT TNHH DAU TU PHAT TRIEN HOLDCO5S</t>
  </si>
  <si>
    <t>CONG TY TNHH DAU TU PHAT TRIEN PHUOC LOI</t>
  </si>
  <si>
    <t>CONG TY TNHH DAU TU PHAT TRIEN HOLDCO4X</t>
  </si>
  <si>
    <t>CTY TNHH DAU TU PHAT TRIEN SPV5C</t>
  </si>
  <si>
    <t>CONG TY TNHH DAU TU PHAT TRIEN HOLDCO4V</t>
  </si>
  <si>
    <t>CTCP TH1 HOLDCO</t>
  </si>
  <si>
    <t>CT TNHH DAU TU PHAT TRIEN HOLDCO N4C</t>
  </si>
  <si>
    <t>CT CP PHAT TRIEN CONG NGHIEP THUAN DAO</t>
  </si>
  <si>
    <t>CT TNHH MTV PHAT TRIEN CONG NGHIEP BW THOI HOA DA2</t>
  </si>
  <si>
    <t>CT TNHH DAU TU PHAT TRIEN HOLDCO S5B</t>
  </si>
  <si>
    <t>CONG TY TNHH WPJV2B</t>
  </si>
  <si>
    <t>CONG TY TNHH WPJV2A</t>
  </si>
  <si>
    <t>CT TNHH DAU TU PHAT TRIEN HOLDCO5R</t>
  </si>
  <si>
    <t>CONG TY CO PHAN NASTEC</t>
  </si>
  <si>
    <t>CN KCN TIEN SON - PGD KCN YEN PHONG</t>
  </si>
  <si>
    <t>CTCP DT VA PT CONG NGHIEP PHU AN THANH LONG AN</t>
  </si>
  <si>
    <t>CT TNHH PHAT TRIEN CN BW BAU BANG</t>
  </si>
  <si>
    <t>CT TNHH DAU TU PHAT TRIEN HOLDCO5T</t>
  </si>
  <si>
    <t>CTY TNHH DAU TU PHAT TRIEN SPV5A</t>
  </si>
  <si>
    <t>CONG TY TNHH DAU TU PHAT TRIEN HOLDCO5G</t>
  </si>
  <si>
    <t>CT TNHH DAU TU PHAT TRIEN HOLDCO5K</t>
  </si>
  <si>
    <t>CT TNHH DAU TU PHAT TRIEN HOLDCO4F</t>
  </si>
  <si>
    <t>CONG TY TNHH DAU TU PHAT TRIEN HOLDCO5I</t>
  </si>
  <si>
    <t>CONG TY TNHH DAU TU PHAT TRIEN HOLDCO4I</t>
  </si>
  <si>
    <t>CTY TNHH DAU TU PHAT TRIEN SPV4A</t>
  </si>
  <si>
    <t>CT TNHH DAU TU PHAT TRIEN HOLDCO5U</t>
  </si>
  <si>
    <t>CT TNHH DAU TU PHAT TRIEN HOLDCO4K</t>
  </si>
  <si>
    <t>CONG TY CO PHAN DCQN HOLDCO</t>
  </si>
  <si>
    <t>CT TNHH DAU TU PHAT TRIEN HOLDCO4H</t>
  </si>
  <si>
    <t>CT TNHH TV VA QUAN LY BDS CONG NGHIEP</t>
  </si>
  <si>
    <t>CONG TY CO PHAN WPJV 3 VIETNAM HOLDCO</t>
  </si>
  <si>
    <t>CONG TY TNHH DAU TU PHAT TRIEN HOLDCO4J</t>
  </si>
  <si>
    <t>CONG TY TNHH DAU TU PHAT TRIEN HOLDCO4U</t>
  </si>
  <si>
    <t>CT TNHH DAU TU PHAT TRIEN HOLDCO N4B</t>
  </si>
  <si>
    <t>CTY TNHH DAU TU PHAT TRIEN SPV4C</t>
  </si>
  <si>
    <t>CT TNHH DAU TU PHAT TRIEN HOLDCO N4E</t>
  </si>
  <si>
    <t>CT TNHH DAU TU PHAT TRIEN HOLDCO N4D</t>
  </si>
  <si>
    <t>CT TNHH DAU TU PHAT TRIEN HOLDCO N4A</t>
  </si>
  <si>
    <t>CT TNHH PT CONG NGHIEP BW THU DAU MOT</t>
  </si>
  <si>
    <t>CT TNHH DAU TU PHAT TRIEN HOLDCO5H</t>
  </si>
  <si>
    <t>CONG TY TNHH DAU TU PHAT TRIEN HOLDCO4Y</t>
  </si>
  <si>
    <t>CTY TNHH DAU TU PHAT TRIEN SPV4B</t>
  </si>
  <si>
    <t>CONG TY TNHH DAU TU PHAT TRIEN HOLDCO4S</t>
  </si>
  <si>
    <t>CONG TY TNHH DAU TU PHAT TRIEN HOLDCO4T</t>
  </si>
  <si>
    <t>CT TNHH DAU TU PHAT TRIEN HOLDCO4W</t>
  </si>
  <si>
    <t>CTY CP SG LOGISTICS</t>
  </si>
  <si>
    <t>CTY TNHH PT CN BW BAU BANG DU AN 3</t>
  </si>
  <si>
    <t>CONG TY TNHH DAU TU PHAT TRIEN HOLDCO4R</t>
  </si>
  <si>
    <t>CONG TY CO PHAN SAO MOC TOAN QUOC</t>
  </si>
  <si>
    <t>CT TNHH MTV PHAT TRIEN CONG NGHIEP BW THOI HOA</t>
  </si>
  <si>
    <t>CT TNHH DAU TU PHAT TRIEN HOLDCO4Q</t>
  </si>
  <si>
    <t>CTCP TH2 HOLDCO</t>
  </si>
  <si>
    <t>CT TNHH DAU TU PHAT TRIEN HOLDCO S4C</t>
  </si>
  <si>
    <t>CONG TY CO PHAN TCS INDUSTRIAL</t>
  </si>
  <si>
    <t>CT CP DICH VU VA CONG NGHIEP TAY NAM A</t>
  </si>
  <si>
    <t>CONG TY TNHH DAU TU PHAT TRIEN GIA TAN</t>
  </si>
  <si>
    <t>CONG TY TNHH WPJV3B</t>
  </si>
  <si>
    <t>CONG TY TNHH WPJV3A</t>
  </si>
  <si>
    <t>CONG TY CO PHAN MPL</t>
  </si>
  <si>
    <t>CONG TY CO PHAN SAO THO TOAN QUOC</t>
  </si>
  <si>
    <t>114002902779</t>
  </si>
  <si>
    <t>116002937142</t>
  </si>
  <si>
    <t>118002919538</t>
  </si>
  <si>
    <t>CT TNHH PT CONG NGHIEP DONG TIEN PHONG</t>
  </si>
  <si>
    <t>CT TNHH PHAT TRIEN CONG NGHIEP BW PHU NGHIA</t>
  </si>
  <si>
    <t>CTCP DV KHKT VA SX GOM SU KIM TRUC DONG NAI</t>
  </si>
  <si>
    <t>115002901288</t>
  </si>
  <si>
    <t>116634205555</t>
  </si>
  <si>
    <t>112002915375</t>
  </si>
  <si>
    <t>115002902780</t>
  </si>
  <si>
    <t>115002940686</t>
  </si>
  <si>
    <t>115002940716</t>
  </si>
  <si>
    <t>118002940810</t>
  </si>
  <si>
    <t>119002940821</t>
  </si>
  <si>
    <t>110002940787</t>
  </si>
  <si>
    <t>116002940715</t>
  </si>
  <si>
    <t>111648966789</t>
  </si>
  <si>
    <t>114002937144</t>
  </si>
  <si>
    <t>110002940681</t>
  </si>
  <si>
    <t>110641596666</t>
  </si>
  <si>
    <t>CT TNHH PTCN BW NAM DINH VU</t>
  </si>
  <si>
    <t>114639759999</t>
  </si>
  <si>
    <t>115002940698</t>
  </si>
  <si>
    <t>116002919106</t>
  </si>
  <si>
    <t>119002940751</t>
  </si>
  <si>
    <t>119002940712</t>
  </si>
  <si>
    <t>110002903336</t>
  </si>
  <si>
    <t>110002940750</t>
  </si>
  <si>
    <t>110002919536</t>
  </si>
  <si>
    <t>110602502222</t>
  </si>
  <si>
    <t>110002918482</t>
  </si>
  <si>
    <t>CT TNHH PT CONG NGHIEP THUAN THANH 3B</t>
  </si>
  <si>
    <t>111630827979</t>
  </si>
  <si>
    <t>110642326666</t>
  </si>
  <si>
    <t>114631225555</t>
  </si>
  <si>
    <t>115002911539</t>
  </si>
  <si>
    <t>CT TNHH PTCN HAU CAN BW DINH VU</t>
  </si>
  <si>
    <t>110643036666</t>
  </si>
  <si>
    <t>114641679999</t>
  </si>
  <si>
    <t>110682567979</t>
  </si>
  <si>
    <t>116002940742</t>
  </si>
  <si>
    <t>117002940714</t>
  </si>
  <si>
    <t>114635058888</t>
  </si>
  <si>
    <t>CT TNHH MTV PTCN BW HAI DUONG-HD 03</t>
  </si>
  <si>
    <t>119002940709</t>
  </si>
  <si>
    <t>113002940688</t>
  </si>
  <si>
    <t>112002915565</t>
  </si>
  <si>
    <t>114002901291</t>
  </si>
  <si>
    <t>22-10-2018</t>
  </si>
  <si>
    <t>27-12-2018</t>
  </si>
  <si>
    <t>09-01-2019</t>
  </si>
  <si>
    <t>07-04-2023</t>
  </si>
  <si>
    <t>09-06-2021</t>
  </si>
  <si>
    <t>17-12-2019</t>
  </si>
  <si>
    <t>03-01-2020</t>
  </si>
  <si>
    <t>09-01-2020</t>
  </si>
  <si>
    <t>25-05-2020</t>
  </si>
  <si>
    <t>02-10-2020</t>
  </si>
  <si>
    <t>26-10-2020</t>
  </si>
  <si>
    <t>29-10-2020</t>
  </si>
  <si>
    <t>10-11-2020</t>
  </si>
  <si>
    <t>13-01-2022</t>
  </si>
  <si>
    <t>28-04-2022</t>
  </si>
  <si>
    <t>04-02-2021</t>
  </si>
  <si>
    <t>26-04-2024</t>
  </si>
  <si>
    <t>01-08-2023</t>
  </si>
  <si>
    <t>09-05-2024</t>
  </si>
  <si>
    <t>13-11-2020</t>
  </si>
  <si>
    <t>29-04-2021</t>
  </si>
  <si>
    <t>29-04-2022</t>
  </si>
  <si>
    <t>24-10-2023</t>
  </si>
  <si>
    <t>119002948031</t>
  </si>
  <si>
    <t>09-08-2023</t>
  </si>
  <si>
    <t>11-05-2023</t>
  </si>
  <si>
    <t>24-05-2021</t>
  </si>
  <si>
    <t>11-03-2021</t>
  </si>
  <si>
    <t>12-06-2023</t>
  </si>
  <si>
    <t>04-08-2023</t>
  </si>
  <si>
    <t>17-05-2021</t>
  </si>
  <si>
    <t>119002883681</t>
  </si>
  <si>
    <t>28-05-2021</t>
  </si>
  <si>
    <t>CN BAC SAI GON - HOI SO</t>
  </si>
  <si>
    <t>15-07-2021</t>
  </si>
  <si>
    <t>16-12-2021</t>
  </si>
  <si>
    <t>118002902775</t>
  </si>
  <si>
    <t>119002902774</t>
  </si>
  <si>
    <t>117002902776</t>
  </si>
  <si>
    <t>24-12-2021</t>
  </si>
  <si>
    <t>25-11-2021</t>
  </si>
  <si>
    <t>01-12-2021</t>
  </si>
  <si>
    <t>03-12-2021</t>
  </si>
  <si>
    <t>06-12-2021</t>
  </si>
  <si>
    <t>13-12-2021</t>
  </si>
  <si>
    <t>119644259999</t>
  </si>
  <si>
    <t>27-06-2022</t>
  </si>
  <si>
    <t>28-06-2022</t>
  </si>
  <si>
    <t>29-06-2022</t>
  </si>
  <si>
    <t>112002963407</t>
  </si>
  <si>
    <t>30-01-2024</t>
  </si>
  <si>
    <t>19-08-2022</t>
  </si>
  <si>
    <t>119002928925</t>
  </si>
  <si>
    <t>21-12-2022</t>
  </si>
  <si>
    <t>25-08-2022</t>
  </si>
  <si>
    <t>02-02-2024</t>
  </si>
  <si>
    <t>09-12-2022</t>
  </si>
  <si>
    <t>14-12-2022</t>
  </si>
  <si>
    <t>15-12-2022</t>
  </si>
  <si>
    <t>18-05-2023</t>
  </si>
  <si>
    <t>28-08-2023</t>
  </si>
  <si>
    <t>29-08-2023</t>
  </si>
  <si>
    <t>05-10-2023</t>
  </si>
  <si>
    <t>27-10-2023</t>
  </si>
  <si>
    <t>04-12-2023</t>
  </si>
  <si>
    <t>20-12-2023</t>
  </si>
  <si>
    <t>02-01-2024</t>
  </si>
  <si>
    <t>11-01-2024</t>
  </si>
  <si>
    <t>21-06-2024</t>
  </si>
  <si>
    <t>24-05-2024</t>
  </si>
  <si>
    <t>23-05-2024</t>
  </si>
  <si>
    <t>16-04-2024</t>
  </si>
  <si>
    <t>12-04-2024</t>
  </si>
  <si>
    <t>24-10-2024</t>
  </si>
  <si>
    <t>03-05-2024</t>
  </si>
  <si>
    <t>04-05-2024</t>
  </si>
  <si>
    <t>01-10-2024</t>
  </si>
  <si>
    <t>19-11-2018</t>
  </si>
  <si>
    <t>17-12-2020</t>
  </si>
  <si>
    <t>21-06-2018</t>
  </si>
  <si>
    <t>15-05-2023</t>
  </si>
  <si>
    <t>119002970121</t>
  </si>
  <si>
    <t>Sum of Billed Amount</t>
  </si>
  <si>
    <t>Sum of VND equivalent</t>
  </si>
  <si>
    <t>CLOSING BALANCE (VND)</t>
  </si>
  <si>
    <t>118002937125</t>
  </si>
  <si>
    <t>1196 4206 9999</t>
  </si>
  <si>
    <t>1146 2874 8888</t>
  </si>
  <si>
    <t>Sum of VNDbn</t>
  </si>
  <si>
    <t>Fx</t>
  </si>
  <si>
    <t>1.Bank offers:</t>
  </si>
  <si>
    <t>Sub</t>
  </si>
  <si>
    <t>Current rate</t>
  </si>
  <si>
    <t>Moody's Credit rating</t>
  </si>
  <si>
    <t>Existing lender
 (Y/N)</t>
  </si>
  <si>
    <t>Quote Date</t>
  </si>
  <si>
    <t>SOE</t>
  </si>
  <si>
    <t>Ba2</t>
  </si>
  <si>
    <t>Y</t>
  </si>
  <si>
    <t>International</t>
  </si>
  <si>
    <t>Private</t>
  </si>
  <si>
    <t>N</t>
  </si>
  <si>
    <t>DB</t>
  </si>
  <si>
    <t>Ba3</t>
  </si>
  <si>
    <t>2. Total cash allocation</t>
  </si>
  <si>
    <t>Cash at current account</t>
  </si>
  <si>
    <t>USD at current account</t>
  </si>
  <si>
    <t>Cash at deposit account</t>
  </si>
  <si>
    <t>USD convert to VND</t>
  </si>
  <si>
    <t>Cash from convert USD</t>
  </si>
  <si>
    <t>Already Allocate</t>
  </si>
  <si>
    <t>Additional Allocation</t>
  </si>
  <si>
    <t xml:space="preserve">Current </t>
  </si>
  <si>
    <t>DSRA</t>
  </si>
  <si>
    <t>Weighted Avg. yield</t>
  </si>
  <si>
    <t>3. Cash allocation</t>
  </si>
  <si>
    <t>Pre-Allocation Balance</t>
  </si>
  <si>
    <t>Allocation</t>
  </si>
  <si>
    <t>Post-Allocation Balance</t>
  </si>
  <si>
    <t>Vietinbank</t>
  </si>
  <si>
    <t>Vietcombank</t>
  </si>
  <si>
    <t>4. PO List</t>
  </si>
  <si>
    <t>Name Receiving</t>
  </si>
  <si>
    <t>Amount</t>
  </si>
  <si>
    <t>Saving account</t>
  </si>
  <si>
    <t>Toal</t>
  </si>
  <si>
    <t>84mn till Jul 23 and thereafter reduce to 34mn to Sep 23</t>
  </si>
  <si>
    <t>till Jul 23</t>
  </si>
  <si>
    <t>20629798</t>
  </si>
  <si>
    <t>4.3%</t>
  </si>
  <si>
    <t>4.8%</t>
  </si>
  <si>
    <t>4.2%</t>
  </si>
  <si>
    <t>5.2%</t>
  </si>
  <si>
    <t>1030251199</t>
  </si>
  <si>
    <t>1054485764</t>
  </si>
  <si>
    <t>1062775110</t>
  </si>
  <si>
    <t>3518712026947</t>
  </si>
  <si>
    <t>1015733500</t>
  </si>
  <si>
    <t>1017165869</t>
  </si>
  <si>
    <t>1060932216</t>
  </si>
  <si>
    <t>1060934439</t>
  </si>
  <si>
    <t>509719829</t>
  </si>
  <si>
    <t>1061779171</t>
  </si>
  <si>
    <t>1063193948</t>
  </si>
  <si>
    <t>1063288277</t>
  </si>
  <si>
    <t>1063070810</t>
  </si>
  <si>
    <t>1063288419</t>
  </si>
  <si>
    <t>1063194165</t>
  </si>
  <si>
    <t>0</t>
  </si>
  <si>
    <t>1111111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</si>
</sst>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6" formatCode="&quot;$&quot;#,##0_);[Red]\(&quot;$&quot;#,##0\)"/>
    <numFmt numFmtId="8" formatCode="&quot;$&quot;#,##0.00_);[Red]\(&quot;$&quot;#,##0.00\)"/>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0.0%"/>
    <numFmt numFmtId="168" formatCode="_-* #,##0.00\ _₫_-;\-* #,##0.00\ _₫_-;_-* &quot;-&quot;??\ _₫_-;_-@_-"/>
    <numFmt numFmtId="169" formatCode="_-* #,##0\ _₫_-;\-* #,##0\ _₫_-;_-* &quot;-&quot;??\ _₫_-;_-@_-"/>
    <numFmt numFmtId="170" formatCode="_-* #,##0.0\ _₫_-;\-* #,##0.0\ _₫_-;_-* &quot;-&quot;??\ _₫_-;_-@_-"/>
    <numFmt numFmtId="171" formatCode="_(* #,##0.0_);_(* \(#,##0.0\);_(* &quot;-&quot;??_);_(@_)"/>
    <numFmt numFmtId="172" formatCode="_(&quot;$&quot;* #,##0.0_);_(&quot;$&quot;* \(#,##0.0\);_(&quot;$&quot;* &quot;-&quot;??_);_(@_)"/>
    <numFmt numFmtId="173" formatCode="d/m/yyyy"/>
    <numFmt numFmtId="174" formatCode="&quot;FX:&quot;_(* #,##0_);_(* \(#,##0\);_(* &quot;-&quot;??_);_(@_)"/>
    <numFmt numFmtId="175" formatCode="[$-409]mmm\-yy;@"/>
    <numFmt numFmtId="176" formatCode="_(* #,##0.0_);_(* \(#,##0.0\);_(* &quot;-&quot;?_);_(@_)"/>
    <numFmt numFmtId="177" formatCode="0.000%"/>
    <numFmt numFmtId="178" formatCode="#&quot;M&quot;"/>
    <numFmt numFmtId="179" formatCode="_(&quot;$&quot;* #,##0_);_(&quot;$&quot;* \(#,##0\);_(&quot;$&quot;* &quot;-&quot;??_);_(@_)"/>
    <numFmt numFmtId="180" formatCode="_(* #,##0.0000_);_(* \(#,##0.0000\);_(* &quot;-&quot;??_);_(@_)"/>
    <numFmt numFmtId="181" formatCode="_([$VND]\ * #,##0_);_([$VND]\ * \(#,##0\);_([$VND]\ * &quot;-&quot;??_);_(@_)"/>
    <numFmt numFmtId="182" formatCode="_(&quot;VND&quot;* #,##0_);_(&quot;VND&quot;* \(#,##0\);_(&quot;VND&quot;* &quot;-&quot;??_);_(@_)"/>
    <numFmt numFmtId="183" formatCode="_(* #,##0.00000000_);_(* \(#,##0.00000000\);_(* &quot;-&quot;??_);_(@_)"/>
    <numFmt numFmtId="184" formatCode="&quot;$&quot;#,##0.00"/>
    <numFmt numFmtId="185" formatCode="##&quot; days&quot;"/>
    <numFmt numFmtId="186" formatCode="_ * #,##0.00_ ;_ * \-#,##0.00_ ;_ * &quot;-&quot;??_ ;_ @_ "/>
    <numFmt numFmtId="187" formatCode="&quot;$&quot;#,##0.00&quot; mn&quot;"/>
    <numFmt numFmtId="188" formatCode="#,##0.00&quot;bn&quot;"/>
    <numFmt numFmtId="189" formatCode="_(&quot;$&quot;* #,##0.000000_);_(&quot;$&quot;* \(#,##0.000000\);_(&quot;$&quot;* &quot;-&quot;??_);_(@_)"/>
    <numFmt numFmtId="190" formatCode="_(* #,##0.0000_);_(* \(#,##0.0000\);_(* &quot;-&quot;????_);_(@_)"/>
    <numFmt numFmtId="191" formatCode="#,##0.0_);\(#,##0.0\)"/>
    <numFmt numFmtId="192" formatCode="_(* #,##0.00_);_(* \(#,##0.00\);_(* &quot;-&quot;?_);_(@_)"/>
    <numFmt numFmtId="193" formatCode="_(* #,##0.0_)&quot;bn&quot;;_(* \(#,##0.0\)&quot;bn&quot;;_(* &quot;-&quot;??_);_(@_)\ "/>
    <numFmt numFmtId="194" formatCode="&quot;$&quot;#,##0"/>
    <numFmt numFmtId="195" formatCode="0.0"/>
    <numFmt numFmtId="196" formatCode="&quot;$&quot;#,##0.000000000000_);[Red]\(&quot;$&quot;#,##0.000000000000\)"/>
    <numFmt numFmtId="197" formatCode="_(* #,##0.000000000000_);_(* \(#,##0.000000000000\);_(* &quot;-&quot;??_);_(@_)"/>
    <numFmt numFmtId="198" formatCode="_(* #,##0.00000_);_(* \(#,##0.00000\);_(* &quot;-&quot;??_);_(@_)"/>
    <numFmt numFmtId="199" formatCode="_(&quot;$&quot;* #,##0.00000_);_(&quot;$&quot;* \(#,##0.00000\);_(&quot;$&quot;* &quot;-&quot;??_);_(@_)"/>
    <numFmt numFmtId="200" formatCode="yyyy\-mm\-dd"/>
    <numFmt numFmtId="201" formatCode="_(* #,##0.000_);_(* \(#,##0.000\);_(* &quot;-&quot;??_);_(@_)"/>
  </numFmts>
  <fonts count="166">
    <font>
      <sz val="11"/>
      <color theme="1"/>
      <name val="Calibri"/>
      <family val="2"/>
      <scheme val="minor"/>
    </font>
    <font>
      <sz val="11"/>
      <color theme="1"/>
      <name val="Calibri"/>
      <family val="2"/>
      <scheme val="minor"/>
    </font>
    <font>
      <b/>
      <sz val="11"/>
      <color theme="1"/>
      <name val="Calibri"/>
      <family val="2"/>
      <scheme val="minor"/>
    </font>
    <font>
      <b/>
      <sz val="10"/>
      <name val="Arial Narrow"/>
      <family val="2"/>
    </font>
    <font>
      <b/>
      <sz val="12"/>
      <color theme="1"/>
      <name val="Arial Narrow"/>
      <family val="2"/>
    </font>
    <font>
      <sz val="12"/>
      <color theme="1"/>
      <name val="Arial Narrow"/>
      <family val="2"/>
    </font>
    <font>
      <sz val="12"/>
      <color rgb="FFFF0000"/>
      <name val="Arial Narrow"/>
      <family val="2"/>
    </font>
    <font>
      <sz val="10"/>
      <color theme="1"/>
      <name val="Arial Narrow"/>
      <family val="2"/>
    </font>
    <font>
      <sz val="9"/>
      <color theme="1"/>
      <name val="Arial Narrow"/>
      <family val="2"/>
    </font>
    <font>
      <sz val="9"/>
      <name val="Arial Narrow"/>
      <family val="2"/>
    </font>
    <font>
      <sz val="11"/>
      <color theme="1"/>
      <name val="Arial Narrow"/>
      <family val="2"/>
    </font>
    <font>
      <sz val="11"/>
      <color theme="0" tint="-0.14999847407452621"/>
      <name val="Arial Narrow"/>
      <family val="2"/>
    </font>
    <font>
      <b/>
      <sz val="9"/>
      <color theme="0"/>
      <name val="Arial Narrow"/>
      <family val="2"/>
    </font>
    <font>
      <sz val="9"/>
      <color rgb="FFFF0000"/>
      <name val="Arial Narrow"/>
      <family val="2"/>
    </font>
    <font>
      <sz val="10"/>
      <name val="Arial Narrow"/>
      <family val="2"/>
    </font>
    <font>
      <b/>
      <sz val="11"/>
      <color rgb="FFFF0000"/>
      <name val="Calibri"/>
      <family val="2"/>
      <scheme val="minor"/>
    </font>
    <font>
      <sz val="11"/>
      <color rgb="FFFF0000"/>
      <name val="Calibri"/>
      <family val="2"/>
      <scheme val="minor"/>
    </font>
    <font>
      <sz val="9"/>
      <color indexed="81"/>
      <name val="Tahoma"/>
      <family val="2"/>
    </font>
    <font>
      <b/>
      <sz val="9"/>
      <color indexed="81"/>
      <name val="Tahoma"/>
      <family val="2"/>
    </font>
    <font>
      <sz val="11"/>
      <color theme="2"/>
      <name val="Calibri"/>
      <family val="2"/>
      <scheme val="minor"/>
    </font>
    <font>
      <sz val="12"/>
      <color theme="1"/>
      <name val="Times New Roman"/>
      <family val="2"/>
    </font>
    <font>
      <b/>
      <sz val="12"/>
      <color rgb="FF000000"/>
      <name val="Times New Roman"/>
      <family val="1"/>
    </font>
    <font>
      <b/>
      <sz val="13"/>
      <color theme="1"/>
      <name val="Calibri"/>
      <family val="2"/>
      <scheme val="minor"/>
    </font>
    <font>
      <sz val="12"/>
      <name val="Arial Narrow"/>
      <family val="2"/>
    </font>
    <font>
      <b/>
      <sz val="12"/>
      <color rgb="FF000000"/>
      <name val="Arial Narrow"/>
      <family val="2"/>
    </font>
    <font>
      <sz val="12"/>
      <color rgb="FF201F1E"/>
      <name val="Arial Narrow"/>
      <family val="2"/>
    </font>
    <font>
      <sz val="12"/>
      <color rgb="FF000000"/>
      <name val="Arial Narrow"/>
      <family val="2"/>
    </font>
    <font>
      <b/>
      <sz val="12"/>
      <color rgb="FFFF0000"/>
      <name val="Arial Narrow"/>
      <family val="2"/>
    </font>
    <font>
      <sz val="9"/>
      <name val="Arial"/>
      <family val="2"/>
    </font>
    <font>
      <b/>
      <sz val="11"/>
      <color theme="0"/>
      <name val="Calibri"/>
      <family val="2"/>
      <scheme val="minor"/>
    </font>
    <font>
      <b/>
      <sz val="11"/>
      <name val="Calibri"/>
      <family val="2"/>
      <scheme val="minor"/>
    </font>
    <font>
      <sz val="11"/>
      <name val="Calibri"/>
      <family val="2"/>
      <scheme val="minor"/>
    </font>
    <font>
      <b/>
      <sz val="9"/>
      <color rgb="FFFF0000"/>
      <name val="Arial Narrow"/>
      <family val="2"/>
    </font>
    <font>
      <b/>
      <sz val="9"/>
      <name val="Arial Narrow"/>
      <family val="2"/>
    </font>
    <font>
      <sz val="10"/>
      <name val="Arial"/>
      <family val="2"/>
    </font>
    <font>
      <sz val="9"/>
      <color theme="0" tint="-0.249977111117893"/>
      <name val="Arial Narrow"/>
      <family val="2"/>
    </font>
    <font>
      <b/>
      <sz val="11"/>
      <color theme="1" tint="4.9989318521683403E-2"/>
      <name val="Arial Narrow"/>
      <family val="2"/>
    </font>
    <font>
      <b/>
      <sz val="11"/>
      <color theme="1"/>
      <name val="Arial Narrow"/>
      <family val="2"/>
    </font>
    <font>
      <sz val="11"/>
      <color theme="0" tint="-0.14999847407452621"/>
      <name val="Calibri"/>
      <family val="2"/>
      <scheme val="minor"/>
    </font>
    <font>
      <sz val="11"/>
      <name val="Arial Narrow"/>
      <family val="2"/>
    </font>
    <font>
      <sz val="11"/>
      <color theme="0"/>
      <name val="Calibri"/>
      <family val="2"/>
      <scheme val="minor"/>
    </font>
    <font>
      <sz val="10"/>
      <name val="Arial"/>
      <family val="2"/>
    </font>
    <font>
      <b/>
      <sz val="12"/>
      <color indexed="9"/>
      <name val="Calibri"/>
      <family val="2"/>
      <scheme val="minor"/>
    </font>
    <font>
      <b/>
      <sz val="11"/>
      <color indexed="8"/>
      <name val="Calibri"/>
      <family val="2"/>
      <scheme val="minor"/>
    </font>
    <font>
      <b/>
      <sz val="10"/>
      <color indexed="9"/>
      <name val="Calibri"/>
      <family val="2"/>
      <scheme val="minor"/>
    </font>
    <font>
      <b/>
      <sz val="11"/>
      <color indexed="18"/>
      <name val="Calibri"/>
      <family val="2"/>
      <scheme val="minor"/>
    </font>
    <font>
      <sz val="11"/>
      <color indexed="18"/>
      <name val="Calibri"/>
      <family val="2"/>
      <scheme val="minor"/>
    </font>
    <font>
      <b/>
      <i/>
      <sz val="10"/>
      <color indexed="9"/>
      <name val="Calibri"/>
      <family val="2"/>
      <scheme val="minor"/>
    </font>
    <font>
      <b/>
      <i/>
      <sz val="11"/>
      <color indexed="8"/>
      <name val="Calibri"/>
      <family val="2"/>
      <scheme val="minor"/>
    </font>
    <font>
      <b/>
      <sz val="16"/>
      <color rgb="FFFF0000"/>
      <name val="Calibri"/>
      <family val="2"/>
      <scheme val="minor"/>
    </font>
    <font>
      <sz val="16"/>
      <color rgb="FFFF0000"/>
      <name val="Calibri"/>
      <family val="2"/>
      <scheme val="minor"/>
    </font>
    <font>
      <i/>
      <sz val="11"/>
      <color theme="1"/>
      <name val="Calibri"/>
      <family val="2"/>
      <scheme val="minor"/>
    </font>
    <font>
      <i/>
      <sz val="11"/>
      <color theme="5" tint="-0.249977111117893"/>
      <name val="Calibri"/>
      <family val="2"/>
      <scheme val="minor"/>
    </font>
    <font>
      <b/>
      <i/>
      <sz val="11"/>
      <color theme="5" tint="-0.249977111117893"/>
      <name val="Calibri"/>
      <family val="2"/>
      <scheme val="minor"/>
    </font>
    <font>
      <b/>
      <sz val="11"/>
      <color theme="5" tint="-0.249977111117893"/>
      <name val="Calibri"/>
      <family val="2"/>
      <scheme val="minor"/>
    </font>
    <font>
      <sz val="11"/>
      <color theme="5" tint="-0.249977111117893"/>
      <name val="Calibri"/>
      <family val="2"/>
      <scheme val="minor"/>
    </font>
    <font>
      <b/>
      <u/>
      <sz val="14"/>
      <color rgb="FFFF0000"/>
      <name val="Calibri"/>
      <family val="2"/>
      <scheme val="minor"/>
    </font>
    <font>
      <b/>
      <u/>
      <sz val="9"/>
      <color rgb="FFFF0000"/>
      <name val="Calibri"/>
      <family val="2"/>
      <scheme val="minor"/>
    </font>
    <font>
      <sz val="9"/>
      <color theme="1"/>
      <name val="Calibri"/>
      <family val="2"/>
      <scheme val="minor"/>
    </font>
    <font>
      <sz val="10"/>
      <color indexed="9"/>
      <name val="Calibri"/>
      <family val="2"/>
      <scheme val="minor"/>
    </font>
    <font>
      <b/>
      <sz val="9"/>
      <color indexed="9"/>
      <name val="Arial Narrow"/>
      <family val="2"/>
    </font>
    <font>
      <sz val="10"/>
      <color indexed="18"/>
      <name val="Calibri"/>
      <family val="2"/>
      <scheme val="minor"/>
    </font>
    <font>
      <sz val="10"/>
      <color theme="1"/>
      <name val="Calibri"/>
      <family val="2"/>
      <scheme val="minor"/>
    </font>
    <font>
      <b/>
      <sz val="10"/>
      <color indexed="18"/>
      <name val="Calibri"/>
      <family val="2"/>
      <scheme val="minor"/>
    </font>
    <font>
      <b/>
      <sz val="11"/>
      <color theme="9" tint="0.79998168889431442"/>
      <name val="Calibri"/>
      <family val="2"/>
      <scheme val="minor"/>
    </font>
    <font>
      <b/>
      <sz val="11"/>
      <color theme="4" tint="0.79998168889431442"/>
      <name val="Calibri"/>
      <family val="2"/>
      <scheme val="minor"/>
    </font>
    <font>
      <b/>
      <sz val="11"/>
      <color theme="5" tint="0.79998168889431442"/>
      <name val="Calibri"/>
      <family val="2"/>
      <scheme val="minor"/>
    </font>
    <font>
      <sz val="11"/>
      <color theme="0" tint="-0.249977111117893"/>
      <name val="Calibri"/>
      <family val="2"/>
      <scheme val="minor"/>
    </font>
    <font>
      <sz val="12"/>
      <color theme="1"/>
      <name val="Times New Roman"/>
      <family val="1"/>
    </font>
    <font>
      <sz val="11"/>
      <color theme="1"/>
      <name val="Times New Roman"/>
      <family val="1"/>
    </font>
    <font>
      <i/>
      <sz val="11"/>
      <color indexed="8"/>
      <name val="Calibri"/>
      <family val="2"/>
      <scheme val="minor"/>
    </font>
    <font>
      <i/>
      <sz val="11"/>
      <color indexed="18"/>
      <name val="Calibri"/>
      <family val="2"/>
      <scheme val="minor"/>
    </font>
    <font>
      <b/>
      <i/>
      <sz val="11"/>
      <color indexed="18"/>
      <name val="Calibri"/>
      <family val="2"/>
      <scheme val="minor"/>
    </font>
    <font>
      <b/>
      <sz val="11"/>
      <name val="Arial Narrow"/>
      <family val="2"/>
    </font>
    <font>
      <b/>
      <sz val="11"/>
      <color theme="0"/>
      <name val="Arial Narrow"/>
      <family val="2"/>
    </font>
    <font>
      <b/>
      <i/>
      <sz val="11"/>
      <name val="Arial Narrow"/>
      <family val="2"/>
    </font>
    <font>
      <i/>
      <sz val="11"/>
      <name val="Arial Narrow"/>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1"/>
      <name val="Calibri"/>
      <family val="2"/>
      <charset val="163"/>
      <scheme val="minor"/>
    </font>
    <font>
      <sz val="10"/>
      <name val="MS Sans Serif"/>
    </font>
    <font>
      <sz val="18"/>
      <color theme="3"/>
      <name val="Calibri Light"/>
      <family val="2"/>
      <charset val="163"/>
      <scheme val="major"/>
    </font>
    <font>
      <b/>
      <sz val="15"/>
      <color theme="3"/>
      <name val="Calibri"/>
      <family val="2"/>
      <charset val="163"/>
      <scheme val="minor"/>
    </font>
    <font>
      <b/>
      <sz val="13"/>
      <color theme="3"/>
      <name val="Calibri"/>
      <family val="2"/>
      <charset val="163"/>
      <scheme val="minor"/>
    </font>
    <font>
      <b/>
      <sz val="11"/>
      <color theme="3"/>
      <name val="Calibri"/>
      <family val="2"/>
      <charset val="163"/>
      <scheme val="minor"/>
    </font>
    <font>
      <sz val="11"/>
      <color rgb="FF006100"/>
      <name val="Calibri"/>
      <family val="2"/>
      <charset val="163"/>
      <scheme val="minor"/>
    </font>
    <font>
      <sz val="11"/>
      <color rgb="FF9C0006"/>
      <name val="Calibri"/>
      <family val="2"/>
      <charset val="163"/>
      <scheme val="minor"/>
    </font>
    <font>
      <sz val="11"/>
      <color rgb="FF9C5700"/>
      <name val="Calibri"/>
      <family val="2"/>
      <charset val="163"/>
      <scheme val="minor"/>
    </font>
    <font>
      <sz val="11"/>
      <color rgb="FF3F3F76"/>
      <name val="Calibri"/>
      <family val="2"/>
      <charset val="163"/>
      <scheme val="minor"/>
    </font>
    <font>
      <b/>
      <sz val="11"/>
      <color rgb="FF3F3F3F"/>
      <name val="Calibri"/>
      <family val="2"/>
      <charset val="163"/>
      <scheme val="minor"/>
    </font>
    <font>
      <b/>
      <sz val="11"/>
      <color rgb="FFFA7D00"/>
      <name val="Calibri"/>
      <family val="2"/>
      <charset val="163"/>
      <scheme val="minor"/>
    </font>
    <font>
      <sz val="11"/>
      <color rgb="FFFA7D00"/>
      <name val="Calibri"/>
      <family val="2"/>
      <charset val="163"/>
      <scheme val="minor"/>
    </font>
    <font>
      <b/>
      <sz val="11"/>
      <color theme="0"/>
      <name val="Calibri"/>
      <family val="2"/>
      <charset val="163"/>
      <scheme val="minor"/>
    </font>
    <font>
      <sz val="11"/>
      <color rgb="FFFF0000"/>
      <name val="Calibri"/>
      <family val="2"/>
      <charset val="163"/>
      <scheme val="minor"/>
    </font>
    <font>
      <i/>
      <sz val="11"/>
      <color rgb="FF7F7F7F"/>
      <name val="Calibri"/>
      <family val="2"/>
      <charset val="163"/>
      <scheme val="minor"/>
    </font>
    <font>
      <b/>
      <sz val="11"/>
      <color theme="1"/>
      <name val="Calibri"/>
      <family val="2"/>
      <charset val="163"/>
      <scheme val="minor"/>
    </font>
    <font>
      <sz val="11"/>
      <color theme="0"/>
      <name val="Calibri"/>
      <family val="2"/>
      <charset val="163"/>
      <scheme val="minor"/>
    </font>
    <font>
      <sz val="11"/>
      <color theme="0"/>
      <name val="Arial Narrow"/>
      <family val="2"/>
    </font>
    <font>
      <sz val="11"/>
      <color indexed="8"/>
      <name val="Calibri"/>
      <family val="2"/>
      <scheme val="minor"/>
    </font>
    <font>
      <sz val="10"/>
      <color theme="1"/>
      <name val="微软雅黑"/>
      <family val="2"/>
      <charset val="134"/>
    </font>
    <font>
      <sz val="11"/>
      <color theme="1"/>
      <name val="Calibri"/>
      <family val="3"/>
      <charset val="134"/>
      <scheme val="minor"/>
    </font>
    <font>
      <b/>
      <sz val="11"/>
      <color theme="3"/>
      <name val="Calibri"/>
      <family val="2"/>
      <charset val="204"/>
      <scheme val="minor"/>
    </font>
    <font>
      <b/>
      <sz val="11"/>
      <color rgb="FFFF0000"/>
      <name val="Arial Narrow"/>
      <family val="2"/>
    </font>
    <font>
      <b/>
      <sz val="12"/>
      <color rgb="FFFF0000"/>
      <name val="Calibri"/>
      <family val="2"/>
      <scheme val="minor"/>
    </font>
    <font>
      <sz val="11"/>
      <color rgb="FF00B050"/>
      <name val="Calibri"/>
      <family val="2"/>
      <scheme val="minor"/>
    </font>
    <font>
      <i/>
      <sz val="11"/>
      <color rgb="FFFF0000"/>
      <name val="Arial Narrow"/>
      <family val="2"/>
    </font>
    <font>
      <i/>
      <sz val="10"/>
      <color indexed="18"/>
      <name val="Calibri"/>
      <family val="2"/>
      <scheme val="minor"/>
    </font>
    <font>
      <b/>
      <i/>
      <sz val="10"/>
      <color indexed="18"/>
      <name val="Calibri"/>
      <family val="2"/>
      <scheme val="minor"/>
    </font>
    <font>
      <b/>
      <i/>
      <sz val="10"/>
      <name val="Calibri"/>
      <family val="2"/>
      <scheme val="minor"/>
    </font>
    <font>
      <b/>
      <sz val="9"/>
      <color rgb="FF1F497D"/>
      <name val="Arial Narrow"/>
      <family val="2"/>
    </font>
    <font>
      <sz val="9"/>
      <color rgb="FF1F497D"/>
      <name val="Arial Narrow"/>
      <family val="2"/>
    </font>
    <font>
      <b/>
      <sz val="9"/>
      <color rgb="FF002060"/>
      <name val="Arial Narrow"/>
      <family val="2"/>
    </font>
    <font>
      <sz val="9"/>
      <color theme="0"/>
      <name val="Arial Narrow"/>
      <family val="2"/>
    </font>
    <font>
      <b/>
      <sz val="9"/>
      <color theme="1"/>
      <name val="Arial Narrow"/>
      <family val="2"/>
    </font>
    <font>
      <b/>
      <sz val="9"/>
      <color rgb="FF008000"/>
      <name val="Arial Narrow"/>
      <family val="2"/>
    </font>
    <font>
      <b/>
      <u/>
      <sz val="9"/>
      <color theme="1"/>
      <name val="Arial Narrow"/>
      <family val="2"/>
    </font>
    <font>
      <sz val="9"/>
      <color rgb="FF008000"/>
      <name val="Arial Narrow"/>
      <family val="2"/>
    </font>
    <font>
      <sz val="9"/>
      <color theme="2"/>
      <name val="Arial Narrow"/>
      <family val="2"/>
    </font>
    <font>
      <b/>
      <sz val="10"/>
      <color theme="1"/>
      <name val="Calibri"/>
      <family val="2"/>
      <scheme val="minor"/>
    </font>
    <font>
      <sz val="11"/>
      <color theme="4" tint="-0.249977111117893"/>
      <name val="Calibri"/>
      <family val="2"/>
      <scheme val="minor"/>
    </font>
    <font>
      <sz val="11"/>
      <color rgb="FF000000"/>
      <name val="Calibri"/>
      <family val="2"/>
      <scheme val="minor"/>
    </font>
    <font>
      <sz val="10"/>
      <name val="Arial"/>
      <family val="2"/>
    </font>
    <font>
      <sz val="8"/>
      <name val="Calibri"/>
      <family val="2"/>
      <scheme val="minor"/>
    </font>
    <font>
      <sz val="11"/>
      <color theme="2" tint="-9.9978637043366805E-2"/>
      <name val="Calibri"/>
      <family val="2"/>
      <scheme val="minor"/>
    </font>
    <font>
      <sz val="11"/>
      <color rgb="FFFF0000"/>
      <name val="Arial Narrow"/>
      <family val="2"/>
    </font>
    <font>
      <sz val="11"/>
      <color rgb="FF002060"/>
      <name val="Calibri"/>
      <family val="2"/>
      <scheme val="minor"/>
    </font>
    <font>
      <sz val="9"/>
      <color theme="4" tint="0.79998168889431442"/>
      <name val="Arial Narrow"/>
      <family val="2"/>
    </font>
    <font>
      <b/>
      <sz val="11"/>
      <color theme="4"/>
      <name val="Calibri"/>
      <family val="2"/>
      <scheme val="minor"/>
    </font>
    <font>
      <sz val="8"/>
      <color indexed="8"/>
      <name val="Verdana"/>
      <family val="2"/>
    </font>
    <font>
      <sz val="8"/>
      <name val="Arial"/>
      <family val="2"/>
    </font>
    <font>
      <b/>
      <sz val="8"/>
      <color theme="0"/>
      <name val="Arial"/>
      <family val="2"/>
    </font>
    <font>
      <b/>
      <sz val="7"/>
      <color indexed="9"/>
      <name val="Arial"/>
      <family val="2"/>
    </font>
    <font>
      <sz val="11"/>
      <color theme="4"/>
      <name val="Calibri"/>
      <family val="2"/>
      <scheme val="minor"/>
    </font>
    <font>
      <sz val="11"/>
      <color theme="4"/>
      <name val="Arial Narrow"/>
      <family val="2"/>
    </font>
    <font>
      <sz val="9"/>
      <color theme="1"/>
      <name val="Arial"/>
      <family val="2"/>
    </font>
    <font>
      <sz val="11"/>
      <color theme="1"/>
      <name val="Arial"/>
      <family val="2"/>
    </font>
    <font>
      <b/>
      <sz val="10"/>
      <color theme="1"/>
      <name val="Arial"/>
      <family val="2"/>
    </font>
    <font>
      <b/>
      <sz val="12"/>
      <color theme="1"/>
      <name val="Arial"/>
      <family val="2"/>
    </font>
    <font>
      <b/>
      <sz val="11"/>
      <color theme="1"/>
      <name val="Arial"/>
      <family val="2"/>
    </font>
    <font>
      <b/>
      <sz val="10"/>
      <color theme="0"/>
      <name val="Arial"/>
      <family val="2"/>
    </font>
    <font>
      <b/>
      <sz val="9"/>
      <name val="Arial"/>
      <family val="2"/>
    </font>
    <font>
      <b/>
      <sz val="9"/>
      <color theme="1"/>
      <name val="Arial"/>
      <family val="2"/>
    </font>
    <font>
      <sz val="10"/>
      <color indexed="8"/>
      <name val="Calibri"/>
      <family val="2"/>
    </font>
    <font>
      <sz val="7"/>
      <color rgb="FF212121"/>
      <name val="Arial"/>
      <family val="2"/>
    </font>
    <font>
      <b/>
      <sz val="11"/>
      <color theme="0" tint="-0.14999847407452621"/>
      <name val="Calibri"/>
      <family val="2"/>
      <scheme val="minor"/>
    </font>
    <font>
      <b/>
      <sz val="11"/>
      <color theme="2" tint="-0.249977111117893"/>
      <name val="Arial Narrow"/>
      <family val="2"/>
    </font>
    <font>
      <b/>
      <sz val="11"/>
      <color theme="0" tint="-0.34998626667073579"/>
      <name val="Calibri"/>
      <family val="2"/>
      <scheme val="minor"/>
    </font>
    <font>
      <sz val="11"/>
      <color theme="5" tint="0.39997558519241921"/>
      <name val="Calibri"/>
      <family val="2"/>
      <scheme val="minor"/>
    </font>
    <font>
      <sz val="11"/>
      <color theme="9"/>
      <name val="Calibri"/>
      <family val="2"/>
      <scheme val="minor"/>
    </font>
    <font>
      <sz val="10"/>
      <color indexed="8"/>
      <name val="Arial Unicode MS"/>
    </font>
    <font>
      <sz val="11"/>
      <color rgb="FF000000"/>
      <name val="Aptos Narrow"/>
      <family val="2"/>
    </font>
    <font>
      <sz val="11"/>
      <color theme="1"/>
      <name val="Arial Narrow"/>
      <family val="2"/>
    </font>
    <font>
      <b/>
      <sz val="11"/>
      <color theme="0" tint="-0.249977111117893"/>
      <name val="Calibri"/>
      <family val="2"/>
      <scheme val="minor"/>
    </font>
    <font>
      <b/>
      <sz val="11"/>
      <color rgb="FF000080"/>
      <name val="Calibri"/>
      <family val="2"/>
      <scheme val="minor"/>
    </font>
    <font>
      <b/>
      <sz val="11"/>
      <color theme="4"/>
      <name val="Arial Narrow"/>
      <family val="2"/>
    </font>
    <font>
      <b/>
      <sz val="11"/>
      <color theme="8"/>
      <name val="Calibri"/>
      <family val="2"/>
      <scheme val="minor"/>
    </font>
  </fonts>
  <fills count="7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indexed="20"/>
        <bgColor indexed="24"/>
      </patternFill>
    </fill>
    <fill>
      <patternFill patternType="solid">
        <fgColor indexed="18"/>
        <bgColor indexed="24"/>
      </patternFill>
    </fill>
    <fill>
      <patternFill patternType="solid">
        <fgColor theme="0" tint="-0.14999847407452621"/>
        <bgColor indexed="24"/>
      </patternFill>
    </fill>
    <fill>
      <patternFill patternType="solid">
        <fgColor theme="4" tint="0.79998168889431442"/>
        <bgColor indexed="24"/>
      </patternFill>
    </fill>
    <fill>
      <patternFill patternType="solid">
        <fgColor theme="5" tint="0.79998168889431442"/>
        <bgColor indexed="24"/>
      </patternFill>
    </fill>
    <fill>
      <patternFill patternType="solid">
        <fgColor theme="0"/>
        <bgColor indexed="24"/>
      </patternFill>
    </fill>
    <fill>
      <patternFill patternType="solid">
        <fgColor rgb="FFFBF878"/>
        <bgColor indexed="64"/>
      </patternFill>
    </fill>
    <fill>
      <patternFill patternType="solid">
        <fgColor theme="4" tint="0.79998168889431442"/>
        <bgColor theme="4" tint="0.79998168889431442"/>
      </patternFill>
    </fill>
    <fill>
      <patternFill patternType="solid">
        <fgColor theme="0" tint="-0.34998626667073579"/>
        <bgColor indexed="64"/>
      </patternFill>
    </fill>
    <fill>
      <patternFill patternType="solid">
        <fgColor theme="2"/>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002060"/>
        <bgColor indexed="64"/>
      </patternFill>
    </fill>
    <fill>
      <patternFill patternType="solid">
        <fgColor theme="6" tint="0.79998168889431442"/>
        <bgColor indexed="64"/>
      </patternFill>
    </fill>
    <fill>
      <patternFill patternType="solid">
        <fgColor theme="4" tint="-0.499984740745262"/>
        <bgColor indexed="24"/>
      </patternFill>
    </fill>
    <fill>
      <patternFill patternType="solid">
        <fgColor theme="4"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7" tint="0.79998168889431442"/>
        <bgColor indexed="24"/>
      </patternFill>
    </fill>
    <fill>
      <patternFill patternType="solid">
        <fgColor theme="5"/>
        <bgColor indexed="64"/>
      </patternFill>
    </fill>
    <fill>
      <patternFill patternType="solid">
        <fgColor rgb="FF000080"/>
        <bgColor indexed="64"/>
      </patternFill>
    </fill>
    <fill>
      <patternFill patternType="solid">
        <fgColor rgb="FF000080"/>
        <bgColor indexed="24"/>
      </patternFill>
    </fill>
    <fill>
      <patternFill patternType="solid">
        <fgColor rgb="FF92D050"/>
        <bgColor indexed="64"/>
      </patternFill>
    </fill>
    <fill>
      <patternFill patternType="solid">
        <fgColor rgb="FF92D050"/>
        <bgColor theme="4" tint="0.79998168889431442"/>
      </patternFill>
    </fill>
    <fill>
      <patternFill patternType="solid">
        <fgColor theme="5" tint="0.39997558519241921"/>
        <bgColor indexed="64"/>
      </patternFill>
    </fill>
    <fill>
      <patternFill patternType="solid">
        <fgColor theme="5" tint="0.39997558519241921"/>
        <bgColor theme="4" tint="0.79998168889431442"/>
      </patternFill>
    </fill>
    <fill>
      <patternFill patternType="solid">
        <fgColor theme="9"/>
        <bgColor indexed="64"/>
      </patternFill>
    </fill>
    <fill>
      <patternFill patternType="solid">
        <fgColor rgb="FF0070C0"/>
        <bgColor indexed="64"/>
      </patternFill>
    </fill>
    <fill>
      <patternFill patternType="solid">
        <fgColor rgb="FF005790"/>
        <bgColor indexed="64"/>
      </patternFill>
    </fill>
    <fill>
      <patternFill patternType="solid">
        <fgColor rgb="FF4D93D9"/>
        <bgColor indexed="64"/>
      </patternFill>
    </fill>
    <fill>
      <patternFill patternType="solid">
        <fgColor rgb="FFFF0000"/>
        <bgColor indexed="64"/>
      </patternFill>
    </fill>
  </fills>
  <borders count="10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bottom style="thin">
        <color auto="1"/>
      </bottom>
      <diagonal/>
    </border>
    <border>
      <left style="medium">
        <color indexed="64"/>
      </left>
      <right/>
      <top/>
      <bottom/>
      <diagonal/>
    </border>
    <border>
      <left/>
      <right/>
      <top style="thin">
        <color indexed="64"/>
      </top>
      <bottom style="double">
        <color indexed="64"/>
      </bottom>
      <diagonal/>
    </border>
    <border>
      <left/>
      <right/>
      <top/>
      <bottom style="thin">
        <color auto="1"/>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right/>
      <top style="thin">
        <color indexed="64"/>
      </top>
      <bottom/>
      <diagonal/>
    </border>
    <border>
      <left style="medium">
        <color indexed="64"/>
      </left>
      <right/>
      <top/>
      <bottom style="double">
        <color indexed="64"/>
      </bottom>
      <diagonal/>
    </border>
    <border>
      <left/>
      <right/>
      <top/>
      <bottom style="double">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theme="4" tint="0.39997558519241921"/>
      </top>
      <bottom/>
      <diagonal/>
    </border>
    <border>
      <left/>
      <right/>
      <top/>
      <bottom style="thin">
        <color theme="4" tint="0.39997558519241921"/>
      </bottom>
      <diagonal/>
    </border>
    <border>
      <left style="medium">
        <color rgb="FFFF0000"/>
      </left>
      <right style="medium">
        <color rgb="FFFF0000"/>
      </right>
      <top style="thin">
        <color auto="1"/>
      </top>
      <bottom style="thin">
        <color auto="1"/>
      </bottom>
      <diagonal/>
    </border>
    <border>
      <left style="medium">
        <color rgb="FFFF0000"/>
      </left>
      <right style="medium">
        <color rgb="FFFF0000"/>
      </right>
      <top/>
      <bottom style="thin">
        <color indexed="64"/>
      </bottom>
      <diagonal/>
    </border>
    <border>
      <left style="medium">
        <color rgb="FFFF0000"/>
      </left>
      <right/>
      <top style="thin">
        <color indexed="64"/>
      </top>
      <bottom/>
      <diagonal/>
    </border>
    <border>
      <left style="medium">
        <color rgb="FFFF0000"/>
      </left>
      <right/>
      <top style="thin">
        <color auto="1"/>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auto="1"/>
      </right>
      <top style="medium">
        <color indexed="64"/>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bottom style="thin">
        <color auto="1"/>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rgb="FFFF0000"/>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style="medium">
        <color rgb="FFFF0000"/>
      </right>
      <top/>
      <bottom style="medium">
        <color rgb="FFFF0000"/>
      </bottom>
      <diagonal/>
    </border>
    <border>
      <left style="medium">
        <color indexed="64"/>
      </left>
      <right style="thin">
        <color auto="1"/>
      </right>
      <top/>
      <bottom/>
      <diagonal/>
    </border>
    <border>
      <left style="thin">
        <color auto="1"/>
      </left>
      <right style="thin">
        <color auto="1"/>
      </right>
      <top/>
      <bottom/>
      <diagonal/>
    </border>
    <border>
      <left style="thin">
        <color auto="1"/>
      </left>
      <right style="medium">
        <color indexed="64"/>
      </right>
      <top/>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3997314371166112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style="dashDotDot">
        <color indexed="64"/>
      </left>
      <right style="dashDotDot">
        <color indexed="64"/>
      </right>
      <top/>
      <bottom/>
      <diagonal/>
    </border>
    <border>
      <left style="dashDotDot">
        <color indexed="64"/>
      </left>
      <right style="dashDotDot">
        <color indexed="64"/>
      </right>
      <top style="thin">
        <color indexed="64"/>
      </top>
      <bottom style="double">
        <color indexed="64"/>
      </bottom>
      <diagonal/>
    </border>
    <border>
      <left/>
      <right style="dashDotDot">
        <color indexed="64"/>
      </right>
      <top style="medium">
        <color indexed="64"/>
      </top>
      <bottom style="thin">
        <color indexed="64"/>
      </bottom>
      <diagonal/>
    </border>
    <border>
      <left/>
      <right style="dashDotDot">
        <color indexed="64"/>
      </right>
      <top/>
      <bottom/>
      <diagonal/>
    </border>
    <border>
      <left/>
      <right style="dashDotDot">
        <color indexed="64"/>
      </right>
      <top/>
      <bottom style="medium">
        <color indexed="64"/>
      </bottom>
      <diagonal/>
    </border>
    <border>
      <left style="thin">
        <color auto="1"/>
      </left>
      <right/>
      <top/>
      <bottom/>
      <diagonal/>
    </border>
    <border>
      <left style="thin">
        <color auto="1"/>
      </left>
      <right/>
      <top style="medium">
        <color indexed="64"/>
      </top>
      <bottom style="thin">
        <color auto="1"/>
      </bottom>
      <diagonal/>
    </border>
    <border>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top style="thin">
        <color auto="1"/>
      </top>
      <bottom style="thin">
        <color auto="1"/>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auto="1"/>
      </left>
      <right/>
      <top style="thin">
        <color indexed="64"/>
      </top>
      <bottom style="thin">
        <color theme="4" tint="0.39997558519241921"/>
      </bottom>
      <diagonal/>
    </border>
    <border>
      <left style="medium">
        <color indexed="22"/>
      </left>
      <right style="medium">
        <color indexed="22"/>
      </right>
      <top style="medium">
        <color indexed="22"/>
      </top>
      <bottom style="medium">
        <color indexed="22"/>
      </bottom>
      <diagonal/>
    </border>
    <border>
      <left/>
      <right style="medium">
        <color indexed="22"/>
      </right>
      <top style="medium">
        <color indexed="22"/>
      </top>
      <bottom style="medium">
        <color indexed="22"/>
      </bottom>
      <diagonal/>
    </border>
    <border>
      <left style="thin">
        <color auto="1"/>
      </left>
      <right style="thin">
        <color auto="1"/>
      </right>
      <top style="thin">
        <color auto="1"/>
      </top>
      <bottom/>
      <diagonal/>
    </border>
    <border>
      <left style="thin">
        <color rgb="FF44B3E1"/>
      </left>
      <right/>
      <top style="thin">
        <color rgb="FF44B3E1"/>
      </top>
      <bottom style="thin">
        <color rgb="FF44B3E1"/>
      </bottom>
      <diagonal/>
    </border>
  </borders>
  <cellStyleXfs count="354">
    <xf numFmtId="0" fontId="0" fillId="0" borderId="0"/>
    <xf numFmtId="43" fontId="1" fillId="0" borderId="0" applyFont="0" applyFill="0" applyBorder="0" applyAlignment="0" applyProtection="0"/>
    <xf numFmtId="9" fontId="1" fillId="0" borderId="0" applyFont="0" applyFill="0" applyBorder="0" applyAlignment="0" applyProtection="0"/>
    <xf numFmtId="43" fontId="7"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28" fillId="0" borderId="0">
      <protection locked="0"/>
    </xf>
    <xf numFmtId="0" fontId="34" fillId="0" borderId="0"/>
    <xf numFmtId="0" fontId="41" fillId="0" borderId="0"/>
    <xf numFmtId="0" fontId="1" fillId="37" borderId="69" applyNumberFormat="0" applyFont="0" applyAlignment="0" applyProtection="0"/>
    <xf numFmtId="168" fontId="34" fillId="0" borderId="0" applyFont="0" applyFill="0" applyBorder="0" applyAlignment="0" applyProtection="0"/>
    <xf numFmtId="0" fontId="90" fillId="0" borderId="0"/>
    <xf numFmtId="0" fontId="34" fillId="0" borderId="0"/>
    <xf numFmtId="0" fontId="91" fillId="0" borderId="0" applyNumberFormat="0" applyFill="0" applyBorder="0" applyAlignment="0" applyProtection="0"/>
    <xf numFmtId="0" fontId="92" fillId="0" borderId="62" applyNumberFormat="0" applyFill="0" applyAlignment="0" applyProtection="0"/>
    <xf numFmtId="0" fontId="93" fillId="0" borderId="63" applyNumberFormat="0" applyFill="0" applyAlignment="0" applyProtection="0"/>
    <xf numFmtId="0" fontId="94" fillId="0" borderId="64" applyNumberFormat="0" applyFill="0" applyAlignment="0" applyProtection="0"/>
    <xf numFmtId="0" fontId="94" fillId="0" borderId="0" applyNumberFormat="0" applyFill="0" applyBorder="0" applyAlignment="0" applyProtection="0"/>
    <xf numFmtId="0" fontId="95" fillId="31" borderId="0" applyNumberFormat="0" applyBorder="0" applyAlignment="0" applyProtection="0"/>
    <xf numFmtId="0" fontId="96" fillId="32" borderId="0" applyNumberFormat="0" applyBorder="0" applyAlignment="0" applyProtection="0"/>
    <xf numFmtId="0" fontId="97" fillId="33" borderId="0" applyNumberFormat="0" applyBorder="0" applyAlignment="0" applyProtection="0"/>
    <xf numFmtId="0" fontId="98" fillId="34" borderId="65" applyNumberFormat="0" applyAlignment="0" applyProtection="0"/>
    <xf numFmtId="0" fontId="99" fillId="35" borderId="66" applyNumberFormat="0" applyAlignment="0" applyProtection="0"/>
    <xf numFmtId="0" fontId="100" fillId="35" borderId="65" applyNumberFormat="0" applyAlignment="0" applyProtection="0"/>
    <xf numFmtId="0" fontId="101" fillId="0" borderId="67" applyNumberFormat="0" applyFill="0" applyAlignment="0" applyProtection="0"/>
    <xf numFmtId="0" fontId="102" fillId="36" borderId="68" applyNumberFormat="0" applyAlignment="0" applyProtection="0"/>
    <xf numFmtId="0" fontId="103" fillId="0" borderId="0" applyNumberFormat="0" applyFill="0" applyBorder="0" applyAlignment="0" applyProtection="0"/>
    <xf numFmtId="0" fontId="104" fillId="0" borderId="0" applyNumberFormat="0" applyFill="0" applyBorder="0" applyAlignment="0" applyProtection="0"/>
    <xf numFmtId="0" fontId="105" fillId="0" borderId="70" applyNumberFormat="0" applyFill="0" applyAlignment="0" applyProtection="0"/>
    <xf numFmtId="0" fontId="106" fillId="38" borderId="0" applyNumberFormat="0" applyBorder="0" applyAlignment="0" applyProtection="0"/>
    <xf numFmtId="0" fontId="89" fillId="39" borderId="0" applyNumberFormat="0" applyBorder="0" applyAlignment="0" applyProtection="0"/>
    <xf numFmtId="0" fontId="89" fillId="40" borderId="0" applyNumberFormat="0" applyBorder="0" applyAlignment="0" applyProtection="0"/>
    <xf numFmtId="0" fontId="89" fillId="41" borderId="0" applyNumberFormat="0" applyBorder="0" applyAlignment="0" applyProtection="0"/>
    <xf numFmtId="0" fontId="106" fillId="42" borderId="0" applyNumberFormat="0" applyBorder="0" applyAlignment="0" applyProtection="0"/>
    <xf numFmtId="0" fontId="89" fillId="43" borderId="0" applyNumberFormat="0" applyBorder="0" applyAlignment="0" applyProtection="0"/>
    <xf numFmtId="0" fontId="89" fillId="44" borderId="0" applyNumberFormat="0" applyBorder="0" applyAlignment="0" applyProtection="0"/>
    <xf numFmtId="0" fontId="89" fillId="45" borderId="0" applyNumberFormat="0" applyBorder="0" applyAlignment="0" applyProtection="0"/>
    <xf numFmtId="0" fontId="106" fillId="46" borderId="0" applyNumberFormat="0" applyBorder="0" applyAlignment="0" applyProtection="0"/>
    <xf numFmtId="0" fontId="89" fillId="47" borderId="0" applyNumberFormat="0" applyBorder="0" applyAlignment="0" applyProtection="0"/>
    <xf numFmtId="0" fontId="89" fillId="48" borderId="0" applyNumberFormat="0" applyBorder="0" applyAlignment="0" applyProtection="0"/>
    <xf numFmtId="0" fontId="89" fillId="49" borderId="0" applyNumberFormat="0" applyBorder="0" applyAlignment="0" applyProtection="0"/>
    <xf numFmtId="0" fontId="106" fillId="50" borderId="0" applyNumberFormat="0" applyBorder="0" applyAlignment="0" applyProtection="0"/>
    <xf numFmtId="0" fontId="89" fillId="51" borderId="0" applyNumberFormat="0" applyBorder="0" applyAlignment="0" applyProtection="0"/>
    <xf numFmtId="0" fontId="89" fillId="52" borderId="0" applyNumberFormat="0" applyBorder="0" applyAlignment="0" applyProtection="0"/>
    <xf numFmtId="0" fontId="89" fillId="53" borderId="0" applyNumberFormat="0" applyBorder="0" applyAlignment="0" applyProtection="0"/>
    <xf numFmtId="0" fontId="106" fillId="54" borderId="0" applyNumberFormat="0" applyBorder="0" applyAlignment="0" applyProtection="0"/>
    <xf numFmtId="0" fontId="89" fillId="55" borderId="0" applyNumberFormat="0" applyBorder="0" applyAlignment="0" applyProtection="0"/>
    <xf numFmtId="0" fontId="89" fillId="56" borderId="0" applyNumberFormat="0" applyBorder="0" applyAlignment="0" applyProtection="0"/>
    <xf numFmtId="0" fontId="89" fillId="57" borderId="0" applyNumberFormat="0" applyBorder="0" applyAlignment="0" applyProtection="0"/>
    <xf numFmtId="0" fontId="106" fillId="58" borderId="0" applyNumberFormat="0" applyBorder="0" applyAlignment="0" applyProtection="0"/>
    <xf numFmtId="0" fontId="89" fillId="59" borderId="0" applyNumberFormat="0" applyBorder="0" applyAlignment="0" applyProtection="0"/>
    <xf numFmtId="0" fontId="89" fillId="60" borderId="0" applyNumberFormat="0" applyBorder="0" applyAlignment="0" applyProtection="0"/>
    <xf numFmtId="0" fontId="89" fillId="61" borderId="0" applyNumberFormat="0" applyBorder="0" applyAlignment="0" applyProtection="0"/>
    <xf numFmtId="0" fontId="89" fillId="0" borderId="0"/>
    <xf numFmtId="0" fontId="89" fillId="37" borderId="69" applyNumberFormat="0" applyFont="0" applyAlignment="0" applyProtection="0"/>
    <xf numFmtId="43" fontId="1" fillId="0" borderId="0" applyFont="0" applyFill="0" applyBorder="0" applyAlignment="0" applyProtection="0"/>
    <xf numFmtId="0" fontId="1" fillId="0" borderId="0"/>
    <xf numFmtId="165" fontId="89" fillId="0" borderId="0" applyFont="0" applyFill="0" applyBorder="0" applyAlignment="0" applyProtection="0"/>
    <xf numFmtId="165" fontId="1" fillId="0" borderId="0" applyFont="0" applyFill="0" applyBorder="0" applyAlignment="0" applyProtection="0"/>
    <xf numFmtId="9" fontId="89" fillId="0" borderId="0" applyFont="0" applyFill="0" applyBorder="0" applyAlignment="0" applyProtection="0"/>
    <xf numFmtId="43" fontId="34" fillId="0" borderId="0" applyFont="0" applyFill="0" applyBorder="0" applyAlignment="0" applyProtection="0"/>
    <xf numFmtId="168" fontId="1" fillId="0" borderId="0" applyFont="0" applyFill="0" applyBorder="0" applyAlignment="0" applyProtection="0"/>
    <xf numFmtId="0" fontId="77" fillId="0" borderId="0" applyNumberFormat="0" applyFill="0" applyBorder="0" applyAlignment="0" applyProtection="0"/>
    <xf numFmtId="0" fontId="78" fillId="0" borderId="62" applyNumberFormat="0" applyFill="0" applyAlignment="0" applyProtection="0"/>
    <xf numFmtId="0" fontId="79" fillId="0" borderId="63" applyNumberFormat="0" applyFill="0" applyAlignment="0" applyProtection="0"/>
    <xf numFmtId="0" fontId="80" fillId="0" borderId="64" applyNumberFormat="0" applyFill="0" applyAlignment="0" applyProtection="0"/>
    <xf numFmtId="0" fontId="80" fillId="0" borderId="0" applyNumberFormat="0" applyFill="0" applyBorder="0" applyAlignment="0" applyProtection="0"/>
    <xf numFmtId="0" fontId="81" fillId="31" borderId="0" applyNumberFormat="0" applyBorder="0" applyAlignment="0" applyProtection="0"/>
    <xf numFmtId="0" fontId="82" fillId="32" borderId="0" applyNumberFormat="0" applyBorder="0" applyAlignment="0" applyProtection="0"/>
    <xf numFmtId="0" fontId="83" fillId="33" borderId="0" applyNumberFormat="0" applyBorder="0" applyAlignment="0" applyProtection="0"/>
    <xf numFmtId="0" fontId="84" fillId="34" borderId="65" applyNumberFormat="0" applyAlignment="0" applyProtection="0"/>
    <xf numFmtId="0" fontId="85" fillId="35" borderId="66" applyNumberFormat="0" applyAlignment="0" applyProtection="0"/>
    <xf numFmtId="0" fontId="86" fillId="35" borderId="65" applyNumberFormat="0" applyAlignment="0" applyProtection="0"/>
    <xf numFmtId="0" fontId="87" fillId="0" borderId="67" applyNumberFormat="0" applyFill="0" applyAlignment="0" applyProtection="0"/>
    <xf numFmtId="0" fontId="29" fillId="36" borderId="68" applyNumberFormat="0" applyAlignment="0" applyProtection="0"/>
    <xf numFmtId="0" fontId="16" fillId="0" borderId="0" applyNumberFormat="0" applyFill="0" applyBorder="0" applyAlignment="0" applyProtection="0"/>
    <xf numFmtId="0" fontId="88" fillId="0" borderId="0" applyNumberFormat="0" applyFill="0" applyBorder="0" applyAlignment="0" applyProtection="0"/>
    <xf numFmtId="0" fontId="2" fillId="0" borderId="70" applyNumberFormat="0" applyFill="0" applyAlignment="0" applyProtection="0"/>
    <xf numFmtId="0" fontId="40"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40"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40"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40"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40" fillId="54"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40" fillId="58"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1" fillId="61" borderId="0" applyNumberFormat="0" applyBorder="0" applyAlignment="0" applyProtection="0"/>
    <xf numFmtId="0" fontId="108" fillId="0" borderId="0"/>
    <xf numFmtId="0" fontId="28" fillId="0" borderId="0">
      <protection locked="0"/>
    </xf>
    <xf numFmtId="186" fontId="110" fillId="0" borderId="0" applyFont="0" applyFill="0" applyBorder="0" applyAlignment="0" applyProtection="0">
      <alignment vertical="center"/>
    </xf>
    <xf numFmtId="164" fontId="28" fillId="0" borderId="0" applyFont="0" applyFill="0" applyBorder="0" applyAlignment="0" applyProtection="0"/>
    <xf numFmtId="9" fontId="28" fillId="0" borderId="0" applyFont="0" applyFill="0" applyBorder="0" applyAlignment="0" applyProtection="0">
      <alignment vertical="center"/>
    </xf>
    <xf numFmtId="0" fontId="109" fillId="0" borderId="0">
      <alignment vertical="center"/>
    </xf>
    <xf numFmtId="186" fontId="109" fillId="0" borderId="0" applyFont="0" applyFill="0" applyBorder="0" applyAlignment="0" applyProtection="0">
      <alignment vertical="center"/>
    </xf>
    <xf numFmtId="9" fontId="1" fillId="0" borderId="0" applyFont="0" applyFill="0" applyBorder="0" applyAlignment="0" applyProtection="0"/>
    <xf numFmtId="0" fontId="1" fillId="0" borderId="0"/>
    <xf numFmtId="0" fontId="111" fillId="0" borderId="71" applyNumberFormat="0" applyFill="0" applyAlignment="0" applyProtection="0"/>
    <xf numFmtId="43" fontId="1" fillId="0" borderId="0" applyFont="0" applyFill="0" applyBorder="0" applyAlignment="0" applyProtection="0"/>
    <xf numFmtId="0" fontId="34"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0" fontId="34" fillId="0" borderId="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77" fillId="0" borderId="0" applyNumberFormat="0" applyFill="0" applyBorder="0" applyAlignment="0" applyProtection="0"/>
    <xf numFmtId="0" fontId="78" fillId="0" borderId="62" applyNumberFormat="0" applyFill="0" applyAlignment="0" applyProtection="0"/>
    <xf numFmtId="0" fontId="79" fillId="0" borderId="63" applyNumberFormat="0" applyFill="0" applyAlignment="0" applyProtection="0"/>
    <xf numFmtId="0" fontId="80" fillId="0" borderId="64" applyNumberFormat="0" applyFill="0" applyAlignment="0" applyProtection="0"/>
    <xf numFmtId="0" fontId="80" fillId="0" borderId="0" applyNumberFormat="0" applyFill="0" applyBorder="0" applyAlignment="0" applyProtection="0"/>
    <xf numFmtId="0" fontId="81" fillId="31" borderId="0" applyNumberFormat="0" applyBorder="0" applyAlignment="0" applyProtection="0"/>
    <xf numFmtId="0" fontId="82" fillId="32" borderId="0" applyNumberFormat="0" applyBorder="0" applyAlignment="0" applyProtection="0"/>
    <xf numFmtId="0" fontId="83" fillId="33" borderId="0" applyNumberFormat="0" applyBorder="0" applyAlignment="0" applyProtection="0"/>
    <xf numFmtId="0" fontId="84" fillId="34" borderId="65" applyNumberFormat="0" applyAlignment="0" applyProtection="0"/>
    <xf numFmtId="0" fontId="85" fillId="35" borderId="66" applyNumberFormat="0" applyAlignment="0" applyProtection="0"/>
    <xf numFmtId="0" fontId="86" fillId="35" borderId="65" applyNumberFormat="0" applyAlignment="0" applyProtection="0"/>
    <xf numFmtId="0" fontId="87" fillId="0" borderId="67" applyNumberFormat="0" applyFill="0" applyAlignment="0" applyProtection="0"/>
    <xf numFmtId="0" fontId="29" fillId="36" borderId="68" applyNumberFormat="0" applyAlignment="0" applyProtection="0"/>
    <xf numFmtId="0" fontId="16" fillId="0" borderId="0" applyNumberFormat="0" applyFill="0" applyBorder="0" applyAlignment="0" applyProtection="0"/>
    <xf numFmtId="0" fontId="88" fillId="0" borderId="0" applyNumberFormat="0" applyFill="0" applyBorder="0" applyAlignment="0" applyProtection="0"/>
    <xf numFmtId="0" fontId="2" fillId="0" borderId="70" applyNumberFormat="0" applyFill="0" applyAlignment="0" applyProtection="0"/>
    <xf numFmtId="0" fontId="40"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40"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40"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40"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40" fillId="54"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40" fillId="58"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1" fillId="61" borderId="0" applyNumberFormat="0" applyBorder="0" applyAlignment="0" applyProtection="0"/>
    <xf numFmtId="0" fontId="130" fillId="0" borderId="0"/>
    <xf numFmtId="0" fontId="131" fillId="0" borderId="0"/>
    <xf numFmtId="0" fontId="139" fillId="0" borderId="0"/>
    <xf numFmtId="0" fontId="1" fillId="0" borderId="0" applyNumberFormat="0" applyFill="0" applyAlignment="0" applyProtection="0"/>
    <xf numFmtId="0" fontId="34" fillId="0" borderId="0" applyNumberFormat="0" applyFill="0" applyAlignment="0" applyProtection="0"/>
  </cellStyleXfs>
  <cellXfs count="1464">
    <xf numFmtId="0" fontId="0" fillId="0" borderId="0" xfId="0"/>
    <xf numFmtId="0" fontId="2" fillId="0" borderId="0" xfId="0" applyFont="1"/>
    <xf numFmtId="0" fontId="10" fillId="0" borderId="0" xfId="0" applyFont="1"/>
    <xf numFmtId="0" fontId="0" fillId="2" borderId="0" xfId="0" applyFill="1"/>
    <xf numFmtId="0" fontId="3" fillId="2" borderId="0" xfId="0" applyFont="1" applyFill="1" applyAlignment="1">
      <alignment vertical="center"/>
    </xf>
    <xf numFmtId="0" fontId="2" fillId="2" borderId="0" xfId="0" applyFont="1" applyFill="1"/>
    <xf numFmtId="43" fontId="0" fillId="0" borderId="0" xfId="0" applyNumberFormat="1"/>
    <xf numFmtId="0" fontId="10" fillId="0" borderId="0" xfId="0" applyFont="1" applyAlignment="1">
      <alignment horizontal="center"/>
    </xf>
    <xf numFmtId="43" fontId="0" fillId="5" borderId="0" xfId="1" applyFont="1" applyFill="1" applyBorder="1"/>
    <xf numFmtId="43" fontId="0" fillId="6" borderId="0" xfId="1" applyFont="1" applyFill="1" applyBorder="1"/>
    <xf numFmtId="43" fontId="0" fillId="7" borderId="0" xfId="1" applyFont="1" applyFill="1" applyBorder="1"/>
    <xf numFmtId="43" fontId="0" fillId="8" borderId="0" xfId="1" applyFont="1" applyFill="1" applyBorder="1"/>
    <xf numFmtId="43" fontId="2" fillId="6" borderId="0" xfId="1" applyFont="1" applyFill="1" applyBorder="1"/>
    <xf numFmtId="43" fontId="2" fillId="7" borderId="0" xfId="1" applyFont="1" applyFill="1" applyBorder="1"/>
    <xf numFmtId="43" fontId="2" fillId="5" borderId="0" xfId="1" applyFont="1" applyFill="1" applyBorder="1"/>
    <xf numFmtId="43" fontId="2" fillId="8" borderId="0" xfId="1" applyFont="1" applyFill="1" applyBorder="1"/>
    <xf numFmtId="43" fontId="0" fillId="2" borderId="0" xfId="0" applyNumberFormat="1" applyFill="1"/>
    <xf numFmtId="0" fontId="0" fillId="0" borderId="0" xfId="0" applyAlignment="1">
      <alignment horizontal="left"/>
    </xf>
    <xf numFmtId="0" fontId="16" fillId="2" borderId="0" xfId="0" applyFont="1" applyFill="1"/>
    <xf numFmtId="43" fontId="16" fillId="2" borderId="0" xfId="0" applyNumberFormat="1" applyFont="1" applyFill="1"/>
    <xf numFmtId="166" fontId="0" fillId="0" borderId="0" xfId="1" applyNumberFormat="1" applyFont="1"/>
    <xf numFmtId="0" fontId="7" fillId="2" borderId="0" xfId="0" applyFont="1" applyFill="1" applyAlignment="1">
      <alignment horizontal="left" vertical="center"/>
    </xf>
    <xf numFmtId="0" fontId="7" fillId="2" borderId="0" xfId="0" applyFont="1" applyFill="1" applyAlignment="1">
      <alignment vertical="center"/>
    </xf>
    <xf numFmtId="167" fontId="0" fillId="2" borderId="0" xfId="2" applyNumberFormat="1" applyFont="1" applyFill="1"/>
    <xf numFmtId="0" fontId="31" fillId="0" borderId="0" xfId="0" applyFont="1"/>
    <xf numFmtId="166" fontId="0" fillId="0" borderId="0" xfId="0" applyNumberFormat="1"/>
    <xf numFmtId="174" fontId="0" fillId="2" borderId="0" xfId="1" applyNumberFormat="1" applyFont="1" applyFill="1" applyBorder="1"/>
    <xf numFmtId="0" fontId="0" fillId="2" borderId="0" xfId="0" applyFill="1" applyAlignment="1">
      <alignment wrapText="1"/>
    </xf>
    <xf numFmtId="171" fontId="2" fillId="7" borderId="0" xfId="1" applyNumberFormat="1" applyFont="1" applyFill="1" applyBorder="1"/>
    <xf numFmtId="0" fontId="13" fillId="0" borderId="0" xfId="0" applyFont="1" applyAlignment="1">
      <alignment vertical="center"/>
    </xf>
    <xf numFmtId="0" fontId="16" fillId="0" borderId="0" xfId="0" applyFont="1"/>
    <xf numFmtId="166" fontId="10" fillId="0" borderId="0" xfId="1" applyNumberFormat="1" applyFont="1"/>
    <xf numFmtId="49" fontId="10" fillId="0" borderId="0" xfId="1" applyNumberFormat="1" applyFont="1"/>
    <xf numFmtId="0" fontId="29" fillId="9" borderId="0" xfId="0" applyFont="1" applyFill="1" applyAlignment="1">
      <alignment horizontal="center" vertical="center"/>
    </xf>
    <xf numFmtId="0" fontId="0" fillId="0" borderId="0" xfId="0" applyAlignment="1">
      <alignment horizontal="center"/>
    </xf>
    <xf numFmtId="0" fontId="29" fillId="0" borderId="0" xfId="0" applyFont="1" applyAlignment="1">
      <alignment horizontal="center" vertical="center"/>
    </xf>
    <xf numFmtId="0" fontId="30" fillId="0" borderId="0" xfId="0" applyFont="1" applyAlignment="1">
      <alignment horizontal="center" vertical="center"/>
    </xf>
    <xf numFmtId="0" fontId="11" fillId="0" borderId="0" xfId="0" applyFont="1"/>
    <xf numFmtId="0" fontId="2" fillId="13" borderId="0" xfId="0" applyFont="1" applyFill="1" applyAlignment="1">
      <alignment vertical="center"/>
    </xf>
    <xf numFmtId="0" fontId="0" fillId="13" borderId="0" xfId="0" applyFill="1"/>
    <xf numFmtId="43" fontId="0" fillId="13" borderId="0" xfId="1" applyFont="1" applyFill="1" applyBorder="1"/>
    <xf numFmtId="43" fontId="2" fillId="13" borderId="0" xfId="1" applyFont="1" applyFill="1" applyBorder="1"/>
    <xf numFmtId="0" fontId="2" fillId="0" borderId="0" xfId="0" applyFont="1" applyAlignment="1">
      <alignment horizontal="center" vertical="center"/>
    </xf>
    <xf numFmtId="0" fontId="38" fillId="0" borderId="0" xfId="0" applyFont="1"/>
    <xf numFmtId="43" fontId="10" fillId="0" borderId="0" xfId="0" applyNumberFormat="1" applyFont="1"/>
    <xf numFmtId="0" fontId="10" fillId="0" borderId="0" xfId="0" applyFont="1" applyAlignment="1">
      <alignment horizontal="left"/>
    </xf>
    <xf numFmtId="0" fontId="8" fillId="0" borderId="0" xfId="0" applyFont="1" applyAlignment="1">
      <alignment vertical="center"/>
    </xf>
    <xf numFmtId="0" fontId="0" fillId="0" borderId="0" xfId="0" applyAlignment="1">
      <alignment horizontal="left" vertical="center"/>
    </xf>
    <xf numFmtId="0" fontId="10" fillId="0" borderId="0" xfId="0" applyFont="1" applyAlignment="1">
      <alignment horizontal="center" vertical="center"/>
    </xf>
    <xf numFmtId="166" fontId="10" fillId="0" borderId="0" xfId="0" applyNumberFormat="1" applyFont="1"/>
    <xf numFmtId="172" fontId="20" fillId="0" borderId="7" xfId="1" applyNumberFormat="1" applyFont="1" applyFill="1" applyBorder="1"/>
    <xf numFmtId="0" fontId="8" fillId="0" borderId="0" xfId="0" applyFont="1" applyAlignment="1">
      <alignment horizontal="center" vertical="center"/>
    </xf>
    <xf numFmtId="0" fontId="8" fillId="0" borderId="0" xfId="0" applyFont="1" applyAlignment="1">
      <alignment horizontal="left" vertical="center"/>
    </xf>
    <xf numFmtId="0" fontId="0" fillId="0" borderId="0" xfId="0" applyAlignment="1">
      <alignment horizontal="left" indent="1"/>
    </xf>
    <xf numFmtId="43" fontId="16" fillId="0" borderId="0" xfId="0" applyNumberFormat="1" applyFont="1"/>
    <xf numFmtId="43" fontId="0" fillId="6" borderId="0" xfId="1" applyFont="1" applyFill="1"/>
    <xf numFmtId="43" fontId="0" fillId="5" borderId="0" xfId="1" applyFont="1" applyFill="1"/>
    <xf numFmtId="43" fontId="0" fillId="0" borderId="0" xfId="1" applyFont="1" applyFill="1"/>
    <xf numFmtId="167" fontId="0" fillId="2" borderId="0" xfId="0" applyNumberFormat="1" applyFill="1"/>
    <xf numFmtId="167" fontId="16" fillId="2" borderId="0" xfId="0" applyNumberFormat="1" applyFont="1" applyFill="1"/>
    <xf numFmtId="177" fontId="0" fillId="0" borderId="0" xfId="2" applyNumberFormat="1" applyFont="1"/>
    <xf numFmtId="0" fontId="37" fillId="3" borderId="0" xfId="0" applyFont="1" applyFill="1" applyAlignment="1">
      <alignment vertical="top"/>
    </xf>
    <xf numFmtId="0" fontId="10" fillId="3" borderId="0" xfId="0" applyFont="1" applyFill="1" applyAlignment="1">
      <alignment vertical="top"/>
    </xf>
    <xf numFmtId="0" fontId="10" fillId="3" borderId="0" xfId="0" applyFont="1" applyFill="1"/>
    <xf numFmtId="0" fontId="47" fillId="16" borderId="24" xfId="0" applyFont="1" applyFill="1" applyBorder="1" applyAlignment="1">
      <alignment horizontal="right" vertical="center" wrapText="1"/>
    </xf>
    <xf numFmtId="0" fontId="43" fillId="0" borderId="12" xfId="0" applyFont="1" applyBorder="1" applyAlignment="1">
      <alignment horizontal="left" vertical="center"/>
    </xf>
    <xf numFmtId="0" fontId="42" fillId="16" borderId="2" xfId="0" applyFont="1" applyFill="1" applyBorder="1" applyAlignment="1">
      <alignment horizontal="left" vertical="center"/>
    </xf>
    <xf numFmtId="0" fontId="47" fillId="16" borderId="16" xfId="0" applyFont="1" applyFill="1" applyBorder="1" applyAlignment="1">
      <alignment horizontal="right" vertical="center" wrapText="1"/>
    </xf>
    <xf numFmtId="0" fontId="42" fillId="16" borderId="0" xfId="0" applyFont="1" applyFill="1" applyAlignment="1">
      <alignment horizontal="left" vertical="center"/>
    </xf>
    <xf numFmtId="0" fontId="47" fillId="16" borderId="0" xfId="0" applyFont="1" applyFill="1" applyAlignment="1">
      <alignment horizontal="right" vertical="center" wrapText="1"/>
    </xf>
    <xf numFmtId="0" fontId="44" fillId="16" borderId="2" xfId="0" applyFont="1" applyFill="1" applyBorder="1" applyAlignment="1">
      <alignment horizontal="left" vertical="center"/>
    </xf>
    <xf numFmtId="0" fontId="47" fillId="16" borderId="16" xfId="0" applyFont="1" applyFill="1" applyBorder="1" applyAlignment="1">
      <alignment horizontal="right" vertical="center"/>
    </xf>
    <xf numFmtId="0" fontId="47" fillId="16" borderId="20" xfId="0" applyFont="1" applyFill="1" applyBorder="1" applyAlignment="1">
      <alignment horizontal="right" vertical="center"/>
    </xf>
    <xf numFmtId="0" fontId="43" fillId="0" borderId="0" xfId="0" applyFont="1" applyAlignment="1">
      <alignment horizontal="left"/>
    </xf>
    <xf numFmtId="167" fontId="46" fillId="0" borderId="0" xfId="2" applyNumberFormat="1" applyFont="1" applyFill="1" applyBorder="1" applyAlignment="1"/>
    <xf numFmtId="166" fontId="46" fillId="0" borderId="0" xfId="1" applyNumberFormat="1" applyFont="1" applyFill="1" applyBorder="1" applyAlignment="1"/>
    <xf numFmtId="0" fontId="43" fillId="17" borderId="27" xfId="0" applyFont="1" applyFill="1" applyBorder="1" applyAlignment="1">
      <alignment horizontal="left"/>
    </xf>
    <xf numFmtId="166" fontId="45" fillId="17" borderId="27" xfId="1" applyNumberFormat="1" applyFont="1" applyFill="1" applyBorder="1" applyAlignment="1"/>
    <xf numFmtId="0" fontId="43" fillId="19" borderId="28" xfId="0" applyFont="1" applyFill="1" applyBorder="1" applyAlignment="1">
      <alignment horizontal="left"/>
    </xf>
    <xf numFmtId="167" fontId="45" fillId="19" borderId="29" xfId="2" applyNumberFormat="1" applyFont="1" applyFill="1" applyBorder="1" applyAlignment="1"/>
    <xf numFmtId="0" fontId="45" fillId="19" borderId="29" xfId="0" applyFont="1" applyFill="1" applyBorder="1"/>
    <xf numFmtId="166" fontId="46" fillId="0" borderId="0" xfId="1" applyNumberFormat="1" applyFont="1" applyFill="1" applyBorder="1" applyAlignment="1">
      <alignment vertical="center"/>
    </xf>
    <xf numFmtId="0" fontId="46" fillId="0" borderId="21" xfId="0" applyFont="1" applyBorder="1"/>
    <xf numFmtId="0" fontId="46" fillId="0" borderId="21" xfId="0" applyFont="1" applyBorder="1" applyAlignment="1">
      <alignment vertical="center"/>
    </xf>
    <xf numFmtId="0" fontId="43" fillId="18" borderId="30" xfId="0" applyFont="1" applyFill="1" applyBorder="1" applyAlignment="1">
      <alignment horizontal="left"/>
    </xf>
    <xf numFmtId="0" fontId="43" fillId="17" borderId="25" xfId="0" applyFont="1" applyFill="1" applyBorder="1" applyAlignment="1">
      <alignment horizontal="left"/>
    </xf>
    <xf numFmtId="0" fontId="45" fillId="17" borderId="26" xfId="0" applyFont="1" applyFill="1" applyBorder="1"/>
    <xf numFmtId="166" fontId="45" fillId="18" borderId="19" xfId="0" applyNumberFormat="1" applyFont="1" applyFill="1" applyBorder="1"/>
    <xf numFmtId="166" fontId="45" fillId="18" borderId="19" xfId="1" applyNumberFormat="1" applyFont="1" applyFill="1" applyBorder="1" applyAlignment="1">
      <alignment vertical="center"/>
    </xf>
    <xf numFmtId="0" fontId="45" fillId="18" borderId="31" xfId="0" applyFont="1" applyFill="1" applyBorder="1"/>
    <xf numFmtId="0" fontId="46" fillId="20" borderId="12" xfId="0" applyFont="1" applyFill="1" applyBorder="1" applyAlignment="1">
      <alignment vertical="center"/>
    </xf>
    <xf numFmtId="0" fontId="46" fillId="20" borderId="22" xfId="0" applyFont="1" applyFill="1" applyBorder="1" applyAlignment="1">
      <alignment vertical="center"/>
    </xf>
    <xf numFmtId="10" fontId="46" fillId="20" borderId="17" xfId="0" applyNumberFormat="1" applyFont="1" applyFill="1" applyBorder="1" applyAlignment="1">
      <alignment vertical="center"/>
    </xf>
    <xf numFmtId="0" fontId="49" fillId="21" borderId="0" xfId="0" applyFont="1" applyFill="1"/>
    <xf numFmtId="0" fontId="50" fillId="0" borderId="0" xfId="0" applyFont="1"/>
    <xf numFmtId="0" fontId="46" fillId="20" borderId="17" xfId="0" applyFont="1" applyFill="1" applyBorder="1" applyAlignment="1">
      <alignment horizontal="center" vertical="center"/>
    </xf>
    <xf numFmtId="0" fontId="2" fillId="22" borderId="0" xfId="0" applyFont="1" applyFill="1"/>
    <xf numFmtId="0" fontId="2" fillId="22" borderId="36" xfId="0" applyFont="1" applyFill="1" applyBorder="1"/>
    <xf numFmtId="166" fontId="45" fillId="0" borderId="0" xfId="1" applyNumberFormat="1" applyFont="1" applyFill="1" applyBorder="1" applyAlignment="1"/>
    <xf numFmtId="166" fontId="45" fillId="0" borderId="0" xfId="0" applyNumberFormat="1" applyFont="1"/>
    <xf numFmtId="10" fontId="55" fillId="0" borderId="0" xfId="2" applyNumberFormat="1" applyFont="1" applyFill="1" applyBorder="1" applyAlignment="1">
      <alignment vertical="center"/>
    </xf>
    <xf numFmtId="10" fontId="53" fillId="0" borderId="0" xfId="2" applyNumberFormat="1" applyFont="1" applyFill="1" applyBorder="1" applyAlignment="1">
      <alignment vertical="center"/>
    </xf>
    <xf numFmtId="166" fontId="38" fillId="0" borderId="0" xfId="0" applyNumberFormat="1" applyFont="1"/>
    <xf numFmtId="0" fontId="0" fillId="0" borderId="0" xfId="0" applyAlignment="1">
      <alignment vertical="center"/>
    </xf>
    <xf numFmtId="0" fontId="37" fillId="0" borderId="0" xfId="0" applyFont="1" applyAlignment="1">
      <alignment vertical="top"/>
    </xf>
    <xf numFmtId="0" fontId="10" fillId="0" borderId="0" xfId="0" applyFont="1" applyAlignment="1">
      <alignment vertical="top"/>
    </xf>
    <xf numFmtId="0" fontId="47" fillId="16" borderId="18" xfId="0" applyFont="1" applyFill="1" applyBorder="1" applyAlignment="1">
      <alignment horizontal="right" vertical="center"/>
    </xf>
    <xf numFmtId="0" fontId="10" fillId="0" borderId="0" xfId="0" quotePrefix="1" applyFont="1" applyAlignment="1">
      <alignment vertical="top"/>
    </xf>
    <xf numFmtId="0" fontId="10" fillId="0" borderId="0" xfId="0" applyFont="1" applyAlignment="1">
      <alignment horizontal="left" vertical="top" indent="1"/>
    </xf>
    <xf numFmtId="0" fontId="43" fillId="19" borderId="22" xfId="0" applyFont="1" applyFill="1" applyBorder="1" applyAlignment="1">
      <alignment horizontal="left" vertical="center"/>
    </xf>
    <xf numFmtId="167" fontId="45" fillId="19" borderId="17" xfId="2" applyNumberFormat="1" applyFont="1" applyFill="1" applyBorder="1" applyAlignment="1">
      <alignment vertical="center"/>
    </xf>
    <xf numFmtId="0" fontId="45" fillId="19" borderId="17" xfId="0" applyFont="1" applyFill="1" applyBorder="1"/>
    <xf numFmtId="0" fontId="45" fillId="19" borderId="15" xfId="0" applyFont="1" applyFill="1" applyBorder="1"/>
    <xf numFmtId="167" fontId="54" fillId="18" borderId="19" xfId="2" applyNumberFormat="1" applyFont="1" applyFill="1" applyBorder="1" applyAlignment="1">
      <alignment vertical="center"/>
    </xf>
    <xf numFmtId="167" fontId="55" fillId="0" borderId="0" xfId="2" applyNumberFormat="1" applyFont="1" applyFill="1" applyBorder="1" applyAlignment="1">
      <alignment vertical="center"/>
    </xf>
    <xf numFmtId="10" fontId="54" fillId="18" borderId="19" xfId="2" applyNumberFormat="1" applyFont="1" applyFill="1" applyBorder="1" applyAlignment="1">
      <alignment vertical="center"/>
    </xf>
    <xf numFmtId="167" fontId="54" fillId="17" borderId="13" xfId="2" applyNumberFormat="1" applyFont="1" applyFill="1" applyBorder="1" applyAlignment="1">
      <alignment vertical="center"/>
    </xf>
    <xf numFmtId="167" fontId="0" fillId="13" borderId="0" xfId="2" applyNumberFormat="1" applyFont="1" applyFill="1" applyBorder="1"/>
    <xf numFmtId="167" fontId="2" fillId="13" borderId="0" xfId="2" applyNumberFormat="1" applyFont="1" applyFill="1" applyBorder="1"/>
    <xf numFmtId="0" fontId="0" fillId="0" borderId="0" xfId="0" applyAlignment="1">
      <alignment horizontal="center" vertical="center" wrapText="1"/>
    </xf>
    <xf numFmtId="0" fontId="56" fillId="0" borderId="0" xfId="0" applyFont="1" applyAlignment="1">
      <alignment horizontal="left" vertical="center"/>
    </xf>
    <xf numFmtId="0" fontId="10" fillId="0" borderId="0" xfId="0" applyFont="1" applyAlignment="1">
      <alignment vertical="center"/>
    </xf>
    <xf numFmtId="0" fontId="10" fillId="0" borderId="0" xfId="0" applyFont="1" applyAlignment="1">
      <alignment horizontal="left" vertical="center"/>
    </xf>
    <xf numFmtId="0" fontId="0" fillId="23" borderId="0" xfId="0" applyFill="1" applyAlignment="1">
      <alignment vertical="center"/>
    </xf>
    <xf numFmtId="0" fontId="0" fillId="23" borderId="0" xfId="0" applyFill="1"/>
    <xf numFmtId="166" fontId="10" fillId="0" borderId="0" xfId="1" applyNumberFormat="1" applyFont="1" applyAlignment="1">
      <alignment horizontal="center"/>
    </xf>
    <xf numFmtId="0" fontId="57" fillId="0" borderId="0" xfId="0" applyFont="1" applyAlignment="1">
      <alignment horizontal="left" vertical="center"/>
    </xf>
    <xf numFmtId="0" fontId="58" fillId="0" borderId="0" xfId="0" applyFont="1" applyAlignment="1">
      <alignment vertical="center"/>
    </xf>
    <xf numFmtId="0" fontId="58" fillId="23" borderId="0" xfId="0" applyFont="1" applyFill="1" applyAlignment="1">
      <alignment vertical="center"/>
    </xf>
    <xf numFmtId="0" fontId="8" fillId="0" borderId="0" xfId="0" applyFont="1"/>
    <xf numFmtId="0" fontId="47" fillId="16" borderId="23" xfId="0" applyFont="1" applyFill="1" applyBorder="1" applyAlignment="1">
      <alignment horizontal="right" vertical="center"/>
    </xf>
    <xf numFmtId="0" fontId="47" fillId="16" borderId="24" xfId="0" applyFont="1" applyFill="1" applyBorder="1" applyAlignment="1">
      <alignment horizontal="right" vertical="center"/>
    </xf>
    <xf numFmtId="0" fontId="46" fillId="0" borderId="12" xfId="0" applyFont="1" applyBorder="1" applyAlignment="1">
      <alignment vertical="center"/>
    </xf>
    <xf numFmtId="0" fontId="0" fillId="24" borderId="0" xfId="0" applyFill="1"/>
    <xf numFmtId="166" fontId="0" fillId="24" borderId="0" xfId="0" applyNumberFormat="1" applyFill="1"/>
    <xf numFmtId="167" fontId="1" fillId="0" borderId="36" xfId="2" applyNumberFormat="1" applyFont="1" applyBorder="1"/>
    <xf numFmtId="166" fontId="2" fillId="22" borderId="35" xfId="0" applyNumberFormat="1" applyFont="1" applyFill="1" applyBorder="1"/>
    <xf numFmtId="10" fontId="1" fillId="0" borderId="36" xfId="2" applyNumberFormat="1" applyFont="1" applyBorder="1"/>
    <xf numFmtId="10" fontId="0" fillId="0" borderId="36" xfId="2" applyNumberFormat="1" applyFont="1" applyBorder="1"/>
    <xf numFmtId="10" fontId="0" fillId="22" borderId="35" xfId="2" applyNumberFormat="1" applyFont="1" applyFill="1" applyBorder="1"/>
    <xf numFmtId="167" fontId="2" fillId="22" borderId="35" xfId="2" applyNumberFormat="1" applyFont="1" applyFill="1" applyBorder="1"/>
    <xf numFmtId="10" fontId="2" fillId="22" borderId="35" xfId="2" applyNumberFormat="1" applyFont="1" applyFill="1" applyBorder="1"/>
    <xf numFmtId="166" fontId="61" fillId="0" borderId="0" xfId="1" applyNumberFormat="1" applyFont="1" applyFill="1" applyBorder="1" applyAlignment="1">
      <alignment vertical="center"/>
    </xf>
    <xf numFmtId="166" fontId="61" fillId="0" borderId="21" xfId="1" applyNumberFormat="1" applyFont="1" applyFill="1" applyBorder="1" applyAlignment="1">
      <alignment vertical="center"/>
    </xf>
    <xf numFmtId="0" fontId="62" fillId="0" borderId="12" xfId="0" applyFont="1" applyBorder="1" applyAlignment="1">
      <alignment vertical="center"/>
    </xf>
    <xf numFmtId="166" fontId="62" fillId="0" borderId="0" xfId="1" applyNumberFormat="1" applyFont="1" applyFill="1" applyBorder="1" applyAlignment="1">
      <alignment vertical="center"/>
    </xf>
    <xf numFmtId="166" fontId="62" fillId="0" borderId="21" xfId="1" applyNumberFormat="1" applyFont="1" applyFill="1" applyBorder="1" applyAlignment="1">
      <alignment vertical="center"/>
    </xf>
    <xf numFmtId="0" fontId="2" fillId="6" borderId="0" xfId="0" applyFont="1" applyFill="1" applyAlignment="1">
      <alignment horizontal="right"/>
    </xf>
    <xf numFmtId="0" fontId="2" fillId="7" borderId="0" xfId="0" applyFont="1" applyFill="1" applyAlignment="1">
      <alignment horizontal="right" vertical="center"/>
    </xf>
    <xf numFmtId="0" fontId="2" fillId="5" borderId="0" xfId="0" applyFont="1" applyFill="1" applyAlignment="1">
      <alignment horizontal="right" vertical="center"/>
    </xf>
    <xf numFmtId="0" fontId="64" fillId="7" borderId="0" xfId="0" applyFont="1" applyFill="1" applyAlignment="1">
      <alignment horizontal="right" vertical="center"/>
    </xf>
    <xf numFmtId="0" fontId="64" fillId="7" borderId="0" xfId="0" applyFont="1" applyFill="1" applyAlignment="1">
      <alignment vertical="center"/>
    </xf>
    <xf numFmtId="0" fontId="65" fillId="6" borderId="0" xfId="0" applyFont="1" applyFill="1"/>
    <xf numFmtId="0" fontId="65" fillId="6" borderId="0" xfId="0" applyFont="1" applyFill="1" applyAlignment="1">
      <alignment horizontal="right"/>
    </xf>
    <xf numFmtId="0" fontId="66" fillId="5" borderId="0" xfId="0" applyFont="1" applyFill="1" applyAlignment="1">
      <alignment horizontal="right" vertical="center"/>
    </xf>
    <xf numFmtId="178" fontId="47" fillId="16" borderId="18" xfId="0" applyNumberFormat="1" applyFont="1" applyFill="1" applyBorder="1" applyAlignment="1">
      <alignment horizontal="center" vertical="center" wrapText="1"/>
    </xf>
    <xf numFmtId="178" fontId="47" fillId="16" borderId="24" xfId="0" applyNumberFormat="1" applyFont="1" applyFill="1" applyBorder="1" applyAlignment="1">
      <alignment horizontal="center" vertical="center" wrapText="1"/>
    </xf>
    <xf numFmtId="0" fontId="47" fillId="16" borderId="23" xfId="0" applyFont="1" applyFill="1" applyBorder="1" applyAlignment="1">
      <alignment horizontal="center" vertical="center"/>
    </xf>
    <xf numFmtId="0" fontId="46" fillId="0" borderId="12" xfId="0" applyFont="1" applyBorder="1"/>
    <xf numFmtId="0" fontId="46" fillId="0" borderId="22" xfId="0" applyFont="1" applyBorder="1"/>
    <xf numFmtId="10" fontId="46" fillId="0" borderId="0" xfId="0" applyNumberFormat="1" applyFont="1" applyAlignment="1">
      <alignment horizontal="center" vertical="center"/>
    </xf>
    <xf numFmtId="10" fontId="46" fillId="0" borderId="21" xfId="0" applyNumberFormat="1" applyFont="1" applyBorder="1" applyAlignment="1">
      <alignment horizontal="center" vertical="center"/>
    </xf>
    <xf numFmtId="10" fontId="46" fillId="0" borderId="17" xfId="0" applyNumberFormat="1" applyFont="1" applyBorder="1" applyAlignment="1">
      <alignment horizontal="center" vertical="center"/>
    </xf>
    <xf numFmtId="10" fontId="46" fillId="0" borderId="15" xfId="0" applyNumberFormat="1" applyFont="1" applyBorder="1" applyAlignment="1">
      <alignment horizontal="center" vertical="center"/>
    </xf>
    <xf numFmtId="0" fontId="46" fillId="0" borderId="0" xfId="0" applyFont="1"/>
    <xf numFmtId="0" fontId="46" fillId="0" borderId="12" xfId="0" applyFont="1" applyBorder="1" applyAlignment="1">
      <alignment vertical="top"/>
    </xf>
    <xf numFmtId="0" fontId="46" fillId="0" borderId="0" xfId="0" applyFont="1" applyAlignment="1">
      <alignment vertical="top"/>
    </xf>
    <xf numFmtId="0" fontId="46" fillId="0" borderId="22" xfId="0" applyFont="1" applyBorder="1" applyAlignment="1">
      <alignment vertical="top"/>
    </xf>
    <xf numFmtId="0" fontId="46" fillId="0" borderId="17" xfId="0" applyFont="1" applyBorder="1" applyAlignment="1">
      <alignment vertical="top"/>
    </xf>
    <xf numFmtId="0" fontId="46" fillId="0" borderId="17" xfId="0" applyFont="1" applyBorder="1"/>
    <xf numFmtId="0" fontId="46" fillId="0" borderId="15" xfId="0" applyFont="1" applyBorder="1"/>
    <xf numFmtId="0" fontId="47" fillId="16" borderId="18" xfId="0" applyFont="1" applyFill="1" applyBorder="1" applyAlignment="1">
      <alignment horizontal="center" vertical="center"/>
    </xf>
    <xf numFmtId="0" fontId="46" fillId="0" borderId="12" xfId="0" applyFont="1" applyBorder="1" applyAlignment="1">
      <alignment horizontal="left" vertical="top" indent="1"/>
    </xf>
    <xf numFmtId="0" fontId="45" fillId="14" borderId="12" xfId="0" applyFont="1" applyFill="1" applyBorder="1" applyAlignment="1">
      <alignment vertical="top"/>
    </xf>
    <xf numFmtId="0" fontId="45" fillId="14" borderId="0" xfId="0" applyFont="1" applyFill="1" applyAlignment="1">
      <alignment vertical="top"/>
    </xf>
    <xf numFmtId="0" fontId="45" fillId="0" borderId="12" xfId="0" applyFont="1" applyBorder="1" applyAlignment="1">
      <alignment vertical="top"/>
    </xf>
    <xf numFmtId="0" fontId="29" fillId="25" borderId="12" xfId="0" applyFont="1" applyFill="1" applyBorder="1" applyAlignment="1">
      <alignment vertical="top"/>
    </xf>
    <xf numFmtId="0" fontId="29" fillId="25" borderId="0" xfId="0" applyFont="1" applyFill="1" applyAlignment="1">
      <alignment vertical="top"/>
    </xf>
    <xf numFmtId="0" fontId="29" fillId="25" borderId="21" xfId="0" applyFont="1" applyFill="1" applyBorder="1"/>
    <xf numFmtId="0" fontId="30" fillId="0" borderId="0" xfId="0" applyFont="1"/>
    <xf numFmtId="181" fontId="45" fillId="14" borderId="0" xfId="1" applyNumberFormat="1" applyFont="1" applyFill="1" applyBorder="1" applyAlignment="1">
      <alignment vertical="center"/>
    </xf>
    <xf numFmtId="167" fontId="2" fillId="0" borderId="27" xfId="2" applyNumberFormat="1" applyFont="1" applyFill="1" applyBorder="1" applyAlignment="1">
      <alignment horizontal="center" vertical="center"/>
    </xf>
    <xf numFmtId="179" fontId="2" fillId="0" borderId="27" xfId="6" applyNumberFormat="1" applyFont="1" applyFill="1" applyBorder="1" applyAlignment="1"/>
    <xf numFmtId="0" fontId="47" fillId="16" borderId="38" xfId="0" applyFont="1" applyFill="1" applyBorder="1" applyAlignment="1">
      <alignment horizontal="right" vertical="center" wrapText="1"/>
    </xf>
    <xf numFmtId="0" fontId="47" fillId="16" borderId="14" xfId="0" applyFont="1" applyFill="1" applyBorder="1" applyAlignment="1">
      <alignment horizontal="right" vertical="center" wrapText="1"/>
    </xf>
    <xf numFmtId="179" fontId="1" fillId="14" borderId="37" xfId="6" applyNumberFormat="1" applyFont="1" applyFill="1" applyBorder="1" applyAlignment="1"/>
    <xf numFmtId="179" fontId="2" fillId="14" borderId="27" xfId="6" applyNumberFormat="1" applyFont="1" applyFill="1" applyBorder="1" applyAlignment="1"/>
    <xf numFmtId="167" fontId="1" fillId="0" borderId="37" xfId="2" applyNumberFormat="1" applyFont="1" applyFill="1" applyBorder="1" applyAlignment="1"/>
    <xf numFmtId="10" fontId="2" fillId="0" borderId="36" xfId="2" applyNumberFormat="1" applyFont="1" applyBorder="1"/>
    <xf numFmtId="10" fontId="2" fillId="0" borderId="0" xfId="2" applyNumberFormat="1" applyFont="1"/>
    <xf numFmtId="0" fontId="38" fillId="24" borderId="0" xfId="0" applyFont="1" applyFill="1"/>
    <xf numFmtId="0" fontId="67" fillId="24" borderId="0" xfId="0" applyFont="1" applyFill="1"/>
    <xf numFmtId="166" fontId="67" fillId="24" borderId="0" xfId="0" applyNumberFormat="1" applyFont="1" applyFill="1"/>
    <xf numFmtId="178" fontId="10" fillId="0" borderId="0" xfId="0" applyNumberFormat="1" applyFont="1" applyAlignment="1">
      <alignment vertical="top"/>
    </xf>
    <xf numFmtId="178" fontId="0" fillId="0" borderId="0" xfId="0" applyNumberFormat="1"/>
    <xf numFmtId="0" fontId="47" fillId="16" borderId="33" xfId="0" applyFont="1" applyFill="1" applyBorder="1" applyAlignment="1">
      <alignment horizontal="left" vertical="center" wrapText="1"/>
    </xf>
    <xf numFmtId="0" fontId="47" fillId="16" borderId="39" xfId="0" applyFont="1" applyFill="1" applyBorder="1" applyAlignment="1">
      <alignment horizontal="right" vertical="center" wrapText="1"/>
    </xf>
    <xf numFmtId="0" fontId="47" fillId="16" borderId="27" xfId="0" applyFont="1" applyFill="1" applyBorder="1" applyAlignment="1">
      <alignment horizontal="right" vertical="center" wrapText="1"/>
    </xf>
    <xf numFmtId="0" fontId="47" fillId="16" borderId="34" xfId="0" applyFont="1" applyFill="1" applyBorder="1" applyAlignment="1">
      <alignment horizontal="right" vertical="center" wrapText="1"/>
    </xf>
    <xf numFmtId="0" fontId="2" fillId="22" borderId="33" xfId="0" applyFont="1" applyFill="1" applyBorder="1" applyAlignment="1">
      <alignment vertical="center"/>
    </xf>
    <xf numFmtId="182" fontId="0" fillId="14" borderId="39" xfId="6" applyNumberFormat="1" applyFont="1" applyFill="1" applyBorder="1" applyAlignment="1"/>
    <xf numFmtId="179" fontId="0" fillId="22" borderId="39" xfId="6" applyNumberFormat="1" applyFont="1" applyFill="1" applyBorder="1" applyAlignment="1"/>
    <xf numFmtId="179" fontId="0" fillId="22" borderId="27" xfId="6" applyNumberFormat="1" applyFont="1" applyFill="1" applyBorder="1" applyAlignment="1"/>
    <xf numFmtId="179" fontId="2" fillId="22" borderId="34" xfId="6" applyNumberFormat="1" applyFont="1" applyFill="1" applyBorder="1" applyAlignment="1"/>
    <xf numFmtId="0" fontId="51" fillId="0" borderId="33" xfId="0" applyFont="1" applyBorder="1" applyAlignment="1">
      <alignment horizontal="left" vertical="center" indent="1"/>
    </xf>
    <xf numFmtId="10" fontId="0" fillId="0" borderId="39" xfId="2" applyNumberFormat="1" applyFont="1" applyBorder="1" applyAlignment="1"/>
    <xf numFmtId="179" fontId="0" fillId="0" borderId="39" xfId="6" applyNumberFormat="1" applyFont="1" applyBorder="1" applyAlignment="1"/>
    <xf numFmtId="10" fontId="0" fillId="0" borderId="27" xfId="6" applyNumberFormat="1" applyFont="1" applyBorder="1" applyAlignment="1"/>
    <xf numFmtId="9" fontId="2" fillId="0" borderId="34" xfId="6" applyNumberFormat="1" applyFont="1" applyBorder="1" applyAlignment="1"/>
    <xf numFmtId="179" fontId="2" fillId="22" borderId="39" xfId="6" applyNumberFormat="1" applyFont="1" applyFill="1" applyBorder="1" applyAlignment="1"/>
    <xf numFmtId="179" fontId="2" fillId="22" borderId="27" xfId="6" applyNumberFormat="1" applyFont="1" applyFill="1" applyBorder="1" applyAlignment="1"/>
    <xf numFmtId="179" fontId="15" fillId="22" borderId="34" xfId="6" applyNumberFormat="1" applyFont="1" applyFill="1" applyBorder="1" applyAlignment="1"/>
    <xf numFmtId="179" fontId="2" fillId="0" borderId="39" xfId="6" applyNumberFormat="1" applyFont="1" applyBorder="1" applyAlignment="1"/>
    <xf numFmtId="179" fontId="2" fillId="0" borderId="40" xfId="6" applyNumberFormat="1" applyFont="1" applyBorder="1" applyAlignment="1"/>
    <xf numFmtId="0" fontId="47" fillId="16" borderId="32" xfId="0" applyFont="1" applyFill="1" applyBorder="1" applyAlignment="1">
      <alignment horizontal="left" vertical="center" wrapText="1"/>
    </xf>
    <xf numFmtId="179" fontId="15" fillId="14" borderId="34" xfId="6" applyNumberFormat="1" applyFont="1" applyFill="1" applyBorder="1" applyAlignment="1"/>
    <xf numFmtId="167" fontId="2" fillId="0" borderId="34" xfId="2" applyNumberFormat="1" applyFont="1" applyFill="1" applyBorder="1" applyAlignment="1">
      <alignment horizontal="center" vertical="center"/>
    </xf>
    <xf numFmtId="178" fontId="47" fillId="16" borderId="27" xfId="0" applyNumberFormat="1" applyFont="1" applyFill="1" applyBorder="1" applyAlignment="1">
      <alignment horizontal="center" vertical="center" wrapText="1"/>
    </xf>
    <xf numFmtId="10" fontId="0" fillId="0" borderId="27" xfId="2" applyNumberFormat="1" applyFont="1" applyBorder="1" applyAlignment="1">
      <alignment horizontal="center" vertical="center"/>
    </xf>
    <xf numFmtId="167" fontId="1" fillId="0" borderId="27" xfId="2" applyNumberFormat="1" applyFont="1" applyBorder="1" applyAlignment="1">
      <alignment horizontal="center" vertical="center"/>
    </xf>
    <xf numFmtId="167" fontId="1" fillId="0" borderId="34" xfId="2" applyNumberFormat="1" applyFont="1" applyBorder="1" applyAlignment="1">
      <alignment horizontal="right" vertical="center"/>
    </xf>
    <xf numFmtId="10" fontId="0" fillId="0" borderId="27" xfId="6" applyNumberFormat="1" applyFont="1" applyBorder="1" applyAlignment="1">
      <alignment horizontal="center" vertical="center"/>
    </xf>
    <xf numFmtId="166" fontId="45" fillId="14" borderId="0" xfId="1" applyNumberFormat="1" applyFont="1" applyFill="1" applyAlignment="1">
      <alignment horizontal="center" vertical="center"/>
    </xf>
    <xf numFmtId="166" fontId="45" fillId="14" borderId="21" xfId="1" applyNumberFormat="1" applyFont="1" applyFill="1" applyBorder="1" applyAlignment="1">
      <alignment horizontal="center" vertical="center"/>
    </xf>
    <xf numFmtId="166" fontId="46" fillId="0" borderId="0" xfId="1" applyNumberFormat="1" applyFont="1"/>
    <xf numFmtId="166" fontId="45" fillId="14" borderId="0" xfId="1" applyNumberFormat="1" applyFont="1" applyFill="1" applyAlignment="1">
      <alignment vertical="top"/>
    </xf>
    <xf numFmtId="166" fontId="45" fillId="14" borderId="21" xfId="1" applyNumberFormat="1" applyFont="1" applyFill="1" applyBorder="1"/>
    <xf numFmtId="167" fontId="1" fillId="0" borderId="0" xfId="2" applyNumberFormat="1" applyFont="1" applyFill="1" applyBorder="1"/>
    <xf numFmtId="167" fontId="2" fillId="0" borderId="36" xfId="2" applyNumberFormat="1" applyFont="1" applyBorder="1"/>
    <xf numFmtId="9" fontId="0" fillId="0" borderId="0" xfId="0" applyNumberFormat="1"/>
    <xf numFmtId="166" fontId="1" fillId="0" borderId="0" xfId="1" applyNumberFormat="1" applyFont="1"/>
    <xf numFmtId="172" fontId="20" fillId="0" borderId="45" xfId="1" applyNumberFormat="1" applyFont="1" applyFill="1" applyBorder="1"/>
    <xf numFmtId="0" fontId="4" fillId="0" borderId="0" xfId="0" applyFont="1" applyAlignment="1">
      <alignment horizontal="center" vertical="center"/>
    </xf>
    <xf numFmtId="0" fontId="24" fillId="0" borderId="0" xfId="0" applyFont="1" applyAlignment="1">
      <alignment horizontal="center" vertical="center" wrapText="1"/>
    </xf>
    <xf numFmtId="166" fontId="5" fillId="0" borderId="0"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6" fontId="0" fillId="0" borderId="0" xfId="1" applyNumberFormat="1" applyFont="1" applyFill="1"/>
    <xf numFmtId="0" fontId="15" fillId="0" borderId="0" xfId="0" applyFont="1" applyAlignment="1">
      <alignment horizontal="right"/>
    </xf>
    <xf numFmtId="171" fontId="2" fillId="0" borderId="0" xfId="1" applyNumberFormat="1" applyFont="1" applyFill="1" applyAlignment="1">
      <alignment horizontal="center" vertical="center"/>
    </xf>
    <xf numFmtId="171" fontId="15" fillId="0" borderId="0" xfId="1" applyNumberFormat="1" applyFont="1" applyFill="1" applyAlignment="1">
      <alignment horizontal="center" vertical="center"/>
    </xf>
    <xf numFmtId="43" fontId="1" fillId="0" borderId="0" xfId="1" applyFont="1" applyFill="1" applyAlignment="1">
      <alignment horizontal="left" vertical="center"/>
    </xf>
    <xf numFmtId="43" fontId="0" fillId="0" borderId="0" xfId="1" applyFont="1" applyFill="1" applyAlignment="1">
      <alignment horizontal="center" vertical="center"/>
    </xf>
    <xf numFmtId="9" fontId="0" fillId="0" borderId="0" xfId="2" applyFont="1" applyFill="1"/>
    <xf numFmtId="167" fontId="0" fillId="0" borderId="0" xfId="2" applyNumberFormat="1" applyFont="1" applyFill="1"/>
    <xf numFmtId="0" fontId="19" fillId="0" borderId="0" xfId="0" applyFont="1"/>
    <xf numFmtId="0" fontId="14" fillId="0" borderId="0" xfId="0" applyFont="1" applyAlignment="1">
      <alignment horizontal="left" vertical="center"/>
    </xf>
    <xf numFmtId="44" fontId="0" fillId="0" borderId="0" xfId="6" applyFont="1" applyFill="1"/>
    <xf numFmtId="172" fontId="0" fillId="0" borderId="0" xfId="6" applyNumberFormat="1" applyFont="1" applyFill="1"/>
    <xf numFmtId="172" fontId="1" fillId="0" borderId="0" xfId="6" applyNumberFormat="1" applyFont="1" applyFill="1"/>
    <xf numFmtId="44" fontId="16" fillId="0" borderId="0" xfId="6" applyFont="1" applyFill="1"/>
    <xf numFmtId="167" fontId="0" fillId="0" borderId="0" xfId="2" applyNumberFormat="1" applyFont="1" applyFill="1" applyAlignment="1">
      <alignment horizontal="right" vertical="center"/>
    </xf>
    <xf numFmtId="9" fontId="2" fillId="0" borderId="0" xfId="2" applyFont="1" applyFill="1" applyAlignment="1">
      <alignment horizontal="right" vertical="center"/>
    </xf>
    <xf numFmtId="171" fontId="0" fillId="0" borderId="0" xfId="1" applyNumberFormat="1" applyFont="1" applyFill="1" applyAlignment="1">
      <alignment horizontal="right" vertical="center"/>
    </xf>
    <xf numFmtId="43" fontId="2" fillId="0" borderId="0" xfId="1" applyFont="1" applyFill="1" applyAlignment="1">
      <alignment horizontal="center" vertical="center"/>
    </xf>
    <xf numFmtId="9" fontId="2" fillId="0" borderId="0" xfId="0" applyNumberFormat="1" applyFont="1"/>
    <xf numFmtId="0" fontId="14" fillId="0" borderId="0" xfId="0" applyFont="1" applyAlignment="1">
      <alignment vertical="center"/>
    </xf>
    <xf numFmtId="171" fontId="0" fillId="0" borderId="0" xfId="1" applyNumberFormat="1" applyFont="1" applyFill="1"/>
    <xf numFmtId="171" fontId="16" fillId="0" borderId="0" xfId="1" applyNumberFormat="1" applyFont="1" applyFill="1"/>
    <xf numFmtId="9" fontId="0" fillId="0" borderId="0" xfId="1" applyNumberFormat="1" applyFont="1" applyFill="1"/>
    <xf numFmtId="172" fontId="0" fillId="0" borderId="0" xfId="0" applyNumberFormat="1"/>
    <xf numFmtId="0" fontId="20" fillId="0" borderId="0" xfId="0" applyFont="1" applyAlignment="1">
      <alignment horizontal="center" vertical="center"/>
    </xf>
    <xf numFmtId="171" fontId="20" fillId="0" borderId="0" xfId="1" applyNumberFormat="1" applyFont="1" applyFill="1" applyBorder="1" applyAlignment="1">
      <alignment horizontal="center" vertical="center"/>
    </xf>
    <xf numFmtId="166" fontId="20" fillId="0" borderId="0" xfId="1" applyNumberFormat="1" applyFont="1" applyFill="1" applyBorder="1"/>
    <xf numFmtId="0" fontId="21" fillId="0" borderId="3" xfId="0" applyFont="1" applyBorder="1" applyAlignment="1">
      <alignment horizontal="center" vertical="center"/>
    </xf>
    <xf numFmtId="0" fontId="21" fillId="0" borderId="43" xfId="0" applyFont="1" applyBorder="1" applyAlignment="1">
      <alignment horizontal="center" vertical="center"/>
    </xf>
    <xf numFmtId="0" fontId="21" fillId="0" borderId="4" xfId="0" applyFont="1" applyBorder="1" applyAlignment="1">
      <alignment horizontal="center" vertical="center" wrapText="1"/>
    </xf>
    <xf numFmtId="0" fontId="21" fillId="0" borderId="5" xfId="0" applyFont="1" applyBorder="1" applyAlignment="1">
      <alignment horizontal="center" vertical="center" wrapText="1"/>
    </xf>
    <xf numFmtId="0" fontId="20" fillId="0" borderId="34" xfId="0" applyFont="1" applyBorder="1" applyAlignment="1">
      <alignment horizontal="left" vertical="center"/>
    </xf>
    <xf numFmtId="0" fontId="20" fillId="0" borderId="41" xfId="0" applyFont="1" applyBorder="1" applyAlignment="1">
      <alignment horizontal="left" vertical="center"/>
    </xf>
    <xf numFmtId="0" fontId="20" fillId="0" borderId="42" xfId="0" applyFont="1" applyBorder="1" applyAlignment="1">
      <alignment horizontal="left" vertical="center"/>
    </xf>
    <xf numFmtId="173" fontId="23" fillId="0" borderId="0" xfId="0" applyNumberFormat="1" applyFont="1" applyAlignment="1">
      <alignment horizontal="center" vertical="center" wrapText="1"/>
    </xf>
    <xf numFmtId="3" fontId="23" fillId="0" borderId="0" xfId="0" applyNumberFormat="1" applyFont="1" applyAlignment="1">
      <alignment horizontal="center" vertical="center" wrapText="1"/>
    </xf>
    <xf numFmtId="0" fontId="23" fillId="0" borderId="0" xfId="0" applyFont="1" applyAlignment="1">
      <alignment vertical="center" wrapText="1"/>
    </xf>
    <xf numFmtId="173" fontId="25" fillId="0" borderId="0" xfId="0" applyNumberFormat="1" applyFont="1" applyAlignment="1">
      <alignment horizontal="center" vertical="center" wrapText="1"/>
    </xf>
    <xf numFmtId="3" fontId="25" fillId="0" borderId="0" xfId="0" applyNumberFormat="1" applyFont="1" applyAlignment="1">
      <alignment horizontal="center" vertical="center" wrapText="1"/>
    </xf>
    <xf numFmtId="0" fontId="25" fillId="0" borderId="0" xfId="0" applyFont="1" applyAlignment="1">
      <alignment vertical="center" wrapText="1"/>
    </xf>
    <xf numFmtId="173" fontId="26" fillId="0" borderId="0" xfId="0" applyNumberFormat="1" applyFont="1" applyAlignment="1">
      <alignment horizontal="center" vertical="center" wrapText="1"/>
    </xf>
    <xf numFmtId="3" fontId="26" fillId="0" borderId="0" xfId="0" applyNumberFormat="1" applyFont="1" applyAlignment="1">
      <alignment horizontal="center" vertical="center" wrapText="1"/>
    </xf>
    <xf numFmtId="0" fontId="26" fillId="0" borderId="0" xfId="0" applyFont="1" applyAlignment="1">
      <alignment vertical="center" wrapText="1"/>
    </xf>
    <xf numFmtId="0" fontId="5" fillId="0" borderId="0" xfId="0" applyFont="1"/>
    <xf numFmtId="3" fontId="24" fillId="0" borderId="0" xfId="0" applyNumberFormat="1" applyFont="1" applyAlignment="1">
      <alignment horizontal="center" vertical="center" wrapText="1"/>
    </xf>
    <xf numFmtId="0" fontId="6" fillId="0" borderId="0" xfId="0" applyFont="1"/>
    <xf numFmtId="0" fontId="22" fillId="0" borderId="0" xfId="0" applyFont="1" applyAlignment="1">
      <alignment horizontal="center" vertical="center"/>
    </xf>
    <xf numFmtId="167" fontId="31" fillId="0" borderId="0" xfId="2" applyNumberFormat="1" applyFont="1" applyFill="1"/>
    <xf numFmtId="0" fontId="20" fillId="0" borderId="44" xfId="0" applyFont="1" applyBorder="1" applyAlignment="1">
      <alignment vertical="center"/>
    </xf>
    <xf numFmtId="0" fontId="20" fillId="0" borderId="46" xfId="0" applyFont="1" applyBorder="1" applyAlignment="1">
      <alignment vertical="center"/>
    </xf>
    <xf numFmtId="167" fontId="69" fillId="0" borderId="0" xfId="2" applyNumberFormat="1" applyFont="1" applyFill="1"/>
    <xf numFmtId="0" fontId="0" fillId="0" borderId="3" xfId="0" applyBorder="1"/>
    <xf numFmtId="0" fontId="68" fillId="0" borderId="6" xfId="0" applyFont="1" applyBorder="1" applyAlignment="1">
      <alignment vertical="center"/>
    </xf>
    <xf numFmtId="167" fontId="69" fillId="0" borderId="6" xfId="2" applyNumberFormat="1" applyFont="1" applyFill="1" applyBorder="1"/>
    <xf numFmtId="167" fontId="69" fillId="0" borderId="8" xfId="2" applyNumberFormat="1" applyFont="1" applyFill="1" applyBorder="1"/>
    <xf numFmtId="0" fontId="2" fillId="0" borderId="5" xfId="0" applyFont="1" applyBorder="1" applyAlignment="1">
      <alignment horizontal="center" vertical="center"/>
    </xf>
    <xf numFmtId="0" fontId="30" fillId="0" borderId="4" xfId="0" applyFont="1" applyBorder="1" applyAlignment="1">
      <alignment horizontal="center" vertical="center"/>
    </xf>
    <xf numFmtId="10" fontId="0" fillId="0" borderId="7" xfId="2" applyNumberFormat="1" applyFont="1" applyFill="1" applyBorder="1"/>
    <xf numFmtId="10" fontId="31" fillId="0" borderId="9" xfId="2" applyNumberFormat="1" applyFont="1" applyFill="1" applyBorder="1"/>
    <xf numFmtId="10" fontId="0" fillId="0" borderId="10" xfId="2" applyNumberFormat="1" applyFont="1" applyFill="1" applyBorder="1"/>
    <xf numFmtId="10" fontId="30" fillId="0" borderId="0" xfId="0" applyNumberFormat="1" applyFont="1"/>
    <xf numFmtId="0" fontId="31" fillId="22" borderId="49" xfId="0" applyFont="1" applyFill="1" applyBorder="1"/>
    <xf numFmtId="0" fontId="31" fillId="22" borderId="50" xfId="0" applyFont="1" applyFill="1" applyBorder="1"/>
    <xf numFmtId="0" fontId="31" fillId="0" borderId="49" xfId="0" applyFont="1" applyBorder="1"/>
    <xf numFmtId="0" fontId="31" fillId="0" borderId="50" xfId="0" applyFont="1" applyBorder="1"/>
    <xf numFmtId="0" fontId="10" fillId="0" borderId="0" xfId="0" quotePrefix="1" applyFont="1"/>
    <xf numFmtId="0" fontId="10" fillId="0" borderId="0" xfId="0" quotePrefix="1" applyFont="1" applyAlignment="1">
      <alignment horizontal="left" vertical="center" indent="1"/>
    </xf>
    <xf numFmtId="0" fontId="10" fillId="0" borderId="0" xfId="0" applyFont="1" applyAlignment="1">
      <alignment horizontal="left" vertical="center" indent="1"/>
    </xf>
    <xf numFmtId="0" fontId="37" fillId="0" borderId="51" xfId="0" applyFont="1" applyBorder="1"/>
    <xf numFmtId="0" fontId="37" fillId="0" borderId="53" xfId="0" applyFont="1" applyBorder="1"/>
    <xf numFmtId="0" fontId="37" fillId="0" borderId="55" xfId="0" applyFont="1" applyBorder="1"/>
    <xf numFmtId="14" fontId="10" fillId="0" borderId="52" xfId="0" applyNumberFormat="1" applyFont="1" applyBorder="1"/>
    <xf numFmtId="0" fontId="10" fillId="0" borderId="54" xfId="0" applyFont="1" applyBorder="1"/>
    <xf numFmtId="14" fontId="10" fillId="0" borderId="54" xfId="0" applyNumberFormat="1" applyFont="1" applyBorder="1"/>
    <xf numFmtId="14" fontId="10" fillId="0" borderId="54" xfId="0" applyNumberFormat="1" applyFont="1" applyBorder="1" applyAlignment="1">
      <alignment horizontal="right" vertical="center"/>
    </xf>
    <xf numFmtId="14" fontId="10" fillId="0" borderId="56" xfId="0" applyNumberFormat="1" applyFont="1" applyBorder="1" applyAlignment="1">
      <alignment horizontal="right" vertical="center"/>
    </xf>
    <xf numFmtId="44" fontId="71" fillId="0" borderId="0" xfId="1" applyNumberFormat="1" applyFont="1" applyFill="1" applyBorder="1" applyAlignment="1">
      <alignment vertical="center"/>
    </xf>
    <xf numFmtId="44" fontId="71" fillId="0" borderId="0" xfId="0" applyNumberFormat="1" applyFont="1" applyAlignment="1">
      <alignment vertical="center"/>
    </xf>
    <xf numFmtId="0" fontId="70" fillId="0" borderId="0" xfId="0" applyFont="1" applyAlignment="1">
      <alignment horizontal="left" vertical="center" indent="1"/>
    </xf>
    <xf numFmtId="44" fontId="71" fillId="0" borderId="0" xfId="1" applyNumberFormat="1" applyFont="1" applyFill="1" applyBorder="1" applyAlignment="1"/>
    <xf numFmtId="44" fontId="71" fillId="0" borderId="0" xfId="0" applyNumberFormat="1" applyFont="1"/>
    <xf numFmtId="0" fontId="70" fillId="0" borderId="0" xfId="0" applyFont="1" applyAlignment="1">
      <alignment horizontal="left" indent="1"/>
    </xf>
    <xf numFmtId="0" fontId="43" fillId="10" borderId="0" xfId="0" applyFont="1" applyFill="1" applyAlignment="1">
      <alignment horizontal="left" vertical="center" indent="1"/>
    </xf>
    <xf numFmtId="0" fontId="43" fillId="6" borderId="0" xfId="0" applyFont="1" applyFill="1" applyAlignment="1">
      <alignment horizontal="left" vertical="center"/>
    </xf>
    <xf numFmtId="44" fontId="45" fillId="10" borderId="0" xfId="1" applyNumberFormat="1" applyFont="1" applyFill="1" applyBorder="1" applyAlignment="1"/>
    <xf numFmtId="44" fontId="45" fillId="10" borderId="0" xfId="0" applyNumberFormat="1" applyFont="1" applyFill="1"/>
    <xf numFmtId="0" fontId="67" fillId="0" borderId="0" xfId="0" applyFont="1"/>
    <xf numFmtId="0" fontId="40" fillId="0" borderId="0" xfId="0" applyFont="1" applyAlignment="1">
      <alignment horizontal="center" vertical="center"/>
    </xf>
    <xf numFmtId="185" fontId="31" fillId="0" borderId="0" xfId="0" applyNumberFormat="1" applyFont="1"/>
    <xf numFmtId="9" fontId="31" fillId="0" borderId="0" xfId="0" applyNumberFormat="1" applyFont="1"/>
    <xf numFmtId="0" fontId="30" fillId="0" borderId="0" xfId="0" applyFont="1" applyAlignment="1">
      <alignment horizontal="left" vertical="center"/>
    </xf>
    <xf numFmtId="0" fontId="20" fillId="0" borderId="57" xfId="0" applyFont="1" applyBorder="1" applyAlignment="1">
      <alignment vertical="center"/>
    </xf>
    <xf numFmtId="43" fontId="20" fillId="0" borderId="58" xfId="1" applyFont="1" applyFill="1" applyBorder="1" applyAlignment="1">
      <alignment horizontal="center" vertical="center"/>
    </xf>
    <xf numFmtId="172" fontId="20" fillId="0" borderId="59" xfId="1" applyNumberFormat="1" applyFont="1" applyFill="1" applyBorder="1"/>
    <xf numFmtId="44" fontId="2" fillId="0" borderId="5" xfId="0" applyNumberFormat="1" applyFont="1" applyBorder="1"/>
    <xf numFmtId="44" fontId="2" fillId="0" borderId="10" xfId="0" applyNumberFormat="1" applyFont="1" applyBorder="1"/>
    <xf numFmtId="43" fontId="0" fillId="0" borderId="4" xfId="1" applyFont="1" applyBorder="1"/>
    <xf numFmtId="43" fontId="0" fillId="0" borderId="9" xfId="1" applyFont="1" applyBorder="1"/>
    <xf numFmtId="0" fontId="0" fillId="0" borderId="47" xfId="0" applyBorder="1"/>
    <xf numFmtId="0" fontId="0" fillId="0" borderId="60" xfId="0" applyBorder="1"/>
    <xf numFmtId="0" fontId="0" fillId="0" borderId="48" xfId="0" applyBorder="1"/>
    <xf numFmtId="2" fontId="0" fillId="0" borderId="61" xfId="0" applyNumberFormat="1" applyBorder="1"/>
    <xf numFmtId="0" fontId="45" fillId="0" borderId="0" xfId="0" applyFont="1" applyAlignment="1">
      <alignment horizontal="center" vertical="center"/>
    </xf>
    <xf numFmtId="166" fontId="63" fillId="0" borderId="0" xfId="1" applyNumberFormat="1" applyFont="1" applyFill="1" applyBorder="1" applyAlignment="1">
      <alignment vertical="center"/>
    </xf>
    <xf numFmtId="0" fontId="62" fillId="0" borderId="0" xfId="0" applyFont="1" applyAlignment="1">
      <alignment vertical="center"/>
    </xf>
    <xf numFmtId="0" fontId="12" fillId="27" borderId="0" xfId="0" applyFont="1" applyFill="1" applyAlignment="1">
      <alignment horizontal="center" vertical="center" wrapText="1"/>
    </xf>
    <xf numFmtId="38" fontId="0" fillId="0" borderId="0" xfId="0" applyNumberFormat="1"/>
    <xf numFmtId="0" fontId="46" fillId="29" borderId="2" xfId="0" applyFont="1" applyFill="1" applyBorder="1"/>
    <xf numFmtId="0" fontId="47" fillId="29" borderId="16" xfId="0" applyFont="1" applyFill="1" applyBorder="1" applyAlignment="1">
      <alignment horizontal="right" vertical="center"/>
    </xf>
    <xf numFmtId="0" fontId="47" fillId="29" borderId="20" xfId="0" applyFont="1" applyFill="1" applyBorder="1" applyAlignment="1">
      <alignment horizontal="center" vertical="center" wrapText="1"/>
    </xf>
    <xf numFmtId="0" fontId="44" fillId="29" borderId="2" xfId="0" applyFont="1" applyFill="1" applyBorder="1" applyAlignment="1">
      <alignment horizontal="left" vertical="center" wrapText="1"/>
    </xf>
    <xf numFmtId="0" fontId="47" fillId="29" borderId="18" xfId="0" applyFont="1" applyFill="1" applyBorder="1" applyAlignment="1">
      <alignment horizontal="right" vertical="center"/>
    </xf>
    <xf numFmtId="0" fontId="47" fillId="29" borderId="16" xfId="0" applyFont="1" applyFill="1" applyBorder="1" applyAlignment="1">
      <alignment horizontal="right" vertical="center" wrapText="1"/>
    </xf>
    <xf numFmtId="0" fontId="47" fillId="29" borderId="20" xfId="0" applyFont="1" applyFill="1" applyBorder="1" applyAlignment="1">
      <alignment horizontal="right" vertical="center" wrapText="1"/>
    </xf>
    <xf numFmtId="0" fontId="60" fillId="15" borderId="41" xfId="0" applyFont="1" applyFill="1" applyBorder="1" applyAlignment="1">
      <alignment horizontal="center" vertical="center"/>
    </xf>
    <xf numFmtId="0" fontId="60" fillId="15" borderId="11" xfId="0" applyFont="1" applyFill="1" applyBorder="1" applyAlignment="1">
      <alignment horizontal="center" vertical="center"/>
    </xf>
    <xf numFmtId="0" fontId="60" fillId="15" borderId="11" xfId="0" applyFont="1" applyFill="1" applyBorder="1" applyAlignment="1">
      <alignment horizontal="center" vertical="center" wrapText="1"/>
    </xf>
    <xf numFmtId="0" fontId="60" fillId="15" borderId="32" xfId="0" applyFont="1" applyFill="1" applyBorder="1" applyAlignment="1">
      <alignment horizontal="center" vertical="center" wrapText="1"/>
    </xf>
    <xf numFmtId="49" fontId="8" fillId="0" borderId="33" xfId="5" applyNumberFormat="1" applyFont="1" applyFill="1" applyBorder="1" applyAlignment="1">
      <alignment vertical="center" wrapText="1"/>
    </xf>
    <xf numFmtId="0" fontId="0" fillId="0" borderId="0" xfId="0" applyAlignment="1">
      <alignment horizontal="right"/>
    </xf>
    <xf numFmtId="0" fontId="46" fillId="20" borderId="17" xfId="0" applyFont="1" applyFill="1" applyBorder="1" applyAlignment="1">
      <alignment vertical="center"/>
    </xf>
    <xf numFmtId="44" fontId="10" fillId="0" borderId="0" xfId="0" applyNumberFormat="1" applyFont="1" applyAlignment="1">
      <alignment vertical="top"/>
    </xf>
    <xf numFmtId="10" fontId="2" fillId="0" borderId="40" xfId="2" applyNumberFormat="1" applyFont="1" applyBorder="1" applyAlignment="1"/>
    <xf numFmtId="0" fontId="46" fillId="20" borderId="0" xfId="0" applyFont="1" applyFill="1" applyAlignment="1">
      <alignment vertical="center"/>
    </xf>
    <xf numFmtId="3" fontId="8" fillId="0" borderId="33" xfId="5" applyNumberFormat="1" applyFont="1" applyFill="1" applyBorder="1" applyAlignment="1">
      <alignment vertical="center"/>
    </xf>
    <xf numFmtId="0" fontId="12" fillId="27" borderId="73" xfId="0" applyFont="1" applyFill="1" applyBorder="1" applyAlignment="1">
      <alignment horizontal="center" vertical="center" wrapText="1"/>
    </xf>
    <xf numFmtId="3" fontId="8" fillId="0" borderId="73" xfId="5" applyNumberFormat="1" applyFont="1" applyBorder="1" applyAlignment="1">
      <alignment vertical="center"/>
    </xf>
    <xf numFmtId="3" fontId="8" fillId="0" borderId="73" xfId="5" applyNumberFormat="1" applyFont="1" applyFill="1" applyBorder="1" applyAlignment="1">
      <alignment vertical="center"/>
    </xf>
    <xf numFmtId="180" fontId="38" fillId="0" borderId="0" xfId="0" applyNumberFormat="1" applyFont="1"/>
    <xf numFmtId="0" fontId="0" fillId="0" borderId="0" xfId="0" pivotButton="1"/>
    <xf numFmtId="0" fontId="107" fillId="0" borderId="0" xfId="0" applyFont="1"/>
    <xf numFmtId="0" fontId="44" fillId="15" borderId="23" xfId="0" applyFont="1" applyFill="1" applyBorder="1" applyAlignment="1">
      <alignment horizontal="center" vertical="center"/>
    </xf>
    <xf numFmtId="166" fontId="45" fillId="0" borderId="0" xfId="1" applyNumberFormat="1" applyFont="1" applyAlignment="1">
      <alignment vertical="top"/>
    </xf>
    <xf numFmtId="166" fontId="45" fillId="0" borderId="21" xfId="1" applyNumberFormat="1" applyFont="1" applyBorder="1"/>
    <xf numFmtId="166" fontId="71" fillId="0" borderId="0" xfId="1" applyNumberFormat="1" applyFont="1" applyAlignment="1">
      <alignment vertical="top"/>
    </xf>
    <xf numFmtId="166" fontId="71" fillId="0" borderId="21" xfId="1" applyNumberFormat="1" applyFont="1" applyBorder="1"/>
    <xf numFmtId="0" fontId="71" fillId="0" borderId="12" xfId="0" applyFont="1" applyBorder="1" applyAlignment="1">
      <alignment horizontal="left" vertical="top" indent="1"/>
    </xf>
    <xf numFmtId="0" fontId="47" fillId="16" borderId="77" xfId="0" applyFont="1" applyFill="1" applyBorder="1" applyAlignment="1">
      <alignment horizontal="center" vertical="center"/>
    </xf>
    <xf numFmtId="166" fontId="38" fillId="0" borderId="78" xfId="0" applyNumberFormat="1" applyFont="1" applyBorder="1"/>
    <xf numFmtId="0" fontId="88" fillId="0" borderId="0" xfId="78" applyFill="1"/>
    <xf numFmtId="0" fontId="88" fillId="0" borderId="0" xfId="78" applyFill="1" applyBorder="1" applyAlignment="1">
      <alignment horizontal="center" vertical="center" wrapText="1"/>
    </xf>
    <xf numFmtId="0" fontId="47" fillId="16" borderId="23" xfId="0" applyFont="1" applyFill="1" applyBorder="1" applyAlignment="1">
      <alignment horizontal="center" vertical="center" wrapText="1"/>
    </xf>
    <xf numFmtId="0" fontId="47" fillId="16" borderId="18" xfId="0" applyFont="1" applyFill="1" applyBorder="1" applyAlignment="1">
      <alignment horizontal="center" vertical="center" wrapText="1"/>
    </xf>
    <xf numFmtId="0" fontId="46" fillId="0" borderId="17" xfId="0" applyFont="1" applyBorder="1" applyAlignment="1">
      <alignment horizontal="center" vertical="center"/>
    </xf>
    <xf numFmtId="0" fontId="46" fillId="0" borderId="15" xfId="0" applyFont="1" applyBorder="1" applyAlignment="1">
      <alignment horizontal="left" vertical="center"/>
    </xf>
    <xf numFmtId="167" fontId="0" fillId="0" borderId="0" xfId="0" applyNumberFormat="1"/>
    <xf numFmtId="0" fontId="47" fillId="16" borderId="23" xfId="0" applyFont="1" applyFill="1" applyBorder="1" applyAlignment="1">
      <alignment horizontal="left" vertical="center" wrapText="1"/>
    </xf>
    <xf numFmtId="169" fontId="13" fillId="0" borderId="0" xfId="63" applyNumberFormat="1" applyFont="1" applyAlignment="1">
      <alignment vertical="center"/>
    </xf>
    <xf numFmtId="0" fontId="10" fillId="0" borderId="33" xfId="0" applyFont="1" applyBorder="1" applyAlignment="1">
      <alignment horizontal="center"/>
    </xf>
    <xf numFmtId="0" fontId="10" fillId="22" borderId="73" xfId="0" applyFont="1" applyFill="1" applyBorder="1" applyAlignment="1">
      <alignment horizontal="center"/>
    </xf>
    <xf numFmtId="0" fontId="43" fillId="0" borderId="12" xfId="0" applyFont="1" applyBorder="1" applyAlignment="1">
      <alignment horizontal="left"/>
    </xf>
    <xf numFmtId="167" fontId="46" fillId="0" borderId="21" xfId="2" applyNumberFormat="1" applyFont="1" applyFill="1" applyBorder="1" applyAlignment="1"/>
    <xf numFmtId="0" fontId="47" fillId="0" borderId="0" xfId="0" applyFont="1" applyAlignment="1">
      <alignment horizontal="right" vertical="center"/>
    </xf>
    <xf numFmtId="0" fontId="59" fillId="0" borderId="0" xfId="0" applyFont="1" applyAlignment="1">
      <alignment horizontal="right" vertical="center"/>
    </xf>
    <xf numFmtId="0" fontId="0" fillId="62" borderId="0" xfId="0" applyFill="1"/>
    <xf numFmtId="0" fontId="50" fillId="0" borderId="0" xfId="0" applyFont="1" applyAlignment="1">
      <alignment vertical="center"/>
    </xf>
    <xf numFmtId="0" fontId="31" fillId="0" borderId="0" xfId="0" quotePrefix="1" applyFont="1"/>
    <xf numFmtId="166" fontId="73" fillId="14" borderId="0" xfId="1" applyNumberFormat="1" applyFont="1" applyFill="1" applyBorder="1" applyAlignment="1">
      <alignment vertical="center"/>
    </xf>
    <xf numFmtId="166" fontId="75" fillId="14" borderId="0" xfId="1" applyNumberFormat="1" applyFont="1" applyFill="1" applyBorder="1" applyAlignment="1">
      <alignment vertical="center"/>
    </xf>
    <xf numFmtId="166" fontId="76" fillId="0" borderId="0" xfId="1" applyNumberFormat="1" applyFont="1" applyFill="1" applyBorder="1" applyAlignment="1">
      <alignment horizontal="left" vertical="center"/>
    </xf>
    <xf numFmtId="166" fontId="76" fillId="0" borderId="0" xfId="1" applyNumberFormat="1" applyFont="1" applyFill="1" applyBorder="1" applyAlignment="1">
      <alignment vertical="center"/>
    </xf>
    <xf numFmtId="0" fontId="74" fillId="30" borderId="45" xfId="0" applyFont="1" applyFill="1" applyBorder="1" applyAlignment="1">
      <alignment horizontal="center" vertical="center"/>
    </xf>
    <xf numFmtId="0" fontId="73" fillId="14" borderId="12" xfId="0" applyFont="1" applyFill="1" applyBorder="1" applyAlignment="1">
      <alignment vertical="center"/>
    </xf>
    <xf numFmtId="166" fontId="75" fillId="14" borderId="21" xfId="1" applyNumberFormat="1" applyFont="1" applyFill="1" applyBorder="1" applyAlignment="1">
      <alignment vertical="center"/>
    </xf>
    <xf numFmtId="0" fontId="76" fillId="0" borderId="12" xfId="0" applyFont="1" applyBorder="1" applyAlignment="1">
      <alignment horizontal="left" vertical="center" indent="1"/>
    </xf>
    <xf numFmtId="166" fontId="76" fillId="0" borderId="21" xfId="1" applyNumberFormat="1" applyFont="1" applyFill="1" applyBorder="1" applyAlignment="1">
      <alignment vertical="center"/>
    </xf>
    <xf numFmtId="166" fontId="76" fillId="0" borderId="21" xfId="1" applyNumberFormat="1" applyFont="1" applyFill="1" applyBorder="1" applyAlignment="1">
      <alignment horizontal="left" vertical="center"/>
    </xf>
    <xf numFmtId="166" fontId="73" fillId="14" borderId="21" xfId="1" applyNumberFormat="1" applyFont="1" applyFill="1" applyBorder="1" applyAlignment="1">
      <alignment vertical="center"/>
    </xf>
    <xf numFmtId="0" fontId="73" fillId="0" borderId="22" xfId="0" applyFont="1" applyBorder="1" applyAlignment="1">
      <alignment horizontal="center" vertical="center"/>
    </xf>
    <xf numFmtId="166" fontId="73" fillId="0" borderId="17" xfId="1" applyNumberFormat="1" applyFont="1" applyFill="1" applyBorder="1" applyAlignment="1">
      <alignment horizontal="center" vertical="center"/>
    </xf>
    <xf numFmtId="166" fontId="75" fillId="0" borderId="17" xfId="1" applyNumberFormat="1" applyFont="1" applyFill="1" applyBorder="1" applyAlignment="1">
      <alignment vertical="center"/>
    </xf>
    <xf numFmtId="166" fontId="75" fillId="0" borderId="15" xfId="1" applyNumberFormat="1" applyFont="1" applyFill="1" applyBorder="1" applyAlignment="1">
      <alignment vertical="center"/>
    </xf>
    <xf numFmtId="0" fontId="76" fillId="0" borderId="28" xfId="0" applyFont="1" applyBorder="1" applyAlignment="1">
      <alignment horizontal="left" vertical="center" indent="1"/>
    </xf>
    <xf numFmtId="166" fontId="39" fillId="0" borderId="29" xfId="1" applyNumberFormat="1" applyFont="1" applyFill="1" applyBorder="1" applyAlignment="1">
      <alignment vertical="center"/>
    </xf>
    <xf numFmtId="166" fontId="76" fillId="0" borderId="29" xfId="1" applyNumberFormat="1" applyFont="1" applyFill="1" applyBorder="1" applyAlignment="1">
      <alignment vertical="center"/>
    </xf>
    <xf numFmtId="166" fontId="76" fillId="0" borderId="82" xfId="1" applyNumberFormat="1" applyFont="1" applyFill="1" applyBorder="1" applyAlignment="1">
      <alignment vertical="center"/>
    </xf>
    <xf numFmtId="167" fontId="10" fillId="0" borderId="0" xfId="2" applyNumberFormat="1" applyFont="1"/>
    <xf numFmtId="0" fontId="10" fillId="0" borderId="0" xfId="0" applyFont="1" applyAlignment="1">
      <alignment horizontal="right"/>
    </xf>
    <xf numFmtId="182" fontId="2" fillId="14" borderId="39" xfId="6" applyNumberFormat="1" applyFont="1" applyFill="1" applyBorder="1" applyAlignment="1"/>
    <xf numFmtId="179" fontId="2" fillId="14" borderId="37" xfId="6" applyNumberFormat="1" applyFont="1" applyFill="1" applyBorder="1" applyAlignment="1"/>
    <xf numFmtId="0" fontId="2" fillId="13" borderId="29" xfId="0" applyFont="1" applyFill="1" applyBorder="1"/>
    <xf numFmtId="0" fontId="0" fillId="13" borderId="29" xfId="0" applyFill="1" applyBorder="1"/>
    <xf numFmtId="0" fontId="38" fillId="13" borderId="29" xfId="0" applyFont="1" applyFill="1" applyBorder="1"/>
    <xf numFmtId="0" fontId="43" fillId="18" borderId="74" xfId="0" applyFont="1" applyFill="1" applyBorder="1" applyAlignment="1">
      <alignment horizontal="left"/>
    </xf>
    <xf numFmtId="166" fontId="45" fillId="18" borderId="74" xfId="1" applyNumberFormat="1" applyFont="1" applyFill="1" applyBorder="1" applyAlignment="1"/>
    <xf numFmtId="166" fontId="45" fillId="0" borderId="0" xfId="1" applyNumberFormat="1" applyFont="1" applyFill="1" applyBorder="1" applyAlignment="1">
      <alignment horizontal="center" vertical="center"/>
    </xf>
    <xf numFmtId="166" fontId="71" fillId="0" borderId="0" xfId="1" applyNumberFormat="1" applyFont="1" applyFill="1" applyBorder="1"/>
    <xf numFmtId="166" fontId="45" fillId="0" borderId="0" xfId="1" applyNumberFormat="1" applyFont="1" applyFill="1" applyBorder="1"/>
    <xf numFmtId="0" fontId="29" fillId="0" borderId="0" xfId="0" applyFont="1"/>
    <xf numFmtId="0" fontId="47" fillId="16" borderId="0" xfId="0" applyFont="1" applyFill="1" applyAlignment="1">
      <alignment horizontal="right" vertical="center"/>
    </xf>
    <xf numFmtId="0" fontId="49" fillId="0" borderId="0" xfId="0" applyFont="1" applyAlignment="1">
      <alignment vertical="center"/>
    </xf>
    <xf numFmtId="0" fontId="107" fillId="0" borderId="0" xfId="0" applyFont="1" applyAlignment="1">
      <alignment vertical="top"/>
    </xf>
    <xf numFmtId="0" fontId="45" fillId="0" borderId="0" xfId="0" applyFont="1" applyAlignment="1">
      <alignment vertical="top"/>
    </xf>
    <xf numFmtId="166" fontId="45" fillId="0" borderId="0" xfId="1" applyNumberFormat="1" applyFont="1" applyFill="1" applyBorder="1" applyAlignment="1">
      <alignment vertical="top"/>
    </xf>
    <xf numFmtId="0" fontId="46" fillId="0" borderId="0" xfId="0" applyFont="1" applyAlignment="1">
      <alignment horizontal="left" vertical="top" indent="1"/>
    </xf>
    <xf numFmtId="166" fontId="71" fillId="0" borderId="0" xfId="1" applyNumberFormat="1" applyFont="1" applyFill="1" applyBorder="1" applyAlignment="1">
      <alignment vertical="top"/>
    </xf>
    <xf numFmtId="166" fontId="46" fillId="0" borderId="0" xfId="1" applyNumberFormat="1" applyFont="1" applyFill="1" applyBorder="1" applyAlignment="1">
      <alignment vertical="top"/>
    </xf>
    <xf numFmtId="0" fontId="29" fillId="0" borderId="0" xfId="0" applyFont="1" applyAlignment="1">
      <alignment vertical="top"/>
    </xf>
    <xf numFmtId="166" fontId="45" fillId="0" borderId="0" xfId="0" applyNumberFormat="1" applyFont="1" applyAlignment="1">
      <alignment vertical="top"/>
    </xf>
    <xf numFmtId="0" fontId="71" fillId="0" borderId="0" xfId="0" applyFont="1" applyAlignment="1">
      <alignment horizontal="left" vertical="top" indent="1"/>
    </xf>
    <xf numFmtId="0" fontId="71" fillId="0" borderId="0" xfId="0" applyFont="1" applyAlignment="1">
      <alignment vertical="top"/>
    </xf>
    <xf numFmtId="0" fontId="42" fillId="16" borderId="12" xfId="0" applyFont="1" applyFill="1" applyBorder="1" applyAlignment="1">
      <alignment horizontal="left" vertical="center"/>
    </xf>
    <xf numFmtId="0" fontId="47" fillId="16" borderId="21" xfId="0" applyFont="1" applyFill="1" applyBorder="1" applyAlignment="1">
      <alignment horizontal="right" vertical="center"/>
    </xf>
    <xf numFmtId="167" fontId="71" fillId="0" borderId="21" xfId="2" applyNumberFormat="1" applyFont="1" applyFill="1" applyBorder="1" applyAlignment="1"/>
    <xf numFmtId="0" fontId="70" fillId="0" borderId="12" xfId="0" applyFont="1" applyBorder="1" applyAlignment="1">
      <alignment horizontal="left" indent="1"/>
    </xf>
    <xf numFmtId="43" fontId="46" fillId="0" borderId="0" xfId="1" applyFont="1" applyFill="1" applyBorder="1" applyAlignment="1"/>
    <xf numFmtId="43" fontId="46" fillId="0" borderId="0" xfId="0" applyNumberFormat="1" applyFont="1"/>
    <xf numFmtId="43" fontId="71" fillId="0" borderId="0" xfId="1" applyFont="1" applyFill="1" applyBorder="1" applyAlignment="1"/>
    <xf numFmtId="43" fontId="71" fillId="0" borderId="0" xfId="0" applyNumberFormat="1" applyFont="1"/>
    <xf numFmtId="0" fontId="113" fillId="0" borderId="0" xfId="0" applyFont="1" applyAlignment="1">
      <alignment vertical="center"/>
    </xf>
    <xf numFmtId="0" fontId="73" fillId="0" borderId="0" xfId="0" applyFont="1" applyAlignment="1">
      <alignment vertical="top"/>
    </xf>
    <xf numFmtId="0" fontId="39" fillId="0" borderId="0" xfId="0" applyFont="1" applyAlignment="1">
      <alignment vertical="top"/>
    </xf>
    <xf numFmtId="0" fontId="39" fillId="0" borderId="0" xfId="0" applyFont="1"/>
    <xf numFmtId="0" fontId="114" fillId="0" borderId="21" xfId="0" applyFont="1" applyBorder="1" applyAlignment="1">
      <alignment vertical="center"/>
    </xf>
    <xf numFmtId="0" fontId="114" fillId="0" borderId="21" xfId="0" applyFont="1" applyBorder="1" applyAlignment="1">
      <alignment vertical="center" wrapText="1"/>
    </xf>
    <xf numFmtId="189" fontId="0" fillId="0" borderId="0" xfId="0" applyNumberFormat="1"/>
    <xf numFmtId="44" fontId="46" fillId="0" borderId="75" xfId="1" applyNumberFormat="1" applyFont="1" applyFill="1" applyBorder="1" applyAlignment="1">
      <alignment horizontal="center" vertical="center"/>
    </xf>
    <xf numFmtId="0" fontId="112" fillId="14" borderId="0" xfId="0" applyFont="1" applyFill="1" applyAlignment="1">
      <alignment vertical="center"/>
    </xf>
    <xf numFmtId="0" fontId="44" fillId="16" borderId="0" xfId="0" applyFont="1" applyFill="1" applyAlignment="1">
      <alignment horizontal="left" vertical="center"/>
    </xf>
    <xf numFmtId="0" fontId="10" fillId="14" borderId="0" xfId="0" applyFont="1" applyFill="1" applyAlignment="1">
      <alignment vertical="top"/>
    </xf>
    <xf numFmtId="0" fontId="47" fillId="16" borderId="0" xfId="0" applyFont="1" applyFill="1" applyAlignment="1">
      <alignment horizontal="center" vertical="center"/>
    </xf>
    <xf numFmtId="0" fontId="15" fillId="0" borderId="0" xfId="0" applyFont="1"/>
    <xf numFmtId="190" fontId="0" fillId="0" borderId="0" xfId="0" applyNumberFormat="1"/>
    <xf numFmtId="0" fontId="13" fillId="0" borderId="0" xfId="0" applyFont="1"/>
    <xf numFmtId="0" fontId="0" fillId="0" borderId="0" xfId="0" applyAlignment="1">
      <alignment horizontal="center" vertical="center"/>
    </xf>
    <xf numFmtId="171" fontId="0" fillId="0" borderId="0" xfId="1" applyNumberFormat="1" applyFont="1"/>
    <xf numFmtId="179" fontId="10" fillId="0" borderId="0" xfId="6" applyNumberFormat="1" applyFont="1"/>
    <xf numFmtId="15" fontId="10" fillId="0" borderId="0" xfId="0" applyNumberFormat="1" applyFont="1"/>
    <xf numFmtId="166" fontId="8" fillId="0" borderId="0" xfId="0" applyNumberFormat="1" applyFont="1" applyAlignment="1">
      <alignment vertical="center"/>
    </xf>
    <xf numFmtId="166" fontId="10" fillId="0" borderId="0" xfId="1" applyNumberFormat="1" applyFont="1" applyAlignment="1">
      <alignment vertical="center"/>
    </xf>
    <xf numFmtId="166" fontId="10" fillId="0" borderId="0" xfId="1" applyNumberFormat="1" applyFont="1" applyAlignment="1">
      <alignment horizontal="center" vertical="center"/>
    </xf>
    <xf numFmtId="0" fontId="45" fillId="0" borderId="0" xfId="0" applyFont="1" applyAlignment="1">
      <alignment horizontal="left" vertical="center"/>
    </xf>
    <xf numFmtId="0" fontId="46" fillId="63" borderId="12" xfId="0" applyFont="1" applyFill="1" applyBorder="1" applyAlignment="1">
      <alignment vertical="center"/>
    </xf>
    <xf numFmtId="166" fontId="61" fillId="63" borderId="21" xfId="1" applyNumberFormat="1" applyFont="1" applyFill="1" applyBorder="1" applyAlignment="1">
      <alignment vertical="center"/>
    </xf>
    <xf numFmtId="0" fontId="47" fillId="16" borderId="83" xfId="0" applyFont="1" applyFill="1" applyBorder="1" applyAlignment="1">
      <alignment horizontal="right" vertical="center" wrapText="1"/>
    </xf>
    <xf numFmtId="166" fontId="61" fillId="0" borderId="84" xfId="1" applyNumberFormat="1" applyFont="1" applyFill="1" applyBorder="1" applyAlignment="1">
      <alignment vertical="center"/>
    </xf>
    <xf numFmtId="166" fontId="61" fillId="63" borderId="84" xfId="1" applyNumberFormat="1" applyFont="1" applyFill="1" applyBorder="1" applyAlignment="1">
      <alignment vertical="center"/>
    </xf>
    <xf numFmtId="166" fontId="63" fillId="0" borderId="85" xfId="1" applyNumberFormat="1" applyFont="1" applyFill="1" applyBorder="1" applyAlignment="1">
      <alignment vertical="center"/>
    </xf>
    <xf numFmtId="0" fontId="115" fillId="0" borderId="0" xfId="0" quotePrefix="1" applyFont="1" applyAlignment="1">
      <alignment horizontal="right" vertical="center"/>
    </xf>
    <xf numFmtId="0" fontId="115" fillId="0" borderId="0" xfId="0" applyFont="1" applyAlignment="1">
      <alignment horizontal="center" vertical="center"/>
    </xf>
    <xf numFmtId="0" fontId="115" fillId="0" borderId="0" xfId="0" applyFont="1" applyAlignment="1">
      <alignment vertical="center"/>
    </xf>
    <xf numFmtId="166" fontId="116" fillId="0" borderId="0" xfId="1" applyNumberFormat="1" applyFont="1" applyFill="1" applyBorder="1" applyAlignment="1">
      <alignment vertical="center"/>
    </xf>
    <xf numFmtId="166" fontId="117" fillId="0" borderId="0" xfId="1" applyNumberFormat="1" applyFont="1" applyFill="1" applyBorder="1" applyAlignment="1">
      <alignment vertical="center"/>
    </xf>
    <xf numFmtId="0" fontId="45" fillId="0" borderId="30" xfId="0" applyFont="1" applyBorder="1" applyAlignment="1">
      <alignment horizontal="center" vertical="center"/>
    </xf>
    <xf numFmtId="166" fontId="63" fillId="0" borderId="31" xfId="1" applyNumberFormat="1" applyFont="1" applyFill="1" applyBorder="1" applyAlignment="1">
      <alignment vertical="center"/>
    </xf>
    <xf numFmtId="0" fontId="59" fillId="15" borderId="24" xfId="0" applyFont="1" applyFill="1" applyBorder="1" applyAlignment="1">
      <alignment horizontal="right" vertical="center" wrapText="1"/>
    </xf>
    <xf numFmtId="0" fontId="59" fillId="15" borderId="83" xfId="0" applyFont="1" applyFill="1" applyBorder="1" applyAlignment="1">
      <alignment horizontal="right" vertical="center" wrapText="1"/>
    </xf>
    <xf numFmtId="166" fontId="62" fillId="0" borderId="84" xfId="1" applyNumberFormat="1" applyFont="1" applyFill="1" applyBorder="1" applyAlignment="1">
      <alignment vertical="center"/>
    </xf>
    <xf numFmtId="44" fontId="45" fillId="10" borderId="0" xfId="1" applyNumberFormat="1" applyFont="1" applyFill="1" applyBorder="1" applyAlignment="1">
      <alignment horizontal="left"/>
    </xf>
    <xf numFmtId="44" fontId="45" fillId="10" borderId="0" xfId="0" applyNumberFormat="1" applyFont="1" applyFill="1" applyAlignment="1">
      <alignment horizontal="left"/>
    </xf>
    <xf numFmtId="44" fontId="71" fillId="0" borderId="0" xfId="1" applyNumberFormat="1" applyFont="1" applyFill="1" applyBorder="1" applyAlignment="1">
      <alignment horizontal="left" vertical="center"/>
    </xf>
    <xf numFmtId="44" fontId="71" fillId="0" borderId="0" xfId="0" applyNumberFormat="1" applyFont="1" applyAlignment="1">
      <alignment horizontal="left" vertical="center"/>
    </xf>
    <xf numFmtId="44" fontId="71" fillId="0" borderId="0" xfId="1" applyNumberFormat="1" applyFont="1" applyFill="1" applyBorder="1" applyAlignment="1">
      <alignment horizontal="left"/>
    </xf>
    <xf numFmtId="44" fontId="71" fillId="0" borderId="0" xfId="0" applyNumberFormat="1" applyFont="1" applyAlignment="1">
      <alignment horizontal="left"/>
    </xf>
    <xf numFmtId="0" fontId="118" fillId="0" borderId="0" xfId="0" applyFont="1" applyAlignment="1">
      <alignment horizontal="left" vertical="center"/>
    </xf>
    <xf numFmtId="44" fontId="31" fillId="0" borderId="0" xfId="0" applyNumberFormat="1" applyFont="1"/>
    <xf numFmtId="183" fontId="31" fillId="0" borderId="0" xfId="1" applyNumberFormat="1" applyFont="1"/>
    <xf numFmtId="43" fontId="45" fillId="0" borderId="0" xfId="1" applyFont="1" applyFill="1" applyBorder="1" applyAlignment="1"/>
    <xf numFmtId="43" fontId="45" fillId="0" borderId="0" xfId="0" applyNumberFormat="1" applyFont="1"/>
    <xf numFmtId="167" fontId="45" fillId="0" borderId="21" xfId="2" applyNumberFormat="1" applyFont="1" applyFill="1" applyBorder="1" applyAlignment="1"/>
    <xf numFmtId="0" fontId="119" fillId="2" borderId="0" xfId="0" applyFont="1" applyFill="1" applyAlignment="1">
      <alignment vertical="center"/>
    </xf>
    <xf numFmtId="43" fontId="8" fillId="0" borderId="0" xfId="0" applyNumberFormat="1" applyFont="1"/>
    <xf numFmtId="171" fontId="8" fillId="0" borderId="0" xfId="0" applyNumberFormat="1" applyFont="1"/>
    <xf numFmtId="168" fontId="8" fillId="0" borderId="0" xfId="63" applyFont="1"/>
    <xf numFmtId="169" fontId="13" fillId="0" borderId="0" xfId="63" applyNumberFormat="1" applyFont="1"/>
    <xf numFmtId="0" fontId="120" fillId="2" borderId="0" xfId="0" applyFont="1" applyFill="1" applyAlignment="1">
      <alignment vertical="center"/>
    </xf>
    <xf numFmtId="169" fontId="8" fillId="0" borderId="0" xfId="63" applyNumberFormat="1" applyFont="1" applyAlignment="1">
      <alignment wrapText="1"/>
    </xf>
    <xf numFmtId="0" fontId="121" fillId="0" borderId="0" xfId="0" applyFont="1"/>
    <xf numFmtId="43" fontId="13" fillId="0" borderId="0" xfId="0" applyNumberFormat="1" applyFont="1"/>
    <xf numFmtId="0" fontId="12" fillId="0" borderId="0" xfId="0" applyFont="1" applyAlignment="1">
      <alignment vertical="center"/>
    </xf>
    <xf numFmtId="43" fontId="33" fillId="0" borderId="17" xfId="0" applyNumberFormat="1" applyFont="1" applyBorder="1" applyAlignment="1">
      <alignment horizontal="center" vertical="center"/>
    </xf>
    <xf numFmtId="171" fontId="33" fillId="0" borderId="17" xfId="0" applyNumberFormat="1" applyFont="1" applyBorder="1" applyAlignment="1">
      <alignment horizontal="center" vertical="center" wrapText="1"/>
    </xf>
    <xf numFmtId="43" fontId="122" fillId="0" borderId="0" xfId="0" applyNumberFormat="1" applyFont="1" applyAlignment="1">
      <alignment vertical="center"/>
    </xf>
    <xf numFmtId="168" fontId="122" fillId="0" borderId="0" xfId="63" applyFont="1" applyAlignment="1">
      <alignment vertical="center"/>
    </xf>
    <xf numFmtId="0" fontId="122" fillId="0" borderId="0" xfId="0" applyFont="1" applyAlignment="1">
      <alignment vertical="center"/>
    </xf>
    <xf numFmtId="0" fontId="123" fillId="3" borderId="2" xfId="0" applyFont="1" applyFill="1" applyBorder="1" applyAlignment="1">
      <alignment vertical="center"/>
    </xf>
    <xf numFmtId="0" fontId="123" fillId="3" borderId="16" xfId="0" applyFont="1" applyFill="1" applyBorder="1" applyAlignment="1">
      <alignment horizontal="right" vertical="center"/>
    </xf>
    <xf numFmtId="171" fontId="123" fillId="3" borderId="20" xfId="0" applyNumberFormat="1" applyFont="1" applyFill="1" applyBorder="1" applyAlignment="1">
      <alignment horizontal="right" vertical="center"/>
    </xf>
    <xf numFmtId="171" fontId="123" fillId="3" borderId="16" xfId="0" applyNumberFormat="1" applyFont="1" applyFill="1" applyBorder="1" applyAlignment="1">
      <alignment horizontal="right" vertical="center"/>
    </xf>
    <xf numFmtId="0" fontId="123" fillId="3" borderId="16" xfId="0" applyFont="1" applyFill="1" applyBorder="1" applyAlignment="1">
      <alignment horizontal="center" vertical="center"/>
    </xf>
    <xf numFmtId="43" fontId="8" fillId="0" borderId="0" xfId="0" applyNumberFormat="1" applyFont="1" applyAlignment="1">
      <alignment vertical="center"/>
    </xf>
    <xf numFmtId="168" fontId="8" fillId="0" borderId="0" xfId="63" applyFont="1" applyAlignment="1">
      <alignment vertical="center"/>
    </xf>
    <xf numFmtId="0" fontId="8" fillId="3" borderId="12" xfId="0" applyFont="1" applyFill="1" applyBorder="1" applyAlignment="1">
      <alignment vertical="center"/>
    </xf>
    <xf numFmtId="0" fontId="8" fillId="3" borderId="0" xfId="0" applyFont="1" applyFill="1" applyAlignment="1">
      <alignment horizontal="center" vertical="center" wrapText="1"/>
    </xf>
    <xf numFmtId="171" fontId="8" fillId="3" borderId="21" xfId="0" applyNumberFormat="1" applyFont="1" applyFill="1" applyBorder="1" applyAlignment="1">
      <alignment horizontal="center" vertical="center" wrapText="1"/>
    </xf>
    <xf numFmtId="171" fontId="8" fillId="3" borderId="0" xfId="0" applyNumberFormat="1" applyFont="1" applyFill="1" applyAlignment="1">
      <alignment horizontal="center" vertical="center" wrapText="1"/>
    </xf>
    <xf numFmtId="171" fontId="8" fillId="3" borderId="12" xfId="0" applyNumberFormat="1" applyFont="1" applyFill="1" applyBorder="1" applyAlignment="1">
      <alignment horizontal="center" vertical="center" wrapText="1"/>
    </xf>
    <xf numFmtId="43" fontId="8" fillId="0" borderId="0" xfId="0" applyNumberFormat="1" applyFont="1" applyAlignment="1">
      <alignment vertical="center" wrapText="1"/>
    </xf>
    <xf numFmtId="0" fontId="123" fillId="3" borderId="12" xfId="0" applyFont="1" applyFill="1" applyBorder="1" applyAlignment="1">
      <alignment vertical="center"/>
    </xf>
    <xf numFmtId="170" fontId="123" fillId="3" borderId="0" xfId="63" applyNumberFormat="1" applyFont="1" applyFill="1" applyBorder="1" applyAlignment="1">
      <alignment horizontal="right" vertical="center"/>
    </xf>
    <xf numFmtId="170" fontId="123" fillId="3" borderId="21" xfId="63" applyNumberFormat="1" applyFont="1" applyFill="1" applyBorder="1" applyAlignment="1">
      <alignment horizontal="right" vertical="center" wrapText="1"/>
    </xf>
    <xf numFmtId="170" fontId="123" fillId="3" borderId="0" xfId="63" applyNumberFormat="1" applyFont="1" applyFill="1" applyBorder="1" applyAlignment="1">
      <alignment horizontal="right" vertical="center" wrapText="1"/>
    </xf>
    <xf numFmtId="170" fontId="123" fillId="3" borderId="0" xfId="63" applyNumberFormat="1" applyFont="1" applyFill="1" applyAlignment="1">
      <alignment horizontal="right" vertical="center" wrapText="1"/>
    </xf>
    <xf numFmtId="170" fontId="123" fillId="3" borderId="12" xfId="63" applyNumberFormat="1" applyFont="1" applyFill="1" applyBorder="1" applyAlignment="1">
      <alignment horizontal="right" vertical="center" wrapText="1"/>
    </xf>
    <xf numFmtId="191" fontId="123" fillId="3" borderId="0" xfId="63" applyNumberFormat="1" applyFont="1" applyFill="1" applyBorder="1" applyAlignment="1">
      <alignment horizontal="right" vertical="center" wrapText="1"/>
    </xf>
    <xf numFmtId="191" fontId="123" fillId="3" borderId="12" xfId="63" applyNumberFormat="1" applyFont="1" applyFill="1" applyBorder="1" applyAlignment="1">
      <alignment horizontal="right" vertical="center" wrapText="1"/>
    </xf>
    <xf numFmtId="0" fontId="8" fillId="3" borderId="12" xfId="0" quotePrefix="1" applyFont="1" applyFill="1" applyBorder="1" applyAlignment="1">
      <alignment vertical="center"/>
    </xf>
    <xf numFmtId="170" fontId="8" fillId="3" borderId="0" xfId="63" applyNumberFormat="1" applyFont="1" applyFill="1" applyBorder="1" applyAlignment="1">
      <alignment horizontal="right" vertical="center"/>
    </xf>
    <xf numFmtId="170" fontId="8" fillId="3" borderId="21" xfId="63" applyNumberFormat="1" applyFont="1" applyFill="1" applyBorder="1" applyAlignment="1">
      <alignment horizontal="right" vertical="center" wrapText="1"/>
    </xf>
    <xf numFmtId="170" fontId="8" fillId="3" borderId="0" xfId="63" applyNumberFormat="1" applyFont="1" applyFill="1" applyBorder="1" applyAlignment="1">
      <alignment horizontal="right" vertical="center" wrapText="1"/>
    </xf>
    <xf numFmtId="170" fontId="8" fillId="3" borderId="0" xfId="63" applyNumberFormat="1" applyFont="1" applyFill="1" applyAlignment="1">
      <alignment horizontal="right" vertical="center" wrapText="1"/>
    </xf>
    <xf numFmtId="170" fontId="8" fillId="3" borderId="12" xfId="63" applyNumberFormat="1" applyFont="1" applyFill="1" applyBorder="1" applyAlignment="1">
      <alignment horizontal="right" vertical="center" wrapText="1"/>
    </xf>
    <xf numFmtId="170" fontId="8" fillId="3" borderId="12" xfId="63" applyNumberFormat="1" applyFont="1" applyFill="1" applyBorder="1" applyAlignment="1">
      <alignment vertical="center"/>
    </xf>
    <xf numFmtId="170" fontId="8" fillId="3" borderId="0" xfId="63" applyNumberFormat="1" applyFont="1" applyFill="1" applyBorder="1" applyAlignment="1">
      <alignment vertical="center"/>
    </xf>
    <xf numFmtId="170" fontId="8" fillId="3" borderId="21" xfId="63" applyNumberFormat="1" applyFont="1" applyFill="1" applyBorder="1" applyAlignment="1">
      <alignment vertical="center"/>
    </xf>
    <xf numFmtId="0" fontId="123" fillId="3" borderId="86" xfId="0" applyFont="1" applyFill="1" applyBorder="1" applyAlignment="1">
      <alignment vertical="center"/>
    </xf>
    <xf numFmtId="170" fontId="123" fillId="3" borderId="74" xfId="63" applyNumberFormat="1" applyFont="1" applyFill="1" applyBorder="1" applyAlignment="1">
      <alignment horizontal="right" vertical="center"/>
    </xf>
    <xf numFmtId="170" fontId="123" fillId="3" borderId="87" xfId="63" applyNumberFormat="1" applyFont="1" applyFill="1" applyBorder="1" applyAlignment="1">
      <alignment horizontal="right" vertical="center" wrapText="1"/>
    </xf>
    <xf numFmtId="170" fontId="123" fillId="3" borderId="74" xfId="63" applyNumberFormat="1" applyFont="1" applyFill="1" applyBorder="1" applyAlignment="1">
      <alignment horizontal="right" vertical="center" wrapText="1"/>
    </xf>
    <xf numFmtId="170" fontId="123" fillId="3" borderId="27" xfId="63" applyNumberFormat="1" applyFont="1" applyFill="1" applyBorder="1" applyAlignment="1">
      <alignment horizontal="right" vertical="center" wrapText="1"/>
    </xf>
    <xf numFmtId="39" fontId="123" fillId="3" borderId="88" xfId="63" applyNumberFormat="1" applyFont="1" applyFill="1" applyBorder="1" applyAlignment="1">
      <alignment horizontal="right" vertical="center" wrapText="1"/>
    </xf>
    <xf numFmtId="0" fontId="8" fillId="3" borderId="12" xfId="0" applyFont="1" applyFill="1" applyBorder="1" applyAlignment="1">
      <alignment vertical="center" wrapText="1"/>
    </xf>
    <xf numFmtId="43" fontId="8" fillId="3" borderId="0" xfId="63" applyNumberFormat="1" applyFont="1" applyFill="1" applyBorder="1" applyAlignment="1">
      <alignment vertical="center"/>
    </xf>
    <xf numFmtId="171" fontId="8" fillId="3" borderId="21" xfId="63" applyNumberFormat="1" applyFont="1" applyFill="1" applyBorder="1" applyAlignment="1">
      <alignment vertical="center"/>
    </xf>
    <xf numFmtId="171" fontId="8" fillId="3" borderId="0" xfId="63" applyNumberFormat="1" applyFont="1" applyFill="1" applyBorder="1" applyAlignment="1">
      <alignment vertical="center"/>
    </xf>
    <xf numFmtId="43" fontId="8" fillId="3" borderId="21" xfId="63" applyNumberFormat="1" applyFont="1" applyFill="1" applyBorder="1" applyAlignment="1">
      <alignment vertical="center"/>
    </xf>
    <xf numFmtId="171" fontId="8" fillId="3" borderId="2" xfId="63" applyNumberFormat="1" applyFont="1" applyFill="1" applyBorder="1" applyAlignment="1">
      <alignment vertical="center"/>
    </xf>
    <xf numFmtId="171" fontId="8" fillId="3" borderId="16" xfId="63" applyNumberFormat="1" applyFont="1" applyFill="1" applyBorder="1" applyAlignment="1">
      <alignment vertical="center"/>
    </xf>
    <xf numFmtId="43" fontId="8" fillId="3" borderId="16" xfId="63" applyNumberFormat="1" applyFont="1" applyFill="1" applyBorder="1" applyAlignment="1">
      <alignment vertical="center"/>
    </xf>
    <xf numFmtId="43" fontId="123" fillId="3" borderId="0" xfId="63" applyNumberFormat="1" applyFont="1" applyFill="1" applyBorder="1" applyAlignment="1">
      <alignment horizontal="center" vertical="center"/>
    </xf>
    <xf numFmtId="171" fontId="8" fillId="3" borderId="12" xfId="63" applyNumberFormat="1" applyFont="1" applyFill="1" applyBorder="1" applyAlignment="1">
      <alignment vertical="center"/>
    </xf>
    <xf numFmtId="0" fontId="123" fillId="3" borderId="12" xfId="0" applyFont="1" applyFill="1" applyBorder="1" applyAlignment="1">
      <alignment vertical="center" wrapText="1"/>
    </xf>
    <xf numFmtId="43" fontId="123" fillId="0" borderId="0" xfId="0" applyNumberFormat="1" applyFont="1" applyAlignment="1">
      <alignment vertical="center"/>
    </xf>
    <xf numFmtId="168" fontId="123" fillId="0" borderId="0" xfId="63" applyFont="1" applyAlignment="1">
      <alignment vertical="center"/>
    </xf>
    <xf numFmtId="169" fontId="32" fillId="0" borderId="0" xfId="63" applyNumberFormat="1" applyFont="1" applyAlignment="1">
      <alignment vertical="center"/>
    </xf>
    <xf numFmtId="0" fontId="123" fillId="0" borderId="0" xfId="0" applyFont="1" applyAlignment="1">
      <alignment vertical="center"/>
    </xf>
    <xf numFmtId="0" fontId="8" fillId="3" borderId="12" xfId="0" quotePrefix="1" applyFont="1" applyFill="1" applyBorder="1" applyAlignment="1">
      <alignment vertical="center" wrapText="1"/>
    </xf>
    <xf numFmtId="0" fontId="123" fillId="3" borderId="12" xfId="0" quotePrefix="1" applyFont="1" applyFill="1" applyBorder="1" applyAlignment="1">
      <alignment vertical="center" wrapText="1"/>
    </xf>
    <xf numFmtId="0" fontId="124" fillId="3" borderId="22" xfId="0" applyFont="1" applyFill="1" applyBorder="1" applyAlignment="1">
      <alignment vertical="center"/>
    </xf>
    <xf numFmtId="170" fontId="124" fillId="3" borderId="17" xfId="63" applyNumberFormat="1" applyFont="1" applyFill="1" applyBorder="1" applyAlignment="1">
      <alignment vertical="center"/>
    </xf>
    <xf numFmtId="170" fontId="124" fillId="3" borderId="15" xfId="63" applyNumberFormat="1" applyFont="1" applyFill="1" applyBorder="1" applyAlignment="1">
      <alignment horizontal="right" vertical="center"/>
    </xf>
    <xf numFmtId="170" fontId="124" fillId="3" borderId="17" xfId="63" applyNumberFormat="1" applyFont="1" applyFill="1" applyBorder="1" applyAlignment="1">
      <alignment horizontal="right" vertical="center"/>
    </xf>
    <xf numFmtId="171" fontId="8" fillId="3" borderId="22" xfId="63" applyNumberFormat="1" applyFont="1" applyFill="1" applyBorder="1" applyAlignment="1">
      <alignment vertical="center"/>
    </xf>
    <xf numFmtId="171" fontId="8" fillId="3" borderId="17" xfId="63" applyNumberFormat="1" applyFont="1" applyFill="1" applyBorder="1" applyAlignment="1">
      <alignment vertical="center"/>
    </xf>
    <xf numFmtId="168" fontId="13" fillId="0" borderId="0" xfId="63" applyFont="1"/>
    <xf numFmtId="171" fontId="13" fillId="0" borderId="0" xfId="0" applyNumberFormat="1" applyFont="1"/>
    <xf numFmtId="0" fontId="123" fillId="3" borderId="89" xfId="0" applyFont="1" applyFill="1" applyBorder="1" applyAlignment="1">
      <alignment vertical="center"/>
    </xf>
    <xf numFmtId="171" fontId="123" fillId="3" borderId="89" xfId="0" applyNumberFormat="1" applyFont="1" applyFill="1" applyBorder="1" applyAlignment="1">
      <alignment horizontal="right" vertical="center"/>
    </xf>
    <xf numFmtId="0" fontId="123" fillId="3" borderId="2" xfId="0" applyFont="1" applyFill="1" applyBorder="1" applyAlignment="1">
      <alignment horizontal="right" vertical="center"/>
    </xf>
    <xf numFmtId="0" fontId="8" fillId="3" borderId="84" xfId="0" applyFont="1" applyFill="1" applyBorder="1" applyAlignment="1">
      <alignment vertical="center"/>
    </xf>
    <xf numFmtId="0" fontId="8" fillId="3" borderId="0" xfId="0" applyFont="1" applyFill="1" applyAlignment="1">
      <alignment horizontal="right" vertical="center" wrapText="1"/>
    </xf>
    <xf numFmtId="171" fontId="8" fillId="3" borderId="0" xfId="0" applyNumberFormat="1" applyFont="1" applyFill="1" applyAlignment="1">
      <alignment horizontal="right" vertical="center" wrapText="1"/>
    </xf>
    <xf numFmtId="171" fontId="8" fillId="3" borderId="84" xfId="0" applyNumberFormat="1" applyFont="1" applyFill="1" applyBorder="1" applyAlignment="1">
      <alignment horizontal="right" vertical="center" wrapText="1"/>
    </xf>
    <xf numFmtId="0" fontId="8" fillId="3" borderId="12" xfId="0" applyFont="1" applyFill="1" applyBorder="1" applyAlignment="1">
      <alignment horizontal="right" vertical="center" wrapText="1"/>
    </xf>
    <xf numFmtId="171" fontId="8" fillId="3" borderId="21" xfId="0" applyNumberFormat="1" applyFont="1" applyFill="1" applyBorder="1" applyAlignment="1">
      <alignment horizontal="right" vertical="center" wrapText="1"/>
    </xf>
    <xf numFmtId="0" fontId="125" fillId="3" borderId="84" xfId="0" applyFont="1" applyFill="1" applyBorder="1" applyAlignment="1">
      <alignment vertical="center"/>
    </xf>
    <xf numFmtId="168" fontId="123" fillId="3" borderId="0" xfId="63" applyFont="1" applyFill="1" applyBorder="1" applyAlignment="1">
      <alignment horizontal="right" vertical="center"/>
    </xf>
    <xf numFmtId="168" fontId="123" fillId="3" borderId="0" xfId="63" applyFont="1" applyFill="1" applyBorder="1" applyAlignment="1">
      <alignment horizontal="right" vertical="center" wrapText="1"/>
    </xf>
    <xf numFmtId="168" fontId="123" fillId="3" borderId="84" xfId="63" applyFont="1" applyFill="1" applyBorder="1" applyAlignment="1">
      <alignment horizontal="right" vertical="center" wrapText="1"/>
    </xf>
    <xf numFmtId="168" fontId="123" fillId="3" borderId="21" xfId="63" applyFont="1" applyFill="1" applyBorder="1" applyAlignment="1">
      <alignment horizontal="right" vertical="center" wrapText="1"/>
    </xf>
    <xf numFmtId="192" fontId="8" fillId="3" borderId="0" xfId="63" applyNumberFormat="1" applyFont="1" applyFill="1" applyBorder="1" applyAlignment="1">
      <alignment horizontal="right" vertical="center"/>
    </xf>
    <xf numFmtId="192" fontId="8" fillId="3" borderId="0" xfId="63" applyNumberFormat="1" applyFont="1" applyFill="1" applyBorder="1" applyAlignment="1">
      <alignment horizontal="right" vertical="center" wrapText="1"/>
    </xf>
    <xf numFmtId="192" fontId="8" fillId="3" borderId="84" xfId="63" applyNumberFormat="1" applyFont="1" applyFill="1" applyBorder="1" applyAlignment="1">
      <alignment horizontal="right" vertical="center" wrapText="1"/>
    </xf>
    <xf numFmtId="192" fontId="9" fillId="3" borderId="0" xfId="63" applyNumberFormat="1" applyFont="1" applyFill="1" applyBorder="1" applyAlignment="1">
      <alignment horizontal="right" vertical="center" wrapText="1"/>
    </xf>
    <xf numFmtId="192" fontId="8" fillId="3" borderId="21" xfId="63" applyNumberFormat="1" applyFont="1" applyFill="1" applyBorder="1" applyAlignment="1">
      <alignment horizontal="right" vertical="center" wrapText="1"/>
    </xf>
    <xf numFmtId="0" fontId="123" fillId="3" borderId="84" xfId="0" applyFont="1" applyFill="1" applyBorder="1" applyAlignment="1">
      <alignment vertical="center"/>
    </xf>
    <xf numFmtId="192" fontId="123" fillId="3" borderId="0" xfId="63" applyNumberFormat="1" applyFont="1" applyFill="1" applyBorder="1" applyAlignment="1">
      <alignment horizontal="right" vertical="center"/>
    </xf>
    <xf numFmtId="192" fontId="123" fillId="3" borderId="84" xfId="63" applyNumberFormat="1" applyFont="1" applyFill="1" applyBorder="1" applyAlignment="1">
      <alignment horizontal="right" vertical="center" wrapText="1"/>
    </xf>
    <xf numFmtId="192" fontId="123" fillId="3" borderId="0" xfId="63" applyNumberFormat="1" applyFont="1" applyFill="1" applyBorder="1" applyAlignment="1">
      <alignment horizontal="right" vertical="center" wrapText="1"/>
    </xf>
    <xf numFmtId="192" fontId="123" fillId="3" borderId="21" xfId="63" applyNumberFormat="1" applyFont="1" applyFill="1" applyBorder="1" applyAlignment="1">
      <alignment horizontal="right" vertical="center" wrapText="1"/>
    </xf>
    <xf numFmtId="0" fontId="9" fillId="0" borderId="0" xfId="0" applyFont="1"/>
    <xf numFmtId="0" fontId="9" fillId="3" borderId="84" xfId="0" applyFont="1" applyFill="1" applyBorder="1" applyAlignment="1">
      <alignment vertical="center"/>
    </xf>
    <xf numFmtId="192" fontId="9" fillId="3" borderId="0" xfId="63" applyNumberFormat="1" applyFont="1" applyFill="1" applyBorder="1" applyAlignment="1">
      <alignment horizontal="right" vertical="center"/>
    </xf>
    <xf numFmtId="192" fontId="9" fillId="3" borderId="84" xfId="63" applyNumberFormat="1" applyFont="1" applyFill="1" applyBorder="1" applyAlignment="1">
      <alignment horizontal="right" vertical="center" wrapText="1"/>
    </xf>
    <xf numFmtId="192" fontId="9" fillId="3" borderId="21" xfId="63" applyNumberFormat="1" applyFont="1" applyFill="1" applyBorder="1" applyAlignment="1">
      <alignment horizontal="right" vertical="center" wrapText="1"/>
    </xf>
    <xf numFmtId="168" fontId="9" fillId="0" borderId="0" xfId="63" applyFont="1"/>
    <xf numFmtId="169" fontId="9" fillId="0" borderId="0" xfId="63" applyNumberFormat="1" applyFont="1"/>
    <xf numFmtId="0" fontId="33" fillId="3" borderId="84" xfId="0" applyFont="1" applyFill="1" applyBorder="1" applyAlignment="1">
      <alignment vertical="center"/>
    </xf>
    <xf numFmtId="192" fontId="33" fillId="3" borderId="0" xfId="63" applyNumberFormat="1" applyFont="1" applyFill="1" applyBorder="1" applyAlignment="1">
      <alignment horizontal="right" vertical="center"/>
    </xf>
    <xf numFmtId="192" fontId="33" fillId="3" borderId="0" xfId="63" applyNumberFormat="1" applyFont="1" applyFill="1" applyBorder="1" applyAlignment="1">
      <alignment horizontal="right" vertical="center" wrapText="1"/>
    </xf>
    <xf numFmtId="192" fontId="33" fillId="3" borderId="84" xfId="63" applyNumberFormat="1" applyFont="1" applyFill="1" applyBorder="1" applyAlignment="1">
      <alignment horizontal="right" vertical="center" wrapText="1"/>
    </xf>
    <xf numFmtId="192" fontId="33" fillId="3" borderId="21" xfId="63" applyNumberFormat="1" applyFont="1" applyFill="1" applyBorder="1" applyAlignment="1">
      <alignment horizontal="right" vertical="center" wrapText="1"/>
    </xf>
    <xf numFmtId="0" fontId="123" fillId="3" borderId="1" xfId="0" applyFont="1" applyFill="1" applyBorder="1" applyAlignment="1">
      <alignment vertical="center"/>
    </xf>
    <xf numFmtId="192" fontId="123" fillId="3" borderId="90" xfId="63" applyNumberFormat="1" applyFont="1" applyFill="1" applyBorder="1" applyAlignment="1">
      <alignment horizontal="right" vertical="center"/>
    </xf>
    <xf numFmtId="192" fontId="123" fillId="3" borderId="90" xfId="63" applyNumberFormat="1" applyFont="1" applyFill="1" applyBorder="1" applyAlignment="1">
      <alignment horizontal="right" vertical="center" wrapText="1"/>
    </xf>
    <xf numFmtId="192" fontId="123" fillId="3" borderId="1" xfId="63" applyNumberFormat="1" applyFont="1" applyFill="1" applyBorder="1" applyAlignment="1">
      <alignment horizontal="right" vertical="center" wrapText="1"/>
    </xf>
    <xf numFmtId="192" fontId="123" fillId="3" borderId="91" xfId="63" applyNumberFormat="1" applyFont="1" applyFill="1" applyBorder="1" applyAlignment="1">
      <alignment horizontal="right" vertical="center" wrapText="1"/>
    </xf>
    <xf numFmtId="192" fontId="123" fillId="3" borderId="12" xfId="63" applyNumberFormat="1" applyFont="1" applyFill="1" applyBorder="1" applyAlignment="1">
      <alignment horizontal="right" vertical="center" wrapText="1"/>
    </xf>
    <xf numFmtId="0" fontId="125" fillId="3" borderId="84" xfId="0" applyFont="1" applyFill="1" applyBorder="1" applyAlignment="1">
      <alignment vertical="center" wrapText="1"/>
    </xf>
    <xf numFmtId="192" fontId="8" fillId="3" borderId="0" xfId="63" applyNumberFormat="1" applyFont="1" applyFill="1" applyBorder="1" applyAlignment="1">
      <alignment horizontal="left" vertical="center" wrapText="1" indent="2"/>
    </xf>
    <xf numFmtId="0" fontId="124" fillId="3" borderId="92" xfId="0" applyFont="1" applyFill="1" applyBorder="1" applyAlignment="1">
      <alignment vertical="center"/>
    </xf>
    <xf numFmtId="192" fontId="124" fillId="3" borderId="17" xfId="63" applyNumberFormat="1" applyFont="1" applyFill="1" applyBorder="1" applyAlignment="1">
      <alignment horizontal="right" vertical="center"/>
    </xf>
    <xf numFmtId="192" fontId="124" fillId="3" borderId="17" xfId="63" applyNumberFormat="1" applyFont="1" applyFill="1" applyBorder="1" applyAlignment="1">
      <alignment horizontal="right" vertical="center" wrapText="1"/>
    </xf>
    <xf numFmtId="192" fontId="124" fillId="3" borderId="92" xfId="63" applyNumberFormat="1" applyFont="1" applyFill="1" applyBorder="1" applyAlignment="1">
      <alignment horizontal="right" vertical="center" wrapText="1"/>
    </xf>
    <xf numFmtId="192" fontId="124" fillId="3" borderId="22" xfId="63" applyNumberFormat="1" applyFont="1" applyFill="1" applyBorder="1" applyAlignment="1">
      <alignment horizontal="right" vertical="center" wrapText="1"/>
    </xf>
    <xf numFmtId="192" fontId="124" fillId="3" borderId="15" xfId="63" applyNumberFormat="1" applyFont="1" applyFill="1" applyBorder="1" applyAlignment="1">
      <alignment horizontal="right" vertical="center" wrapText="1"/>
    </xf>
    <xf numFmtId="168" fontId="126" fillId="0" borderId="0" xfId="63" applyFont="1"/>
    <xf numFmtId="0" fontId="126" fillId="0" borderId="0" xfId="0" applyFont="1"/>
    <xf numFmtId="0" fontId="0" fillId="0" borderId="42" xfId="0" applyBorder="1"/>
    <xf numFmtId="166" fontId="30" fillId="12" borderId="11" xfId="1" applyNumberFormat="1" applyFont="1" applyFill="1" applyBorder="1" applyAlignment="1">
      <alignment horizontal="center" vertical="center" wrapText="1"/>
    </xf>
    <xf numFmtId="0" fontId="30" fillId="12" borderId="11" xfId="0" applyFont="1" applyFill="1" applyBorder="1" applyAlignment="1">
      <alignment horizontal="center" vertical="center" wrapText="1"/>
    </xf>
    <xf numFmtId="14" fontId="0" fillId="0" borderId="0" xfId="0" applyNumberFormat="1"/>
    <xf numFmtId="166" fontId="0" fillId="0" borderId="0" xfId="1" applyNumberFormat="1" applyFont="1" applyFill="1" applyAlignment="1">
      <alignment vertical="center"/>
    </xf>
    <xf numFmtId="166" fontId="2" fillId="0" borderId="13" xfId="0" applyNumberFormat="1" applyFont="1" applyBorder="1"/>
    <xf numFmtId="14" fontId="2" fillId="0" borderId="14" xfId="0" applyNumberFormat="1" applyFont="1" applyBorder="1" applyAlignment="1">
      <alignment horizontal="center" vertical="center"/>
    </xf>
    <xf numFmtId="166" fontId="2" fillId="0" borderId="0" xfId="0" applyNumberFormat="1" applyFont="1"/>
    <xf numFmtId="14" fontId="2" fillId="0" borderId="41" xfId="0" applyNumberFormat="1" applyFont="1" applyBorder="1" applyAlignment="1">
      <alignment horizontal="center" vertical="center"/>
    </xf>
    <xf numFmtId="0" fontId="2" fillId="0" borderId="93" xfId="0" applyFont="1" applyBorder="1" applyAlignment="1">
      <alignment horizontal="center" vertical="center"/>
    </xf>
    <xf numFmtId="0" fontId="2" fillId="0" borderId="42" xfId="0" applyFont="1" applyBorder="1"/>
    <xf numFmtId="0" fontId="2" fillId="0" borderId="42" xfId="0" applyFont="1" applyBorder="1" applyAlignment="1">
      <alignment horizontal="left" vertical="center" indent="1"/>
    </xf>
    <xf numFmtId="166" fontId="0" fillId="0" borderId="0" xfId="1" applyNumberFormat="1" applyFont="1" applyFill="1" applyAlignment="1">
      <alignment vertical="center" wrapText="1"/>
    </xf>
    <xf numFmtId="166" fontId="38" fillId="0" borderId="0" xfId="1" applyNumberFormat="1" applyFont="1"/>
    <xf numFmtId="166" fontId="46" fillId="0" borderId="0" xfId="0" applyNumberFormat="1" applyFont="1"/>
    <xf numFmtId="0" fontId="128" fillId="0" borderId="30" xfId="0" applyFont="1" applyBorder="1" applyAlignment="1">
      <alignment vertical="center"/>
    </xf>
    <xf numFmtId="166" fontId="128" fillId="0" borderId="31" xfId="1" applyNumberFormat="1" applyFont="1" applyFill="1" applyBorder="1" applyAlignment="1">
      <alignment vertical="center"/>
    </xf>
    <xf numFmtId="166" fontId="128" fillId="0" borderId="0" xfId="1" applyNumberFormat="1" applyFont="1" applyFill="1" applyBorder="1" applyAlignment="1">
      <alignment vertical="center"/>
    </xf>
    <xf numFmtId="0" fontId="123" fillId="0" borderId="0" xfId="0" applyFont="1"/>
    <xf numFmtId="166" fontId="128" fillId="0" borderId="85" xfId="1" applyNumberFormat="1" applyFont="1" applyFill="1" applyBorder="1" applyAlignment="1">
      <alignment vertical="center"/>
    </xf>
    <xf numFmtId="166" fontId="8" fillId="0" borderId="0" xfId="0" applyNumberFormat="1" applyFont="1"/>
    <xf numFmtId="43" fontId="10" fillId="0" borderId="0" xfId="1" applyFont="1" applyAlignment="1">
      <alignment vertical="top"/>
    </xf>
    <xf numFmtId="44" fontId="0" fillId="0" borderId="0" xfId="0" applyNumberFormat="1"/>
    <xf numFmtId="8" fontId="0" fillId="2" borderId="0" xfId="1" applyNumberFormat="1" applyFont="1" applyFill="1"/>
    <xf numFmtId="8" fontId="16" fillId="2" borderId="0" xfId="1" applyNumberFormat="1" applyFont="1" applyFill="1"/>
    <xf numFmtId="8" fontId="31" fillId="2" borderId="0" xfId="1" applyNumberFormat="1" applyFont="1" applyFill="1"/>
    <xf numFmtId="166" fontId="16" fillId="2" borderId="0" xfId="1" applyNumberFormat="1" applyFont="1" applyFill="1"/>
    <xf numFmtId="10" fontId="0" fillId="0" borderId="0" xfId="0" applyNumberFormat="1" applyAlignment="1">
      <alignment horizontal="left" indent="1"/>
    </xf>
    <xf numFmtId="10" fontId="0" fillId="0" borderId="0" xfId="0" applyNumberFormat="1" applyAlignment="1">
      <alignment horizontal="left"/>
    </xf>
    <xf numFmtId="0" fontId="7" fillId="0" borderId="72" xfId="0" applyFont="1" applyBorder="1" applyAlignment="1">
      <alignment horizontal="center" vertical="center"/>
    </xf>
    <xf numFmtId="193" fontId="0" fillId="0" borderId="0" xfId="0" applyNumberFormat="1"/>
    <xf numFmtId="0" fontId="43" fillId="10" borderId="74" xfId="0" applyFont="1" applyFill="1" applyBorder="1" applyAlignment="1">
      <alignment horizontal="left" vertical="center" indent="1"/>
    </xf>
    <xf numFmtId="44" fontId="72" fillId="10" borderId="74" xfId="1" applyNumberFormat="1" applyFont="1" applyFill="1" applyBorder="1" applyAlignment="1"/>
    <xf numFmtId="44" fontId="72" fillId="10" borderId="74" xfId="0" applyNumberFormat="1" applyFont="1" applyFill="1" applyBorder="1"/>
    <xf numFmtId="44" fontId="72" fillId="10" borderId="74" xfId="1" applyNumberFormat="1" applyFont="1" applyFill="1" applyBorder="1" applyAlignment="1">
      <alignment horizontal="left"/>
    </xf>
    <xf numFmtId="44" fontId="72" fillId="10" borderId="74" xfId="0" applyNumberFormat="1" applyFont="1" applyFill="1" applyBorder="1" applyAlignment="1">
      <alignment horizontal="left"/>
    </xf>
    <xf numFmtId="0" fontId="47" fillId="16" borderId="72" xfId="0" applyFont="1" applyFill="1" applyBorder="1" applyAlignment="1">
      <alignment horizontal="right" vertical="center" wrapText="1"/>
    </xf>
    <xf numFmtId="0" fontId="2" fillId="14" borderId="73" xfId="0" applyFont="1" applyFill="1" applyBorder="1" applyAlignment="1">
      <alignment vertical="center"/>
    </xf>
    <xf numFmtId="179" fontId="1" fillId="14" borderId="74" xfId="6" applyNumberFormat="1" applyFont="1" applyFill="1" applyBorder="1" applyAlignment="1"/>
    <xf numFmtId="179" fontId="2" fillId="14" borderId="72" xfId="6" applyNumberFormat="1" applyFont="1" applyFill="1" applyBorder="1" applyAlignment="1"/>
    <xf numFmtId="0" fontId="51" fillId="0" borderId="73" xfId="0" applyFont="1" applyBorder="1" applyAlignment="1">
      <alignment horizontal="left" vertical="center" indent="1"/>
    </xf>
    <xf numFmtId="179" fontId="1" fillId="0" borderId="74" xfId="6" applyNumberFormat="1" applyFont="1" applyFill="1" applyBorder="1" applyAlignment="1"/>
    <xf numFmtId="10" fontId="1" fillId="0" borderId="74" xfId="6" applyNumberFormat="1" applyFont="1" applyFill="1" applyBorder="1" applyAlignment="1"/>
    <xf numFmtId="10" fontId="1" fillId="0" borderId="74" xfId="2" applyNumberFormat="1" applyFont="1" applyFill="1" applyBorder="1" applyAlignment="1">
      <alignment horizontal="center" vertical="center"/>
    </xf>
    <xf numFmtId="9" fontId="2" fillId="0" borderId="72" xfId="6" applyNumberFormat="1" applyFont="1" applyFill="1" applyBorder="1" applyAlignment="1"/>
    <xf numFmtId="0" fontId="2" fillId="0" borderId="73" xfId="0" applyFont="1" applyBorder="1" applyAlignment="1">
      <alignment vertical="center"/>
    </xf>
    <xf numFmtId="10" fontId="0" fillId="0" borderId="74" xfId="6" applyNumberFormat="1" applyFont="1" applyBorder="1" applyAlignment="1"/>
    <xf numFmtId="167" fontId="2" fillId="0" borderId="74" xfId="2" applyNumberFormat="1" applyFont="1" applyBorder="1" applyAlignment="1">
      <alignment horizontal="center" vertical="center"/>
    </xf>
    <xf numFmtId="167" fontId="2" fillId="0" borderId="72" xfId="2" applyNumberFormat="1" applyFont="1" applyBorder="1" applyAlignment="1">
      <alignment horizontal="center" vertical="center"/>
    </xf>
    <xf numFmtId="179" fontId="2" fillId="0" borderId="74" xfId="6" applyNumberFormat="1" applyFont="1" applyFill="1" applyBorder="1" applyAlignment="1"/>
    <xf numFmtId="167" fontId="2" fillId="0" borderId="74" xfId="2" applyNumberFormat="1" applyFont="1" applyFill="1" applyBorder="1" applyAlignment="1">
      <alignment horizontal="center" vertical="center"/>
    </xf>
    <xf numFmtId="167" fontId="2" fillId="0" borderId="72" xfId="2" applyNumberFormat="1" applyFont="1" applyFill="1" applyBorder="1" applyAlignment="1">
      <alignment horizontal="center" vertical="center"/>
    </xf>
    <xf numFmtId="0" fontId="8" fillId="0" borderId="73" xfId="5" applyNumberFormat="1" applyFont="1" applyFill="1" applyBorder="1" applyAlignment="1">
      <alignment vertical="center" wrapText="1"/>
    </xf>
    <xf numFmtId="49" fontId="8" fillId="0" borderId="73" xfId="5" applyNumberFormat="1" applyFont="1" applyFill="1" applyBorder="1" applyAlignment="1">
      <alignment vertical="center"/>
    </xf>
    <xf numFmtId="49" fontId="8" fillId="0" borderId="73" xfId="5" applyNumberFormat="1" applyFont="1" applyFill="1" applyBorder="1" applyAlignment="1">
      <alignment vertical="center" wrapText="1"/>
    </xf>
    <xf numFmtId="0" fontId="12" fillId="27" borderId="72" xfId="0" applyFont="1" applyFill="1" applyBorder="1" applyAlignment="1">
      <alignment horizontal="center" vertical="center" wrapText="1"/>
    </xf>
    <xf numFmtId="0" fontId="46" fillId="0" borderId="21" xfId="0" applyFont="1" applyBorder="1" applyAlignment="1">
      <alignment wrapText="1"/>
    </xf>
    <xf numFmtId="10" fontId="54" fillId="0" borderId="0" xfId="0" applyNumberFormat="1" applyFont="1" applyAlignment="1">
      <alignment vertical="center"/>
    </xf>
    <xf numFmtId="0" fontId="15" fillId="19" borderId="29" xfId="0" applyFont="1" applyFill="1" applyBorder="1" applyAlignment="1">
      <alignment horizontal="left"/>
    </xf>
    <xf numFmtId="0" fontId="15" fillId="19" borderId="22" xfId="0" applyFont="1" applyFill="1" applyBorder="1" applyAlignment="1">
      <alignment horizontal="left" vertical="center"/>
    </xf>
    <xf numFmtId="167" fontId="15" fillId="19" borderId="17" xfId="2" applyNumberFormat="1" applyFont="1" applyFill="1" applyBorder="1" applyAlignment="1">
      <alignment vertical="center"/>
    </xf>
    <xf numFmtId="43" fontId="10" fillId="0" borderId="0" xfId="0" applyNumberFormat="1" applyFont="1" applyAlignment="1">
      <alignment vertical="center"/>
    </xf>
    <xf numFmtId="0" fontId="43" fillId="64" borderId="25" xfId="0" applyFont="1" applyFill="1" applyBorder="1" applyAlignment="1">
      <alignment horizontal="left" vertical="center"/>
    </xf>
    <xf numFmtId="0" fontId="48" fillId="64" borderId="30" xfId="0" applyFont="1" applyFill="1" applyBorder="1" applyAlignment="1">
      <alignment horizontal="left"/>
    </xf>
    <xf numFmtId="43" fontId="45" fillId="64" borderId="19" xfId="0" applyNumberFormat="1" applyFont="1" applyFill="1" applyBorder="1"/>
    <xf numFmtId="43" fontId="45" fillId="64" borderId="19" xfId="1" applyFont="1" applyFill="1" applyBorder="1"/>
    <xf numFmtId="167" fontId="45" fillId="64" borderId="31" xfId="2" applyNumberFormat="1" applyFont="1" applyFill="1" applyBorder="1" applyAlignment="1"/>
    <xf numFmtId="0" fontId="37" fillId="6" borderId="51" xfId="0" applyFont="1" applyFill="1" applyBorder="1"/>
    <xf numFmtId="0" fontId="37" fillId="6" borderId="53" xfId="0" applyFont="1" applyFill="1" applyBorder="1"/>
    <xf numFmtId="0" fontId="10" fillId="6" borderId="54" xfId="0" applyFont="1" applyFill="1" applyBorder="1"/>
    <xf numFmtId="166" fontId="10" fillId="6" borderId="54" xfId="1" applyNumberFormat="1" applyFont="1" applyFill="1" applyBorder="1"/>
    <xf numFmtId="14" fontId="10" fillId="6" borderId="54" xfId="0" applyNumberFormat="1" applyFont="1" applyFill="1" applyBorder="1" applyAlignment="1">
      <alignment horizontal="right" vertical="center"/>
    </xf>
    <xf numFmtId="14" fontId="10" fillId="6" borderId="54" xfId="0" applyNumberFormat="1" applyFont="1" applyFill="1" applyBorder="1"/>
    <xf numFmtId="0" fontId="37" fillId="6" borderId="55" xfId="0" applyFont="1" applyFill="1" applyBorder="1"/>
    <xf numFmtId="14" fontId="10" fillId="6" borderId="56" xfId="0" applyNumberFormat="1" applyFont="1" applyFill="1" applyBorder="1" applyAlignment="1">
      <alignment horizontal="right" vertical="center"/>
    </xf>
    <xf numFmtId="0" fontId="43" fillId="5" borderId="0" xfId="0" applyFont="1" applyFill="1" applyAlignment="1">
      <alignment horizontal="left" vertical="center"/>
    </xf>
    <xf numFmtId="44" fontId="71" fillId="5" borderId="0" xfId="1" applyNumberFormat="1" applyFont="1" applyFill="1" applyBorder="1" applyAlignment="1">
      <alignment horizontal="left" vertical="center"/>
    </xf>
    <xf numFmtId="44" fontId="71" fillId="5" borderId="0" xfId="0" applyNumberFormat="1" applyFont="1" applyFill="1" applyAlignment="1">
      <alignment horizontal="left" vertical="center"/>
    </xf>
    <xf numFmtId="0" fontId="45" fillId="5" borderId="12" xfId="0" applyFont="1" applyFill="1" applyBorder="1" applyAlignment="1">
      <alignment vertical="top"/>
    </xf>
    <xf numFmtId="0" fontId="45" fillId="5" borderId="0" xfId="0" applyFont="1" applyFill="1" applyAlignment="1">
      <alignment vertical="top"/>
    </xf>
    <xf numFmtId="166" fontId="45" fillId="5" borderId="0" xfId="1" applyNumberFormat="1" applyFont="1" applyFill="1" applyAlignment="1">
      <alignment vertical="top"/>
    </xf>
    <xf numFmtId="166" fontId="45" fillId="5" borderId="21" xfId="1" applyNumberFormat="1" applyFont="1" applyFill="1" applyBorder="1"/>
    <xf numFmtId="0" fontId="45" fillId="26" borderId="12" xfId="0" applyFont="1" applyFill="1" applyBorder="1" applyAlignment="1">
      <alignment vertical="top"/>
    </xf>
    <xf numFmtId="0" fontId="45" fillId="26" borderId="0" xfId="0" applyFont="1" applyFill="1" applyAlignment="1">
      <alignment vertical="top"/>
    </xf>
    <xf numFmtId="166" fontId="45" fillId="26" borderId="0" xfId="1" applyNumberFormat="1" applyFont="1" applyFill="1" applyAlignment="1">
      <alignment vertical="top"/>
    </xf>
    <xf numFmtId="166" fontId="45" fillId="26" borderId="21" xfId="1" applyNumberFormat="1" applyFont="1" applyFill="1" applyBorder="1"/>
    <xf numFmtId="0" fontId="29" fillId="65" borderId="12" xfId="0" applyFont="1" applyFill="1" applyBorder="1" applyAlignment="1">
      <alignment vertical="top"/>
    </xf>
    <xf numFmtId="0" fontId="29" fillId="65" borderId="0" xfId="0" applyFont="1" applyFill="1" applyAlignment="1">
      <alignment vertical="top"/>
    </xf>
    <xf numFmtId="0" fontId="29" fillId="65" borderId="21" xfId="0" applyFont="1" applyFill="1" applyBorder="1"/>
    <xf numFmtId="0" fontId="43" fillId="12" borderId="0" xfId="0" applyFont="1" applyFill="1" applyAlignment="1">
      <alignment horizontal="left" vertical="center"/>
    </xf>
    <xf numFmtId="44" fontId="45" fillId="12" borderId="0" xfId="1" applyNumberFormat="1" applyFont="1" applyFill="1" applyBorder="1" applyAlignment="1"/>
    <xf numFmtId="44" fontId="45" fillId="12" borderId="0" xfId="0" applyNumberFormat="1" applyFont="1" applyFill="1"/>
    <xf numFmtId="44" fontId="71" fillId="6" borderId="0" xfId="1" applyNumberFormat="1" applyFont="1" applyFill="1" applyBorder="1" applyAlignment="1">
      <alignment vertical="center"/>
    </xf>
    <xf numFmtId="44" fontId="71" fillId="5" borderId="0" xfId="1" applyNumberFormat="1" applyFont="1" applyFill="1" applyBorder="1" applyAlignment="1">
      <alignment vertical="center"/>
    </xf>
    <xf numFmtId="44" fontId="71" fillId="5" borderId="0" xfId="0" applyNumberFormat="1" applyFont="1" applyFill="1" applyAlignment="1">
      <alignment vertical="center"/>
    </xf>
    <xf numFmtId="0" fontId="43" fillId="26" borderId="0" xfId="0" applyFont="1" applyFill="1" applyAlignment="1">
      <alignment horizontal="left"/>
    </xf>
    <xf numFmtId="44" fontId="45" fillId="26" borderId="0" xfId="1" applyNumberFormat="1" applyFont="1" applyFill="1" applyBorder="1" applyAlignment="1"/>
    <xf numFmtId="44" fontId="45" fillId="26" borderId="0" xfId="0" applyNumberFormat="1" applyFont="1" applyFill="1"/>
    <xf numFmtId="0" fontId="43" fillId="64" borderId="74" xfId="0" applyFont="1" applyFill="1" applyBorder="1" applyAlignment="1">
      <alignment horizontal="left"/>
    </xf>
    <xf numFmtId="0" fontId="43" fillId="11" borderId="0" xfId="0" applyFont="1" applyFill="1" applyAlignment="1">
      <alignment horizontal="left" vertical="center"/>
    </xf>
    <xf numFmtId="44" fontId="45" fillId="11" borderId="0" xfId="1" applyNumberFormat="1" applyFont="1" applyFill="1" applyBorder="1" applyAlignment="1">
      <alignment horizontal="left"/>
    </xf>
    <xf numFmtId="44" fontId="45" fillId="11" borderId="0" xfId="0" applyNumberFormat="1" applyFont="1" applyFill="1" applyAlignment="1">
      <alignment horizontal="left"/>
    </xf>
    <xf numFmtId="44" fontId="71" fillId="6" borderId="0" xfId="1" applyNumberFormat="1" applyFont="1" applyFill="1" applyBorder="1" applyAlignment="1">
      <alignment horizontal="left" vertical="center"/>
    </xf>
    <xf numFmtId="44" fontId="45" fillId="26" borderId="0" xfId="1" applyNumberFormat="1" applyFont="1" applyFill="1" applyBorder="1" applyAlignment="1">
      <alignment horizontal="left"/>
    </xf>
    <xf numFmtId="44" fontId="45" fillId="26" borderId="0" xfId="0" applyNumberFormat="1" applyFont="1" applyFill="1" applyAlignment="1">
      <alignment horizontal="left"/>
    </xf>
    <xf numFmtId="0" fontId="37" fillId="66" borderId="0" xfId="0" applyFont="1" applyFill="1" applyAlignment="1">
      <alignment vertical="top"/>
    </xf>
    <xf numFmtId="0" fontId="10" fillId="66" borderId="0" xfId="0" applyFont="1" applyFill="1" applyAlignment="1">
      <alignment vertical="top"/>
    </xf>
    <xf numFmtId="0" fontId="10" fillId="66" borderId="0" xfId="0" applyFont="1" applyFill="1"/>
    <xf numFmtId="0" fontId="44" fillId="67" borderId="0" xfId="0" applyFont="1" applyFill="1" applyAlignment="1">
      <alignment horizontal="left" vertical="center"/>
    </xf>
    <xf numFmtId="0" fontId="74" fillId="66" borderId="0" xfId="0" applyFont="1" applyFill="1" applyAlignment="1">
      <alignment vertical="top"/>
    </xf>
    <xf numFmtId="0" fontId="107" fillId="66" borderId="0" xfId="0" applyFont="1" applyFill="1" applyAlignment="1">
      <alignment vertical="top"/>
    </xf>
    <xf numFmtId="0" fontId="107" fillId="66" borderId="0" xfId="0" applyFont="1" applyFill="1"/>
    <xf numFmtId="0" fontId="48" fillId="67" borderId="25" xfId="0" applyFont="1" applyFill="1" applyBorder="1" applyAlignment="1">
      <alignment horizontal="left"/>
    </xf>
    <xf numFmtId="44" fontId="45" fillId="67" borderId="13" xfId="0" applyNumberFormat="1" applyFont="1" applyFill="1" applyBorder="1"/>
    <xf numFmtId="10" fontId="1" fillId="0" borderId="0" xfId="2" applyNumberFormat="1" applyFont="1" applyBorder="1"/>
    <xf numFmtId="10" fontId="0" fillId="0" borderId="0" xfId="2" applyNumberFormat="1" applyFont="1" applyBorder="1"/>
    <xf numFmtId="10" fontId="2" fillId="0" borderId="0" xfId="2" applyNumberFormat="1" applyFont="1" applyBorder="1"/>
    <xf numFmtId="10" fontId="15" fillId="19" borderId="29" xfId="2" applyNumberFormat="1" applyFont="1" applyFill="1" applyBorder="1" applyAlignment="1"/>
    <xf numFmtId="44" fontId="46" fillId="0" borderId="75" xfId="1" applyNumberFormat="1" applyFont="1" applyFill="1" applyBorder="1" applyAlignment="1">
      <alignment horizontal="center"/>
    </xf>
    <xf numFmtId="44" fontId="45" fillId="64" borderId="76" xfId="1" applyNumberFormat="1" applyFont="1" applyFill="1" applyBorder="1" applyAlignment="1">
      <alignment horizontal="center"/>
    </xf>
    <xf numFmtId="0" fontId="43" fillId="0" borderId="25" xfId="0" applyFont="1" applyBorder="1" applyAlignment="1">
      <alignment horizontal="left" vertical="center"/>
    </xf>
    <xf numFmtId="10" fontId="2" fillId="0" borderId="13" xfId="0" applyNumberFormat="1" applyFont="1" applyBorder="1"/>
    <xf numFmtId="0" fontId="2" fillId="0" borderId="13" xfId="0" applyFont="1" applyBorder="1"/>
    <xf numFmtId="44" fontId="45" fillId="64" borderId="76" xfId="1" applyNumberFormat="1" applyFont="1" applyFill="1" applyBorder="1" applyAlignment="1">
      <alignment horizontal="center" vertical="center"/>
    </xf>
    <xf numFmtId="166" fontId="31" fillId="0" borderId="0" xfId="1" applyNumberFormat="1" applyFont="1"/>
    <xf numFmtId="166" fontId="31" fillId="0" borderId="0" xfId="1" applyNumberFormat="1" applyFont="1" applyBorder="1"/>
    <xf numFmtId="179" fontId="31" fillId="0" borderId="0" xfId="6" applyNumberFormat="1" applyFont="1" applyBorder="1"/>
    <xf numFmtId="0" fontId="31" fillId="0" borderId="0" xfId="0" applyFont="1" applyAlignment="1">
      <alignment wrapText="1"/>
    </xf>
    <xf numFmtId="0" fontId="29" fillId="29" borderId="2" xfId="0" applyFont="1" applyFill="1" applyBorder="1" applyAlignment="1">
      <alignment vertical="center"/>
    </xf>
    <xf numFmtId="10" fontId="55" fillId="0" borderId="0" xfId="0" applyNumberFormat="1" applyFont="1" applyAlignment="1">
      <alignment vertical="center"/>
    </xf>
    <xf numFmtId="166" fontId="133" fillId="0" borderId="78" xfId="0" applyNumberFormat="1" applyFont="1" applyBorder="1"/>
    <xf numFmtId="43" fontId="0" fillId="0" borderId="0" xfId="1" applyFont="1"/>
    <xf numFmtId="194" fontId="43" fillId="18" borderId="30" xfId="0" applyNumberFormat="1" applyFont="1" applyFill="1" applyBorder="1" applyAlignment="1">
      <alignment horizontal="left"/>
    </xf>
    <xf numFmtId="194" fontId="43" fillId="0" borderId="12" xfId="0" applyNumberFormat="1" applyFont="1" applyBorder="1" applyAlignment="1">
      <alignment horizontal="left" vertical="center"/>
    </xf>
    <xf numFmtId="43" fontId="118" fillId="0" borderId="0" xfId="0" applyNumberFormat="1" applyFont="1" applyAlignment="1">
      <alignment horizontal="left" vertical="center" wrapText="1"/>
    </xf>
    <xf numFmtId="166" fontId="31" fillId="0" borderId="0" xfId="0" applyNumberFormat="1" applyFont="1"/>
    <xf numFmtId="0" fontId="47" fillId="29" borderId="16" xfId="0" applyFont="1" applyFill="1" applyBorder="1" applyAlignment="1">
      <alignment horizontal="left" vertical="center"/>
    </xf>
    <xf numFmtId="10" fontId="53" fillId="0" borderId="0" xfId="2" applyNumberFormat="1" applyFont="1" applyFill="1" applyBorder="1" applyAlignment="1">
      <alignment horizontal="left" vertical="center"/>
    </xf>
    <xf numFmtId="10" fontId="54" fillId="17" borderId="27" xfId="2" applyNumberFormat="1" applyFont="1" applyFill="1" applyBorder="1" applyAlignment="1">
      <alignment horizontal="left"/>
    </xf>
    <xf numFmtId="167" fontId="45" fillId="19" borderId="29" xfId="2" applyNumberFormat="1" applyFont="1" applyFill="1" applyBorder="1" applyAlignment="1">
      <alignment horizontal="left"/>
    </xf>
    <xf numFmtId="0" fontId="47" fillId="29" borderId="20" xfId="0" applyFont="1" applyFill="1" applyBorder="1" applyAlignment="1">
      <alignment horizontal="left" vertical="center" wrapText="1"/>
    </xf>
    <xf numFmtId="10" fontId="54" fillId="0" borderId="0" xfId="0" applyNumberFormat="1" applyFont="1" applyAlignment="1">
      <alignment horizontal="left" vertical="center"/>
    </xf>
    <xf numFmtId="10" fontId="53" fillId="0" borderId="0" xfId="2" applyNumberFormat="1" applyFont="1" applyAlignment="1">
      <alignment horizontal="left" vertical="center"/>
    </xf>
    <xf numFmtId="0" fontId="45" fillId="19" borderId="29" xfId="0" applyFont="1" applyFill="1" applyBorder="1" applyAlignment="1">
      <alignment horizontal="left"/>
    </xf>
    <xf numFmtId="0" fontId="47" fillId="29" borderId="16" xfId="0" applyFont="1" applyFill="1" applyBorder="1" applyAlignment="1">
      <alignment horizontal="center" vertical="center"/>
    </xf>
    <xf numFmtId="166" fontId="45" fillId="18" borderId="74" xfId="1" applyNumberFormat="1" applyFont="1" applyFill="1" applyBorder="1" applyAlignment="1">
      <alignment horizontal="left"/>
    </xf>
    <xf numFmtId="0" fontId="45" fillId="18" borderId="74" xfId="0" applyFont="1" applyFill="1" applyBorder="1" applyAlignment="1">
      <alignment horizontal="left"/>
    </xf>
    <xf numFmtId="166" fontId="45" fillId="64" borderId="74" xfId="1" applyNumberFormat="1" applyFont="1" applyFill="1" applyBorder="1" applyAlignment="1"/>
    <xf numFmtId="166" fontId="45" fillId="64" borderId="74" xfId="1" applyNumberFormat="1" applyFont="1" applyFill="1" applyBorder="1" applyAlignment="1">
      <alignment horizontal="left"/>
    </xf>
    <xf numFmtId="0" fontId="45" fillId="64" borderId="74" xfId="0" applyFont="1" applyFill="1" applyBorder="1" applyAlignment="1">
      <alignment horizontal="left"/>
    </xf>
    <xf numFmtId="15" fontId="88" fillId="0" borderId="0" xfId="78" applyNumberFormat="1" applyFill="1"/>
    <xf numFmtId="0" fontId="47" fillId="29" borderId="16" xfId="0" applyFont="1" applyFill="1" applyBorder="1" applyAlignment="1">
      <alignment horizontal="center" vertical="center" wrapText="1"/>
    </xf>
    <xf numFmtId="167" fontId="45" fillId="18" borderId="19" xfId="2" applyNumberFormat="1" applyFont="1" applyFill="1" applyBorder="1"/>
    <xf numFmtId="167" fontId="46" fillId="0" borderId="0" xfId="2" applyNumberFormat="1" applyFont="1" applyFill="1" applyBorder="1" applyAlignment="1">
      <alignment vertical="center"/>
    </xf>
    <xf numFmtId="167" fontId="45" fillId="18" borderId="19" xfId="2" applyNumberFormat="1" applyFont="1" applyFill="1" applyBorder="1" applyAlignment="1">
      <alignment vertical="center"/>
    </xf>
    <xf numFmtId="167" fontId="46" fillId="0" borderId="0" xfId="2" applyNumberFormat="1" applyFont="1"/>
    <xf numFmtId="167" fontId="45" fillId="0" borderId="0" xfId="2" applyNumberFormat="1" applyFont="1"/>
    <xf numFmtId="0" fontId="43" fillId="64" borderId="13" xfId="0" applyFont="1" applyFill="1" applyBorder="1" applyAlignment="1">
      <alignment horizontal="left"/>
    </xf>
    <xf numFmtId="166" fontId="45" fillId="64" borderId="13" xfId="0" applyNumberFormat="1" applyFont="1" applyFill="1" applyBorder="1"/>
    <xf numFmtId="167" fontId="45" fillId="64" borderId="13" xfId="2" applyNumberFormat="1" applyFont="1" applyFill="1" applyBorder="1"/>
    <xf numFmtId="10" fontId="54" fillId="64" borderId="13" xfId="2" applyNumberFormat="1" applyFont="1" applyFill="1" applyBorder="1" applyAlignment="1">
      <alignment vertical="center"/>
    </xf>
    <xf numFmtId="166" fontId="45" fillId="64" borderId="13" xfId="1" applyNumberFormat="1" applyFont="1" applyFill="1" applyBorder="1" applyAlignment="1"/>
    <xf numFmtId="167" fontId="45" fillId="64" borderId="13" xfId="2" applyNumberFormat="1" applyFont="1" applyFill="1" applyBorder="1" applyAlignment="1"/>
    <xf numFmtId="10" fontId="45" fillId="64" borderId="13" xfId="0" applyNumberFormat="1" applyFont="1" applyFill="1" applyBorder="1"/>
    <xf numFmtId="0" fontId="43" fillId="64" borderId="25" xfId="0" applyFont="1" applyFill="1" applyBorder="1" applyAlignment="1">
      <alignment horizontal="left"/>
    </xf>
    <xf numFmtId="0" fontId="45" fillId="64" borderId="26" xfId="0" applyFont="1" applyFill="1" applyBorder="1"/>
    <xf numFmtId="14" fontId="10" fillId="0" borderId="0" xfId="0" applyNumberFormat="1" applyFont="1"/>
    <xf numFmtId="184" fontId="0" fillId="0" borderId="0" xfId="0" applyNumberFormat="1"/>
    <xf numFmtId="3" fontId="0" fillId="0" borderId="0" xfId="0" applyNumberFormat="1"/>
    <xf numFmtId="10" fontId="129" fillId="0" borderId="0" xfId="0" applyNumberFormat="1" applyFont="1" applyAlignment="1">
      <alignment vertical="center"/>
    </xf>
    <xf numFmtId="0" fontId="129" fillId="0" borderId="0" xfId="0" applyFont="1" applyAlignment="1">
      <alignment horizontal="center" vertical="center"/>
    </xf>
    <xf numFmtId="0" fontId="46" fillId="0" borderId="0" xfId="0" applyFont="1" applyAlignment="1">
      <alignment horizontal="center" vertical="center"/>
    </xf>
    <xf numFmtId="10" fontId="129" fillId="0" borderId="0" xfId="0" applyNumberFormat="1" applyFont="1" applyAlignment="1">
      <alignment horizontal="right" vertical="center"/>
    </xf>
    <xf numFmtId="10" fontId="46" fillId="0" borderId="0" xfId="0" applyNumberFormat="1" applyFont="1" applyAlignment="1">
      <alignment vertical="center"/>
    </xf>
    <xf numFmtId="0" fontId="46" fillId="0" borderId="21" xfId="0" applyFont="1" applyBorder="1" applyAlignment="1">
      <alignment horizontal="left" vertical="center"/>
    </xf>
    <xf numFmtId="166" fontId="0" fillId="0" borderId="0" xfId="1" applyNumberFormat="1" applyFont="1" applyBorder="1"/>
    <xf numFmtId="43" fontId="8" fillId="0" borderId="0" xfId="1" applyFont="1"/>
    <xf numFmtId="43" fontId="13" fillId="0" borderId="0" xfId="1" applyFont="1"/>
    <xf numFmtId="171" fontId="8" fillId="0" borderId="0" xfId="1" applyNumberFormat="1" applyFont="1"/>
    <xf numFmtId="49" fontId="39" fillId="0" borderId="0" xfId="1" applyNumberFormat="1" applyFont="1"/>
    <xf numFmtId="43" fontId="39" fillId="0" borderId="0" xfId="1" applyFont="1"/>
    <xf numFmtId="43" fontId="39" fillId="0" borderId="0" xfId="0" applyNumberFormat="1" applyFont="1"/>
    <xf numFmtId="166" fontId="39" fillId="0" borderId="0" xfId="1" applyNumberFormat="1" applyFont="1"/>
    <xf numFmtId="166" fontId="39" fillId="0" borderId="0" xfId="0" applyNumberFormat="1" applyFont="1"/>
    <xf numFmtId="176" fontId="39" fillId="0" borderId="0" xfId="0" applyNumberFormat="1" applyFont="1"/>
    <xf numFmtId="49" fontId="39" fillId="0" borderId="0" xfId="0" applyNumberFormat="1" applyFont="1"/>
    <xf numFmtId="169" fontId="39" fillId="0" borderId="0" xfId="0" applyNumberFormat="1" applyFont="1"/>
    <xf numFmtId="166" fontId="0" fillId="0" borderId="0" xfId="1" applyNumberFormat="1" applyFont="1" applyAlignment="1"/>
    <xf numFmtId="9" fontId="0" fillId="0" borderId="0" xfId="2" applyFont="1"/>
    <xf numFmtId="167" fontId="0" fillId="0" borderId="0" xfId="2" applyNumberFormat="1" applyFont="1"/>
    <xf numFmtId="196" fontId="0" fillId="2" borderId="0" xfId="1" applyNumberFormat="1" applyFont="1" applyFill="1"/>
    <xf numFmtId="197" fontId="0" fillId="0" borderId="0" xfId="0" applyNumberFormat="1"/>
    <xf numFmtId="43" fontId="38" fillId="0" borderId="0" xfId="0" applyNumberFormat="1" applyFont="1"/>
    <xf numFmtId="166" fontId="10" fillId="0" borderId="33" xfId="1" applyNumberFormat="1" applyFont="1" applyFill="1" applyBorder="1"/>
    <xf numFmtId="166" fontId="10" fillId="0" borderId="0" xfId="1" applyNumberFormat="1" applyFont="1" applyFill="1"/>
    <xf numFmtId="176" fontId="0" fillId="0" borderId="0" xfId="0" applyNumberFormat="1"/>
    <xf numFmtId="0" fontId="8" fillId="0" borderId="73" xfId="0" applyFont="1" applyBorder="1" applyAlignment="1">
      <alignment horizontal="left" vertical="center"/>
    </xf>
    <xf numFmtId="10" fontId="0" fillId="0" borderId="0" xfId="1" applyNumberFormat="1" applyFont="1"/>
    <xf numFmtId="43" fontId="10" fillId="0" borderId="0" xfId="0" applyNumberFormat="1" applyFont="1" applyAlignment="1">
      <alignment vertical="top"/>
    </xf>
    <xf numFmtId="4" fontId="135" fillId="0" borderId="0" xfId="0" applyNumberFormat="1" applyFont="1"/>
    <xf numFmtId="3" fontId="10" fillId="0" borderId="0" xfId="0" applyNumberFormat="1" applyFont="1"/>
    <xf numFmtId="166" fontId="11" fillId="0" borderId="0" xfId="1" applyNumberFormat="1" applyFont="1" applyFill="1"/>
    <xf numFmtId="198" fontId="38" fillId="0" borderId="0" xfId="0" applyNumberFormat="1" applyFont="1"/>
    <xf numFmtId="14" fontId="10" fillId="0" borderId="0" xfId="0" applyNumberFormat="1" applyFont="1" applyAlignment="1">
      <alignment horizontal="right" vertical="center"/>
    </xf>
    <xf numFmtId="10" fontId="46" fillId="20" borderId="0" xfId="0" applyNumberFormat="1" applyFont="1" applyFill="1" applyAlignment="1">
      <alignment vertical="center"/>
    </xf>
    <xf numFmtId="6" fontId="45" fillId="18" borderId="19" xfId="0" applyNumberFormat="1" applyFont="1" applyFill="1" applyBorder="1"/>
    <xf numFmtId="6" fontId="46" fillId="0" borderId="0" xfId="1" applyNumberFormat="1" applyFont="1" applyFill="1" applyBorder="1" applyAlignment="1">
      <alignment vertical="center"/>
    </xf>
    <xf numFmtId="6" fontId="45" fillId="17" borderId="13" xfId="0" applyNumberFormat="1" applyFont="1" applyFill="1" applyBorder="1"/>
    <xf numFmtId="6" fontId="45" fillId="18" borderId="19" xfId="1" applyNumberFormat="1" applyFont="1" applyFill="1" applyBorder="1" applyAlignment="1">
      <alignment vertical="center"/>
    </xf>
    <xf numFmtId="6" fontId="46" fillId="0" borderId="0" xfId="1" applyNumberFormat="1" applyFont="1" applyFill="1" applyAlignment="1">
      <alignment vertical="center"/>
    </xf>
    <xf numFmtId="6" fontId="46" fillId="0" borderId="0" xfId="1" applyNumberFormat="1" applyFont="1" applyAlignment="1">
      <alignment vertical="center"/>
    </xf>
    <xf numFmtId="43" fontId="46" fillId="0" borderId="0" xfId="0" applyNumberFormat="1" applyFont="1" applyAlignment="1">
      <alignment vertical="top"/>
    </xf>
    <xf numFmtId="44" fontId="16" fillId="2" borderId="0" xfId="1" applyNumberFormat="1" applyFont="1" applyFill="1"/>
    <xf numFmtId="44" fontId="37" fillId="0" borderId="0" xfId="0" applyNumberFormat="1" applyFont="1" applyAlignment="1">
      <alignment vertical="top"/>
    </xf>
    <xf numFmtId="0" fontId="10" fillId="0" borderId="0" xfId="0" quotePrefix="1" applyFont="1" applyAlignment="1">
      <alignment vertical="top" wrapText="1"/>
    </xf>
    <xf numFmtId="0" fontId="7" fillId="22" borderId="72" xfId="0" applyFont="1" applyFill="1" applyBorder="1" applyAlignment="1">
      <alignment horizontal="center" vertical="center"/>
    </xf>
    <xf numFmtId="0" fontId="9" fillId="0" borderId="73" xfId="0" applyFont="1" applyBorder="1" applyAlignment="1">
      <alignment horizontal="center" vertical="center"/>
    </xf>
    <xf numFmtId="0" fontId="7" fillId="22" borderId="34" xfId="0" applyFont="1" applyFill="1" applyBorder="1" applyAlignment="1">
      <alignment horizontal="center" vertical="center"/>
    </xf>
    <xf numFmtId="0" fontId="9" fillId="0" borderId="33" xfId="0" applyFont="1" applyBorder="1" applyAlignment="1">
      <alignment horizontal="center" vertical="center"/>
    </xf>
    <xf numFmtId="0" fontId="0" fillId="0" borderId="0" xfId="0" quotePrefix="1" applyAlignment="1">
      <alignment wrapText="1"/>
    </xf>
    <xf numFmtId="166" fontId="10" fillId="0" borderId="0" xfId="0" applyNumberFormat="1" applyFont="1" applyAlignment="1">
      <alignment vertical="top"/>
    </xf>
    <xf numFmtId="0" fontId="37" fillId="0" borderId="0" xfId="0" applyFont="1"/>
    <xf numFmtId="43" fontId="38" fillId="0" borderId="0" xfId="1" applyFont="1"/>
    <xf numFmtId="166" fontId="8" fillId="0" borderId="0" xfId="1" applyNumberFormat="1" applyFont="1"/>
    <xf numFmtId="44" fontId="46" fillId="0" borderId="79" xfId="6" applyFont="1" applyBorder="1" applyAlignment="1">
      <alignment vertical="top"/>
    </xf>
    <xf numFmtId="44" fontId="46" fillId="0" borderId="17" xfId="6" applyFont="1" applyBorder="1" applyAlignment="1">
      <alignment vertical="top"/>
    </xf>
    <xf numFmtId="179" fontId="45" fillId="14" borderId="78" xfId="6" applyNumberFormat="1" applyFont="1" applyFill="1" applyBorder="1" applyAlignment="1">
      <alignment vertical="top"/>
    </xf>
    <xf numFmtId="179" fontId="45" fillId="14" borderId="0" xfId="6" applyNumberFormat="1" applyFont="1" applyFill="1" applyAlignment="1">
      <alignment horizontal="center" vertical="center"/>
    </xf>
    <xf numFmtId="179" fontId="71" fillId="0" borderId="78" xfId="6" applyNumberFormat="1" applyFont="1" applyBorder="1" applyAlignment="1">
      <alignment vertical="top"/>
    </xf>
    <xf numFmtId="179" fontId="71" fillId="0" borderId="0" xfId="6" applyNumberFormat="1" applyFont="1" applyAlignment="1">
      <alignment vertical="top"/>
    </xf>
    <xf numFmtId="179" fontId="46" fillId="0" borderId="78" xfId="6" applyNumberFormat="1" applyFont="1" applyBorder="1" applyAlignment="1">
      <alignment vertical="top"/>
    </xf>
    <xf numFmtId="179" fontId="46" fillId="0" borderId="0" xfId="6" applyNumberFormat="1" applyFont="1" applyAlignment="1">
      <alignment vertical="top"/>
    </xf>
    <xf numFmtId="179" fontId="45" fillId="14" borderId="0" xfId="6" applyNumberFormat="1" applyFont="1" applyFill="1" applyAlignment="1">
      <alignment vertical="top"/>
    </xf>
    <xf numFmtId="179" fontId="29" fillId="25" borderId="78" xfId="6" applyNumberFormat="1" applyFont="1" applyFill="1" applyBorder="1" applyAlignment="1">
      <alignment vertical="top"/>
    </xf>
    <xf numFmtId="179" fontId="29" fillId="25" borderId="0" xfId="6" applyNumberFormat="1" applyFont="1" applyFill="1" applyAlignment="1">
      <alignment vertical="top"/>
    </xf>
    <xf numFmtId="179" fontId="38" fillId="0" borderId="78" xfId="6" applyNumberFormat="1" applyFont="1" applyBorder="1"/>
    <xf numFmtId="179" fontId="45" fillId="5" borderId="78" xfId="6" applyNumberFormat="1" applyFont="1" applyFill="1" applyBorder="1" applyAlignment="1">
      <alignment vertical="top"/>
    </xf>
    <xf numFmtId="179" fontId="45" fillId="5" borderId="0" xfId="6" applyNumberFormat="1" applyFont="1" applyFill="1" applyAlignment="1">
      <alignment vertical="top"/>
    </xf>
    <xf numFmtId="179" fontId="45" fillId="26" borderId="78" xfId="6" applyNumberFormat="1" applyFont="1" applyFill="1" applyBorder="1" applyAlignment="1">
      <alignment vertical="top"/>
    </xf>
    <xf numFmtId="179" fontId="45" fillId="26" borderId="0" xfId="6" applyNumberFormat="1" applyFont="1" applyFill="1" applyAlignment="1">
      <alignment vertical="top"/>
    </xf>
    <xf numFmtId="179" fontId="29" fillId="65" borderId="78" xfId="6" applyNumberFormat="1" applyFont="1" applyFill="1" applyBorder="1" applyAlignment="1">
      <alignment vertical="top"/>
    </xf>
    <xf numFmtId="179" fontId="29" fillId="65" borderId="0" xfId="6" applyNumberFormat="1" applyFont="1" applyFill="1" applyAlignment="1">
      <alignment vertical="top"/>
    </xf>
    <xf numFmtId="179" fontId="45" fillId="0" borderId="78" xfId="6" applyNumberFormat="1" applyFont="1" applyBorder="1" applyAlignment="1">
      <alignment vertical="top"/>
    </xf>
    <xf numFmtId="179" fontId="45" fillId="0" borderId="0" xfId="6" applyNumberFormat="1" applyFont="1" applyAlignment="1">
      <alignment vertical="top"/>
    </xf>
    <xf numFmtId="6" fontId="10" fillId="0" borderId="0" xfId="1" applyNumberFormat="1" applyFont="1" applyAlignment="1">
      <alignment vertical="center"/>
    </xf>
    <xf numFmtId="44" fontId="46" fillId="0" borderId="0" xfId="1" applyNumberFormat="1" applyFont="1" applyFill="1" applyBorder="1" applyAlignment="1">
      <alignment horizontal="center"/>
    </xf>
    <xf numFmtId="44" fontId="46" fillId="0" borderId="14" xfId="1" applyNumberFormat="1" applyFont="1" applyFill="1" applyBorder="1" applyAlignment="1">
      <alignment horizontal="center"/>
    </xf>
    <xf numFmtId="44" fontId="45" fillId="64" borderId="13" xfId="1" applyNumberFormat="1" applyFont="1" applyFill="1" applyBorder="1" applyAlignment="1">
      <alignment horizontal="center"/>
    </xf>
    <xf numFmtId="44" fontId="46" fillId="0" borderId="0" xfId="1" applyNumberFormat="1" applyFont="1" applyFill="1" applyBorder="1" applyAlignment="1">
      <alignment horizontal="center" vertical="center"/>
    </xf>
    <xf numFmtId="0" fontId="47" fillId="0" borderId="0" xfId="0" applyFont="1" applyAlignment="1">
      <alignment horizontal="right" vertical="center" wrapText="1"/>
    </xf>
    <xf numFmtId="0" fontId="40" fillId="0" borderId="0" xfId="0" applyFont="1"/>
    <xf numFmtId="166" fontId="16" fillId="0" borderId="0" xfId="1" applyNumberFormat="1" applyFont="1" applyFill="1" applyBorder="1"/>
    <xf numFmtId="44" fontId="45" fillId="0" borderId="0" xfId="1" applyNumberFormat="1" applyFont="1" applyFill="1" applyBorder="1" applyAlignment="1">
      <alignment horizontal="center"/>
    </xf>
    <xf numFmtId="43" fontId="31" fillId="0" borderId="0" xfId="0" applyNumberFormat="1" applyFont="1"/>
    <xf numFmtId="166" fontId="16" fillId="0" borderId="0" xfId="1" applyNumberFormat="1" applyFont="1"/>
    <xf numFmtId="6" fontId="10" fillId="0" borderId="0" xfId="0" applyNumberFormat="1" applyFont="1"/>
    <xf numFmtId="0" fontId="0" fillId="0" borderId="0" xfId="0" quotePrefix="1"/>
    <xf numFmtId="15" fontId="31" fillId="4" borderId="0" xfId="0" applyNumberFormat="1" applyFont="1" applyFill="1"/>
    <xf numFmtId="15" fontId="31" fillId="0" borderId="0" xfId="0" applyNumberFormat="1" applyFont="1"/>
    <xf numFmtId="15" fontId="30" fillId="4" borderId="0" xfId="0" applyNumberFormat="1" applyFont="1" applyFill="1"/>
    <xf numFmtId="43" fontId="9" fillId="3" borderId="84" xfId="1" applyFont="1" applyFill="1" applyBorder="1" applyAlignment="1">
      <alignment horizontal="right" vertical="center" wrapText="1"/>
    </xf>
    <xf numFmtId="6" fontId="31" fillId="0" borderId="0" xfId="6" applyNumberFormat="1" applyFont="1"/>
    <xf numFmtId="43" fontId="31" fillId="0" borderId="0" xfId="1" applyFont="1"/>
    <xf numFmtId="167" fontId="0" fillId="0" borderId="0" xfId="0" applyNumberFormat="1" applyAlignment="1">
      <alignment horizontal="left" indent="1"/>
    </xf>
    <xf numFmtId="166" fontId="133" fillId="0" borderId="0" xfId="1" applyNumberFormat="1" applyFont="1"/>
    <xf numFmtId="166" fontId="133" fillId="0" borderId="0" xfId="0" applyNumberFormat="1" applyFont="1"/>
    <xf numFmtId="8" fontId="0" fillId="0" borderId="0" xfId="0" applyNumberFormat="1"/>
    <xf numFmtId="166" fontId="8" fillId="0" borderId="11" xfId="1" applyNumberFormat="1" applyFont="1" applyBorder="1" applyAlignment="1">
      <alignment horizontal="center" vertical="center"/>
    </xf>
    <xf numFmtId="49" fontId="8" fillId="0" borderId="11" xfId="5" applyNumberFormat="1" applyFont="1" applyFill="1" applyBorder="1" applyAlignment="1">
      <alignment vertical="center" wrapText="1"/>
    </xf>
    <xf numFmtId="0" fontId="8" fillId="0" borderId="11" xfId="0" applyFont="1" applyBorder="1" applyAlignment="1">
      <alignment horizontal="left" vertical="center"/>
    </xf>
    <xf numFmtId="0" fontId="32" fillId="0" borderId="11" xfId="0" applyFont="1" applyBorder="1" applyAlignment="1">
      <alignment horizontal="left" vertical="center"/>
    </xf>
    <xf numFmtId="166" fontId="16" fillId="0" borderId="0" xfId="0" applyNumberFormat="1" applyFont="1"/>
    <xf numFmtId="43" fontId="127" fillId="0" borderId="0" xfId="1" applyFont="1" applyFill="1"/>
    <xf numFmtId="43" fontId="13" fillId="0" borderId="0" xfId="1" applyFont="1" applyFill="1"/>
    <xf numFmtId="168" fontId="13" fillId="0" borderId="0" xfId="63" applyFont="1" applyFill="1"/>
    <xf numFmtId="169" fontId="13" fillId="0" borderId="0" xfId="63" applyNumberFormat="1" applyFont="1" applyFill="1"/>
    <xf numFmtId="166" fontId="13" fillId="0" borderId="0" xfId="0" applyNumberFormat="1" applyFont="1"/>
    <xf numFmtId="168" fontId="8" fillId="0" borderId="0" xfId="63" applyFont="1" applyFill="1"/>
    <xf numFmtId="166" fontId="8" fillId="0" borderId="0" xfId="1" applyNumberFormat="1" applyFont="1" applyAlignment="1">
      <alignment vertical="center"/>
    </xf>
    <xf numFmtId="166" fontId="10" fillId="0" borderId="0" xfId="0" applyNumberFormat="1" applyFont="1" applyAlignment="1">
      <alignment vertical="center"/>
    </xf>
    <xf numFmtId="10" fontId="0" fillId="0" borderId="0" xfId="0" applyNumberFormat="1"/>
    <xf numFmtId="0" fontId="2" fillId="0" borderId="0" xfId="0" applyFont="1" applyAlignment="1">
      <alignment horizontal="center"/>
    </xf>
    <xf numFmtId="10" fontId="2" fillId="0" borderId="0" xfId="0" applyNumberFormat="1" applyFont="1"/>
    <xf numFmtId="166" fontId="8" fillId="0" borderId="11" xfId="1" applyNumberFormat="1" applyFont="1" applyFill="1" applyBorder="1" applyAlignment="1">
      <alignment horizontal="center" vertical="center"/>
    </xf>
    <xf numFmtId="0" fontId="33" fillId="0" borderId="11" xfId="0" applyFont="1" applyBorder="1" applyAlignment="1">
      <alignment horizontal="left" vertical="center"/>
    </xf>
    <xf numFmtId="0" fontId="137" fillId="12" borderId="41" xfId="0" applyFont="1" applyFill="1" applyBorder="1" applyAlignment="1">
      <alignment horizontal="center" vertical="center"/>
    </xf>
    <xf numFmtId="0" fontId="137" fillId="12" borderId="11" xfId="0" applyFont="1" applyFill="1" applyBorder="1" applyAlignment="1">
      <alignment horizontal="center" vertical="center"/>
    </xf>
    <xf numFmtId="166" fontId="137" fillId="12" borderId="11" xfId="1" applyNumberFormat="1" applyFont="1" applyFill="1" applyBorder="1" applyAlignment="1">
      <alignment horizontal="center" vertical="center" wrapText="1"/>
    </xf>
    <xf numFmtId="0" fontId="137" fillId="12" borderId="11" xfId="0" applyFont="1" applyFill="1" applyBorder="1" applyAlignment="1">
      <alignment horizontal="center" vertical="center" wrapText="1"/>
    </xf>
    <xf numFmtId="15" fontId="137" fillId="12" borderId="11" xfId="0" applyNumberFormat="1" applyFont="1" applyFill="1" applyBorder="1" applyAlignment="1">
      <alignment horizontal="center" vertical="center" wrapText="1"/>
    </xf>
    <xf numFmtId="43" fontId="137" fillId="12" borderId="11" xfId="1" applyFont="1" applyFill="1" applyBorder="1" applyAlignment="1">
      <alignment horizontal="center" vertical="center" wrapText="1"/>
    </xf>
    <xf numFmtId="0" fontId="139" fillId="0" borderId="0" xfId="351"/>
    <xf numFmtId="0" fontId="139" fillId="0" borderId="94" xfId="351" applyBorder="1" applyAlignment="1">
      <alignment horizontal="center"/>
    </xf>
    <xf numFmtId="166" fontId="29" fillId="27" borderId="0" xfId="1" applyNumberFormat="1" applyFont="1" applyFill="1" applyBorder="1" applyAlignment="1">
      <alignment horizontal="center" vertical="center"/>
    </xf>
    <xf numFmtId="0" fontId="29" fillId="27" borderId="0" xfId="0" applyFont="1" applyFill="1" applyAlignment="1">
      <alignment horizontal="center" vertical="center"/>
    </xf>
    <xf numFmtId="0" fontId="137" fillId="0" borderId="34" xfId="0" applyFont="1" applyBorder="1" applyAlignment="1">
      <alignment horizontal="left" vertical="center"/>
    </xf>
    <xf numFmtId="0" fontId="137" fillId="0" borderId="72" xfId="0" applyFont="1" applyBorder="1" applyAlignment="1">
      <alignment horizontal="left" vertical="center"/>
    </xf>
    <xf numFmtId="0" fontId="142" fillId="0" borderId="94" xfId="0" applyFont="1" applyBorder="1" applyAlignment="1">
      <alignment horizontal="left" vertical="center"/>
    </xf>
    <xf numFmtId="0" fontId="142" fillId="0" borderId="94" xfId="0" applyFont="1" applyBorder="1"/>
    <xf numFmtId="0" fontId="143" fillId="0" borderId="94" xfId="0" applyFont="1" applyBorder="1"/>
    <xf numFmtId="0" fontId="142" fillId="0" borderId="94" xfId="0" applyFont="1" applyBorder="1" applyAlignment="1">
      <alignment horizontal="center" vertical="center"/>
    </xf>
    <xf numFmtId="43" fontId="142" fillId="0" borderId="94" xfId="1" applyFont="1" applyBorder="1"/>
    <xf numFmtId="166" fontId="142" fillId="0" borderId="94" xfId="1" applyNumberFormat="1" applyFont="1" applyFill="1" applyBorder="1"/>
    <xf numFmtId="10" fontId="142" fillId="0" borderId="94" xfId="0" applyNumberFormat="1" applyFont="1" applyBorder="1"/>
    <xf numFmtId="3" fontId="31" fillId="0" borderId="0" xfId="0" applyNumberFormat="1" applyFont="1"/>
    <xf numFmtId="8" fontId="38" fillId="0" borderId="0" xfId="0" applyNumberFormat="1" applyFont="1"/>
    <xf numFmtId="43" fontId="20" fillId="0" borderId="94" xfId="1" applyFont="1" applyFill="1" applyBorder="1" applyAlignment="1">
      <alignment horizontal="center" vertical="center"/>
    </xf>
    <xf numFmtId="10" fontId="31" fillId="0" borderId="94" xfId="2" applyNumberFormat="1" applyFont="1" applyFill="1" applyBorder="1"/>
    <xf numFmtId="0" fontId="0" fillId="0" borderId="94" xfId="0" applyBorder="1"/>
    <xf numFmtId="3" fontId="26" fillId="0" borderId="94" xfId="0" applyNumberFormat="1" applyFont="1" applyBorder="1" applyAlignment="1">
      <alignment horizontal="left" vertical="center" wrapText="1"/>
    </xf>
    <xf numFmtId="0" fontId="26" fillId="0" borderId="94" xfId="0" applyFont="1" applyBorder="1" applyAlignment="1">
      <alignment vertical="center" wrapText="1"/>
    </xf>
    <xf numFmtId="166" fontId="5" fillId="0" borderId="94" xfId="1" applyNumberFormat="1" applyFont="1" applyFill="1" applyBorder="1" applyAlignment="1">
      <alignment horizontal="center" vertical="center"/>
    </xf>
    <xf numFmtId="166" fontId="23" fillId="0" borderId="94" xfId="1" applyNumberFormat="1" applyFont="1" applyFill="1" applyBorder="1" applyAlignment="1">
      <alignment horizontal="left" vertical="center"/>
    </xf>
    <xf numFmtId="184" fontId="2" fillId="0" borderId="94" xfId="0" applyNumberFormat="1" applyFont="1" applyBorder="1"/>
    <xf numFmtId="44" fontId="2" fillId="0" borderId="94" xfId="0" applyNumberFormat="1" applyFont="1" applyBorder="1"/>
    <xf numFmtId="184" fontId="0" fillId="0" borderId="94" xfId="0" applyNumberFormat="1" applyBorder="1"/>
    <xf numFmtId="44" fontId="0" fillId="0" borderId="94" xfId="0" applyNumberFormat="1" applyBorder="1"/>
    <xf numFmtId="0" fontId="2" fillId="0" borderId="94" xfId="0" applyFont="1" applyBorder="1" applyAlignment="1">
      <alignment horizontal="center" vertical="center"/>
    </xf>
    <xf numFmtId="188" fontId="0" fillId="0" borderId="94" xfId="0" applyNumberFormat="1" applyBorder="1"/>
    <xf numFmtId="2" fontId="0" fillId="0" borderId="94" xfId="0" applyNumberFormat="1" applyBorder="1"/>
    <xf numFmtId="187" fontId="0" fillId="0" borderId="94" xfId="0" applyNumberFormat="1" applyBorder="1"/>
    <xf numFmtId="0" fontId="0" fillId="0" borderId="94" xfId="0" applyBorder="1" applyAlignment="1">
      <alignment horizontal="center" vertical="center"/>
    </xf>
    <xf numFmtId="43" fontId="0" fillId="0" borderId="94" xfId="1" applyFont="1" applyBorder="1"/>
    <xf numFmtId="43" fontId="0" fillId="0" borderId="94" xfId="0" applyNumberFormat="1" applyBorder="1"/>
    <xf numFmtId="0" fontId="0" fillId="0" borderId="94" xfId="0" quotePrefix="1" applyBorder="1" applyAlignment="1">
      <alignment horizontal="center" vertical="center"/>
    </xf>
    <xf numFmtId="0" fontId="12" fillId="27" borderId="94" xfId="0" applyFont="1" applyFill="1" applyBorder="1" applyAlignment="1">
      <alignment horizontal="center" vertical="center" wrapText="1"/>
    </xf>
    <xf numFmtId="0" fontId="8" fillId="0" borderId="94" xfId="0" applyFont="1" applyBorder="1" applyAlignment="1">
      <alignment horizontal="center" vertical="center"/>
    </xf>
    <xf numFmtId="166" fontId="8" fillId="0" borderId="94" xfId="1" applyNumberFormat="1" applyFont="1" applyFill="1" applyBorder="1" applyAlignment="1">
      <alignment vertical="center"/>
    </xf>
    <xf numFmtId="0" fontId="9" fillId="0" borderId="94" xfId="0" applyFont="1" applyBorder="1" applyAlignment="1">
      <alignment horizontal="center" vertical="center"/>
    </xf>
    <xf numFmtId="49" fontId="8" fillId="0" borderId="94" xfId="5" applyNumberFormat="1" applyFont="1" applyFill="1" applyBorder="1" applyAlignment="1">
      <alignment vertical="center" wrapText="1"/>
    </xf>
    <xf numFmtId="175" fontId="8" fillId="0" borderId="94" xfId="0" applyNumberFormat="1" applyFont="1" applyBorder="1" applyAlignment="1">
      <alignment horizontal="center" vertical="center"/>
    </xf>
    <xf numFmtId="0" fontId="8" fillId="0" borderId="94" xfId="0" applyFont="1" applyBorder="1" applyAlignment="1">
      <alignment horizontal="left" vertical="center"/>
    </xf>
    <xf numFmtId="0" fontId="32" fillId="0" borderId="94" xfId="0" applyFont="1" applyBorder="1" applyAlignment="1">
      <alignment horizontal="left" vertical="center"/>
    </xf>
    <xf numFmtId="0" fontId="8" fillId="28" borderId="94" xfId="0" applyFont="1" applyFill="1" applyBorder="1" applyAlignment="1">
      <alignment horizontal="center" vertical="center"/>
    </xf>
    <xf numFmtId="3" fontId="9" fillId="0" borderId="94" xfId="5" applyNumberFormat="1" applyFont="1" applyFill="1" applyBorder="1" applyAlignment="1">
      <alignment vertical="center"/>
    </xf>
    <xf numFmtId="166" fontId="8" fillId="0" borderId="94" xfId="1" applyNumberFormat="1" applyFont="1" applyBorder="1" applyAlignment="1">
      <alignment horizontal="center" vertical="center"/>
    </xf>
    <xf numFmtId="0" fontId="9" fillId="22" borderId="94" xfId="0" applyFont="1" applyFill="1" applyBorder="1" applyAlignment="1">
      <alignment vertical="center"/>
    </xf>
    <xf numFmtId="0" fontId="9" fillId="0" borderId="94" xfId="0" applyFont="1" applyBorder="1" applyAlignment="1">
      <alignment vertical="center"/>
    </xf>
    <xf numFmtId="3" fontId="9" fillId="22" borderId="94" xfId="5" applyNumberFormat="1" applyFont="1" applyFill="1" applyBorder="1" applyAlignment="1">
      <alignment vertical="center"/>
    </xf>
    <xf numFmtId="0" fontId="9" fillId="22" borderId="94" xfId="0" applyFont="1" applyFill="1" applyBorder="1" applyAlignment="1">
      <alignment horizontal="center" vertical="center"/>
    </xf>
    <xf numFmtId="166" fontId="9" fillId="22" borderId="94" xfId="1" applyNumberFormat="1" applyFont="1" applyFill="1" applyBorder="1" applyAlignment="1">
      <alignment horizontal="center" vertical="center"/>
    </xf>
    <xf numFmtId="49" fontId="9" fillId="22" borderId="94" xfId="5" applyNumberFormat="1" applyFont="1" applyFill="1" applyBorder="1" applyAlignment="1">
      <alignment vertical="center" wrapText="1"/>
    </xf>
    <xf numFmtId="0" fontId="9" fillId="22" borderId="94" xfId="0" applyFont="1" applyFill="1" applyBorder="1" applyAlignment="1">
      <alignment horizontal="left" vertical="center"/>
    </xf>
    <xf numFmtId="0" fontId="9" fillId="0" borderId="94" xfId="0" applyFont="1" applyBorder="1" applyAlignment="1">
      <alignment horizontal="left" vertical="center"/>
    </xf>
    <xf numFmtId="3" fontId="9" fillId="0" borderId="94" xfId="5" applyNumberFormat="1" applyFont="1" applyBorder="1" applyAlignment="1">
      <alignment vertical="center"/>
    </xf>
    <xf numFmtId="49" fontId="9" fillId="0" borderId="94" xfId="5" applyNumberFormat="1" applyFont="1" applyBorder="1" applyAlignment="1">
      <alignment vertical="center" wrapText="1"/>
    </xf>
    <xf numFmtId="175" fontId="8" fillId="22" borderId="94" xfId="0" applyNumberFormat="1" applyFont="1" applyFill="1" applyBorder="1" applyAlignment="1">
      <alignment horizontal="center" vertical="center"/>
    </xf>
    <xf numFmtId="43" fontId="8" fillId="0" borderId="94" xfId="1" applyFont="1" applyFill="1" applyBorder="1" applyAlignment="1">
      <alignment vertical="center"/>
    </xf>
    <xf numFmtId="0" fontId="33" fillId="0" borderId="94" xfId="0" applyFont="1" applyBorder="1" applyAlignment="1">
      <alignment horizontal="left" vertical="center"/>
    </xf>
    <xf numFmtId="3" fontId="8" fillId="0" borderId="94" xfId="5" applyNumberFormat="1" applyFont="1" applyFill="1" applyBorder="1" applyAlignment="1">
      <alignment vertical="center"/>
    </xf>
    <xf numFmtId="166" fontId="9" fillId="0" borderId="94" xfId="1" applyNumberFormat="1" applyFont="1" applyBorder="1" applyAlignment="1">
      <alignment horizontal="center" vertical="center"/>
    </xf>
    <xf numFmtId="0" fontId="122" fillId="0" borderId="94" xfId="0" applyFont="1" applyBorder="1" applyAlignment="1">
      <alignment horizontal="center" vertical="center"/>
    </xf>
    <xf numFmtId="3" fontId="122" fillId="0" borderId="94" xfId="5" applyNumberFormat="1" applyFont="1" applyFill="1" applyBorder="1" applyAlignment="1">
      <alignment vertical="center"/>
    </xf>
    <xf numFmtId="166" fontId="122" fillId="0" borderId="94" xfId="1" applyNumberFormat="1" applyFont="1" applyBorder="1" applyAlignment="1">
      <alignment horizontal="center" vertical="center"/>
    </xf>
    <xf numFmtId="49" fontId="122" fillId="0" borderId="94" xfId="5" applyNumberFormat="1" applyFont="1" applyFill="1" applyBorder="1" applyAlignment="1">
      <alignment vertical="center" wrapText="1"/>
    </xf>
    <xf numFmtId="175" fontId="122" fillId="0" borderId="94" xfId="0" applyNumberFormat="1" applyFont="1" applyBorder="1" applyAlignment="1">
      <alignment horizontal="center" vertical="center"/>
    </xf>
    <xf numFmtId="0" fontId="122" fillId="0" borderId="94" xfId="0" applyFont="1" applyBorder="1" applyAlignment="1">
      <alignment horizontal="left" vertical="center"/>
    </xf>
    <xf numFmtId="0" fontId="136" fillId="0" borderId="94" xfId="0" applyFont="1" applyBorder="1" applyAlignment="1">
      <alignment horizontal="center" vertical="center"/>
    </xf>
    <xf numFmtId="3" fontId="136" fillId="0" borderId="94" xfId="5" applyNumberFormat="1" applyFont="1" applyFill="1" applyBorder="1" applyAlignment="1">
      <alignment vertical="center"/>
    </xf>
    <xf numFmtId="166" fontId="136" fillId="0" borderId="94" xfId="1" applyNumberFormat="1" applyFont="1" applyBorder="1" applyAlignment="1">
      <alignment horizontal="center" vertical="center"/>
    </xf>
    <xf numFmtId="49" fontId="136" fillId="0" borderId="94" xfId="5" applyNumberFormat="1" applyFont="1" applyFill="1" applyBorder="1" applyAlignment="1">
      <alignment vertical="center" wrapText="1"/>
    </xf>
    <xf numFmtId="175" fontId="136" fillId="0" borderId="94" xfId="0" applyNumberFormat="1" applyFont="1" applyBorder="1" applyAlignment="1">
      <alignment horizontal="center" vertical="center"/>
    </xf>
    <xf numFmtId="0" fontId="136" fillId="0" borderId="94" xfId="0" applyFont="1" applyBorder="1" applyAlignment="1">
      <alignment horizontal="left" vertical="center"/>
    </xf>
    <xf numFmtId="0" fontId="73" fillId="0" borderId="94" xfId="0" applyFont="1" applyBorder="1" applyAlignment="1">
      <alignment horizontal="left" vertical="center"/>
    </xf>
    <xf numFmtId="0" fontId="37" fillId="0" borderId="94" xfId="0" applyFont="1" applyBorder="1" applyAlignment="1">
      <alignment horizontal="left" vertical="center"/>
    </xf>
    <xf numFmtId="0" fontId="73" fillId="68" borderId="94" xfId="0" applyFont="1" applyFill="1" applyBorder="1" applyAlignment="1">
      <alignment horizontal="left" vertical="center"/>
    </xf>
    <xf numFmtId="0" fontId="37" fillId="68" borderId="94" xfId="0" applyFont="1" applyFill="1" applyBorder="1" applyAlignment="1">
      <alignment horizontal="left" vertical="center"/>
    </xf>
    <xf numFmtId="0" fontId="73" fillId="70" borderId="94" xfId="0" applyFont="1" applyFill="1" applyBorder="1" applyAlignment="1">
      <alignment horizontal="left" vertical="center"/>
    </xf>
    <xf numFmtId="0" fontId="37" fillId="70" borderId="94" xfId="0" applyFont="1" applyFill="1" applyBorder="1" applyAlignment="1">
      <alignment horizontal="left" vertical="center"/>
    </xf>
    <xf numFmtId="0" fontId="73" fillId="26" borderId="94" xfId="0" applyFont="1" applyFill="1" applyBorder="1" applyAlignment="1">
      <alignment horizontal="left" vertical="center"/>
    </xf>
    <xf numFmtId="0" fontId="37" fillId="26" borderId="94" xfId="0" applyFont="1" applyFill="1" applyBorder="1" applyAlignment="1">
      <alignment horizontal="left" vertical="center"/>
    </xf>
    <xf numFmtId="0" fontId="73" fillId="72" borderId="94" xfId="0" applyFont="1" applyFill="1" applyBorder="1" applyAlignment="1">
      <alignment horizontal="left" vertical="center"/>
    </xf>
    <xf numFmtId="0" fontId="37" fillId="72" borderId="94" xfId="0" applyFont="1" applyFill="1" applyBorder="1" applyAlignment="1">
      <alignment horizontal="left" vertical="center"/>
    </xf>
    <xf numFmtId="0" fontId="140" fillId="73" borderId="94" xfId="351" applyFont="1" applyFill="1" applyBorder="1" applyAlignment="1">
      <alignment horizontal="center"/>
    </xf>
    <xf numFmtId="0" fontId="0" fillId="0" borderId="94" xfId="0" applyBorder="1" applyAlignment="1">
      <alignment horizontal="center"/>
    </xf>
    <xf numFmtId="0" fontId="0" fillId="22" borderId="94" xfId="0" applyFill="1" applyBorder="1"/>
    <xf numFmtId="0" fontId="0" fillId="0" borderId="94" xfId="0" applyBorder="1" applyAlignment="1">
      <alignment horizontal="right"/>
    </xf>
    <xf numFmtId="0" fontId="0" fillId="0" borderId="94" xfId="0" quotePrefix="1" applyBorder="1"/>
    <xf numFmtId="49" fontId="0" fillId="22" borderId="94" xfId="0" quotePrefix="1" applyNumberFormat="1" applyFill="1" applyBorder="1"/>
    <xf numFmtId="0" fontId="0" fillId="22" borderId="94" xfId="0" applyFill="1" applyBorder="1" applyAlignment="1">
      <alignment horizontal="right"/>
    </xf>
    <xf numFmtId="49" fontId="0" fillId="0" borderId="94" xfId="0" quotePrefix="1" applyNumberFormat="1" applyBorder="1"/>
    <xf numFmtId="49" fontId="0" fillId="22" borderId="94" xfId="0" quotePrefix="1" applyNumberFormat="1" applyFill="1" applyBorder="1" applyAlignment="1">
      <alignment wrapText="1"/>
    </xf>
    <xf numFmtId="0" fontId="2" fillId="0" borderId="94" xfId="0" applyFont="1" applyBorder="1" applyAlignment="1">
      <alignment horizontal="left" vertical="center"/>
    </xf>
    <xf numFmtId="0" fontId="74" fillId="30" borderId="94" xfId="0" applyFont="1" applyFill="1" applyBorder="1" applyAlignment="1">
      <alignment horizontal="center" vertical="center"/>
    </xf>
    <xf numFmtId="3" fontId="8" fillId="0" borderId="94" xfId="5" applyNumberFormat="1" applyFont="1" applyBorder="1" applyAlignment="1">
      <alignment vertical="center"/>
    </xf>
    <xf numFmtId="0" fontId="10" fillId="0" borderId="94" xfId="0" applyFont="1" applyBorder="1"/>
    <xf numFmtId="0" fontId="30" fillId="12" borderId="94" xfId="0" applyFont="1" applyFill="1" applyBorder="1" applyAlignment="1">
      <alignment horizontal="center" vertical="center"/>
    </xf>
    <xf numFmtId="0" fontId="30" fillId="12" borderId="94" xfId="0" applyFont="1" applyFill="1" applyBorder="1" applyAlignment="1">
      <alignment horizontal="center" vertical="center" wrapText="1"/>
    </xf>
    <xf numFmtId="0" fontId="10" fillId="0" borderId="94" xfId="0" applyFont="1" applyBorder="1" applyAlignment="1">
      <alignment horizontal="left" vertical="center"/>
    </xf>
    <xf numFmtId="0" fontId="10" fillId="0" borderId="94" xfId="0" applyFont="1" applyBorder="1" applyAlignment="1">
      <alignment horizontal="center" vertical="center"/>
    </xf>
    <xf numFmtId="0" fontId="39" fillId="0" borderId="94" xfId="0" applyFont="1" applyBorder="1"/>
    <xf numFmtId="0" fontId="10" fillId="0" borderId="94" xfId="0" applyFont="1" applyBorder="1" applyAlignment="1">
      <alignment horizontal="center"/>
    </xf>
    <xf numFmtId="0" fontId="73" fillId="0" borderId="94" xfId="0" applyFont="1" applyBorder="1"/>
    <xf numFmtId="166" fontId="31" fillId="0" borderId="0" xfId="1" applyNumberFormat="1" applyFont="1" applyFill="1" applyBorder="1" applyAlignment="1">
      <alignment vertical="center"/>
    </xf>
    <xf numFmtId="0" fontId="31" fillId="0" borderId="0" xfId="0" applyFont="1" applyAlignment="1">
      <alignment vertical="center"/>
    </xf>
    <xf numFmtId="0" fontId="31" fillId="0" borderId="0" xfId="0" applyFont="1" applyAlignment="1">
      <alignment horizontal="center" vertical="center"/>
    </xf>
    <xf numFmtId="166" fontId="0" fillId="0" borderId="0" xfId="1" applyNumberFormat="1" applyFont="1" applyBorder="1" applyAlignment="1">
      <alignment vertical="center"/>
    </xf>
    <xf numFmtId="3" fontId="0" fillId="2" borderId="0" xfId="0" applyNumberFormat="1" applyFill="1" applyAlignment="1">
      <alignment vertical="center"/>
    </xf>
    <xf numFmtId="3" fontId="0" fillId="0" borderId="0" xfId="0" applyNumberFormat="1" applyAlignment="1">
      <alignment vertical="center"/>
    </xf>
    <xf numFmtId="166" fontId="0" fillId="0" borderId="0" xfId="0" applyNumberFormat="1" applyAlignment="1">
      <alignment vertical="center"/>
    </xf>
    <xf numFmtId="43" fontId="31" fillId="0" borderId="0" xfId="0" applyNumberFormat="1" applyFont="1" applyAlignment="1">
      <alignment vertical="center"/>
    </xf>
    <xf numFmtId="0" fontId="145" fillId="0" borderId="0" xfId="0" applyFont="1"/>
    <xf numFmtId="0" fontId="144" fillId="0" borderId="0" xfId="0" applyFont="1" applyAlignment="1">
      <alignment horizontal="right" vertical="top"/>
    </xf>
    <xf numFmtId="0" fontId="146" fillId="0" borderId="0" xfId="0" applyFont="1"/>
    <xf numFmtId="0" fontId="144" fillId="0" borderId="0" xfId="0" applyFont="1"/>
    <xf numFmtId="0" fontId="147" fillId="0" borderId="0" xfId="0" applyFont="1" applyAlignment="1">
      <alignment horizontal="center"/>
    </xf>
    <xf numFmtId="0" fontId="28" fillId="0" borderId="0" xfId="14" applyFont="1" applyAlignment="1">
      <alignment horizontal="right"/>
    </xf>
    <xf numFmtId="0" fontId="28" fillId="0" borderId="0" xfId="14" applyFont="1"/>
    <xf numFmtId="3" fontId="28" fillId="0" borderId="0" xfId="14" applyNumberFormat="1" applyFont="1"/>
    <xf numFmtId="0" fontId="28" fillId="0" borderId="14" xfId="14" applyFont="1" applyBorder="1" applyAlignment="1">
      <alignment horizontal="left"/>
    </xf>
    <xf numFmtId="3" fontId="28" fillId="0" borderId="14" xfId="14" applyNumberFormat="1" applyFont="1" applyBorder="1" applyAlignment="1">
      <alignment horizontal="center"/>
    </xf>
    <xf numFmtId="0" fontId="146" fillId="0" borderId="94" xfId="0" applyFont="1" applyBorder="1" applyAlignment="1">
      <alignment horizontal="center" vertical="center" wrapText="1"/>
    </xf>
    <xf numFmtId="0" fontId="144" fillId="0" borderId="94" xfId="0" applyFont="1" applyBorder="1" applyAlignment="1">
      <alignment horizontal="center" vertical="center" wrapText="1"/>
    </xf>
    <xf numFmtId="4" fontId="144" fillId="0" borderId="94" xfId="1" applyNumberFormat="1" applyFont="1" applyBorder="1" applyAlignment="1">
      <alignment horizontal="center" vertical="center" wrapText="1"/>
    </xf>
    <xf numFmtId="3" fontId="144" fillId="0" borderId="94" xfId="1" applyNumberFormat="1" applyFont="1" applyBorder="1" applyAlignment="1">
      <alignment horizontal="right" vertical="center" wrapText="1"/>
    </xf>
    <xf numFmtId="3" fontId="144" fillId="0" borderId="94" xfId="0" applyNumberFormat="1" applyFont="1" applyBorder="1" applyAlignment="1">
      <alignment horizontal="right" vertical="center" wrapText="1"/>
    </xf>
    <xf numFmtId="4" fontId="144" fillId="0" borderId="94" xfId="1" applyNumberFormat="1" applyFont="1" applyBorder="1" applyAlignment="1">
      <alignment horizontal="right" vertical="center" wrapText="1"/>
    </xf>
    <xf numFmtId="4" fontId="144" fillId="0" borderId="94" xfId="0" applyNumberFormat="1" applyFont="1" applyBorder="1" applyAlignment="1">
      <alignment horizontal="right" vertical="center" wrapText="1"/>
    </xf>
    <xf numFmtId="0" fontId="30" fillId="12" borderId="95" xfId="0" applyFont="1" applyFill="1" applyBorder="1" applyAlignment="1">
      <alignment horizontal="center" vertical="center"/>
    </xf>
    <xf numFmtId="0" fontId="73" fillId="22" borderId="94" xfId="0" applyFont="1" applyFill="1" applyBorder="1" applyAlignment="1">
      <alignment horizontal="left" vertical="center"/>
    </xf>
    <xf numFmtId="0" fontId="37" fillId="22" borderId="94" xfId="0" applyFont="1" applyFill="1" applyBorder="1" applyAlignment="1">
      <alignment horizontal="left" vertical="center"/>
    </xf>
    <xf numFmtId="0" fontId="73" fillId="69" borderId="94" xfId="0" applyFont="1" applyFill="1" applyBorder="1" applyAlignment="1">
      <alignment horizontal="left" vertical="center"/>
    </xf>
    <xf numFmtId="0" fontId="37" fillId="69" borderId="94" xfId="0" applyFont="1" applyFill="1" applyBorder="1" applyAlignment="1">
      <alignment horizontal="left" vertical="center"/>
    </xf>
    <xf numFmtId="0" fontId="73" fillId="71" borderId="94" xfId="0" applyFont="1" applyFill="1" applyBorder="1" applyAlignment="1">
      <alignment horizontal="left" vertical="center"/>
    </xf>
    <xf numFmtId="0" fontId="37" fillId="71" borderId="94" xfId="0" applyFont="1" applyFill="1" applyBorder="1" applyAlignment="1">
      <alignment horizontal="left" vertical="center"/>
    </xf>
    <xf numFmtId="49" fontId="10" fillId="22" borderId="94" xfId="0" quotePrefix="1" applyNumberFormat="1" applyFont="1" applyFill="1" applyBorder="1" applyAlignment="1">
      <alignment horizontal="center"/>
    </xf>
    <xf numFmtId="49" fontId="10" fillId="22" borderId="94" xfId="0" applyNumberFormat="1" applyFont="1" applyFill="1" applyBorder="1" applyAlignment="1">
      <alignment horizontal="center"/>
    </xf>
    <xf numFmtId="49" fontId="10" fillId="0" borderId="94" xfId="0" applyNumberFormat="1" applyFont="1" applyBorder="1" applyAlignment="1">
      <alignment horizontal="center"/>
    </xf>
    <xf numFmtId="49" fontId="10" fillId="68" borderId="94" xfId="0" applyNumberFormat="1" applyFont="1" applyFill="1" applyBorder="1" applyAlignment="1">
      <alignment horizontal="center"/>
    </xf>
    <xf numFmtId="49" fontId="10" fillId="22" borderId="94" xfId="1" quotePrefix="1" applyNumberFormat="1" applyFont="1" applyFill="1" applyBorder="1" applyAlignment="1">
      <alignment horizontal="center"/>
    </xf>
    <xf numFmtId="49" fontId="10" fillId="0" borderId="94" xfId="1" quotePrefix="1" applyNumberFormat="1" applyFont="1" applyBorder="1" applyAlignment="1">
      <alignment horizontal="center"/>
    </xf>
    <xf numFmtId="49" fontId="10" fillId="22" borderId="94" xfId="1" applyNumberFormat="1" applyFont="1" applyFill="1" applyBorder="1" applyAlignment="1">
      <alignment horizontal="center"/>
    </xf>
    <xf numFmtId="49" fontId="10" fillId="0" borderId="94" xfId="1" applyNumberFormat="1" applyFont="1" applyBorder="1" applyAlignment="1">
      <alignment horizontal="center"/>
    </xf>
    <xf numFmtId="0" fontId="10" fillId="22" borderId="94" xfId="0" applyFont="1" applyFill="1" applyBorder="1" applyAlignment="1">
      <alignment horizontal="center"/>
    </xf>
    <xf numFmtId="0" fontId="10" fillId="22" borderId="94" xfId="0" quotePrefix="1" applyFont="1" applyFill="1" applyBorder="1" applyAlignment="1">
      <alignment horizontal="center"/>
    </xf>
    <xf numFmtId="0" fontId="10" fillId="68" borderId="94" xfId="0" quotePrefix="1" applyFont="1" applyFill="1" applyBorder="1" applyAlignment="1">
      <alignment horizontal="center"/>
    </xf>
    <xf numFmtId="0" fontId="10" fillId="69" borderId="94" xfId="0" quotePrefix="1" applyFont="1" applyFill="1" applyBorder="1" applyAlignment="1">
      <alignment horizontal="center"/>
    </xf>
    <xf numFmtId="0" fontId="10" fillId="70" borderId="94" xfId="0" applyFont="1" applyFill="1" applyBorder="1" applyAlignment="1">
      <alignment horizontal="center"/>
    </xf>
    <xf numFmtId="0" fontId="10" fillId="71" borderId="94" xfId="0" applyFont="1" applyFill="1" applyBorder="1" applyAlignment="1">
      <alignment horizontal="center"/>
    </xf>
    <xf numFmtId="0" fontId="10" fillId="0" borderId="94" xfId="0" quotePrefix="1" applyFont="1" applyBorder="1" applyAlignment="1">
      <alignment horizontal="center"/>
    </xf>
    <xf numFmtId="0" fontId="10" fillId="70" borderId="94" xfId="0" quotePrefix="1" applyFont="1" applyFill="1" applyBorder="1" applyAlignment="1">
      <alignment horizontal="center"/>
    </xf>
    <xf numFmtId="0" fontId="10" fillId="26" borderId="94" xfId="0" quotePrefix="1" applyFont="1" applyFill="1" applyBorder="1" applyAlignment="1">
      <alignment horizontal="center"/>
    </xf>
    <xf numFmtId="0" fontId="10" fillId="72" borderId="94" xfId="0" quotePrefix="1" applyFont="1" applyFill="1" applyBorder="1" applyAlignment="1">
      <alignment horizontal="center"/>
    </xf>
    <xf numFmtId="166" fontId="0" fillId="0" borderId="94" xfId="1" applyNumberFormat="1" applyFont="1" applyBorder="1"/>
    <xf numFmtId="0" fontId="10" fillId="22" borderId="95" xfId="0" applyFont="1" applyFill="1" applyBorder="1" applyAlignment="1">
      <alignment horizontal="center"/>
    </xf>
    <xf numFmtId="0" fontId="10" fillId="0" borderId="95" xfId="0" applyFont="1" applyBorder="1" applyAlignment="1">
      <alignment horizontal="center"/>
    </xf>
    <xf numFmtId="0" fontId="10" fillId="68" borderId="95" xfId="0" applyFont="1" applyFill="1" applyBorder="1" applyAlignment="1">
      <alignment horizontal="center"/>
    </xf>
    <xf numFmtId="0" fontId="10" fillId="69" borderId="95" xfId="0" applyFont="1" applyFill="1" applyBorder="1" applyAlignment="1">
      <alignment horizontal="center"/>
    </xf>
    <xf numFmtId="0" fontId="10" fillId="70" borderId="95" xfId="0" applyFont="1" applyFill="1" applyBorder="1" applyAlignment="1">
      <alignment horizontal="center"/>
    </xf>
    <xf numFmtId="0" fontId="10" fillId="71" borderId="95" xfId="0" applyFont="1" applyFill="1" applyBorder="1" applyAlignment="1">
      <alignment horizontal="center"/>
    </xf>
    <xf numFmtId="0" fontId="10" fillId="26" borderId="95" xfId="0" applyFont="1" applyFill="1" applyBorder="1" applyAlignment="1">
      <alignment horizontal="center"/>
    </xf>
    <xf numFmtId="0" fontId="10" fillId="72" borderId="95" xfId="0" applyFont="1" applyFill="1" applyBorder="1" applyAlignment="1">
      <alignment horizontal="center"/>
    </xf>
    <xf numFmtId="195" fontId="31" fillId="0" borderId="0" xfId="0" applyNumberFormat="1" applyFont="1" applyAlignment="1">
      <alignment horizontal="center" vertical="center"/>
    </xf>
    <xf numFmtId="1" fontId="31" fillId="0" borderId="0" xfId="0" quotePrefix="1" applyNumberFormat="1" applyFont="1" applyAlignment="1">
      <alignment horizontal="center" vertical="center"/>
    </xf>
    <xf numFmtId="0" fontId="141" fillId="75" borderId="94" xfId="0" applyFont="1" applyFill="1" applyBorder="1" applyAlignment="1">
      <alignment horizontal="center"/>
    </xf>
    <xf numFmtId="40" fontId="138" fillId="0" borderId="94" xfId="0" applyNumberFormat="1" applyFont="1" applyBorder="1"/>
    <xf numFmtId="22" fontId="0" fillId="0" borderId="94" xfId="0" applyNumberFormat="1" applyBorder="1"/>
    <xf numFmtId="166" fontId="130" fillId="0" borderId="0" xfId="1" applyNumberFormat="1" applyFont="1" applyFill="1" applyBorder="1" applyAlignment="1">
      <alignment horizontal="right" vertical="center"/>
    </xf>
    <xf numFmtId="166" fontId="130" fillId="0" borderId="0" xfId="1" applyNumberFormat="1" applyFont="1" applyFill="1" applyBorder="1" applyAlignment="1">
      <alignment vertical="center"/>
    </xf>
    <xf numFmtId="0" fontId="152" fillId="0" borderId="96" xfId="0" applyFont="1" applyBorder="1" applyAlignment="1">
      <alignment horizontal="left" vertical="center" wrapText="1"/>
    </xf>
    <xf numFmtId="166" fontId="10" fillId="0" borderId="33" xfId="1" applyNumberFormat="1" applyFont="1" applyFill="1" applyBorder="1" applyAlignment="1">
      <alignment horizontal="center"/>
    </xf>
    <xf numFmtId="49" fontId="10" fillId="0" borderId="33" xfId="1" quotePrefix="1" applyNumberFormat="1" applyFont="1" applyFill="1" applyBorder="1"/>
    <xf numFmtId="49" fontId="10" fillId="0" borderId="33" xfId="1" applyNumberFormat="1" applyFont="1" applyFill="1" applyBorder="1"/>
    <xf numFmtId="43" fontId="10" fillId="0" borderId="33" xfId="1" applyFont="1" applyFill="1" applyBorder="1"/>
    <xf numFmtId="166" fontId="10" fillId="0" borderId="73" xfId="1" applyNumberFormat="1" applyFont="1" applyFill="1" applyBorder="1"/>
    <xf numFmtId="166" fontId="10" fillId="0" borderId="27" xfId="1" applyNumberFormat="1" applyFont="1" applyFill="1" applyBorder="1"/>
    <xf numFmtId="166" fontId="10" fillId="0" borderId="27" xfId="1" applyNumberFormat="1" applyFont="1" applyFill="1" applyBorder="1" applyAlignment="1">
      <alignment horizontal="left" vertical="center"/>
    </xf>
    <xf numFmtId="166" fontId="10" fillId="0" borderId="33" xfId="1" applyNumberFormat="1" applyFont="1" applyFill="1" applyBorder="1" applyAlignment="1">
      <alignment horizontal="left" vertical="center"/>
    </xf>
    <xf numFmtId="0" fontId="130" fillId="0" borderId="0" xfId="351" quotePrefix="1" applyFont="1" applyAlignment="1">
      <alignment horizontal="center" vertical="center"/>
    </xf>
    <xf numFmtId="0" fontId="0" fillId="22" borderId="94" xfId="0" applyFill="1" applyBorder="1" applyAlignment="1">
      <alignment horizontal="center"/>
    </xf>
    <xf numFmtId="166" fontId="10" fillId="0" borderId="33" xfId="1" applyNumberFormat="1" applyFont="1" applyFill="1" applyBorder="1" applyAlignment="1">
      <alignment horizontal="center" vertical="center"/>
    </xf>
    <xf numFmtId="166" fontId="10" fillId="0" borderId="33" xfId="1" applyNumberFormat="1" applyFont="1" applyFill="1" applyBorder="1" applyAlignment="1">
      <alignment horizontal="right" vertical="center"/>
    </xf>
    <xf numFmtId="4" fontId="0" fillId="0" borderId="0" xfId="0" applyNumberFormat="1"/>
    <xf numFmtId="49" fontId="0" fillId="22" borderId="94" xfId="0" applyNumberFormat="1" applyFill="1" applyBorder="1"/>
    <xf numFmtId="49" fontId="0" fillId="0" borderId="94" xfId="0" applyNumberFormat="1" applyBorder="1"/>
    <xf numFmtId="166" fontId="0" fillId="0" borderId="0" xfId="0" applyNumberFormat="1" applyAlignment="1">
      <alignment horizontal="right"/>
    </xf>
    <xf numFmtId="0" fontId="37" fillId="0" borderId="94" xfId="0" applyFont="1" applyBorder="1"/>
    <xf numFmtId="0" fontId="153" fillId="0" borderId="0" xfId="0" quotePrefix="1" applyFont="1"/>
    <xf numFmtId="0" fontId="36" fillId="0" borderId="94" xfId="0" applyFont="1" applyBorder="1" applyAlignment="1">
      <alignment horizontal="center" vertical="center"/>
    </xf>
    <xf numFmtId="0" fontId="35" fillId="0" borderId="94" xfId="0" applyFont="1" applyBorder="1" applyAlignment="1">
      <alignment horizontal="center" vertical="center"/>
    </xf>
    <xf numFmtId="1" fontId="13" fillId="0" borderId="94" xfId="0" quotePrefix="1" applyNumberFormat="1" applyFont="1" applyBorder="1" applyAlignment="1">
      <alignment horizontal="left" vertical="center"/>
    </xf>
    <xf numFmtId="43" fontId="10" fillId="0" borderId="94" xfId="0" applyNumberFormat="1" applyFont="1" applyBorder="1"/>
    <xf numFmtId="49" fontId="10" fillId="0" borderId="94" xfId="0" quotePrefix="1" applyNumberFormat="1" applyFont="1" applyBorder="1" applyAlignment="1">
      <alignment horizontal="left"/>
    </xf>
    <xf numFmtId="49" fontId="10" fillId="0" borderId="94" xfId="0" applyNumberFormat="1" applyFont="1" applyBorder="1" applyAlignment="1">
      <alignment horizontal="left"/>
    </xf>
    <xf numFmtId="49" fontId="10" fillId="0" borderId="94" xfId="1" applyNumberFormat="1" applyFont="1" applyFill="1" applyBorder="1" applyAlignment="1">
      <alignment horizontal="left"/>
    </xf>
    <xf numFmtId="0" fontId="10" fillId="0" borderId="94" xfId="0" applyFont="1" applyBorder="1" applyAlignment="1">
      <alignment horizontal="left"/>
    </xf>
    <xf numFmtId="0" fontId="10" fillId="0" borderId="94" xfId="0" quotePrefix="1" applyFont="1" applyBorder="1" applyAlignment="1">
      <alignment horizontal="left"/>
    </xf>
    <xf numFmtId="3" fontId="31" fillId="0" borderId="0" xfId="0" quotePrefix="1" applyNumberFormat="1" applyFont="1" applyAlignment="1">
      <alignment vertical="center"/>
    </xf>
    <xf numFmtId="0" fontId="142" fillId="0" borderId="0" xfId="0" applyFont="1"/>
    <xf numFmtId="166" fontId="142" fillId="0" borderId="0" xfId="1" applyNumberFormat="1" applyFont="1" applyBorder="1"/>
    <xf numFmtId="166" fontId="142" fillId="0" borderId="0" xfId="1" applyNumberFormat="1" applyFont="1"/>
    <xf numFmtId="166" fontId="142" fillId="0" borderId="0" xfId="0" applyNumberFormat="1" applyFont="1"/>
    <xf numFmtId="0" fontId="15" fillId="12" borderId="11" xfId="0" applyFont="1" applyFill="1" applyBorder="1" applyAlignment="1">
      <alignment horizontal="center" vertical="center" wrapText="1"/>
    </xf>
    <xf numFmtId="10" fontId="142" fillId="0" borderId="0" xfId="0" applyNumberFormat="1" applyFont="1"/>
    <xf numFmtId="43" fontId="142" fillId="0" borderId="0" xfId="1" applyFont="1"/>
    <xf numFmtId="177" fontId="142" fillId="0" borderId="0" xfId="1" applyNumberFormat="1" applyFont="1"/>
    <xf numFmtId="43" fontId="142" fillId="0" borderId="0" xfId="1" applyFont="1" applyBorder="1"/>
    <xf numFmtId="0" fontId="43" fillId="0" borderId="94" xfId="0" applyFont="1" applyBorder="1" applyAlignment="1">
      <alignment horizontal="left"/>
    </xf>
    <xf numFmtId="166" fontId="45" fillId="0" borderId="94" xfId="1" applyNumberFormat="1" applyFont="1" applyFill="1" applyBorder="1" applyAlignment="1"/>
    <xf numFmtId="10" fontId="52" fillId="0" borderId="94" xfId="2" applyNumberFormat="1" applyFont="1" applyFill="1" applyBorder="1" applyAlignment="1">
      <alignment horizontal="left" vertical="center"/>
    </xf>
    <xf numFmtId="166" fontId="46" fillId="0" borderId="94" xfId="1" applyNumberFormat="1" applyFont="1" applyFill="1" applyBorder="1" applyAlignment="1"/>
    <xf numFmtId="166" fontId="46" fillId="0" borderId="94" xfId="0" applyNumberFormat="1" applyFont="1" applyBorder="1"/>
    <xf numFmtId="10" fontId="55" fillId="0" borderId="94" xfId="2" applyNumberFormat="1" applyFont="1" applyFill="1" applyBorder="1" applyAlignment="1">
      <alignment horizontal="left" vertical="center"/>
    </xf>
    <xf numFmtId="166" fontId="45" fillId="17" borderId="27" xfId="1" applyNumberFormat="1" applyFont="1" applyFill="1" applyBorder="1"/>
    <xf numFmtId="49" fontId="10" fillId="0" borderId="94" xfId="1" quotePrefix="1" applyNumberFormat="1" applyFont="1" applyFill="1" applyBorder="1" applyAlignment="1">
      <alignment horizontal="left"/>
    </xf>
    <xf numFmtId="0" fontId="142" fillId="0" borderId="94" xfId="0" applyFont="1" applyBorder="1" applyAlignment="1">
      <alignment horizontal="center"/>
    </xf>
    <xf numFmtId="15" fontId="142" fillId="0" borderId="94" xfId="0" applyNumberFormat="1" applyFont="1" applyBorder="1"/>
    <xf numFmtId="10" fontId="142" fillId="0" borderId="0" xfId="0" applyNumberFormat="1" applyFont="1" applyAlignment="1">
      <alignment horizontal="left"/>
    </xf>
    <xf numFmtId="0" fontId="39" fillId="0" borderId="94" xfId="0" applyFont="1" applyBorder="1" applyAlignment="1">
      <alignment horizontal="left"/>
    </xf>
    <xf numFmtId="0" fontId="39" fillId="0" borderId="94" xfId="0" applyFont="1" applyBorder="1" applyAlignment="1">
      <alignment horizontal="center"/>
    </xf>
    <xf numFmtId="166" fontId="10" fillId="0" borderId="94" xfId="1" applyNumberFormat="1" applyFont="1" applyFill="1" applyBorder="1" applyAlignment="1">
      <alignment horizontal="right" vertical="center"/>
    </xf>
    <xf numFmtId="169" fontId="10" fillId="0" borderId="27" xfId="1" applyNumberFormat="1" applyFont="1" applyFill="1" applyBorder="1" applyAlignment="1">
      <alignment horizontal="right" vertical="center"/>
    </xf>
    <xf numFmtId="169" fontId="10" fillId="0" borderId="33" xfId="1" applyNumberFormat="1" applyFont="1" applyFill="1" applyBorder="1" applyAlignment="1">
      <alignment horizontal="right" vertical="center"/>
    </xf>
    <xf numFmtId="166" fontId="10" fillId="0" borderId="72" xfId="1" applyNumberFormat="1" applyFont="1" applyFill="1" applyBorder="1"/>
    <xf numFmtId="166" fontId="10" fillId="0" borderId="74" xfId="1" applyNumberFormat="1" applyFont="1" applyFill="1" applyBorder="1"/>
    <xf numFmtId="43" fontId="10" fillId="0" borderId="73" xfId="1" applyFont="1" applyFill="1" applyBorder="1"/>
    <xf numFmtId="166" fontId="142" fillId="0" borderId="94" xfId="1" applyNumberFormat="1" applyFont="1" applyBorder="1"/>
    <xf numFmtId="1" fontId="142" fillId="0" borderId="94" xfId="0" applyNumberFormat="1" applyFont="1" applyBorder="1" applyAlignment="1">
      <alignment horizontal="left" vertical="center"/>
    </xf>
    <xf numFmtId="0" fontId="142" fillId="0" borderId="94" xfId="0" quotePrefix="1" applyFont="1" applyBorder="1" applyAlignment="1">
      <alignment horizontal="left" vertical="center"/>
    </xf>
    <xf numFmtId="1" fontId="142" fillId="0" borderId="94" xfId="0" quotePrefix="1" applyNumberFormat="1" applyFont="1" applyBorder="1" applyAlignment="1">
      <alignment horizontal="left" vertical="center"/>
    </xf>
    <xf numFmtId="49" fontId="142" fillId="0" borderId="94" xfId="0" applyNumberFormat="1" applyFont="1" applyBorder="1" applyAlignment="1">
      <alignment horizontal="left" vertical="center"/>
    </xf>
    <xf numFmtId="0" fontId="152" fillId="0" borderId="97" xfId="0" applyFont="1" applyBorder="1" applyAlignment="1">
      <alignment horizontal="left" vertical="center" wrapText="1"/>
    </xf>
    <xf numFmtId="0" fontId="29" fillId="9" borderId="94" xfId="0" applyFont="1" applyFill="1" applyBorder="1" applyAlignment="1">
      <alignment horizontal="center" vertical="center"/>
    </xf>
    <xf numFmtId="0" fontId="29" fillId="9" borderId="94" xfId="0" applyFont="1" applyFill="1" applyBorder="1" applyAlignment="1">
      <alignment horizontal="right" vertical="center"/>
    </xf>
    <xf numFmtId="0" fontId="0" fillId="22" borderId="94" xfId="0" applyFill="1" applyBorder="1" applyAlignment="1">
      <alignment horizontal="left"/>
    </xf>
    <xf numFmtId="10" fontId="142" fillId="76" borderId="94" xfId="0" applyNumberFormat="1" applyFont="1" applyFill="1" applyBorder="1"/>
    <xf numFmtId="166" fontId="31" fillId="0" borderId="0" xfId="1" applyNumberFormat="1" applyFont="1" applyAlignment="1">
      <alignment vertical="center"/>
    </xf>
    <xf numFmtId="166" fontId="10" fillId="0" borderId="0" xfId="1" applyNumberFormat="1" applyFont="1" applyFill="1" applyAlignment="1">
      <alignment horizontal="center"/>
    </xf>
    <xf numFmtId="166" fontId="31" fillId="0" borderId="0" xfId="1" applyNumberFormat="1" applyFont="1" applyFill="1" applyAlignment="1">
      <alignment vertical="center"/>
    </xf>
    <xf numFmtId="0" fontId="37" fillId="0" borderId="27" xfId="0" applyFont="1" applyBorder="1" applyAlignment="1">
      <alignment horizontal="left" vertical="center"/>
    </xf>
    <xf numFmtId="0" fontId="37" fillId="0" borderId="33" xfId="0" applyFont="1" applyBorder="1" applyAlignment="1">
      <alignment horizontal="left" vertical="center"/>
    </xf>
    <xf numFmtId="49" fontId="10" fillId="0" borderId="33" xfId="0" applyNumberFormat="1" applyFont="1" applyBorder="1"/>
    <xf numFmtId="0" fontId="10" fillId="0" borderId="33" xfId="0" applyFont="1" applyBorder="1"/>
    <xf numFmtId="166" fontId="10" fillId="0" borderId="33" xfId="0" applyNumberFormat="1" applyFont="1" applyBorder="1" applyAlignment="1">
      <alignment horizontal="center"/>
    </xf>
    <xf numFmtId="169" fontId="10" fillId="0" borderId="0" xfId="0" applyNumberFormat="1" applyFont="1"/>
    <xf numFmtId="166" fontId="134" fillId="0" borderId="0" xfId="1" applyNumberFormat="1" applyFont="1" applyFill="1"/>
    <xf numFmtId="43" fontId="134" fillId="0" borderId="0" xfId="0" applyNumberFormat="1" applyFont="1"/>
    <xf numFmtId="180" fontId="16" fillId="0" borderId="0" xfId="0" applyNumberFormat="1" applyFont="1" applyAlignment="1">
      <alignment horizontal="center"/>
    </xf>
    <xf numFmtId="180" fontId="16" fillId="0" borderId="0" xfId="0" applyNumberFormat="1" applyFont="1"/>
    <xf numFmtId="166" fontId="10" fillId="0" borderId="0" xfId="1" applyNumberFormat="1" applyFont="1" applyFill="1" applyAlignment="1">
      <alignment horizontal="right"/>
    </xf>
    <xf numFmtId="179" fontId="10" fillId="0" borderId="0" xfId="6" applyNumberFormat="1" applyFont="1" applyFill="1"/>
    <xf numFmtId="199" fontId="10" fillId="0" borderId="0" xfId="0" applyNumberFormat="1" applyFont="1"/>
    <xf numFmtId="14" fontId="36" fillId="0" borderId="0" xfId="0" applyNumberFormat="1" applyFont="1" applyAlignment="1">
      <alignment horizontal="center" vertical="center"/>
    </xf>
    <xf numFmtId="0" fontId="35" fillId="0" borderId="0" xfId="0" applyFont="1" applyAlignment="1">
      <alignment horizontal="center" vertical="center"/>
    </xf>
    <xf numFmtId="1" fontId="13" fillId="0" borderId="0" xfId="0" quotePrefix="1" applyNumberFormat="1" applyFont="1" applyAlignment="1">
      <alignment horizontal="left" vertical="center"/>
    </xf>
    <xf numFmtId="166" fontId="134" fillId="0" borderId="0" xfId="0" applyNumberFormat="1" applyFont="1"/>
    <xf numFmtId="166" fontId="10" fillId="0" borderId="0" xfId="1" applyNumberFormat="1" applyFont="1" applyFill="1" applyBorder="1" applyAlignment="1">
      <alignment horizontal="right"/>
    </xf>
    <xf numFmtId="166" fontId="39" fillId="0" borderId="0" xfId="1" applyNumberFormat="1" applyFont="1" applyFill="1" applyBorder="1" applyAlignment="1">
      <alignment horizontal="right"/>
    </xf>
    <xf numFmtId="166" fontId="134" fillId="0" borderId="0" xfId="1" applyNumberFormat="1" applyFont="1" applyFill="1" applyBorder="1" applyAlignment="1">
      <alignment horizontal="center"/>
    </xf>
    <xf numFmtId="166" fontId="134" fillId="0" borderId="0" xfId="1" applyNumberFormat="1" applyFont="1" applyFill="1" applyBorder="1" applyAlignment="1">
      <alignment horizontal="right"/>
    </xf>
    <xf numFmtId="43" fontId="10" fillId="0" borderId="0" xfId="1" applyFont="1" applyFill="1" applyBorder="1" applyAlignment="1">
      <alignment horizontal="right"/>
    </xf>
    <xf numFmtId="179" fontId="10" fillId="0" borderId="0" xfId="6" applyNumberFormat="1" applyFont="1" applyFill="1" applyBorder="1" applyAlignment="1">
      <alignment horizontal="right"/>
    </xf>
    <xf numFmtId="0" fontId="30" fillId="0" borderId="80" xfId="0" applyFont="1" applyBorder="1" applyAlignment="1">
      <alignment horizontal="center" vertical="center"/>
    </xf>
    <xf numFmtId="166" fontId="15" fillId="0" borderId="80" xfId="1" applyNumberFormat="1" applyFont="1" applyFill="1" applyBorder="1" applyAlignment="1">
      <alignment horizontal="center" vertical="center"/>
    </xf>
    <xf numFmtId="0" fontId="15" fillId="0" borderId="80" xfId="0" applyFont="1" applyBorder="1" applyAlignment="1">
      <alignment horizontal="center" vertical="center"/>
    </xf>
    <xf numFmtId="0" fontId="30" fillId="0" borderId="80" xfId="0" applyFont="1" applyBorder="1" applyAlignment="1">
      <alignment horizontal="center" vertical="center" wrapText="1"/>
    </xf>
    <xf numFmtId="166" fontId="30" fillId="0" borderId="80" xfId="1" applyNumberFormat="1" applyFont="1" applyFill="1" applyBorder="1" applyAlignment="1">
      <alignment horizontal="center" vertical="center" wrapText="1"/>
    </xf>
    <xf numFmtId="166" fontId="15" fillId="0" borderId="80" xfId="1" applyNumberFormat="1" applyFont="1" applyFill="1" applyBorder="1" applyAlignment="1">
      <alignment horizontal="center" vertical="center" wrapText="1"/>
    </xf>
    <xf numFmtId="166" fontId="30" fillId="0" borderId="80" xfId="1" applyNumberFormat="1" applyFont="1" applyFill="1" applyBorder="1" applyAlignment="1">
      <alignment horizontal="center" vertical="center"/>
    </xf>
    <xf numFmtId="49" fontId="10" fillId="0" borderId="33" xfId="0" quotePrefix="1" applyNumberFormat="1" applyFont="1" applyBorder="1"/>
    <xf numFmtId="169" fontId="10" fillId="0" borderId="33" xfId="0" applyNumberFormat="1" applyFont="1" applyBorder="1"/>
    <xf numFmtId="0" fontId="10" fillId="0" borderId="33" xfId="0" quotePrefix="1" applyFont="1" applyBorder="1"/>
    <xf numFmtId="0" fontId="10" fillId="0" borderId="73" xfId="0" applyFont="1" applyBorder="1"/>
    <xf numFmtId="166" fontId="10" fillId="0" borderId="73" xfId="0" applyNumberFormat="1" applyFont="1" applyBorder="1" applyAlignment="1">
      <alignment horizontal="center"/>
    </xf>
    <xf numFmtId="49" fontId="10" fillId="0" borderId="73" xfId="0" quotePrefix="1" applyNumberFormat="1" applyFont="1" applyBorder="1"/>
    <xf numFmtId="0" fontId="10" fillId="0" borderId="73" xfId="0" quotePrefix="1" applyFont="1" applyBorder="1"/>
    <xf numFmtId="0" fontId="10" fillId="0" borderId="94" xfId="0" quotePrefix="1" applyFont="1" applyBorder="1"/>
    <xf numFmtId="166" fontId="10" fillId="0" borderId="27" xfId="0" applyNumberFormat="1" applyFont="1" applyBorder="1" applyAlignment="1">
      <alignment horizontal="center"/>
    </xf>
    <xf numFmtId="49" fontId="0" fillId="0" borderId="0" xfId="0" quotePrefix="1" applyNumberFormat="1"/>
    <xf numFmtId="1" fontId="10" fillId="0" borderId="33" xfId="0" applyNumberFormat="1" applyFont="1" applyBorder="1" applyAlignment="1">
      <alignment horizontal="left" vertical="center"/>
    </xf>
    <xf numFmtId="1" fontId="142" fillId="0" borderId="0" xfId="0" applyNumberFormat="1" applyFont="1" applyAlignment="1">
      <alignment horizontal="left" vertical="center"/>
    </xf>
    <xf numFmtId="1" fontId="10" fillId="0" borderId="94" xfId="0" applyNumberFormat="1" applyFont="1" applyBorder="1" applyAlignment="1">
      <alignment horizontal="left" vertical="center"/>
    </xf>
    <xf numFmtId="0" fontId="37" fillId="0" borderId="74" xfId="0" applyFont="1" applyBorder="1" applyAlignment="1">
      <alignment horizontal="left" vertical="center"/>
    </xf>
    <xf numFmtId="49" fontId="10" fillId="0" borderId="94" xfId="0" applyNumberFormat="1" applyFont="1" applyBorder="1" applyAlignment="1">
      <alignment horizontal="left" vertical="center"/>
    </xf>
    <xf numFmtId="49" fontId="10" fillId="0" borderId="94" xfId="0" quotePrefix="1" applyNumberFormat="1" applyFont="1" applyBorder="1" applyAlignment="1">
      <alignment horizontal="left" vertical="center"/>
    </xf>
    <xf numFmtId="49" fontId="10" fillId="0" borderId="33" xfId="0" applyNumberFormat="1" applyFont="1" applyBorder="1" applyAlignment="1">
      <alignment horizontal="left" vertical="center"/>
    </xf>
    <xf numFmtId="0" fontId="10" fillId="0" borderId="73" xfId="0" applyFont="1" applyBorder="1" applyAlignment="1">
      <alignment horizontal="left" vertical="center"/>
    </xf>
    <xf numFmtId="0" fontId="10" fillId="0" borderId="73" xfId="0" applyFont="1" applyBorder="1" applyAlignment="1">
      <alignment horizontal="center"/>
    </xf>
    <xf numFmtId="0" fontId="10" fillId="0" borderId="33" xfId="0" applyFont="1" applyBorder="1" applyAlignment="1">
      <alignment horizontal="left" vertical="center"/>
    </xf>
    <xf numFmtId="1" fontId="10" fillId="0" borderId="73" xfId="0" applyNumberFormat="1" applyFont="1" applyBorder="1" applyAlignment="1">
      <alignment horizontal="left" vertical="center"/>
    </xf>
    <xf numFmtId="1" fontId="10" fillId="0" borderId="33" xfId="0" quotePrefix="1" applyNumberFormat="1" applyFont="1" applyBorder="1" applyAlignment="1">
      <alignment horizontal="left" vertical="center"/>
    </xf>
    <xf numFmtId="1" fontId="10" fillId="0" borderId="73" xfId="0" quotePrefix="1" applyNumberFormat="1" applyFont="1" applyBorder="1" applyAlignment="1">
      <alignment horizontal="left" vertical="center"/>
    </xf>
    <xf numFmtId="0" fontId="134" fillId="0" borderId="0" xfId="0" applyFont="1"/>
    <xf numFmtId="166" fontId="39" fillId="0" borderId="0" xfId="1" applyNumberFormat="1" applyFont="1" applyFill="1" applyAlignment="1">
      <alignment horizontal="right"/>
    </xf>
    <xf numFmtId="166" fontId="134" fillId="0" borderId="0" xfId="1" applyNumberFormat="1" applyFont="1" applyFill="1" applyAlignment="1">
      <alignment horizontal="center"/>
    </xf>
    <xf numFmtId="166" fontId="134" fillId="0" borderId="0" xfId="1" applyNumberFormat="1" applyFont="1" applyFill="1" applyAlignment="1">
      <alignment horizontal="right"/>
    </xf>
    <xf numFmtId="43" fontId="10" fillId="0" borderId="0" xfId="1" applyFont="1" applyFill="1"/>
    <xf numFmtId="0" fontId="73" fillId="0" borderId="73" xfId="0" applyFont="1" applyBorder="1"/>
    <xf numFmtId="49" fontId="0" fillId="22" borderId="72" xfId="0" quotePrefix="1" applyNumberFormat="1" applyFill="1" applyBorder="1"/>
    <xf numFmtId="49" fontId="0" fillId="22" borderId="34" xfId="0" quotePrefix="1" applyNumberFormat="1" applyFill="1" applyBorder="1"/>
    <xf numFmtId="43" fontId="142" fillId="0" borderId="94" xfId="1" applyFont="1" applyFill="1" applyBorder="1"/>
    <xf numFmtId="166" fontId="142" fillId="0" borderId="0" xfId="1" applyNumberFormat="1" applyFont="1" applyFill="1" applyBorder="1"/>
    <xf numFmtId="43" fontId="142" fillId="0" borderId="0" xfId="1" applyFont="1" applyFill="1" applyBorder="1"/>
    <xf numFmtId="0" fontId="154" fillId="0" borderId="0" xfId="0" applyFont="1"/>
    <xf numFmtId="180" fontId="154" fillId="0" borderId="0" xfId="0" applyNumberFormat="1" applyFont="1"/>
    <xf numFmtId="43" fontId="0" fillId="0" borderId="0" xfId="0" applyNumberFormat="1" applyAlignment="1">
      <alignment vertical="center"/>
    </xf>
    <xf numFmtId="166" fontId="142" fillId="0" borderId="0" xfId="1" applyNumberFormat="1" applyFont="1" applyFill="1"/>
    <xf numFmtId="43" fontId="142" fillId="0" borderId="0" xfId="1" applyFont="1" applyFill="1"/>
    <xf numFmtId="169" fontId="10" fillId="0" borderId="27" xfId="0" applyNumberFormat="1" applyFont="1" applyBorder="1"/>
    <xf numFmtId="166" fontId="10" fillId="0" borderId="27" xfId="1" applyNumberFormat="1" applyFont="1" applyFill="1" applyBorder="1" applyAlignment="1">
      <alignment horizontal="right" vertical="center"/>
    </xf>
    <xf numFmtId="166" fontId="10" fillId="0" borderId="33" xfId="1" applyNumberFormat="1" applyFont="1" applyBorder="1" applyAlignment="1">
      <alignment horizontal="center"/>
    </xf>
    <xf numFmtId="166" fontId="10" fillId="0" borderId="33" xfId="1" applyNumberFormat="1" applyFont="1" applyBorder="1" applyAlignment="1">
      <alignment horizontal="right" vertical="center"/>
    </xf>
    <xf numFmtId="166" fontId="10" fillId="0" borderId="27" xfId="1" applyNumberFormat="1" applyFont="1" applyBorder="1"/>
    <xf numFmtId="43" fontId="10" fillId="0" borderId="73" xfId="1" applyFont="1" applyBorder="1"/>
    <xf numFmtId="169" fontId="10" fillId="0" borderId="27" xfId="1" applyNumberFormat="1" applyFont="1" applyBorder="1" applyAlignment="1">
      <alignment horizontal="right" vertical="center"/>
    </xf>
    <xf numFmtId="169" fontId="10" fillId="0" borderId="33" xfId="1" applyNumberFormat="1" applyFont="1" applyBorder="1" applyAlignment="1">
      <alignment horizontal="right" vertical="center"/>
    </xf>
    <xf numFmtId="166" fontId="10" fillId="0" borderId="33" xfId="1" applyNumberFormat="1" applyFont="1" applyBorder="1" applyAlignment="1">
      <alignment horizontal="center" vertical="center"/>
    </xf>
    <xf numFmtId="166" fontId="10" fillId="0" borderId="27" xfId="1" applyNumberFormat="1" applyFont="1" applyBorder="1" applyAlignment="1">
      <alignment horizontal="left" vertical="center"/>
    </xf>
    <xf numFmtId="166" fontId="10" fillId="0" borderId="33" xfId="1" applyNumberFormat="1" applyFont="1" applyBorder="1" applyAlignment="1">
      <alignment horizontal="left" vertical="center"/>
    </xf>
    <xf numFmtId="166" fontId="10" fillId="0" borderId="94" xfId="1" applyNumberFormat="1" applyFont="1" applyBorder="1" applyAlignment="1">
      <alignment horizontal="right" vertical="center"/>
    </xf>
    <xf numFmtId="166" fontId="10" fillId="0" borderId="72" xfId="1" applyNumberFormat="1" applyFont="1" applyBorder="1"/>
    <xf numFmtId="166" fontId="10" fillId="0" borderId="74" xfId="1" applyNumberFormat="1" applyFont="1" applyBorder="1"/>
    <xf numFmtId="43" fontId="10" fillId="0" borderId="33" xfId="1" applyFont="1" applyBorder="1"/>
    <xf numFmtId="43" fontId="10" fillId="0" borderId="0" xfId="1" applyFont="1"/>
    <xf numFmtId="166" fontId="155" fillId="0" borderId="0" xfId="1" applyNumberFormat="1" applyFont="1" applyFill="1" applyAlignment="1">
      <alignment horizontal="center"/>
    </xf>
    <xf numFmtId="0" fontId="155" fillId="0" borderId="0" xfId="0" applyFont="1" applyAlignment="1">
      <alignment horizontal="center"/>
    </xf>
    <xf numFmtId="0" fontId="156" fillId="0" borderId="0" xfId="0" applyFont="1" applyAlignment="1">
      <alignment horizontal="center"/>
    </xf>
    <xf numFmtId="0" fontId="156" fillId="0" borderId="0" xfId="0" applyFont="1"/>
    <xf numFmtId="195" fontId="157" fillId="0" borderId="0" xfId="0" applyNumberFormat="1" applyFont="1" applyAlignment="1">
      <alignment horizontal="center" vertical="center"/>
    </xf>
    <xf numFmtId="0" fontId="158" fillId="0" borderId="0" xfId="351" quotePrefix="1" applyFont="1" applyAlignment="1">
      <alignment horizontal="center" vertical="center"/>
    </xf>
    <xf numFmtId="10" fontId="142" fillId="2" borderId="94" xfId="0" applyNumberFormat="1" applyFont="1" applyFill="1" applyBorder="1"/>
    <xf numFmtId="43" fontId="20" fillId="0" borderId="98" xfId="1" applyFont="1" applyFill="1" applyBorder="1" applyAlignment="1">
      <alignment horizontal="center" vertical="center"/>
    </xf>
    <xf numFmtId="0" fontId="8" fillId="22" borderId="98" xfId="0" applyFont="1" applyFill="1" applyBorder="1" applyAlignment="1">
      <alignment vertical="center"/>
    </xf>
    <xf numFmtId="0" fontId="9" fillId="0" borderId="98" xfId="0" applyFont="1" applyBorder="1" applyAlignment="1">
      <alignment vertical="center"/>
    </xf>
    <xf numFmtId="3" fontId="8" fillId="22" borderId="98" xfId="5" applyNumberFormat="1" applyFont="1" applyFill="1" applyBorder="1" applyAlignment="1">
      <alignment vertical="center"/>
    </xf>
    <xf numFmtId="0" fontId="9" fillId="22" borderId="98" xfId="0" applyFont="1" applyFill="1" applyBorder="1" applyAlignment="1">
      <alignment horizontal="center" vertical="center"/>
    </xf>
    <xf numFmtId="166" fontId="9" fillId="22" borderId="98" xfId="1" applyNumberFormat="1" applyFont="1" applyFill="1" applyBorder="1" applyAlignment="1">
      <alignment horizontal="center" vertical="center"/>
    </xf>
    <xf numFmtId="49" fontId="8" fillId="22" borderId="98" xfId="5" applyNumberFormat="1" applyFont="1" applyFill="1" applyBorder="1" applyAlignment="1">
      <alignment vertical="center" wrapText="1"/>
    </xf>
    <xf numFmtId="175" fontId="8" fillId="22" borderId="98" xfId="0" applyNumberFormat="1" applyFont="1" applyFill="1" applyBorder="1" applyAlignment="1">
      <alignment horizontal="center" vertical="center"/>
    </xf>
    <xf numFmtId="0" fontId="9" fillId="0" borderId="98" xfId="0" applyFont="1" applyBorder="1" applyAlignment="1">
      <alignment horizontal="left" vertical="center"/>
    </xf>
    <xf numFmtId="0" fontId="9" fillId="22" borderId="98" xfId="0" applyFont="1" applyFill="1" applyBorder="1" applyAlignment="1">
      <alignment horizontal="left" vertical="center"/>
    </xf>
    <xf numFmtId="0" fontId="39" fillId="0" borderId="98" xfId="0" applyFont="1" applyBorder="1" applyAlignment="1">
      <alignment horizontal="left"/>
    </xf>
    <xf numFmtId="0" fontId="39" fillId="0" borderId="98" xfId="0" applyFont="1" applyBorder="1"/>
    <xf numFmtId="0" fontId="39" fillId="0" borderId="98" xfId="0" applyFont="1" applyBorder="1" applyAlignment="1">
      <alignment horizontal="center"/>
    </xf>
    <xf numFmtId="166" fontId="10" fillId="0" borderId="98" xfId="1" applyNumberFormat="1" applyFont="1" applyFill="1" applyBorder="1" applyAlignment="1">
      <alignment horizontal="center"/>
    </xf>
    <xf numFmtId="10" fontId="142" fillId="0" borderId="98" xfId="0" applyNumberFormat="1" applyFont="1" applyBorder="1"/>
    <xf numFmtId="0" fontId="142" fillId="0" borderId="98" xfId="0" applyFont="1" applyBorder="1" applyAlignment="1">
      <alignment horizontal="left" vertical="center"/>
    </xf>
    <xf numFmtId="1" fontId="142" fillId="0" borderId="98" xfId="0" applyNumberFormat="1" applyFont="1" applyBorder="1" applyAlignment="1">
      <alignment horizontal="left" vertical="center"/>
    </xf>
    <xf numFmtId="0" fontId="142" fillId="0" borderId="98" xfId="0" applyFont="1" applyBorder="1"/>
    <xf numFmtId="166" fontId="142" fillId="0" borderId="98" xfId="1" applyNumberFormat="1" applyFont="1" applyFill="1" applyBorder="1"/>
    <xf numFmtId="0" fontId="143" fillId="0" borderId="98" xfId="0" applyFont="1" applyBorder="1"/>
    <xf numFmtId="0" fontId="142" fillId="0" borderId="98" xfId="0" applyFont="1" applyBorder="1" applyAlignment="1">
      <alignment horizontal="center" vertical="center"/>
    </xf>
    <xf numFmtId="43" fontId="142" fillId="0" borderId="98" xfId="1" applyFont="1" applyBorder="1"/>
    <xf numFmtId="0" fontId="142" fillId="0" borderId="98" xfId="0" applyFont="1" applyBorder="1" applyAlignment="1">
      <alignment horizontal="center"/>
    </xf>
    <xf numFmtId="15" fontId="142" fillId="0" borderId="98" xfId="0" applyNumberFormat="1" applyFont="1" applyBorder="1"/>
    <xf numFmtId="1" fontId="142" fillId="0" borderId="98" xfId="0" quotePrefix="1" applyNumberFormat="1" applyFont="1" applyBorder="1" applyAlignment="1">
      <alignment horizontal="left" vertical="center"/>
    </xf>
    <xf numFmtId="43" fontId="142" fillId="0" borderId="98" xfId="1" applyFont="1" applyFill="1" applyBorder="1"/>
    <xf numFmtId="49" fontId="142" fillId="0" borderId="98" xfId="0" applyNumberFormat="1" applyFont="1" applyBorder="1" applyAlignment="1">
      <alignment horizontal="left" vertical="center"/>
    </xf>
    <xf numFmtId="166" fontId="142" fillId="0" borderId="98" xfId="1" applyNumberFormat="1" applyFont="1" applyBorder="1"/>
    <xf numFmtId="0" fontId="0" fillId="22" borderId="98" xfId="0" applyFill="1" applyBorder="1" applyAlignment="1">
      <alignment horizontal="right"/>
    </xf>
    <xf numFmtId="0" fontId="0" fillId="22" borderId="98" xfId="0" applyFill="1" applyBorder="1"/>
    <xf numFmtId="0" fontId="73" fillId="0" borderId="98" xfId="0" applyFont="1" applyBorder="1" applyAlignment="1">
      <alignment horizontal="left" vertical="center"/>
    </xf>
    <xf numFmtId="0" fontId="37" fillId="0" borderId="98" xfId="0" applyFont="1" applyBorder="1" applyAlignment="1">
      <alignment horizontal="left" vertical="center"/>
    </xf>
    <xf numFmtId="0" fontId="10" fillId="0" borderId="98" xfId="0" quotePrefix="1" applyFont="1" applyBorder="1" applyAlignment="1">
      <alignment horizontal="center"/>
    </xf>
    <xf numFmtId="0" fontId="0" fillId="0" borderId="98" xfId="0" applyBorder="1"/>
    <xf numFmtId="0" fontId="74" fillId="30" borderId="98" xfId="0" applyFont="1" applyFill="1" applyBorder="1" applyAlignment="1">
      <alignment horizontal="center" vertical="center"/>
    </xf>
    <xf numFmtId="0" fontId="8" fillId="0" borderId="98" xfId="0" applyFont="1" applyBorder="1" applyAlignment="1">
      <alignment horizontal="center" vertical="center"/>
    </xf>
    <xf numFmtId="0" fontId="8" fillId="28" borderId="98" xfId="0" applyFont="1" applyFill="1" applyBorder="1" applyAlignment="1">
      <alignment horizontal="center" vertical="center"/>
    </xf>
    <xf numFmtId="3" fontId="8" fillId="0" borderId="98" xfId="5" applyNumberFormat="1" applyFont="1" applyFill="1" applyBorder="1" applyAlignment="1">
      <alignment vertical="center"/>
    </xf>
    <xf numFmtId="166" fontId="130" fillId="0" borderId="0" xfId="1" applyNumberFormat="1" applyFont="1" applyFill="1" applyAlignment="1">
      <alignment vertical="center"/>
    </xf>
    <xf numFmtId="180" fontId="31" fillId="0" borderId="0" xfId="0" applyNumberFormat="1" applyFont="1" applyAlignment="1">
      <alignment horizontal="center"/>
    </xf>
    <xf numFmtId="166" fontId="10" fillId="0" borderId="33" xfId="1" applyNumberFormat="1" applyFont="1" applyBorder="1"/>
    <xf numFmtId="49" fontId="0" fillId="22" borderId="72" xfId="0" applyNumberFormat="1" applyFill="1" applyBorder="1"/>
    <xf numFmtId="0" fontId="160" fillId="0" borderId="99" xfId="0" applyFont="1" applyBorder="1" applyAlignment="1">
      <alignment horizontal="right"/>
    </xf>
    <xf numFmtId="10" fontId="142" fillId="2" borderId="98" xfId="0" applyNumberFormat="1" applyFont="1" applyFill="1" applyBorder="1"/>
    <xf numFmtId="10" fontId="142" fillId="14" borderId="94" xfId="0" applyNumberFormat="1" applyFont="1" applyFill="1" applyBorder="1"/>
    <xf numFmtId="10" fontId="142" fillId="14" borderId="98" xfId="0" applyNumberFormat="1" applyFont="1" applyFill="1" applyBorder="1"/>
    <xf numFmtId="0" fontId="137" fillId="4" borderId="72" xfId="0" applyFont="1" applyFill="1" applyBorder="1" applyAlignment="1">
      <alignment horizontal="left" vertical="center"/>
    </xf>
    <xf numFmtId="0" fontId="142" fillId="4" borderId="94" xfId="0" applyFont="1" applyFill="1" applyBorder="1" applyAlignment="1">
      <alignment horizontal="left" vertical="center"/>
    </xf>
    <xf numFmtId="1" fontId="142" fillId="4" borderId="94" xfId="0" applyNumberFormat="1" applyFont="1" applyFill="1" applyBorder="1" applyAlignment="1">
      <alignment horizontal="left" vertical="center"/>
    </xf>
    <xf numFmtId="0" fontId="142" fillId="4" borderId="94" xfId="0" applyFont="1" applyFill="1" applyBorder="1"/>
    <xf numFmtId="0" fontId="142" fillId="4" borderId="98" xfId="0" applyFont="1" applyFill="1" applyBorder="1" applyAlignment="1">
      <alignment horizontal="center"/>
    </xf>
    <xf numFmtId="166" fontId="142" fillId="4" borderId="94" xfId="1" applyNumberFormat="1" applyFont="1" applyFill="1" applyBorder="1"/>
    <xf numFmtId="15" fontId="142" fillId="4" borderId="98" xfId="0" applyNumberFormat="1" applyFont="1" applyFill="1" applyBorder="1"/>
    <xf numFmtId="10" fontId="142" fillId="4" borderId="94" xfId="0" applyNumberFormat="1" applyFont="1" applyFill="1" applyBorder="1"/>
    <xf numFmtId="0" fontId="143" fillId="4" borderId="94" xfId="0" applyFont="1" applyFill="1" applyBorder="1"/>
    <xf numFmtId="0" fontId="142" fillId="4" borderId="94" xfId="0" applyFont="1" applyFill="1" applyBorder="1" applyAlignment="1">
      <alignment horizontal="center" vertical="center"/>
    </xf>
    <xf numFmtId="43" fontId="142" fillId="4" borderId="94" xfId="1" applyFont="1" applyFill="1" applyBorder="1"/>
    <xf numFmtId="166" fontId="142" fillId="4" borderId="0" xfId="1" applyNumberFormat="1" applyFont="1" applyFill="1"/>
    <xf numFmtId="0" fontId="142" fillId="4" borderId="0" xfId="0" applyFont="1" applyFill="1"/>
    <xf numFmtId="166" fontId="142" fillId="4" borderId="0" xfId="0" applyNumberFormat="1" applyFont="1" applyFill="1"/>
    <xf numFmtId="43" fontId="142" fillId="4" borderId="0" xfId="1" applyFont="1" applyFill="1"/>
    <xf numFmtId="0" fontId="31" fillId="4" borderId="0" xfId="0" applyFont="1" applyFill="1"/>
    <xf numFmtId="49" fontId="0" fillId="22" borderId="73" xfId="0" quotePrefix="1" applyNumberFormat="1" applyFill="1" applyBorder="1"/>
    <xf numFmtId="43" fontId="31" fillId="0" borderId="0" xfId="1" applyFont="1" applyAlignment="1">
      <alignment horizontal="right" vertical="center"/>
    </xf>
    <xf numFmtId="43" fontId="0" fillId="0" borderId="0" xfId="1" applyFont="1" applyAlignment="1">
      <alignment horizontal="right" vertical="center"/>
    </xf>
    <xf numFmtId="43" fontId="29" fillId="27" borderId="0" xfId="1" applyFont="1" applyFill="1" applyAlignment="1">
      <alignment horizontal="center" vertical="center"/>
    </xf>
    <xf numFmtId="43" fontId="130" fillId="0" borderId="0" xfId="1" applyFont="1" applyFill="1" applyAlignment="1">
      <alignment horizontal="right" vertical="center"/>
    </xf>
    <xf numFmtId="43" fontId="31" fillId="0" borderId="0" xfId="1" applyFont="1" applyFill="1" applyAlignment="1">
      <alignment horizontal="right" vertical="center"/>
    </xf>
    <xf numFmtId="43" fontId="130" fillId="0" borderId="0" xfId="1" applyFont="1" applyFill="1" applyBorder="1" applyAlignment="1">
      <alignment horizontal="right" vertical="center"/>
    </xf>
    <xf numFmtId="43" fontId="31" fillId="0" borderId="0" xfId="1" applyFont="1" applyFill="1" applyBorder="1" applyAlignment="1">
      <alignment horizontal="right" vertical="center"/>
    </xf>
    <xf numFmtId="43" fontId="154" fillId="0" borderId="0" xfId="1" applyFont="1"/>
    <xf numFmtId="43" fontId="30" fillId="0" borderId="80" xfId="1" applyFont="1" applyBorder="1" applyAlignment="1">
      <alignment horizontal="center" vertical="center" wrapText="1"/>
    </xf>
    <xf numFmtId="43" fontId="30" fillId="0" borderId="80" xfId="1" applyFont="1" applyBorder="1" applyAlignment="1">
      <alignment horizontal="center" vertical="center"/>
    </xf>
    <xf numFmtId="43" fontId="10" fillId="0" borderId="33" xfId="1" applyFont="1" applyFill="1" applyBorder="1" applyAlignment="1">
      <alignment horizontal="center"/>
    </xf>
    <xf numFmtId="43" fontId="10" fillId="0" borderId="33" xfId="1" applyFont="1" applyBorder="1" applyAlignment="1">
      <alignment horizontal="center"/>
    </xf>
    <xf numFmtId="43" fontId="10" fillId="0" borderId="27" xfId="1" applyFont="1" applyFill="1" applyBorder="1" applyAlignment="1">
      <alignment horizontal="center"/>
    </xf>
    <xf numFmtId="43" fontId="10" fillId="0" borderId="74" xfId="1" applyFont="1" applyFill="1" applyBorder="1" applyAlignment="1">
      <alignment horizontal="center"/>
    </xf>
    <xf numFmtId="43" fontId="10" fillId="0" borderId="73" xfId="1" applyFont="1" applyFill="1" applyBorder="1" applyAlignment="1">
      <alignment horizontal="center"/>
    </xf>
    <xf numFmtId="43" fontId="10" fillId="0" borderId="94" xfId="1" applyFont="1" applyFill="1" applyBorder="1" applyAlignment="1">
      <alignment horizontal="center"/>
    </xf>
    <xf numFmtId="43" fontId="10" fillId="0" borderId="27" xfId="1" applyFont="1" applyBorder="1" applyAlignment="1">
      <alignment horizontal="center"/>
    </xf>
    <xf numFmtId="43" fontId="155" fillId="0" borderId="0" xfId="1" applyFont="1" applyAlignment="1">
      <alignment horizontal="center"/>
    </xf>
    <xf numFmtId="0" fontId="0" fillId="22" borderId="94" xfId="0" quotePrefix="1" applyFill="1" applyBorder="1"/>
    <xf numFmtId="0" fontId="0" fillId="22" borderId="72" xfId="0" quotePrefix="1" applyFill="1" applyBorder="1"/>
    <xf numFmtId="0" fontId="10" fillId="0" borderId="73" xfId="0" quotePrefix="1" applyFont="1" applyBorder="1" applyAlignment="1">
      <alignment horizontal="left" vertical="center"/>
    </xf>
    <xf numFmtId="43" fontId="10" fillId="0" borderId="74" xfId="1" applyFont="1" applyBorder="1" applyAlignment="1">
      <alignment horizontal="center"/>
    </xf>
    <xf numFmtId="43" fontId="10" fillId="0" borderId="73" xfId="1" applyFont="1" applyBorder="1" applyAlignment="1">
      <alignment horizontal="center"/>
    </xf>
    <xf numFmtId="49" fontId="10" fillId="0" borderId="73" xfId="0" quotePrefix="1" applyNumberFormat="1" applyFont="1" applyBorder="1" applyAlignment="1">
      <alignment horizontal="left" vertical="center"/>
    </xf>
    <xf numFmtId="49" fontId="142" fillId="0" borderId="94" xfId="0" quotePrefix="1" applyNumberFormat="1" applyFont="1" applyBorder="1" applyAlignment="1">
      <alignment horizontal="left" vertical="center"/>
    </xf>
    <xf numFmtId="0" fontId="130" fillId="0" borderId="0" xfId="0" applyFont="1" applyAlignment="1">
      <alignment horizontal="left" vertical="center"/>
    </xf>
    <xf numFmtId="0" fontId="130" fillId="0" borderId="0" xfId="0" applyFont="1" applyAlignment="1">
      <alignment vertical="center"/>
    </xf>
    <xf numFmtId="0" fontId="130" fillId="0" borderId="0" xfId="0" applyFont="1" applyAlignment="1">
      <alignment horizontal="center" vertical="center"/>
    </xf>
    <xf numFmtId="14" fontId="130" fillId="0" borderId="0" xfId="0" applyNumberFormat="1" applyFont="1" applyAlignment="1">
      <alignment horizontal="center" vertical="center"/>
    </xf>
    <xf numFmtId="0" fontId="0" fillId="0" borderId="0" xfId="0" applyAlignment="1">
      <alignment wrapText="1"/>
    </xf>
    <xf numFmtId="0" fontId="159" fillId="0" borderId="0" xfId="0" applyFont="1" applyAlignment="1">
      <alignment horizontal="left" vertical="top" wrapText="1"/>
    </xf>
    <xf numFmtId="0" fontId="130" fillId="0" borderId="0" xfId="0" applyFont="1" applyAlignment="1">
      <alignment vertical="center" wrapText="1"/>
    </xf>
    <xf numFmtId="0" fontId="31" fillId="0" borderId="0" xfId="0" applyFont="1" applyAlignment="1">
      <alignment vertical="center" wrapText="1"/>
    </xf>
    <xf numFmtId="43" fontId="130" fillId="0" borderId="0" xfId="1" applyFont="1" applyFill="1" applyBorder="1" applyAlignment="1">
      <alignment vertical="center"/>
    </xf>
    <xf numFmtId="0" fontId="130" fillId="0" borderId="0" xfId="0" applyFont="1"/>
    <xf numFmtId="0" fontId="130" fillId="0" borderId="0" xfId="0" applyFont="1" applyAlignment="1">
      <alignment horizontal="center"/>
    </xf>
    <xf numFmtId="43" fontId="130" fillId="0" borderId="0" xfId="1" applyFont="1" applyFill="1"/>
    <xf numFmtId="0" fontId="31" fillId="0" borderId="0" xfId="0" applyFont="1" applyAlignment="1">
      <alignment horizontal="left" vertical="center"/>
    </xf>
    <xf numFmtId="200" fontId="0" fillId="0" borderId="0" xfId="0" applyNumberFormat="1"/>
    <xf numFmtId="166" fontId="130" fillId="0" borderId="27" xfId="1" applyNumberFormat="1" applyFont="1" applyFill="1" applyBorder="1" applyAlignment="1">
      <alignment vertical="center"/>
    </xf>
    <xf numFmtId="195" fontId="31" fillId="0" borderId="0" xfId="0" quotePrefix="1" applyNumberFormat="1" applyFont="1" applyAlignment="1">
      <alignment horizontal="center" vertical="center"/>
    </xf>
    <xf numFmtId="0" fontId="31" fillId="0" borderId="0" xfId="0" quotePrefix="1" applyFont="1" applyAlignment="1">
      <alignment horizontal="center" vertical="center"/>
    </xf>
    <xf numFmtId="0" fontId="130" fillId="0" borderId="0" xfId="0" quotePrefix="1" applyFont="1" applyAlignment="1">
      <alignment horizontal="center" vertical="center"/>
    </xf>
    <xf numFmtId="195" fontId="130" fillId="0" borderId="0" xfId="0" applyNumberFormat="1" applyFont="1" applyAlignment="1">
      <alignment horizontal="center" vertical="center"/>
    </xf>
    <xf numFmtId="0" fontId="130" fillId="0" borderId="0" xfId="0" quotePrefix="1" applyFont="1" applyAlignment="1">
      <alignment horizontal="center" wrapText="1"/>
    </xf>
    <xf numFmtId="0" fontId="130" fillId="0" borderId="0" xfId="0" quotePrefix="1" applyFont="1" applyAlignment="1">
      <alignment horizontal="center"/>
    </xf>
    <xf numFmtId="0" fontId="0" fillId="0" borderId="0" xfId="0" quotePrefix="1" applyAlignment="1">
      <alignment horizontal="center"/>
    </xf>
    <xf numFmtId="0" fontId="130" fillId="0" borderId="0" xfId="351" applyFont="1" applyAlignment="1">
      <alignment horizontal="center" vertical="center"/>
    </xf>
    <xf numFmtId="11" fontId="0" fillId="0" borderId="0" xfId="0" quotePrefix="1" applyNumberFormat="1" applyAlignment="1">
      <alignment horizontal="center"/>
    </xf>
    <xf numFmtId="0" fontId="130" fillId="0" borderId="0" xfId="0" quotePrefix="1" applyFont="1" applyAlignment="1">
      <alignment horizontal="center" vertical="center" wrapText="1"/>
    </xf>
    <xf numFmtId="49" fontId="31" fillId="0" borderId="0" xfId="0" quotePrefix="1" applyNumberFormat="1" applyFont="1" applyAlignment="1">
      <alignment horizontal="center" vertical="center"/>
    </xf>
    <xf numFmtId="49" fontId="31" fillId="0" borderId="0" xfId="0" quotePrefix="1" applyNumberFormat="1" applyFont="1" applyAlignment="1">
      <alignment vertical="center"/>
    </xf>
    <xf numFmtId="0" fontId="137" fillId="4" borderId="34" xfId="0" applyFont="1" applyFill="1" applyBorder="1" applyAlignment="1">
      <alignment horizontal="left" vertical="center"/>
    </xf>
    <xf numFmtId="0" fontId="142" fillId="4" borderId="98" xfId="0" applyFont="1" applyFill="1" applyBorder="1" applyAlignment="1">
      <alignment horizontal="left" vertical="center"/>
    </xf>
    <xf numFmtId="1" fontId="142" fillId="4" borderId="98" xfId="0" applyNumberFormat="1" applyFont="1" applyFill="1" applyBorder="1" applyAlignment="1">
      <alignment horizontal="left" vertical="center"/>
    </xf>
    <xf numFmtId="0" fontId="142" fillId="4" borderId="98" xfId="0" applyFont="1" applyFill="1" applyBorder="1"/>
    <xf numFmtId="10" fontId="142" fillId="4" borderId="98" xfId="0" applyNumberFormat="1" applyFont="1" applyFill="1" applyBorder="1"/>
    <xf numFmtId="0" fontId="143" fillId="4" borderId="98" xfId="0" applyFont="1" applyFill="1" applyBorder="1"/>
    <xf numFmtId="0" fontId="142" fillId="4" borderId="98" xfId="0" applyFont="1" applyFill="1" applyBorder="1" applyAlignment="1">
      <alignment horizontal="center" vertical="center"/>
    </xf>
    <xf numFmtId="43" fontId="142" fillId="4" borderId="98" xfId="1" applyFont="1" applyFill="1" applyBorder="1"/>
    <xf numFmtId="0" fontId="161" fillId="0" borderId="0" xfId="0" applyFont="1"/>
    <xf numFmtId="4" fontId="10" fillId="0" borderId="0" xfId="0" applyNumberFormat="1" applyFont="1"/>
    <xf numFmtId="180" fontId="10" fillId="0" borderId="0" xfId="1" applyNumberFormat="1" applyFont="1" applyFill="1" applyAlignment="1">
      <alignment horizontal="right"/>
    </xf>
    <xf numFmtId="166" fontId="1" fillId="0" borderId="0" xfId="1" applyNumberFormat="1" applyFont="1" applyFill="1" applyBorder="1" applyAlignment="1">
      <alignment horizontal="center" vertical="center"/>
    </xf>
    <xf numFmtId="166" fontId="67" fillId="0" borderId="0" xfId="0" applyNumberFormat="1" applyFont="1" applyAlignment="1">
      <alignment horizontal="right" vertical="center"/>
    </xf>
    <xf numFmtId="43" fontId="67" fillId="0" borderId="0" xfId="1" applyFont="1" applyAlignment="1">
      <alignment horizontal="right" vertical="center"/>
    </xf>
    <xf numFmtId="167" fontId="67" fillId="0" borderId="0" xfId="2" applyNumberFormat="1" applyFont="1" applyFill="1" applyBorder="1" applyAlignment="1"/>
    <xf numFmtId="0" fontId="162" fillId="0" borderId="0" xfId="0" applyFont="1"/>
    <xf numFmtId="180" fontId="162" fillId="0" borderId="0" xfId="0" applyNumberFormat="1" applyFont="1"/>
    <xf numFmtId="190" fontId="162" fillId="0" borderId="0" xfId="0" applyNumberFormat="1" applyFont="1"/>
    <xf numFmtId="0" fontId="154" fillId="0" borderId="0" xfId="0" applyFont="1" applyAlignment="1">
      <alignment horizontal="right"/>
    </xf>
    <xf numFmtId="0" fontId="163" fillId="0" borderId="0" xfId="0" applyFont="1" applyAlignment="1">
      <alignment horizontal="right" vertical="center" wrapText="1"/>
    </xf>
    <xf numFmtId="43" fontId="31" fillId="0" borderId="0" xfId="0" applyNumberFormat="1" applyFont="1" applyAlignment="1">
      <alignment horizontal="center"/>
    </xf>
    <xf numFmtId="44" fontId="10" fillId="0" borderId="0" xfId="6" applyFont="1" applyFill="1" applyBorder="1" applyAlignment="1">
      <alignment horizontal="right"/>
    </xf>
    <xf numFmtId="201" fontId="10" fillId="0" borderId="0" xfId="1" applyNumberFormat="1" applyFont="1" applyFill="1" applyAlignment="1">
      <alignment horizontal="right"/>
    </xf>
    <xf numFmtId="43" fontId="0" fillId="0" borderId="0" xfId="1" applyFont="1" applyFill="1" applyAlignment="1">
      <alignment vertical="center"/>
    </xf>
    <xf numFmtId="43" fontId="16" fillId="0" borderId="0" xfId="0" applyNumberFormat="1" applyFont="1" applyAlignment="1">
      <alignment vertical="center"/>
    </xf>
    <xf numFmtId="43" fontId="130" fillId="0" borderId="0" xfId="0" applyNumberFormat="1" applyFont="1" applyAlignment="1">
      <alignment vertical="center"/>
    </xf>
    <xf numFmtId="199" fontId="71" fillId="0" borderId="0" xfId="1" applyNumberFormat="1" applyFont="1" applyFill="1" applyBorder="1" applyAlignment="1">
      <alignment vertical="center"/>
    </xf>
    <xf numFmtId="14" fontId="31" fillId="0" borderId="0" xfId="0" applyNumberFormat="1" applyFont="1" applyAlignment="1">
      <alignment horizontal="right" vertical="center"/>
    </xf>
    <xf numFmtId="14" fontId="0" fillId="0" borderId="0" xfId="0" applyNumberFormat="1" applyAlignment="1">
      <alignment horizontal="right" vertical="center"/>
    </xf>
    <xf numFmtId="200" fontId="0" fillId="0" borderId="0" xfId="0" applyNumberFormat="1" applyAlignment="1">
      <alignment horizontal="right"/>
    </xf>
    <xf numFmtId="200" fontId="130" fillId="0" borderId="0" xfId="0" applyNumberFormat="1" applyFont="1" applyAlignment="1">
      <alignment horizontal="right"/>
    </xf>
    <xf numFmtId="0" fontId="130" fillId="0" borderId="0" xfId="0" applyFont="1" applyAlignment="1">
      <alignment horizontal="right"/>
    </xf>
    <xf numFmtId="0" fontId="0" fillId="0" borderId="0" xfId="0" applyAlignment="1">
      <alignment vertical="center" wrapText="1"/>
    </xf>
    <xf numFmtId="49" fontId="130" fillId="0" borderId="0" xfId="351" quotePrefix="1" applyNumberFormat="1" applyFont="1" applyAlignment="1">
      <alignment horizontal="center" vertical="center"/>
    </xf>
    <xf numFmtId="21" fontId="130" fillId="0" borderId="0" xfId="0" applyNumberFormat="1" applyFont="1" applyAlignment="1">
      <alignment vertical="center" wrapText="1"/>
    </xf>
    <xf numFmtId="200" fontId="0" fillId="0" borderId="0" xfId="0" applyNumberFormat="1" applyAlignment="1">
      <alignment horizontal="right" vertical="center"/>
    </xf>
    <xf numFmtId="0" fontId="130" fillId="0" borderId="0" xfId="0" quotePrefix="1" applyFont="1" applyAlignment="1">
      <alignment vertical="center" wrapText="1"/>
    </xf>
    <xf numFmtId="1" fontId="0" fillId="0" borderId="0" xfId="0" quotePrefix="1" applyNumberFormat="1"/>
    <xf numFmtId="0" fontId="159" fillId="0" borderId="0" xfId="0" applyFont="1" applyAlignment="1">
      <alignment horizontal="left" vertical="center" wrapText="1"/>
    </xf>
    <xf numFmtId="0" fontId="159" fillId="0" borderId="0" xfId="0" applyFont="1" applyAlignment="1">
      <alignment horizontal="left" vertical="top"/>
    </xf>
    <xf numFmtId="14" fontId="0" fillId="0" borderId="0" xfId="0" applyNumberFormat="1" applyAlignment="1">
      <alignment horizontal="right"/>
    </xf>
    <xf numFmtId="1" fontId="31" fillId="0" borderId="0" xfId="0" applyNumberFormat="1" applyFont="1" applyAlignment="1">
      <alignment vertical="center"/>
    </xf>
    <xf numFmtId="22" fontId="0" fillId="0" borderId="0" xfId="0" applyNumberFormat="1" applyAlignment="1">
      <alignment horizontal="right"/>
    </xf>
    <xf numFmtId="1" fontId="0" fillId="0" borderId="0" xfId="0" quotePrefix="1" applyNumberFormat="1" applyAlignment="1">
      <alignment horizontal="left"/>
    </xf>
    <xf numFmtId="166" fontId="143" fillId="0" borderId="0" xfId="1" applyNumberFormat="1" applyFont="1" applyFill="1" applyAlignment="1">
      <alignment horizontal="center"/>
    </xf>
    <xf numFmtId="166" fontId="164" fillId="0" borderId="0" xfId="1" applyNumberFormat="1" applyFont="1" applyFill="1" applyAlignment="1">
      <alignment horizontal="center"/>
    </xf>
    <xf numFmtId="166" fontId="137" fillId="12" borderId="14" xfId="1" applyNumberFormat="1" applyFont="1" applyFill="1" applyBorder="1" applyAlignment="1">
      <alignment horizontal="center" vertical="center" wrapText="1"/>
    </xf>
    <xf numFmtId="0" fontId="137" fillId="12" borderId="94" xfId="0" applyFont="1" applyFill="1" applyBorder="1" applyAlignment="1">
      <alignment horizontal="center" vertical="center" wrapText="1"/>
    </xf>
    <xf numFmtId="0" fontId="165" fillId="0" borderId="0" xfId="0" applyFont="1" applyAlignment="1">
      <alignment horizontal="center"/>
    </xf>
    <xf numFmtId="0" fontId="135" fillId="0" borderId="0" xfId="0" applyFont="1" applyAlignment="1">
      <alignment horizontal="center"/>
    </xf>
    <xf numFmtId="166" fontId="10" fillId="0" borderId="94" xfId="1" applyNumberFormat="1" applyFont="1" applyBorder="1" applyAlignment="1">
      <alignment horizontal="right"/>
    </xf>
    <xf numFmtId="166" fontId="30" fillId="12" borderId="94" xfId="1" applyNumberFormat="1" applyFont="1" applyFill="1" applyBorder="1" applyAlignment="1">
      <alignment horizontal="center" vertical="center" wrapText="1"/>
    </xf>
    <xf numFmtId="166" fontId="39" fillId="0" borderId="94" xfId="1" applyNumberFormat="1" applyFont="1" applyBorder="1"/>
    <xf numFmtId="166" fontId="39" fillId="0" borderId="94" xfId="1" applyNumberFormat="1" applyFont="1" applyFill="1" applyBorder="1"/>
    <xf numFmtId="166" fontId="39" fillId="0" borderId="94" xfId="1" applyNumberFormat="1" applyFont="1" applyFill="1" applyBorder="1" applyAlignment="1">
      <alignment horizontal="right"/>
    </xf>
    <xf numFmtId="166" fontId="39" fillId="0" borderId="94" xfId="1" applyNumberFormat="1" applyFont="1" applyBorder="1" applyAlignment="1">
      <alignment horizontal="right"/>
    </xf>
    <xf numFmtId="166" fontId="10" fillId="0" borderId="94" xfId="1" applyNumberFormat="1" applyFont="1" applyBorder="1"/>
    <xf numFmtId="166" fontId="39" fillId="0" borderId="98" xfId="1" applyNumberFormat="1" applyFont="1" applyBorder="1" applyAlignment="1">
      <alignment horizontal="right"/>
    </xf>
    <xf numFmtId="166" fontId="39" fillId="0" borderId="98" xfId="1" applyNumberFormat="1" applyFont="1" applyBorder="1"/>
    <xf numFmtId="166" fontId="10" fillId="0" borderId="0" xfId="1" applyNumberFormat="1" applyFont="1" applyAlignment="1">
      <alignment horizontal="right"/>
    </xf>
    <xf numFmtId="43" fontId="33" fillId="0" borderId="17" xfId="0" applyNumberFormat="1" applyFont="1" applyBorder="1" applyAlignment="1">
      <alignment horizontal="center" vertical="center" wrapText="1"/>
    </xf>
    <xf numFmtId="43" fontId="33" fillId="0" borderId="17" xfId="0" applyNumberFormat="1" applyFont="1" applyBorder="1" applyAlignment="1">
      <alignment horizontal="center" vertical="center"/>
    </xf>
    <xf numFmtId="171" fontId="33" fillId="0" borderId="17" xfId="0" applyNumberFormat="1" applyFont="1" applyBorder="1" applyAlignment="1">
      <alignment horizontal="center" vertical="center" wrapText="1"/>
    </xf>
    <xf numFmtId="171" fontId="33" fillId="0" borderId="17" xfId="0" applyNumberFormat="1" applyFont="1" applyBorder="1" applyAlignment="1">
      <alignment horizontal="center" vertical="center"/>
    </xf>
    <xf numFmtId="43" fontId="123" fillId="3" borderId="0" xfId="63" applyNumberFormat="1" applyFont="1" applyFill="1" applyBorder="1" applyAlignment="1">
      <alignment horizontal="center" vertical="center" wrapText="1"/>
    </xf>
    <xf numFmtId="43" fontId="123" fillId="3" borderId="0" xfId="63" applyNumberFormat="1" applyFont="1" applyFill="1" applyBorder="1" applyAlignment="1">
      <alignment horizontal="center" vertical="center"/>
    </xf>
    <xf numFmtId="43" fontId="123" fillId="3" borderId="21" xfId="63" applyNumberFormat="1" applyFont="1" applyFill="1" applyBorder="1" applyAlignment="1">
      <alignment horizontal="center" vertical="center"/>
    </xf>
    <xf numFmtId="0" fontId="2" fillId="6" borderId="0" xfId="0" applyFont="1" applyFill="1" applyAlignment="1">
      <alignment horizontal="center" vertical="center" wrapText="1"/>
    </xf>
    <xf numFmtId="0" fontId="2" fillId="13" borderId="0" xfId="0" applyFont="1" applyFill="1" applyAlignment="1">
      <alignment horizontal="center" vertical="center" wrapText="1"/>
    </xf>
    <xf numFmtId="0" fontId="2" fillId="5" borderId="0" xfId="0" applyFont="1" applyFill="1" applyAlignment="1">
      <alignment horizontal="center" vertical="center" wrapText="1"/>
    </xf>
    <xf numFmtId="0" fontId="2" fillId="8" borderId="0" xfId="0" applyFont="1" applyFill="1" applyAlignment="1">
      <alignment horizontal="center" vertical="center" wrapText="1"/>
    </xf>
    <xf numFmtId="0" fontId="2" fillId="13" borderId="0" xfId="0" applyFont="1" applyFill="1" applyAlignment="1">
      <alignment vertical="center" wrapText="1"/>
    </xf>
    <xf numFmtId="0" fontId="2" fillId="8" borderId="0" xfId="0" applyFont="1" applyFill="1" applyAlignment="1">
      <alignment horizontal="center"/>
    </xf>
    <xf numFmtId="0" fontId="24" fillId="0" borderId="0" xfId="0" applyFont="1" applyAlignment="1">
      <alignment horizontal="center" vertical="center" wrapText="1"/>
    </xf>
    <xf numFmtId="0" fontId="2" fillId="7" borderId="0" xfId="0" applyFont="1" applyFill="1" applyAlignment="1">
      <alignment horizontal="center" vertical="center" wrapText="1"/>
    </xf>
    <xf numFmtId="0" fontId="15" fillId="7" borderId="0" xfId="0" applyFont="1" applyFill="1" applyAlignment="1">
      <alignment horizontal="center" vertical="center" wrapText="1"/>
    </xf>
    <xf numFmtId="0" fontId="27" fillId="0" borderId="0" xfId="0" applyFont="1" applyAlignment="1">
      <alignment horizontal="center" vertical="center" wrapText="1"/>
    </xf>
    <xf numFmtId="0" fontId="3" fillId="2" borderId="0" xfId="0" applyFont="1" applyFill="1" applyAlignment="1">
      <alignment vertical="center" wrapText="1"/>
    </xf>
    <xf numFmtId="0" fontId="0" fillId="0" borderId="0" xfId="0" applyAlignment="1">
      <alignment horizontal="left" wrapText="1"/>
    </xf>
    <xf numFmtId="0" fontId="149" fillId="74" borderId="0" xfId="9" applyFont="1" applyFill="1" applyAlignment="1">
      <alignment horizontal="left" vertical="center"/>
    </xf>
    <xf numFmtId="0" fontId="146" fillId="0" borderId="0" xfId="0" applyFont="1" applyAlignment="1">
      <alignment horizontal="center" vertical="center"/>
    </xf>
    <xf numFmtId="0" fontId="147" fillId="0" borderId="0" xfId="0" applyFont="1" applyAlignment="1">
      <alignment horizontal="center" vertical="center"/>
    </xf>
    <xf numFmtId="0" fontId="148" fillId="0" borderId="0" xfId="0" applyFont="1" applyAlignment="1">
      <alignment horizontal="center"/>
    </xf>
    <xf numFmtId="0" fontId="148" fillId="0" borderId="0" xfId="0" applyFont="1" applyAlignment="1">
      <alignment horizontal="center" vertical="center"/>
    </xf>
    <xf numFmtId="0" fontId="28" fillId="0" borderId="94" xfId="14" applyFont="1" applyBorder="1" applyAlignment="1">
      <alignment horizontal="left" vertical="center"/>
    </xf>
    <xf numFmtId="3" fontId="28" fillId="0" borderId="94" xfId="14" applyNumberFormat="1" applyFont="1" applyBorder="1" applyAlignment="1">
      <alignment horizontal="center" vertical="center"/>
    </xf>
    <xf numFmtId="0" fontId="149" fillId="74" borderId="14" xfId="9" applyFont="1" applyFill="1" applyBorder="1" applyAlignment="1">
      <alignment horizontal="left" vertical="center"/>
    </xf>
    <xf numFmtId="0" fontId="150" fillId="0" borderId="94" xfId="14" applyFont="1" applyBorder="1" applyAlignment="1">
      <alignment horizontal="left" vertical="center"/>
    </xf>
    <xf numFmtId="3" fontId="151" fillId="0" borderId="94" xfId="0" applyNumberFormat="1" applyFont="1" applyBorder="1" applyAlignment="1">
      <alignment horizontal="center" vertical="center"/>
    </xf>
    <xf numFmtId="0" fontId="145" fillId="0" borderId="94" xfId="0" applyFont="1" applyBorder="1" applyAlignment="1">
      <alignment horizontal="center"/>
    </xf>
    <xf numFmtId="4" fontId="28" fillId="0" borderId="94" xfId="14" applyNumberFormat="1" applyFont="1" applyBorder="1" applyAlignment="1">
      <alignment horizontal="center" vertical="center"/>
    </xf>
    <xf numFmtId="0" fontId="74" fillId="30" borderId="73" xfId="0" applyFont="1" applyFill="1" applyBorder="1" applyAlignment="1">
      <alignment horizontal="center" vertical="center"/>
    </xf>
    <xf numFmtId="0" fontId="74" fillId="30" borderId="74" xfId="0" applyFont="1" applyFill="1" applyBorder="1" applyAlignment="1">
      <alignment horizontal="center" vertical="center"/>
    </xf>
    <xf numFmtId="0" fontId="74" fillId="30" borderId="72" xfId="0" applyFont="1" applyFill="1" applyBorder="1" applyAlignment="1">
      <alignment horizontal="center" vertical="center"/>
    </xf>
    <xf numFmtId="0" fontId="74" fillId="30" borderId="94" xfId="0" applyFont="1" applyFill="1" applyBorder="1" applyAlignment="1">
      <alignment horizontal="center" vertical="center" wrapText="1"/>
    </xf>
    <xf numFmtId="0" fontId="74" fillId="30" borderId="81" xfId="0" applyFont="1" applyFill="1" applyBorder="1" applyAlignment="1">
      <alignment horizontal="center" vertical="center"/>
    </xf>
    <xf numFmtId="0" fontId="74" fillId="30" borderId="18" xfId="0" applyFont="1" applyFill="1" applyBorder="1" applyAlignment="1">
      <alignment horizontal="center" vertical="center"/>
    </xf>
    <xf numFmtId="0" fontId="74" fillId="30" borderId="43" xfId="0" applyFont="1" applyFill="1" applyBorder="1" applyAlignment="1">
      <alignment horizontal="center" vertical="center"/>
    </xf>
    <xf numFmtId="0" fontId="74" fillId="30" borderId="3" xfId="0" applyFont="1" applyFill="1" applyBorder="1" applyAlignment="1">
      <alignment horizontal="center" vertical="center"/>
    </xf>
    <xf numFmtId="0" fontId="74" fillId="30" borderId="44" xfId="0" applyFont="1" applyFill="1" applyBorder="1" applyAlignment="1">
      <alignment horizontal="center" vertical="center"/>
    </xf>
    <xf numFmtId="0" fontId="74" fillId="30" borderId="4" xfId="0" applyFont="1" applyFill="1" applyBorder="1" applyAlignment="1">
      <alignment horizontal="center" vertical="center"/>
    </xf>
    <xf numFmtId="0" fontId="74" fillId="30" borderId="4" xfId="0" applyFont="1" applyFill="1" applyBorder="1" applyAlignment="1">
      <alignment horizontal="center" vertical="center" wrapText="1"/>
    </xf>
    <xf numFmtId="0" fontId="74" fillId="30" borderId="5" xfId="0" applyFont="1" applyFill="1" applyBorder="1" applyAlignment="1">
      <alignment horizontal="center" vertical="center" wrapText="1"/>
    </xf>
    <xf numFmtId="0" fontId="74" fillId="30" borderId="94" xfId="0" applyFont="1" applyFill="1" applyBorder="1" applyAlignment="1">
      <alignment horizontal="center" vertical="center"/>
    </xf>
  </cellXfs>
  <cellStyles count="354">
    <cellStyle name="20% - Accent1" xfId="326" builtinId="30" customBuiltin="1"/>
    <cellStyle name="20% - Accent1 2" xfId="81" xr:uid="{8B7E68DB-7842-4AB6-BF70-BBA2D90FB9F0}"/>
    <cellStyle name="20% - Accent1 3" xfId="32" xr:uid="{1C87D87C-2E93-4FFE-8505-4CECA2ABBAA5}"/>
    <cellStyle name="20% - Accent2" xfId="330" builtinId="34" customBuiltin="1"/>
    <cellStyle name="20% - Accent2 2" xfId="85" xr:uid="{F75224FA-BF65-435E-97F1-771DC20F9A8E}"/>
    <cellStyle name="20% - Accent2 3" xfId="36" xr:uid="{8010B265-B577-4978-9D7A-D036639045EC}"/>
    <cellStyle name="20% - Accent3" xfId="334" builtinId="38" customBuiltin="1"/>
    <cellStyle name="20% - Accent3 2" xfId="89" xr:uid="{4E79DEF8-305B-4BD2-B651-CF14860FF5B6}"/>
    <cellStyle name="20% - Accent3 3" xfId="40" xr:uid="{FFE4D3C7-A96F-46ED-B418-4AC8B07C2E57}"/>
    <cellStyle name="20% - Accent4" xfId="338" builtinId="42" customBuiltin="1"/>
    <cellStyle name="20% - Accent4 2" xfId="93" xr:uid="{6D6EBF81-5D1E-4A9E-BEA8-E16983570389}"/>
    <cellStyle name="20% - Accent4 3" xfId="44" xr:uid="{762AFC63-E2BA-4456-9A4A-4003BDDAB9B8}"/>
    <cellStyle name="20% - Accent5" xfId="342" builtinId="46" customBuiltin="1"/>
    <cellStyle name="20% - Accent5 2" xfId="97" xr:uid="{F26EACC9-C4BA-4598-8599-3C7BC8D4C16F}"/>
    <cellStyle name="20% - Accent5 3" xfId="48" xr:uid="{1F081B30-3006-4B1A-A1BA-C36810ED7DE2}"/>
    <cellStyle name="20% - Accent6" xfId="346" builtinId="50" customBuiltin="1"/>
    <cellStyle name="20% - Accent6 2" xfId="101" xr:uid="{03F092E5-A9E0-4043-9FD3-3FD8DBA2CB18}"/>
    <cellStyle name="20% - Accent6 3" xfId="52" xr:uid="{E2F1FCD5-C838-4A3A-87E4-F64C6840CDE4}"/>
    <cellStyle name="40% - Accent1" xfId="327" builtinId="31" customBuiltin="1"/>
    <cellStyle name="40% - Accent1 2" xfId="82" xr:uid="{49612159-64FB-480A-99A5-8C30534C2FA3}"/>
    <cellStyle name="40% - Accent1 3" xfId="33" xr:uid="{D446E56C-B673-4A5A-AB40-FF6AA7D8D266}"/>
    <cellStyle name="40% - Accent2" xfId="331" builtinId="35" customBuiltin="1"/>
    <cellStyle name="40% - Accent2 2" xfId="86" xr:uid="{013A1ADF-A838-46C9-8F5D-7512DC312908}"/>
    <cellStyle name="40% - Accent2 3" xfId="37" xr:uid="{47820678-7B25-48A9-B471-C8C1A83E51E9}"/>
    <cellStyle name="40% - Accent3" xfId="335" builtinId="39" customBuiltin="1"/>
    <cellStyle name="40% - Accent3 2" xfId="90" xr:uid="{FF15B76D-1918-463B-939F-F3A1793B6CFB}"/>
    <cellStyle name="40% - Accent3 3" xfId="41" xr:uid="{0C39883A-0C2E-48CE-90D7-E29404A9CD27}"/>
    <cellStyle name="40% - Accent4" xfId="339" builtinId="43" customBuiltin="1"/>
    <cellStyle name="40% - Accent4 2" xfId="94" xr:uid="{44B44C6C-8810-4A1C-9A06-B72415A0D416}"/>
    <cellStyle name="40% - Accent4 3" xfId="45" xr:uid="{9E75004D-A585-42DE-8207-309FE2FF03F4}"/>
    <cellStyle name="40% - Accent5" xfId="343" builtinId="47" customBuiltin="1"/>
    <cellStyle name="40% - Accent5 2" xfId="98" xr:uid="{FA128468-0DCD-432E-9F07-964849667908}"/>
    <cellStyle name="40% - Accent5 3" xfId="49" xr:uid="{352DED13-5A6D-480D-93D7-D3DD611C4373}"/>
    <cellStyle name="40% - Accent6" xfId="347" builtinId="51" customBuiltin="1"/>
    <cellStyle name="40% - Accent6 2" xfId="102" xr:uid="{B5ADAB7C-AD4C-48C1-BB2B-044ED21318B9}"/>
    <cellStyle name="40% - Accent6 3" xfId="53" xr:uid="{3946AF9F-0D9A-4CA2-8F71-7B2B6D69912F}"/>
    <cellStyle name="60% - Accent1" xfId="328" builtinId="32" customBuiltin="1"/>
    <cellStyle name="60% - Accent1 2" xfId="83" xr:uid="{6CA7EAD9-EC30-4D5F-B587-CD1CC8C28809}"/>
    <cellStyle name="60% - Accent1 3" xfId="34" xr:uid="{A1EDFF60-EDF6-474F-9507-CF058C476E85}"/>
    <cellStyle name="60% - Accent2" xfId="332" builtinId="36" customBuiltin="1"/>
    <cellStyle name="60% - Accent2 2" xfId="87" xr:uid="{07DA1BD9-FCD8-494A-A657-9D8E13EDC5C2}"/>
    <cellStyle name="60% - Accent2 3" xfId="38" xr:uid="{B59EC0DF-AF84-4149-9734-5F50306B3C19}"/>
    <cellStyle name="60% - Accent3" xfId="336" builtinId="40" customBuiltin="1"/>
    <cellStyle name="60% - Accent3 2" xfId="91" xr:uid="{F8E03509-87FF-4E53-9ED8-3B241499CA56}"/>
    <cellStyle name="60% - Accent3 3" xfId="42" xr:uid="{D07D89CA-9B43-49E1-ABBB-A1308D743C76}"/>
    <cellStyle name="60% - Accent4" xfId="340" builtinId="44" customBuiltin="1"/>
    <cellStyle name="60% - Accent4 2" xfId="95" xr:uid="{DCDEEF21-7A25-49FB-AC56-6EBB8B582D64}"/>
    <cellStyle name="60% - Accent4 3" xfId="46" xr:uid="{3082EDE7-7086-49D1-A927-C2630A0B2100}"/>
    <cellStyle name="60% - Accent5" xfId="344" builtinId="48" customBuiltin="1"/>
    <cellStyle name="60% - Accent5 2" xfId="99" xr:uid="{4B048822-83E2-4905-961B-06487E4984D6}"/>
    <cellStyle name="60% - Accent5 3" xfId="50" xr:uid="{B087D6AA-7535-4C27-97E6-DAB19ABC9D94}"/>
    <cellStyle name="60% - Accent6" xfId="348" builtinId="52" customBuiltin="1"/>
    <cellStyle name="60% - Accent6 2" xfId="103" xr:uid="{6D94508D-26FB-4C73-94DE-5553FFA14BC7}"/>
    <cellStyle name="60% - Accent6 3" xfId="54" xr:uid="{020D52A5-A9DA-45B7-86D3-16A48AB05DE6}"/>
    <cellStyle name="Accent1" xfId="325" builtinId="29" customBuiltin="1"/>
    <cellStyle name="Accent1 2" xfId="80" xr:uid="{89E7AAE8-86F0-49C2-9B22-680D0F626A4F}"/>
    <cellStyle name="Accent1 3" xfId="31" xr:uid="{3428F3CC-70F2-410B-856A-327BB5E7F994}"/>
    <cellStyle name="Accent2" xfId="329" builtinId="33" customBuiltin="1"/>
    <cellStyle name="Accent2 2" xfId="84" xr:uid="{0C4C707D-1390-4400-9764-A406CCCF8714}"/>
    <cellStyle name="Accent2 3" xfId="35" xr:uid="{3EC1BE1A-A9BF-4E3E-97B1-554B7CDB1746}"/>
    <cellStyle name="Accent3" xfId="333" builtinId="37" customBuiltin="1"/>
    <cellStyle name="Accent3 2" xfId="88" xr:uid="{CA17ACCC-2EAE-466D-AC8E-C60DC7D0A1EB}"/>
    <cellStyle name="Accent3 3" xfId="39" xr:uid="{42090162-2FAA-4EA7-BE56-F41E798F8B96}"/>
    <cellStyle name="Accent4" xfId="337" builtinId="41" customBuiltin="1"/>
    <cellStyle name="Accent4 2" xfId="92" xr:uid="{9E1DAE1A-975C-494A-AB7A-94CDD5493F7D}"/>
    <cellStyle name="Accent4 3" xfId="43" xr:uid="{AE0AE18D-5B5A-4655-BDAA-EF0EF23FFB95}"/>
    <cellStyle name="Accent5" xfId="341" builtinId="45" customBuiltin="1"/>
    <cellStyle name="Accent5 2" xfId="96" xr:uid="{4FCE93AA-F5E2-4C42-839E-B3E59F7ABD93}"/>
    <cellStyle name="Accent5 3" xfId="47" xr:uid="{21B4A6CF-6C4D-4E78-BB44-5FFAED80BBD2}"/>
    <cellStyle name="Accent6" xfId="345" builtinId="49" customBuiltin="1"/>
    <cellStyle name="Accent6 2" xfId="100" xr:uid="{71CCFF2A-6B94-410B-BD53-5C15B7038141}"/>
    <cellStyle name="Accent6 3" xfId="51" xr:uid="{D6B0DC55-AA76-4D0F-93F9-55197020C7AD}"/>
    <cellStyle name="Bad" xfId="315" builtinId="27" customBuiltin="1"/>
    <cellStyle name="Bad 2" xfId="70" xr:uid="{7A54418B-AE55-4572-97BE-7D700796F228}"/>
    <cellStyle name="Bad 3" xfId="21" xr:uid="{C1B82BC4-08F1-455A-992A-7B90C7FE55F2}"/>
    <cellStyle name="Calculation" xfId="319" builtinId="22" customBuiltin="1"/>
    <cellStyle name="Calculation 2" xfId="74" xr:uid="{BAF61893-4ED9-401D-9E49-0F048E4BBA2F}"/>
    <cellStyle name="Calculation 3" xfId="25" xr:uid="{BDB0B5A1-57EB-43C1-8B1D-0A8192EBD744}"/>
    <cellStyle name="Check Cell" xfId="321" builtinId="23" customBuiltin="1"/>
    <cellStyle name="Check Cell 2" xfId="76" xr:uid="{74A9B713-4C2D-4258-8708-00AE7011F5E8}"/>
    <cellStyle name="Check Cell 3" xfId="27" xr:uid="{9A2DB03D-99B8-4BE3-ADCA-2D860128956B}"/>
    <cellStyle name="Comma" xfId="1" builtinId="3"/>
    <cellStyle name="Comma [0] 2" xfId="107" xr:uid="{B6C19EA4-E5B4-4A8C-927E-8E875F8AC3B6}"/>
    <cellStyle name="Comma 10" xfId="126" xr:uid="{070D0A5E-1D23-49CE-AD99-454C8070EBBA}"/>
    <cellStyle name="Comma 100" xfId="218" xr:uid="{AC449194-79C4-4966-AE44-0B58C4B08D81}"/>
    <cellStyle name="Comma 101" xfId="220" xr:uid="{96DF3954-3BC0-4AD4-B7DD-DFDF040B1D5C}"/>
    <cellStyle name="Comma 102" xfId="221" xr:uid="{6672BFEC-D01F-4CEB-A370-B455A4339A85}"/>
    <cellStyle name="Comma 103" xfId="219" xr:uid="{1CC20E6F-28D6-4364-ABDA-00AE924AD867}"/>
    <cellStyle name="Comma 104" xfId="222" xr:uid="{D032D9A5-A18C-4419-A8A7-1D5100577EAD}"/>
    <cellStyle name="Comma 105" xfId="223" xr:uid="{D71E6E13-72E1-4EFF-A624-E6F70B589AB4}"/>
    <cellStyle name="Comma 106" xfId="225" xr:uid="{ABBBC78A-F9F3-4FB2-9DCC-DCB434F599CD}"/>
    <cellStyle name="Comma 107" xfId="226" xr:uid="{4491FD5A-FBA4-43FB-9AA2-AE056D12DF04}"/>
    <cellStyle name="Comma 108" xfId="224" xr:uid="{89C3BC22-0FD1-431C-932F-51148D0AE413}"/>
    <cellStyle name="Comma 109" xfId="227" xr:uid="{E1DAF32F-DB78-4AA3-B625-A554F6102F85}"/>
    <cellStyle name="Comma 11" xfId="127" xr:uid="{2B8E11A8-33AA-4D24-ADCF-9D280714F0FC}"/>
    <cellStyle name="Comma 110" xfId="228" xr:uid="{82AE3FFE-196A-48D1-A5E6-54C79CCE43F0}"/>
    <cellStyle name="Comma 111" xfId="229" xr:uid="{5080AC5F-AAD3-4A37-976C-1C87BC9250A9}"/>
    <cellStyle name="Comma 112" xfId="231" xr:uid="{AE94EDB2-9BFD-452B-9C38-8BC2A57D72A9}"/>
    <cellStyle name="Comma 113" xfId="232" xr:uid="{A2D62A23-2CC3-4E79-A02A-3DE7AB2BE07B}"/>
    <cellStyle name="Comma 114" xfId="230" xr:uid="{A3341556-1110-4A04-89A8-156F8791DD42}"/>
    <cellStyle name="Comma 115" xfId="234" xr:uid="{F7C0F736-AC5D-4BBD-AE18-9A7E89ED7DF7}"/>
    <cellStyle name="Comma 116" xfId="235" xr:uid="{3977EED7-3B42-4A4F-88AA-B1EEFC987984}"/>
    <cellStyle name="Comma 117" xfId="233" xr:uid="{FB947839-4778-483F-B6F4-5D504A759CF1}"/>
    <cellStyle name="Comma 118" xfId="236" xr:uid="{D46CFF6A-27AF-4516-B065-C21488A99C10}"/>
    <cellStyle name="Comma 119" xfId="237" xr:uid="{D1F36D37-E1B3-429D-B1B9-6E2A57EF4259}"/>
    <cellStyle name="Comma 12" xfId="130" xr:uid="{99DBCCB6-8144-4BFA-ABEB-547A5BF0D6FE}"/>
    <cellStyle name="Comma 120" xfId="238" xr:uid="{14EE2BCF-C8B1-4A23-AB3B-A038EC87F050}"/>
    <cellStyle name="Comma 121" xfId="239" xr:uid="{7AE9012B-F942-4997-BE56-E93E3463F85D}"/>
    <cellStyle name="Comma 122" xfId="240" xr:uid="{8CAB9438-0D64-4AF0-8891-E5C68457EF1E}"/>
    <cellStyle name="Comma 123" xfId="241" xr:uid="{79A4AFFE-383F-4D06-8163-C0892A22320D}"/>
    <cellStyle name="Comma 124" xfId="242" xr:uid="{0C0BC88E-DC27-47E0-8479-FEFEF09BCA5E}"/>
    <cellStyle name="Comma 125" xfId="244" xr:uid="{ECBA5CD0-37C5-4ECF-AD85-2456C1FE55EA}"/>
    <cellStyle name="Comma 126" xfId="245" xr:uid="{3F4FC272-E7E9-4ED0-AB77-8CF8B2EEF63F}"/>
    <cellStyle name="Comma 127" xfId="243" xr:uid="{EF7EAB8A-EB2B-4ACE-85B9-919A1D7B64B2}"/>
    <cellStyle name="Comma 128" xfId="247" xr:uid="{F25847C9-673B-41F1-8587-0C6AFC7D1BD6}"/>
    <cellStyle name="Comma 129" xfId="248" xr:uid="{8598C47E-B8FB-4694-B220-88ED0F806D12}"/>
    <cellStyle name="Comma 13" xfId="131" xr:uid="{903E1B99-076C-47CF-9F4F-31DD8C717F02}"/>
    <cellStyle name="Comma 130" xfId="246" xr:uid="{4EF983B1-ABE2-4288-951B-7587DD7E6EF3}"/>
    <cellStyle name="Comma 131" xfId="249" xr:uid="{25462C50-B235-49F2-BDF6-6CA15F0587E9}"/>
    <cellStyle name="Comma 132" xfId="250" xr:uid="{ED338687-EDB1-43FB-981A-24FCA5B776D3}"/>
    <cellStyle name="Comma 133" xfId="251" xr:uid="{FD2F76BE-1964-4BF1-A790-E505832BB9B3}"/>
    <cellStyle name="Comma 134" xfId="252" xr:uid="{4849A8E6-5FB8-4475-9D96-4A288CA23941}"/>
    <cellStyle name="Comma 135" xfId="254" xr:uid="{21434A9B-99C7-41AC-9C67-A35A30B26CF0}"/>
    <cellStyle name="Comma 136" xfId="255" xr:uid="{587A0F70-1C2E-450B-B848-97C573C85596}"/>
    <cellStyle name="Comma 137" xfId="253" xr:uid="{DE5EE8F6-D7EC-4BBF-8F85-CC186CCD544B}"/>
    <cellStyle name="Comma 138" xfId="257" xr:uid="{582C2EDE-A053-4850-AA8C-9901479FA954}"/>
    <cellStyle name="Comma 139" xfId="258" xr:uid="{157AAAC1-2C2E-425A-8A44-8BA65C255C8F}"/>
    <cellStyle name="Comma 14" xfId="133" xr:uid="{6A701951-A6F3-492D-B0AA-2C60E7A6D3E0}"/>
    <cellStyle name="Comma 140" xfId="256" xr:uid="{1A9F6FA0-2401-40F3-9D1A-C7C854178CF9}"/>
    <cellStyle name="Comma 141" xfId="259" xr:uid="{ADF0A40E-03EE-449F-A949-EC21403A223A}"/>
    <cellStyle name="Comma 142" xfId="260" xr:uid="{99C3D502-AD75-4D76-8235-5F59D33F7B27}"/>
    <cellStyle name="Comma 143" xfId="261" xr:uid="{AAE5587C-1944-4D29-9377-9883115A0788}"/>
    <cellStyle name="Comma 144" xfId="262" xr:uid="{546368D1-86EE-40E0-9F2D-4F8A72B92CB2}"/>
    <cellStyle name="Comma 145" xfId="263" xr:uid="{3C54A88B-9112-475D-B253-0EF01DEF18EC}"/>
    <cellStyle name="Comma 146" xfId="264" xr:uid="{4EA53327-8B23-418A-896F-117574E0E462}"/>
    <cellStyle name="Comma 147" xfId="265" xr:uid="{360A1E5C-48BB-4D89-A3F3-A34DC2C9CABA}"/>
    <cellStyle name="Comma 148" xfId="266" xr:uid="{597EAD05-41E2-4144-9A1B-63D75C798F53}"/>
    <cellStyle name="Comma 149" xfId="267" xr:uid="{F0DEBBBC-4B44-41A8-9B35-91EEDA12F434}"/>
    <cellStyle name="Comma 15" xfId="117" xr:uid="{3E641726-55A6-4CF7-BA76-55A8E52208E0}"/>
    <cellStyle name="Comma 150" xfId="269" xr:uid="{A0FF6A8B-A94B-470A-8EE4-202AD8438E64}"/>
    <cellStyle name="Comma 151" xfId="270" xr:uid="{B2D17899-4024-4270-ADAE-002B560B217B}"/>
    <cellStyle name="Comma 152" xfId="268" xr:uid="{3BFF1E04-C863-4797-8CB8-AB9764DB52D8}"/>
    <cellStyle name="Comma 153" xfId="271" xr:uid="{067D9931-2C0D-4A6C-9800-35182476B1CF}"/>
    <cellStyle name="Comma 154" xfId="272" xr:uid="{F7B583A7-6610-4A1C-9660-7E9F6A8D9545}"/>
    <cellStyle name="Comma 155" xfId="273" xr:uid="{2AE5B48E-1E8B-4526-A991-BA1B88761ACD}"/>
    <cellStyle name="Comma 156" xfId="274" xr:uid="{24A9BFA7-6F64-4616-80C9-0CBC68D03258}"/>
    <cellStyle name="Comma 157" xfId="275" xr:uid="{D47A0678-5411-4800-9DFF-5EEF4EEBCB3B}"/>
    <cellStyle name="Comma 158" xfId="276" xr:uid="{DF49224F-8D98-4654-9355-D63A89DDA3E2}"/>
    <cellStyle name="Comma 159" xfId="277" xr:uid="{F4C14566-A522-432D-958C-C8E22454E887}"/>
    <cellStyle name="Comma 16" xfId="135" xr:uid="{97EC46E2-EBB2-42E6-AE6B-A0CE4BA771EB}"/>
    <cellStyle name="Comma 160" xfId="278" xr:uid="{0C012EDA-5E12-4E32-98C7-E30F7A5BF73B}"/>
    <cellStyle name="Comma 161" xfId="279" xr:uid="{F8BA92B5-B8ED-49D6-9BA1-C97663C04947}"/>
    <cellStyle name="Comma 162" xfId="280" xr:uid="{49349151-DD3B-4469-9418-818E6F88B4CF}"/>
    <cellStyle name="Comma 163" xfId="281" xr:uid="{09BCEFD9-BA1E-42E5-9F35-A92800268CF5}"/>
    <cellStyle name="Comma 164" xfId="282" xr:uid="{47E2432B-17AB-4F5A-8F32-7424A0E77076}"/>
    <cellStyle name="Comma 165" xfId="283" xr:uid="{52DE8717-F41F-40EC-A994-48D134884EE4}"/>
    <cellStyle name="Comma 166" xfId="284" xr:uid="{7FB67DC0-B357-45FF-B2F3-7E7E29DEDD49}"/>
    <cellStyle name="Comma 167" xfId="285" xr:uid="{EDE51E9C-FA86-492A-9530-8920B2DC63AF}"/>
    <cellStyle name="Comma 168" xfId="286" xr:uid="{16434957-3CE0-4F97-A35F-04B5229A0B06}"/>
    <cellStyle name="Comma 169" xfId="287" xr:uid="{E613F3AF-C13A-4BE7-A078-5B226452AA17}"/>
    <cellStyle name="Comma 17" xfId="134" xr:uid="{7C7E0D9C-B8A4-4235-B975-3B584A1F3CFE}"/>
    <cellStyle name="Comma 170" xfId="288" xr:uid="{225AF76C-BAE5-414F-BEFF-53EB63083B83}"/>
    <cellStyle name="Comma 171" xfId="289" xr:uid="{36189EBE-731D-4AFF-B2A6-4633B2085F81}"/>
    <cellStyle name="Comma 172" xfId="63" xr:uid="{C2D259E0-9158-4D44-B20B-79B226A525C0}"/>
    <cellStyle name="Comma 173" xfId="290" xr:uid="{C73E36C8-592E-4BE8-9D2B-4A6150D3E284}"/>
    <cellStyle name="Comma 174" xfId="291" xr:uid="{DDB50E97-5164-4A46-B7B6-65895F6F246E}"/>
    <cellStyle name="Comma 175" xfId="292" xr:uid="{C222B3EC-60C2-47FC-8609-229308727C16}"/>
    <cellStyle name="Comma 176" xfId="293" xr:uid="{0278C469-499F-4A92-9065-50E94F3F4CA2}"/>
    <cellStyle name="Comma 177" xfId="294" xr:uid="{33867C3D-6A2A-485A-8A11-4EFF60DEEF07}"/>
    <cellStyle name="Comma 178" xfId="295" xr:uid="{FA3E2D5D-5504-4C74-8529-05185C7CA693}"/>
    <cellStyle name="Comma 179" xfId="296" xr:uid="{1C67A14E-D308-4AEE-8666-B09BECEDBB0E}"/>
    <cellStyle name="Comma 18" xfId="136" xr:uid="{58153F96-FEC4-4702-B6FA-2FA9FA130957}"/>
    <cellStyle name="Comma 180" xfId="298" xr:uid="{32196A66-77B6-45E4-9A72-6AB4048D2964}"/>
    <cellStyle name="Comma 181" xfId="299" xr:uid="{30522CB8-8062-4650-A12E-10D03FABD5CA}"/>
    <cellStyle name="Comma 182" xfId="297" xr:uid="{8CE5C6C5-01E0-4B60-B1A5-3FEABDD395EA}"/>
    <cellStyle name="Comma 183" xfId="300" xr:uid="{015A0A94-C6F4-4CFB-9F29-F908DF0B5D79}"/>
    <cellStyle name="Comma 184" xfId="301" xr:uid="{A7A8C90F-15D4-4A5D-965C-3ADC9B2FB30C}"/>
    <cellStyle name="Comma 185" xfId="302" xr:uid="{72A2EFFD-6A02-41F4-A9D6-DCAA0E26ED91}"/>
    <cellStyle name="Comma 186" xfId="303" xr:uid="{6BFCD52B-7D03-4F0C-868E-B4553C870B4F}"/>
    <cellStyle name="Comma 187" xfId="304" xr:uid="{869BEC89-F6E5-4937-B6A7-8A79A2F88124}"/>
    <cellStyle name="Comma 188" xfId="305" xr:uid="{02838611-D0DB-4861-94BC-FE349A9C9C00}"/>
    <cellStyle name="Comma 189" xfId="307" xr:uid="{3B0F19CF-6D80-42CE-A4EF-35C94687181C}"/>
    <cellStyle name="Comma 19" xfId="137" xr:uid="{B352EB27-4C5F-4023-A5B7-3CB33D2EE6D2}"/>
    <cellStyle name="Comma 190" xfId="308" xr:uid="{2A973294-16D8-4F6E-B199-3CDB5C6F4F58}"/>
    <cellStyle name="Comma 191" xfId="306" xr:uid="{1E5C8A3C-D692-4C95-8E3E-0F9DBC763546}"/>
    <cellStyle name="Comma 2" xfId="4" xr:uid="{4C3E4A00-6026-447A-81FD-0D3FEEB10615}"/>
    <cellStyle name="Comma 2 2" xfId="62" xr:uid="{AE542824-42E1-4A33-BEF6-EB23CA21F458}"/>
    <cellStyle name="Comma 2 3" xfId="60" xr:uid="{3959FFFA-42CE-4A56-924E-F1F3109F608B}"/>
    <cellStyle name="Comma 2 4" xfId="114" xr:uid="{35155EE1-8FA5-4E04-9260-A0D9D6F8AF09}"/>
    <cellStyle name="Comma 2 5" xfId="12" xr:uid="{A9A3E422-4C8E-4D30-82C4-7E42F72EE27E}"/>
    <cellStyle name="Comma 20" xfId="138" xr:uid="{416B8763-0D60-4F15-87A8-A17497A831A8}"/>
    <cellStyle name="Comma 21" xfId="139" xr:uid="{7F74BF15-5B0A-4B82-8D53-D9F6179170CF}"/>
    <cellStyle name="Comma 22" xfId="140" xr:uid="{2F2FBC54-25C1-43FE-B8BB-942C8AB2CDD9}"/>
    <cellStyle name="Comma 23" xfId="141" xr:uid="{D2119054-AD71-40C4-BB75-206CCA960D38}"/>
    <cellStyle name="Comma 24" xfId="142" xr:uid="{CE58FF89-B9A5-451C-A0D1-AC454B2EA090}"/>
    <cellStyle name="Comma 25" xfId="143" xr:uid="{202C645D-EA04-43D8-801F-09A2528B0A50}"/>
    <cellStyle name="Comma 26" xfId="144" xr:uid="{46E6807A-35CA-4E58-9BBF-9F5166591438}"/>
    <cellStyle name="Comma 27" xfId="145" xr:uid="{492679F1-496E-429D-8B2C-04D3210EA7B4}"/>
    <cellStyle name="Comma 28" xfId="146" xr:uid="{4185D153-BE56-43C3-A04C-0652D8B9424A}"/>
    <cellStyle name="Comma 29" xfId="148" xr:uid="{F5C437D1-3738-46DF-B706-9B45F8699AA1}"/>
    <cellStyle name="Comma 3" xfId="5" xr:uid="{B973822E-FA2E-4DF5-BE8F-AF6FCA406B8C}"/>
    <cellStyle name="Comma 3 2" xfId="128" xr:uid="{859E3933-ED2F-4311-AACE-1266A618D459}"/>
    <cellStyle name="Comma 3 3" xfId="132" xr:uid="{1D310866-FB09-4D1C-83BD-C9714736DE8A}"/>
    <cellStyle name="Comma 3 4" xfId="57" xr:uid="{C5AE3442-1204-4CB3-8682-40DB9061F5E4}"/>
    <cellStyle name="Comma 3 5" xfId="106" xr:uid="{FC80ECF6-7532-4D1B-B03C-96E20E815861}"/>
    <cellStyle name="Comma 30" xfId="149" xr:uid="{9D790EB6-EBBA-433C-9E2E-FB597D22E1BD}"/>
    <cellStyle name="Comma 31" xfId="147" xr:uid="{E61B22D9-E7B1-4169-B053-497551FE43FD}"/>
    <cellStyle name="Comma 32" xfId="151" xr:uid="{9C28BD5C-BA3C-4AC2-A794-6B05D214E5A9}"/>
    <cellStyle name="Comma 33" xfId="152" xr:uid="{77CD6CEF-8727-451E-B651-7ABA5C8BBE1D}"/>
    <cellStyle name="Comma 34" xfId="153" xr:uid="{0778EB7D-B24F-417D-B0EF-A5183027067B}"/>
    <cellStyle name="Comma 35" xfId="154" xr:uid="{31F9D9BA-B5D9-4D0E-BC01-CD09600A9B8C}"/>
    <cellStyle name="Comma 36" xfId="150" xr:uid="{DCA30B93-A1A4-4F76-921D-8B154D70B85A}"/>
    <cellStyle name="Comma 37" xfId="156" xr:uid="{8F419E5A-8E01-43E4-A429-5D21FE11AA1D}"/>
    <cellStyle name="Comma 38" xfId="157" xr:uid="{3BA78458-7028-4063-B68D-3A4BCCEFC2B2}"/>
    <cellStyle name="Comma 39" xfId="155" xr:uid="{80A9A9F2-5ED2-4E92-A647-08AEC04F6B88}"/>
    <cellStyle name="Comma 4" xfId="59" xr:uid="{6D0611BF-C22C-49A3-8978-1E1D6A346E42}"/>
    <cellStyle name="Comma 4 2" xfId="121" xr:uid="{747B80F4-69D8-4E9F-AB3F-40158ECCD61A}"/>
    <cellStyle name="Comma 40" xfId="158" xr:uid="{66B67677-0A63-4630-8EA7-601DD38DC448}"/>
    <cellStyle name="Comma 41" xfId="159" xr:uid="{CF606280-7A4C-46AD-A9DA-BC5CB1E6645F}"/>
    <cellStyle name="Comma 42" xfId="161" xr:uid="{5D572335-F09C-419C-8787-DE868E94082B}"/>
    <cellStyle name="Comma 43" xfId="162" xr:uid="{EA1CDBE2-2D9F-4E6D-8F80-8DD8C9E036B8}"/>
    <cellStyle name="Comma 44" xfId="160" xr:uid="{EB26E2CD-EBFD-4F2F-BA53-908C5A8E0C26}"/>
    <cellStyle name="Comma 45" xfId="163" xr:uid="{80129DAC-9586-4267-9DAF-637DFDB49478}"/>
    <cellStyle name="Comma 46" xfId="164" xr:uid="{10473727-C0D4-42CB-B8E4-126AE5770D86}"/>
    <cellStyle name="Comma 47" xfId="166" xr:uid="{6CFE136A-9635-43A4-9615-17B06626A13E}"/>
    <cellStyle name="Comma 48" xfId="167" xr:uid="{BD83C17C-0EA5-4A65-A6E1-921552999CBB}"/>
    <cellStyle name="Comma 49" xfId="165" xr:uid="{C4880166-D67A-4398-B558-0F0283BBDB59}"/>
    <cellStyle name="Comma 5" xfId="120" xr:uid="{903C000C-08FC-4BA6-9F7F-73557C46F556}"/>
    <cellStyle name="Comma 50" xfId="168" xr:uid="{850FA32E-2919-4C01-90E5-7A955F390CAD}"/>
    <cellStyle name="Comma 51" xfId="169" xr:uid="{E614ABD7-C32A-426B-A63D-B26E99EF0875}"/>
    <cellStyle name="Comma 52" xfId="170" xr:uid="{31B19646-8EB4-447F-93F5-E336C9C536C2}"/>
    <cellStyle name="Comma 53" xfId="172" xr:uid="{738A9EAA-383A-45C7-814F-5359D745149F}"/>
    <cellStyle name="Comma 54" xfId="173" xr:uid="{A70401C9-042E-42F6-857E-FB82F7FE638B}"/>
    <cellStyle name="Comma 55" xfId="171" xr:uid="{2021A7CD-2B88-4904-ADE2-D774CB9417F7}"/>
    <cellStyle name="Comma 56" xfId="175" xr:uid="{8366ED35-70EF-4EA4-80B3-C384C4655EF6}"/>
    <cellStyle name="Comma 57" xfId="176" xr:uid="{21A9B69F-B6B4-4930-A098-7295E4954C92}"/>
    <cellStyle name="Comma 58" xfId="177" xr:uid="{F69C09DF-F531-479C-BD0C-3FD1B41F88EF}"/>
    <cellStyle name="Comma 59" xfId="178" xr:uid="{E87C2F43-0DB6-468E-9C52-C82D66E92CFA}"/>
    <cellStyle name="Comma 6" xfId="122" xr:uid="{2C1554E9-7FC5-49F9-921E-CA96777A985D}"/>
    <cellStyle name="Comma 60" xfId="174" xr:uid="{35D8D164-7057-4F09-A42B-611C4FAF34C5}"/>
    <cellStyle name="Comma 61" xfId="180" xr:uid="{CAE3D6AE-B0C9-485F-9996-71AC9DCAC595}"/>
    <cellStyle name="Comma 62" xfId="181" xr:uid="{6E124154-3123-4DC2-BCA1-01A76DADF7EC}"/>
    <cellStyle name="Comma 63" xfId="179" xr:uid="{0E5E7DBD-829B-4FAC-B8F7-F6B6309AACBE}"/>
    <cellStyle name="Comma 64" xfId="182" xr:uid="{329897B5-4C09-46E9-B0AC-150C7AF057A3}"/>
    <cellStyle name="Comma 65" xfId="183" xr:uid="{96A16E7C-A854-45E3-9F15-0B1CF962CDF6}"/>
    <cellStyle name="Comma 66" xfId="184" xr:uid="{71DF2B0A-3070-479D-A607-44E17817BF1D}"/>
    <cellStyle name="Comma 67" xfId="185" xr:uid="{98342436-9A72-4609-88A3-3D886D9696A5}"/>
    <cellStyle name="Comma 68" xfId="186" xr:uid="{3E63640A-F1B6-47D1-B331-FF4926BF95B2}"/>
    <cellStyle name="Comma 69" xfId="187" xr:uid="{B97ECAD2-1A8A-4600-83E6-54F76A210184}"/>
    <cellStyle name="Comma 7" xfId="123" xr:uid="{C117C39C-B497-438D-B5DA-8C0D7EB705BE}"/>
    <cellStyle name="Comma 7 3 2" xfId="3" xr:uid="{173E31FF-0B0C-4392-ABCE-AE22B07DFA96}"/>
    <cellStyle name="Comma 70" xfId="188" xr:uid="{60C27EB9-9FBB-4115-A95E-D258F008BF24}"/>
    <cellStyle name="Comma 71" xfId="189" xr:uid="{89FC6ED2-D176-4E9B-8C17-902FD9A4AD24}"/>
    <cellStyle name="Comma 72" xfId="190" xr:uid="{52013C87-E707-4A2F-907E-0A33F322B8E7}"/>
    <cellStyle name="Comma 73" xfId="192" xr:uid="{1C6C6FE3-CBD2-49FC-9172-8CFBCED405A6}"/>
    <cellStyle name="Comma 74" xfId="193" xr:uid="{BB817A45-B78B-42DA-B40C-2A5ADFC20185}"/>
    <cellStyle name="Comma 75" xfId="191" xr:uid="{D9C40D54-C39A-4B55-922E-571C1CE33822}"/>
    <cellStyle name="Comma 76" xfId="194" xr:uid="{000019A6-164C-4980-8F43-DAB033A2906A}"/>
    <cellStyle name="Comma 77" xfId="196" xr:uid="{1415AB3E-2458-44AC-865E-33A78292FE28}"/>
    <cellStyle name="Comma 78" xfId="197" xr:uid="{44B6837B-BCA0-4129-B667-3FF74298703E}"/>
    <cellStyle name="Comma 79" xfId="195" xr:uid="{BABD15B6-F4BF-4FC3-B308-6AC985D0FB61}"/>
    <cellStyle name="Comma 8" xfId="124" xr:uid="{64F9215F-18D8-442A-9405-89907C66D72F}"/>
    <cellStyle name="Comma 80" xfId="198" xr:uid="{DEA8CC50-9C68-4D46-9A38-13FC73D80D72}"/>
    <cellStyle name="Comma 81" xfId="199" xr:uid="{D03D5A30-C9C2-4578-9FE1-67519373C040}"/>
    <cellStyle name="Comma 82" xfId="201" xr:uid="{6CF5798E-468C-48D6-A054-A920C6877E75}"/>
    <cellStyle name="Comma 83" xfId="202" xr:uid="{BEA938E8-CF75-47AD-A47E-C80895AEB657}"/>
    <cellStyle name="Comma 84" xfId="200" xr:uid="{0064216C-2870-4399-8130-3E57169A0F0C}"/>
    <cellStyle name="Comma 85" xfId="203" xr:uid="{DE127BE1-E43C-4097-B348-10D95DF1D772}"/>
    <cellStyle name="Comma 86" xfId="205" xr:uid="{ACBADD92-F1D1-448F-97C2-5139FC94F1C7}"/>
    <cellStyle name="Comma 87" xfId="206" xr:uid="{F9B8DD9B-375F-4684-AD66-7DFDB3EB18AF}"/>
    <cellStyle name="Comma 88" xfId="204" xr:uid="{8507926F-8408-4E7D-820F-BCA724AE8219}"/>
    <cellStyle name="Comma 89" xfId="207" xr:uid="{94DD3F46-190F-43E2-828E-B3C94DDDDBB5}"/>
    <cellStyle name="Comma 9" xfId="125" xr:uid="{49C40CC6-3926-405A-9581-1BB189B8A174}"/>
    <cellStyle name="Comma 90" xfId="208" xr:uid="{A26C0C92-D0C6-4182-9801-F3268501BD22}"/>
    <cellStyle name="Comma 91" xfId="209" xr:uid="{5AEFF951-763E-40F2-823E-650779087673}"/>
    <cellStyle name="Comma 92" xfId="210" xr:uid="{4E36DBC7-577E-4816-BF18-77E59B3D6839}"/>
    <cellStyle name="Comma 93" xfId="211" xr:uid="{FAEBC182-7CDC-48DB-9176-6BA6B32ABD57}"/>
    <cellStyle name="Comma 94" xfId="212" xr:uid="{D9AB7D7F-984A-4B88-98CE-F8F8A3BF2477}"/>
    <cellStyle name="Comma 95" xfId="213" xr:uid="{E49CCB11-5265-44FB-8C2D-033BCBFBC55B}"/>
    <cellStyle name="Comma 96" xfId="214" xr:uid="{9B728D81-1A32-46F5-9697-6C3FA79BC536}"/>
    <cellStyle name="Comma 97" xfId="215" xr:uid="{1506B3CC-A303-45B8-8983-95C1362E159B}"/>
    <cellStyle name="Comma 98" xfId="216" xr:uid="{7DA55B52-9525-41EE-A6EC-C4DD03BBD1DA}"/>
    <cellStyle name="Comma 99" xfId="217" xr:uid="{95E03337-0F93-4D21-878D-67398A4D8EE6}"/>
    <cellStyle name="Currency" xfId="6" builtinId="4"/>
    <cellStyle name="Explanatory Text" xfId="323" builtinId="53" customBuiltin="1"/>
    <cellStyle name="Explanatory Text 2" xfId="78" xr:uid="{AE54684E-2E0C-4085-974A-CCC532BFB5DE}"/>
    <cellStyle name="Explanatory Text 3" xfId="29" xr:uid="{AAB3E0FB-9291-4A0C-8E76-C6DAE4E46DAA}"/>
    <cellStyle name="Good" xfId="314" builtinId="26" customBuiltin="1"/>
    <cellStyle name="Good 2" xfId="69" xr:uid="{8A727176-EBA4-4675-B1ED-6D49E5492507}"/>
    <cellStyle name="Good 3" xfId="20" xr:uid="{72E0307D-93F4-494F-804D-7586A7B839CA}"/>
    <cellStyle name="Heading 1" xfId="310" builtinId="16" customBuiltin="1"/>
    <cellStyle name="Heading 1 2" xfId="65" xr:uid="{FB50B4A3-4BD5-4F57-892B-E9BA3385F417}"/>
    <cellStyle name="Heading 1 3" xfId="16" xr:uid="{2133BB98-5405-4164-82B6-3F915FD579DD}"/>
    <cellStyle name="Heading 2" xfId="311" builtinId="17" customBuiltin="1"/>
    <cellStyle name="Heading 2 2" xfId="66" xr:uid="{5B136F21-BFFE-4333-8BE0-93936C3CA91F}"/>
    <cellStyle name="Heading 2 3" xfId="17" xr:uid="{A673F023-2377-48F3-A723-2F26F91BCA44}"/>
    <cellStyle name="Heading 3" xfId="312" builtinId="18" customBuiltin="1"/>
    <cellStyle name="Heading 3 2" xfId="67" xr:uid="{11F3CDE8-6EC9-4D1B-B723-D8B129DC1DEB}"/>
    <cellStyle name="Heading 3 3" xfId="113" xr:uid="{5E075FD6-A183-4600-AD57-CA0C6125538E}"/>
    <cellStyle name="Heading 3 4" xfId="18" xr:uid="{D18FF53A-9562-4245-959D-0B4733061FC7}"/>
    <cellStyle name="Heading 4" xfId="313" builtinId="19" customBuiltin="1"/>
    <cellStyle name="Heading 4 2" xfId="68" xr:uid="{9AAF661A-B811-4F67-83AB-BFD12B6B0D28}"/>
    <cellStyle name="Heading 4 3" xfId="19" xr:uid="{8FED0C56-83DE-422A-B948-75467ABABA45}"/>
    <cellStyle name="Input" xfId="317" builtinId="20" customBuiltin="1"/>
    <cellStyle name="Input 2" xfId="72" xr:uid="{303399F5-3BC7-4EB2-8ED1-E9AF2B1BDA06}"/>
    <cellStyle name="Input 3" xfId="23" xr:uid="{074D46A3-C4AA-45CB-BB47-FB2E07A8CB01}"/>
    <cellStyle name="Linked Cell" xfId="320" builtinId="24" customBuiltin="1"/>
    <cellStyle name="Linked Cell 2" xfId="75" xr:uid="{5FBED9F3-6A9D-4769-B2F7-4054E024C10F}"/>
    <cellStyle name="Linked Cell 3" xfId="26" xr:uid="{33068A9D-675F-4841-943F-C7837E8CAEC6}"/>
    <cellStyle name="Neutral" xfId="316" builtinId="28" customBuiltin="1"/>
    <cellStyle name="Neutral 2" xfId="71" xr:uid="{4E34CF0C-590E-48E2-A3B4-E003F258720D}"/>
    <cellStyle name="Neutral 3" xfId="22" xr:uid="{2ADB304F-7900-434A-8C3C-0E8A91EEA3F6}"/>
    <cellStyle name="Normal" xfId="0" builtinId="0"/>
    <cellStyle name="Normal 19" xfId="112" xr:uid="{CA16E4D3-DF6E-499C-A907-B4CC54F5FAA6}"/>
    <cellStyle name="Normal 2" xfId="9" xr:uid="{918B0574-8C7C-45BF-8C77-3C8848CCA966}"/>
    <cellStyle name="Normal 2 2" xfId="58" xr:uid="{98FE1E24-1887-4461-BC71-B19EDCDE99A4}"/>
    <cellStyle name="Normal 2 2 2" xfId="115" xr:uid="{041095F6-B83E-4D2F-B03D-69347693C74E}"/>
    <cellStyle name="Normal 2 3" xfId="353" xr:uid="{079048E0-C4EB-40D1-9711-37E4BD601540}"/>
    <cellStyle name="Normal 3" xfId="10" xr:uid="{AB3E02D2-4CFB-4CC6-8126-07F6B1301C88}"/>
    <cellStyle name="Normal 3 2" xfId="14" xr:uid="{EF303EDC-2CCF-4C2C-A9D1-FC911198D08D}"/>
    <cellStyle name="Normal 3 2 2 2" xfId="7" xr:uid="{B48A04FA-89D0-4FCA-8298-9AC263A59046}"/>
    <cellStyle name="Normal 3 3" xfId="105" xr:uid="{FF01CAC0-95C6-4C4B-B04B-1ED496484560}"/>
    <cellStyle name="Normal 3 4" xfId="13" xr:uid="{8E23F0DD-0F41-4AC2-999E-A1B68F653907}"/>
    <cellStyle name="Normal 4" xfId="55" xr:uid="{D182914B-B22B-4194-86D5-D7639EEE0E49}"/>
    <cellStyle name="Normal 4 2" xfId="129" xr:uid="{C4AD2E41-6FE6-4FF9-ADAC-7936E44632F9}"/>
    <cellStyle name="Normal 4 2 5" xfId="8" xr:uid="{FBA85E5E-E579-4CC7-8B19-74A873BCD3A1}"/>
    <cellStyle name="Normal 5" xfId="104" xr:uid="{891357BA-5309-417D-BD00-BFDF600177E6}"/>
    <cellStyle name="Normal 5 2" xfId="118" xr:uid="{3049AAD8-F07E-4E45-AD9C-9FFEBB752D70}"/>
    <cellStyle name="Normal 6" xfId="349" xr:uid="{5408C026-F9D4-468E-A3AD-B42ECEF8B05D}"/>
    <cellStyle name="Normal 7" xfId="350" xr:uid="{DD020561-8348-4E50-B7B7-81D01D627B85}"/>
    <cellStyle name="Normal 8" xfId="351" xr:uid="{2B74367D-85B9-476F-9DE9-325744A5B618}"/>
    <cellStyle name="Normal 9" xfId="352" xr:uid="{03A62A3B-67DD-4805-B9D6-AF9CF7567067}"/>
    <cellStyle name="Note" xfId="11" builtinId="10" customBuiltin="1"/>
    <cellStyle name="Note 2" xfId="56" xr:uid="{7332F497-AEA7-4079-9D77-88A7E6244DC2}"/>
    <cellStyle name="Output" xfId="318" builtinId="21" customBuiltin="1"/>
    <cellStyle name="Output 2" xfId="73" xr:uid="{3136061A-82FF-45CA-A257-9EE32E8C964E}"/>
    <cellStyle name="Output 3" xfId="24" xr:uid="{7B355C1E-AEEF-4768-86AD-C208BC145A1A}"/>
    <cellStyle name="Percent" xfId="2" builtinId="5"/>
    <cellStyle name="Percent 14 2" xfId="111" xr:uid="{872A1814-FECE-4E98-8D3D-5F32D6A01015}"/>
    <cellStyle name="Percent 2" xfId="61" xr:uid="{2E7F3A1D-4BD6-41A5-A147-3EC365FC183F}"/>
    <cellStyle name="Percent 2 2" xfId="116" xr:uid="{3FADF33A-4A76-4D4F-960C-40EA8FE56C23}"/>
    <cellStyle name="Percent 3" xfId="108" xr:uid="{7002151F-D901-46F5-ADFA-AFB63718D29B}"/>
    <cellStyle name="Percent 5" xfId="119" xr:uid="{92D41E3E-45A8-4F39-BB24-0EDD4768658C}"/>
    <cellStyle name="Title" xfId="309" builtinId="15" customBuiltin="1"/>
    <cellStyle name="Title 2" xfId="64" xr:uid="{77317E55-2621-4D2B-BC10-C14DB75604AA}"/>
    <cellStyle name="Title 3" xfId="15" xr:uid="{D6232F47-678D-46C2-86B9-00A6552DAFFF}"/>
    <cellStyle name="Total" xfId="324" builtinId="25" customBuiltin="1"/>
    <cellStyle name="Total 2" xfId="79" xr:uid="{F22CF608-6A61-4756-9CA4-162553E5EC59}"/>
    <cellStyle name="Total 3" xfId="30" xr:uid="{A3D4C8C2-86CA-470F-BE35-34E02718D5EA}"/>
    <cellStyle name="Warning Text" xfId="322" builtinId="11" customBuiltin="1"/>
    <cellStyle name="Warning Text 2" xfId="77" xr:uid="{D941995E-95ED-4AC7-80AB-5142E169A691}"/>
    <cellStyle name="Warning Text 3" xfId="28" xr:uid="{60247CE8-6DBB-4905-A44C-99E9E97EDDDF}"/>
    <cellStyle name="千位分隔 19" xfId="110" xr:uid="{84FA2253-C4BD-45B6-91D1-99846B8B429D}"/>
    <cellStyle name="常规 28" xfId="109" xr:uid="{133A3038-D2E7-47BB-A070-C26F46EFF972}"/>
  </cellStyles>
  <dxfs count="336">
    <dxf>
      <font>
        <b/>
        <i val="0"/>
        <color rgb="FFFF0000"/>
      </font>
    </dxf>
    <dxf>
      <font>
        <b/>
        <i val="0"/>
        <color rgb="FFFF0000"/>
      </font>
    </dxf>
    <dxf>
      <font>
        <b/>
        <i val="0"/>
        <color rgb="FFFF0000"/>
      </font>
    </dxf>
    <dxf>
      <font>
        <b/>
        <i val="0"/>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rgb="FFFF66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dxf>
    <dxf>
      <font>
        <b/>
        <i val="0"/>
        <color rgb="FFFF0000"/>
      </font>
    </dxf>
    <dxf>
      <font>
        <color rgb="FF9C0006"/>
      </font>
      <fill>
        <patternFill>
          <bgColor rgb="FFFFC7CE"/>
        </patternFill>
      </fill>
    </dxf>
    <dxf>
      <fill>
        <patternFill>
          <bgColor theme="5" tint="0.79998168889431442"/>
        </patternFill>
      </fill>
    </dxf>
    <dxf>
      <font>
        <b/>
        <i val="0"/>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0000FF"/>
      </font>
    </dxf>
    <dxf>
      <font>
        <color rgb="FF7030A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alignment horizontal="general" indent="0"/>
    </dxf>
    <dxf>
      <alignment vertical="center"/>
    </dxf>
    <dxf>
      <font>
        <b val="0"/>
        <i val="0"/>
        <strike val="0"/>
        <condense val="0"/>
        <extend val="0"/>
        <outline val="0"/>
        <shadow val="0"/>
        <u val="none"/>
        <vertAlign val="baseline"/>
        <sz val="9"/>
        <color theme="1"/>
        <name val="Arial Narrow"/>
        <family val="2"/>
        <scheme val="none"/>
      </font>
      <numFmt numFmtId="30" formatCode="@"/>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Arial Narrow"/>
        <family val="2"/>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Narrow"/>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ttom style="thin">
          <color indexed="64"/>
        </bottom>
      </border>
    </dxf>
    <dxf>
      <font>
        <b/>
        <i val="0"/>
        <strike val="0"/>
        <condense val="0"/>
        <extend val="0"/>
        <outline val="0"/>
        <shadow val="0"/>
        <u val="none"/>
        <vertAlign val="baseline"/>
        <sz val="9"/>
        <color theme="0"/>
        <name val="Arial Narrow"/>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numFmt numFmtId="30" formatCode="@"/>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Arial Narrow"/>
        <family val="2"/>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Narrow"/>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ttom style="thin">
          <color indexed="64"/>
        </bottom>
      </border>
    </dxf>
    <dxf>
      <font>
        <b/>
        <i val="0"/>
        <strike val="0"/>
        <condense val="0"/>
        <extend val="0"/>
        <outline val="0"/>
        <shadow val="0"/>
        <u val="none"/>
        <vertAlign val="baseline"/>
        <sz val="9"/>
        <color theme="0"/>
        <name val="Arial Narrow"/>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font>
        <b val="0"/>
        <i val="0"/>
        <strike val="0"/>
        <condense val="0"/>
        <extend val="0"/>
        <outline val="0"/>
        <shadow val="0"/>
        <u val="none"/>
        <vertAlign val="baseline"/>
        <sz val="11"/>
        <color auto="1"/>
        <name val="Calibri"/>
        <family val="2"/>
        <scheme val="minor"/>
      </font>
      <numFmt numFmtId="13" formatCode="0%"/>
    </dxf>
    <dxf>
      <font>
        <b val="0"/>
        <i val="0"/>
        <strike val="0"/>
        <condense val="0"/>
        <extend val="0"/>
        <outline val="0"/>
        <shadow val="0"/>
        <u val="none"/>
        <vertAlign val="baseline"/>
        <sz val="11"/>
        <color auto="1"/>
        <name val="Calibri"/>
        <family val="2"/>
        <scheme val="minor"/>
      </font>
      <numFmt numFmtId="185" formatCode="##&quot; days&quot;"/>
    </dxf>
    <dxf>
      <font>
        <b val="0"/>
        <i val="0"/>
        <strike val="0"/>
        <condense val="0"/>
        <extend val="0"/>
        <outline val="0"/>
        <shadow val="0"/>
        <u val="none"/>
        <vertAlign val="baseline"/>
        <sz val="11"/>
        <color auto="1"/>
        <name val="Calibri"/>
        <family val="2"/>
        <scheme val="minor"/>
      </font>
      <numFmt numFmtId="185" formatCode="##&quot; days&quo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theme="4" tint="0.39997558519241921"/>
        </top>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4"/>
        <family val="2"/>
      </font>
      <numFmt numFmtId="0" formatCode="General"/>
    </dxf>
    <dxf>
      <font>
        <strike val="0"/>
        <outline val="0"/>
        <shadow val="0"/>
        <u val="none"/>
        <vertAlign val="baseline"/>
        <sz val="11"/>
        <color theme="4"/>
        <family val="2"/>
      </font>
      <numFmt numFmtId="0" formatCode="General"/>
    </dxf>
    <dxf>
      <font>
        <strike val="0"/>
        <outline val="0"/>
        <shadow val="0"/>
        <u val="none"/>
        <vertAlign val="baseline"/>
        <sz val="11"/>
        <color theme="4"/>
        <family val="2"/>
      </font>
      <numFmt numFmtId="0" formatCode="General"/>
    </dxf>
    <dxf>
      <font>
        <strike val="0"/>
        <outline val="0"/>
        <shadow val="0"/>
        <u val="none"/>
        <vertAlign val="baseline"/>
        <sz val="11"/>
        <color theme="4"/>
        <family val="2"/>
      </font>
    </dxf>
    <dxf>
      <font>
        <strike val="0"/>
        <outline val="0"/>
        <shadow val="0"/>
        <u val="none"/>
        <vertAlign val="baseline"/>
        <sz val="11"/>
        <color theme="4"/>
        <family val="2"/>
      </font>
      <numFmt numFmtId="0" formatCode="General"/>
    </dxf>
    <dxf>
      <font>
        <strike val="0"/>
        <outline val="0"/>
        <shadow val="0"/>
        <u val="none"/>
        <vertAlign val="baseline"/>
        <sz val="11"/>
        <color theme="4"/>
        <family val="2"/>
      </font>
      <numFmt numFmtId="166" formatCode="_(* #,##0_);_(* \(#,##0\);_(* &quot;-&quot;??_);_(@_)"/>
    </dxf>
    <dxf>
      <font>
        <strike val="0"/>
        <outline val="0"/>
        <shadow val="0"/>
        <u val="none"/>
        <vertAlign val="baseline"/>
        <sz val="11"/>
        <color theme="4"/>
        <family val="2"/>
      </font>
      <numFmt numFmtId="0" formatCode="General"/>
    </dxf>
    <dxf>
      <font>
        <b val="0"/>
        <i val="0"/>
        <strike val="0"/>
        <condense val="0"/>
        <extend val="0"/>
        <outline val="0"/>
        <shadow val="0"/>
        <u val="none"/>
        <vertAlign val="baseline"/>
        <sz val="11"/>
        <color theme="4"/>
        <name val="Calibri"/>
        <family val="2"/>
        <scheme val="minor"/>
      </font>
      <numFmt numFmtId="166" formatCode="_(* #,##0_);_(* \(#,##0\);_(* &quot;-&quot;??_);_(@_)"/>
    </dxf>
    <dxf>
      <font>
        <strike val="0"/>
        <outline val="0"/>
        <shadow val="0"/>
        <u val="none"/>
        <vertAlign val="baseline"/>
        <sz val="11"/>
        <color theme="4"/>
        <name val="Calibri"/>
        <family val="2"/>
        <scheme val="minor"/>
      </font>
      <numFmt numFmtId="35" formatCode="_(* #,##0.00_);_(* \(#,##0.00\);_(*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4"/>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4"/>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4"/>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4"/>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4"/>
        <name val="Calibri"/>
        <family val="2"/>
        <scheme val="minor"/>
      </font>
      <numFmt numFmtId="14"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4"/>
        <name val="Arial Narrow"/>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4"/>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4"/>
      </font>
      <border diagonalUp="0" diagonalDown="0" outline="0">
        <left style="thin">
          <color auto="1"/>
        </left>
        <right style="thin">
          <color indexed="64"/>
        </right>
        <top style="thin">
          <color indexed="64"/>
        </top>
        <bottom style="thin">
          <color indexed="64"/>
        </bottom>
      </border>
    </dxf>
    <dxf>
      <font>
        <strike val="0"/>
        <outline val="0"/>
        <shadow val="0"/>
        <u val="none"/>
        <vertAlign val="baseline"/>
        <sz val="11"/>
        <color theme="4"/>
      </font>
      <numFmt numFmtId="14" formatCode="0.00%"/>
      <fill>
        <patternFill patternType="none">
          <fgColor indexed="64"/>
          <bgColor auto="1"/>
        </patternFill>
      </fill>
      <border diagonalUp="0" diagonalDown="0" outline="0">
        <left style="thin">
          <color auto="1"/>
        </left>
        <right style="thin">
          <color indexed="64"/>
        </right>
        <top style="thin">
          <color indexed="64"/>
        </top>
        <bottom style="thin">
          <color indexed="64"/>
        </bottom>
      </border>
    </dxf>
    <dxf>
      <font>
        <strike val="0"/>
        <outline val="0"/>
        <shadow val="0"/>
        <u val="none"/>
        <vertAlign val="baseline"/>
        <sz val="11"/>
        <color theme="4"/>
      </font>
      <numFmt numFmtId="20" formatCode="d\-mmm\-yy"/>
      <fill>
        <patternFill patternType="none">
          <fgColor indexed="64"/>
          <bgColor auto="1"/>
        </patternFill>
      </fill>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theme="4"/>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theme="4"/>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border>
    </dxf>
    <dxf>
      <font>
        <strike val="0"/>
        <outline val="0"/>
        <shadow val="0"/>
        <u val="none"/>
        <vertAlign val="baseline"/>
        <sz val="11"/>
        <color theme="4"/>
      </font>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theme="4"/>
        <name val="Calibri"/>
        <family val="2"/>
        <scheme val="minor"/>
      </font>
      <numFmt numFmtId="166" formatCode="_(* #,##0_);_(* \(#,##0\);_(* &quot;-&quot;??_);_(@_)"/>
      <fill>
        <patternFill patternType="none">
          <fgColor indexed="64"/>
          <bgColor auto="1"/>
        </patternFill>
      </fill>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theme="4"/>
        <name val="Calibri"/>
        <family val="2"/>
        <scheme val="minor"/>
      </font>
      <numFmt numFmtId="166" formatCode="_(* #,##0_);_(* \(#,##0\);_(* &quot;-&quot;??_);_(@_)"/>
      <fill>
        <patternFill patternType="none">
          <fgColor indexed="64"/>
          <bgColor auto="1"/>
        </patternFill>
      </fill>
      <border diagonalUp="0" diagonalDown="0" outline="0">
        <left style="thin">
          <color auto="1"/>
        </left>
        <right style="thin">
          <color auto="1"/>
        </right>
        <top style="thin">
          <color indexed="64"/>
        </top>
        <bottom style="thin">
          <color indexed="64"/>
        </bottom>
      </border>
    </dxf>
    <dxf>
      <font>
        <strike val="0"/>
        <outline val="0"/>
        <shadow val="0"/>
        <u val="none"/>
        <vertAlign val="baseline"/>
        <sz val="11"/>
        <color theme="4"/>
      </font>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1"/>
        <color theme="4"/>
      </font>
      <fill>
        <patternFill patternType="none">
          <fgColor indexed="64"/>
          <bgColor auto="1"/>
        </patternFill>
      </fill>
      <border diagonalUp="0" diagonalDown="0" outline="0">
        <left style="thin">
          <color auto="1"/>
        </left>
        <right style="thin">
          <color auto="1"/>
        </right>
        <top style="thin">
          <color indexed="64"/>
        </top>
        <bottom style="thin">
          <color indexed="64"/>
        </bottom>
      </border>
    </dxf>
    <dxf>
      <font>
        <strike val="0"/>
        <outline val="0"/>
        <shadow val="0"/>
        <u val="none"/>
        <vertAlign val="baseline"/>
        <sz val="11"/>
        <color theme="4"/>
      </font>
      <numFmt numFmtId="1"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strike val="0"/>
        <outline val="0"/>
        <shadow val="0"/>
        <u val="none"/>
        <vertAlign val="baseline"/>
        <sz val="11"/>
        <color theme="4"/>
      </font>
      <alignment horizontal="left"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i val="0"/>
        <strike val="0"/>
        <condense val="0"/>
        <extend val="0"/>
        <outline val="0"/>
        <shadow val="0"/>
        <u val="none"/>
        <vertAlign val="baseline"/>
        <sz val="11"/>
        <color theme="4"/>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4"/>
        <family val="2"/>
      </font>
    </dxf>
    <dxf>
      <border>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rial Narrow"/>
        <family val="2"/>
        <scheme val="none"/>
      </font>
      <fill>
        <patternFill patternType="none">
          <fgColor indexed="64"/>
          <bgColor auto="1"/>
        </patternFill>
      </fill>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theme="1"/>
        <name val="Arial Narrow"/>
        <family val="2"/>
        <scheme val="none"/>
      </font>
      <fill>
        <patternFill patternType="none">
          <fgColor indexed="64"/>
          <bgColor auto="1"/>
        </patternFill>
      </fill>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theme="1"/>
        <name val="Arial Narrow"/>
        <family val="2"/>
        <scheme val="none"/>
      </font>
      <fill>
        <patternFill patternType="none">
          <fgColor indexed="64"/>
          <bgColor auto="1"/>
        </patternFill>
      </fill>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theme="1"/>
        <name val="Arial Narrow"/>
        <family val="2"/>
        <scheme val="none"/>
      </font>
      <numFmt numFmtId="166" formatCode="_(* #,##0_);_(* \(#,##0\);_(* &quot;-&quot;??_);_(@_)"/>
      <fill>
        <patternFill patternType="none">
          <fgColor indexed="64"/>
          <bgColor auto="1"/>
        </patternFill>
      </fill>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Arial Narrow"/>
        <family val="2"/>
        <scheme val="none"/>
      </font>
      <numFmt numFmtId="166" formatCode="_(* #,##0_);_(* \(#,##0\);_(* &quot;-&quot;??_);_(@_)"/>
      <fill>
        <patternFill patternType="none">
          <fgColor indexed="64"/>
          <bgColor auto="1"/>
        </patternFill>
      </fill>
      <border diagonalUp="0" diagonalDown="0" outline="0">
        <left/>
        <right/>
        <top style="thin">
          <color indexed="64"/>
        </top>
        <bottom/>
      </border>
    </dxf>
    <dxf>
      <font>
        <b val="0"/>
        <i val="0"/>
        <strike val="0"/>
        <condense val="0"/>
        <extend val="0"/>
        <outline val="0"/>
        <shadow val="0"/>
        <u val="none"/>
        <vertAlign val="baseline"/>
        <sz val="11"/>
        <color theme="1"/>
        <name val="Arial Narrow"/>
        <family val="2"/>
        <scheme val="none"/>
      </font>
      <numFmt numFmtId="35" formatCode="_(* #,##0.00_);_(* \(#,##0.00\);_(* &quot;-&quot;??_);_(@_)"/>
      <fill>
        <patternFill patternType="none">
          <fgColor indexed="64"/>
          <bgColor auto="1"/>
        </patternFill>
      </fill>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theme="1"/>
        <name val="Arial Narrow"/>
        <family val="2"/>
        <scheme val="none"/>
      </font>
      <numFmt numFmtId="166" formatCode="_(* #,##0_);_(* \(#,##0\);_(* &quot;-&quot;??_);_(@_)"/>
      <fill>
        <patternFill patternType="none">
          <fgColor indexed="64"/>
          <bgColor auto="1"/>
        </patternFill>
      </fill>
      <border diagonalUp="0" diagonalDown="0" outline="0">
        <left/>
        <right style="thin">
          <color indexed="64"/>
        </right>
        <top style="thin">
          <color auto="1"/>
        </top>
        <bottom style="thin">
          <color auto="1"/>
        </bottom>
      </border>
    </dxf>
    <dxf>
      <font>
        <b val="0"/>
        <i val="0"/>
        <strike val="0"/>
        <condense val="0"/>
        <extend val="0"/>
        <outline val="0"/>
        <shadow val="0"/>
        <u val="none"/>
        <vertAlign val="baseline"/>
        <sz val="11"/>
        <color theme="1"/>
        <name val="Arial Narrow"/>
        <family val="2"/>
        <scheme val="none"/>
      </font>
      <numFmt numFmtId="166" formatCode="_(* #,##0_);_(* \(#,##0\);_(* &quot;-&quot;??_);_(@_)"/>
      <fill>
        <patternFill patternType="none">
          <fgColor indexed="64"/>
          <bgColor auto="1"/>
        </patternFill>
      </fill>
      <border diagonalUp="0" diagonalDown="0" outline="0">
        <left/>
        <right/>
        <top style="thin">
          <color auto="1"/>
        </top>
        <bottom style="thin">
          <color auto="1"/>
        </bottom>
      </border>
    </dxf>
    <dxf>
      <font>
        <b val="0"/>
        <i val="0"/>
        <strike val="0"/>
        <condense val="0"/>
        <extend val="0"/>
        <outline val="0"/>
        <shadow val="0"/>
        <u val="none"/>
        <vertAlign val="baseline"/>
        <sz val="11"/>
        <color theme="1"/>
        <name val="Arial Narrow"/>
        <family val="2"/>
        <scheme val="none"/>
      </font>
      <numFmt numFmtId="166" formatCode="_(* #,##0_);_(* \(#,##0\);_(* &quot;-&quot;??_);_(@_)"/>
      <fill>
        <patternFill patternType="none">
          <fgColor indexed="64"/>
          <bgColor auto="1"/>
        </patternFill>
      </fill>
      <border diagonalUp="0" diagonalDown="0" outline="0">
        <left/>
        <right style="thin">
          <color indexed="64"/>
        </right>
        <top style="thin">
          <color auto="1"/>
        </top>
        <bottom style="thin">
          <color auto="1"/>
        </bottom>
      </border>
    </dxf>
    <dxf>
      <font>
        <b val="0"/>
        <i val="0"/>
        <strike val="0"/>
        <condense val="0"/>
        <extend val="0"/>
        <outline val="0"/>
        <shadow val="0"/>
        <u val="none"/>
        <vertAlign val="baseline"/>
        <sz val="11"/>
        <color theme="1"/>
        <name val="Arial Narrow"/>
        <family val="2"/>
        <scheme val="none"/>
      </font>
      <numFmt numFmtId="169" formatCode="_-* #,##0\ _₫_-;\-* #,##0\ _₫_-;_-* &quot;-&quot;??\ _₫_-;_-@_-"/>
      <fill>
        <patternFill patternType="none">
          <fgColor indexed="64"/>
          <bgColor auto="1"/>
        </patternFill>
      </fill>
      <alignment horizontal="right"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theme="1"/>
        <name val="Arial Narrow"/>
        <family val="2"/>
        <scheme val="none"/>
      </font>
      <numFmt numFmtId="166" formatCode="_(* #,##0_);_(* \(#,##0\);_(*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Arial Narrow"/>
        <family val="2"/>
        <scheme val="none"/>
      </font>
      <numFmt numFmtId="169" formatCode="_-* #,##0\ _₫_-;\-* #,##0\ _₫_-;_-* &quot;-&quot;??\ _₫_-;_-@_-"/>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Arial Narrow"/>
        <family val="2"/>
        <scheme val="none"/>
      </font>
      <numFmt numFmtId="169" formatCode="_-* #,##0\ _₫_-;\-* #,##0\ _₫_-;_-* &quot;-&quot;??\ _₫_-;_-@_-"/>
      <fill>
        <patternFill patternType="none">
          <fgColor indexed="64"/>
          <bgColor auto="1"/>
        </patternFill>
      </fill>
      <alignment horizontal="right"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theme="1"/>
        <name val="Arial Narrow"/>
        <family val="2"/>
        <scheme val="none"/>
      </font>
      <numFmt numFmtId="166" formatCode="_(* #,##0_);_(* \(#,##0\);_(* &quot;-&quot;??_);_(@_)"/>
      <fill>
        <patternFill patternType="none">
          <fgColor indexed="64"/>
          <bgColor auto="1"/>
        </patternFill>
      </fill>
      <alignment horizontal="right" textRotation="0" indent="0" justifyLastLine="0" shrinkToFit="0" readingOrder="0"/>
      <border diagonalUp="0" diagonalDown="0" outline="0">
        <left style="thin">
          <color auto="1"/>
        </left>
        <right style="thin">
          <color indexed="64"/>
        </right>
        <top style="thin">
          <color auto="1"/>
        </top>
        <bottom style="thin">
          <color auto="1"/>
        </bottom>
      </border>
    </dxf>
    <dxf>
      <font>
        <b val="0"/>
        <i val="0"/>
        <strike val="0"/>
        <condense val="0"/>
        <extend val="0"/>
        <outline val="0"/>
        <shadow val="0"/>
        <u val="none"/>
        <vertAlign val="baseline"/>
        <sz val="11"/>
        <color theme="1"/>
        <name val="Arial Narrow"/>
        <family val="2"/>
        <scheme val="none"/>
      </font>
      <numFmt numFmtId="166" formatCode="_(* #,##0_);_(* \(#,##0\);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rial Narrow"/>
        <family val="2"/>
        <scheme val="none"/>
      </font>
      <numFmt numFmtId="35" formatCode="_(* #,##0.00_);_(* \(#,##0.00\);_(* &quot;-&quot;??_);_(@_)"/>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indexed="64"/>
        </right>
        <top style="thin">
          <color auto="1"/>
        </top>
        <bottom style="thin">
          <color auto="1"/>
        </bottom>
      </border>
    </dxf>
    <dxf>
      <font>
        <b val="0"/>
        <i val="0"/>
        <strike val="0"/>
        <condense val="0"/>
        <extend val="0"/>
        <outline val="0"/>
        <shadow val="0"/>
        <u val="none"/>
        <vertAlign val="baseline"/>
        <sz val="11"/>
        <color theme="1"/>
        <name val="Arial Narrow"/>
        <family val="2"/>
        <scheme val="none"/>
      </font>
      <numFmt numFmtId="35" formatCode="_(* #,##0.00_);_(* \(#,##0.00\);_(* &quot;-&quot;??_);_(@_)"/>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theme="1"/>
        <name val="Arial Narrow"/>
        <family val="2"/>
        <scheme val="none"/>
      </font>
      <numFmt numFmtId="35" formatCode="_(* #,##0.00_);_(* \(#,##0.00\);_(* &quot;-&quot;??_);_(@_)"/>
      <fill>
        <patternFill patternType="none">
          <fgColor indexed="64"/>
          <bgColor auto="1"/>
        </patternFill>
      </fill>
      <alignment horizontal="center" vertical="bottom" textRotation="0" wrapText="0" indent="0" justifyLastLine="0" shrinkToFit="0" readingOrder="0"/>
      <border diagonalUp="0" diagonalDown="0" outline="0">
        <left/>
        <right/>
        <top style="thin">
          <color auto="1"/>
        </top>
        <bottom style="thin">
          <color auto="1"/>
        </bottom>
      </border>
    </dxf>
    <dxf>
      <font>
        <b val="0"/>
        <i val="0"/>
        <strike val="0"/>
        <condense val="0"/>
        <extend val="0"/>
        <outline val="0"/>
        <shadow val="0"/>
        <u val="none"/>
        <vertAlign val="baseline"/>
        <sz val="11"/>
        <color theme="1"/>
        <name val="Arial Narrow"/>
        <family val="2"/>
        <scheme val="none"/>
      </font>
      <numFmt numFmtId="166" formatCode="_(* #,##0_);_(* \(#,##0\);_(* &quot;-&quot;??_);_(@_)"/>
      <fill>
        <patternFill patternType="none">
          <fgColor indexed="64"/>
          <bgColor auto="1"/>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theme="1"/>
        <name val="Arial Narrow"/>
        <family val="2"/>
        <scheme val="none"/>
      </font>
      <numFmt numFmtId="166" formatCode="_(* #,##0_);_(* \(#,##0\);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Arial Narrow"/>
        <family val="2"/>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theme="1"/>
        <name val="Arial Narrow"/>
        <family val="2"/>
        <scheme val="none"/>
      </font>
      <fill>
        <patternFill patternType="none">
          <fgColor indexed="64"/>
          <bgColor auto="1"/>
        </patternFill>
      </fill>
      <border diagonalUp="0" diagonalDown="0" outline="0">
        <left/>
        <right/>
        <top style="thin">
          <color auto="1"/>
        </top>
        <bottom style="thin">
          <color auto="1"/>
        </bottom>
      </border>
    </dxf>
    <dxf>
      <font>
        <b val="0"/>
        <i val="0"/>
        <strike val="0"/>
        <condense val="0"/>
        <extend val="0"/>
        <outline val="0"/>
        <shadow val="0"/>
        <u val="none"/>
        <vertAlign val="baseline"/>
        <sz val="11"/>
        <color theme="1"/>
        <name val="Arial Narrow"/>
        <family val="2"/>
        <scheme val="none"/>
      </font>
      <fill>
        <patternFill patternType="none">
          <fgColor indexed="64"/>
          <bgColor auto="1"/>
        </patternFill>
      </fill>
      <border diagonalUp="0" diagonalDown="0" outline="0">
        <left style="thin">
          <color auto="1"/>
        </left>
        <right/>
        <top style="thin">
          <color auto="1"/>
        </top>
        <bottom style="thin">
          <color auto="1"/>
        </bottom>
      </border>
    </dxf>
    <dxf>
      <font>
        <b/>
        <i val="0"/>
        <strike val="0"/>
        <condense val="0"/>
        <extend val="0"/>
        <outline val="0"/>
        <shadow val="0"/>
        <u val="none"/>
        <vertAlign val="baseline"/>
        <sz val="11"/>
        <color theme="1"/>
        <name val="Arial Narrow"/>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auto="1"/>
        </left>
        <right style="thin">
          <color indexed="64"/>
        </right>
        <top style="thin">
          <color auto="1"/>
        </top>
        <bottom style="thin">
          <color auto="1"/>
        </bottom>
      </border>
    </dxf>
    <dxf>
      <font>
        <b/>
        <i val="0"/>
        <strike val="0"/>
        <condense val="0"/>
        <extend val="0"/>
        <outline val="0"/>
        <shadow val="0"/>
        <u val="none"/>
        <vertAlign val="baseline"/>
        <sz val="11"/>
        <color theme="1"/>
        <name val="Arial Narrow"/>
        <family val="2"/>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outline="0">
        <left style="thin">
          <color auto="1"/>
        </left>
        <right style="thin">
          <color auto="1"/>
        </right>
        <top style="thin">
          <color indexed="64"/>
        </top>
        <bottom style="thin">
          <color auto="1"/>
        </bottom>
      </border>
    </dxf>
    <dxf>
      <font>
        <b val="0"/>
        <i val="0"/>
        <strike val="0"/>
        <condense val="0"/>
        <extend val="0"/>
        <outline val="0"/>
        <shadow val="0"/>
        <u val="none"/>
        <vertAlign val="baseline"/>
        <sz val="11"/>
        <color theme="1"/>
        <name val="Arial Narrow"/>
        <family val="2"/>
        <scheme val="none"/>
      </font>
      <fill>
        <patternFill patternType="none">
          <fgColor indexed="64"/>
          <bgColor auto="1"/>
        </patternFill>
      </fill>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9"/>
        <color auto="1"/>
        <name val="Arial Narrow"/>
        <family val="2"/>
        <scheme val="none"/>
      </font>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9"/>
        <color auto="1"/>
        <name val="Arial Narrow"/>
        <family val="2"/>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Narrow"/>
        <family val="2"/>
        <scheme val="none"/>
      </font>
      <numFmt numFmtId="0" formatCode="General"/>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Narrow"/>
        <family val="2"/>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175" formatCode="[$-409]mmm\-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30" formatCode="@"/>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Narrow"/>
        <family val="2"/>
        <scheme val="none"/>
      </font>
      <numFmt numFmtId="166" formatCode="_(* #,##0_);_(* \(#,##0\);_(* &quot;-&quot;??_);_(@_)"/>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Narrow"/>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Narrow"/>
        <family val="2"/>
        <scheme val="none"/>
      </font>
      <numFmt numFmtId="0" formatCode="Genera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Narrow"/>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indexed="64"/>
        </top>
      </border>
    </dxf>
    <dxf>
      <border outline="0">
        <left style="thin">
          <color auto="1"/>
        </left>
        <right style="thin">
          <color auto="1"/>
        </right>
        <top style="thin">
          <color auto="1"/>
        </top>
        <bottom style="thin">
          <color auto="1"/>
        </bottom>
      </border>
    </dxf>
    <dxf>
      <border outline="0">
        <bottom style="thin">
          <color indexed="64"/>
        </bottom>
      </border>
    </dxf>
    <dxf>
      <font>
        <b/>
        <i val="0"/>
        <strike val="0"/>
        <condense val="0"/>
        <extend val="0"/>
        <outline val="0"/>
        <shadow val="0"/>
        <u val="none"/>
        <vertAlign val="baseline"/>
        <sz val="9"/>
        <color indexed="9"/>
        <name val="Arial Narrow"/>
        <family val="2"/>
        <scheme val="none"/>
      </font>
      <fill>
        <patternFill patternType="solid">
          <fgColor indexed="24"/>
          <bgColor indexed="2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9"/>
        <color theme="1"/>
        <name val="Arial Narrow"/>
        <family val="2"/>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Narrow"/>
        <family val="2"/>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175" formatCode="[$-409]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30" formatCode="@"/>
      <fill>
        <patternFill patternType="none">
          <fgColor indexed="64"/>
          <bgColor indexed="65"/>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166" formatCode="_(* #,##0_);_(* \(#,##0\);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Narrow"/>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9"/>
        <color theme="1"/>
        <name val="Arial Narrow"/>
        <family val="2"/>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9"/>
        <color indexed="9"/>
        <name val="Arial Narrow"/>
        <family val="2"/>
        <scheme val="none"/>
      </font>
      <fill>
        <patternFill patternType="solid">
          <fgColor indexed="24"/>
          <bgColor indexed="20"/>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9"/>
        <color theme="1"/>
        <name val="Arial Narrow"/>
        <family val="2"/>
        <scheme val="none"/>
      </font>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Narrow"/>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alignment horizontal="left" vertical="center" textRotation="0" wrapText="0" indent="0" justifyLastLine="0" shrinkToFit="0" readingOrder="0"/>
      <border diagonalUp="0" diagonalDown="0" outline="0">
        <left/>
        <right style="thin">
          <color auto="1"/>
        </right>
        <top style="thin">
          <color auto="1"/>
        </top>
        <bottom style="thin">
          <color auto="1"/>
        </bottom>
      </border>
    </dxf>
    <dxf>
      <font>
        <b/>
        <i val="0"/>
        <strike val="0"/>
        <condense val="0"/>
        <extend val="0"/>
        <outline val="0"/>
        <shadow val="0"/>
        <u val="none"/>
        <vertAlign val="baseline"/>
        <sz val="9"/>
        <color theme="1"/>
        <name val="Arial Narrow"/>
        <family val="2"/>
        <scheme val="none"/>
      </font>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Arial Narrow"/>
        <family val="2"/>
        <scheme val="none"/>
      </font>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Arial Narrow"/>
        <family val="2"/>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Narrow"/>
        <family val="2"/>
        <scheme val="none"/>
      </font>
      <numFmt numFmtId="175" formatCode="[$-409]mmm\-yy;@"/>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Arial Narrow"/>
        <family val="2"/>
        <scheme val="none"/>
      </font>
      <numFmt numFmtId="30" formatCode="@"/>
      <fill>
        <patternFill patternType="none">
          <fgColor indexed="64"/>
          <bgColor indexed="65"/>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Arial Narrow"/>
        <family val="2"/>
        <scheme val="none"/>
      </font>
      <numFmt numFmtId="166" formatCode="_(* #,##0_);_(* \(#,##0\);_(* &quot;-&quot;??_);_(@_)"/>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9"/>
        <color theme="1"/>
        <name val="Arial Narrow"/>
        <family val="2"/>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Arial Narrow"/>
        <family val="2"/>
        <scheme val="none"/>
      </font>
      <numFmt numFmtId="166" formatCode="_(* #,##0_);_(* \(#,##0\);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Arial Narrow"/>
        <family val="2"/>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auto="1"/>
        </left>
        <bottom style="thin">
          <color auto="1"/>
        </bottom>
      </border>
    </dxf>
    <dxf>
      <font>
        <b val="0"/>
        <i val="0"/>
        <strike val="0"/>
        <condense val="0"/>
        <extend val="0"/>
        <outline val="0"/>
        <shadow val="0"/>
        <u val="none"/>
        <vertAlign val="baseline"/>
        <sz val="9"/>
        <color theme="1"/>
        <name val="Arial Narrow"/>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0"/>
        <name val="Arial Narrow"/>
        <family val="2"/>
        <scheme val="none"/>
      </font>
      <fill>
        <patternFill patternType="solid">
          <fgColor indexed="64"/>
          <bgColor rgb="FF002060"/>
        </patternFill>
      </fill>
      <alignment horizontal="center" vertical="center" textRotation="0" wrapText="1" indent="0" justifyLastLine="0" shrinkToFit="0" readingOrder="0"/>
    </dxf>
    <dxf>
      <numFmt numFmtId="166" formatCode="_(* #,##0_);_(* \(#,##0\);_(* &quot;-&quot;??_);_(@_)"/>
    </dxf>
    <dxf>
      <alignment horizontal="center"/>
    </dxf>
    <dxf>
      <alignment vertical="center"/>
    </dxf>
    <dxf>
      <alignment wrapText="1"/>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numFmt numFmtId="166" formatCode="_(* #,##0_);_(* \(#,##0\);_(* &quot;-&quot;??_);_(@_)"/>
    </dxf>
    <dxf>
      <numFmt numFmtId="166" formatCode="_(* #,##0_);_(* \(#,##0\);_(* &quot;-&quot;??_);_(@_)"/>
    </dxf>
    <dxf>
      <alignment horizontal="center"/>
    </dxf>
    <dxf>
      <alignment vertical="center"/>
    </dxf>
    <dxf>
      <alignment wrapText="1"/>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numFmt numFmtId="166" formatCode="_(* #,##0_);_(* \(#,##0\);_(* &quot;-&quot;??_);_(@_)"/>
    </dxf>
    <dxf>
      <numFmt numFmtId="166" formatCode="_(* #,##0_);_(* \(#,##0\);_(* &quot;-&quot;??_);_(@_)"/>
    </dxf>
    <dxf>
      <numFmt numFmtId="166" formatCode="_(* #,##0_);_(* \(#,##0\);_(* &quot;-&quot;??_);_(@_)"/>
    </dxf>
    <dxf>
      <font>
        <color rgb="FFFF0000"/>
      </font>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7" formatCode="0.0%"/>
    </dxf>
    <dxf>
      <numFmt numFmtId="166" formatCode="_(* #,##0_);_(* \(#,##0\);_(* &quot;-&quot;??_);_(@_)"/>
    </dxf>
    <dxf>
      <numFmt numFmtId="167" formatCode="0.0%"/>
    </dxf>
    <dxf>
      <font>
        <color rgb="FFFF0000"/>
      </font>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7" formatCode="0.0%"/>
    </dxf>
    <dxf>
      <numFmt numFmtId="167" formatCode="0.0%"/>
    </dxf>
    <dxf>
      <numFmt numFmtId="167" formatCode="0.0%"/>
    </dxf>
    <dxf>
      <numFmt numFmtId="167" formatCode="0.0%"/>
    </dxf>
    <dxf>
      <numFmt numFmtId="166" formatCode="_(* #,##0_);_(* \(#,##0\);_(* &quot;-&quot;??_);_(@_)"/>
    </dxf>
    <dxf>
      <numFmt numFmtId="167" formatCode="0.0%"/>
    </dxf>
    <dxf>
      <numFmt numFmtId="166" formatCode="_(* #,##0_);_(* \(#,##0\);_(* &quot;-&quot;??_);_(@_)"/>
    </dxf>
    <dxf>
      <numFmt numFmtId="167" formatCode="0.0%"/>
    </dxf>
    <dxf>
      <font>
        <color rgb="FFFF0000"/>
      </font>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7" formatCode="0.0%"/>
    </dxf>
    <dxf>
      <numFmt numFmtId="166" formatCode="_(* #,##0_);_(* \(#,##0\);_(* &quot;-&quot;??_);_(@_)"/>
    </dxf>
    <dxf>
      <numFmt numFmtId="167"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7" formatCode="0.0%"/>
    </dxf>
    <dxf>
      <numFmt numFmtId="167" formatCode="0.0%"/>
    </dxf>
    <dxf>
      <numFmt numFmtId="167" formatCode="0.0%"/>
    </dxf>
    <dxf>
      <numFmt numFmtId="167" formatCode="0.0%"/>
    </dxf>
    <dxf>
      <numFmt numFmtId="166" formatCode="_(* #,##0_);_(* \(#,##0\);_(* &quot;-&quot;??_);_(@_)"/>
    </dxf>
    <dxf>
      <numFmt numFmtId="167" formatCode="0.0%"/>
    </dxf>
  </dxfs>
  <tableStyles count="0" defaultTableStyle="TableStyleMedium2" defaultPivotStyle="PivotStyleLight16"/>
  <colors>
    <mruColors>
      <color rgb="FF000080"/>
      <color rgb="FF66FF33"/>
      <color rgb="FFFF3300"/>
      <color rgb="FF0000FF"/>
      <color rgb="FFFF9999"/>
      <color rgb="FFFF6600"/>
      <color rgb="FFFF9933"/>
      <color rgb="FFC50BA2"/>
      <color rgb="FFFF5050"/>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pivotCacheDefinition" Target="pivotCache/pivotCacheDefinition2.xml"/><Relationship Id="rId42" Type="http://schemas.microsoft.com/office/2017/10/relationships/person" Target="persons/person.xml"/><Relationship Id="rId47"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5.xml"/><Relationship Id="rId40" Type="http://schemas.openxmlformats.org/officeDocument/2006/relationships/sharedStrings" Target="sharedStrings.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38" Type="http://schemas.openxmlformats.org/officeDocument/2006/relationships/theme" Target="theme/theme1.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sheetMetadata" Target="metadata.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sz="1300"/>
            </a:pPr>
            <a:r>
              <a:rPr lang="en-US" sz="1300"/>
              <a:t>Cash </a:t>
            </a:r>
            <a:r>
              <a:rPr lang="en-US" sz="1300" baseline="0"/>
              <a:t>allocation </a:t>
            </a:r>
            <a:endParaRPr lang="en-US" sz="1300"/>
          </a:p>
        </c:rich>
      </c:tx>
      <c:overlay val="0"/>
      <c:spPr>
        <a:noFill/>
        <a:ln>
          <a:noFill/>
        </a:ln>
        <a:effectLst/>
      </c:spPr>
    </c:title>
    <c:autoTitleDeleted val="0"/>
    <c:plotArea>
      <c:layout>
        <c:manualLayout>
          <c:layoutTarget val="inner"/>
          <c:xMode val="edge"/>
          <c:yMode val="edge"/>
          <c:x val="6.4571079350335514E-2"/>
          <c:y val="0.1435632448453753"/>
          <c:w val="0.91802317159344404"/>
          <c:h val="0.76892543498071153"/>
        </c:manualLayout>
      </c:layout>
      <c:barChart>
        <c:barDir val="col"/>
        <c:grouping val="stacked"/>
        <c:varyColors val="0"/>
        <c:ser>
          <c:idx val="0"/>
          <c:order val="0"/>
          <c:tx>
            <c:strRef>
              <c:f>'&gt;&gt;Chart'!$D$44</c:f>
              <c:strCache>
                <c:ptCount val="1"/>
                <c:pt idx="0">
                  <c:v> BW </c:v>
                </c:pt>
              </c:strCache>
            </c:strRef>
          </c:tx>
          <c:spPr>
            <a:solidFill>
              <a:schemeClr val="accent4"/>
            </a:solidFill>
          </c:spPr>
          <c:invertIfNegative val="0"/>
          <c:dLbls>
            <c:numFmt formatCode="&quot;$&quot;#,##0.0" sourceLinked="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'&gt;&gt;Chart'!$B$45:$B$61</c:f>
              <c:strCache>
                <c:ptCount val="17"/>
                <c:pt idx="0">
                  <c:v>VTB TS</c:v>
                </c:pt>
                <c:pt idx="1">
                  <c:v>VTB BD + QM</c:v>
                </c:pt>
                <c:pt idx="2">
                  <c:v>VTB DSG</c:v>
                </c:pt>
                <c:pt idx="3">
                  <c:v>VTB CN1</c:v>
                </c:pt>
                <c:pt idx="5">
                  <c:v>VCB HCM</c:v>
                </c:pt>
                <c:pt idx="6">
                  <c:v>VCB BD</c:v>
                </c:pt>
                <c:pt idx="8">
                  <c:v>BIDV TX</c:v>
                </c:pt>
                <c:pt idx="9">
                  <c:v>BIDV NSG</c:v>
                </c:pt>
                <c:pt idx="10">
                  <c:v>BIDV LB</c:v>
                </c:pt>
                <c:pt idx="12">
                  <c:v>OCB BD</c:v>
                </c:pt>
                <c:pt idx="13">
                  <c:v>MBB BSG</c:v>
                </c:pt>
                <c:pt idx="14">
                  <c:v>VIB HO</c:v>
                </c:pt>
                <c:pt idx="15">
                  <c:v>SINOPAC</c:v>
                </c:pt>
                <c:pt idx="16">
                  <c:v>OTHERS</c:v>
                </c:pt>
              </c:strCache>
            </c:strRef>
          </c:cat>
          <c:val>
            <c:numRef>
              <c:f>'&gt;&gt;Chart'!$D$45:$D$61</c:f>
              <c:numCache>
                <c:formatCode>_("$"* #,##0.00_);_("$"* \(#,##0.00\);_("$"* "-"??_);_(@_)</c:formatCode>
                <c:ptCount val="17"/>
                <c:pt idx="0">
                  <c:v>1.3094370582617E-3</c:v>
                </c:pt>
                <c:pt idx="1">
                  <c:v>0.26810015010506211</c:v>
                </c:pt>
                <c:pt idx="2">
                  <c:v>7.6900000000000004E-4</c:v>
                </c:pt>
                <c:pt idx="3">
                  <c:v>4.2198677268385863E-3</c:v>
                </c:pt>
                <c:pt idx="4">
                  <c:v>0</c:v>
                </c:pt>
                <c:pt idx="5">
                  <c:v>1.1851237669531998E-2</c:v>
                </c:pt>
                <c:pt idx="6">
                  <c:v>1.7050064976122256E-2</c:v>
                </c:pt>
                <c:pt idx="7">
                  <c:v>0</c:v>
                </c:pt>
                <c:pt idx="8">
                  <c:v>1.5188622349570199E-3</c:v>
                </c:pt>
                <c:pt idx="9">
                  <c:v>0</c:v>
                </c:pt>
                <c:pt idx="10">
                  <c:v>0</c:v>
                </c:pt>
                <c:pt idx="11">
                  <c:v>0</c:v>
                </c:pt>
                <c:pt idx="12">
                  <c:v>2.8100769436485199E-3</c:v>
                </c:pt>
                <c:pt idx="13">
                  <c:v>0</c:v>
                </c:pt>
                <c:pt idx="14">
                  <c:v>5.7396511938872965E-4</c:v>
                </c:pt>
                <c:pt idx="15">
                  <c:v>1.1826887440878702</c:v>
                </c:pt>
                <c:pt idx="16">
                  <c:v>6.8840332473734476E-3</c:v>
                </c:pt>
              </c:numCache>
            </c:numRef>
          </c:val>
          <c:extLst>
            <c:ext xmlns:c16="http://schemas.microsoft.com/office/drawing/2014/chart" uri="{C3380CC4-5D6E-409C-BE32-E72D297353CC}">
              <c16:uniqueId val="{00000009-CEAA-4C72-AA4B-8EF4BD5842C8}"/>
            </c:ext>
          </c:extLst>
        </c:ser>
        <c:ser>
          <c:idx val="1"/>
          <c:order val="1"/>
          <c:tx>
            <c:strRef>
              <c:f>'&gt;&gt;Chart'!$E$44</c:f>
              <c:strCache>
                <c:ptCount val="1"/>
                <c:pt idx="0">
                  <c:v> VC3 </c:v>
                </c:pt>
              </c:strCache>
            </c:strRef>
          </c:tx>
          <c:spPr>
            <a:solidFill>
              <a:schemeClr val="accent1"/>
            </a:solidFill>
          </c:spPr>
          <c:invertIfNegative val="0"/>
          <c:dLbls>
            <c:dLbl>
              <c:idx val="0"/>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0E-4564-A649-330087958071}"/>
                </c:ext>
              </c:extLst>
            </c:dLbl>
            <c:dLbl>
              <c:idx val="1"/>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78B-4BBF-8D7E-556B707D8162}"/>
                </c:ext>
              </c:extLst>
            </c:dLbl>
            <c:dLbl>
              <c:idx val="3"/>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1F4F-4FB4-AF89-42FC223C09BE}"/>
                </c:ext>
              </c:extLst>
            </c:dLbl>
            <c:dLbl>
              <c:idx val="5"/>
              <c:delete val="1"/>
              <c:extLst>
                <c:ext xmlns:c15="http://schemas.microsoft.com/office/drawing/2012/chart" uri="{CE6537A1-D6FC-4f65-9D91-7224C49458BB}"/>
                <c:ext xmlns:c16="http://schemas.microsoft.com/office/drawing/2014/chart" uri="{C3380CC4-5D6E-409C-BE32-E72D297353CC}">
                  <c16:uniqueId val="{0000000B-CEAA-4C72-AA4B-8EF4BD5842C8}"/>
                </c:ext>
              </c:extLst>
            </c:dLbl>
            <c:dLbl>
              <c:idx val="6"/>
              <c:delete val="1"/>
              <c:extLst>
                <c:ext xmlns:c15="http://schemas.microsoft.com/office/drawing/2012/chart" uri="{CE6537A1-D6FC-4f65-9D91-7224C49458BB}"/>
                <c:ext xmlns:c16="http://schemas.microsoft.com/office/drawing/2014/chart" uri="{C3380CC4-5D6E-409C-BE32-E72D297353CC}">
                  <c16:uniqueId val="{00000003-1F4F-4FB4-AF89-42FC223C09BE}"/>
                </c:ext>
              </c:extLst>
            </c:dLbl>
            <c:dLbl>
              <c:idx val="9"/>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90E-4564-A649-330087958071}"/>
                </c:ext>
              </c:extLst>
            </c:dLbl>
            <c:dLbl>
              <c:idx val="10"/>
              <c:delete val="1"/>
              <c:extLst>
                <c:ext xmlns:c15="http://schemas.microsoft.com/office/drawing/2012/chart" uri="{CE6537A1-D6FC-4f65-9D91-7224C49458BB}"/>
                <c:ext xmlns:c16="http://schemas.microsoft.com/office/drawing/2014/chart" uri="{C3380CC4-5D6E-409C-BE32-E72D297353CC}">
                  <c16:uniqueId val="{00000000-C7A5-46A8-B6C2-87754CEBEB88}"/>
                </c:ext>
              </c:extLst>
            </c:dLbl>
            <c:dLbl>
              <c:idx val="12"/>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4F-4FB4-AF89-42FC223C09BE}"/>
                </c:ext>
              </c:extLst>
            </c:dLbl>
            <c:dLbl>
              <c:idx val="13"/>
              <c:delete val="1"/>
              <c:extLst>
                <c:ext xmlns:c15="http://schemas.microsoft.com/office/drawing/2012/chart" uri="{CE6537A1-D6FC-4f65-9D91-7224C49458BB}"/>
                <c:ext xmlns:c16="http://schemas.microsoft.com/office/drawing/2014/chart" uri="{C3380CC4-5D6E-409C-BE32-E72D297353CC}">
                  <c16:uniqueId val="{0000000F-CEAA-4C72-AA4B-8EF4BD5842C8}"/>
                </c:ext>
              </c:extLst>
            </c:dLbl>
            <c:dLbl>
              <c:idx val="14"/>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7562-4015-BD8A-2D72DAFF0A94}"/>
                </c:ext>
              </c:extLst>
            </c:dLbl>
            <c:dLbl>
              <c:idx val="16"/>
              <c:layout>
                <c:manualLayout>
                  <c:x val="0"/>
                  <c:y val="-2.749127716309810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EB-4F73-820D-1EF12E196E66}"/>
                </c:ext>
              </c:extLst>
            </c:dLbl>
            <c:spPr>
              <a:noFill/>
              <a:ln>
                <a:noFill/>
              </a:ln>
              <a:effectLst/>
            </c:spPr>
            <c:txPr>
              <a:bodyPr rot="0"/>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'&gt;&gt;Chart'!$B$45:$B$61</c:f>
              <c:strCache>
                <c:ptCount val="17"/>
                <c:pt idx="0">
                  <c:v>VTB TS</c:v>
                </c:pt>
                <c:pt idx="1">
                  <c:v>VTB BD + QM</c:v>
                </c:pt>
                <c:pt idx="2">
                  <c:v>VTB DSG</c:v>
                </c:pt>
                <c:pt idx="3">
                  <c:v>VTB CN1</c:v>
                </c:pt>
                <c:pt idx="5">
                  <c:v>VCB HCM</c:v>
                </c:pt>
                <c:pt idx="6">
                  <c:v>VCB BD</c:v>
                </c:pt>
                <c:pt idx="8">
                  <c:v>BIDV TX</c:v>
                </c:pt>
                <c:pt idx="9">
                  <c:v>BIDV NSG</c:v>
                </c:pt>
                <c:pt idx="10">
                  <c:v>BIDV LB</c:v>
                </c:pt>
                <c:pt idx="12">
                  <c:v>OCB BD</c:v>
                </c:pt>
                <c:pt idx="13">
                  <c:v>MBB BSG</c:v>
                </c:pt>
                <c:pt idx="14">
                  <c:v>VIB HO</c:v>
                </c:pt>
                <c:pt idx="15">
                  <c:v>SINOPAC</c:v>
                </c:pt>
                <c:pt idx="16">
                  <c:v>OTHERS</c:v>
                </c:pt>
              </c:strCache>
            </c:strRef>
          </c:cat>
          <c:val>
            <c:numRef>
              <c:f>'&gt;&gt;Chart'!$E$45:$E$61</c:f>
              <c:numCache>
                <c:formatCode>_("$"* #,##0.0_);_("$"* \(#,##0.0\);_("$"* "-"??_);_(@_)</c:formatCode>
                <c:ptCount val="17"/>
                <c:pt idx="0">
                  <c:v>9.9968844652053495</c:v>
                </c:pt>
                <c:pt idx="1">
                  <c:v>4.2206393244890155</c:v>
                </c:pt>
                <c:pt idx="2">
                  <c:v>1.5646414517669533E-4</c:v>
                </c:pt>
                <c:pt idx="3">
                  <c:v>7.1336651002865317E-3</c:v>
                </c:pt>
                <c:pt idx="4">
                  <c:v>0</c:v>
                </c:pt>
                <c:pt idx="5">
                  <c:v>48.437014508252147</c:v>
                </c:pt>
                <c:pt idx="6">
                  <c:v>7.8349321872015279E-2</c:v>
                </c:pt>
                <c:pt idx="7">
                  <c:v>0</c:v>
                </c:pt>
                <c:pt idx="8">
                  <c:v>0.20850691746895894</c:v>
                </c:pt>
                <c:pt idx="9">
                  <c:v>0</c:v>
                </c:pt>
                <c:pt idx="10">
                  <c:v>0</c:v>
                </c:pt>
                <c:pt idx="11">
                  <c:v>0</c:v>
                </c:pt>
                <c:pt idx="12">
                  <c:v>2.2579053677172869E-3</c:v>
                </c:pt>
                <c:pt idx="13">
                  <c:v>3.9404217765042979E-4</c:v>
                </c:pt>
                <c:pt idx="14">
                  <c:v>6.5020147894937912</c:v>
                </c:pt>
                <c:pt idx="15">
                  <c:v>1.5310341517096466</c:v>
                </c:pt>
                <c:pt idx="16">
                  <c:v>2.4731517058261699E-2</c:v>
                </c:pt>
              </c:numCache>
            </c:numRef>
          </c:val>
          <c:extLst>
            <c:ext xmlns:c16="http://schemas.microsoft.com/office/drawing/2014/chart" uri="{C3380CC4-5D6E-409C-BE32-E72D297353CC}">
              <c16:uniqueId val="{00000011-CEAA-4C72-AA4B-8EF4BD5842C8}"/>
            </c:ext>
          </c:extLst>
        </c:ser>
        <c:ser>
          <c:idx val="2"/>
          <c:order val="2"/>
          <c:tx>
            <c:strRef>
              <c:f>'&gt;&gt;Chart'!$F$44</c:f>
              <c:strCache>
                <c:ptCount val="1"/>
                <c:pt idx="0">
                  <c:v>Subs</c:v>
                </c:pt>
              </c:strCache>
            </c:strRef>
          </c:tx>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1-C7A5-46A8-B6C2-87754CEBEB88}"/>
                </c:ext>
              </c:extLst>
            </c:dLbl>
            <c:dLbl>
              <c:idx val="10"/>
              <c:delete val="1"/>
              <c:extLst>
                <c:ext xmlns:c15="http://schemas.microsoft.com/office/drawing/2012/chart" uri="{CE6537A1-D6FC-4f65-9D91-7224C49458BB}"/>
                <c:ext xmlns:c16="http://schemas.microsoft.com/office/drawing/2014/chart" uri="{C3380CC4-5D6E-409C-BE32-E72D297353CC}">
                  <c16:uniqueId val="{00000001-B77C-427B-BD46-C50514718449}"/>
                </c:ext>
              </c:extLst>
            </c:dLbl>
            <c:dLbl>
              <c:idx val="14"/>
              <c:delete val="1"/>
              <c:extLst>
                <c:ext xmlns:c15="http://schemas.microsoft.com/office/drawing/2012/chart" uri="{CE6537A1-D6FC-4f65-9D91-7224C49458BB}"/>
                <c:ext xmlns:c16="http://schemas.microsoft.com/office/drawing/2014/chart" uri="{C3380CC4-5D6E-409C-BE32-E72D297353CC}">
                  <c16:uniqueId val="{00000001-0BAD-43A4-81FF-42DCFC443DFD}"/>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'&gt;&gt;Chart'!$B$45:$B$61</c:f>
              <c:strCache>
                <c:ptCount val="17"/>
                <c:pt idx="0">
                  <c:v>VTB TS</c:v>
                </c:pt>
                <c:pt idx="1">
                  <c:v>VTB BD + QM</c:v>
                </c:pt>
                <c:pt idx="2">
                  <c:v>VTB DSG</c:v>
                </c:pt>
                <c:pt idx="3">
                  <c:v>VTB CN1</c:v>
                </c:pt>
                <c:pt idx="5">
                  <c:v>VCB HCM</c:v>
                </c:pt>
                <c:pt idx="6">
                  <c:v>VCB BD</c:v>
                </c:pt>
                <c:pt idx="8">
                  <c:v>BIDV TX</c:v>
                </c:pt>
                <c:pt idx="9">
                  <c:v>BIDV NSG</c:v>
                </c:pt>
                <c:pt idx="10">
                  <c:v>BIDV LB</c:v>
                </c:pt>
                <c:pt idx="12">
                  <c:v>OCB BD</c:v>
                </c:pt>
                <c:pt idx="13">
                  <c:v>MBB BSG</c:v>
                </c:pt>
                <c:pt idx="14">
                  <c:v>VIB HO</c:v>
                </c:pt>
                <c:pt idx="15">
                  <c:v>SINOPAC</c:v>
                </c:pt>
                <c:pt idx="16">
                  <c:v>OTHERS</c:v>
                </c:pt>
              </c:strCache>
            </c:strRef>
          </c:cat>
          <c:val>
            <c:numRef>
              <c:f>'&gt;&gt;Chart'!$F$45:$F$61</c:f>
              <c:numCache>
                <c:formatCode>_("$"* #,##0.0_);_("$"* \(#,##0.0\);_("$"* "-"??_);_(@_)</c:formatCode>
                <c:ptCount val="17"/>
                <c:pt idx="0">
                  <c:v>20.610789525243554</c:v>
                </c:pt>
                <c:pt idx="1">
                  <c:v>16.326177562636104</c:v>
                </c:pt>
                <c:pt idx="2">
                  <c:v>4.0462508455396371</c:v>
                </c:pt>
                <c:pt idx="3">
                  <c:v>2.2391806184909266</c:v>
                </c:pt>
                <c:pt idx="4">
                  <c:v>0</c:v>
                </c:pt>
                <c:pt idx="5">
                  <c:v>6.5480250090544425</c:v>
                </c:pt>
                <c:pt idx="6">
                  <c:v>4.5479665651193883</c:v>
                </c:pt>
                <c:pt idx="7">
                  <c:v>0</c:v>
                </c:pt>
                <c:pt idx="8">
                  <c:v>11.010220729235913</c:v>
                </c:pt>
                <c:pt idx="9">
                  <c:v>3.1388067964469912</c:v>
                </c:pt>
                <c:pt idx="10">
                  <c:v>4.0238321298949331E-3</c:v>
                </c:pt>
                <c:pt idx="11">
                  <c:v>0</c:v>
                </c:pt>
                <c:pt idx="12" formatCode="_(&quot;$&quot;* #,##0.00_);_(&quot;$&quot;* \(#,##0.00\);_(&quot;$&quot;* &quot;-&quot;??_);_(@_)">
                  <c:v>1.8052283247373447E-2</c:v>
                </c:pt>
                <c:pt idx="13">
                  <c:v>0</c:v>
                </c:pt>
                <c:pt idx="14">
                  <c:v>0.16024828638013372</c:v>
                </c:pt>
                <c:pt idx="15">
                  <c:v>2.6407256113467055</c:v>
                </c:pt>
                <c:pt idx="16">
                  <c:v>8.4018801221394472</c:v>
                </c:pt>
              </c:numCache>
            </c:numRef>
          </c:val>
          <c:extLst>
            <c:ext xmlns:c16="http://schemas.microsoft.com/office/drawing/2014/chart" uri="{C3380CC4-5D6E-409C-BE32-E72D297353CC}">
              <c16:uniqueId val="{00000019-CEAA-4C72-AA4B-8EF4BD5842C8}"/>
            </c:ext>
          </c:extLst>
        </c:ser>
        <c:dLbls>
          <c:showLegendKey val="0"/>
          <c:showVal val="0"/>
          <c:showCatName val="0"/>
          <c:showSerName val="0"/>
          <c:showPercent val="0"/>
          <c:showBubbleSize val="0"/>
        </c:dLbls>
        <c:gapWidth val="100"/>
        <c:overlap val="100"/>
        <c:axId val="2047773008"/>
        <c:axId val="2047773840"/>
      </c:barChart>
      <c:catAx>
        <c:axId val="204777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b="1"/>
            </a:pPr>
            <a:endParaRPr lang="en-US"/>
          </a:p>
        </c:txPr>
        <c:crossAx val="2047773840"/>
        <c:crosses val="autoZero"/>
        <c:auto val="1"/>
        <c:lblAlgn val="ctr"/>
        <c:lblOffset val="100"/>
        <c:noMultiLvlLbl val="0"/>
      </c:catAx>
      <c:valAx>
        <c:axId val="2047773840"/>
        <c:scaling>
          <c:orientation val="minMax"/>
          <c:max val="47"/>
          <c:min val="1"/>
        </c:scaling>
        <c:delete val="0"/>
        <c:axPos val="l"/>
        <c:majorGridlines>
          <c:spPr>
            <a:ln w="9525" cap="flat" cmpd="sng" algn="ctr">
              <a:noFill/>
              <a:round/>
            </a:ln>
            <a:effectLst/>
          </c:spPr>
        </c:majorGridlines>
        <c:numFmt formatCode="_(&quot;$&quot;* #,##0.00_);_(&quot;$&quot;* \(#,##0.00\);_(&quot;$&quot;* &quot;-&quot;??_);_(@_)" sourceLinked="1"/>
        <c:majorTickMark val="none"/>
        <c:minorTickMark val="none"/>
        <c:tickLblPos val="nextTo"/>
        <c:spPr>
          <a:noFill/>
          <a:ln>
            <a:noFill/>
          </a:ln>
          <a:effectLst/>
        </c:spPr>
        <c:txPr>
          <a:bodyPr rot="-60000000" vert="horz"/>
          <a:lstStyle/>
          <a:p>
            <a:pPr>
              <a:defRPr/>
            </a:pPr>
            <a:endParaRPr lang="en-US"/>
          </a:p>
        </c:txPr>
        <c:crossAx val="2047773008"/>
        <c:crosses val="autoZero"/>
        <c:crossBetween val="between"/>
      </c:valAx>
      <c:spPr>
        <a:noFill/>
        <a:ln>
          <a:noFill/>
        </a:ln>
        <a:effectLst/>
      </c:spPr>
    </c:plotArea>
    <c:legend>
      <c:legendPos val="b"/>
      <c:layout>
        <c:manualLayout>
          <c:xMode val="edge"/>
          <c:yMode val="edge"/>
          <c:x val="0.72017196635317149"/>
          <c:y val="3.7615274291749601E-2"/>
          <c:w val="0.18123330673974122"/>
          <c:h val="6.502935687952302E-2"/>
        </c:manualLayout>
      </c:layout>
      <c:overlay val="0"/>
      <c:spPr>
        <a:noFill/>
        <a:ln>
          <a:noFill/>
        </a:ln>
        <a:effectLst/>
      </c:spPr>
      <c:txPr>
        <a:bodyPr rot="0" vert="horz"/>
        <a:lstStyle/>
        <a:p>
          <a:pPr>
            <a:defRPr sz="9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latin typeface="Arial Narrow" panose="020B0606020202030204" pitchFamily="34" charset="0"/>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2267895411969416"/>
          <c:y val="9.433259177482764E-2"/>
          <c:w val="0.55464209176061163"/>
          <c:h val="0.79718690504969036"/>
        </c:manualLayout>
      </c:layout>
      <c:pieChart>
        <c:varyColors val="1"/>
        <c:ser>
          <c:idx val="0"/>
          <c:order val="0"/>
          <c:dPt>
            <c:idx val="0"/>
            <c:bubble3D val="0"/>
            <c:spPr>
              <a:solidFill>
                <a:schemeClr val="accent1">
                  <a:shade val="47000"/>
                </a:schemeClr>
              </a:solidFill>
              <a:ln w="19050">
                <a:solidFill>
                  <a:schemeClr val="lt1"/>
                </a:solidFill>
              </a:ln>
              <a:effectLst/>
            </c:spPr>
            <c:extLst>
              <c:ext xmlns:c16="http://schemas.microsoft.com/office/drawing/2014/chart" uri="{C3380CC4-5D6E-409C-BE32-E72D297353CC}">
                <c16:uniqueId val="{00000004-A3D1-4D96-A49F-76D677BAA43D}"/>
              </c:ext>
            </c:extLst>
          </c:dPt>
          <c:dPt>
            <c:idx val="1"/>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7-A3D1-4D96-A49F-76D677BAA43D}"/>
              </c:ext>
            </c:extLst>
          </c:dPt>
          <c:dPt>
            <c:idx val="2"/>
            <c:bubble3D val="0"/>
            <c:spPr>
              <a:solidFill>
                <a:schemeClr val="accent1">
                  <a:shade val="82000"/>
                </a:schemeClr>
              </a:solidFill>
              <a:ln w="19050">
                <a:solidFill>
                  <a:schemeClr val="lt1"/>
                </a:solidFill>
              </a:ln>
              <a:effectLst/>
            </c:spPr>
            <c:extLst>
              <c:ext xmlns:c16="http://schemas.microsoft.com/office/drawing/2014/chart" uri="{C3380CC4-5D6E-409C-BE32-E72D297353CC}">
                <c16:uniqueId val="{00000006-A3D1-4D96-A49F-76D677BAA43D}"/>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C537-4EC2-8629-2795E110C8B1}"/>
              </c:ext>
            </c:extLst>
          </c:dPt>
          <c:dPt>
            <c:idx val="4"/>
            <c:bubble3D val="0"/>
            <c:spPr>
              <a:solidFill>
                <a:schemeClr val="accent1">
                  <a:tint val="83000"/>
                </a:schemeClr>
              </a:solidFill>
              <a:ln w="19050">
                <a:solidFill>
                  <a:schemeClr val="lt1"/>
                </a:solidFill>
              </a:ln>
              <a:effectLst/>
            </c:spPr>
            <c:extLst>
              <c:ext xmlns:c16="http://schemas.microsoft.com/office/drawing/2014/chart" uri="{C3380CC4-5D6E-409C-BE32-E72D297353CC}">
                <c16:uniqueId val="{00000002-A3D1-4D96-A49F-76D677BAA43D}"/>
              </c:ext>
            </c:extLst>
          </c:dPt>
          <c:dPt>
            <c:idx val="5"/>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B-C537-4EC2-8629-2795E110C8B1}"/>
              </c:ext>
            </c:extLst>
          </c:dPt>
          <c:dPt>
            <c:idx val="6"/>
            <c:bubble3D val="0"/>
            <c:spPr>
              <a:solidFill>
                <a:schemeClr val="accent1">
                  <a:tint val="62000"/>
                </a:schemeClr>
              </a:solidFill>
              <a:ln w="19050">
                <a:solidFill>
                  <a:schemeClr val="lt1"/>
                </a:solidFill>
              </a:ln>
              <a:effectLst/>
            </c:spPr>
            <c:extLst>
              <c:ext xmlns:c16="http://schemas.microsoft.com/office/drawing/2014/chart" uri="{C3380CC4-5D6E-409C-BE32-E72D297353CC}">
                <c16:uniqueId val="{00000005-A3D1-4D96-A49F-76D677BAA43D}"/>
              </c:ext>
            </c:extLst>
          </c:dPt>
          <c:dPt>
            <c:idx val="7"/>
            <c:bubble3D val="0"/>
            <c:spPr>
              <a:solidFill>
                <a:schemeClr val="accent1">
                  <a:tint val="48000"/>
                </a:schemeClr>
              </a:solidFill>
              <a:ln w="19050">
                <a:solidFill>
                  <a:schemeClr val="lt1"/>
                </a:solidFill>
              </a:ln>
              <a:effectLst/>
            </c:spPr>
            <c:extLst>
              <c:ext xmlns:c16="http://schemas.microsoft.com/office/drawing/2014/chart" uri="{C3380CC4-5D6E-409C-BE32-E72D297353CC}">
                <c16:uniqueId val="{0000000F-52AE-4A46-9793-B9E7F18F9A73}"/>
              </c:ext>
            </c:extLst>
          </c:dPt>
          <c:dLbls>
            <c:dLbl>
              <c:idx val="0"/>
              <c:spPr>
                <a:noFill/>
                <a:ln>
                  <a:noFill/>
                </a:ln>
                <a:effectLst/>
              </c:spPr>
              <c:txPr>
                <a:bodyPr rot="0" spcFirstLastPara="1" vertOverflow="ellipsis" vert="horz" wrap="square" anchor="ctr" anchorCtr="1"/>
                <a:lstStyle/>
                <a:p>
                  <a:pPr algn="ctr">
                    <a:defRPr sz="105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D1-4D96-A49F-76D677BAA43D}"/>
                </c:ext>
              </c:extLst>
            </c:dLbl>
            <c:dLbl>
              <c:idx val="1"/>
              <c:spPr>
                <a:noFill/>
                <a:ln>
                  <a:noFill/>
                </a:ln>
                <a:effectLst/>
              </c:spPr>
              <c:txPr>
                <a:bodyPr rot="0" spcFirstLastPara="1" vertOverflow="ellipsis" vert="horz" wrap="square" anchor="ctr" anchorCtr="1"/>
                <a:lstStyle/>
                <a:p>
                  <a:pPr algn="ctr">
                    <a:defRPr sz="105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D1-4D96-A49F-76D677BAA43D}"/>
                </c:ext>
              </c:extLst>
            </c:dLbl>
            <c:dLbl>
              <c:idx val="2"/>
              <c:spPr>
                <a:noFill/>
                <a:ln>
                  <a:noFill/>
                </a:ln>
                <a:effectLst/>
              </c:spPr>
              <c:txPr>
                <a:bodyPr rot="0" spcFirstLastPara="1" vertOverflow="ellipsis" vert="horz" wrap="square" anchor="ctr" anchorCtr="1"/>
                <a:lstStyle/>
                <a:p>
                  <a:pPr algn="ctr">
                    <a:defRPr sz="105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D1-4D96-A49F-76D677BAA43D}"/>
                </c:ext>
              </c:extLst>
            </c:dLbl>
            <c:dLbl>
              <c:idx val="3"/>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37-4EC2-8629-2795E110C8B1}"/>
                </c:ext>
              </c:extLst>
            </c:dLbl>
            <c:dLbl>
              <c:idx val="7"/>
              <c:spPr>
                <a:noFill/>
                <a:ln>
                  <a:noFill/>
                </a:ln>
                <a:effectLst/>
              </c:spPr>
              <c:txPr>
                <a:bodyPr rot="0" spcFirstLastPara="1" vertOverflow="ellipsis" vert="horz" wrap="square" anchor="ctr" anchorCtr="1"/>
                <a:lstStyle/>
                <a:p>
                  <a:pPr algn="ctr">
                    <a:defRPr sz="105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2AE-4A46-9793-B9E7F18F9A73}"/>
                </c:ext>
              </c:extLst>
            </c:dLbl>
            <c:spPr>
              <a:noFill/>
              <a:ln>
                <a:noFill/>
              </a:ln>
              <a:effectLst/>
            </c:spPr>
            <c:txPr>
              <a:bodyPr rot="0" spcFirstLastPara="1" vertOverflow="ellipsis" vert="horz" wrap="square" anchor="ctr" anchorCtr="1"/>
              <a:lstStyle/>
              <a:p>
                <a:pPr algn="ct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'&gt;&gt;Chart'!$R$44:$R$51</c:f>
              <c:strCache>
                <c:ptCount val="8"/>
                <c:pt idx="0">
                  <c:v> VTB </c:v>
                </c:pt>
                <c:pt idx="1">
                  <c:v> VCB </c:v>
                </c:pt>
                <c:pt idx="2">
                  <c:v> BIDV </c:v>
                </c:pt>
                <c:pt idx="3">
                  <c:v> OCB </c:v>
                </c:pt>
                <c:pt idx="4">
                  <c:v> VIB </c:v>
                </c:pt>
                <c:pt idx="5">
                  <c:v> MBB </c:v>
                </c:pt>
                <c:pt idx="6">
                  <c:v> SINOPAC </c:v>
                </c:pt>
                <c:pt idx="7">
                  <c:v> OTHERS </c:v>
                </c:pt>
              </c:strCache>
            </c:strRef>
          </c:cat>
          <c:val>
            <c:numRef>
              <c:f>'&gt;&gt;Chart'!$S$44:$S$51</c:f>
              <c:numCache>
                <c:formatCode>0%</c:formatCode>
                <c:ptCount val="8"/>
                <c:pt idx="0">
                  <c:v>0.37925032222583077</c:v>
                </c:pt>
                <c:pt idx="1">
                  <c:v>0.39185646781131628</c:v>
                </c:pt>
                <c:pt idx="2">
                  <c:v>9.4370228848352666E-2</c:v>
                </c:pt>
                <c:pt idx="3">
                  <c:v>1.5190789069243559E-4</c:v>
                </c:pt>
                <c:pt idx="4">
                  <c:v>4.377707160643509E-2</c:v>
                </c:pt>
                <c:pt idx="5">
                  <c:v>2.5889891229257501E-6</c:v>
                </c:pt>
                <c:pt idx="6">
                  <c:v>3.5180520590261471E-2</c:v>
                </c:pt>
                <c:pt idx="7">
                  <c:v>5.5410892037988123E-2</c:v>
                </c:pt>
              </c:numCache>
            </c:numRef>
          </c:val>
          <c:extLst>
            <c:ext xmlns:c16="http://schemas.microsoft.com/office/drawing/2014/chart" uri="{C3380CC4-5D6E-409C-BE32-E72D297353CC}">
              <c16:uniqueId val="{00000000-DC90-4AED-BEEA-845BB51852E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j-lt"/>
                <a:ea typeface="+mn-ea"/>
                <a:cs typeface="Times New Roman" panose="02020603050405020304" pitchFamily="18" charset="0"/>
              </a:defRPr>
            </a:pPr>
            <a:r>
              <a:rPr lang="en-US" b="1"/>
              <a:t>BW's Cash balance</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j-lt"/>
              <a:ea typeface="+mn-ea"/>
              <a:cs typeface="Times New Roman" panose="02020603050405020304" pitchFamily="18" charset="0"/>
            </a:defRPr>
          </a:pPr>
          <a:endParaRPr lang="en-US"/>
        </a:p>
      </c:txPr>
    </c:title>
    <c:autoTitleDeleted val="0"/>
    <c:plotArea>
      <c:layout/>
      <c:barChart>
        <c:barDir val="col"/>
        <c:grouping val="stacked"/>
        <c:varyColors val="0"/>
        <c:ser>
          <c:idx val="0"/>
          <c:order val="0"/>
          <c:tx>
            <c:strRef>
              <c:f>'&gt;&gt;Chart'!$E$103</c:f>
              <c:strCache>
                <c:ptCount val="1"/>
                <c:pt idx="0">
                  <c:v>USD</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j-lt"/>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'&gt;&gt;Chart'!$C$104:$D$109</c:f>
              <c:multiLvlStrCache>
                <c:ptCount val="6"/>
                <c:lvl>
                  <c:pt idx="0">
                    <c:v>O.Balance</c:v>
                  </c:pt>
                  <c:pt idx="1">
                    <c:v>E.Balance</c:v>
                  </c:pt>
                  <c:pt idx="2">
                    <c:v>O.Balance</c:v>
                  </c:pt>
                  <c:pt idx="3">
                    <c:v>E.Balance</c:v>
                  </c:pt>
                  <c:pt idx="4">
                    <c:v>O.Balance</c:v>
                  </c:pt>
                  <c:pt idx="5">
                    <c:v>E.Balance</c:v>
                  </c:pt>
                </c:lvl>
                <c:lvl>
                  <c:pt idx="0">
                    <c:v>BWID JSC</c:v>
                  </c:pt>
                  <c:pt idx="2">
                    <c:v>VC3</c:v>
                  </c:pt>
                  <c:pt idx="4">
                    <c:v>Subsidiaries</c:v>
                  </c:pt>
                </c:lvl>
              </c:multiLvlStrCache>
            </c:multiLvlStrRef>
          </c:cat>
          <c:val>
            <c:numRef>
              <c:f>'&gt;&gt;Chart'!$E$104:$E$109</c:f>
              <c:numCache>
                <c:formatCode>_(* #,##0.00_);_(* \(#,##0.00\);_(* "-"??_);_(@_)</c:formatCode>
                <c:ptCount val="6"/>
                <c:pt idx="0">
                  <c:v>4.4528669999999999E-2</c:v>
                </c:pt>
                <c:pt idx="1">
                  <c:v>1.9468469999999998E-2</c:v>
                </c:pt>
                <c:pt idx="2">
                  <c:v>9.6312600000002246E-3</c:v>
                </c:pt>
                <c:pt idx="3">
                  <c:v>9.6290600000002238E-3</c:v>
                </c:pt>
                <c:pt idx="4">
                  <c:v>3.6629909999999988E-2</c:v>
                </c:pt>
                <c:pt idx="5">
                  <c:v>3.6570059999999995E-2</c:v>
                </c:pt>
              </c:numCache>
            </c:numRef>
          </c:val>
          <c:extLst>
            <c:ext xmlns:c16="http://schemas.microsoft.com/office/drawing/2014/chart" uri="{C3380CC4-5D6E-409C-BE32-E72D297353CC}">
              <c16:uniqueId val="{00000000-903E-4CE4-A2B9-DD92587A7349}"/>
            </c:ext>
          </c:extLst>
        </c:ser>
        <c:ser>
          <c:idx val="1"/>
          <c:order val="1"/>
          <c:tx>
            <c:strRef>
              <c:f>'&gt;&gt;Chart'!$F$103</c:f>
              <c:strCache>
                <c:ptCount val="1"/>
                <c:pt idx="0">
                  <c:v>VND</c:v>
                </c:pt>
              </c:strCache>
            </c:strRef>
          </c:tx>
          <c:spPr>
            <a:solidFill>
              <a:schemeClr val="bg1">
                <a:lumMod val="65000"/>
              </a:schemeClr>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j-lt"/>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'&gt;&gt;Chart'!$C$104:$D$109</c:f>
              <c:multiLvlStrCache>
                <c:ptCount val="6"/>
                <c:lvl>
                  <c:pt idx="0">
                    <c:v>O.Balance</c:v>
                  </c:pt>
                  <c:pt idx="1">
                    <c:v>E.Balance</c:v>
                  </c:pt>
                  <c:pt idx="2">
                    <c:v>O.Balance</c:v>
                  </c:pt>
                  <c:pt idx="3">
                    <c:v>E.Balance</c:v>
                  </c:pt>
                  <c:pt idx="4">
                    <c:v>O.Balance</c:v>
                  </c:pt>
                  <c:pt idx="5">
                    <c:v>E.Balance</c:v>
                  </c:pt>
                </c:lvl>
                <c:lvl>
                  <c:pt idx="0">
                    <c:v>BWID JSC</c:v>
                  </c:pt>
                  <c:pt idx="2">
                    <c:v>VC3</c:v>
                  </c:pt>
                  <c:pt idx="4">
                    <c:v>Subsidiaries</c:v>
                  </c:pt>
                </c:lvl>
              </c:multiLvlStrCache>
            </c:multiLvlStrRef>
          </c:cat>
          <c:val>
            <c:numRef>
              <c:f>'&gt;&gt;Chart'!$F$104:$F$109</c:f>
              <c:numCache>
                <c:formatCode>_(* #,##0.00_);_(* \(#,##0.00\);_(* "-"??_);_(@_)</c:formatCode>
                <c:ptCount val="6"/>
                <c:pt idx="0">
                  <c:v>1.4933718906590256</c:v>
                </c:pt>
                <c:pt idx="1">
                  <c:v>1.4846825053677173</c:v>
                </c:pt>
                <c:pt idx="2">
                  <c:v>53.102277416466094</c:v>
                </c:pt>
                <c:pt idx="3">
                  <c:v>71.63907031980898</c:v>
                </c:pt>
                <c:pt idx="4">
                  <c:v>79.834609602024827</c:v>
                </c:pt>
                <c:pt idx="5">
                  <c:v>88.956757451041071</c:v>
                </c:pt>
              </c:numCache>
            </c:numRef>
          </c:val>
          <c:extLst>
            <c:ext xmlns:c16="http://schemas.microsoft.com/office/drawing/2014/chart" uri="{C3380CC4-5D6E-409C-BE32-E72D297353CC}">
              <c16:uniqueId val="{00000001-903E-4CE4-A2B9-DD92587A7349}"/>
            </c:ext>
          </c:extLst>
        </c:ser>
        <c:ser>
          <c:idx val="2"/>
          <c:order val="2"/>
          <c:tx>
            <c:strRef>
              <c:f>'&gt;&gt;Chart'!$G$103</c:f>
              <c:strCache>
                <c:ptCount val="1"/>
                <c:pt idx="0">
                  <c:v>Total</c:v>
                </c:pt>
              </c:strCache>
            </c:strRef>
          </c:tx>
          <c:spPr>
            <a:no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j-lt"/>
                    <a:ea typeface="+mn-ea"/>
                    <a:cs typeface="Times New Roman" panose="02020603050405020304" pitchFamily="18"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'&gt;&gt;Chart'!$C$104:$D$109</c:f>
              <c:multiLvlStrCache>
                <c:ptCount val="6"/>
                <c:lvl>
                  <c:pt idx="0">
                    <c:v>O.Balance</c:v>
                  </c:pt>
                  <c:pt idx="1">
                    <c:v>E.Balance</c:v>
                  </c:pt>
                  <c:pt idx="2">
                    <c:v>O.Balance</c:v>
                  </c:pt>
                  <c:pt idx="3">
                    <c:v>E.Balance</c:v>
                  </c:pt>
                  <c:pt idx="4">
                    <c:v>O.Balance</c:v>
                  </c:pt>
                  <c:pt idx="5">
                    <c:v>E.Balance</c:v>
                  </c:pt>
                </c:lvl>
                <c:lvl>
                  <c:pt idx="0">
                    <c:v>BWID JSC</c:v>
                  </c:pt>
                  <c:pt idx="2">
                    <c:v>VC3</c:v>
                  </c:pt>
                  <c:pt idx="4">
                    <c:v>Subsidiaries</c:v>
                  </c:pt>
                </c:lvl>
              </c:multiLvlStrCache>
            </c:multiLvlStrRef>
          </c:cat>
          <c:val>
            <c:numRef>
              <c:f>'&gt;&gt;Chart'!$G$104:$G$109</c:f>
              <c:numCache>
                <c:formatCode>_("$"* #,##0.0_);_("$"* \(#,##0.0\);_("$"* "-"??_);_(@_)</c:formatCode>
                <c:ptCount val="6"/>
                <c:pt idx="0">
                  <c:v>1.5379005606590257</c:v>
                </c:pt>
                <c:pt idx="1">
                  <c:v>1.5041509753677174</c:v>
                </c:pt>
                <c:pt idx="2">
                  <c:v>53.111908676466093</c:v>
                </c:pt>
                <c:pt idx="3">
                  <c:v>71.648699379808974</c:v>
                </c:pt>
                <c:pt idx="4">
                  <c:v>79.871239512024829</c:v>
                </c:pt>
                <c:pt idx="5">
                  <c:v>88.993327511041073</c:v>
                </c:pt>
              </c:numCache>
            </c:numRef>
          </c:val>
          <c:extLst>
            <c:ext xmlns:c16="http://schemas.microsoft.com/office/drawing/2014/chart" uri="{C3380CC4-5D6E-409C-BE32-E72D297353CC}">
              <c16:uniqueId val="{00000002-903E-4CE4-A2B9-DD92587A7349}"/>
            </c:ext>
          </c:extLst>
        </c:ser>
        <c:dLbls>
          <c:showLegendKey val="0"/>
          <c:showVal val="0"/>
          <c:showCatName val="0"/>
          <c:showSerName val="0"/>
          <c:showPercent val="0"/>
          <c:showBubbleSize val="0"/>
        </c:dLbls>
        <c:gapWidth val="150"/>
        <c:overlap val="100"/>
        <c:axId val="1630868944"/>
        <c:axId val="1630864368"/>
      </c:barChart>
      <c:catAx>
        <c:axId val="163086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j-lt"/>
                <a:ea typeface="+mn-ea"/>
                <a:cs typeface="Times New Roman" panose="02020603050405020304" pitchFamily="18" charset="0"/>
              </a:defRPr>
            </a:pPr>
            <a:endParaRPr lang="en-US"/>
          </a:p>
        </c:txPr>
        <c:crossAx val="1630864368"/>
        <c:crosses val="autoZero"/>
        <c:auto val="1"/>
        <c:lblAlgn val="ctr"/>
        <c:lblOffset val="100"/>
        <c:noMultiLvlLbl val="0"/>
      </c:catAx>
      <c:valAx>
        <c:axId val="1630864368"/>
        <c:scaling>
          <c:orientation val="minMax"/>
          <c:max val="100"/>
        </c:scaling>
        <c:delete val="0"/>
        <c:axPos val="l"/>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j-lt"/>
                <a:ea typeface="+mn-ea"/>
                <a:cs typeface="Times New Roman" panose="02020603050405020304" pitchFamily="18" charset="0"/>
              </a:defRPr>
            </a:pPr>
            <a:endParaRPr lang="en-US"/>
          </a:p>
        </c:txPr>
        <c:crossAx val="1630868944"/>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j-lt"/>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sz="1400">
          <a:latin typeface="+mj-lt"/>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Times New Roman" panose="02020603050405020304" pitchFamily="18" charset="0"/>
              </a:defRPr>
            </a:pPr>
            <a:r>
              <a:rPr lang="en-US" b="1">
                <a:latin typeface="+mn-lt"/>
              </a:rPr>
              <a:t>BW's Cash Ending Balance</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Times New Roman" panose="02020603050405020304" pitchFamily="18" charset="0"/>
            </a:defRPr>
          </a:pPr>
          <a:endParaRPr lang="en-US"/>
        </a:p>
      </c:txPr>
    </c:title>
    <c:autoTitleDeleted val="0"/>
    <c:plotArea>
      <c:layout>
        <c:manualLayout>
          <c:layoutTarget val="inner"/>
          <c:xMode val="edge"/>
          <c:yMode val="edge"/>
          <c:x val="0.10999526603835975"/>
          <c:y val="0.18657159382586477"/>
          <c:w val="0.7918833282586345"/>
          <c:h val="0.62220789441850688"/>
        </c:manualLayout>
      </c:layout>
      <c:doughnutChart>
        <c:varyColors val="1"/>
        <c:ser>
          <c:idx val="1"/>
          <c:order val="1"/>
          <c:tx>
            <c:strRef>
              <c:f>'&gt;&gt;Chart'!$K$103</c:f>
              <c:strCache>
                <c:ptCount val="1"/>
                <c:pt idx="0">
                  <c:v>EB</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8E4B-438E-9BFE-2308FB8B876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8E4B-438E-9BFE-2308FB8B8769}"/>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8E4B-438E-9BFE-2308FB8B8769}"/>
              </c:ext>
            </c:extLst>
          </c:dPt>
          <c:dLbls>
            <c:numFmt formatCode="0.0%" sourceLinked="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'&gt;&gt;Chart'!$I$104:$I$106</c:f>
              <c:strCache>
                <c:ptCount val="3"/>
                <c:pt idx="0">
                  <c:v>BWID JSC</c:v>
                </c:pt>
                <c:pt idx="1">
                  <c:v>VC3</c:v>
                </c:pt>
                <c:pt idx="2">
                  <c:v>Subsidiaries</c:v>
                </c:pt>
              </c:strCache>
            </c:strRef>
          </c:cat>
          <c:val>
            <c:numRef>
              <c:f>'&gt;&gt;Chart'!$K$104:$K$106</c:f>
              <c:numCache>
                <c:formatCode>0.00%</c:formatCode>
                <c:ptCount val="3"/>
                <c:pt idx="0">
                  <c:v>9.2765120656050845E-3</c:v>
                </c:pt>
                <c:pt idx="1">
                  <c:v>0.44187720193395053</c:v>
                </c:pt>
                <c:pt idx="2">
                  <c:v>0.54884628600044427</c:v>
                </c:pt>
              </c:numCache>
            </c:numRef>
          </c:val>
          <c:extLst>
            <c:ext xmlns:c16="http://schemas.microsoft.com/office/drawing/2014/chart" uri="{C3380CC4-5D6E-409C-BE32-E72D297353CC}">
              <c16:uniqueId val="{00000006-8E4B-438E-9BFE-2308FB8B8769}"/>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'&gt;&gt;Chart'!$J$103</c15:sqref>
                        </c15:formulaRef>
                      </c:ext>
                    </c:extLst>
                    <c:strCache>
                      <c:ptCount val="1"/>
                      <c:pt idx="0">
                        <c:v>OB</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8-8E4B-438E-9BFE-2308FB8B876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A-8E4B-438E-9BFE-2308FB8B8769}"/>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C-8E4B-438E-9BFE-2308FB8B8769}"/>
                    </c:ext>
                  </c:extLst>
                </c:dPt>
                <c:dLbls>
                  <c:dLbl>
                    <c:idx val="0"/>
                    <c:layout>
                      <c:manualLayout>
                        <c:x val="2.0771579681360633E-2"/>
                        <c:y val="-3.6096320330684037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8-8E4B-438E-9BFE-2308FB8B8769}"/>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'&gt;&gt;Chart'!$I$104:$I$106</c15:sqref>
                        </c15:formulaRef>
                      </c:ext>
                    </c:extLst>
                    <c:strCache>
                      <c:ptCount val="3"/>
                      <c:pt idx="0">
                        <c:v>BWID JSC</c:v>
                      </c:pt>
                      <c:pt idx="1">
                        <c:v>VC3</c:v>
                      </c:pt>
                      <c:pt idx="2">
                        <c:v>Subsidiaries</c:v>
                      </c:pt>
                    </c:strCache>
                  </c:strRef>
                </c:cat>
                <c:val>
                  <c:numRef>
                    <c:extLst>
                      <c:ext uri="{02D57815-91ED-43cb-92C2-25804820EDAC}">
                        <c15:formulaRef>
                          <c15:sqref>'&gt;&gt;Chart'!$J$104:$J$106</c15:sqref>
                        </c15:formulaRef>
                      </c:ext>
                    </c:extLst>
                    <c:numCache>
                      <c:formatCode>0.00%</c:formatCode>
                      <c:ptCount val="3"/>
                      <c:pt idx="0">
                        <c:v>1.1432415781465158E-2</c:v>
                      </c:pt>
                      <c:pt idx="1">
                        <c:v>0.39482229116059964</c:v>
                      </c:pt>
                      <c:pt idx="2">
                        <c:v>0.59374529305793522</c:v>
                      </c:pt>
                    </c:numCache>
                  </c:numRef>
                </c:val>
                <c:extLst>
                  <c:ext xmlns:c16="http://schemas.microsoft.com/office/drawing/2014/chart" uri="{C3380CC4-5D6E-409C-BE32-E72D297353CC}">
                    <c16:uniqueId val="{0000000D-8E4B-438E-9BFE-2308FB8B876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sz="14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Times New Roman" panose="02020603050405020304" pitchFamily="18" charset="0"/>
              </a:defRPr>
            </a:pPr>
            <a:r>
              <a:rPr lang="en-US" b="1"/>
              <a:t>BW's Cash Opening Balance</a:t>
            </a:r>
          </a:p>
        </c:rich>
      </c:tx>
      <c:layout>
        <c:manualLayout>
          <c:xMode val="edge"/>
          <c:yMode val="edge"/>
          <c:x val="0.10527534670122456"/>
          <c:y val="2.4699275382577431E-2"/>
        </c:manualLayout>
      </c:layout>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Times New Roman" panose="02020603050405020304" pitchFamily="18" charset="0"/>
            </a:defRPr>
          </a:pPr>
          <a:endParaRPr lang="en-US"/>
        </a:p>
      </c:txPr>
    </c:title>
    <c:autoTitleDeleted val="0"/>
    <c:plotArea>
      <c:layout>
        <c:manualLayout>
          <c:layoutTarget val="inner"/>
          <c:xMode val="edge"/>
          <c:yMode val="edge"/>
          <c:x val="9.8222403213844484E-2"/>
          <c:y val="0.19764574091870121"/>
          <c:w val="0.77974014089635246"/>
          <c:h val="0.60651817766995897"/>
        </c:manualLayout>
      </c:layout>
      <c:doughnutChart>
        <c:varyColors val="1"/>
        <c:ser>
          <c:idx val="0"/>
          <c:order val="0"/>
          <c:tx>
            <c:strRef>
              <c:f>'&gt;&gt;Chart'!$J$103</c:f>
              <c:strCache>
                <c:ptCount val="1"/>
                <c:pt idx="0">
                  <c:v>OB</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205E-4492-8A56-CE41DBD51071}"/>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205E-4492-8A56-CE41DBD51071}"/>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205E-4492-8A56-CE41DBD51071}"/>
              </c:ext>
            </c:extLst>
          </c:dPt>
          <c:dLbls>
            <c:dLbl>
              <c:idx val="0"/>
              <c:layout>
                <c:manualLayout>
                  <c:x val="2.0771579681360633E-2"/>
                  <c:y val="-3.60963203306840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5E-4492-8A56-CE41DBD51071}"/>
                </c:ext>
              </c:extLst>
            </c:dLbl>
            <c:numFmt formatCode="0.0%" sourceLinked="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'&gt;&gt;Chart'!$I$104:$I$106</c:f>
              <c:strCache>
                <c:ptCount val="3"/>
                <c:pt idx="0">
                  <c:v>BWID JSC</c:v>
                </c:pt>
                <c:pt idx="1">
                  <c:v>VC3</c:v>
                </c:pt>
                <c:pt idx="2">
                  <c:v>Subsidiaries</c:v>
                </c:pt>
              </c:strCache>
            </c:strRef>
          </c:cat>
          <c:val>
            <c:numRef>
              <c:f>'&gt;&gt;Chart'!$J$104:$J$106</c:f>
              <c:numCache>
                <c:formatCode>0.00%</c:formatCode>
                <c:ptCount val="3"/>
                <c:pt idx="0">
                  <c:v>1.1432415781465158E-2</c:v>
                </c:pt>
                <c:pt idx="1">
                  <c:v>0.39482229116059964</c:v>
                </c:pt>
                <c:pt idx="2">
                  <c:v>0.59374529305793522</c:v>
                </c:pt>
              </c:numCache>
            </c:numRef>
          </c:val>
          <c:extLst>
            <c:ext xmlns:c16="http://schemas.microsoft.com/office/drawing/2014/chart" uri="{C3380CC4-5D6E-409C-BE32-E72D297353CC}">
              <c16:uniqueId val="{00000006-205E-4492-8A56-CE41DBD51071}"/>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1"/>
                <c:order val="1"/>
                <c:tx>
                  <c:strRef>
                    <c:extLst>
                      <c:ext uri="{02D57815-91ED-43cb-92C2-25804820EDAC}">
                        <c15:formulaRef>
                          <c15:sqref>'&gt;&gt;Chart'!$K$103</c15:sqref>
                        </c15:formulaRef>
                      </c:ext>
                    </c:extLst>
                    <c:strCache>
                      <c:ptCount val="1"/>
                      <c:pt idx="0">
                        <c:v>EB</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8-205E-4492-8A56-CE41DBD51071}"/>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A-205E-4492-8A56-CE41DBD51071}"/>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C-205E-4492-8A56-CE41DBD51071}"/>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'&gt;&gt;Chart'!$I$104:$I$106</c15:sqref>
                        </c15:formulaRef>
                      </c:ext>
                    </c:extLst>
                    <c:strCache>
                      <c:ptCount val="3"/>
                      <c:pt idx="0">
                        <c:v>BWID JSC</c:v>
                      </c:pt>
                      <c:pt idx="1">
                        <c:v>VC3</c:v>
                      </c:pt>
                      <c:pt idx="2">
                        <c:v>Subsidiaries</c:v>
                      </c:pt>
                    </c:strCache>
                  </c:strRef>
                </c:cat>
                <c:val>
                  <c:numRef>
                    <c:extLst>
                      <c:ext uri="{02D57815-91ED-43cb-92C2-25804820EDAC}">
                        <c15:formulaRef>
                          <c15:sqref>'&gt;&gt;Chart'!$K$104:$K$106</c15:sqref>
                        </c15:formulaRef>
                      </c:ext>
                    </c:extLst>
                    <c:numCache>
                      <c:formatCode>0.00%</c:formatCode>
                      <c:ptCount val="3"/>
                      <c:pt idx="0">
                        <c:v>9.2765120656050845E-3</c:v>
                      </c:pt>
                      <c:pt idx="1">
                        <c:v>0.44187720193395053</c:v>
                      </c:pt>
                      <c:pt idx="2">
                        <c:v>0.54884628600044427</c:v>
                      </c:pt>
                    </c:numCache>
                  </c:numRef>
                </c:val>
                <c:extLst>
                  <c:ext xmlns:c16="http://schemas.microsoft.com/office/drawing/2014/chart" uri="{C3380CC4-5D6E-409C-BE32-E72D297353CC}">
                    <c16:uniqueId val="{0000000D-205E-4492-8A56-CE41DBD51071}"/>
                  </c:ext>
                </c:extLst>
              </c15:ser>
            </c15:filteredPieSeries>
          </c:ext>
        </c:extLst>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sz="1400">
          <a:latin typeface="+mn-lt"/>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Term</a:t>
            </a:r>
            <a:r>
              <a:rPr lang="en-US" b="1" baseline="0">
                <a:solidFill>
                  <a:sysClr val="windowText" lastClr="000000"/>
                </a:solidFill>
              </a:rPr>
              <a:t> Deposit (USDmn)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2"/>
          <c:order val="1"/>
          <c:tx>
            <c:strRef>
              <c:f>'&gt;&gt;Chart'!$C$208</c:f>
              <c:strCache>
                <c:ptCount val="1"/>
                <c:pt idx="0">
                  <c:v>Total cash</c:v>
                </c:pt>
              </c:strCache>
            </c:strRef>
          </c:tx>
          <c:spPr>
            <a:solidFill>
              <a:schemeClr val="bg1"/>
            </a:solidFill>
            <a:ln>
              <a:solidFill>
                <a:srgbClr val="0070C0"/>
              </a:solidFill>
            </a:ln>
            <a:effectLst/>
          </c:spPr>
          <c:invertIfNegative val="0"/>
          <c:dLbls>
            <c:numFmt formatCode="_(&quot;$&quot;* #,##0.0_);_(&quot;$&quot;* \(#,##0.0\);_(&quot;$&quot;* &quot;-&quot;?_);_(@_)"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'&gt;&gt;Chart'!$D$199:$F$199</c:f>
              <c:strCache>
                <c:ptCount val="3"/>
                <c:pt idx="0">
                  <c:v>BWID JSC</c:v>
                </c:pt>
                <c:pt idx="1">
                  <c:v>VC3</c:v>
                </c:pt>
                <c:pt idx="2">
                  <c:v>Subsidiaries</c:v>
                </c:pt>
              </c:strCache>
            </c:strRef>
          </c:cat>
          <c:val>
            <c:numRef>
              <c:f>'&gt;&gt;Chart'!$D$208:$F$208</c:f>
              <c:numCache>
                <c:formatCode>_(* #,##0.00_);_(* \(#,##0.00\);_(* "-"??_);_(@_)</c:formatCode>
                <c:ptCount val="3"/>
                <c:pt idx="0">
                  <c:v>1.9468469999999998E-2</c:v>
                </c:pt>
                <c:pt idx="1">
                  <c:v>9.6290600000002238E-3</c:v>
                </c:pt>
                <c:pt idx="2">
                  <c:v>3.6570059999999995E-2</c:v>
                </c:pt>
              </c:numCache>
            </c:numRef>
          </c:val>
          <c:extLst>
            <c:ext xmlns:c16="http://schemas.microsoft.com/office/drawing/2014/chart" uri="{C3380CC4-5D6E-409C-BE32-E72D297353CC}">
              <c16:uniqueId val="{00000000-947A-4FA8-B9AB-8B846D5B7A60}"/>
            </c:ext>
          </c:extLst>
        </c:ser>
        <c:dLbls>
          <c:showLegendKey val="0"/>
          <c:showVal val="0"/>
          <c:showCatName val="0"/>
          <c:showSerName val="0"/>
          <c:showPercent val="0"/>
          <c:showBubbleSize val="0"/>
        </c:dLbls>
        <c:gapWidth val="128"/>
        <c:axId val="725947455"/>
        <c:axId val="725947871"/>
      </c:barChart>
      <c:barChart>
        <c:barDir val="bar"/>
        <c:grouping val="clustered"/>
        <c:varyColors val="0"/>
        <c:ser>
          <c:idx val="1"/>
          <c:order val="0"/>
          <c:tx>
            <c:strRef>
              <c:f>'&gt;&gt;Chart'!$C$207</c:f>
              <c:strCache>
                <c:ptCount val="1"/>
                <c:pt idx="0">
                  <c:v>Term deposit</c:v>
                </c:pt>
              </c:strCache>
            </c:strRef>
          </c:tx>
          <c:spPr>
            <a:solidFill>
              <a:schemeClr val="accent1">
                <a:lumMod val="75000"/>
              </a:schemeClr>
            </a:solidFill>
            <a:ln>
              <a:noFill/>
            </a:ln>
            <a:effectLst/>
          </c:spPr>
          <c:invertIfNegative val="0"/>
          <c:dLbls>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'&gt;&gt;Chart'!$D$199:$F$199</c:f>
              <c:strCache>
                <c:ptCount val="3"/>
                <c:pt idx="0">
                  <c:v>BWID JSC</c:v>
                </c:pt>
                <c:pt idx="1">
                  <c:v>VC3</c:v>
                </c:pt>
                <c:pt idx="2">
                  <c:v>Subsidiaries</c:v>
                </c:pt>
              </c:strCache>
            </c:strRef>
          </c:cat>
          <c:val>
            <c:numRef>
              <c:f>'&gt;&gt;Chart'!$D$207:$F$207</c:f>
              <c:numCache>
                <c:formatCode>_(* #,##0.00_);_(* \(#,##0.00\);_(* "-"??_);_(@_)</c:formatCode>
                <c:ptCount val="3"/>
                <c:pt idx="0">
                  <c:v>0</c:v>
                </c:pt>
                <c:pt idx="1">
                  <c:v>0</c:v>
                </c:pt>
                <c:pt idx="2">
                  <c:v>0</c:v>
                </c:pt>
              </c:numCache>
            </c:numRef>
          </c:val>
          <c:extLst>
            <c:ext xmlns:c16="http://schemas.microsoft.com/office/drawing/2014/chart" uri="{C3380CC4-5D6E-409C-BE32-E72D297353CC}">
              <c16:uniqueId val="{00000001-947A-4FA8-B9AB-8B846D5B7A60}"/>
            </c:ext>
          </c:extLst>
        </c:ser>
        <c:dLbls>
          <c:showLegendKey val="0"/>
          <c:showVal val="0"/>
          <c:showCatName val="0"/>
          <c:showSerName val="0"/>
          <c:showPercent val="0"/>
          <c:showBubbleSize val="0"/>
        </c:dLbls>
        <c:gapWidth val="220"/>
        <c:axId val="484389631"/>
        <c:axId val="484389215"/>
      </c:barChart>
      <c:catAx>
        <c:axId val="725947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25947871"/>
        <c:crosses val="autoZero"/>
        <c:auto val="1"/>
        <c:lblAlgn val="ctr"/>
        <c:lblOffset val="100"/>
        <c:noMultiLvlLbl val="0"/>
      </c:catAx>
      <c:valAx>
        <c:axId val="725947871"/>
        <c:scaling>
          <c:orientation val="minMax"/>
          <c:max val="250"/>
          <c:min val="0"/>
        </c:scaling>
        <c:delete val="0"/>
        <c:axPos val="b"/>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725947455"/>
        <c:crosses val="autoZero"/>
        <c:crossBetween val="between"/>
        <c:majorUnit val="60"/>
      </c:valAx>
      <c:valAx>
        <c:axId val="484389215"/>
        <c:scaling>
          <c:orientation val="minMax"/>
        </c:scaling>
        <c:delete val="1"/>
        <c:axPos val="t"/>
        <c:numFmt formatCode="_(* #,##0.00_);_(* \(#,##0.00\);_(* &quot;-&quot;??_);_(@_)" sourceLinked="1"/>
        <c:majorTickMark val="out"/>
        <c:minorTickMark val="none"/>
        <c:tickLblPos val="nextTo"/>
        <c:crossAx val="484389631"/>
        <c:crosses val="max"/>
        <c:crossBetween val="between"/>
      </c:valAx>
      <c:catAx>
        <c:axId val="484389631"/>
        <c:scaling>
          <c:orientation val="minMax"/>
        </c:scaling>
        <c:delete val="1"/>
        <c:axPos val="l"/>
        <c:numFmt formatCode="General" sourceLinked="1"/>
        <c:majorTickMark val="out"/>
        <c:minorTickMark val="none"/>
        <c:tickLblPos val="nextTo"/>
        <c:crossAx val="484389215"/>
        <c:crosses val="autoZero"/>
        <c:auto val="1"/>
        <c:lblAlgn val="ctr"/>
        <c:lblOffset val="100"/>
        <c:noMultiLvlLbl val="0"/>
      </c:catAx>
      <c:spPr>
        <a:noFill/>
        <a:ln>
          <a:noFill/>
        </a:ln>
        <a:effectLst/>
      </c:spPr>
    </c:plotArea>
    <c:legend>
      <c:legendPos val="b"/>
      <c:legendEntry>
        <c:idx val="0"/>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Ter</a:t>
            </a:r>
            <a:r>
              <a:rPr lang="en-US" b="1" baseline="0">
                <a:solidFill>
                  <a:schemeClr val="tx1"/>
                </a:solidFill>
              </a:rPr>
              <a:t>m Deposit (VNDbn)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2"/>
          <c:order val="1"/>
          <c:tx>
            <c:strRef>
              <c:f>'&gt;&gt;Chart'!$C$202</c:f>
              <c:strCache>
                <c:ptCount val="1"/>
                <c:pt idx="0">
                  <c:v>Total cash</c:v>
                </c:pt>
              </c:strCache>
            </c:strRef>
          </c:tx>
          <c:spPr>
            <a:solidFill>
              <a:schemeClr val="bg1"/>
            </a:solidFill>
            <a:ln>
              <a:solidFill>
                <a:schemeClr val="accent1"/>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'&gt;&gt;Chart'!$D$199:$F$199</c:f>
              <c:strCache>
                <c:ptCount val="3"/>
                <c:pt idx="0">
                  <c:v>BWID JSC</c:v>
                </c:pt>
                <c:pt idx="1">
                  <c:v>VC3</c:v>
                </c:pt>
                <c:pt idx="2">
                  <c:v>Subsidiaries</c:v>
                </c:pt>
              </c:strCache>
            </c:strRef>
          </c:cat>
          <c:val>
            <c:numRef>
              <c:f>'&gt;&gt;Chart'!$D$202:$F$202</c:f>
              <c:numCache>
                <c:formatCode>_(* #,##0.00_);_(* \(#,##0.00\);_(* "-"??_);_(@_)</c:formatCode>
                <c:ptCount val="3"/>
                <c:pt idx="0">
                  <c:v>38.861564577999999</c:v>
                </c:pt>
                <c:pt idx="1">
                  <c:v>1875.1526656209999</c:v>
                </c:pt>
                <c:pt idx="2">
                  <c:v>2328.4431262809999</c:v>
                </c:pt>
              </c:numCache>
            </c:numRef>
          </c:val>
          <c:extLst>
            <c:ext xmlns:c16="http://schemas.microsoft.com/office/drawing/2014/chart" uri="{C3380CC4-5D6E-409C-BE32-E72D297353CC}">
              <c16:uniqueId val="{00000000-CA83-40CE-A10B-1AFD671AA1C4}"/>
            </c:ext>
          </c:extLst>
        </c:ser>
        <c:dLbls>
          <c:showLegendKey val="0"/>
          <c:showVal val="0"/>
          <c:showCatName val="0"/>
          <c:showSerName val="0"/>
          <c:showPercent val="0"/>
          <c:showBubbleSize val="0"/>
        </c:dLbls>
        <c:gapWidth val="128"/>
        <c:axId val="725947455"/>
        <c:axId val="725947871"/>
      </c:barChart>
      <c:barChart>
        <c:barDir val="bar"/>
        <c:grouping val="clustered"/>
        <c:varyColors val="0"/>
        <c:ser>
          <c:idx val="1"/>
          <c:order val="0"/>
          <c:tx>
            <c:strRef>
              <c:f>'&gt;&gt;Chart'!$C$201</c:f>
              <c:strCache>
                <c:ptCount val="1"/>
                <c:pt idx="0">
                  <c:v>Term deposit</c:v>
                </c:pt>
              </c:strCache>
            </c:strRef>
          </c:tx>
          <c:spPr>
            <a:solidFill>
              <a:schemeClr val="accent1">
                <a:lumMod val="75000"/>
              </a:schemeClr>
            </a:solidFill>
            <a:ln>
              <a:noFill/>
            </a:ln>
            <a:effectLst/>
          </c:spPr>
          <c:invertIfNegative val="0"/>
          <c:dLbls>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1-CA83-40CE-A10B-1AFD671AA1C4}"/>
                </c:ext>
              </c:extLst>
            </c:dLbl>
            <c:dLbl>
              <c:idx val="1"/>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2-CA83-40CE-A10B-1AFD671AA1C4}"/>
                </c:ext>
              </c:extLst>
            </c:dLbl>
            <c:dLbl>
              <c:idx val="2"/>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3-CA83-40CE-A10B-1AFD671AA1C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'&gt;&gt;Chart'!$D$199:$F$199</c:f>
              <c:strCache>
                <c:ptCount val="3"/>
                <c:pt idx="0">
                  <c:v>BWID JSC</c:v>
                </c:pt>
                <c:pt idx="1">
                  <c:v>VC3</c:v>
                </c:pt>
                <c:pt idx="2">
                  <c:v>Subsidiaries</c:v>
                </c:pt>
              </c:strCache>
            </c:strRef>
          </c:cat>
          <c:val>
            <c:numRef>
              <c:f>'&gt;&gt;Chart'!$D$201:$F$201</c:f>
              <c:numCache>
                <c:formatCode>_(* #,##0.00_);_(* \(#,##0.00\);_(* "-"??_);_(@_)</c:formatCode>
                <c:ptCount val="3"/>
                <c:pt idx="0">
                  <c:v>36.200000000000003</c:v>
                </c:pt>
                <c:pt idx="1">
                  <c:v>1520</c:v>
                </c:pt>
                <c:pt idx="2">
                  <c:v>1740.2137541439999</c:v>
                </c:pt>
              </c:numCache>
            </c:numRef>
          </c:val>
          <c:extLst>
            <c:ext xmlns:c16="http://schemas.microsoft.com/office/drawing/2014/chart" uri="{C3380CC4-5D6E-409C-BE32-E72D297353CC}">
              <c16:uniqueId val="{00000004-CA83-40CE-A10B-1AFD671AA1C4}"/>
            </c:ext>
          </c:extLst>
        </c:ser>
        <c:dLbls>
          <c:showLegendKey val="0"/>
          <c:showVal val="0"/>
          <c:showCatName val="0"/>
          <c:showSerName val="0"/>
          <c:showPercent val="0"/>
          <c:showBubbleSize val="0"/>
        </c:dLbls>
        <c:gapWidth val="220"/>
        <c:axId val="484389631"/>
        <c:axId val="484389215"/>
      </c:barChart>
      <c:catAx>
        <c:axId val="7259474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725947871"/>
        <c:crosses val="autoZero"/>
        <c:auto val="1"/>
        <c:lblAlgn val="ctr"/>
        <c:lblOffset val="100"/>
        <c:noMultiLvlLbl val="0"/>
      </c:catAx>
      <c:valAx>
        <c:axId val="725947871"/>
        <c:scaling>
          <c:orientation val="minMax"/>
          <c:max val="1600"/>
        </c:scaling>
        <c:delete val="0"/>
        <c:axPos val="b"/>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725947455"/>
        <c:crosses val="autoZero"/>
        <c:crossBetween val="between"/>
        <c:majorUnit val="400"/>
        <c:minorUnit val="100"/>
      </c:valAx>
      <c:valAx>
        <c:axId val="484389215"/>
        <c:scaling>
          <c:orientation val="minMax"/>
        </c:scaling>
        <c:delete val="1"/>
        <c:axPos val="t"/>
        <c:numFmt formatCode="_(* #,##0.00_);_(* \(#,##0.00\);_(* &quot;-&quot;??_);_(@_)" sourceLinked="1"/>
        <c:majorTickMark val="out"/>
        <c:minorTickMark val="none"/>
        <c:tickLblPos val="nextTo"/>
        <c:crossAx val="484389631"/>
        <c:crosses val="max"/>
        <c:crossBetween val="between"/>
      </c:valAx>
      <c:catAx>
        <c:axId val="484389631"/>
        <c:scaling>
          <c:orientation val="minMax"/>
        </c:scaling>
        <c:delete val="1"/>
        <c:axPos val="r"/>
        <c:numFmt formatCode="General" sourceLinked="1"/>
        <c:majorTickMark val="out"/>
        <c:minorTickMark val="none"/>
        <c:tickLblPos val="nextTo"/>
        <c:crossAx val="484389215"/>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r>
              <a:rPr lang="en-US" b="1">
                <a:solidFill>
                  <a:schemeClr val="tx1"/>
                </a:solidFill>
              </a:rPr>
              <a:t>Cash Allocation</a:t>
            </a:r>
          </a:p>
        </c:rich>
      </c:tx>
      <c:layout>
        <c:manualLayout>
          <c:xMode val="edge"/>
          <c:yMode val="edge"/>
          <c:x val="0.38322314704578531"/>
          <c:y val="1.9263340800174365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22267895411969416"/>
          <c:y val="9.433259177482764E-2"/>
          <c:w val="0.55464209176061163"/>
          <c:h val="0.79718690504969036"/>
        </c:manualLayout>
      </c:layout>
      <c:pieChart>
        <c:varyColors val="1"/>
        <c:ser>
          <c:idx val="0"/>
          <c:order val="0"/>
          <c:dPt>
            <c:idx val="0"/>
            <c:bubble3D val="0"/>
            <c:spPr>
              <a:solidFill>
                <a:schemeClr val="accent1">
                  <a:shade val="47000"/>
                </a:schemeClr>
              </a:solidFill>
              <a:ln w="19050">
                <a:solidFill>
                  <a:schemeClr val="lt1"/>
                </a:solidFill>
              </a:ln>
              <a:effectLst/>
            </c:spPr>
            <c:extLst>
              <c:ext xmlns:c16="http://schemas.microsoft.com/office/drawing/2014/chart" uri="{C3380CC4-5D6E-409C-BE32-E72D297353CC}">
                <c16:uniqueId val="{00000001-0828-45F2-A7D6-77E2EE0D1AF5}"/>
              </c:ext>
            </c:extLst>
          </c:dPt>
          <c:dPt>
            <c:idx val="1"/>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3-0828-45F2-A7D6-77E2EE0D1AF5}"/>
              </c:ext>
            </c:extLst>
          </c:dPt>
          <c:dPt>
            <c:idx val="2"/>
            <c:bubble3D val="0"/>
            <c:spPr>
              <a:solidFill>
                <a:schemeClr val="accent1">
                  <a:shade val="82000"/>
                </a:schemeClr>
              </a:solidFill>
              <a:ln w="19050">
                <a:solidFill>
                  <a:schemeClr val="lt1"/>
                </a:solidFill>
              </a:ln>
              <a:effectLst/>
            </c:spPr>
            <c:extLst>
              <c:ext xmlns:c16="http://schemas.microsoft.com/office/drawing/2014/chart" uri="{C3380CC4-5D6E-409C-BE32-E72D297353CC}">
                <c16:uniqueId val="{00000005-0828-45F2-A7D6-77E2EE0D1AF5}"/>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0828-45F2-A7D6-77E2EE0D1AF5}"/>
              </c:ext>
            </c:extLst>
          </c:dPt>
          <c:dPt>
            <c:idx val="4"/>
            <c:bubble3D val="0"/>
            <c:spPr>
              <a:solidFill>
                <a:schemeClr val="accent1">
                  <a:tint val="83000"/>
                </a:schemeClr>
              </a:solidFill>
              <a:ln w="19050">
                <a:solidFill>
                  <a:schemeClr val="lt1"/>
                </a:solidFill>
              </a:ln>
              <a:effectLst/>
            </c:spPr>
            <c:extLst>
              <c:ext xmlns:c16="http://schemas.microsoft.com/office/drawing/2014/chart" uri="{C3380CC4-5D6E-409C-BE32-E72D297353CC}">
                <c16:uniqueId val="{00000009-0828-45F2-A7D6-77E2EE0D1AF5}"/>
              </c:ext>
            </c:extLst>
          </c:dPt>
          <c:dPt>
            <c:idx val="5"/>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B-0828-45F2-A7D6-77E2EE0D1AF5}"/>
              </c:ext>
            </c:extLst>
          </c:dPt>
          <c:dPt>
            <c:idx val="6"/>
            <c:bubble3D val="0"/>
            <c:spPr>
              <a:solidFill>
                <a:schemeClr val="accent1">
                  <a:tint val="62000"/>
                </a:schemeClr>
              </a:solidFill>
              <a:ln w="19050">
                <a:solidFill>
                  <a:schemeClr val="lt1"/>
                </a:solidFill>
              </a:ln>
              <a:effectLst/>
            </c:spPr>
            <c:extLst>
              <c:ext xmlns:c16="http://schemas.microsoft.com/office/drawing/2014/chart" uri="{C3380CC4-5D6E-409C-BE32-E72D297353CC}">
                <c16:uniqueId val="{0000000D-0828-45F2-A7D6-77E2EE0D1AF5}"/>
              </c:ext>
            </c:extLst>
          </c:dPt>
          <c:dPt>
            <c:idx val="7"/>
            <c:bubble3D val="0"/>
            <c:spPr>
              <a:solidFill>
                <a:schemeClr val="accent1">
                  <a:tint val="48000"/>
                </a:schemeClr>
              </a:solidFill>
              <a:ln w="19050">
                <a:solidFill>
                  <a:schemeClr val="lt1"/>
                </a:solidFill>
              </a:ln>
              <a:effectLst/>
            </c:spPr>
            <c:extLst>
              <c:ext xmlns:c16="http://schemas.microsoft.com/office/drawing/2014/chart" uri="{C3380CC4-5D6E-409C-BE32-E72D297353CC}">
                <c16:uniqueId val="{0000000F-0828-45F2-A7D6-77E2EE0D1AF5}"/>
              </c:ext>
            </c:extLst>
          </c:dPt>
          <c:dLbls>
            <c:dLbl>
              <c:idx val="0"/>
              <c:spPr>
                <a:noFill/>
                <a:ln>
                  <a:noFill/>
                </a:ln>
                <a:effectLst/>
              </c:spPr>
              <c:txPr>
                <a:bodyPr rot="0" spcFirstLastPara="1" vertOverflow="ellipsis" vert="horz" wrap="square" anchor="ctr" anchorCtr="1"/>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28-45F2-A7D6-77E2EE0D1AF5}"/>
                </c:ext>
              </c:extLst>
            </c:dLbl>
            <c:dLbl>
              <c:idx val="1"/>
              <c:spPr>
                <a:noFill/>
                <a:ln>
                  <a:noFill/>
                </a:ln>
                <a:effectLst/>
              </c:spPr>
              <c:txPr>
                <a:bodyPr rot="0" spcFirstLastPara="1" vertOverflow="ellipsis" vert="horz" wrap="square" anchor="ctr" anchorCtr="1"/>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28-45F2-A7D6-77E2EE0D1AF5}"/>
                </c:ext>
              </c:extLst>
            </c:dLbl>
            <c:dLbl>
              <c:idx val="2"/>
              <c:spPr>
                <a:noFill/>
                <a:ln>
                  <a:noFill/>
                </a:ln>
                <a:effectLst/>
              </c:spPr>
              <c:txPr>
                <a:bodyPr rot="0" spcFirstLastPara="1" vertOverflow="ellipsis" vert="horz" wrap="square" anchor="ctr" anchorCtr="1"/>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828-45F2-A7D6-77E2EE0D1AF5}"/>
                </c:ext>
              </c:extLst>
            </c:dLbl>
            <c:dLbl>
              <c:idx val="3"/>
              <c:delete val="1"/>
              <c:extLst>
                <c:ext xmlns:c15="http://schemas.microsoft.com/office/drawing/2012/chart" uri="{CE6537A1-D6FC-4f65-9D91-7224C49458BB}"/>
                <c:ext xmlns:c16="http://schemas.microsoft.com/office/drawing/2014/chart" uri="{C3380CC4-5D6E-409C-BE32-E72D297353CC}">
                  <c16:uniqueId val="{00000007-0828-45F2-A7D6-77E2EE0D1AF5}"/>
                </c:ext>
              </c:extLst>
            </c:dLbl>
            <c:dLbl>
              <c:idx val="4"/>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828-45F2-A7D6-77E2EE0D1AF5}"/>
                </c:ext>
              </c:extLst>
            </c:dLbl>
            <c:dLbl>
              <c:idx val="5"/>
              <c:delete val="1"/>
              <c:extLst>
                <c:ext xmlns:c15="http://schemas.microsoft.com/office/drawing/2012/chart" uri="{CE6537A1-D6FC-4f65-9D91-7224C49458BB}"/>
                <c:ext xmlns:c16="http://schemas.microsoft.com/office/drawing/2014/chart" uri="{C3380CC4-5D6E-409C-BE32-E72D297353CC}">
                  <c16:uniqueId val="{0000000B-0828-45F2-A7D6-77E2EE0D1AF5}"/>
                </c:ext>
              </c:extLst>
            </c:dLbl>
            <c:dLbl>
              <c:idx val="7"/>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828-45F2-A7D6-77E2EE0D1AF5}"/>
                </c:ext>
              </c:extLst>
            </c:dLbl>
            <c:spPr>
              <a:noFill/>
              <a:ln>
                <a:noFill/>
              </a:ln>
              <a:effectLst/>
            </c:spPr>
            <c:txPr>
              <a:bodyPr rot="0" spcFirstLastPara="1" vertOverflow="ellipsis" vert="horz" wrap="square" anchor="ctr" anchorCtr="1"/>
              <a:lstStyle/>
              <a:p>
                <a:pPr algn="ct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'&gt;&gt;Chart'!$R$44:$R$51</c:f>
              <c:strCache>
                <c:ptCount val="8"/>
                <c:pt idx="0">
                  <c:v> VTB </c:v>
                </c:pt>
                <c:pt idx="1">
                  <c:v> VCB </c:v>
                </c:pt>
                <c:pt idx="2">
                  <c:v> BIDV </c:v>
                </c:pt>
                <c:pt idx="3">
                  <c:v> OCB </c:v>
                </c:pt>
                <c:pt idx="4">
                  <c:v> VIB </c:v>
                </c:pt>
                <c:pt idx="5">
                  <c:v> MBB </c:v>
                </c:pt>
                <c:pt idx="6">
                  <c:v> SINOPAC </c:v>
                </c:pt>
                <c:pt idx="7">
                  <c:v> OTHERS </c:v>
                </c:pt>
              </c:strCache>
            </c:strRef>
          </c:cat>
          <c:val>
            <c:numRef>
              <c:f>'&gt;&gt;Chart'!$S$44:$S$51</c:f>
              <c:numCache>
                <c:formatCode>0%</c:formatCode>
                <c:ptCount val="8"/>
                <c:pt idx="0">
                  <c:v>0.37925032222583077</c:v>
                </c:pt>
                <c:pt idx="1">
                  <c:v>0.39185646781131628</c:v>
                </c:pt>
                <c:pt idx="2">
                  <c:v>9.4370228848352666E-2</c:v>
                </c:pt>
                <c:pt idx="3">
                  <c:v>1.5190789069243559E-4</c:v>
                </c:pt>
                <c:pt idx="4">
                  <c:v>4.377707160643509E-2</c:v>
                </c:pt>
                <c:pt idx="5">
                  <c:v>2.5889891229257501E-6</c:v>
                </c:pt>
                <c:pt idx="6">
                  <c:v>3.5180520590261471E-2</c:v>
                </c:pt>
                <c:pt idx="7">
                  <c:v>5.5410892037988123E-2</c:v>
                </c:pt>
              </c:numCache>
            </c:numRef>
          </c:val>
          <c:extLst>
            <c:ext xmlns:c16="http://schemas.microsoft.com/office/drawing/2014/chart" uri="{C3380CC4-5D6E-409C-BE32-E72D297353CC}">
              <c16:uniqueId val="{00000010-0828-45F2-A7D6-77E2EE0D1AF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sz="1300"/>
            </a:pPr>
            <a:r>
              <a:rPr lang="en-US" sz="1300"/>
              <a:t>Cash </a:t>
            </a:r>
            <a:r>
              <a:rPr lang="en-US" sz="1300" baseline="0"/>
              <a:t>allocation </a:t>
            </a:r>
            <a:endParaRPr lang="en-US" sz="1300"/>
          </a:p>
        </c:rich>
      </c:tx>
      <c:overlay val="0"/>
      <c:spPr>
        <a:noFill/>
        <a:ln>
          <a:noFill/>
        </a:ln>
        <a:effectLst/>
      </c:spPr>
    </c:title>
    <c:autoTitleDeleted val="0"/>
    <c:plotArea>
      <c:layout>
        <c:manualLayout>
          <c:layoutTarget val="inner"/>
          <c:xMode val="edge"/>
          <c:yMode val="edge"/>
          <c:x val="6.4571079350335514E-2"/>
          <c:y val="0.1435632448453753"/>
          <c:w val="0.91802317159344404"/>
          <c:h val="0.76892543498071153"/>
        </c:manualLayout>
      </c:layout>
      <c:barChart>
        <c:barDir val="col"/>
        <c:grouping val="stacked"/>
        <c:varyColors val="0"/>
        <c:ser>
          <c:idx val="0"/>
          <c:order val="0"/>
          <c:tx>
            <c:strRef>
              <c:f>'&gt;&gt;Chart'!$D$44</c:f>
              <c:strCache>
                <c:ptCount val="1"/>
                <c:pt idx="0">
                  <c:v> BW </c:v>
                </c:pt>
              </c:strCache>
            </c:strRef>
          </c:tx>
          <c:spPr>
            <a:solidFill>
              <a:schemeClr val="accent2">
                <a:lumMod val="40000"/>
                <a:lumOff val="60000"/>
              </a:schemeClr>
            </a:solidFill>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0-6A8F-4518-A66B-EF79E148FF52}"/>
                </c:ext>
              </c:extLst>
            </c:dLbl>
            <c:dLbl>
              <c:idx val="4"/>
              <c:delete val="1"/>
              <c:extLst>
                <c:ext xmlns:c15="http://schemas.microsoft.com/office/drawing/2012/chart" uri="{CE6537A1-D6FC-4f65-9D91-7224C49458BB}"/>
                <c:ext xmlns:c16="http://schemas.microsoft.com/office/drawing/2014/chart" uri="{C3380CC4-5D6E-409C-BE32-E72D297353CC}">
                  <c16:uniqueId val="{00000001-6A8F-4518-A66B-EF79E148FF52}"/>
                </c:ext>
              </c:extLst>
            </c:dLbl>
            <c:dLbl>
              <c:idx val="7"/>
              <c:delete val="1"/>
              <c:extLst>
                <c:ext xmlns:c15="http://schemas.microsoft.com/office/drawing/2012/chart" uri="{CE6537A1-D6FC-4f65-9D91-7224C49458BB}"/>
                <c:ext xmlns:c16="http://schemas.microsoft.com/office/drawing/2014/chart" uri="{C3380CC4-5D6E-409C-BE32-E72D297353CC}">
                  <c16:uniqueId val="{00000002-6A8F-4518-A66B-EF79E148FF52}"/>
                </c:ext>
              </c:extLst>
            </c:dLbl>
            <c:dLbl>
              <c:idx val="9"/>
              <c:delete val="1"/>
              <c:extLst>
                <c:ext xmlns:c15="http://schemas.microsoft.com/office/drawing/2012/chart" uri="{CE6537A1-D6FC-4f65-9D91-7224C49458BB}"/>
                <c:ext xmlns:c16="http://schemas.microsoft.com/office/drawing/2014/chart" uri="{C3380CC4-5D6E-409C-BE32-E72D297353CC}">
                  <c16:uniqueId val="{00000003-6A8F-4518-A66B-EF79E148FF52}"/>
                </c:ext>
              </c:extLst>
            </c:dLbl>
            <c:dLbl>
              <c:idx val="10"/>
              <c:delete val="1"/>
              <c:extLst>
                <c:ext xmlns:c15="http://schemas.microsoft.com/office/drawing/2012/chart" uri="{CE6537A1-D6FC-4f65-9D91-7224C49458BB}"/>
                <c:ext xmlns:c16="http://schemas.microsoft.com/office/drawing/2014/chart" uri="{C3380CC4-5D6E-409C-BE32-E72D297353CC}">
                  <c16:uniqueId val="{00000004-6A8F-4518-A66B-EF79E148FF52}"/>
                </c:ext>
              </c:extLst>
            </c:dLbl>
            <c:dLbl>
              <c:idx val="11"/>
              <c:delete val="1"/>
              <c:extLst>
                <c:ext xmlns:c15="http://schemas.microsoft.com/office/drawing/2012/chart" uri="{CE6537A1-D6FC-4f65-9D91-7224C49458BB}"/>
                <c:ext xmlns:c16="http://schemas.microsoft.com/office/drawing/2014/chart" uri="{C3380CC4-5D6E-409C-BE32-E72D297353CC}">
                  <c16:uniqueId val="{00000005-6A8F-4518-A66B-EF79E148FF52}"/>
                </c:ext>
              </c:extLst>
            </c:dLbl>
            <c:dLbl>
              <c:idx val="12"/>
              <c:delete val="1"/>
              <c:extLst>
                <c:ext xmlns:c15="http://schemas.microsoft.com/office/drawing/2012/chart" uri="{CE6537A1-D6FC-4f65-9D91-7224C49458BB}"/>
                <c:ext xmlns:c16="http://schemas.microsoft.com/office/drawing/2014/chart" uri="{C3380CC4-5D6E-409C-BE32-E72D297353CC}">
                  <c16:uniqueId val="{00000006-6A8F-4518-A66B-EF79E148FF52}"/>
                </c:ext>
              </c:extLst>
            </c:dLbl>
            <c:dLbl>
              <c:idx val="13"/>
              <c:delete val="1"/>
              <c:extLst>
                <c:ext xmlns:c15="http://schemas.microsoft.com/office/drawing/2012/chart" uri="{CE6537A1-D6FC-4f65-9D91-7224C49458BB}"/>
                <c:ext xmlns:c16="http://schemas.microsoft.com/office/drawing/2014/chart" uri="{C3380CC4-5D6E-409C-BE32-E72D297353CC}">
                  <c16:uniqueId val="{00000007-6A8F-4518-A66B-EF79E148FF52}"/>
                </c:ext>
              </c:extLst>
            </c:dLbl>
            <c:numFmt formatCode="&quot;$&quot;#,##0.0" sourceLinked="0"/>
            <c:spPr>
              <a:noFill/>
              <a:ln>
                <a:noFill/>
              </a:ln>
              <a:effectLst/>
            </c:spPr>
            <c:txPr>
              <a:bodyPr wrap="square" lIns="38100" tIns="19050" rIns="38100" bIns="19050" anchor="ctr">
                <a:spAutoFit/>
              </a:bodyPr>
              <a:lstStyle/>
              <a:p>
                <a:pPr>
                  <a:defRPr b="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'&gt;&gt;Chart'!$B$45:$B$61</c:f>
              <c:strCache>
                <c:ptCount val="17"/>
                <c:pt idx="0">
                  <c:v>VTB TS</c:v>
                </c:pt>
                <c:pt idx="1">
                  <c:v>VTB BD + QM</c:v>
                </c:pt>
                <c:pt idx="2">
                  <c:v>VTB DSG</c:v>
                </c:pt>
                <c:pt idx="3">
                  <c:v>VTB CN1</c:v>
                </c:pt>
                <c:pt idx="5">
                  <c:v>VCB HCM</c:v>
                </c:pt>
                <c:pt idx="6">
                  <c:v>VCB BD</c:v>
                </c:pt>
                <c:pt idx="8">
                  <c:v>BIDV TX</c:v>
                </c:pt>
                <c:pt idx="9">
                  <c:v>BIDV NSG</c:v>
                </c:pt>
                <c:pt idx="10">
                  <c:v>BIDV LB</c:v>
                </c:pt>
                <c:pt idx="12">
                  <c:v>OCB BD</c:v>
                </c:pt>
                <c:pt idx="13">
                  <c:v>MBB BSG</c:v>
                </c:pt>
                <c:pt idx="14">
                  <c:v>VIB HO</c:v>
                </c:pt>
                <c:pt idx="15">
                  <c:v>SINOPAC</c:v>
                </c:pt>
                <c:pt idx="16">
                  <c:v>OTHERS</c:v>
                </c:pt>
              </c:strCache>
            </c:strRef>
          </c:cat>
          <c:val>
            <c:numRef>
              <c:f>'&gt;&gt;Chart'!$D$45:$D$61</c:f>
              <c:numCache>
                <c:formatCode>_("$"* #,##0.00_);_("$"* \(#,##0.00\);_("$"* "-"??_);_(@_)</c:formatCode>
                <c:ptCount val="17"/>
                <c:pt idx="0">
                  <c:v>1.3094370582617E-3</c:v>
                </c:pt>
                <c:pt idx="1">
                  <c:v>0.26810015010506211</c:v>
                </c:pt>
                <c:pt idx="2">
                  <c:v>7.6900000000000004E-4</c:v>
                </c:pt>
                <c:pt idx="3">
                  <c:v>4.2198677268385863E-3</c:v>
                </c:pt>
                <c:pt idx="4">
                  <c:v>0</c:v>
                </c:pt>
                <c:pt idx="5">
                  <c:v>1.1851237669531998E-2</c:v>
                </c:pt>
                <c:pt idx="6">
                  <c:v>1.7050064976122256E-2</c:v>
                </c:pt>
                <c:pt idx="7">
                  <c:v>0</c:v>
                </c:pt>
                <c:pt idx="8">
                  <c:v>1.5188622349570199E-3</c:v>
                </c:pt>
                <c:pt idx="9">
                  <c:v>0</c:v>
                </c:pt>
                <c:pt idx="10">
                  <c:v>0</c:v>
                </c:pt>
                <c:pt idx="11">
                  <c:v>0</c:v>
                </c:pt>
                <c:pt idx="12">
                  <c:v>2.8100769436485199E-3</c:v>
                </c:pt>
                <c:pt idx="13">
                  <c:v>0</c:v>
                </c:pt>
                <c:pt idx="14">
                  <c:v>5.7396511938872965E-4</c:v>
                </c:pt>
                <c:pt idx="15">
                  <c:v>1.1826887440878702</c:v>
                </c:pt>
                <c:pt idx="16">
                  <c:v>6.8840332473734476E-3</c:v>
                </c:pt>
              </c:numCache>
            </c:numRef>
          </c:val>
          <c:extLst>
            <c:ext xmlns:c16="http://schemas.microsoft.com/office/drawing/2014/chart" uri="{C3380CC4-5D6E-409C-BE32-E72D297353CC}">
              <c16:uniqueId val="{00000008-6A8F-4518-A66B-EF79E148FF52}"/>
            </c:ext>
          </c:extLst>
        </c:ser>
        <c:ser>
          <c:idx val="1"/>
          <c:order val="1"/>
          <c:tx>
            <c:strRef>
              <c:f>'&gt;&gt;Chart'!$E$44</c:f>
              <c:strCache>
                <c:ptCount val="1"/>
                <c:pt idx="0">
                  <c:v> VC3 </c:v>
                </c:pt>
              </c:strCache>
            </c:strRef>
          </c:tx>
          <c:spPr>
            <a:solidFill>
              <a:schemeClr val="accent1"/>
            </a:solidFill>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9-6A8F-4518-A66B-EF79E148FF52}"/>
                </c:ext>
              </c:extLst>
            </c:dLbl>
            <c:dLbl>
              <c:idx val="4"/>
              <c:delete val="1"/>
              <c:extLst>
                <c:ext xmlns:c15="http://schemas.microsoft.com/office/drawing/2012/chart" uri="{CE6537A1-D6FC-4f65-9D91-7224C49458BB}"/>
                <c:ext xmlns:c16="http://schemas.microsoft.com/office/drawing/2014/chart" uri="{C3380CC4-5D6E-409C-BE32-E72D297353CC}">
                  <c16:uniqueId val="{0000000A-6A8F-4518-A66B-EF79E148FF52}"/>
                </c:ext>
              </c:extLst>
            </c:dLbl>
            <c:dLbl>
              <c:idx val="6"/>
              <c:delete val="1"/>
              <c:extLst>
                <c:ext xmlns:c15="http://schemas.microsoft.com/office/drawing/2012/chart" uri="{CE6537A1-D6FC-4f65-9D91-7224C49458BB}"/>
                <c:ext xmlns:c16="http://schemas.microsoft.com/office/drawing/2014/chart" uri="{C3380CC4-5D6E-409C-BE32-E72D297353CC}">
                  <c16:uniqueId val="{0000000B-6A8F-4518-A66B-EF79E148FF52}"/>
                </c:ext>
              </c:extLst>
            </c:dLbl>
            <c:dLbl>
              <c:idx val="7"/>
              <c:delete val="1"/>
              <c:extLst>
                <c:ext xmlns:c15="http://schemas.microsoft.com/office/drawing/2012/chart" uri="{CE6537A1-D6FC-4f65-9D91-7224C49458BB}"/>
                <c:ext xmlns:c16="http://schemas.microsoft.com/office/drawing/2014/chart" uri="{C3380CC4-5D6E-409C-BE32-E72D297353CC}">
                  <c16:uniqueId val="{0000000C-6A8F-4518-A66B-EF79E148FF52}"/>
                </c:ext>
              </c:extLst>
            </c:dLbl>
            <c:dLbl>
              <c:idx val="10"/>
              <c:delete val="1"/>
              <c:extLst>
                <c:ext xmlns:c15="http://schemas.microsoft.com/office/drawing/2012/chart" uri="{CE6537A1-D6FC-4f65-9D91-7224C49458BB}"/>
                <c:ext xmlns:c16="http://schemas.microsoft.com/office/drawing/2014/chart" uri="{C3380CC4-5D6E-409C-BE32-E72D297353CC}">
                  <c16:uniqueId val="{0000000D-6A8F-4518-A66B-EF79E148FF52}"/>
                </c:ext>
              </c:extLst>
            </c:dLbl>
            <c:dLbl>
              <c:idx val="11"/>
              <c:delete val="1"/>
              <c:extLst>
                <c:ext xmlns:c15="http://schemas.microsoft.com/office/drawing/2012/chart" uri="{CE6537A1-D6FC-4f65-9D91-7224C49458BB}"/>
                <c:ext xmlns:c16="http://schemas.microsoft.com/office/drawing/2014/chart" uri="{C3380CC4-5D6E-409C-BE32-E72D297353CC}">
                  <c16:uniqueId val="{0000000E-6A8F-4518-A66B-EF79E148FF52}"/>
                </c:ext>
              </c:extLst>
            </c:dLbl>
            <c:dLbl>
              <c:idx val="12"/>
              <c:delete val="1"/>
              <c:extLst>
                <c:ext xmlns:c15="http://schemas.microsoft.com/office/drawing/2012/chart" uri="{CE6537A1-D6FC-4f65-9D91-7224C49458BB}"/>
                <c:ext xmlns:c16="http://schemas.microsoft.com/office/drawing/2014/chart" uri="{C3380CC4-5D6E-409C-BE32-E72D297353CC}">
                  <c16:uniqueId val="{0000000F-6A8F-4518-A66B-EF79E148FF52}"/>
                </c:ext>
              </c:extLst>
            </c:dLbl>
            <c:dLbl>
              <c:idx val="13"/>
              <c:delete val="1"/>
              <c:extLst>
                <c:ext xmlns:c15="http://schemas.microsoft.com/office/drawing/2012/chart" uri="{CE6537A1-D6FC-4f65-9D91-7224C49458BB}"/>
                <c:ext xmlns:c16="http://schemas.microsoft.com/office/drawing/2014/chart" uri="{C3380CC4-5D6E-409C-BE32-E72D297353CC}">
                  <c16:uniqueId val="{00000010-6A8F-4518-A66B-EF79E148FF52}"/>
                </c:ext>
              </c:extLst>
            </c:dLbl>
            <c:dLbl>
              <c:idx val="14"/>
              <c:delete val="1"/>
              <c:extLst>
                <c:ext xmlns:c15="http://schemas.microsoft.com/office/drawing/2012/chart" uri="{CE6537A1-D6FC-4f65-9D91-7224C49458BB}"/>
                <c:ext xmlns:c16="http://schemas.microsoft.com/office/drawing/2014/chart" uri="{C3380CC4-5D6E-409C-BE32-E72D297353CC}">
                  <c16:uniqueId val="{00000011-6A8F-4518-A66B-EF79E148FF52}"/>
                </c:ext>
              </c:extLst>
            </c:dLbl>
            <c:dLbl>
              <c:idx val="15"/>
              <c:delete val="1"/>
              <c:extLst>
                <c:ext xmlns:c15="http://schemas.microsoft.com/office/drawing/2012/chart" uri="{CE6537A1-D6FC-4f65-9D91-7224C49458BB}"/>
                <c:ext xmlns:c16="http://schemas.microsoft.com/office/drawing/2014/chart" uri="{C3380CC4-5D6E-409C-BE32-E72D297353CC}">
                  <c16:uniqueId val="{00000012-6A8F-4518-A66B-EF79E148FF5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'&gt;&gt;Chart'!$B$45:$B$61</c:f>
              <c:strCache>
                <c:ptCount val="17"/>
                <c:pt idx="0">
                  <c:v>VTB TS</c:v>
                </c:pt>
                <c:pt idx="1">
                  <c:v>VTB BD + QM</c:v>
                </c:pt>
                <c:pt idx="2">
                  <c:v>VTB DSG</c:v>
                </c:pt>
                <c:pt idx="3">
                  <c:v>VTB CN1</c:v>
                </c:pt>
                <c:pt idx="5">
                  <c:v>VCB HCM</c:v>
                </c:pt>
                <c:pt idx="6">
                  <c:v>VCB BD</c:v>
                </c:pt>
                <c:pt idx="8">
                  <c:v>BIDV TX</c:v>
                </c:pt>
                <c:pt idx="9">
                  <c:v>BIDV NSG</c:v>
                </c:pt>
                <c:pt idx="10">
                  <c:v>BIDV LB</c:v>
                </c:pt>
                <c:pt idx="12">
                  <c:v>OCB BD</c:v>
                </c:pt>
                <c:pt idx="13">
                  <c:v>MBB BSG</c:v>
                </c:pt>
                <c:pt idx="14">
                  <c:v>VIB HO</c:v>
                </c:pt>
                <c:pt idx="15">
                  <c:v>SINOPAC</c:v>
                </c:pt>
                <c:pt idx="16">
                  <c:v>OTHERS</c:v>
                </c:pt>
              </c:strCache>
            </c:strRef>
          </c:cat>
          <c:val>
            <c:numRef>
              <c:f>'&gt;&gt;Chart'!$E$45:$E$61</c:f>
              <c:numCache>
                <c:formatCode>_("$"* #,##0.0_);_("$"* \(#,##0.0\);_("$"* "-"??_);_(@_)</c:formatCode>
                <c:ptCount val="17"/>
                <c:pt idx="0">
                  <c:v>9.9968844652053495</c:v>
                </c:pt>
                <c:pt idx="1">
                  <c:v>4.2206393244890155</c:v>
                </c:pt>
                <c:pt idx="2">
                  <c:v>1.5646414517669533E-4</c:v>
                </c:pt>
                <c:pt idx="3">
                  <c:v>7.1336651002865317E-3</c:v>
                </c:pt>
                <c:pt idx="4">
                  <c:v>0</c:v>
                </c:pt>
                <c:pt idx="5">
                  <c:v>48.437014508252147</c:v>
                </c:pt>
                <c:pt idx="6">
                  <c:v>7.8349321872015279E-2</c:v>
                </c:pt>
                <c:pt idx="7">
                  <c:v>0</c:v>
                </c:pt>
                <c:pt idx="8">
                  <c:v>0.20850691746895894</c:v>
                </c:pt>
                <c:pt idx="9">
                  <c:v>0</c:v>
                </c:pt>
                <c:pt idx="10">
                  <c:v>0</c:v>
                </c:pt>
                <c:pt idx="11">
                  <c:v>0</c:v>
                </c:pt>
                <c:pt idx="12">
                  <c:v>2.2579053677172869E-3</c:v>
                </c:pt>
                <c:pt idx="13">
                  <c:v>3.9404217765042979E-4</c:v>
                </c:pt>
                <c:pt idx="14">
                  <c:v>6.5020147894937912</c:v>
                </c:pt>
                <c:pt idx="15">
                  <c:v>1.5310341517096466</c:v>
                </c:pt>
                <c:pt idx="16">
                  <c:v>2.4731517058261699E-2</c:v>
                </c:pt>
              </c:numCache>
            </c:numRef>
          </c:val>
          <c:extLst>
            <c:ext xmlns:c16="http://schemas.microsoft.com/office/drawing/2014/chart" uri="{C3380CC4-5D6E-409C-BE32-E72D297353CC}">
              <c16:uniqueId val="{00000013-6A8F-4518-A66B-EF79E148FF52}"/>
            </c:ext>
          </c:extLst>
        </c:ser>
        <c:ser>
          <c:idx val="2"/>
          <c:order val="2"/>
          <c:tx>
            <c:strRef>
              <c:f>'&gt;&gt;Chart'!$F$44</c:f>
              <c:strCache>
                <c:ptCount val="1"/>
                <c:pt idx="0">
                  <c:v>Subs</c:v>
                </c:pt>
              </c:strCache>
            </c:strRef>
          </c:tx>
          <c:invertIfNegative val="0"/>
          <c:dLbls>
            <c:dLbl>
              <c:idx val="1"/>
              <c:delete val="1"/>
              <c:extLst>
                <c:ext xmlns:c15="http://schemas.microsoft.com/office/drawing/2012/chart" uri="{CE6537A1-D6FC-4f65-9D91-7224C49458BB}"/>
                <c:ext xmlns:c16="http://schemas.microsoft.com/office/drawing/2014/chart" uri="{C3380CC4-5D6E-409C-BE32-E72D297353CC}">
                  <c16:uniqueId val="{00000014-6A8F-4518-A66B-EF79E148FF52}"/>
                </c:ext>
              </c:extLst>
            </c:dLbl>
            <c:dLbl>
              <c:idx val="4"/>
              <c:delete val="1"/>
              <c:extLst>
                <c:ext xmlns:c15="http://schemas.microsoft.com/office/drawing/2012/chart" uri="{CE6537A1-D6FC-4f65-9D91-7224C49458BB}"/>
                <c:ext xmlns:c16="http://schemas.microsoft.com/office/drawing/2014/chart" uri="{C3380CC4-5D6E-409C-BE32-E72D297353CC}">
                  <c16:uniqueId val="{00000015-6A8F-4518-A66B-EF79E148FF52}"/>
                </c:ext>
              </c:extLst>
            </c:dLbl>
            <c:dLbl>
              <c:idx val="7"/>
              <c:delete val="1"/>
              <c:extLst>
                <c:ext xmlns:c15="http://schemas.microsoft.com/office/drawing/2012/chart" uri="{CE6537A1-D6FC-4f65-9D91-7224C49458BB}"/>
                <c:ext xmlns:c16="http://schemas.microsoft.com/office/drawing/2014/chart" uri="{C3380CC4-5D6E-409C-BE32-E72D297353CC}">
                  <c16:uniqueId val="{00000016-6A8F-4518-A66B-EF79E148FF52}"/>
                </c:ext>
              </c:extLst>
            </c:dLbl>
            <c:dLbl>
              <c:idx val="9"/>
              <c:delete val="1"/>
              <c:extLst>
                <c:ext xmlns:c15="http://schemas.microsoft.com/office/drawing/2012/chart" uri="{CE6537A1-D6FC-4f65-9D91-7224C49458BB}"/>
                <c:ext xmlns:c16="http://schemas.microsoft.com/office/drawing/2014/chart" uri="{C3380CC4-5D6E-409C-BE32-E72D297353CC}">
                  <c16:uniqueId val="{00000017-6A8F-4518-A66B-EF79E148FF52}"/>
                </c:ext>
              </c:extLst>
            </c:dLbl>
            <c:dLbl>
              <c:idx val="11"/>
              <c:delete val="1"/>
              <c:extLst>
                <c:ext xmlns:c15="http://schemas.microsoft.com/office/drawing/2012/chart" uri="{CE6537A1-D6FC-4f65-9D91-7224C49458BB}"/>
                <c:ext xmlns:c16="http://schemas.microsoft.com/office/drawing/2014/chart" uri="{C3380CC4-5D6E-409C-BE32-E72D297353CC}">
                  <c16:uniqueId val="{00000018-6A8F-4518-A66B-EF79E148FF52}"/>
                </c:ext>
              </c:extLst>
            </c:dLbl>
            <c:dLbl>
              <c:idx val="14"/>
              <c:delete val="1"/>
              <c:extLst>
                <c:ext xmlns:c15="http://schemas.microsoft.com/office/drawing/2012/chart" uri="{CE6537A1-D6FC-4f65-9D91-7224C49458BB}"/>
                <c:ext xmlns:c16="http://schemas.microsoft.com/office/drawing/2014/chart" uri="{C3380CC4-5D6E-409C-BE32-E72D297353CC}">
                  <c16:uniqueId val="{00000019-6A8F-4518-A66B-EF79E148FF52}"/>
                </c:ext>
              </c:extLst>
            </c:dLbl>
            <c:spPr>
              <a:noFill/>
              <a:ln>
                <a:noFill/>
              </a:ln>
              <a:effectLst/>
            </c:spPr>
            <c:txPr>
              <a:bodyPr wrap="square" lIns="38100" tIns="19050" rIns="38100" bIns="19050" anchor="ctr">
                <a:spAutoFit/>
              </a:bodyPr>
              <a:lstStyle/>
              <a:p>
                <a:pPr>
                  <a:defRPr>
                    <a:solidFill>
                      <a:schemeClr val="tx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'&gt;&gt;Chart'!$B$45:$B$61</c:f>
              <c:strCache>
                <c:ptCount val="17"/>
                <c:pt idx="0">
                  <c:v>VTB TS</c:v>
                </c:pt>
                <c:pt idx="1">
                  <c:v>VTB BD + QM</c:v>
                </c:pt>
                <c:pt idx="2">
                  <c:v>VTB DSG</c:v>
                </c:pt>
                <c:pt idx="3">
                  <c:v>VTB CN1</c:v>
                </c:pt>
                <c:pt idx="5">
                  <c:v>VCB HCM</c:v>
                </c:pt>
                <c:pt idx="6">
                  <c:v>VCB BD</c:v>
                </c:pt>
                <c:pt idx="8">
                  <c:v>BIDV TX</c:v>
                </c:pt>
                <c:pt idx="9">
                  <c:v>BIDV NSG</c:v>
                </c:pt>
                <c:pt idx="10">
                  <c:v>BIDV LB</c:v>
                </c:pt>
                <c:pt idx="12">
                  <c:v>OCB BD</c:v>
                </c:pt>
                <c:pt idx="13">
                  <c:v>MBB BSG</c:v>
                </c:pt>
                <c:pt idx="14">
                  <c:v>VIB HO</c:v>
                </c:pt>
                <c:pt idx="15">
                  <c:v>SINOPAC</c:v>
                </c:pt>
                <c:pt idx="16">
                  <c:v>OTHERS</c:v>
                </c:pt>
              </c:strCache>
            </c:strRef>
          </c:cat>
          <c:val>
            <c:numRef>
              <c:f>'&gt;&gt;Chart'!$F$45:$F$61</c:f>
              <c:numCache>
                <c:formatCode>_("$"* #,##0.0_);_("$"* \(#,##0.0\);_("$"* "-"??_);_(@_)</c:formatCode>
                <c:ptCount val="17"/>
                <c:pt idx="0">
                  <c:v>20.610789525243554</c:v>
                </c:pt>
                <c:pt idx="1">
                  <c:v>16.326177562636104</c:v>
                </c:pt>
                <c:pt idx="2">
                  <c:v>4.0462508455396371</c:v>
                </c:pt>
                <c:pt idx="3">
                  <c:v>2.2391806184909266</c:v>
                </c:pt>
                <c:pt idx="4">
                  <c:v>0</c:v>
                </c:pt>
                <c:pt idx="5">
                  <c:v>6.5480250090544425</c:v>
                </c:pt>
                <c:pt idx="6">
                  <c:v>4.5479665651193883</c:v>
                </c:pt>
                <c:pt idx="7">
                  <c:v>0</c:v>
                </c:pt>
                <c:pt idx="8">
                  <c:v>11.010220729235913</c:v>
                </c:pt>
                <c:pt idx="9">
                  <c:v>3.1388067964469912</c:v>
                </c:pt>
                <c:pt idx="10">
                  <c:v>4.0238321298949331E-3</c:v>
                </c:pt>
                <c:pt idx="11">
                  <c:v>0</c:v>
                </c:pt>
                <c:pt idx="12" formatCode="_(&quot;$&quot;* #,##0.00_);_(&quot;$&quot;* \(#,##0.00\);_(&quot;$&quot;* &quot;-&quot;??_);_(@_)">
                  <c:v>1.8052283247373447E-2</c:v>
                </c:pt>
                <c:pt idx="13">
                  <c:v>0</c:v>
                </c:pt>
                <c:pt idx="14">
                  <c:v>0.16024828638013372</c:v>
                </c:pt>
                <c:pt idx="15">
                  <c:v>2.6407256113467055</c:v>
                </c:pt>
                <c:pt idx="16">
                  <c:v>8.4018801221394472</c:v>
                </c:pt>
              </c:numCache>
            </c:numRef>
          </c:val>
          <c:extLst>
            <c:ext xmlns:c16="http://schemas.microsoft.com/office/drawing/2014/chart" uri="{C3380CC4-5D6E-409C-BE32-E72D297353CC}">
              <c16:uniqueId val="{0000001A-6A8F-4518-A66B-EF79E148FF52}"/>
            </c:ext>
          </c:extLst>
        </c:ser>
        <c:dLbls>
          <c:showLegendKey val="0"/>
          <c:showVal val="0"/>
          <c:showCatName val="0"/>
          <c:showSerName val="0"/>
          <c:showPercent val="0"/>
          <c:showBubbleSize val="0"/>
        </c:dLbls>
        <c:gapWidth val="100"/>
        <c:overlap val="100"/>
        <c:axId val="2047773008"/>
        <c:axId val="2047773840"/>
      </c:barChart>
      <c:catAx>
        <c:axId val="204777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b="1"/>
            </a:pPr>
            <a:endParaRPr lang="en-US"/>
          </a:p>
        </c:txPr>
        <c:crossAx val="2047773840"/>
        <c:crosses val="autoZero"/>
        <c:auto val="1"/>
        <c:lblAlgn val="ctr"/>
        <c:lblOffset val="100"/>
        <c:noMultiLvlLbl val="0"/>
      </c:catAx>
      <c:valAx>
        <c:axId val="2047773840"/>
        <c:scaling>
          <c:orientation val="minMax"/>
          <c:max val="100"/>
          <c:min val="0"/>
        </c:scaling>
        <c:delete val="0"/>
        <c:axPos val="l"/>
        <c:majorGridlines>
          <c:spPr>
            <a:ln w="9525" cap="flat" cmpd="sng" algn="ctr">
              <a:noFill/>
              <a:round/>
            </a:ln>
            <a:effectLst/>
          </c:spPr>
        </c:majorGridlines>
        <c:numFmt formatCode="_(&quot;$&quot;* #,##0.00_);_(&quot;$&quot;* \(#,##0.00\);_(&quot;$&quot;* &quot;-&quot;??_);_(@_)" sourceLinked="1"/>
        <c:majorTickMark val="none"/>
        <c:minorTickMark val="none"/>
        <c:tickLblPos val="nextTo"/>
        <c:spPr>
          <a:noFill/>
          <a:ln>
            <a:noFill/>
          </a:ln>
          <a:effectLst/>
        </c:spPr>
        <c:txPr>
          <a:bodyPr rot="-60000000" vert="horz"/>
          <a:lstStyle/>
          <a:p>
            <a:pPr>
              <a:defRPr/>
            </a:pPr>
            <a:endParaRPr lang="en-US"/>
          </a:p>
        </c:txPr>
        <c:crossAx val="2047773008"/>
        <c:crosses val="autoZero"/>
        <c:crossBetween val="between"/>
      </c:valAx>
      <c:spPr>
        <a:noFill/>
        <a:ln>
          <a:noFill/>
        </a:ln>
        <a:effectLst/>
      </c:spPr>
    </c:plotArea>
    <c:legend>
      <c:legendPos val="b"/>
      <c:layout>
        <c:manualLayout>
          <c:xMode val="edge"/>
          <c:yMode val="edge"/>
          <c:x val="0.72017196635317149"/>
          <c:y val="3.7615274291749601E-2"/>
          <c:w val="0.18123330673974122"/>
          <c:h val="6.502935687952302E-2"/>
        </c:manualLayout>
      </c:layout>
      <c:overlay val="0"/>
      <c:spPr>
        <a:noFill/>
        <a:ln>
          <a:noFill/>
        </a:ln>
        <a:effectLst/>
      </c:spPr>
      <c:txPr>
        <a:bodyPr rot="0" vert="horz"/>
        <a:lstStyle/>
        <a:p>
          <a:pPr>
            <a:defRPr sz="9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sz="800">
          <a:latin typeface="Arial Narrow" panose="020B0606020202030204" pitchFamily="34" charset="0"/>
        </a:defRPr>
      </a:pPr>
      <a:endParaRPr lang="en-US"/>
    </a:p>
  </c:txPr>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'&gt;&gt;Chart'!$C$219</c:f>
              <c:strCache>
                <c:ptCount val="1"/>
                <c:pt idx="0">
                  <c:v>Demand</c:v>
                </c:pt>
              </c:strCache>
            </c:strRef>
          </c:tx>
          <c:spPr>
            <a:solidFill>
              <a:schemeClr val="accent1"/>
            </a:solidFill>
            <a:ln>
              <a:noFill/>
            </a:ln>
            <a:effectLst/>
          </c:spPr>
          <c:invertIfNegative val="0"/>
          <c:cat>
            <c:strRef>
              <c:f>'&gt;&gt;Chart'!$D$218:$G$218</c:f>
              <c:strCache>
                <c:ptCount val="4"/>
                <c:pt idx="0">
                  <c:v>W5May25</c:v>
                </c:pt>
                <c:pt idx="1">
                  <c:v>W1Jun25</c:v>
                </c:pt>
                <c:pt idx="2">
                  <c:v>W2Jun25</c:v>
                </c:pt>
                <c:pt idx="3">
                  <c:v>W3Jun25</c:v>
                </c:pt>
              </c:strCache>
            </c:strRef>
          </c:cat>
          <c:val>
            <c:numRef>
              <c:f>'&gt;&gt;Chart'!$D$219:$G$219</c:f>
              <c:numCache>
                <c:formatCode>_(* #,##0.0_);_(* \(#,##0.0\);_(* "-"??_);_(@_)</c:formatCode>
                <c:ptCount val="4"/>
                <c:pt idx="0">
                  <c:v>95440.238639000003</c:v>
                </c:pt>
                <c:pt idx="1">
                  <c:v>11021.2911</c:v>
                </c:pt>
                <c:pt idx="2">
                  <c:v>19572.797932000001</c:v>
                </c:pt>
                <c:pt idx="3">
                  <c:v>150522.87376700001</c:v>
                </c:pt>
              </c:numCache>
            </c:numRef>
          </c:val>
          <c:extLst>
            <c:ext xmlns:c16="http://schemas.microsoft.com/office/drawing/2014/chart" uri="{C3380CC4-5D6E-409C-BE32-E72D297353CC}">
              <c16:uniqueId val="{00000000-B641-40F7-886B-5EE9E22B1753}"/>
            </c:ext>
          </c:extLst>
        </c:ser>
        <c:ser>
          <c:idx val="1"/>
          <c:order val="1"/>
          <c:tx>
            <c:strRef>
              <c:f>'&gt;&gt;Chart'!$C$220</c:f>
              <c:strCache>
                <c:ptCount val="1"/>
                <c:pt idx="0">
                  <c:v>Due saving amount</c:v>
                </c:pt>
              </c:strCache>
            </c:strRef>
          </c:tx>
          <c:spPr>
            <a:solidFill>
              <a:schemeClr val="accent2"/>
            </a:solidFill>
            <a:ln>
              <a:noFill/>
            </a:ln>
            <a:effectLst/>
          </c:spPr>
          <c:invertIfNegative val="0"/>
          <c:cat>
            <c:strRef>
              <c:f>'&gt;&gt;Chart'!$D$218:$G$218</c:f>
              <c:strCache>
                <c:ptCount val="4"/>
                <c:pt idx="0">
                  <c:v>W5May25</c:v>
                </c:pt>
                <c:pt idx="1">
                  <c:v>W1Jun25</c:v>
                </c:pt>
                <c:pt idx="2">
                  <c:v>W2Jun25</c:v>
                </c:pt>
                <c:pt idx="3">
                  <c:v>W3Jun25</c:v>
                </c:pt>
              </c:strCache>
            </c:strRef>
          </c:cat>
          <c:val>
            <c:numRef>
              <c:f>'&gt;&gt;Chart'!$D$220:$G$220</c:f>
              <c:numCache>
                <c:formatCode>_(* #,##0_);_(* \(#,##0\);_(* "-"??_);_(@_)</c:formatCode>
                <c:ptCount val="4"/>
                <c:pt idx="0">
                  <c:v>0</c:v>
                </c:pt>
                <c:pt idx="1">
                  <c:v>0</c:v>
                </c:pt>
                <c:pt idx="2">
                  <c:v>0</c:v>
                </c:pt>
                <c:pt idx="3">
                  <c:v>0</c:v>
                </c:pt>
              </c:numCache>
            </c:numRef>
          </c:val>
          <c:extLst>
            <c:ext xmlns:c16="http://schemas.microsoft.com/office/drawing/2014/chart" uri="{C3380CC4-5D6E-409C-BE32-E72D297353CC}">
              <c16:uniqueId val="{00000001-B641-40F7-886B-5EE9E22B1753}"/>
            </c:ext>
          </c:extLst>
        </c:ser>
        <c:dLbls>
          <c:showLegendKey val="0"/>
          <c:showVal val="0"/>
          <c:showCatName val="0"/>
          <c:showSerName val="0"/>
          <c:showPercent val="0"/>
          <c:showBubbleSize val="0"/>
        </c:dLbls>
        <c:gapWidth val="219"/>
        <c:overlap val="-27"/>
        <c:axId val="1718918463"/>
        <c:axId val="1671846831"/>
      </c:barChart>
      <c:catAx>
        <c:axId val="171891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846831"/>
        <c:crosses val="autoZero"/>
        <c:auto val="1"/>
        <c:lblAlgn val="ctr"/>
        <c:lblOffset val="100"/>
        <c:noMultiLvlLbl val="0"/>
      </c:catAx>
      <c:valAx>
        <c:axId val="167184683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9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Calibri (body)"/>
                <a:ea typeface="+mn-ea"/>
                <a:cs typeface="Times New Roman" panose="02020603050405020304" pitchFamily="18" charset="0"/>
              </a:defRPr>
            </a:pPr>
            <a:r>
              <a:rPr lang="en-US" b="1">
                <a:solidFill>
                  <a:sysClr val="windowText" lastClr="000000"/>
                </a:solidFill>
              </a:rPr>
              <a:t>BW's</a:t>
            </a:r>
            <a:r>
              <a:rPr lang="en-US" b="1" baseline="0">
                <a:solidFill>
                  <a:sysClr val="windowText" lastClr="000000"/>
                </a:solidFill>
              </a:rPr>
              <a:t> Group Cash movement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libri (body)"/>
              <a:ea typeface="+mn-ea"/>
              <a:cs typeface="Times New Roman" panose="02020603050405020304" pitchFamily="18" charset="0"/>
            </a:defRPr>
          </a:pPr>
          <a:endParaRPr lang="en-US"/>
        </a:p>
      </c:txPr>
    </c:title>
    <c:autoTitleDeleted val="0"/>
    <c:plotArea>
      <c:layout>
        <c:manualLayout>
          <c:layoutTarget val="inner"/>
          <c:xMode val="edge"/>
          <c:yMode val="edge"/>
          <c:x val="8.2972915573444633E-2"/>
          <c:y val="1.6280937446891377E-2"/>
          <c:w val="0.89453334507666471"/>
          <c:h val="0.79193372842122467"/>
        </c:manualLayout>
      </c:layout>
      <c:barChart>
        <c:barDir val="col"/>
        <c:grouping val="clustered"/>
        <c:varyColors val="0"/>
        <c:ser>
          <c:idx val="0"/>
          <c:order val="0"/>
          <c:tx>
            <c:strRef>
              <c:f>'&gt;&gt;Chart'!$F$118:$F$136</c:f>
              <c:strCache>
                <c:ptCount val="19"/>
                <c:pt idx="18">
                  <c:v>Start &amp; End</c:v>
                </c:pt>
              </c:strCache>
            </c:strRef>
          </c:tx>
          <c:spPr>
            <a:solidFill>
              <a:schemeClr val="bg1">
                <a:lumMod val="50000"/>
              </a:schemeClr>
            </a:solidFill>
            <a:ln w="9525">
              <a:solidFill>
                <a:schemeClr val="bg1">
                  <a:lumMod val="65000"/>
                </a:schemeClr>
              </a:solidFill>
            </a:ln>
            <a:effectLst/>
          </c:spPr>
          <c:invertIfNegative val="0"/>
          <c:dPt>
            <c:idx val="0"/>
            <c:invertIfNegative val="0"/>
            <c:bubble3D val="0"/>
            <c:spPr>
              <a:solidFill>
                <a:schemeClr val="accent6">
                  <a:lumMod val="20000"/>
                  <a:lumOff val="80000"/>
                </a:schemeClr>
              </a:solidFill>
              <a:ln w="9525">
                <a:solidFill>
                  <a:schemeClr val="bg1">
                    <a:lumMod val="65000"/>
                  </a:schemeClr>
                </a:solidFill>
              </a:ln>
              <a:effectLst/>
            </c:spPr>
            <c:extLst>
              <c:ext xmlns:c16="http://schemas.microsoft.com/office/drawing/2014/chart" uri="{C3380CC4-5D6E-409C-BE32-E72D297353CC}">
                <c16:uniqueId val="{00000002-23D0-4F3D-B318-90430E8D4107}"/>
              </c:ext>
            </c:extLst>
          </c:dPt>
          <c:dPt>
            <c:idx val="8"/>
            <c:invertIfNegative val="0"/>
            <c:bubble3D val="0"/>
            <c:spPr>
              <a:solidFill>
                <a:schemeClr val="accent6">
                  <a:lumMod val="75000"/>
                </a:schemeClr>
              </a:solidFill>
              <a:ln w="9525">
                <a:solidFill>
                  <a:schemeClr val="bg1">
                    <a:lumMod val="65000"/>
                  </a:schemeClr>
                </a:solidFill>
              </a:ln>
              <a:effectLst/>
            </c:spPr>
            <c:extLst>
              <c:ext xmlns:c16="http://schemas.microsoft.com/office/drawing/2014/chart" uri="{C3380CC4-5D6E-409C-BE32-E72D297353CC}">
                <c16:uniqueId val="{00000003-A409-4931-A71C-F0C6C028358F}"/>
              </c:ext>
            </c:extLst>
          </c:dPt>
          <c:dLbls>
            <c:numFmt formatCode="_(&quot;$&quot;* #,##0.0_);_(&quot;$&quot;* \(#,##0.0\);_(&quot;$&quot;* &quot;-&quot;?_);_(@_)"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Calibri (body)"/>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'&gt;&gt;Chart'!$B$137:$B$154</c:f>
              <c:strCache>
                <c:ptCount val="9"/>
                <c:pt idx="0">
                  <c:v>B.O.P</c:v>
                </c:pt>
                <c:pt idx="1">
                  <c:v>Rental income</c:v>
                </c:pt>
                <c:pt idx="2">
                  <c:v>Other receipts</c:v>
                </c:pt>
                <c:pt idx="3">
                  <c:v>Operating expense</c:v>
                </c:pt>
                <c:pt idx="4">
                  <c:v>Loan repayment</c:v>
                </c:pt>
                <c:pt idx="5">
                  <c:v>Construction exp.</c:v>
                </c:pt>
                <c:pt idx="6">
                  <c:v>Land acquisition</c:v>
                </c:pt>
                <c:pt idx="7">
                  <c:v>Fx.diff</c:v>
                </c:pt>
                <c:pt idx="8">
                  <c:v>E.O.P</c:v>
                </c:pt>
              </c:strCache>
            </c:strRef>
          </c:cat>
          <c:val>
            <c:numRef>
              <c:f>'&gt;&gt;Chart'!$F$137:$F$154</c:f>
              <c:numCache>
                <c:formatCode>_("$"* #,##0.00_);_("$"* \(#,##0.00\);_("$"* "-"??_);_(@_)</c:formatCode>
                <c:ptCount val="9"/>
                <c:pt idx="0">
                  <c:v>134.52104874914994</c:v>
                </c:pt>
                <c:pt idx="8" formatCode="&quot;$&quot;#,##0.00">
                  <c:v>162.14617786621778</c:v>
                </c:pt>
              </c:numCache>
            </c:numRef>
          </c:val>
          <c:extLst>
            <c:ext xmlns:c16="http://schemas.microsoft.com/office/drawing/2014/chart" uri="{C3380CC4-5D6E-409C-BE32-E72D297353CC}">
              <c16:uniqueId val="{00000000-0CD2-4FEC-B2A2-AC610E895297}"/>
            </c:ext>
          </c:extLst>
        </c:ser>
        <c:dLbls>
          <c:showLegendKey val="0"/>
          <c:showVal val="0"/>
          <c:showCatName val="0"/>
          <c:showSerName val="0"/>
          <c:showPercent val="0"/>
          <c:showBubbleSize val="0"/>
        </c:dLbls>
        <c:gapWidth val="50"/>
        <c:axId val="1224448816"/>
        <c:axId val="1224450480"/>
      </c:barChart>
      <c:lineChart>
        <c:grouping val="standard"/>
        <c:varyColors val="0"/>
        <c:ser>
          <c:idx val="1"/>
          <c:order val="1"/>
          <c:tx>
            <c:strRef>
              <c:f>'&gt;&gt;Chart'!$G$118:$G$136</c:f>
              <c:strCache>
                <c:ptCount val="19"/>
                <c:pt idx="18">
                  <c:v>Before</c:v>
                </c:pt>
              </c:strCache>
            </c:strRef>
          </c:tx>
          <c:spPr>
            <a:ln w="28575" cap="rnd">
              <a:noFill/>
              <a:round/>
            </a:ln>
            <a:effectLst/>
          </c:spPr>
          <c:marker>
            <c:symbol val="none"/>
          </c:marker>
          <c:val>
            <c:numRef>
              <c:f>'&gt;&gt;Chart'!$G$137:$G$154</c:f>
              <c:numCache>
                <c:formatCode>"$"#,##0.00</c:formatCode>
                <c:ptCount val="9"/>
                <c:pt idx="1">
                  <c:v>134.52104874914994</c:v>
                </c:pt>
                <c:pt idx="2">
                  <c:v>147.00717103277935</c:v>
                </c:pt>
                <c:pt idx="3">
                  <c:v>147.19272351913082</c:v>
                </c:pt>
                <c:pt idx="4">
                  <c:v>144.10973553716329</c:v>
                </c:pt>
                <c:pt idx="5">
                  <c:v>144.03713013131801</c:v>
                </c:pt>
                <c:pt idx="6">
                  <c:v>139.22354176306587</c:v>
                </c:pt>
                <c:pt idx="7">
                  <c:v>139.22354176306587</c:v>
                </c:pt>
              </c:numCache>
            </c:numRef>
          </c:val>
          <c:smooth val="0"/>
          <c:extLst>
            <c:ext xmlns:c16="http://schemas.microsoft.com/office/drawing/2014/chart" uri="{C3380CC4-5D6E-409C-BE32-E72D297353CC}">
              <c16:uniqueId val="{00000001-0CD2-4FEC-B2A2-AC610E895297}"/>
            </c:ext>
          </c:extLst>
        </c:ser>
        <c:ser>
          <c:idx val="2"/>
          <c:order val="2"/>
          <c:tx>
            <c:strRef>
              <c:f>'&gt;&gt;Chart'!$H$118:$H$136</c:f>
              <c:strCache>
                <c:ptCount val="19"/>
                <c:pt idx="18">
                  <c:v> After </c:v>
                </c:pt>
              </c:strCache>
            </c:strRef>
          </c:tx>
          <c:spPr>
            <a:ln w="28575" cap="rnd">
              <a:noFill/>
              <a:round/>
            </a:ln>
            <a:effectLst/>
          </c:spPr>
          <c:marker>
            <c:symbol val="none"/>
          </c:marker>
          <c:val>
            <c:numRef>
              <c:f>'&gt;&gt;Chart'!$H$137:$H$154</c:f>
              <c:numCache>
                <c:formatCode>"$"#,##0.00</c:formatCode>
                <c:ptCount val="9"/>
                <c:pt idx="1">
                  <c:v>147.00717103277935</c:v>
                </c:pt>
                <c:pt idx="2">
                  <c:v>147.19272351913082</c:v>
                </c:pt>
                <c:pt idx="3">
                  <c:v>144.10973553716329</c:v>
                </c:pt>
                <c:pt idx="4">
                  <c:v>144.03713013131801</c:v>
                </c:pt>
                <c:pt idx="5">
                  <c:v>139.22354176306587</c:v>
                </c:pt>
                <c:pt idx="6">
                  <c:v>139.22354176306587</c:v>
                </c:pt>
                <c:pt idx="7">
                  <c:v>162.14617786621778</c:v>
                </c:pt>
              </c:numCache>
            </c:numRef>
          </c:val>
          <c:smooth val="0"/>
          <c:extLst>
            <c:ext xmlns:c16="http://schemas.microsoft.com/office/drawing/2014/chart" uri="{C3380CC4-5D6E-409C-BE32-E72D297353CC}">
              <c16:uniqueId val="{00000002-0CD2-4FEC-B2A2-AC610E895297}"/>
            </c:ext>
          </c:extLst>
        </c:ser>
        <c:dLbls>
          <c:showLegendKey val="0"/>
          <c:showVal val="0"/>
          <c:showCatName val="0"/>
          <c:showSerName val="0"/>
          <c:showPercent val="0"/>
          <c:showBubbleSize val="0"/>
        </c:dLbls>
        <c:upDownBars>
          <c:gapWidth val="61"/>
          <c:upBars>
            <c:spPr>
              <a:solidFill>
                <a:schemeClr val="accent5">
                  <a:lumMod val="75000"/>
                </a:schemeClr>
              </a:solidFill>
              <a:ln w="9525">
                <a:solidFill>
                  <a:schemeClr val="bg1">
                    <a:lumMod val="65000"/>
                  </a:schemeClr>
                </a:solidFill>
              </a:ln>
              <a:effectLst/>
            </c:spPr>
          </c:upBars>
          <c:downBars>
            <c:spPr>
              <a:solidFill>
                <a:schemeClr val="accent2">
                  <a:lumMod val="40000"/>
                  <a:lumOff val="60000"/>
                </a:schemeClr>
              </a:solidFill>
              <a:ln w="9525">
                <a:solidFill>
                  <a:schemeClr val="bg1">
                    <a:lumMod val="65000"/>
                  </a:schemeClr>
                </a:solidFill>
              </a:ln>
              <a:effectLst/>
            </c:spPr>
          </c:downBars>
        </c:upDownBars>
        <c:marker val="1"/>
        <c:smooth val="0"/>
        <c:axId val="1224448816"/>
        <c:axId val="1224450480"/>
      </c:lineChart>
      <c:scatterChart>
        <c:scatterStyle val="lineMarker"/>
        <c:varyColors val="0"/>
        <c:ser>
          <c:idx val="3"/>
          <c:order val="3"/>
          <c:tx>
            <c:strRef>
              <c:f>'&gt;&gt;Chart'!$I$136</c:f>
              <c:strCache>
                <c:ptCount val="1"/>
                <c:pt idx="0">
                  <c:v> Data Label Position </c:v>
                </c:pt>
              </c:strCache>
            </c:strRef>
          </c:tx>
          <c:spPr>
            <a:ln w="25400" cap="rnd">
              <a:noFill/>
              <a:round/>
            </a:ln>
            <a:effectLst/>
          </c:spPr>
          <c:marker>
            <c:symbol val="circle"/>
            <c:size val="5"/>
            <c:spPr>
              <a:no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A1A7-47C8-A069-14E575BE7E2C}"/>
                </c:ext>
              </c:extLst>
            </c:dLbl>
            <c:dLbl>
              <c:idx val="1"/>
              <c:tx>
                <c:rich>
                  <a:bodyPr/>
                  <a:lstStyle/>
                  <a:p>
                    <a:fld id="{4327CE82-145D-41CB-BCDE-E29A9B179EF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CD2-4FEC-B2A2-AC610E895297}"/>
                </c:ext>
              </c:extLst>
            </c:dLbl>
            <c:dLbl>
              <c:idx val="2"/>
              <c:tx>
                <c:rich>
                  <a:bodyPr/>
                  <a:lstStyle/>
                  <a:p>
                    <a:fld id="{B484FB0C-BADE-4222-8CE7-BE8BB240675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CD2-4FEC-B2A2-AC610E895297}"/>
                </c:ext>
              </c:extLst>
            </c:dLbl>
            <c:dLbl>
              <c:idx val="3"/>
              <c:tx>
                <c:rich>
                  <a:bodyPr/>
                  <a:lstStyle/>
                  <a:p>
                    <a:fld id="{F1C75F65-6594-438B-97D4-946F3BA15C6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CD2-4FEC-B2A2-AC610E895297}"/>
                </c:ext>
              </c:extLst>
            </c:dLbl>
            <c:dLbl>
              <c:idx val="4"/>
              <c:tx>
                <c:rich>
                  <a:bodyPr/>
                  <a:lstStyle/>
                  <a:p>
                    <a:fld id="{0F5830B3-7E2B-4329-A5FB-FDA3B2B8B2B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CD2-4FEC-B2A2-AC610E895297}"/>
                </c:ext>
              </c:extLst>
            </c:dLbl>
            <c:dLbl>
              <c:idx val="5"/>
              <c:tx>
                <c:rich>
                  <a:bodyPr/>
                  <a:lstStyle/>
                  <a:p>
                    <a:fld id="{127AB37E-8743-4FFA-B3BB-E18954E0078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CD2-4FEC-B2A2-AC610E895297}"/>
                </c:ext>
              </c:extLst>
            </c:dLbl>
            <c:dLbl>
              <c:idx val="6"/>
              <c:tx>
                <c:rich>
                  <a:bodyPr/>
                  <a:lstStyle/>
                  <a:p>
                    <a:fld id="{A30BAFCE-B372-4875-BCA1-B5F9E1787A1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A1A7-47C8-A069-14E575BE7E2C}"/>
                </c:ext>
              </c:extLst>
            </c:dLbl>
            <c:dLbl>
              <c:idx val="7"/>
              <c:tx>
                <c:rich>
                  <a:bodyPr/>
                  <a:lstStyle/>
                  <a:p>
                    <a:fld id="{441F45D2-E131-4C6E-9A8F-518A77630CE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A1A7-47C8-A069-14E575BE7E2C}"/>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9EBB-47CB-BFC7-9D8773929EA3}"/>
                </c:ext>
              </c:extLst>
            </c:dLbl>
            <c:numFmt formatCode="&quot;$&quot;#,##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Calibri (body)"/>
                    <a:ea typeface="+mn-ea"/>
                    <a:cs typeface="Times New Roman" panose="02020603050405020304" pitchFamily="18"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'&gt;&gt;Chart'!$I$137:$I$154</c:f>
              <c:numCache>
                <c:formatCode>_("$"* #,##0.00_);_("$"* \(#,##0.00\);_("$"* "-"??_);_(@_)</c:formatCode>
                <c:ptCount val="9"/>
                <c:pt idx="1">
                  <c:v>147.00717103277935</c:v>
                </c:pt>
                <c:pt idx="2">
                  <c:v>147.19272351913082</c:v>
                </c:pt>
                <c:pt idx="3">
                  <c:v>147.19272351913082</c:v>
                </c:pt>
                <c:pt idx="4">
                  <c:v>144.10973553716329</c:v>
                </c:pt>
                <c:pt idx="5">
                  <c:v>144.03713013131801</c:v>
                </c:pt>
                <c:pt idx="6">
                  <c:v>139.22354176306587</c:v>
                </c:pt>
                <c:pt idx="7">
                  <c:v>162.14617786621778</c:v>
                </c:pt>
              </c:numCache>
            </c:numRef>
          </c:yVal>
          <c:smooth val="0"/>
          <c:extLst>
            <c:ext xmlns:c15="http://schemas.microsoft.com/office/drawing/2012/chart" uri="{02D57815-91ED-43cb-92C2-25804820EDAC}">
              <c15:datalabelsRange>
                <c15:f>'&gt;&gt;Chart'!$D$137:$D$154</c15:f>
                <c15:dlblRangeCache>
                  <c:ptCount val="9"/>
                  <c:pt idx="0">
                    <c:v>$134,52</c:v>
                  </c:pt>
                  <c:pt idx="1">
                    <c:v>$12,49</c:v>
                  </c:pt>
                  <c:pt idx="2">
                    <c:v>$0,19</c:v>
                  </c:pt>
                  <c:pt idx="3">
                    <c:v>-$3,08</c:v>
                  </c:pt>
                  <c:pt idx="4">
                    <c:v>-$0,07</c:v>
                  </c:pt>
                  <c:pt idx="5">
                    <c:v>-$4,81</c:v>
                  </c:pt>
                  <c:pt idx="6">
                    <c:v>$0,00</c:v>
                  </c:pt>
                  <c:pt idx="7">
                    <c:v>$22,92</c:v>
                  </c:pt>
                </c15:dlblRangeCache>
              </c15:datalabelsRange>
            </c:ext>
            <c:ext xmlns:c16="http://schemas.microsoft.com/office/drawing/2014/chart" uri="{C3380CC4-5D6E-409C-BE32-E72D297353CC}">
              <c16:uniqueId val="{0000000A-0CD2-4FEC-B2A2-AC610E895297}"/>
            </c:ext>
          </c:extLst>
        </c:ser>
        <c:ser>
          <c:idx val="4"/>
          <c:order val="4"/>
          <c:tx>
            <c:strRef>
              <c:f>'&gt;&gt;Chart'!$E$136</c:f>
              <c:strCache>
                <c:ptCount val="1"/>
                <c:pt idx="0">
                  <c:v>Cummulative</c:v>
                </c:pt>
              </c:strCache>
            </c:strRef>
          </c:tx>
          <c:spPr>
            <a:ln w="25400" cap="rnd">
              <a:noFill/>
              <a:round/>
            </a:ln>
            <a:effectLst/>
          </c:spPr>
          <c:marker>
            <c:symbol val="circle"/>
            <c:size val="5"/>
            <c:spPr>
              <a:solidFill>
                <a:schemeClr val="accent5"/>
              </a:solidFill>
              <a:ln w="9525">
                <a:solidFill>
                  <a:schemeClr val="accent5"/>
                </a:solidFill>
              </a:ln>
              <a:effectLst/>
            </c:spPr>
          </c:marker>
          <c:errBars>
            <c:errDir val="x"/>
            <c:errBarType val="plus"/>
            <c:errValType val="fixedVal"/>
            <c:noEndCap val="1"/>
            <c:val val="1"/>
            <c:spPr>
              <a:noFill/>
              <a:ln w="9525" cap="flat" cmpd="sng" algn="ctr">
                <a:solidFill>
                  <a:schemeClr val="bg1">
                    <a:lumMod val="65000"/>
                  </a:schemeClr>
                </a:solidFill>
                <a:round/>
              </a:ln>
              <a:effectLst/>
            </c:spPr>
          </c:errBars>
          <c:yVal>
            <c:numRef>
              <c:f>'&gt;&gt;Chart'!$E$137:$E$154</c:f>
              <c:numCache>
                <c:formatCode>_("$"* #,##0.00_);_("$"* \(#,##0.00\);_("$"* "-"??_);_(@_)</c:formatCode>
                <c:ptCount val="9"/>
                <c:pt idx="0">
                  <c:v>134.52104874914994</c:v>
                </c:pt>
                <c:pt idx="1">
                  <c:v>147.00717103277935</c:v>
                </c:pt>
                <c:pt idx="2">
                  <c:v>147.19272351913082</c:v>
                </c:pt>
                <c:pt idx="3">
                  <c:v>144.10973553716329</c:v>
                </c:pt>
                <c:pt idx="4">
                  <c:v>144.03713013131801</c:v>
                </c:pt>
                <c:pt idx="5">
                  <c:v>139.22354176306587</c:v>
                </c:pt>
                <c:pt idx="6">
                  <c:v>139.22354176306587</c:v>
                </c:pt>
                <c:pt idx="7">
                  <c:v>162.14617786621778</c:v>
                </c:pt>
              </c:numCache>
            </c:numRef>
          </c:yVal>
          <c:smooth val="0"/>
          <c:extLst>
            <c:ext xmlns:c16="http://schemas.microsoft.com/office/drawing/2014/chart" uri="{C3380CC4-5D6E-409C-BE32-E72D297353CC}">
              <c16:uniqueId val="{00000000-F9E3-48D9-8DD4-B93D99870D84}"/>
            </c:ext>
          </c:extLst>
        </c:ser>
        <c:dLbls>
          <c:showLegendKey val="0"/>
          <c:showVal val="0"/>
          <c:showCatName val="0"/>
          <c:showSerName val="0"/>
          <c:showPercent val="0"/>
          <c:showBubbleSize val="0"/>
        </c:dLbls>
        <c:axId val="1224448816"/>
        <c:axId val="1224450480"/>
      </c:scatterChart>
      <c:catAx>
        <c:axId val="122444881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Calibri (body)"/>
                <a:ea typeface="+mn-ea"/>
                <a:cs typeface="Times New Roman" panose="02020603050405020304" pitchFamily="18" charset="0"/>
              </a:defRPr>
            </a:pPr>
            <a:endParaRPr lang="en-US"/>
          </a:p>
        </c:txPr>
        <c:crossAx val="1224450480"/>
        <c:crosses val="autoZero"/>
        <c:auto val="1"/>
        <c:lblAlgn val="ctr"/>
        <c:lblOffset val="100"/>
        <c:noMultiLvlLbl val="0"/>
      </c:catAx>
      <c:valAx>
        <c:axId val="1224450480"/>
        <c:scaling>
          <c:orientation val="minMax"/>
          <c:max val="250"/>
          <c:min val="0"/>
        </c:scaling>
        <c:delete val="0"/>
        <c:axPos val="l"/>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Calibri (body)"/>
                <a:ea typeface="+mn-ea"/>
                <a:cs typeface="Times New Roman" panose="02020603050405020304" pitchFamily="18" charset="0"/>
              </a:defRPr>
            </a:pPr>
            <a:endParaRPr lang="en-US"/>
          </a:p>
        </c:txPr>
        <c:crossAx val="1224448816"/>
        <c:crosses val="autoZero"/>
        <c:crossBetween val="between"/>
        <c:majorUnit val="2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latin typeface="Calibri (body)"/>
          <a:cs typeface="Times New Roman" panose="02020603050405020304" pitchFamily="18"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'&gt;&gt;Chart'!$D$161</c:f>
              <c:strCache>
                <c:ptCount val="1"/>
                <c:pt idx="0">
                  <c:v>Pre-allocation</c:v>
                </c:pt>
              </c:strCache>
            </c:strRef>
          </c:tx>
          <c:spPr>
            <a:ln w="19050" cap="rnd">
              <a:noFill/>
              <a:round/>
            </a:ln>
            <a:effectLst/>
          </c:spPr>
          <c:marker>
            <c:symbol val="circle"/>
            <c:size val="14"/>
            <c:spPr>
              <a:solidFill>
                <a:schemeClr val="bg1"/>
              </a:solidFill>
              <a:ln w="9525">
                <a:solidFill>
                  <a:schemeClr val="accent1">
                    <a:lumMod val="50000"/>
                  </a:schemeClr>
                </a:solidFill>
              </a:ln>
              <a:effectLst/>
            </c:spPr>
          </c:marker>
          <c:dLbls>
            <c:dLbl>
              <c:idx val="0"/>
              <c:tx>
                <c:rich>
                  <a:bodyPr/>
                  <a:lstStyle/>
                  <a:p>
                    <a:fld id="{9253DB61-4863-4240-8F63-62A2B820DCCE}" type="CELLRANGE">
                      <a:rPr lang="en-US"/>
                      <a:pPr/>
                      <a:t>[CELLRANGE]</a:t>
                    </a:fld>
                    <a:r>
                      <a:rPr lang="en-US" baseline="0"/>
                      <a:t> </a:t>
                    </a:r>
                    <a:fld id="{8D263455-C897-4A7B-BF53-1F7F21403C81}"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59-4881-B040-99BBB170433B}"/>
                </c:ext>
              </c:extLst>
            </c:dLbl>
            <c:dLbl>
              <c:idx val="1"/>
              <c:tx>
                <c:rich>
                  <a:bodyPr/>
                  <a:lstStyle/>
                  <a:p>
                    <a:fld id="{6ADBC9B5-14BE-424A-8EE9-A6D689F85DD8}" type="CELLRANGE">
                      <a:rPr lang="en-US"/>
                      <a:pPr/>
                      <a:t>[CELLRANGE]</a:t>
                    </a:fld>
                    <a:r>
                      <a:rPr lang="en-US" baseline="0"/>
                      <a:t> </a:t>
                    </a:r>
                    <a:fld id="{2802F5B1-7360-41B0-9361-3070F7455E35}"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59-4881-B040-99BBB170433B}"/>
                </c:ext>
              </c:extLst>
            </c:dLbl>
            <c:dLbl>
              <c:idx val="2"/>
              <c:tx>
                <c:rich>
                  <a:bodyPr/>
                  <a:lstStyle/>
                  <a:p>
                    <a:fld id="{83924428-9CB4-45CD-9D5F-F825E87CC79E}" type="CELLRANGE">
                      <a:rPr lang="en-US"/>
                      <a:pPr/>
                      <a:t>[CELLRANGE]</a:t>
                    </a:fld>
                    <a:r>
                      <a:rPr lang="en-US" baseline="0"/>
                      <a:t> </a:t>
                    </a:r>
                    <a:fld id="{16B80ADA-982F-4D58-A75B-A04C716CFAFF}"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E59-4881-B040-99BBB170433B}"/>
                </c:ext>
              </c:extLst>
            </c:dLbl>
            <c:dLbl>
              <c:idx val="3"/>
              <c:tx>
                <c:rich>
                  <a:bodyPr/>
                  <a:lstStyle/>
                  <a:p>
                    <a:fld id="{7E1B2004-DBEC-4DF6-8DD3-D35D3B077A25}" type="CELLRANGE">
                      <a:rPr lang="en-US"/>
                      <a:pPr/>
                      <a:t>[CELLRANGE]</a:t>
                    </a:fld>
                    <a:r>
                      <a:rPr lang="en-US" baseline="0"/>
                      <a:t> </a:t>
                    </a:r>
                    <a:fld id="{DE15B2DA-DFAD-49C0-91CE-80E008E3A32F}"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E59-4881-B040-99BBB170433B}"/>
                </c:ext>
              </c:extLst>
            </c:dLbl>
            <c:dLbl>
              <c:idx val="4"/>
              <c:tx>
                <c:rich>
                  <a:bodyPr/>
                  <a:lstStyle/>
                  <a:p>
                    <a:fld id="{55A0155A-B80F-4636-B2AA-962B519E9CDD}" type="CELLRANGE">
                      <a:rPr lang="en-US"/>
                      <a:pPr/>
                      <a:t>[CELLRANGE]</a:t>
                    </a:fld>
                    <a:r>
                      <a:rPr lang="en-US" baseline="0"/>
                      <a:t> </a:t>
                    </a:r>
                    <a:fld id="{16E4F533-BE4B-4AE4-BF01-1BE48E0380D7}"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E59-4881-B040-99BBB170433B}"/>
                </c:ext>
              </c:extLst>
            </c:dLbl>
            <c:dLbl>
              <c:idx val="5"/>
              <c:tx>
                <c:rich>
                  <a:bodyPr/>
                  <a:lstStyle/>
                  <a:p>
                    <a:fld id="{6089E3E2-E587-456A-A2EE-0124C8825131}" type="CELLRANGE">
                      <a:rPr lang="en-US"/>
                      <a:pPr/>
                      <a:t>[CELLRANGE]</a:t>
                    </a:fld>
                    <a:r>
                      <a:rPr lang="en-US" baseline="0"/>
                      <a:t> </a:t>
                    </a:r>
                    <a:fld id="{088BF3B2-C6FF-4F51-877D-DB96BDD11F41}"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E59-4881-B040-99BBB170433B}"/>
                </c:ext>
              </c:extLst>
            </c:dLbl>
            <c:dLbl>
              <c:idx val="6"/>
              <c:tx>
                <c:rich>
                  <a:bodyPr/>
                  <a:lstStyle/>
                  <a:p>
                    <a:fld id="{4FEBD9CD-CCB1-4A24-A653-51F53EFF79BE}" type="CELLRANGE">
                      <a:rPr lang="en-US"/>
                      <a:pPr/>
                      <a:t>[CELLRANGE]</a:t>
                    </a:fld>
                    <a:r>
                      <a:rPr lang="en-US" baseline="0"/>
                      <a:t> </a:t>
                    </a:r>
                    <a:fld id="{02A11D17-6418-433D-8376-2BE572299707}"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E59-4881-B040-99BBB170433B}"/>
                </c:ext>
              </c:extLst>
            </c:dLbl>
            <c:dLbl>
              <c:idx val="7"/>
              <c:tx>
                <c:rich>
                  <a:bodyPr/>
                  <a:lstStyle/>
                  <a:p>
                    <a:fld id="{68A90035-FAAC-43D7-B0D1-2AFED4CDDCD7}" type="CELLRANGE">
                      <a:rPr lang="en-US"/>
                      <a:pPr/>
                      <a:t>[CELLRANGE]</a:t>
                    </a:fld>
                    <a:r>
                      <a:rPr lang="en-US" baseline="0"/>
                      <a:t> </a:t>
                    </a:r>
                    <a:fld id="{04CF0FD1-4275-4660-A425-745C57C019EA}"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E59-4881-B040-99BBB170433B}"/>
                </c:ext>
              </c:extLst>
            </c:dLbl>
            <c:dLbl>
              <c:idx val="8"/>
              <c:tx>
                <c:rich>
                  <a:bodyPr/>
                  <a:lstStyle/>
                  <a:p>
                    <a:fld id="{CB2F3634-EDAB-48D0-8CCC-F47C506C70BB}" type="CELLRANGE">
                      <a:rPr lang="en-US"/>
                      <a:pPr/>
                      <a:t>[CELLRANGE]</a:t>
                    </a:fld>
                    <a:r>
                      <a:rPr lang="en-US" baseline="0"/>
                      <a:t> </a:t>
                    </a:r>
                    <a:fld id="{D22E8AC0-4245-42C2-A23A-33B766DA3110}"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E59-4881-B040-99BBB170433B}"/>
                </c:ext>
              </c:extLst>
            </c:dLbl>
            <c:dLbl>
              <c:idx val="9"/>
              <c:tx>
                <c:rich>
                  <a:bodyPr/>
                  <a:lstStyle/>
                  <a:p>
                    <a:fld id="{13E9B8F7-48CF-4C6D-B4C4-AAD868DB0F61}" type="CELLRANGE">
                      <a:rPr lang="en-US"/>
                      <a:pPr/>
                      <a:t>[CELLRANGE]</a:t>
                    </a:fld>
                    <a:r>
                      <a:rPr lang="en-US" baseline="0"/>
                      <a:t> </a:t>
                    </a:r>
                    <a:fld id="{44CD2DC2-B8C8-479D-950F-A22EDB6D23C5}"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E59-4881-B040-99BBB170433B}"/>
                </c:ext>
              </c:extLst>
            </c:dLbl>
            <c:dLbl>
              <c:idx val="10"/>
              <c:tx>
                <c:rich>
                  <a:bodyPr/>
                  <a:lstStyle/>
                  <a:p>
                    <a:fld id="{676EEBD4-8881-4B54-8700-9D7F3826029F}" type="CELLRANGE">
                      <a:rPr lang="en-US"/>
                      <a:pPr/>
                      <a:t>[CELLRANGE]</a:t>
                    </a:fld>
                    <a:r>
                      <a:rPr lang="en-US" baseline="0"/>
                      <a:t> </a:t>
                    </a:r>
                    <a:fld id="{BB638CB1-358C-4E0B-B04C-20554CD2D20D}"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E59-4881-B040-99BBB170433B}"/>
                </c:ext>
              </c:extLst>
            </c:dLbl>
            <c:dLbl>
              <c:idx val="11"/>
              <c:tx>
                <c:rich>
                  <a:bodyPr/>
                  <a:lstStyle/>
                  <a:p>
                    <a:fld id="{C47C2BF5-3294-4972-B1B0-56EC060A25D2}" type="CELLRANGE">
                      <a:rPr lang="en-US"/>
                      <a:pPr/>
                      <a:t>[CELLRANGE]</a:t>
                    </a:fld>
                    <a:r>
                      <a:rPr lang="en-US" baseline="0"/>
                      <a:t> </a:t>
                    </a:r>
                    <a:fld id="{DFCF0D6D-83B4-4024-B7DC-550F3768AE78}"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E59-4881-B040-99BBB170433B}"/>
                </c:ext>
              </c:extLst>
            </c:dLbl>
            <c:dLbl>
              <c:idx val="12"/>
              <c:tx>
                <c:rich>
                  <a:bodyPr/>
                  <a:lstStyle/>
                  <a:p>
                    <a:fld id="{9500C45E-3752-44AE-8782-3D3D5BF94881}" type="CELLRANGE">
                      <a:rPr lang="en-US"/>
                      <a:pPr/>
                      <a:t>[CELLRANGE]</a:t>
                    </a:fld>
                    <a:r>
                      <a:rPr lang="en-US" baseline="0"/>
                      <a:t> </a:t>
                    </a:r>
                    <a:fld id="{B2F1097B-6615-4647-A26B-0DF191F418B7}"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E59-4881-B040-99BBB170433B}"/>
                </c:ext>
              </c:extLst>
            </c:dLbl>
            <c:dLbl>
              <c:idx val="13"/>
              <c:tx>
                <c:rich>
                  <a:bodyPr/>
                  <a:lstStyle/>
                  <a:p>
                    <a:fld id="{1AE5FB28-AB02-402C-8161-9029AF2A10EB}" type="CELLRANGE">
                      <a:rPr lang="en-US"/>
                      <a:pPr/>
                      <a:t>[CELLRANGE]</a:t>
                    </a:fld>
                    <a:r>
                      <a:rPr lang="en-US" baseline="0"/>
                      <a:t> </a:t>
                    </a:r>
                    <a:fld id="{D5E878F9-AEA3-46B5-8FB0-8F14AFDFC41F}"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E59-4881-B040-99BBB170433B}"/>
                </c:ext>
              </c:extLst>
            </c:dLbl>
            <c:numFmt formatCode="#,##0.0&quot;bn&quot;" sourceLinked="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1"/>
            <c:showSerName val="0"/>
            <c:showPercent val="0"/>
            <c:showBubbleSize val="0"/>
            <c:separator> </c:separator>
            <c:showLeaderLines val="0"/>
            <c:extLst>
              <c:ext xmlns:c15="http://schemas.microsoft.com/office/drawing/2012/chart" uri="{CE6537A1-D6FC-4f65-9D91-7224C49458BB}">
                <c15:showDataLabelsRange val="1"/>
                <c15:showLeaderLines val="0"/>
              </c:ext>
            </c:extLst>
          </c:dLbls>
          <c:errBars>
            <c:errDir val="x"/>
            <c:errBarType val="both"/>
            <c:errValType val="cust"/>
            <c:noEndCap val="1"/>
            <c:plus>
              <c:numRef>
                <c:f>'&gt;&gt;Chart'!$G$162:$G$175</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plus>
            <c:minus>
              <c:numRef>
                <c:f>'&gt;&gt;Chart'!$H$162:$H$175</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minus>
            <c:spPr>
              <a:noFill/>
              <a:ln w="9525" cap="flat" cmpd="sng" algn="ctr">
                <a:solidFill>
                  <a:schemeClr val="tx1">
                    <a:lumMod val="65000"/>
                    <a:lumOff val="35000"/>
                  </a:schemeClr>
                </a:solidFill>
                <a:round/>
              </a:ln>
              <a:effectLst/>
            </c:spPr>
          </c:errBars>
          <c:xVal>
            <c:numRef>
              <c:f>'&gt;&gt;Chart'!$D$162:$D$175</c:f>
              <c:numCache>
                <c:formatCode>#,##0.00"bn"</c:formatCode>
                <c:ptCount val="14"/>
                <c:pt idx="0">
                  <c:v>800.37055380300001</c:v>
                </c:pt>
                <c:pt idx="1">
                  <c:v>481.769229698</c:v>
                </c:pt>
                <c:pt idx="2">
                  <c:v>62.969188787</c:v>
                </c:pt>
                <c:pt idx="3">
                  <c:v>105.91471133100001</c:v>
                </c:pt>
                <c:pt idx="4">
                  <c:v>58.873963304999997</c:v>
                </c:pt>
                <c:pt idx="5">
                  <c:v>293.67849033900001</c:v>
                </c:pt>
                <c:pt idx="6">
                  <c:v>82.158267897000002</c:v>
                </c:pt>
                <c:pt idx="7">
                  <c:v>0.101627896</c:v>
                </c:pt>
                <c:pt idx="8">
                  <c:v>1439.3669295499999</c:v>
                </c:pt>
                <c:pt idx="9">
                  <c:v>121.50741409699999</c:v>
                </c:pt>
                <c:pt idx="10">
                  <c:v>0.59862920100000006</c:v>
                </c:pt>
                <c:pt idx="11">
                  <c:v>174.39579141799999</c:v>
                </c:pt>
                <c:pt idx="12">
                  <c:v>7.9583039999999994E-3</c:v>
                </c:pt>
                <c:pt idx="13">
                  <c:v>139.80928048000001</c:v>
                </c:pt>
              </c:numCache>
            </c:numRef>
          </c:xVal>
          <c:yVal>
            <c:numRef>
              <c:f>'&gt;&gt;Chart'!$F$162:$F$175</c:f>
              <c:numCache>
                <c:formatCode>0.00</c:formatCode>
                <c:ptCount val="14"/>
                <c:pt idx="0">
                  <c:v>14</c:v>
                </c:pt>
                <c:pt idx="1">
                  <c:v>13</c:v>
                </c:pt>
                <c:pt idx="2">
                  <c:v>12</c:v>
                </c:pt>
                <c:pt idx="3">
                  <c:v>11</c:v>
                </c:pt>
                <c:pt idx="4">
                  <c:v>10</c:v>
                </c:pt>
                <c:pt idx="5">
                  <c:v>9</c:v>
                </c:pt>
                <c:pt idx="6">
                  <c:v>8</c:v>
                </c:pt>
                <c:pt idx="7">
                  <c:v>7</c:v>
                </c:pt>
                <c:pt idx="8">
                  <c:v>6</c:v>
                </c:pt>
                <c:pt idx="9">
                  <c:v>5</c:v>
                </c:pt>
                <c:pt idx="10">
                  <c:v>4</c:v>
                </c:pt>
                <c:pt idx="11">
                  <c:v>3</c:v>
                </c:pt>
                <c:pt idx="12">
                  <c:v>2</c:v>
                </c:pt>
                <c:pt idx="13">
                  <c:v>1</c:v>
                </c:pt>
              </c:numCache>
            </c:numRef>
          </c:yVal>
          <c:smooth val="0"/>
          <c:extLst>
            <c:ext xmlns:c15="http://schemas.microsoft.com/office/drawing/2012/chart" uri="{02D57815-91ED-43cb-92C2-25804820EDAC}">
              <c15:datalabelsRange>
                <c15:f>'&gt;&gt;Chart'!$C$162:$C$175</c15:f>
                <c15:dlblRangeCache>
                  <c:ptCount val="14"/>
                  <c:pt idx="0">
                    <c:v>VTB-TS</c:v>
                  </c:pt>
                  <c:pt idx="1">
                    <c:v>VTB-BD</c:v>
                  </c:pt>
                  <c:pt idx="2">
                    <c:v>VTB-QM</c:v>
                  </c:pt>
                  <c:pt idx="3">
                    <c:v>VTB-DSG</c:v>
                  </c:pt>
                  <c:pt idx="4">
                    <c:v>VTB-CN1</c:v>
                  </c:pt>
                  <c:pt idx="5">
                    <c:v>BIDV-TX</c:v>
                  </c:pt>
                  <c:pt idx="6">
                    <c:v>BIDV-NSG</c:v>
                  </c:pt>
                  <c:pt idx="7">
                    <c:v>BIDV-LB</c:v>
                  </c:pt>
                  <c:pt idx="8">
                    <c:v>VCB-HCM</c:v>
                  </c:pt>
                  <c:pt idx="9">
                    <c:v>VCB-BD</c:v>
                  </c:pt>
                  <c:pt idx="10">
                    <c:v>OCB-BD</c:v>
                  </c:pt>
                  <c:pt idx="11">
                    <c:v>VIB-HO</c:v>
                  </c:pt>
                  <c:pt idx="12">
                    <c:v>MB-BSG</c:v>
                  </c:pt>
                  <c:pt idx="13">
                    <c:v>SINO</c:v>
                  </c:pt>
                </c15:dlblRangeCache>
              </c15:datalabelsRange>
            </c:ext>
            <c:ext xmlns:c16="http://schemas.microsoft.com/office/drawing/2014/chart" uri="{C3380CC4-5D6E-409C-BE32-E72D297353CC}">
              <c16:uniqueId val="{0000000E-5E59-4881-B040-99BBB170433B}"/>
            </c:ext>
          </c:extLst>
        </c:ser>
        <c:ser>
          <c:idx val="1"/>
          <c:order val="1"/>
          <c:tx>
            <c:strRef>
              <c:f>'&gt;&gt;Chart'!$E$161</c:f>
              <c:strCache>
                <c:ptCount val="1"/>
                <c:pt idx="0">
                  <c:v>Post-allocation</c:v>
                </c:pt>
              </c:strCache>
            </c:strRef>
          </c:tx>
          <c:spPr>
            <a:ln w="25400" cap="rnd">
              <a:noFill/>
              <a:round/>
            </a:ln>
            <a:effectLst/>
          </c:spPr>
          <c:marker>
            <c:symbol val="circle"/>
            <c:size val="14"/>
            <c:spPr>
              <a:solidFill>
                <a:srgbClr val="0070C0"/>
              </a:solidFill>
              <a:ln w="9525">
                <a:solidFill>
                  <a:schemeClr val="accent1">
                    <a:lumMod val="50000"/>
                    <a:alpha val="95000"/>
                  </a:schemeClr>
                </a:solidFill>
              </a:ln>
              <a:effectLst/>
            </c:spPr>
          </c:marker>
          <c:dLbls>
            <c:numFmt formatCode="#,##0.0&quot;bn&quot;"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'&gt;&gt;Chart'!$E$162:$E$175</c:f>
              <c:numCache>
                <c:formatCode>#,##0.00"bn"</c:formatCode>
                <c:ptCount val="14"/>
                <c:pt idx="0">
                  <c:v>800.37055380300001</c:v>
                </c:pt>
                <c:pt idx="1">
                  <c:v>481.769229698</c:v>
                </c:pt>
                <c:pt idx="2">
                  <c:v>62.969188787</c:v>
                </c:pt>
                <c:pt idx="3">
                  <c:v>105.91471133100001</c:v>
                </c:pt>
                <c:pt idx="4">
                  <c:v>58.873963304999997</c:v>
                </c:pt>
                <c:pt idx="5">
                  <c:v>293.67849033900001</c:v>
                </c:pt>
                <c:pt idx="6">
                  <c:v>82.158267897000002</c:v>
                </c:pt>
                <c:pt idx="7">
                  <c:v>0.101627896</c:v>
                </c:pt>
                <c:pt idx="8">
                  <c:v>1439.3669295499999</c:v>
                </c:pt>
                <c:pt idx="9">
                  <c:v>121.50741409699999</c:v>
                </c:pt>
                <c:pt idx="10">
                  <c:v>0.59862920100000006</c:v>
                </c:pt>
                <c:pt idx="11">
                  <c:v>174.39579141799999</c:v>
                </c:pt>
                <c:pt idx="12">
                  <c:v>7.9583039999999994E-3</c:v>
                </c:pt>
                <c:pt idx="13">
                  <c:v>139.80928048000001</c:v>
                </c:pt>
              </c:numCache>
            </c:numRef>
          </c:xVal>
          <c:yVal>
            <c:numRef>
              <c:f>'&gt;&gt;Chart'!$F$162:$F$175</c:f>
              <c:numCache>
                <c:formatCode>0.00</c:formatCode>
                <c:ptCount val="14"/>
                <c:pt idx="0">
                  <c:v>14</c:v>
                </c:pt>
                <c:pt idx="1">
                  <c:v>13</c:v>
                </c:pt>
                <c:pt idx="2">
                  <c:v>12</c:v>
                </c:pt>
                <c:pt idx="3">
                  <c:v>11</c:v>
                </c:pt>
                <c:pt idx="4">
                  <c:v>10</c:v>
                </c:pt>
                <c:pt idx="5">
                  <c:v>9</c:v>
                </c:pt>
                <c:pt idx="6">
                  <c:v>8</c:v>
                </c:pt>
                <c:pt idx="7">
                  <c:v>7</c:v>
                </c:pt>
                <c:pt idx="8">
                  <c:v>6</c:v>
                </c:pt>
                <c:pt idx="9">
                  <c:v>5</c:v>
                </c:pt>
                <c:pt idx="10">
                  <c:v>4</c:v>
                </c:pt>
                <c:pt idx="11">
                  <c:v>3</c:v>
                </c:pt>
                <c:pt idx="12">
                  <c:v>2</c:v>
                </c:pt>
                <c:pt idx="13">
                  <c:v>1</c:v>
                </c:pt>
              </c:numCache>
            </c:numRef>
          </c:yVal>
          <c:smooth val="0"/>
          <c:extLst>
            <c:ext xmlns:c16="http://schemas.microsoft.com/office/drawing/2014/chart" uri="{C3380CC4-5D6E-409C-BE32-E72D297353CC}">
              <c16:uniqueId val="{0000000F-5E59-4881-B040-99BBB170433B}"/>
            </c:ext>
          </c:extLst>
        </c:ser>
        <c:dLbls>
          <c:showLegendKey val="0"/>
          <c:showVal val="0"/>
          <c:showCatName val="0"/>
          <c:showSerName val="0"/>
          <c:showPercent val="0"/>
          <c:showBubbleSize val="0"/>
        </c:dLbls>
        <c:axId val="793556576"/>
        <c:axId val="793555744"/>
      </c:scatterChart>
      <c:valAx>
        <c:axId val="793556576"/>
        <c:scaling>
          <c:orientation val="minMax"/>
          <c:max val="1200"/>
          <c:min val="-100"/>
        </c:scaling>
        <c:delete val="0"/>
        <c:axPos val="b"/>
        <c:numFmt formatCode="&quot;VND&quot;#,##0&quot;bn&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793555744"/>
        <c:crosses val="autoZero"/>
        <c:crossBetween val="midCat"/>
        <c:majorUnit val="300"/>
      </c:valAx>
      <c:valAx>
        <c:axId val="793555744"/>
        <c:scaling>
          <c:orientation val="minMax"/>
          <c:max val="14"/>
        </c:scaling>
        <c:delete val="1"/>
        <c:axPos val="l"/>
        <c:numFmt formatCode="0.00" sourceLinked="1"/>
        <c:majorTickMark val="out"/>
        <c:minorTickMark val="none"/>
        <c:tickLblPos val="nextTo"/>
        <c:crossAx val="793556576"/>
        <c:crosses val="autoZero"/>
        <c:crossBetween val="midCat"/>
        <c:majorUnit val="1"/>
      </c:valAx>
      <c:spPr>
        <a:noFill/>
        <a:ln>
          <a:noFill/>
        </a:ln>
        <a:effectLst/>
      </c:spPr>
    </c:plotArea>
    <c:legend>
      <c:legendPos val="r"/>
      <c:layout>
        <c:manualLayout>
          <c:xMode val="edge"/>
          <c:yMode val="edge"/>
          <c:x val="0.89494301434898627"/>
          <c:y val="0.86740064453224985"/>
          <c:w val="9.335750696966022E-2"/>
          <c:h val="9.7038515640425899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'&gt;&gt;Chart'!$D$179</c:f>
              <c:strCache>
                <c:ptCount val="1"/>
                <c:pt idx="0">
                  <c:v>Pre-allocation</c:v>
                </c:pt>
              </c:strCache>
            </c:strRef>
          </c:tx>
          <c:spPr>
            <a:ln w="25400" cap="rnd">
              <a:noFill/>
              <a:round/>
            </a:ln>
            <a:effectLst/>
          </c:spPr>
          <c:marker>
            <c:symbol val="circle"/>
            <c:size val="14"/>
            <c:spPr>
              <a:solidFill>
                <a:schemeClr val="bg1"/>
              </a:solidFill>
              <a:ln w="9525">
                <a:solidFill>
                  <a:schemeClr val="accent1">
                    <a:lumMod val="50000"/>
                  </a:schemeClr>
                </a:solidFill>
              </a:ln>
              <a:effectLst/>
            </c:spPr>
          </c:marker>
          <c:dLbls>
            <c:dLbl>
              <c:idx val="0"/>
              <c:tx>
                <c:rich>
                  <a:bodyPr/>
                  <a:lstStyle/>
                  <a:p>
                    <a:fld id="{A3ED5AD2-3B32-4796-9097-30A378B22E04}" type="CELLRANGE">
                      <a:rPr lang="en-US"/>
                      <a:pPr/>
                      <a:t>[CELLRANGE]</a:t>
                    </a:fld>
                    <a:r>
                      <a:rPr lang="en-US" baseline="0"/>
                      <a:t> </a:t>
                    </a:r>
                    <a:fld id="{612385AE-B13E-47BD-B27B-5C485FFF3CAD}"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26F-4B2B-A931-77F5F2BD224A}"/>
                </c:ext>
              </c:extLst>
            </c:dLbl>
            <c:dLbl>
              <c:idx val="1"/>
              <c:tx>
                <c:rich>
                  <a:bodyPr/>
                  <a:lstStyle/>
                  <a:p>
                    <a:fld id="{D763E16C-1319-4FA2-9B9A-31C6BFB52450}" type="CELLRANGE">
                      <a:rPr lang="en-US"/>
                      <a:pPr/>
                      <a:t>[CELLRANGE]</a:t>
                    </a:fld>
                    <a:r>
                      <a:rPr lang="en-US" baseline="0"/>
                      <a:t> </a:t>
                    </a:r>
                    <a:fld id="{77A234DF-FEB8-434F-8243-8E42CF090FE5}"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26F-4B2B-A931-77F5F2BD224A}"/>
                </c:ext>
              </c:extLst>
            </c:dLbl>
            <c:dLbl>
              <c:idx val="2"/>
              <c:tx>
                <c:rich>
                  <a:bodyPr/>
                  <a:lstStyle/>
                  <a:p>
                    <a:fld id="{4A9B076B-6EE3-49DB-AF0B-C98C8EB89996}" type="CELLRANGE">
                      <a:rPr lang="en-US"/>
                      <a:pPr/>
                      <a:t>[CELLRANGE]</a:t>
                    </a:fld>
                    <a:r>
                      <a:rPr lang="en-US" baseline="0"/>
                      <a:t> </a:t>
                    </a:r>
                    <a:fld id="{3BC0E954-91CB-4080-AC22-8FDB7835AD00}"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26F-4B2B-A931-77F5F2BD224A}"/>
                </c:ext>
              </c:extLst>
            </c:dLbl>
            <c:dLbl>
              <c:idx val="3"/>
              <c:tx>
                <c:rich>
                  <a:bodyPr/>
                  <a:lstStyle/>
                  <a:p>
                    <a:fld id="{3430DDE1-773A-4EC1-9237-053B3DB0E6B3}" type="CELLRANGE">
                      <a:rPr lang="en-US"/>
                      <a:pPr/>
                      <a:t>[CELLRANGE]</a:t>
                    </a:fld>
                    <a:r>
                      <a:rPr lang="en-US" baseline="0"/>
                      <a:t> </a:t>
                    </a:r>
                    <a:fld id="{F2D8F67A-F9DF-4ED3-B9F1-A3D5FA5B09D1}"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26F-4B2B-A931-77F5F2BD224A}"/>
                </c:ext>
              </c:extLst>
            </c:dLbl>
            <c:dLbl>
              <c:idx val="4"/>
              <c:tx>
                <c:rich>
                  <a:bodyPr/>
                  <a:lstStyle/>
                  <a:p>
                    <a:fld id="{25246F08-6143-4732-A19F-2E14E33A7AF4}" type="CELLRANGE">
                      <a:rPr lang="en-US"/>
                      <a:pPr/>
                      <a:t>[CELLRANGE]</a:t>
                    </a:fld>
                    <a:r>
                      <a:rPr lang="en-US" baseline="0"/>
                      <a:t> </a:t>
                    </a:r>
                    <a:fld id="{912C1FA0-E30E-40BC-8AA0-37A2A8D3D1AB}"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26F-4B2B-A931-77F5F2BD224A}"/>
                </c:ext>
              </c:extLst>
            </c:dLbl>
            <c:dLbl>
              <c:idx val="5"/>
              <c:tx>
                <c:rich>
                  <a:bodyPr/>
                  <a:lstStyle/>
                  <a:p>
                    <a:fld id="{0F81AC0D-A800-4B43-959B-019546D236D0}" type="CELLRANGE">
                      <a:rPr lang="en-US"/>
                      <a:pPr/>
                      <a:t>[CELLRANGE]</a:t>
                    </a:fld>
                    <a:r>
                      <a:rPr lang="en-US" baseline="0"/>
                      <a:t> </a:t>
                    </a:r>
                    <a:fld id="{51D914FF-18CF-478C-9E4C-025C08CD37C1}"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26F-4B2B-A931-77F5F2BD224A}"/>
                </c:ext>
              </c:extLst>
            </c:dLbl>
            <c:dLbl>
              <c:idx val="6"/>
              <c:tx>
                <c:rich>
                  <a:bodyPr/>
                  <a:lstStyle/>
                  <a:p>
                    <a:fld id="{23016EDE-C80C-4D65-8E46-3B8F53DCE961}" type="CELLRANGE">
                      <a:rPr lang="en-US"/>
                      <a:pPr/>
                      <a:t>[CELLRANGE]</a:t>
                    </a:fld>
                    <a:r>
                      <a:rPr lang="en-US" baseline="0"/>
                      <a:t> </a:t>
                    </a:r>
                    <a:fld id="{5B10EB23-FDEA-4A1C-A252-3CC7F8EBB66D}"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26F-4B2B-A931-77F5F2BD224A}"/>
                </c:ext>
              </c:extLst>
            </c:dLbl>
            <c:dLbl>
              <c:idx val="7"/>
              <c:tx>
                <c:rich>
                  <a:bodyPr/>
                  <a:lstStyle/>
                  <a:p>
                    <a:fld id="{A53DF7B8-54C2-4E49-BB38-5A9AD0A80DA2}" type="CELLRANGE">
                      <a:rPr lang="en-US"/>
                      <a:pPr/>
                      <a:t>[CELLRANGE]</a:t>
                    </a:fld>
                    <a:r>
                      <a:rPr lang="en-US" baseline="0"/>
                      <a:t> </a:t>
                    </a:r>
                    <a:fld id="{AC36359E-4A71-4B39-A782-2043A8671A41}"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26F-4B2B-A931-77F5F2BD224A}"/>
                </c:ext>
              </c:extLst>
            </c:dLbl>
            <c:dLbl>
              <c:idx val="8"/>
              <c:tx>
                <c:rich>
                  <a:bodyPr/>
                  <a:lstStyle/>
                  <a:p>
                    <a:fld id="{4A706325-6F60-4AC1-9823-E6C0D529FA98}" type="CELLRANGE">
                      <a:rPr lang="en-US"/>
                      <a:pPr/>
                      <a:t>[CELLRANGE]</a:t>
                    </a:fld>
                    <a:r>
                      <a:rPr lang="en-US" baseline="0"/>
                      <a:t> </a:t>
                    </a:r>
                    <a:fld id="{E19F9448-66D1-4461-839D-3D571941A0B7}"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26F-4B2B-A931-77F5F2BD224A}"/>
                </c:ext>
              </c:extLst>
            </c:dLbl>
            <c:dLbl>
              <c:idx val="9"/>
              <c:tx>
                <c:rich>
                  <a:bodyPr/>
                  <a:lstStyle/>
                  <a:p>
                    <a:fld id="{4A1F796E-F656-4587-ACC1-89C550E554F6}" type="CELLRANGE">
                      <a:rPr lang="en-US"/>
                      <a:pPr/>
                      <a:t>[CELLRANGE]</a:t>
                    </a:fld>
                    <a:r>
                      <a:rPr lang="en-US" baseline="0"/>
                      <a:t> </a:t>
                    </a:r>
                    <a:fld id="{D05C3AA9-769F-4465-8249-9AA1AD526E1A}"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26F-4B2B-A931-77F5F2BD224A}"/>
                </c:ext>
              </c:extLst>
            </c:dLbl>
            <c:dLbl>
              <c:idx val="10"/>
              <c:tx>
                <c:rich>
                  <a:bodyPr/>
                  <a:lstStyle/>
                  <a:p>
                    <a:fld id="{4228E44E-735C-4A20-AB52-E1D1712A5E4D}" type="CELLRANGE">
                      <a:rPr lang="en-US"/>
                      <a:pPr/>
                      <a:t>[CELLRANGE]</a:t>
                    </a:fld>
                    <a:r>
                      <a:rPr lang="en-US" baseline="0"/>
                      <a:t> </a:t>
                    </a:r>
                    <a:fld id="{3E0A9FEB-2E27-4901-AC7A-302F1D9AD7DD}"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26F-4B2B-A931-77F5F2BD224A}"/>
                </c:ext>
              </c:extLst>
            </c:dLbl>
            <c:dLbl>
              <c:idx val="11"/>
              <c:tx>
                <c:rich>
                  <a:bodyPr/>
                  <a:lstStyle/>
                  <a:p>
                    <a:fld id="{87217A91-8713-4B8E-9FBA-C267FE38D2C6}" type="CELLRANGE">
                      <a:rPr lang="en-US"/>
                      <a:pPr/>
                      <a:t>[CELLRANGE]</a:t>
                    </a:fld>
                    <a:r>
                      <a:rPr lang="en-US" baseline="0"/>
                      <a:t> </a:t>
                    </a:r>
                    <a:fld id="{F856B968-0153-4420-B77E-B2B56334D1CE}"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26F-4B2B-A931-77F5F2BD224A}"/>
                </c:ext>
              </c:extLst>
            </c:dLbl>
            <c:dLbl>
              <c:idx val="12"/>
              <c:tx>
                <c:rich>
                  <a:bodyPr/>
                  <a:lstStyle/>
                  <a:p>
                    <a:fld id="{0D8DAF84-8D1B-4855-9068-F270EDF9B2DF}" type="CELLRANGE">
                      <a:rPr lang="en-US"/>
                      <a:pPr/>
                      <a:t>[CELLRANGE]</a:t>
                    </a:fld>
                    <a:r>
                      <a:rPr lang="en-US" baseline="0"/>
                      <a:t> </a:t>
                    </a:r>
                    <a:fld id="{AC587E2F-EDA6-4FAD-9D51-DFBA19EC2181}"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26F-4B2B-A931-77F5F2BD224A}"/>
                </c:ext>
              </c:extLst>
            </c:dLbl>
            <c:dLbl>
              <c:idx val="13"/>
              <c:tx>
                <c:rich>
                  <a:bodyPr/>
                  <a:lstStyle/>
                  <a:p>
                    <a:fld id="{76ABD323-5879-428E-975F-1B27E0E91B3B}" type="CELLRANGE">
                      <a:rPr lang="en-US"/>
                      <a:pPr/>
                      <a:t>[CELLRANGE]</a:t>
                    </a:fld>
                    <a:r>
                      <a:rPr lang="en-US" baseline="0"/>
                      <a:t> </a:t>
                    </a:r>
                    <a:fld id="{D8C633DC-34E7-4790-B748-D449F9181C70}" type="XVALUE">
                      <a:rPr lang="en-US" baseline="0"/>
                      <a:pPr/>
                      <a:t>[X VALUE]</a:t>
                    </a:fld>
                    <a:endParaRPr lang="en-US" baseline="0"/>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26F-4B2B-A931-77F5F2BD224A}"/>
                </c:ext>
              </c:extLst>
            </c:dLbl>
            <c:numFmt formatCode="&quot;$&quot;#,##0.0&quot;mn&quot;"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1"/>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errBars>
            <c:errDir val="x"/>
            <c:errBarType val="both"/>
            <c:errValType val="cust"/>
            <c:noEndCap val="1"/>
            <c:plus>
              <c:numRef>
                <c:f>'&gt;&gt;Chart'!$G$180:$G$193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plus>
            <c:minus>
              <c:numRef>
                <c:f>'&gt;&gt;Chart'!$H$180:$H$193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minus>
            <c:spPr>
              <a:noFill/>
              <a:ln w="9525" cap="flat" cmpd="sng" algn="ctr">
                <a:solidFill>
                  <a:schemeClr val="tx1">
                    <a:lumMod val="65000"/>
                    <a:lumOff val="35000"/>
                  </a:schemeClr>
                </a:solidFill>
                <a:round/>
              </a:ln>
              <a:effectLst/>
            </c:spPr>
          </c:errBars>
          <c:xVal>
            <c:numRef>
              <c:f>'&gt;&gt;Chart'!$D$180:$D$193</c:f>
              <c:numCache>
                <c:formatCode>"$"#,##0.00" mn"</c:formatCode>
                <c:ptCount val="14"/>
                <c:pt idx="0">
                  <c:v>3.1311840000000001E-2</c:v>
                </c:pt>
                <c:pt idx="1">
                  <c:v>3.3161400000000004E-3</c:v>
                </c:pt>
                <c:pt idx="2">
                  <c:v>2.0000000000000001E-4</c:v>
                </c:pt>
                <c:pt idx="3">
                  <c:v>7.6900000000000004E-4</c:v>
                </c:pt>
                <c:pt idx="4">
                  <c:v>1.2900900000000002E-3</c:v>
                </c:pt>
                <c:pt idx="5">
                  <c:v>4.3790000000000007E-4</c:v>
                </c:pt>
                <c:pt idx="6">
                  <c:v>0</c:v>
                </c:pt>
                <c:pt idx="7">
                  <c:v>1.4119999999999568E-4</c:v>
                </c:pt>
                <c:pt idx="8">
                  <c:v>6.7501799999999963E-3</c:v>
                </c:pt>
                <c:pt idx="9">
                  <c:v>1.2488899999999999E-3</c:v>
                </c:pt>
                <c:pt idx="10">
                  <c:v>2.5000000000000001E-4</c:v>
                </c:pt>
                <c:pt idx="11">
                  <c:v>1.516E-4</c:v>
                </c:pt>
                <c:pt idx="12">
                  <c:v>9.0000000000000006E-5</c:v>
                </c:pt>
                <c:pt idx="13">
                  <c:v>1.3119739999999998E-2</c:v>
                </c:pt>
              </c:numCache>
            </c:numRef>
          </c:xVal>
          <c:yVal>
            <c:numRef>
              <c:f>'&gt;&gt;Chart'!$F$180:$F$193</c:f>
              <c:numCache>
                <c:formatCode>0.00</c:formatCode>
                <c:ptCount val="14"/>
                <c:pt idx="0">
                  <c:v>14</c:v>
                </c:pt>
                <c:pt idx="1">
                  <c:v>13</c:v>
                </c:pt>
                <c:pt idx="2">
                  <c:v>12</c:v>
                </c:pt>
                <c:pt idx="3">
                  <c:v>11</c:v>
                </c:pt>
                <c:pt idx="4">
                  <c:v>10</c:v>
                </c:pt>
                <c:pt idx="5">
                  <c:v>9</c:v>
                </c:pt>
                <c:pt idx="6">
                  <c:v>8</c:v>
                </c:pt>
                <c:pt idx="7">
                  <c:v>7</c:v>
                </c:pt>
                <c:pt idx="8">
                  <c:v>6</c:v>
                </c:pt>
                <c:pt idx="9">
                  <c:v>5</c:v>
                </c:pt>
                <c:pt idx="10">
                  <c:v>4</c:v>
                </c:pt>
                <c:pt idx="11">
                  <c:v>3</c:v>
                </c:pt>
                <c:pt idx="12">
                  <c:v>2</c:v>
                </c:pt>
                <c:pt idx="13">
                  <c:v>1</c:v>
                </c:pt>
              </c:numCache>
            </c:numRef>
          </c:yVal>
          <c:smooth val="0"/>
          <c:extLst>
            <c:ext xmlns:c15="http://schemas.microsoft.com/office/drawing/2012/chart" uri="{02D57815-91ED-43cb-92C2-25804820EDAC}">
              <c15:datalabelsRange>
                <c15:f>'&gt;&gt;Chart'!$C$180:$C$193</c15:f>
                <c15:dlblRangeCache>
                  <c:ptCount val="14"/>
                  <c:pt idx="0">
                    <c:v>VTB-TS</c:v>
                  </c:pt>
                  <c:pt idx="1">
                    <c:v>VTB-BD</c:v>
                  </c:pt>
                  <c:pt idx="2">
                    <c:v>VTB-QM</c:v>
                  </c:pt>
                  <c:pt idx="3">
                    <c:v>VTB-DSG</c:v>
                  </c:pt>
                  <c:pt idx="4">
                    <c:v>VTB-CN1</c:v>
                  </c:pt>
                  <c:pt idx="5">
                    <c:v>BIDV-TX</c:v>
                  </c:pt>
                  <c:pt idx="6">
                    <c:v>BIDV-NSG</c:v>
                  </c:pt>
                  <c:pt idx="7">
                    <c:v>BIDV-LB</c:v>
                  </c:pt>
                  <c:pt idx="8">
                    <c:v>VCB-HCM</c:v>
                  </c:pt>
                  <c:pt idx="9">
                    <c:v>VCB-BD</c:v>
                  </c:pt>
                  <c:pt idx="10">
                    <c:v>OCB-BD</c:v>
                  </c:pt>
                  <c:pt idx="11">
                    <c:v>VIB-HO</c:v>
                  </c:pt>
                  <c:pt idx="12">
                    <c:v>MB-BSG</c:v>
                  </c:pt>
                  <c:pt idx="13">
                    <c:v>SINO</c:v>
                  </c:pt>
                </c15:dlblRangeCache>
              </c15:datalabelsRange>
            </c:ext>
            <c:ext xmlns:c16="http://schemas.microsoft.com/office/drawing/2014/chart" uri="{C3380CC4-5D6E-409C-BE32-E72D297353CC}">
              <c16:uniqueId val="{0000000E-526F-4B2B-A931-77F5F2BD224A}"/>
            </c:ext>
          </c:extLst>
        </c:ser>
        <c:ser>
          <c:idx val="1"/>
          <c:order val="1"/>
          <c:tx>
            <c:strRef>
              <c:f>'&gt;&gt;Chart'!$E$179</c:f>
              <c:strCache>
                <c:ptCount val="1"/>
                <c:pt idx="0">
                  <c:v>Post-allocation</c:v>
                </c:pt>
              </c:strCache>
            </c:strRef>
          </c:tx>
          <c:spPr>
            <a:ln w="25400" cap="rnd">
              <a:noFill/>
              <a:round/>
            </a:ln>
            <a:effectLst/>
          </c:spPr>
          <c:marker>
            <c:symbol val="circle"/>
            <c:size val="14"/>
            <c:spPr>
              <a:solidFill>
                <a:srgbClr val="0070C0"/>
              </a:solidFill>
              <a:ln w="9525">
                <a:solidFill>
                  <a:schemeClr val="accent1">
                    <a:lumMod val="50000"/>
                  </a:schemeClr>
                </a:solidFill>
              </a:ln>
              <a:effectLst/>
            </c:spPr>
          </c:marker>
          <c:dLbls>
            <c:numFmt formatCode="&quot;$&quot;#,##0.0&quot; mn&quot;" sourceLinked="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'&gt;&gt;Chart'!$E$180:$E$193</c:f>
              <c:numCache>
                <c:formatCode>"$"#,##0.00" mn"</c:formatCode>
                <c:ptCount val="14"/>
                <c:pt idx="0">
                  <c:v>3.1311840000000001E-2</c:v>
                </c:pt>
                <c:pt idx="1">
                  <c:v>3.3161400000000004E-3</c:v>
                </c:pt>
                <c:pt idx="2">
                  <c:v>2.0000000000000001E-4</c:v>
                </c:pt>
                <c:pt idx="3">
                  <c:v>7.6900000000000004E-4</c:v>
                </c:pt>
                <c:pt idx="4">
                  <c:v>1.2900900000000002E-3</c:v>
                </c:pt>
                <c:pt idx="5">
                  <c:v>4.3790000000000007E-4</c:v>
                </c:pt>
                <c:pt idx="6">
                  <c:v>0</c:v>
                </c:pt>
                <c:pt idx="7">
                  <c:v>1.4119999999999568E-4</c:v>
                </c:pt>
                <c:pt idx="8">
                  <c:v>6.7501799999999963E-3</c:v>
                </c:pt>
                <c:pt idx="9">
                  <c:v>1.2488899999999999E-3</c:v>
                </c:pt>
                <c:pt idx="10">
                  <c:v>2.5000000000000001E-4</c:v>
                </c:pt>
                <c:pt idx="11">
                  <c:v>1.516E-4</c:v>
                </c:pt>
                <c:pt idx="12">
                  <c:v>9.0000000000000006E-5</c:v>
                </c:pt>
                <c:pt idx="13">
                  <c:v>1.3119739999999998E-2</c:v>
                </c:pt>
              </c:numCache>
            </c:numRef>
          </c:xVal>
          <c:yVal>
            <c:numRef>
              <c:f>'&gt;&gt;Chart'!$F$180:$F$193</c:f>
              <c:numCache>
                <c:formatCode>0.00</c:formatCode>
                <c:ptCount val="14"/>
                <c:pt idx="0">
                  <c:v>14</c:v>
                </c:pt>
                <c:pt idx="1">
                  <c:v>13</c:v>
                </c:pt>
                <c:pt idx="2">
                  <c:v>12</c:v>
                </c:pt>
                <c:pt idx="3">
                  <c:v>11</c:v>
                </c:pt>
                <c:pt idx="4">
                  <c:v>10</c:v>
                </c:pt>
                <c:pt idx="5">
                  <c:v>9</c:v>
                </c:pt>
                <c:pt idx="6">
                  <c:v>8</c:v>
                </c:pt>
                <c:pt idx="7">
                  <c:v>7</c:v>
                </c:pt>
                <c:pt idx="8">
                  <c:v>6</c:v>
                </c:pt>
                <c:pt idx="9">
                  <c:v>5</c:v>
                </c:pt>
                <c:pt idx="10">
                  <c:v>4</c:v>
                </c:pt>
                <c:pt idx="11">
                  <c:v>3</c:v>
                </c:pt>
                <c:pt idx="12">
                  <c:v>2</c:v>
                </c:pt>
                <c:pt idx="13">
                  <c:v>1</c:v>
                </c:pt>
              </c:numCache>
            </c:numRef>
          </c:yVal>
          <c:smooth val="0"/>
          <c:extLst>
            <c:ext xmlns:c16="http://schemas.microsoft.com/office/drawing/2014/chart" uri="{C3380CC4-5D6E-409C-BE32-E72D297353CC}">
              <c16:uniqueId val="{0000000F-526F-4B2B-A931-77F5F2BD224A}"/>
            </c:ext>
          </c:extLst>
        </c:ser>
        <c:dLbls>
          <c:showLegendKey val="0"/>
          <c:showVal val="0"/>
          <c:showCatName val="0"/>
          <c:showSerName val="0"/>
          <c:showPercent val="0"/>
          <c:showBubbleSize val="0"/>
        </c:dLbls>
        <c:axId val="793556576"/>
        <c:axId val="793555744"/>
      </c:scatterChart>
      <c:valAx>
        <c:axId val="793556576"/>
        <c:scaling>
          <c:orientation val="minMax"/>
          <c:max val="90"/>
          <c:min val="-10"/>
        </c:scaling>
        <c:delete val="0"/>
        <c:axPos val="b"/>
        <c:numFmt formatCode="&quot;$&quot;#,##0&quot;mn&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793555744"/>
        <c:crosses val="autoZero"/>
        <c:crossBetween val="midCat"/>
        <c:majorUnit val="20"/>
      </c:valAx>
      <c:valAx>
        <c:axId val="793555744"/>
        <c:scaling>
          <c:orientation val="minMax"/>
          <c:max val="14"/>
        </c:scaling>
        <c:delete val="1"/>
        <c:axPos val="l"/>
        <c:numFmt formatCode="0.00" sourceLinked="1"/>
        <c:majorTickMark val="out"/>
        <c:minorTickMark val="none"/>
        <c:tickLblPos val="nextTo"/>
        <c:crossAx val="793556576"/>
        <c:crosses val="autoZero"/>
        <c:crossBetween val="midCat"/>
        <c:majorUnit val="1"/>
      </c:valAx>
      <c:spPr>
        <a:noFill/>
        <a:ln>
          <a:noFill/>
        </a:ln>
        <a:effectLst/>
      </c:spPr>
    </c:plotArea>
    <c:legend>
      <c:legendPos val="r"/>
      <c:layout>
        <c:manualLayout>
          <c:xMode val="edge"/>
          <c:yMode val="edge"/>
          <c:x val="0.90539899280490199"/>
          <c:y val="0.83912101241979464"/>
          <c:w val="8.1703809406041578E-2"/>
          <c:h val="8.7837687409217463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hyperlink" Target="#'Total Cash'!A1"/><Relationship Id="rId2" Type="http://schemas.openxmlformats.org/officeDocument/2006/relationships/hyperlink" Target="#USD_yield!A1"/><Relationship Id="rId1" Type="http://schemas.openxmlformats.org/officeDocument/2006/relationships/hyperlink" Target="#VND_rate!A1"/><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1</xdr:col>
      <xdr:colOff>31751</xdr:colOff>
      <xdr:row>0</xdr:row>
      <xdr:rowOff>23814</xdr:rowOff>
    </xdr:from>
    <xdr:ext cx="2085975" cy="406460"/>
    <xdr:pic>
      <xdr:nvPicPr>
        <xdr:cNvPr id="2" name="Picture 1">
          <a:extLst>
            <a:ext uri="{FF2B5EF4-FFF2-40B4-BE49-F238E27FC236}">
              <a16:creationId xmlns:a16="http://schemas.microsoft.com/office/drawing/2014/main" id="{DC836420-FB1A-4794-86C8-7C55391AED15}"/>
            </a:ext>
          </a:extLst>
        </xdr:cNvPr>
        <xdr:cNvPicPr>
          <a:picLocks noChangeAspect="1"/>
        </xdr:cNvPicPr>
      </xdr:nvPicPr>
      <xdr:blipFill>
        <a:blip xmlns:r="http://schemas.openxmlformats.org/officeDocument/2006/relationships" r:embed="rId1"/>
        <a:stretch>
          <a:fillRect/>
        </a:stretch>
      </xdr:blipFill>
      <xdr:spPr>
        <a:xfrm>
          <a:off x="133351" y="23814"/>
          <a:ext cx="2085975" cy="40646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2</xdr:col>
      <xdr:colOff>364127</xdr:colOff>
      <xdr:row>67</xdr:row>
      <xdr:rowOff>151492</xdr:rowOff>
    </xdr:from>
    <xdr:to>
      <xdr:col>9</xdr:col>
      <xdr:colOff>235857</xdr:colOff>
      <xdr:row>85</xdr:row>
      <xdr:rowOff>119530</xdr:rowOff>
    </xdr:to>
    <xdr:graphicFrame macro="">
      <xdr:nvGraphicFramePr>
        <xdr:cNvPr id="3" name="Chart 2">
          <a:extLst>
            <a:ext uri="{FF2B5EF4-FFF2-40B4-BE49-F238E27FC236}">
              <a16:creationId xmlns:a16="http://schemas.microsoft.com/office/drawing/2014/main" id="{00000000-0008-0000-1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1010479</xdr:colOff>
      <xdr:row>86</xdr:row>
      <xdr:rowOff>135821</xdr:rowOff>
    </xdr:from>
    <xdr:to>
      <xdr:col>9</xdr:col>
      <xdr:colOff>22087</xdr:colOff>
      <xdr:row>88</xdr:row>
      <xdr:rowOff>44813</xdr:rowOff>
    </xdr:to>
    <xdr:grpSp>
      <xdr:nvGrpSpPr>
        <xdr:cNvPr id="12" name="Group 11">
          <a:extLst>
            <a:ext uri="{FF2B5EF4-FFF2-40B4-BE49-F238E27FC236}">
              <a16:creationId xmlns:a16="http://schemas.microsoft.com/office/drawing/2014/main" id="{00000000-0008-0000-1300-00000C000000}"/>
            </a:ext>
          </a:extLst>
        </xdr:cNvPr>
        <xdr:cNvGrpSpPr/>
      </xdr:nvGrpSpPr>
      <xdr:grpSpPr>
        <a:xfrm>
          <a:off x="2041420" y="12094739"/>
          <a:ext cx="9007255" cy="267580"/>
          <a:chOff x="1299115" y="14671563"/>
          <a:chExt cx="8698245" cy="276389"/>
        </a:xfrm>
      </xdr:grpSpPr>
      <xdr:sp macro="" textlink="$L$49">
        <xdr:nvSpPr>
          <xdr:cNvPr id="39" name="Freeform: Shape 36">
            <a:extLst>
              <a:ext uri="{FF2B5EF4-FFF2-40B4-BE49-F238E27FC236}">
                <a16:creationId xmlns:a16="http://schemas.microsoft.com/office/drawing/2014/main" id="{00000000-0008-0000-1300-000027000000}"/>
              </a:ext>
            </a:extLst>
          </xdr:cNvPr>
          <xdr:cNvSpPr/>
        </xdr:nvSpPr>
        <xdr:spPr>
          <a:xfrm>
            <a:off x="1299115" y="14679293"/>
            <a:ext cx="2097256" cy="233620"/>
          </a:xfrm>
          <a:prstGeom prst="roundRect">
            <a:avLst/>
          </a:prstGeom>
          <a:solidFill>
            <a:schemeClr val="accent1">
              <a:lumMod val="50000"/>
            </a:schemeClr>
          </a:solidFill>
          <a:ln>
            <a:solidFill>
              <a:schemeClr val="accent1">
                <a:lumMod val="7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B427BAF4-8105-4B55-A31C-E9350600E6F3}" type="TxLink">
              <a:rPr lang="en-US" sz="1100" b="0" i="0" u="none" strike="noStrike" kern="1200" cap="none" spc="0">
                <a:ln w="0"/>
                <a:solidFill>
                  <a:schemeClr val="bg1"/>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$57,72 </a:t>
            </a:fld>
            <a:endParaRPr lang="en-US" sz="1000" b="0" i="0" u="none" strike="noStrike" kern="1200" cap="none" spc="0">
              <a:ln w="0"/>
              <a:solidFill>
                <a:schemeClr val="bg1"/>
              </a:solidFill>
              <a:effectLst>
                <a:outerShdw blurRad="38100" dist="19050" dir="2700000" algn="tl" rotWithShape="0">
                  <a:schemeClr val="dk1">
                    <a:alpha val="40000"/>
                  </a:schemeClr>
                </a:outerShdw>
              </a:effectLst>
              <a:latin typeface="Calibri"/>
              <a:cs typeface="Calibri"/>
            </a:endParaRPr>
          </a:p>
        </xdr:txBody>
      </xdr:sp>
      <xdr:sp macro="" textlink="$L$52">
        <xdr:nvSpPr>
          <xdr:cNvPr id="40" name="Freeform: Shape 36">
            <a:extLst>
              <a:ext uri="{FF2B5EF4-FFF2-40B4-BE49-F238E27FC236}">
                <a16:creationId xmlns:a16="http://schemas.microsoft.com/office/drawing/2014/main" id="{00000000-0008-0000-1300-000028000000}"/>
              </a:ext>
            </a:extLst>
          </xdr:cNvPr>
          <xdr:cNvSpPr/>
        </xdr:nvSpPr>
        <xdr:spPr>
          <a:xfrm>
            <a:off x="4014833" y="14671563"/>
            <a:ext cx="951947" cy="233620"/>
          </a:xfrm>
          <a:prstGeom prst="roundRect">
            <a:avLst/>
          </a:prstGeom>
          <a:solidFill>
            <a:schemeClr val="accent1">
              <a:lumMod val="50000"/>
            </a:schemeClr>
          </a:solidFill>
          <a:ln>
            <a:solidFill>
              <a:schemeClr val="accent1">
                <a:lumMod val="7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F926C03A-0D15-45D5-80A9-FA1DC5DC6C47}" type="TxLink">
              <a:rPr lang="en-US" sz="1100" b="0" i="0" u="none" strike="noStrike" kern="1200" cap="none" spc="0">
                <a:ln w="0"/>
                <a:solidFill>
                  <a:schemeClr val="bg1"/>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$59,64 </a:t>
            </a:fld>
            <a:endParaRPr lang="en-US" sz="1000" b="0" i="0" u="none" strike="noStrike" kern="1200" cap="none" spc="0">
              <a:ln w="0"/>
              <a:solidFill>
                <a:schemeClr val="bg1"/>
              </a:solidFill>
              <a:effectLst>
                <a:outerShdw blurRad="38100" dist="19050" dir="2700000" algn="tl" rotWithShape="0">
                  <a:schemeClr val="dk1">
                    <a:alpha val="40000"/>
                  </a:schemeClr>
                </a:outerShdw>
              </a:effectLst>
              <a:latin typeface="Calibri"/>
              <a:cs typeface="Calibri"/>
            </a:endParaRPr>
          </a:p>
        </xdr:txBody>
      </xdr:sp>
      <xdr:sp macro="" textlink="$L$56">
        <xdr:nvSpPr>
          <xdr:cNvPr id="41" name="Freeform: Shape 36">
            <a:extLst>
              <a:ext uri="{FF2B5EF4-FFF2-40B4-BE49-F238E27FC236}">
                <a16:creationId xmlns:a16="http://schemas.microsoft.com/office/drawing/2014/main" id="{00000000-0008-0000-1300-000029000000}"/>
              </a:ext>
            </a:extLst>
          </xdr:cNvPr>
          <xdr:cNvSpPr/>
        </xdr:nvSpPr>
        <xdr:spPr>
          <a:xfrm>
            <a:off x="5480060" y="14686445"/>
            <a:ext cx="1511856" cy="233620"/>
          </a:xfrm>
          <a:prstGeom prst="roundRect">
            <a:avLst/>
          </a:prstGeom>
          <a:solidFill>
            <a:schemeClr val="accent1">
              <a:lumMod val="50000"/>
            </a:schemeClr>
          </a:solidFill>
          <a:ln>
            <a:solidFill>
              <a:schemeClr val="accent1">
                <a:lumMod val="7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lvl="0" indent="0" algn="ctr" defTabSz="400050">
              <a:lnSpc>
                <a:spcPct val="90000"/>
              </a:lnSpc>
              <a:spcBef>
                <a:spcPct val="0"/>
              </a:spcBef>
              <a:spcAft>
                <a:spcPct val="35000"/>
              </a:spcAft>
              <a:buNone/>
            </a:pPr>
            <a:fld id="{6C62A6F4-EFEE-459D-BADD-AAF5F2CAA31A}" type="TxLink">
              <a:rPr lang="en-US" sz="1100" b="0" i="0" u="none" strike="noStrike" kern="1200" cap="none" spc="0">
                <a:ln w="0"/>
                <a:solidFill>
                  <a:schemeClr val="bg1"/>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$14,36 </a:t>
            </a:fld>
            <a:endParaRPr lang="en-US" sz="700" b="0" kern="1200" cap="none" spc="0">
              <a:ln w="0"/>
              <a:solidFill>
                <a:schemeClr val="bg1"/>
              </a:solidFill>
              <a:effectLst>
                <a:outerShdw blurRad="38100" dist="19050" dir="2700000" algn="tl" rotWithShape="0">
                  <a:schemeClr val="dk1">
                    <a:alpha val="40000"/>
                  </a:schemeClr>
                </a:outerShdw>
              </a:effectLst>
            </a:endParaRPr>
          </a:p>
        </xdr:txBody>
      </xdr:sp>
      <xdr:sp macro="" textlink="$L$63">
        <xdr:nvSpPr>
          <xdr:cNvPr id="42" name="Freeform: Shape 36">
            <a:extLst>
              <a:ext uri="{FF2B5EF4-FFF2-40B4-BE49-F238E27FC236}">
                <a16:creationId xmlns:a16="http://schemas.microsoft.com/office/drawing/2014/main" id="{00000000-0008-0000-1300-00002A000000}"/>
              </a:ext>
            </a:extLst>
          </xdr:cNvPr>
          <xdr:cNvSpPr/>
        </xdr:nvSpPr>
        <xdr:spPr>
          <a:xfrm>
            <a:off x="7466045" y="14678188"/>
            <a:ext cx="2531315" cy="269764"/>
          </a:xfrm>
          <a:prstGeom prst="roundRect">
            <a:avLst/>
          </a:prstGeom>
          <a:solidFill>
            <a:schemeClr val="accent1">
              <a:lumMod val="50000"/>
            </a:schemeClr>
          </a:solidFill>
          <a:ln>
            <a:solidFill>
              <a:schemeClr val="accent1">
                <a:lumMod val="7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lvl="0" indent="0" algn="ctr" defTabSz="400050">
              <a:lnSpc>
                <a:spcPct val="90000"/>
              </a:lnSpc>
              <a:spcBef>
                <a:spcPct val="0"/>
              </a:spcBef>
              <a:spcAft>
                <a:spcPct val="35000"/>
              </a:spcAft>
              <a:buNone/>
            </a:pPr>
            <a:fld id="{64FA47ED-A490-45D9-B315-84FB3DE8299D}" type="TxLink">
              <a:rPr lang="en-US" sz="1100" b="0" i="0" u="none" strike="noStrike" kern="1200" cap="none" spc="0">
                <a:ln w="0"/>
                <a:solidFill>
                  <a:schemeClr val="bg1"/>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$20,47 </a:t>
            </a:fld>
            <a:endParaRPr lang="en-US" sz="700" b="0" kern="1200" cap="none" spc="0">
              <a:ln w="0"/>
              <a:solidFill>
                <a:schemeClr val="bg1"/>
              </a:solidFill>
              <a:effectLst>
                <a:outerShdw blurRad="38100" dist="19050" dir="2700000" algn="tl" rotWithShape="0">
                  <a:schemeClr val="dk1">
                    <a:alpha val="40000"/>
                  </a:schemeClr>
                </a:outerShdw>
              </a:effectLst>
            </a:endParaRPr>
          </a:p>
        </xdr:txBody>
      </xdr:sp>
    </xdr:grpSp>
    <xdr:clientData/>
  </xdr:twoCellAnchor>
  <xdr:twoCellAnchor>
    <xdr:from>
      <xdr:col>10</xdr:col>
      <xdr:colOff>388012</xdr:colOff>
      <xdr:row>64</xdr:row>
      <xdr:rowOff>27089</xdr:rowOff>
    </xdr:from>
    <xdr:to>
      <xdr:col>16</xdr:col>
      <xdr:colOff>85012</xdr:colOff>
      <xdr:row>84</xdr:row>
      <xdr:rowOff>92948</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1012680</xdr:colOff>
      <xdr:row>85</xdr:row>
      <xdr:rowOff>59996</xdr:rowOff>
    </xdr:from>
    <xdr:to>
      <xdr:col>9</xdr:col>
      <xdr:colOff>12492</xdr:colOff>
      <xdr:row>86</xdr:row>
      <xdr:rowOff>124356</xdr:rowOff>
    </xdr:to>
    <xdr:grpSp>
      <xdr:nvGrpSpPr>
        <xdr:cNvPr id="19" name="Group 18">
          <a:extLst>
            <a:ext uri="{FF2B5EF4-FFF2-40B4-BE49-F238E27FC236}">
              <a16:creationId xmlns:a16="http://schemas.microsoft.com/office/drawing/2014/main" id="{FDEA5837-6E18-52BF-5C4A-824C96A0DD87}"/>
            </a:ext>
          </a:extLst>
        </xdr:cNvPr>
        <xdr:cNvGrpSpPr/>
      </xdr:nvGrpSpPr>
      <xdr:grpSpPr>
        <a:xfrm>
          <a:off x="2043621" y="11839620"/>
          <a:ext cx="8995459" cy="243654"/>
          <a:chOff x="1797092" y="14728496"/>
          <a:chExt cx="10922871" cy="243654"/>
        </a:xfrm>
      </xdr:grpSpPr>
      <xdr:grpSp>
        <xdr:nvGrpSpPr>
          <xdr:cNvPr id="2" name="Group 1">
            <a:extLst>
              <a:ext uri="{FF2B5EF4-FFF2-40B4-BE49-F238E27FC236}">
                <a16:creationId xmlns:a16="http://schemas.microsoft.com/office/drawing/2014/main" id="{00000000-0008-0000-1300-000002000000}"/>
              </a:ext>
            </a:extLst>
          </xdr:cNvPr>
          <xdr:cNvGrpSpPr/>
        </xdr:nvGrpSpPr>
        <xdr:grpSpPr>
          <a:xfrm>
            <a:off x="1797092" y="14728496"/>
            <a:ext cx="10919696" cy="240479"/>
            <a:chOff x="1305332" y="14220012"/>
            <a:chExt cx="8677074" cy="246599"/>
          </a:xfrm>
        </xdr:grpSpPr>
        <xdr:sp macro="" textlink="$G$50">
          <xdr:nvSpPr>
            <xdr:cNvPr id="9" name="Freeform: Shape 36">
              <a:extLst>
                <a:ext uri="{FF2B5EF4-FFF2-40B4-BE49-F238E27FC236}">
                  <a16:creationId xmlns:a16="http://schemas.microsoft.com/office/drawing/2014/main" id="{00000000-0008-0000-1300-000009000000}"/>
                </a:ext>
              </a:extLst>
            </xdr:cNvPr>
            <xdr:cNvSpPr/>
          </xdr:nvSpPr>
          <xdr:spPr>
            <a:xfrm>
              <a:off x="3991622" y="14231480"/>
              <a:ext cx="457200" cy="228601"/>
            </a:xfrm>
            <a:prstGeom prst="roundRect">
              <a:avLst/>
            </a:prstGeom>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D02B527D-75C0-4A9C-8E98-27D411E333A8}" type="TxLink">
                <a:rPr lang="en-US" sz="1050" b="0"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$55,0 </a:t>
              </a:fld>
              <a:endParaRPr lang="en-US" sz="600" b="0" kern="1200" cap="none" spc="0">
                <a:ln w="0"/>
                <a:effectLst>
                  <a:outerShdw blurRad="38100" dist="19050" dir="2700000" algn="tl" rotWithShape="0">
                    <a:schemeClr val="dk1">
                      <a:alpha val="40000"/>
                    </a:schemeClr>
                  </a:outerShdw>
                </a:effectLst>
              </a:endParaRPr>
            </a:p>
          </xdr:txBody>
        </xdr:sp>
        <xdr:sp macro="" textlink="$G$51">
          <xdr:nvSpPr>
            <xdr:cNvPr id="10" name="Freeform: Shape 36">
              <a:extLst>
                <a:ext uri="{FF2B5EF4-FFF2-40B4-BE49-F238E27FC236}">
                  <a16:creationId xmlns:a16="http://schemas.microsoft.com/office/drawing/2014/main" id="{00000000-0008-0000-1300-00000A000000}"/>
                </a:ext>
              </a:extLst>
            </xdr:cNvPr>
            <xdr:cNvSpPr/>
          </xdr:nvSpPr>
          <xdr:spPr>
            <a:xfrm>
              <a:off x="4532775" y="14226809"/>
              <a:ext cx="457200" cy="228600"/>
            </a:xfrm>
            <a:prstGeom prst="roundRect">
              <a:avLst/>
            </a:prstGeom>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4B557836-FAC3-4953-8C7A-902DC166C0BD}" type="TxLink">
                <a:rPr lang="en-US" sz="1050" b="0"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$4,6 </a:t>
              </a:fld>
              <a:endParaRPr lang="en-US" sz="600" b="0" kern="1200" cap="none" spc="0">
                <a:ln w="0"/>
                <a:effectLst>
                  <a:outerShdw blurRad="38100" dist="19050" dir="2700000" algn="tl" rotWithShape="0">
                    <a:schemeClr val="dk1">
                      <a:alpha val="40000"/>
                    </a:schemeClr>
                  </a:outerShdw>
                </a:effectLst>
              </a:endParaRPr>
            </a:p>
          </xdr:txBody>
        </xdr:sp>
        <xdr:sp macro="" textlink="$G$53">
          <xdr:nvSpPr>
            <xdr:cNvPr id="11" name="Freeform: Shape 36">
              <a:extLst>
                <a:ext uri="{FF2B5EF4-FFF2-40B4-BE49-F238E27FC236}">
                  <a16:creationId xmlns:a16="http://schemas.microsoft.com/office/drawing/2014/main" id="{00000000-0008-0000-1300-00000B000000}"/>
                </a:ext>
              </a:extLst>
            </xdr:cNvPr>
            <xdr:cNvSpPr/>
          </xdr:nvSpPr>
          <xdr:spPr>
            <a:xfrm>
              <a:off x="5467488" y="14230183"/>
              <a:ext cx="457200" cy="228600"/>
            </a:xfrm>
            <a:prstGeom prst="roundRect">
              <a:avLst/>
            </a:prstGeom>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6BFE1386-D705-4E55-8216-7A06986B1C01}" type="TxLink">
                <a:rPr lang="en-US" sz="1050" b="0"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$11,2 </a:t>
              </a:fld>
              <a:endParaRPr lang="en-US" sz="600" b="0" kern="1200" cap="none" spc="0">
                <a:ln w="0"/>
                <a:effectLst>
                  <a:outerShdw blurRad="38100" dist="19050" dir="2700000" algn="tl" rotWithShape="0">
                    <a:schemeClr val="dk1">
                      <a:alpha val="40000"/>
                    </a:schemeClr>
                  </a:outerShdw>
                </a:effectLst>
              </a:endParaRPr>
            </a:p>
          </xdr:txBody>
        </xdr:sp>
        <xdr:sp macro="" textlink="$G$57">
          <xdr:nvSpPr>
            <xdr:cNvPr id="13" name="Freeform: Shape 36">
              <a:extLst>
                <a:ext uri="{FF2B5EF4-FFF2-40B4-BE49-F238E27FC236}">
                  <a16:creationId xmlns:a16="http://schemas.microsoft.com/office/drawing/2014/main" id="{00000000-0008-0000-1300-00000D000000}"/>
                </a:ext>
              </a:extLst>
            </xdr:cNvPr>
            <xdr:cNvSpPr/>
          </xdr:nvSpPr>
          <xdr:spPr>
            <a:xfrm>
              <a:off x="7454164" y="14232094"/>
              <a:ext cx="457200" cy="228600"/>
            </a:xfrm>
            <a:prstGeom prst="roundRect">
              <a:avLst/>
            </a:prstGeom>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9891F076-C0C0-4DEF-977F-E7853BC8AD83}" type="TxLink">
                <a:rPr lang="en-US" sz="1050" b="0"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$0,0 </a:t>
              </a:fld>
              <a:endParaRPr lang="en-US" sz="600" b="0" kern="1200" cap="none" spc="0">
                <a:ln w="0"/>
                <a:effectLst>
                  <a:outerShdw blurRad="38100" dist="19050" dir="2700000" algn="tl" rotWithShape="0">
                    <a:schemeClr val="dk1">
                      <a:alpha val="40000"/>
                    </a:schemeClr>
                  </a:outerShdw>
                </a:effectLst>
              </a:endParaRPr>
            </a:p>
          </xdr:txBody>
        </xdr:sp>
        <xdr:sp macro="" textlink="$G$58">
          <xdr:nvSpPr>
            <xdr:cNvPr id="14" name="Freeform: Shape 36">
              <a:extLst>
                <a:ext uri="{FF2B5EF4-FFF2-40B4-BE49-F238E27FC236}">
                  <a16:creationId xmlns:a16="http://schemas.microsoft.com/office/drawing/2014/main" id="{00000000-0008-0000-1300-00000E000000}"/>
                </a:ext>
              </a:extLst>
            </xdr:cNvPr>
            <xdr:cNvSpPr/>
          </xdr:nvSpPr>
          <xdr:spPr>
            <a:xfrm>
              <a:off x="8011118" y="14238010"/>
              <a:ext cx="457200" cy="228601"/>
            </a:xfrm>
            <a:prstGeom prst="roundRect">
              <a:avLst/>
            </a:prstGeom>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64252BDB-8C50-4E5F-8034-A7EB43ABD86A}" type="TxLink">
                <a:rPr lang="en-US" sz="1050" b="0"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$0,0 </a:t>
              </a:fld>
              <a:endParaRPr lang="en-US" sz="600" b="0" kern="1200" cap="none" spc="0">
                <a:ln w="0"/>
                <a:effectLst>
                  <a:outerShdw blurRad="38100" dist="19050" dir="2700000" algn="tl" rotWithShape="0">
                    <a:schemeClr val="dk1">
                      <a:alpha val="40000"/>
                    </a:schemeClr>
                  </a:outerShdw>
                </a:effectLst>
              </a:endParaRPr>
            </a:p>
          </xdr:txBody>
        </xdr:sp>
        <xdr:sp macro="" textlink="$G$61">
          <xdr:nvSpPr>
            <xdr:cNvPr id="15" name="Freeform: Shape 36">
              <a:extLst>
                <a:ext uri="{FF2B5EF4-FFF2-40B4-BE49-F238E27FC236}">
                  <a16:creationId xmlns:a16="http://schemas.microsoft.com/office/drawing/2014/main" id="{00000000-0008-0000-1300-00000F000000}"/>
                </a:ext>
              </a:extLst>
            </xdr:cNvPr>
            <xdr:cNvSpPr/>
          </xdr:nvSpPr>
          <xdr:spPr>
            <a:xfrm>
              <a:off x="9525206" y="14227241"/>
              <a:ext cx="457200" cy="228601"/>
            </a:xfrm>
            <a:prstGeom prst="roundRect">
              <a:avLst/>
            </a:prstGeom>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6DE1A38F-3F07-4F30-8490-F76BF4970BEB}" type="TxLink">
                <a:rPr lang="en-US" sz="1050" b="0"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$8,4 </a:t>
              </a:fld>
              <a:endParaRPr lang="en-US" sz="600" b="0" kern="1200" cap="none" spc="0">
                <a:ln w="0"/>
                <a:effectLst>
                  <a:outerShdw blurRad="38100" dist="19050" dir="2700000" algn="tl" rotWithShape="0">
                    <a:schemeClr val="dk1">
                      <a:alpha val="40000"/>
                    </a:schemeClr>
                  </a:outerShdw>
                </a:effectLst>
              </a:endParaRPr>
            </a:p>
          </xdr:txBody>
        </xdr:sp>
        <xdr:sp macro="" textlink="$G$46">
          <xdr:nvSpPr>
            <xdr:cNvPr id="16" name="Freeform: Shape 36">
              <a:extLst>
                <a:ext uri="{FF2B5EF4-FFF2-40B4-BE49-F238E27FC236}">
                  <a16:creationId xmlns:a16="http://schemas.microsoft.com/office/drawing/2014/main" id="{00000000-0008-0000-1300-000010000000}"/>
                </a:ext>
              </a:extLst>
            </xdr:cNvPr>
            <xdr:cNvSpPr/>
          </xdr:nvSpPr>
          <xdr:spPr>
            <a:xfrm>
              <a:off x="1846791" y="14231220"/>
              <a:ext cx="457200" cy="228601"/>
            </a:xfrm>
            <a:prstGeom prst="roundRect">
              <a:avLst/>
            </a:prstGeom>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02FAFD46-02EA-470A-99FD-B5327F7C99F4}" type="TxLink">
                <a:rPr lang="en-US" sz="1100" b="0"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$20,8 </a:t>
              </a:fld>
              <a:endParaRPr lang="en-US" sz="600" b="0" kern="1200" cap="none" spc="0">
                <a:ln w="0"/>
                <a:effectLst>
                  <a:outerShdw blurRad="38100" dist="19050" dir="2700000" algn="tl" rotWithShape="0">
                    <a:schemeClr val="dk1">
                      <a:alpha val="40000"/>
                    </a:schemeClr>
                  </a:outerShdw>
                </a:effectLst>
              </a:endParaRPr>
            </a:p>
          </xdr:txBody>
        </xdr:sp>
        <xdr:sp macro="" textlink="$G$45">
          <xdr:nvSpPr>
            <xdr:cNvPr id="17" name="Freeform: Shape 36">
              <a:extLst>
                <a:ext uri="{FF2B5EF4-FFF2-40B4-BE49-F238E27FC236}">
                  <a16:creationId xmlns:a16="http://schemas.microsoft.com/office/drawing/2014/main" id="{00000000-0008-0000-1300-000011000000}"/>
                </a:ext>
              </a:extLst>
            </xdr:cNvPr>
            <xdr:cNvSpPr/>
          </xdr:nvSpPr>
          <xdr:spPr>
            <a:xfrm>
              <a:off x="1305332" y="14229269"/>
              <a:ext cx="457200" cy="228601"/>
            </a:xfrm>
            <a:prstGeom prst="roundRect">
              <a:avLst/>
            </a:prstGeom>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AF59728F-4654-47ED-B73D-F563AE8A8930}" type="TxLink">
                <a:rPr lang="en-US" sz="1100" b="0"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$30,6 </a:t>
              </a:fld>
              <a:endParaRPr lang="en-US" sz="600" b="0" kern="1200" cap="none" spc="0">
                <a:ln w="0"/>
                <a:effectLst>
                  <a:outerShdw blurRad="38100" dist="19050" dir="2700000" algn="tl" rotWithShape="0">
                    <a:schemeClr val="dk1">
                      <a:alpha val="40000"/>
                    </a:schemeClr>
                  </a:outerShdw>
                </a:effectLst>
              </a:endParaRPr>
            </a:p>
          </xdr:txBody>
        </xdr:sp>
        <xdr:sp macro="" textlink="$G$47">
          <xdr:nvSpPr>
            <xdr:cNvPr id="49" name="Freeform: Shape 36">
              <a:extLst>
                <a:ext uri="{FF2B5EF4-FFF2-40B4-BE49-F238E27FC236}">
                  <a16:creationId xmlns:a16="http://schemas.microsoft.com/office/drawing/2014/main" id="{00000000-0008-0000-1300-000031000000}"/>
                </a:ext>
              </a:extLst>
            </xdr:cNvPr>
            <xdr:cNvSpPr/>
          </xdr:nvSpPr>
          <xdr:spPr>
            <a:xfrm>
              <a:off x="2403441" y="14229553"/>
              <a:ext cx="457200" cy="228601"/>
            </a:xfrm>
            <a:prstGeom prst="roundRect">
              <a:avLst/>
            </a:prstGeom>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DAB29E5D-9238-4C96-88B1-9FA8ED1F5460}" type="TxLink">
                <a:rPr lang="en-US" sz="1100" b="0"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$4,0 </a:t>
              </a:fld>
              <a:endParaRPr lang="en-US" sz="700" b="0" kern="1200" cap="none" spc="0">
                <a:ln w="0"/>
                <a:effectLst>
                  <a:outerShdw blurRad="38100" dist="19050" dir="2700000" algn="tl" rotWithShape="0">
                    <a:schemeClr val="dk1">
                      <a:alpha val="40000"/>
                    </a:schemeClr>
                  </a:outerShdw>
                </a:effectLst>
              </a:endParaRPr>
            </a:p>
          </xdr:txBody>
        </xdr:sp>
        <xdr:sp macro="" textlink="$G$59">
          <xdr:nvSpPr>
            <xdr:cNvPr id="52" name="Freeform: Shape 36">
              <a:extLst>
                <a:ext uri="{FF2B5EF4-FFF2-40B4-BE49-F238E27FC236}">
                  <a16:creationId xmlns:a16="http://schemas.microsoft.com/office/drawing/2014/main" id="{00000000-0008-0000-1300-000034000000}"/>
                </a:ext>
              </a:extLst>
            </xdr:cNvPr>
            <xdr:cNvSpPr/>
          </xdr:nvSpPr>
          <xdr:spPr>
            <a:xfrm>
              <a:off x="8560041" y="14231156"/>
              <a:ext cx="457200" cy="228601"/>
            </a:xfrm>
            <a:prstGeom prst="roundRect">
              <a:avLst/>
            </a:prstGeom>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836643F9-AC1B-445F-88A5-EAD6C69EEEC6}" type="TxLink">
                <a:rPr lang="en-US" sz="1050" b="0"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$6,7 </a:t>
              </a:fld>
              <a:endParaRPr lang="en-US" sz="700" b="0" kern="1200" cap="none" spc="0">
                <a:ln w="0"/>
                <a:effectLst>
                  <a:outerShdw blurRad="38100" dist="19050" dir="2700000" algn="tl" rotWithShape="0">
                    <a:schemeClr val="dk1">
                      <a:alpha val="40000"/>
                    </a:schemeClr>
                  </a:outerShdw>
                </a:effectLst>
              </a:endParaRPr>
            </a:p>
          </xdr:txBody>
        </xdr:sp>
        <xdr:sp macro="" textlink="$G$54">
          <xdr:nvSpPr>
            <xdr:cNvPr id="62" name="Freeform: Shape 36">
              <a:extLst>
                <a:ext uri="{FF2B5EF4-FFF2-40B4-BE49-F238E27FC236}">
                  <a16:creationId xmlns:a16="http://schemas.microsoft.com/office/drawing/2014/main" id="{00000000-0008-0000-1300-00003E000000}"/>
                </a:ext>
              </a:extLst>
            </xdr:cNvPr>
            <xdr:cNvSpPr/>
          </xdr:nvSpPr>
          <xdr:spPr>
            <a:xfrm>
              <a:off x="5988227" y="14220012"/>
              <a:ext cx="457200" cy="228600"/>
            </a:xfrm>
            <a:prstGeom prst="roundRect">
              <a:avLst/>
            </a:prstGeom>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4C8012D3-B716-4DF5-89D7-759047DAF543}" type="TxLink">
                <a:rPr lang="en-US" sz="1050" b="0"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$3,1 </a:t>
              </a:fld>
              <a:endParaRPr lang="en-US" sz="300" b="0" kern="1200" cap="none" spc="0">
                <a:ln w="0"/>
                <a:effectLst>
                  <a:outerShdw blurRad="38100" dist="19050" dir="2700000" algn="tl" rotWithShape="0">
                    <a:schemeClr val="dk1">
                      <a:alpha val="40000"/>
                    </a:schemeClr>
                  </a:outerShdw>
                </a:effectLst>
              </a:endParaRPr>
            </a:p>
          </xdr:txBody>
        </xdr:sp>
        <xdr:sp macro="" textlink="$G$55">
          <xdr:nvSpPr>
            <xdr:cNvPr id="64" name="Freeform: Shape 36">
              <a:extLst>
                <a:ext uri="{FF2B5EF4-FFF2-40B4-BE49-F238E27FC236}">
                  <a16:creationId xmlns:a16="http://schemas.microsoft.com/office/drawing/2014/main" id="{00000000-0008-0000-1300-000040000000}"/>
                </a:ext>
              </a:extLst>
            </xdr:cNvPr>
            <xdr:cNvSpPr/>
          </xdr:nvSpPr>
          <xdr:spPr>
            <a:xfrm>
              <a:off x="6520400" y="14220130"/>
              <a:ext cx="457200" cy="228600"/>
            </a:xfrm>
            <a:prstGeom prst="roundRect">
              <a:avLst/>
            </a:prstGeom>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EDD5B4E1-7B33-4B26-8B42-84B22D82F8A5}" type="TxLink">
                <a:rPr lang="en-US" sz="1050" b="0"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$0,0 </a:t>
              </a:fld>
              <a:endParaRPr lang="en-US" sz="600" b="0" kern="1200" cap="none" spc="0">
                <a:ln w="0"/>
                <a:effectLst>
                  <a:outerShdw blurRad="38100" dist="19050" dir="2700000" algn="tl" rotWithShape="0">
                    <a:schemeClr val="dk1">
                      <a:alpha val="40000"/>
                    </a:schemeClr>
                  </a:outerShdw>
                </a:effectLst>
              </a:endParaRPr>
            </a:p>
          </xdr:txBody>
        </xdr:sp>
        <xdr:sp macro="" textlink="$G$48">
          <xdr:nvSpPr>
            <xdr:cNvPr id="36" name="Freeform: Shape 36">
              <a:extLst>
                <a:ext uri="{FF2B5EF4-FFF2-40B4-BE49-F238E27FC236}">
                  <a16:creationId xmlns:a16="http://schemas.microsoft.com/office/drawing/2014/main" id="{00000000-0008-0000-1300-000024000000}"/>
                </a:ext>
              </a:extLst>
            </xdr:cNvPr>
            <xdr:cNvSpPr/>
          </xdr:nvSpPr>
          <xdr:spPr>
            <a:xfrm>
              <a:off x="2954038" y="14230770"/>
              <a:ext cx="457200" cy="228600"/>
            </a:xfrm>
            <a:prstGeom prst="roundRect">
              <a:avLst/>
            </a:prstGeom>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2283921C-27CA-4248-9774-7D28AA06A355}" type="TxLink">
                <a:rPr lang="en-US" sz="1100" b="0"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$2,3 </a:t>
              </a:fld>
              <a:endParaRPr lang="en-US" sz="700" b="0" kern="1200" cap="none" spc="0">
                <a:ln w="0"/>
                <a:effectLst>
                  <a:outerShdw blurRad="38100" dist="19050" dir="2700000" algn="tl" rotWithShape="0">
                    <a:schemeClr val="dk1">
                      <a:alpha val="40000"/>
                    </a:schemeClr>
                  </a:outerShdw>
                </a:effectLst>
              </a:endParaRPr>
            </a:p>
          </xdr:txBody>
        </xdr:sp>
      </xdr:grpSp>
      <xdr:sp macro="" textlink="$G$60">
        <xdr:nvSpPr>
          <xdr:cNvPr id="5" name="Freeform: Shape 36">
            <a:extLst>
              <a:ext uri="{FF2B5EF4-FFF2-40B4-BE49-F238E27FC236}">
                <a16:creationId xmlns:a16="http://schemas.microsoft.com/office/drawing/2014/main" id="{3545B160-9863-4A0D-862E-E0CD279D0E40}"/>
              </a:ext>
            </a:extLst>
          </xdr:cNvPr>
          <xdr:cNvSpPr/>
        </xdr:nvSpPr>
        <xdr:spPr>
          <a:xfrm>
            <a:off x="11574051" y="14744558"/>
            <a:ext cx="485160" cy="205770"/>
          </a:xfrm>
          <a:prstGeom prst="roundRect">
            <a:avLst/>
          </a:prstGeom>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A0A2221D-46E0-4DC9-A2CA-66208B3D6FDC}" type="TxLink">
              <a:rPr lang="en-US" sz="1100" b="0"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$5,4 </a:t>
            </a:fld>
            <a:endParaRPr lang="en-US" sz="600" b="0" kern="1200" cap="none" spc="0">
              <a:ln w="0"/>
              <a:effectLst>
                <a:outerShdw blurRad="38100" dist="19050" dir="2700000" algn="tl" rotWithShape="0">
                  <a:schemeClr val="dk1">
                    <a:alpha val="40000"/>
                  </a:schemeClr>
                </a:outerShdw>
              </a:effectLst>
            </a:endParaRPr>
          </a:p>
        </xdr:txBody>
      </xdr:sp>
    </xdr:grpSp>
    <xdr:clientData/>
  </xdr:twoCellAnchor>
  <xdr:twoCellAnchor>
    <xdr:from>
      <xdr:col>2</xdr:col>
      <xdr:colOff>1055006</xdr:colOff>
      <xdr:row>88</xdr:row>
      <xdr:rowOff>63724</xdr:rowOff>
    </xdr:from>
    <xdr:to>
      <xdr:col>9</xdr:col>
      <xdr:colOff>11061</xdr:colOff>
      <xdr:row>89</xdr:row>
      <xdr:rowOff>130786</xdr:rowOff>
    </xdr:to>
    <xdr:grpSp>
      <xdr:nvGrpSpPr>
        <xdr:cNvPr id="18" name="Group 17">
          <a:extLst>
            <a:ext uri="{FF2B5EF4-FFF2-40B4-BE49-F238E27FC236}">
              <a16:creationId xmlns:a16="http://schemas.microsoft.com/office/drawing/2014/main" id="{CE5F72AB-E9DE-6B03-71A5-6DA6FFE7B437}"/>
            </a:ext>
          </a:extLst>
        </xdr:cNvPr>
        <xdr:cNvGrpSpPr/>
      </xdr:nvGrpSpPr>
      <xdr:grpSpPr>
        <a:xfrm>
          <a:off x="2085947" y="12381230"/>
          <a:ext cx="8951702" cy="246356"/>
          <a:chOff x="1839418" y="15270106"/>
          <a:chExt cx="10879114" cy="246356"/>
        </a:xfrm>
      </xdr:grpSpPr>
      <xdr:grpSp>
        <xdr:nvGrpSpPr>
          <xdr:cNvPr id="6" name="Group 5">
            <a:extLst>
              <a:ext uri="{FF2B5EF4-FFF2-40B4-BE49-F238E27FC236}">
                <a16:creationId xmlns:a16="http://schemas.microsoft.com/office/drawing/2014/main" id="{00000000-0008-0000-1300-000006000000}"/>
              </a:ext>
            </a:extLst>
          </xdr:cNvPr>
          <xdr:cNvGrpSpPr/>
        </xdr:nvGrpSpPr>
        <xdr:grpSpPr>
          <a:xfrm>
            <a:off x="1842593" y="15270106"/>
            <a:ext cx="10872764" cy="246356"/>
            <a:chOff x="1335864" y="14514136"/>
            <a:chExt cx="8619019" cy="246104"/>
          </a:xfrm>
        </xdr:grpSpPr>
        <xdr:sp macro="" textlink="$N$46">
          <xdr:nvSpPr>
            <xdr:cNvPr id="53" name="Freeform: Shape 36">
              <a:extLst>
                <a:ext uri="{FF2B5EF4-FFF2-40B4-BE49-F238E27FC236}">
                  <a16:creationId xmlns:a16="http://schemas.microsoft.com/office/drawing/2014/main" id="{00000000-0008-0000-1300-000035000000}"/>
                </a:ext>
              </a:extLst>
            </xdr:cNvPr>
            <xdr:cNvSpPr/>
          </xdr:nvSpPr>
          <xdr:spPr>
            <a:xfrm>
              <a:off x="1895918" y="14525723"/>
              <a:ext cx="365760" cy="228600"/>
            </a:xfrm>
            <a:prstGeom prst="roundRect">
              <a:avLst/>
            </a:prstGeom>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E2DE3C5A-DE12-492F-AD03-88323D76A6F2}" type="TxLink">
                <a:rPr lang="en-US" sz="1050" b="1"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14%</a:t>
              </a:fld>
              <a:endParaRPr lang="en-US" sz="700" b="0" kern="1200" cap="none" spc="0">
                <a:ln w="0"/>
                <a:effectLst>
                  <a:outerShdw blurRad="38100" dist="19050" dir="2700000" algn="tl" rotWithShape="0">
                    <a:schemeClr val="dk1">
                      <a:alpha val="40000"/>
                    </a:schemeClr>
                  </a:outerShdw>
                </a:effectLst>
              </a:endParaRPr>
            </a:p>
          </xdr:txBody>
        </xdr:sp>
        <xdr:sp macro="" textlink="$N$48">
          <xdr:nvSpPr>
            <xdr:cNvPr id="21" name="Freeform: Shape 36">
              <a:extLst>
                <a:ext uri="{FF2B5EF4-FFF2-40B4-BE49-F238E27FC236}">
                  <a16:creationId xmlns:a16="http://schemas.microsoft.com/office/drawing/2014/main" id="{00000000-0008-0000-1300-000015000000}"/>
                </a:ext>
              </a:extLst>
            </xdr:cNvPr>
            <xdr:cNvSpPr/>
          </xdr:nvSpPr>
          <xdr:spPr>
            <a:xfrm>
              <a:off x="2958030" y="14530698"/>
              <a:ext cx="365760" cy="228600"/>
            </a:xfrm>
            <a:prstGeom prst="roundRect">
              <a:avLst/>
            </a:prstGeom>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5ABB8D15-93DB-45F0-BE93-31FD03931392}" type="TxLink">
                <a:rPr lang="en-US" sz="1050" b="1"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1%</a:t>
              </a:fld>
              <a:endParaRPr lang="en-US" sz="700" b="0" kern="1200" cap="none" spc="0">
                <a:ln w="0"/>
                <a:effectLst>
                  <a:outerShdw blurRad="38100" dist="19050" dir="2700000" algn="tl" rotWithShape="0">
                    <a:schemeClr val="dk1">
                      <a:alpha val="40000"/>
                    </a:schemeClr>
                  </a:outerShdw>
                </a:effectLst>
              </a:endParaRPr>
            </a:p>
          </xdr:txBody>
        </xdr:sp>
        <xdr:sp macro="" textlink="$N$50">
          <xdr:nvSpPr>
            <xdr:cNvPr id="23" name="Freeform: Shape 36">
              <a:extLst>
                <a:ext uri="{FF2B5EF4-FFF2-40B4-BE49-F238E27FC236}">
                  <a16:creationId xmlns:a16="http://schemas.microsoft.com/office/drawing/2014/main" id="{00000000-0008-0000-1300-000017000000}"/>
                </a:ext>
              </a:extLst>
            </xdr:cNvPr>
            <xdr:cNvSpPr/>
          </xdr:nvSpPr>
          <xdr:spPr>
            <a:xfrm>
              <a:off x="4026247" y="14514321"/>
              <a:ext cx="365760" cy="228600"/>
            </a:xfrm>
            <a:prstGeom prst="roundRect">
              <a:avLst/>
            </a:prstGeom>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52CFDC36-1398-4394-AC0A-20ACC0171763}" type="TxLink">
                <a:rPr lang="en-US" sz="1050" b="1"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36%</a:t>
              </a:fld>
              <a:endParaRPr lang="en-US" sz="700" b="0" kern="1200" cap="none" spc="0">
                <a:ln w="0"/>
                <a:effectLst>
                  <a:outerShdw blurRad="38100" dist="19050" dir="2700000" algn="tl" rotWithShape="0">
                    <a:schemeClr val="dk1">
                      <a:alpha val="40000"/>
                    </a:schemeClr>
                  </a:outerShdw>
                </a:effectLst>
              </a:endParaRPr>
            </a:p>
          </xdr:txBody>
        </xdr:sp>
        <xdr:sp macro="" textlink="$N$51">
          <xdr:nvSpPr>
            <xdr:cNvPr id="24" name="Freeform: Shape 36">
              <a:extLst>
                <a:ext uri="{FF2B5EF4-FFF2-40B4-BE49-F238E27FC236}">
                  <a16:creationId xmlns:a16="http://schemas.microsoft.com/office/drawing/2014/main" id="{00000000-0008-0000-1300-000018000000}"/>
                </a:ext>
              </a:extLst>
            </xdr:cNvPr>
            <xdr:cNvSpPr/>
          </xdr:nvSpPr>
          <xdr:spPr>
            <a:xfrm>
              <a:off x="4592990" y="14514136"/>
              <a:ext cx="365760" cy="228600"/>
            </a:xfrm>
            <a:prstGeom prst="roundRect">
              <a:avLst/>
            </a:prstGeom>
            <a:solidFill>
              <a:schemeClr val="lt1">
                <a:hueOff val="0"/>
                <a:satOff val="0"/>
                <a:lumOff val="0"/>
                <a:alpha val="99000"/>
              </a:schemeClr>
            </a:solidFill>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DCD38BBC-0A9B-415B-BC1C-B1ECAD3E46D0}" type="TxLink">
                <a:rPr lang="en-US" sz="1050" b="1"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3%</a:t>
              </a:fld>
              <a:endParaRPr lang="en-US" sz="700" b="0" kern="1200" cap="none" spc="0">
                <a:ln w="0"/>
                <a:effectLst>
                  <a:outerShdw blurRad="38100" dist="19050" dir="2700000" algn="tl" rotWithShape="0">
                    <a:schemeClr val="dk1">
                      <a:alpha val="40000"/>
                    </a:schemeClr>
                  </a:outerShdw>
                </a:effectLst>
              </a:endParaRPr>
            </a:p>
          </xdr:txBody>
        </xdr:sp>
        <xdr:sp macro="" textlink="$N$53">
          <xdr:nvSpPr>
            <xdr:cNvPr id="25" name="Freeform: Shape 36">
              <a:extLst>
                <a:ext uri="{FF2B5EF4-FFF2-40B4-BE49-F238E27FC236}">
                  <a16:creationId xmlns:a16="http://schemas.microsoft.com/office/drawing/2014/main" id="{00000000-0008-0000-1300-000019000000}"/>
                </a:ext>
              </a:extLst>
            </xdr:cNvPr>
            <xdr:cNvSpPr/>
          </xdr:nvSpPr>
          <xdr:spPr>
            <a:xfrm>
              <a:off x="5469497" y="14525483"/>
              <a:ext cx="365760" cy="228600"/>
            </a:xfrm>
            <a:prstGeom prst="roundRect">
              <a:avLst/>
            </a:prstGeom>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525534EE-99F8-44F8-8AE8-CE6839F36C4D}" type="TxLink">
                <a:rPr lang="en-US" sz="1050" b="1"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7%</a:t>
              </a:fld>
              <a:endParaRPr lang="en-US" sz="700" b="0" kern="1200" cap="none" spc="0">
                <a:ln w="0"/>
                <a:effectLst>
                  <a:outerShdw blurRad="38100" dist="19050" dir="2700000" algn="tl" rotWithShape="0">
                    <a:schemeClr val="dk1">
                      <a:alpha val="40000"/>
                    </a:schemeClr>
                  </a:outerShdw>
                </a:effectLst>
              </a:endParaRPr>
            </a:p>
          </xdr:txBody>
        </xdr:sp>
        <xdr:sp macro="" textlink="$N$57">
          <xdr:nvSpPr>
            <xdr:cNvPr id="27" name="Freeform: Shape 36">
              <a:extLst>
                <a:ext uri="{FF2B5EF4-FFF2-40B4-BE49-F238E27FC236}">
                  <a16:creationId xmlns:a16="http://schemas.microsoft.com/office/drawing/2014/main" id="{00000000-0008-0000-1300-00001B000000}"/>
                </a:ext>
              </a:extLst>
            </xdr:cNvPr>
            <xdr:cNvSpPr/>
          </xdr:nvSpPr>
          <xdr:spPr>
            <a:xfrm>
              <a:off x="7490649" y="14525373"/>
              <a:ext cx="365760" cy="228600"/>
            </a:xfrm>
            <a:prstGeom prst="roundRect">
              <a:avLst/>
            </a:prstGeom>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D0411484-6286-45CE-8B82-E3BDAEFE9251}" type="TxLink">
                <a:rPr lang="en-US" sz="1050" b="1"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0%</a:t>
              </a:fld>
              <a:endParaRPr lang="en-US" sz="700" b="0" kern="1200" cap="none" spc="0">
                <a:ln w="0"/>
                <a:effectLst>
                  <a:outerShdw blurRad="38100" dist="19050" dir="2700000" algn="tl" rotWithShape="0">
                    <a:schemeClr val="dk1">
                      <a:alpha val="40000"/>
                    </a:schemeClr>
                  </a:outerShdw>
                </a:effectLst>
              </a:endParaRPr>
            </a:p>
          </xdr:txBody>
        </xdr:sp>
        <xdr:sp macro="" textlink="$N$58">
          <xdr:nvSpPr>
            <xdr:cNvPr id="28" name="Freeform: Shape 36">
              <a:extLst>
                <a:ext uri="{FF2B5EF4-FFF2-40B4-BE49-F238E27FC236}">
                  <a16:creationId xmlns:a16="http://schemas.microsoft.com/office/drawing/2014/main" id="{00000000-0008-0000-1300-00001C000000}"/>
                </a:ext>
              </a:extLst>
            </xdr:cNvPr>
            <xdr:cNvSpPr/>
          </xdr:nvSpPr>
          <xdr:spPr>
            <a:xfrm>
              <a:off x="8059125" y="14523315"/>
              <a:ext cx="365760" cy="228600"/>
            </a:xfrm>
            <a:prstGeom prst="roundRect">
              <a:avLst/>
            </a:prstGeom>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1D6ED948-AB3F-4E83-BAFF-F3E46F9646E4}" type="TxLink">
                <a:rPr lang="en-US" sz="1050" b="1"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0%</a:t>
              </a:fld>
              <a:endParaRPr lang="en-US" sz="700" b="0" kern="1200" cap="none" spc="0">
                <a:ln w="0"/>
                <a:effectLst>
                  <a:outerShdw blurRad="38100" dist="19050" dir="2700000" algn="tl" rotWithShape="0">
                    <a:schemeClr val="dk1">
                      <a:alpha val="40000"/>
                    </a:schemeClr>
                  </a:outerShdw>
                </a:effectLst>
              </a:endParaRPr>
            </a:p>
          </xdr:txBody>
        </xdr:sp>
        <xdr:sp macro="" textlink="$N$47">
          <xdr:nvSpPr>
            <xdr:cNvPr id="29" name="Freeform: Shape 36">
              <a:extLst>
                <a:ext uri="{FF2B5EF4-FFF2-40B4-BE49-F238E27FC236}">
                  <a16:creationId xmlns:a16="http://schemas.microsoft.com/office/drawing/2014/main" id="{00000000-0008-0000-1300-00001D000000}"/>
                </a:ext>
              </a:extLst>
            </xdr:cNvPr>
            <xdr:cNvSpPr/>
          </xdr:nvSpPr>
          <xdr:spPr>
            <a:xfrm>
              <a:off x="2448872" y="14527113"/>
              <a:ext cx="365760" cy="228600"/>
            </a:xfrm>
            <a:prstGeom prst="roundRect">
              <a:avLst/>
            </a:prstGeom>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24F4CB17-FF36-472F-9616-AA492B0656C4}" type="TxLink">
                <a:rPr lang="en-US" sz="1050" b="1"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3%</a:t>
              </a:fld>
              <a:endParaRPr lang="en-US" sz="700" b="0" kern="1200" cap="none" spc="0">
                <a:ln w="0"/>
                <a:effectLst>
                  <a:outerShdw blurRad="38100" dist="19050" dir="2700000" algn="tl" rotWithShape="0">
                    <a:schemeClr val="dk1">
                      <a:alpha val="40000"/>
                    </a:schemeClr>
                  </a:outerShdw>
                </a:effectLst>
              </a:endParaRPr>
            </a:p>
          </xdr:txBody>
        </xdr:sp>
        <xdr:sp macro="" textlink="$N$45">
          <xdr:nvSpPr>
            <xdr:cNvPr id="30" name="Freeform: Shape 36">
              <a:extLst>
                <a:ext uri="{FF2B5EF4-FFF2-40B4-BE49-F238E27FC236}">
                  <a16:creationId xmlns:a16="http://schemas.microsoft.com/office/drawing/2014/main" id="{00000000-0008-0000-1300-00001E000000}"/>
                </a:ext>
              </a:extLst>
            </xdr:cNvPr>
            <xdr:cNvSpPr/>
          </xdr:nvSpPr>
          <xdr:spPr>
            <a:xfrm>
              <a:off x="1335864" y="14528371"/>
              <a:ext cx="365760" cy="228600"/>
            </a:xfrm>
            <a:prstGeom prst="roundRect">
              <a:avLst/>
            </a:prstGeom>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4C4AEC68-9D01-4C11-B728-D8CDC42499DC}" type="TxLink">
                <a:rPr lang="en-US" sz="1050" b="1"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20%</a:t>
              </a:fld>
              <a:endParaRPr lang="en-US" sz="700" b="0" kern="1200" cap="none" spc="0">
                <a:ln w="0"/>
                <a:effectLst>
                  <a:outerShdw blurRad="38100" dist="19050" dir="2700000" algn="tl" rotWithShape="0">
                    <a:schemeClr val="dk1">
                      <a:alpha val="40000"/>
                    </a:schemeClr>
                  </a:outerShdw>
                </a:effectLst>
              </a:endParaRPr>
            </a:p>
          </xdr:txBody>
        </xdr:sp>
        <xdr:sp macro="" textlink="$N$59">
          <xdr:nvSpPr>
            <xdr:cNvPr id="31" name="Freeform: Shape 36">
              <a:extLst>
                <a:ext uri="{FF2B5EF4-FFF2-40B4-BE49-F238E27FC236}">
                  <a16:creationId xmlns:a16="http://schemas.microsoft.com/office/drawing/2014/main" id="{00000000-0008-0000-1300-00001F000000}"/>
                </a:ext>
              </a:extLst>
            </xdr:cNvPr>
            <xdr:cNvSpPr/>
          </xdr:nvSpPr>
          <xdr:spPr>
            <a:xfrm>
              <a:off x="8595135" y="14527141"/>
              <a:ext cx="365760" cy="228600"/>
            </a:xfrm>
            <a:prstGeom prst="roundRect">
              <a:avLst/>
            </a:prstGeom>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A1832D21-ABE8-4AED-BFA2-6625C1BED284}" type="TxLink">
                <a:rPr lang="en-US" sz="1050" b="1"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4%</a:t>
              </a:fld>
              <a:endParaRPr lang="en-US" sz="700" b="0" kern="1200" cap="none" spc="0">
                <a:ln w="0"/>
                <a:effectLst>
                  <a:outerShdw blurRad="38100" dist="19050" dir="2700000" algn="tl" rotWithShape="0">
                    <a:schemeClr val="dk1">
                      <a:alpha val="40000"/>
                    </a:schemeClr>
                  </a:outerShdw>
                </a:effectLst>
              </a:endParaRPr>
            </a:p>
          </xdr:txBody>
        </xdr:sp>
        <xdr:sp macro="" textlink="$N$61">
          <xdr:nvSpPr>
            <xdr:cNvPr id="60" name="Freeform: Shape 36">
              <a:extLst>
                <a:ext uri="{FF2B5EF4-FFF2-40B4-BE49-F238E27FC236}">
                  <a16:creationId xmlns:a16="http://schemas.microsoft.com/office/drawing/2014/main" id="{00000000-0008-0000-1300-00003C000000}"/>
                </a:ext>
              </a:extLst>
            </xdr:cNvPr>
            <xdr:cNvSpPr/>
          </xdr:nvSpPr>
          <xdr:spPr>
            <a:xfrm>
              <a:off x="9589123" y="14517890"/>
              <a:ext cx="365760" cy="228600"/>
            </a:xfrm>
            <a:prstGeom prst="roundRect">
              <a:avLst/>
            </a:prstGeom>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0E4C4C55-581E-4E48-B9AF-EE8A00A661F1}" type="TxLink">
                <a:rPr lang="en-US" sz="1050" b="1"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6%</a:t>
              </a:fld>
              <a:endParaRPr lang="en-US" sz="700" b="0" kern="1200" cap="none" spc="0">
                <a:ln w="0"/>
                <a:effectLst>
                  <a:outerShdw blurRad="38100" dist="19050" dir="2700000" algn="tl" rotWithShape="0">
                    <a:schemeClr val="dk1">
                      <a:alpha val="40000"/>
                    </a:schemeClr>
                  </a:outerShdw>
                </a:effectLst>
              </a:endParaRPr>
            </a:p>
          </xdr:txBody>
        </xdr:sp>
        <xdr:sp macro="" textlink="$N$54">
          <xdr:nvSpPr>
            <xdr:cNvPr id="63" name="Freeform: Shape 36">
              <a:extLst>
                <a:ext uri="{FF2B5EF4-FFF2-40B4-BE49-F238E27FC236}">
                  <a16:creationId xmlns:a16="http://schemas.microsoft.com/office/drawing/2014/main" id="{00000000-0008-0000-1300-00003F000000}"/>
                </a:ext>
              </a:extLst>
            </xdr:cNvPr>
            <xdr:cNvSpPr/>
          </xdr:nvSpPr>
          <xdr:spPr>
            <a:xfrm>
              <a:off x="6024951" y="14529661"/>
              <a:ext cx="365760" cy="228600"/>
            </a:xfrm>
            <a:prstGeom prst="roundRect">
              <a:avLst/>
            </a:prstGeom>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BE36EE58-0561-49EF-BB22-5257D9C77529}" type="TxLink">
                <a:rPr lang="en-US" sz="1050" b="1"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2%</a:t>
              </a:fld>
              <a:endParaRPr lang="en-US" sz="700" b="0" kern="1200" cap="none" spc="0">
                <a:ln w="0"/>
                <a:effectLst>
                  <a:outerShdw blurRad="38100" dist="19050" dir="2700000" algn="tl" rotWithShape="0">
                    <a:schemeClr val="dk1">
                      <a:alpha val="40000"/>
                    </a:schemeClr>
                  </a:outerShdw>
                </a:effectLst>
              </a:endParaRPr>
            </a:p>
          </xdr:txBody>
        </xdr:sp>
        <xdr:sp macro="" textlink="$N$55">
          <xdr:nvSpPr>
            <xdr:cNvPr id="68" name="Freeform: Shape 36">
              <a:extLst>
                <a:ext uri="{FF2B5EF4-FFF2-40B4-BE49-F238E27FC236}">
                  <a16:creationId xmlns:a16="http://schemas.microsoft.com/office/drawing/2014/main" id="{00000000-0008-0000-1300-000044000000}"/>
                </a:ext>
              </a:extLst>
            </xdr:cNvPr>
            <xdr:cNvSpPr/>
          </xdr:nvSpPr>
          <xdr:spPr>
            <a:xfrm>
              <a:off x="6572089" y="14531640"/>
              <a:ext cx="365760" cy="228600"/>
            </a:xfrm>
            <a:prstGeom prst="roundRect">
              <a:avLst/>
            </a:prstGeom>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74EC5925-117B-41F7-BA6F-0B400014350B}" type="TxLink">
                <a:rPr lang="en-US" sz="1050" b="1"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0%</a:t>
              </a:fld>
              <a:endParaRPr lang="en-US" sz="700" b="0" kern="1200" cap="none" spc="0">
                <a:ln w="0"/>
                <a:solidFill>
                  <a:sysClr val="windowText" lastClr="000000"/>
                </a:solidFill>
                <a:effectLst>
                  <a:outerShdw blurRad="38100" dist="19050" dir="2700000" algn="tl" rotWithShape="0">
                    <a:schemeClr val="dk1">
                      <a:alpha val="40000"/>
                    </a:schemeClr>
                  </a:outerShdw>
                </a:effectLst>
              </a:endParaRPr>
            </a:p>
          </xdr:txBody>
        </xdr:sp>
      </xdr:grpSp>
      <xdr:sp macro="" textlink="$N$60">
        <xdr:nvSpPr>
          <xdr:cNvPr id="7" name="Freeform: Shape 36">
            <a:extLst>
              <a:ext uri="{FF2B5EF4-FFF2-40B4-BE49-F238E27FC236}">
                <a16:creationId xmlns:a16="http://schemas.microsoft.com/office/drawing/2014/main" id="{46A9B689-46E3-4BB5-AB2B-511E4AAB4749}"/>
              </a:ext>
            </a:extLst>
          </xdr:cNvPr>
          <xdr:cNvSpPr/>
        </xdr:nvSpPr>
        <xdr:spPr>
          <a:xfrm>
            <a:off x="11672033" y="15270106"/>
            <a:ext cx="404520" cy="232235"/>
          </a:xfrm>
          <a:prstGeom prst="roundRect">
            <a:avLst/>
          </a:prstGeom>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B576B06A-B35E-4850-BCB5-E75762B6E4E2}" type="TxLink">
              <a:rPr lang="en-US" sz="1100" b="1" i="0" u="none" strike="noStrike" kern="1200" cap="none" spc="0">
                <a:ln w="0"/>
                <a:solidFill>
                  <a:srgbClr val="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4%</a:t>
            </a:fld>
            <a:endParaRPr lang="en-US" sz="700" b="0" kern="1200" cap="none" spc="0">
              <a:ln w="0"/>
              <a:effectLst>
                <a:outerShdw blurRad="38100" dist="19050" dir="2700000" algn="tl" rotWithShape="0">
                  <a:schemeClr val="dk1">
                    <a:alpha val="40000"/>
                  </a:schemeClr>
                </a:outerShdw>
              </a:effectLst>
            </a:endParaRPr>
          </a:p>
        </xdr:txBody>
      </xdr:sp>
    </xdr:grpSp>
    <xdr:clientData/>
  </xdr:twoCellAnchor>
  <xdr:twoCellAnchor editAs="oneCell">
    <xdr:from>
      <xdr:col>11</xdr:col>
      <xdr:colOff>493059</xdr:colOff>
      <xdr:row>90</xdr:row>
      <xdr:rowOff>156882</xdr:rowOff>
    </xdr:from>
    <xdr:to>
      <xdr:col>16384</xdr:col>
      <xdr:colOff>0</xdr:colOff>
      <xdr:row>134</xdr:row>
      <xdr:rowOff>76868</xdr:rowOff>
    </xdr:to>
    <xdr:graphicFrame macro="">
      <xdr:nvGraphicFramePr>
        <xdr:cNvPr id="4" name="Chart 3">
          <a:extLst>
            <a:ext uri="{FF2B5EF4-FFF2-40B4-BE49-F238E27FC236}">
              <a16:creationId xmlns:a16="http://schemas.microsoft.com/office/drawing/2014/main" id="{D8063607-7738-452C-9B50-0AB9F51C2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88129</xdr:colOff>
      <xdr:row>90</xdr:row>
      <xdr:rowOff>156882</xdr:rowOff>
    </xdr:from>
    <xdr:to>
      <xdr:col>25</xdr:col>
      <xdr:colOff>386568</xdr:colOff>
      <xdr:row>134</xdr:row>
      <xdr:rowOff>71920</xdr:rowOff>
    </xdr:to>
    <xdr:grpSp>
      <xdr:nvGrpSpPr>
        <xdr:cNvPr id="20" name="Group 19">
          <a:extLst>
            <a:ext uri="{FF2B5EF4-FFF2-40B4-BE49-F238E27FC236}">
              <a16:creationId xmlns:a16="http://schemas.microsoft.com/office/drawing/2014/main" id="{B052239C-92B9-406F-B173-F1D34B0C64E9}"/>
            </a:ext>
          </a:extLst>
        </xdr:cNvPr>
        <xdr:cNvGrpSpPr/>
      </xdr:nvGrpSpPr>
      <xdr:grpSpPr>
        <a:xfrm>
          <a:off x="19469823" y="12832976"/>
          <a:ext cx="6833710" cy="3913297"/>
          <a:chOff x="6441251" y="4857336"/>
          <a:chExt cx="6412058" cy="4113481"/>
        </a:xfrm>
      </xdr:grpSpPr>
      <xdr:graphicFrame macro="">
        <xdr:nvGraphicFramePr>
          <xdr:cNvPr id="22" name="Chart 21">
            <a:extLst>
              <a:ext uri="{FF2B5EF4-FFF2-40B4-BE49-F238E27FC236}">
                <a16:creationId xmlns:a16="http://schemas.microsoft.com/office/drawing/2014/main" id="{DECAFD9E-9EAF-963D-51CE-D50B623C7A39}"/>
              </a:ext>
            </a:extLst>
          </xdr:cNvPr>
          <xdr:cNvGraphicFramePr>
            <a:graphicFrameLocks/>
          </xdr:cNvGraphicFramePr>
        </xdr:nvGraphicFramePr>
        <xdr:xfrm>
          <a:off x="6441251" y="4864636"/>
          <a:ext cx="3208729" cy="408374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6" name="Chart 25">
            <a:extLst>
              <a:ext uri="{FF2B5EF4-FFF2-40B4-BE49-F238E27FC236}">
                <a16:creationId xmlns:a16="http://schemas.microsoft.com/office/drawing/2014/main" id="{967E75ED-4628-210D-26CB-EB7DDBA89098}"/>
              </a:ext>
            </a:extLst>
          </xdr:cNvPr>
          <xdr:cNvGraphicFramePr>
            <a:graphicFrameLocks/>
          </xdr:cNvGraphicFramePr>
        </xdr:nvGraphicFramePr>
        <xdr:xfrm>
          <a:off x="9653652" y="4857336"/>
          <a:ext cx="3199657" cy="4113481"/>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14</xdr:col>
      <xdr:colOff>376970</xdr:colOff>
      <xdr:row>197</xdr:row>
      <xdr:rowOff>46371</xdr:rowOff>
    </xdr:from>
    <xdr:to>
      <xdr:col>16384</xdr:col>
      <xdr:colOff>0</xdr:colOff>
      <xdr:row>212</xdr:row>
      <xdr:rowOff>59093</xdr:rowOff>
    </xdr:to>
    <xdr:graphicFrame macro="">
      <xdr:nvGraphicFramePr>
        <xdr:cNvPr id="32" name="Chart 31">
          <a:extLst>
            <a:ext uri="{FF2B5EF4-FFF2-40B4-BE49-F238E27FC236}">
              <a16:creationId xmlns:a16="http://schemas.microsoft.com/office/drawing/2014/main" id="{1B40824E-C1D6-4657-94F9-B246A8688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291352</xdr:colOff>
      <xdr:row>197</xdr:row>
      <xdr:rowOff>44824</xdr:rowOff>
    </xdr:from>
    <xdr:to>
      <xdr:col>16384</xdr:col>
      <xdr:colOff>0</xdr:colOff>
      <xdr:row>212</xdr:row>
      <xdr:rowOff>56329</xdr:rowOff>
    </xdr:to>
    <xdr:graphicFrame macro="">
      <xdr:nvGraphicFramePr>
        <xdr:cNvPr id="33" name="Chart 32">
          <a:extLst>
            <a:ext uri="{FF2B5EF4-FFF2-40B4-BE49-F238E27FC236}">
              <a16:creationId xmlns:a16="http://schemas.microsoft.com/office/drawing/2014/main" id="{401C9BB5-17E8-4DBC-88DF-28078D68F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27</xdr:col>
      <xdr:colOff>414006</xdr:colOff>
      <xdr:row>63</xdr:row>
      <xdr:rowOff>121227</xdr:rowOff>
    </xdr:from>
    <xdr:to>
      <xdr:col>16384</xdr:col>
      <xdr:colOff>0</xdr:colOff>
      <xdr:row>88</xdr:row>
      <xdr:rowOff>55306</xdr:rowOff>
    </xdr:to>
    <xdr:graphicFrame macro="">
      <xdr:nvGraphicFramePr>
        <xdr:cNvPr id="34" name="Chart 33">
          <a:extLst>
            <a:ext uri="{FF2B5EF4-FFF2-40B4-BE49-F238E27FC236}">
              <a16:creationId xmlns:a16="http://schemas.microsoft.com/office/drawing/2014/main" id="{1033C9EC-0B9E-4A1B-B6D1-1214BB8A7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1125682</xdr:colOff>
      <xdr:row>63</xdr:row>
      <xdr:rowOff>152340</xdr:rowOff>
    </xdr:from>
    <xdr:to>
      <xdr:col>16384</xdr:col>
      <xdr:colOff>0</xdr:colOff>
      <xdr:row>88</xdr:row>
      <xdr:rowOff>60204</xdr:rowOff>
    </xdr:to>
    <xdr:grpSp>
      <xdr:nvGrpSpPr>
        <xdr:cNvPr id="35" name="Group 44">
          <a:extLst>
            <a:ext uri="{FF2B5EF4-FFF2-40B4-BE49-F238E27FC236}">
              <a16:creationId xmlns:a16="http://schemas.microsoft.com/office/drawing/2014/main" id="{FB3DFD71-4294-4CEF-8EC8-3AE5D86C4D9F}"/>
            </a:ext>
          </a:extLst>
        </xdr:cNvPr>
        <xdr:cNvGrpSpPr/>
      </xdr:nvGrpSpPr>
      <xdr:grpSpPr>
        <a:xfrm>
          <a:off x="18373776" y="7987493"/>
          <a:ext cx="9540028718" cy="4390217"/>
          <a:chOff x="126434" y="11508066"/>
          <a:chExt cx="8757735" cy="4247699"/>
        </a:xfrm>
      </xdr:grpSpPr>
      <xdr:graphicFrame macro="">
        <xdr:nvGraphicFramePr>
          <xdr:cNvPr id="37" name="Chart 4">
            <a:extLst>
              <a:ext uri="{FF2B5EF4-FFF2-40B4-BE49-F238E27FC236}">
                <a16:creationId xmlns:a16="http://schemas.microsoft.com/office/drawing/2014/main" id="{CB0265B8-C2B8-A442-C34D-029EE7E9CCAC}"/>
              </a:ext>
            </a:extLst>
          </xdr:cNvPr>
          <xdr:cNvGraphicFramePr>
            <a:graphicFrameLocks/>
          </xdr:cNvGraphicFramePr>
        </xdr:nvGraphicFramePr>
        <xdr:xfrm>
          <a:off x="126434" y="11508066"/>
          <a:ext cx="8757735" cy="3521646"/>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38" name="Group 5">
            <a:extLst>
              <a:ext uri="{FF2B5EF4-FFF2-40B4-BE49-F238E27FC236}">
                <a16:creationId xmlns:a16="http://schemas.microsoft.com/office/drawing/2014/main" id="{0EE08F92-BB96-F7DC-1E9F-09AB4ED19C2C}"/>
              </a:ext>
            </a:extLst>
          </xdr:cNvPr>
          <xdr:cNvGrpSpPr/>
        </xdr:nvGrpSpPr>
        <xdr:grpSpPr>
          <a:xfrm>
            <a:off x="542996" y="15275603"/>
            <a:ext cx="8192533" cy="247914"/>
            <a:chOff x="1418060" y="14671563"/>
            <a:chExt cx="8579300" cy="276389"/>
          </a:xfrm>
        </xdr:grpSpPr>
        <xdr:sp macro="" textlink="'&gt;&gt;Chart'!$L$49">
          <xdr:nvSpPr>
            <xdr:cNvPr id="83" name="Freeform: Shape 36">
              <a:extLst>
                <a:ext uri="{FF2B5EF4-FFF2-40B4-BE49-F238E27FC236}">
                  <a16:creationId xmlns:a16="http://schemas.microsoft.com/office/drawing/2014/main" id="{E9587EAA-19C8-8445-4AC1-B0B63147DB99}"/>
                </a:ext>
              </a:extLst>
            </xdr:cNvPr>
            <xdr:cNvSpPr/>
          </xdr:nvSpPr>
          <xdr:spPr>
            <a:xfrm>
              <a:off x="1418060" y="14679293"/>
              <a:ext cx="2097255" cy="233620"/>
            </a:xfrm>
            <a:prstGeom prst="roundRect">
              <a:avLst/>
            </a:prstGeom>
            <a:solidFill>
              <a:schemeClr val="accent1">
                <a:lumMod val="50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9749C2AB-F82A-43AA-8542-1CEACF9D8D8F}" type="TxLink">
                <a:rPr lang="en-US" sz="1000" b="0" i="0" u="none" strike="noStrike" kern="1200" cap="none" spc="0">
                  <a:ln w="0"/>
                  <a:solidFill>
                    <a:schemeClr val="bg1"/>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$57,72 </a:t>
              </a:fld>
              <a:endParaRPr lang="en-US" sz="800" b="0" i="0" u="none" strike="noStrike" kern="1200" cap="none" spc="0">
                <a:ln w="0"/>
                <a:solidFill>
                  <a:schemeClr val="bg1"/>
                </a:solidFill>
                <a:effectLst>
                  <a:outerShdw blurRad="38100" dist="19050" dir="2700000" algn="tl" rotWithShape="0">
                    <a:schemeClr val="dk1">
                      <a:alpha val="40000"/>
                    </a:schemeClr>
                  </a:outerShdw>
                </a:effectLst>
                <a:latin typeface="Calibri"/>
                <a:cs typeface="Calibri"/>
              </a:endParaRPr>
            </a:p>
          </xdr:txBody>
        </xdr:sp>
        <xdr:sp macro="" textlink="$G$82">
          <xdr:nvSpPr>
            <xdr:cNvPr id="84" name="Freeform: Shape 36">
              <a:extLst>
                <a:ext uri="{FF2B5EF4-FFF2-40B4-BE49-F238E27FC236}">
                  <a16:creationId xmlns:a16="http://schemas.microsoft.com/office/drawing/2014/main" id="{2B50C3A3-DF0B-0460-0CFE-9828B4CFDBC0}"/>
                </a:ext>
              </a:extLst>
            </xdr:cNvPr>
            <xdr:cNvSpPr/>
          </xdr:nvSpPr>
          <xdr:spPr>
            <a:xfrm>
              <a:off x="4074269" y="14671563"/>
              <a:ext cx="951947" cy="233620"/>
            </a:xfrm>
            <a:prstGeom prst="roundRect">
              <a:avLst/>
            </a:prstGeom>
            <a:solidFill>
              <a:schemeClr val="accent1">
                <a:lumMod val="50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9D5CDEE5-E092-4ED2-9EE4-74A4ABE4BCF8}" type="TxLink">
                <a:rPr lang="en-US" sz="1100" b="0" i="0" u="none" strike="noStrike" kern="1200" cap="none" spc="0">
                  <a:ln w="0"/>
                  <a:solidFill>
                    <a:schemeClr val="bg1"/>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800" b="0" i="0" u="none" strike="noStrike" kern="1200" cap="none" spc="0">
                <a:ln w="0"/>
                <a:solidFill>
                  <a:schemeClr val="bg1"/>
                </a:solidFill>
                <a:effectLst>
                  <a:outerShdw blurRad="38100" dist="19050" dir="2700000" algn="tl" rotWithShape="0">
                    <a:schemeClr val="dk1">
                      <a:alpha val="40000"/>
                    </a:schemeClr>
                  </a:outerShdw>
                </a:effectLst>
                <a:latin typeface="Calibri"/>
                <a:cs typeface="Calibri"/>
              </a:endParaRPr>
            </a:p>
          </xdr:txBody>
        </xdr:sp>
        <xdr:sp macro="" textlink="$G$84">
          <xdr:nvSpPr>
            <xdr:cNvPr id="85" name="Freeform: Shape 36">
              <a:extLst>
                <a:ext uri="{FF2B5EF4-FFF2-40B4-BE49-F238E27FC236}">
                  <a16:creationId xmlns:a16="http://schemas.microsoft.com/office/drawing/2014/main" id="{D487854C-4DAF-F61D-F660-9BC578BC6290}"/>
                </a:ext>
              </a:extLst>
            </xdr:cNvPr>
            <xdr:cNvSpPr/>
          </xdr:nvSpPr>
          <xdr:spPr>
            <a:xfrm>
              <a:off x="5563267" y="14686445"/>
              <a:ext cx="1511857" cy="233620"/>
            </a:xfrm>
            <a:prstGeom prst="roundRect">
              <a:avLst/>
            </a:prstGeom>
            <a:solidFill>
              <a:schemeClr val="accent1">
                <a:lumMod val="50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lvl="0" indent="0" algn="ctr" defTabSz="400050">
                <a:lnSpc>
                  <a:spcPct val="90000"/>
                </a:lnSpc>
                <a:spcBef>
                  <a:spcPct val="0"/>
                </a:spcBef>
                <a:spcAft>
                  <a:spcPct val="35000"/>
                </a:spcAft>
                <a:buNone/>
              </a:pPr>
              <a:fld id="{8B707EE4-7A74-4F40-8BDC-E21989BBB76C}" type="TxLink">
                <a:rPr lang="en-US" sz="1100" b="0" i="0" u="none" strike="noStrike" kern="1200" cap="none" spc="0">
                  <a:ln w="0"/>
                  <a:solidFill>
                    <a:schemeClr val="bg1"/>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500" b="0" kern="1200" cap="none" spc="0">
                <a:ln w="0"/>
                <a:solidFill>
                  <a:schemeClr val="bg1"/>
                </a:solidFill>
                <a:effectLst>
                  <a:outerShdw blurRad="38100" dist="19050" dir="2700000" algn="tl" rotWithShape="0">
                    <a:schemeClr val="dk1">
                      <a:alpha val="40000"/>
                    </a:schemeClr>
                  </a:outerShdw>
                </a:effectLst>
              </a:endParaRPr>
            </a:p>
          </xdr:txBody>
        </xdr:sp>
        <xdr:sp macro="" textlink="$G$87">
          <xdr:nvSpPr>
            <xdr:cNvPr id="86" name="Freeform: Shape 36">
              <a:extLst>
                <a:ext uri="{FF2B5EF4-FFF2-40B4-BE49-F238E27FC236}">
                  <a16:creationId xmlns:a16="http://schemas.microsoft.com/office/drawing/2014/main" id="{83160CDC-5F3D-A626-A903-5DFC9461A91D}"/>
                </a:ext>
              </a:extLst>
            </xdr:cNvPr>
            <xdr:cNvSpPr/>
          </xdr:nvSpPr>
          <xdr:spPr>
            <a:xfrm>
              <a:off x="7466045" y="14678188"/>
              <a:ext cx="2531315" cy="269764"/>
            </a:xfrm>
            <a:prstGeom prst="roundRect">
              <a:avLst/>
            </a:prstGeom>
            <a:solidFill>
              <a:schemeClr val="accent1">
                <a:lumMod val="50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lvl="0" indent="0" algn="ctr" defTabSz="400050">
                <a:lnSpc>
                  <a:spcPct val="90000"/>
                </a:lnSpc>
                <a:spcBef>
                  <a:spcPct val="0"/>
                </a:spcBef>
                <a:spcAft>
                  <a:spcPct val="35000"/>
                </a:spcAft>
                <a:buNone/>
              </a:pPr>
              <a:fld id="{1A4BA6AD-E6C4-4B2D-BA6B-74894CA07112}" type="TxLink">
                <a:rPr lang="en-US" sz="1100" b="0" i="0" u="none" strike="noStrike" kern="1200" cap="none" spc="0">
                  <a:ln w="0"/>
                  <a:solidFill>
                    <a:schemeClr val="bg1"/>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500" b="0" kern="1200" cap="none" spc="0">
                <a:ln w="0"/>
                <a:solidFill>
                  <a:schemeClr val="bg1"/>
                </a:solidFill>
                <a:effectLst>
                  <a:outerShdw blurRad="38100" dist="19050" dir="2700000" algn="tl" rotWithShape="0">
                    <a:schemeClr val="dk1">
                      <a:alpha val="40000"/>
                    </a:schemeClr>
                  </a:outerShdw>
                </a:effectLst>
              </a:endParaRPr>
            </a:p>
          </xdr:txBody>
        </xdr:sp>
      </xdr:grpSp>
      <xdr:grpSp>
        <xdr:nvGrpSpPr>
          <xdr:cNvPr id="43" name="Group 10">
            <a:extLst>
              <a:ext uri="{FF2B5EF4-FFF2-40B4-BE49-F238E27FC236}">
                <a16:creationId xmlns:a16="http://schemas.microsoft.com/office/drawing/2014/main" id="{2EE8C054-8676-15F3-AFC7-6E48BAAC5147}"/>
              </a:ext>
            </a:extLst>
          </xdr:cNvPr>
          <xdr:cNvGrpSpPr/>
        </xdr:nvGrpSpPr>
        <xdr:grpSpPr>
          <a:xfrm>
            <a:off x="601685" y="15542487"/>
            <a:ext cx="8112766" cy="213278"/>
            <a:chOff x="2156949" y="15231151"/>
            <a:chExt cx="10688660" cy="246931"/>
          </a:xfrm>
          <a:solidFill>
            <a:schemeClr val="accent2">
              <a:lumMod val="40000"/>
              <a:lumOff val="60000"/>
            </a:schemeClr>
          </a:solidFill>
        </xdr:grpSpPr>
        <xdr:grpSp>
          <xdr:nvGrpSpPr>
            <xdr:cNvPr id="67" name="Group 11">
              <a:extLst>
                <a:ext uri="{FF2B5EF4-FFF2-40B4-BE49-F238E27FC236}">
                  <a16:creationId xmlns:a16="http://schemas.microsoft.com/office/drawing/2014/main" id="{75EABF13-3D6D-47B5-96F8-DB2A08D1C86C}"/>
                </a:ext>
              </a:extLst>
            </xdr:cNvPr>
            <xdr:cNvGrpSpPr/>
          </xdr:nvGrpSpPr>
          <xdr:grpSpPr>
            <a:xfrm>
              <a:off x="2156949" y="15232209"/>
              <a:ext cx="10688660" cy="245873"/>
              <a:chOff x="1585060" y="14476249"/>
              <a:chExt cx="8473074" cy="245621"/>
            </a:xfrm>
            <a:grpFill/>
          </xdr:grpSpPr>
          <xdr:sp macro="" textlink="$F$79">
            <xdr:nvSpPr>
              <xdr:cNvPr id="70" name="Freeform: Shape 36">
                <a:extLst>
                  <a:ext uri="{FF2B5EF4-FFF2-40B4-BE49-F238E27FC236}">
                    <a16:creationId xmlns:a16="http://schemas.microsoft.com/office/drawing/2014/main" id="{EE0F030C-5903-74AF-7580-2366004D704E}"/>
                  </a:ext>
                </a:extLst>
              </xdr:cNvPr>
              <xdr:cNvSpPr/>
            </xdr:nvSpPr>
            <xdr:spPr>
              <a:xfrm>
                <a:off x="2145116" y="14487155"/>
                <a:ext cx="365759" cy="228600"/>
              </a:xfrm>
              <a:prstGeom prst="roundRect">
                <a:avLst/>
              </a:prstGeom>
              <a:grpFill/>
              <a:ln>
                <a:solidFill>
                  <a:schemeClr val="bg1">
                    <a:lumMod val="85000"/>
                  </a:schemeClr>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5348A914-3DE0-4E64-BCCE-3270590E02E2}" type="TxLink">
                  <a:rPr lang="en-US" sz="800" b="1" i="0" u="none" strike="noStrike" kern="1200" cap="none" spc="0">
                    <a:ln w="0"/>
                    <a:solidFill>
                      <a:sysClr val="windowText" lastClr="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100" b="1" kern="1200" cap="none" spc="0">
                  <a:ln w="0"/>
                  <a:solidFill>
                    <a:sysClr val="windowText" lastClr="000000"/>
                  </a:solidFill>
                  <a:effectLst>
                    <a:outerShdw blurRad="38100" dist="19050" dir="2700000" algn="tl" rotWithShape="0">
                      <a:schemeClr val="dk1">
                        <a:alpha val="40000"/>
                      </a:schemeClr>
                    </a:outerShdw>
                  </a:effectLst>
                </a:endParaRPr>
              </a:p>
            </xdr:txBody>
          </xdr:sp>
          <xdr:sp macro="" textlink="$F$81">
            <xdr:nvSpPr>
              <xdr:cNvPr id="71" name="Freeform: Shape 36">
                <a:extLst>
                  <a:ext uri="{FF2B5EF4-FFF2-40B4-BE49-F238E27FC236}">
                    <a16:creationId xmlns:a16="http://schemas.microsoft.com/office/drawing/2014/main" id="{FDB7E5DA-1408-8B71-4AE1-1D2E0AE7AFED}"/>
                  </a:ext>
                </a:extLst>
              </xdr:cNvPr>
              <xdr:cNvSpPr/>
            </xdr:nvSpPr>
            <xdr:spPr>
              <a:xfrm>
                <a:off x="3207228" y="14492129"/>
                <a:ext cx="365759" cy="228599"/>
              </a:xfrm>
              <a:prstGeom prst="roundRect">
                <a:avLst/>
              </a:prstGeom>
              <a:grpFill/>
              <a:ln>
                <a:solidFill>
                  <a:schemeClr val="bg1">
                    <a:lumMod val="85000"/>
                  </a:schemeClr>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BB9F8583-8435-44BF-91D9-3515BA888392}" type="TxLink">
                  <a:rPr lang="en-US" sz="800" b="1" i="0" u="none" strike="noStrike" kern="1200" cap="none" spc="0">
                    <a:ln w="0"/>
                    <a:solidFill>
                      <a:sysClr val="windowText" lastClr="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100" b="1" kern="1200" cap="none" spc="0">
                  <a:ln w="0"/>
                  <a:solidFill>
                    <a:sysClr val="windowText" lastClr="000000"/>
                  </a:solidFill>
                  <a:effectLst>
                    <a:outerShdw blurRad="38100" dist="19050" dir="2700000" algn="tl" rotWithShape="0">
                      <a:schemeClr val="dk1">
                        <a:alpha val="40000"/>
                      </a:schemeClr>
                    </a:outerShdw>
                  </a:effectLst>
                </a:endParaRPr>
              </a:p>
            </xdr:txBody>
          </xdr:sp>
          <xdr:sp macro="" textlink="$F$82">
            <xdr:nvSpPr>
              <xdr:cNvPr id="72" name="Freeform: Shape 36">
                <a:extLst>
                  <a:ext uri="{FF2B5EF4-FFF2-40B4-BE49-F238E27FC236}">
                    <a16:creationId xmlns:a16="http://schemas.microsoft.com/office/drawing/2014/main" id="{5FCE348B-1486-8F2D-DDA8-718A3C41D97A}"/>
                  </a:ext>
                </a:extLst>
              </xdr:cNvPr>
              <xdr:cNvSpPr/>
            </xdr:nvSpPr>
            <xdr:spPr>
              <a:xfrm>
                <a:off x="4168745" y="14476434"/>
                <a:ext cx="365760" cy="228600"/>
              </a:xfrm>
              <a:prstGeom prst="roundRect">
                <a:avLst/>
              </a:prstGeom>
              <a:grpFill/>
              <a:ln>
                <a:solidFill>
                  <a:schemeClr val="bg1">
                    <a:lumMod val="85000"/>
                  </a:schemeClr>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D89F2DF9-8EA5-4242-9271-5D08CF3D4F5C}" type="TxLink">
                  <a:rPr lang="en-US" sz="750" b="1" i="0" u="none" strike="noStrike" kern="1200" cap="none" spc="0">
                    <a:ln w="0"/>
                    <a:solidFill>
                      <a:sysClr val="windowText" lastClr="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750" b="1" kern="1200" cap="none" spc="0">
                  <a:ln w="0"/>
                  <a:solidFill>
                    <a:sysClr val="windowText" lastClr="000000"/>
                  </a:solidFill>
                  <a:effectLst>
                    <a:outerShdw blurRad="38100" dist="19050" dir="2700000" algn="tl" rotWithShape="0">
                      <a:schemeClr val="dk1">
                        <a:alpha val="40000"/>
                      </a:schemeClr>
                    </a:outerShdw>
                  </a:effectLst>
                </a:endParaRPr>
              </a:p>
            </xdr:txBody>
          </xdr:sp>
          <xdr:sp macro="" textlink="$F$83">
            <xdr:nvSpPr>
              <xdr:cNvPr id="73" name="Freeform: Shape 36">
                <a:extLst>
                  <a:ext uri="{FF2B5EF4-FFF2-40B4-BE49-F238E27FC236}">
                    <a16:creationId xmlns:a16="http://schemas.microsoft.com/office/drawing/2014/main" id="{0FF31243-57A4-E03F-0B6F-8A2EAE0C727A}"/>
                  </a:ext>
                </a:extLst>
              </xdr:cNvPr>
              <xdr:cNvSpPr/>
            </xdr:nvSpPr>
            <xdr:spPr>
              <a:xfrm>
                <a:off x="4735489" y="14476249"/>
                <a:ext cx="365760" cy="228600"/>
              </a:xfrm>
              <a:prstGeom prst="roundRect">
                <a:avLst/>
              </a:prstGeom>
              <a:grpFill/>
              <a:ln>
                <a:solidFill>
                  <a:schemeClr val="bg1">
                    <a:lumMod val="85000"/>
                  </a:schemeClr>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E75063EA-10A5-43E1-827E-C002E9F40C7B}" type="TxLink">
                  <a:rPr lang="en-US" sz="800" b="1" i="0" u="none" strike="noStrike" kern="1200" cap="none" spc="0">
                    <a:ln w="0"/>
                    <a:solidFill>
                      <a:sysClr val="windowText" lastClr="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100" b="1" kern="1200" cap="none" spc="0">
                  <a:ln w="0"/>
                  <a:solidFill>
                    <a:sysClr val="windowText" lastClr="000000"/>
                  </a:solidFill>
                  <a:effectLst>
                    <a:outerShdw blurRad="38100" dist="19050" dir="2700000" algn="tl" rotWithShape="0">
                      <a:schemeClr val="dk1">
                        <a:alpha val="40000"/>
                      </a:schemeClr>
                    </a:outerShdw>
                  </a:effectLst>
                </a:endParaRPr>
              </a:p>
            </xdr:txBody>
          </xdr:sp>
          <xdr:sp macro="" textlink="$F$84">
            <xdr:nvSpPr>
              <xdr:cNvPr id="74" name="Freeform: Shape 36">
                <a:extLst>
                  <a:ext uri="{FF2B5EF4-FFF2-40B4-BE49-F238E27FC236}">
                    <a16:creationId xmlns:a16="http://schemas.microsoft.com/office/drawing/2014/main" id="{A76B0E3C-0A9C-2A0C-BFF4-F3BECBDBB0AD}"/>
                  </a:ext>
                </a:extLst>
              </xdr:cNvPr>
              <xdr:cNvSpPr/>
            </xdr:nvSpPr>
            <xdr:spPr>
              <a:xfrm>
                <a:off x="5695141" y="14487112"/>
                <a:ext cx="365760" cy="228600"/>
              </a:xfrm>
              <a:prstGeom prst="roundRect">
                <a:avLst/>
              </a:prstGeom>
              <a:grpFill/>
              <a:ln>
                <a:solidFill>
                  <a:schemeClr val="bg1">
                    <a:lumMod val="85000"/>
                  </a:schemeClr>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D0856997-5431-412E-965B-A602C8987ACD}" type="TxLink">
                  <a:rPr lang="en-US" sz="750" b="1" i="0" u="none" strike="noStrike" kern="1200" cap="none" spc="0">
                    <a:ln w="0"/>
                    <a:solidFill>
                      <a:sysClr val="windowText" lastClr="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750" b="1" kern="1200" cap="none" spc="0">
                  <a:ln w="0"/>
                  <a:solidFill>
                    <a:sysClr val="windowText" lastClr="000000"/>
                  </a:solidFill>
                  <a:effectLst>
                    <a:outerShdw blurRad="38100" dist="19050" dir="2700000" algn="tl" rotWithShape="0">
                      <a:schemeClr val="dk1">
                        <a:alpha val="40000"/>
                      </a:schemeClr>
                    </a:outerShdw>
                  </a:effectLst>
                </a:endParaRPr>
              </a:p>
            </xdr:txBody>
          </xdr:sp>
          <xdr:sp macro="" textlink="$F$87">
            <xdr:nvSpPr>
              <xdr:cNvPr id="75" name="Freeform: Shape 36">
                <a:extLst>
                  <a:ext uri="{FF2B5EF4-FFF2-40B4-BE49-F238E27FC236}">
                    <a16:creationId xmlns:a16="http://schemas.microsoft.com/office/drawing/2014/main" id="{5F74018D-81F6-828C-87CF-9E090976A0FC}"/>
                  </a:ext>
                </a:extLst>
              </xdr:cNvPr>
              <xdr:cNvSpPr/>
            </xdr:nvSpPr>
            <xdr:spPr>
              <a:xfrm>
                <a:off x="7597619" y="14486459"/>
                <a:ext cx="365760" cy="228602"/>
              </a:xfrm>
              <a:prstGeom prst="roundRect">
                <a:avLst/>
              </a:prstGeom>
              <a:grpFill/>
              <a:ln>
                <a:solidFill>
                  <a:schemeClr val="bg1">
                    <a:lumMod val="85000"/>
                  </a:schemeClr>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48BC563D-4764-472D-B818-D420FBE037FB}" type="TxLink">
                  <a:rPr lang="en-US" sz="800" b="1" i="0" u="none" strike="noStrike" kern="1200" cap="none" spc="0">
                    <a:ln w="0"/>
                    <a:solidFill>
                      <a:sysClr val="windowText" lastClr="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100" b="1" kern="1200" cap="none" spc="0">
                  <a:ln w="0"/>
                  <a:solidFill>
                    <a:sysClr val="windowText" lastClr="000000"/>
                  </a:solidFill>
                  <a:effectLst>
                    <a:outerShdw blurRad="38100" dist="19050" dir="2700000" algn="tl" rotWithShape="0">
                      <a:schemeClr val="dk1">
                        <a:alpha val="40000"/>
                      </a:schemeClr>
                    </a:outerShdw>
                  </a:effectLst>
                </a:endParaRPr>
              </a:p>
            </xdr:txBody>
          </xdr:sp>
          <xdr:sp macro="" textlink="$F$88">
            <xdr:nvSpPr>
              <xdr:cNvPr id="76" name="Freeform: Shape 36">
                <a:extLst>
                  <a:ext uri="{FF2B5EF4-FFF2-40B4-BE49-F238E27FC236}">
                    <a16:creationId xmlns:a16="http://schemas.microsoft.com/office/drawing/2014/main" id="{6CF7B3CA-9985-958F-BFC3-E8DA36E7AB77}"/>
                  </a:ext>
                </a:extLst>
              </xdr:cNvPr>
              <xdr:cNvSpPr/>
            </xdr:nvSpPr>
            <xdr:spPr>
              <a:xfrm>
                <a:off x="8166096" y="14484402"/>
                <a:ext cx="365760" cy="228602"/>
              </a:xfrm>
              <a:prstGeom prst="roundRect">
                <a:avLst/>
              </a:prstGeom>
              <a:grpFill/>
              <a:ln>
                <a:solidFill>
                  <a:schemeClr val="bg1">
                    <a:lumMod val="85000"/>
                  </a:schemeClr>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1BC5ACE4-CB97-4F6D-85A7-A9745D3E1C4F}" type="TxLink">
                  <a:rPr lang="en-US" sz="800" b="1" i="0" u="none" strike="noStrike" kern="1200" cap="none" spc="0">
                    <a:ln w="0"/>
                    <a:solidFill>
                      <a:sysClr val="windowText" lastClr="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100" b="1" kern="1200" cap="none" spc="0">
                  <a:ln w="0"/>
                  <a:solidFill>
                    <a:sysClr val="windowText" lastClr="000000"/>
                  </a:solidFill>
                  <a:effectLst>
                    <a:outerShdw blurRad="38100" dist="19050" dir="2700000" algn="tl" rotWithShape="0">
                      <a:schemeClr val="dk1">
                        <a:alpha val="40000"/>
                      </a:schemeClr>
                    </a:outerShdw>
                  </a:effectLst>
                </a:endParaRPr>
              </a:p>
            </xdr:txBody>
          </xdr:sp>
          <xdr:sp macro="" textlink="$F$80">
            <xdr:nvSpPr>
              <xdr:cNvPr id="77" name="Freeform: Shape 36">
                <a:extLst>
                  <a:ext uri="{FF2B5EF4-FFF2-40B4-BE49-F238E27FC236}">
                    <a16:creationId xmlns:a16="http://schemas.microsoft.com/office/drawing/2014/main" id="{2AA44231-84AD-21E2-C001-4518203325CC}"/>
                  </a:ext>
                </a:extLst>
              </xdr:cNvPr>
              <xdr:cNvSpPr/>
            </xdr:nvSpPr>
            <xdr:spPr>
              <a:xfrm>
                <a:off x="2698070" y="14488545"/>
                <a:ext cx="365759" cy="228599"/>
              </a:xfrm>
              <a:prstGeom prst="roundRect">
                <a:avLst/>
              </a:prstGeom>
              <a:grpFill/>
              <a:ln>
                <a:solidFill>
                  <a:schemeClr val="bg1">
                    <a:lumMod val="85000"/>
                  </a:schemeClr>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BBD9B62D-9A82-443E-8E39-673DADDC56FC}" type="TxLink">
                  <a:rPr lang="en-US" sz="800" b="1" i="0" u="none" strike="noStrike" kern="1200" cap="none" spc="0">
                    <a:ln w="0"/>
                    <a:solidFill>
                      <a:sysClr val="windowText" lastClr="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100" b="1" kern="1200" cap="none" spc="0">
                  <a:ln w="0"/>
                  <a:solidFill>
                    <a:sysClr val="windowText" lastClr="000000"/>
                  </a:solidFill>
                  <a:effectLst>
                    <a:outerShdw blurRad="38100" dist="19050" dir="2700000" algn="tl" rotWithShape="0">
                      <a:schemeClr val="dk1">
                        <a:alpha val="40000"/>
                      </a:schemeClr>
                    </a:outerShdw>
                  </a:effectLst>
                </a:endParaRPr>
              </a:p>
            </xdr:txBody>
          </xdr:sp>
          <xdr:sp macro="" textlink="$F$78">
            <xdr:nvSpPr>
              <xdr:cNvPr id="78" name="Freeform: Shape 36">
                <a:extLst>
                  <a:ext uri="{FF2B5EF4-FFF2-40B4-BE49-F238E27FC236}">
                    <a16:creationId xmlns:a16="http://schemas.microsoft.com/office/drawing/2014/main" id="{97C885B0-0387-41D5-FECD-3DAF657A1935}"/>
                  </a:ext>
                </a:extLst>
              </xdr:cNvPr>
              <xdr:cNvSpPr/>
            </xdr:nvSpPr>
            <xdr:spPr>
              <a:xfrm>
                <a:off x="1585060" y="14489802"/>
                <a:ext cx="365759" cy="228600"/>
              </a:xfrm>
              <a:prstGeom prst="roundRect">
                <a:avLst/>
              </a:prstGeom>
              <a:grpFill/>
              <a:ln>
                <a:solidFill>
                  <a:schemeClr val="bg1">
                    <a:lumMod val="85000"/>
                  </a:schemeClr>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F4BCE47C-B9D6-47E5-B5B4-BDEB14B1EF30}" type="TxLink">
                  <a:rPr lang="en-US" sz="750" b="1" i="0" u="none" strike="noStrike" kern="1200" cap="none" spc="0">
                    <a:ln w="0"/>
                    <a:solidFill>
                      <a:sysClr val="windowText" lastClr="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750" b="1" kern="1200" cap="none" spc="0">
                  <a:ln w="0"/>
                  <a:solidFill>
                    <a:sysClr val="windowText" lastClr="000000"/>
                  </a:solidFill>
                  <a:effectLst>
                    <a:outerShdw blurRad="38100" dist="19050" dir="2700000" algn="tl" rotWithShape="0">
                      <a:schemeClr val="dk1">
                        <a:alpha val="40000"/>
                      </a:schemeClr>
                    </a:outerShdw>
                  </a:effectLst>
                </a:endParaRPr>
              </a:p>
            </xdr:txBody>
          </xdr:sp>
          <xdr:sp macro="" textlink="$F$89">
            <xdr:nvSpPr>
              <xdr:cNvPr id="79" name="Freeform: Shape 36">
                <a:extLst>
                  <a:ext uri="{FF2B5EF4-FFF2-40B4-BE49-F238E27FC236}">
                    <a16:creationId xmlns:a16="http://schemas.microsoft.com/office/drawing/2014/main" id="{60176EA1-8175-F380-1A1A-5401FC6D3356}"/>
                  </a:ext>
                </a:extLst>
              </xdr:cNvPr>
              <xdr:cNvSpPr/>
            </xdr:nvSpPr>
            <xdr:spPr>
              <a:xfrm>
                <a:off x="8702105" y="14488227"/>
                <a:ext cx="365760" cy="228602"/>
              </a:xfrm>
              <a:prstGeom prst="roundRect">
                <a:avLst/>
              </a:prstGeom>
              <a:grpFill/>
              <a:ln>
                <a:solidFill>
                  <a:schemeClr val="bg1">
                    <a:lumMod val="85000"/>
                  </a:schemeClr>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58308B7E-385C-4056-B9B0-660A2E97045C}" type="TxLink">
                  <a:rPr lang="en-US" sz="800" b="1" i="0" u="none" strike="noStrike" kern="1200" cap="none" spc="0">
                    <a:ln w="0"/>
                    <a:solidFill>
                      <a:sysClr val="windowText" lastClr="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100" b="1" kern="1200" cap="none" spc="0">
                  <a:ln w="0"/>
                  <a:solidFill>
                    <a:sysClr val="windowText" lastClr="000000"/>
                  </a:solidFill>
                  <a:effectLst>
                    <a:outerShdw blurRad="38100" dist="19050" dir="2700000" algn="tl" rotWithShape="0">
                      <a:schemeClr val="dk1">
                        <a:alpha val="40000"/>
                      </a:schemeClr>
                    </a:outerShdw>
                  </a:effectLst>
                </a:endParaRPr>
              </a:p>
            </xdr:txBody>
          </xdr:sp>
          <xdr:sp macro="" textlink="$F$91">
            <xdr:nvSpPr>
              <xdr:cNvPr id="80" name="Freeform: Shape 36">
                <a:extLst>
                  <a:ext uri="{FF2B5EF4-FFF2-40B4-BE49-F238E27FC236}">
                    <a16:creationId xmlns:a16="http://schemas.microsoft.com/office/drawing/2014/main" id="{D6BD4EAF-6676-835F-3B59-E50E7C2DD9E0}"/>
                  </a:ext>
                </a:extLst>
              </xdr:cNvPr>
              <xdr:cNvSpPr/>
            </xdr:nvSpPr>
            <xdr:spPr>
              <a:xfrm>
                <a:off x="9692389" y="14477496"/>
                <a:ext cx="365745" cy="225701"/>
              </a:xfrm>
              <a:prstGeom prst="roundRect">
                <a:avLst/>
              </a:prstGeom>
              <a:grpFill/>
              <a:ln>
                <a:solidFill>
                  <a:schemeClr val="bg1">
                    <a:lumMod val="85000"/>
                  </a:schemeClr>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F83C37F4-3F8E-4EDA-8486-B4E0E91553E8}" type="TxLink">
                  <a:rPr lang="en-US" sz="800" b="1" i="0" u="none" strike="noStrike" kern="1200" cap="none" spc="0">
                    <a:ln w="0"/>
                    <a:solidFill>
                      <a:sysClr val="windowText" lastClr="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100" b="1" kern="1200" cap="none" spc="0">
                  <a:ln w="0"/>
                  <a:solidFill>
                    <a:sysClr val="windowText" lastClr="000000"/>
                  </a:solidFill>
                  <a:effectLst>
                    <a:outerShdw blurRad="38100" dist="19050" dir="2700000" algn="tl" rotWithShape="0">
                      <a:schemeClr val="dk1">
                        <a:alpha val="40000"/>
                      </a:schemeClr>
                    </a:outerShdw>
                  </a:effectLst>
                </a:endParaRPr>
              </a:p>
            </xdr:txBody>
          </xdr:sp>
          <xdr:sp macro="" textlink="$F$85">
            <xdr:nvSpPr>
              <xdr:cNvPr id="81" name="Freeform: Shape 36">
                <a:extLst>
                  <a:ext uri="{FF2B5EF4-FFF2-40B4-BE49-F238E27FC236}">
                    <a16:creationId xmlns:a16="http://schemas.microsoft.com/office/drawing/2014/main" id="{6406D447-B50F-C8AC-5A71-4CA01B9CEAA6}"/>
                  </a:ext>
                </a:extLst>
              </xdr:cNvPr>
              <xdr:cNvSpPr/>
            </xdr:nvSpPr>
            <xdr:spPr>
              <a:xfrm>
                <a:off x="6250594" y="14491291"/>
                <a:ext cx="365760" cy="228600"/>
              </a:xfrm>
              <a:prstGeom prst="roundRect">
                <a:avLst/>
              </a:prstGeom>
              <a:grpFill/>
              <a:ln>
                <a:solidFill>
                  <a:schemeClr val="bg1">
                    <a:lumMod val="85000"/>
                  </a:schemeClr>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BA8E4A06-B7C5-4D53-AC45-C2102D6852F0}" type="TxLink">
                  <a:rPr lang="en-US" sz="800" b="1" i="0" u="none" strike="noStrike" kern="1200" cap="none" spc="0">
                    <a:ln w="0"/>
                    <a:solidFill>
                      <a:sysClr val="windowText" lastClr="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100" b="1" kern="1200" cap="none" spc="0">
                  <a:ln w="0"/>
                  <a:solidFill>
                    <a:sysClr val="windowText" lastClr="000000"/>
                  </a:solidFill>
                  <a:effectLst>
                    <a:outerShdw blurRad="38100" dist="19050" dir="2700000" algn="tl" rotWithShape="0">
                      <a:schemeClr val="dk1">
                        <a:alpha val="40000"/>
                      </a:schemeClr>
                    </a:outerShdw>
                  </a:effectLst>
                </a:endParaRPr>
              </a:p>
            </xdr:txBody>
          </xdr:sp>
          <xdr:sp macro="" textlink="$F$86">
            <xdr:nvSpPr>
              <xdr:cNvPr id="82" name="Freeform: Shape 36">
                <a:extLst>
                  <a:ext uri="{FF2B5EF4-FFF2-40B4-BE49-F238E27FC236}">
                    <a16:creationId xmlns:a16="http://schemas.microsoft.com/office/drawing/2014/main" id="{C08E0179-8B42-C5C8-20A7-776C74279A26}"/>
                  </a:ext>
                </a:extLst>
              </xdr:cNvPr>
              <xdr:cNvSpPr/>
            </xdr:nvSpPr>
            <xdr:spPr>
              <a:xfrm>
                <a:off x="6797731" y="14493270"/>
                <a:ext cx="365760" cy="228600"/>
              </a:xfrm>
              <a:prstGeom prst="roundRect">
                <a:avLst/>
              </a:prstGeom>
              <a:grpFill/>
              <a:ln>
                <a:solidFill>
                  <a:schemeClr val="bg1">
                    <a:lumMod val="85000"/>
                  </a:schemeClr>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anchor="ctr" anchorCtr="0">
                <a:noAutofit/>
              </a:bodyPr>
              <a:lstStyle/>
              <a:p>
                <a:pPr marL="0" lvl="0" indent="0" algn="ctr" defTabSz="400050">
                  <a:lnSpc>
                    <a:spcPct val="90000"/>
                  </a:lnSpc>
                  <a:spcBef>
                    <a:spcPct val="0"/>
                  </a:spcBef>
                  <a:spcAft>
                    <a:spcPct val="35000"/>
                  </a:spcAft>
                  <a:buNone/>
                </a:pPr>
                <a:fld id="{80FB2ED9-780C-44B0-9F3D-B3ABCFB561F9}" type="TxLink">
                  <a:rPr lang="en-US" sz="800" b="1" i="0" u="none" strike="noStrike" kern="1200" cap="none" spc="0">
                    <a:ln w="0"/>
                    <a:solidFill>
                      <a:sysClr val="windowText" lastClr="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100" b="1" kern="1200" cap="none" spc="0">
                  <a:ln w="0"/>
                  <a:solidFill>
                    <a:sysClr val="windowText" lastClr="000000"/>
                  </a:solidFill>
                  <a:effectLst>
                    <a:outerShdw blurRad="38100" dist="19050" dir="2700000" algn="tl" rotWithShape="0">
                      <a:schemeClr val="dk1">
                        <a:alpha val="40000"/>
                      </a:schemeClr>
                    </a:outerShdw>
                  </a:effectLst>
                </a:endParaRPr>
              </a:p>
            </xdr:txBody>
          </xdr:sp>
        </xdr:grpSp>
        <xdr:sp macro="" textlink="$F$90">
          <xdr:nvSpPr>
            <xdr:cNvPr id="69" name="Freeform: Shape 36">
              <a:extLst>
                <a:ext uri="{FF2B5EF4-FFF2-40B4-BE49-F238E27FC236}">
                  <a16:creationId xmlns:a16="http://schemas.microsoft.com/office/drawing/2014/main" id="{CDF0DAE4-ABC6-E3A9-DBEB-F6BE10C3BD19}"/>
                </a:ext>
              </a:extLst>
            </xdr:cNvPr>
            <xdr:cNvSpPr/>
          </xdr:nvSpPr>
          <xdr:spPr>
            <a:xfrm>
              <a:off x="11806975" y="15231151"/>
              <a:ext cx="436809" cy="232234"/>
            </a:xfrm>
            <a:prstGeom prst="roundRect">
              <a:avLst/>
            </a:prstGeom>
            <a:grpFill/>
            <a:ln>
              <a:solidFill>
                <a:schemeClr val="bg1">
                  <a:lumMod val="85000"/>
                </a:schemeClr>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0" tIns="0" rIns="0" bIns="0" numCol="1" spcCol="1270" anchor="ctr" anchorCtr="0">
              <a:noAutofit/>
            </a:bodyPr>
            <a:lstStyle/>
            <a:p>
              <a:pPr marL="0" lvl="0" indent="0" algn="ctr" defTabSz="400050">
                <a:lnSpc>
                  <a:spcPct val="90000"/>
                </a:lnSpc>
                <a:spcBef>
                  <a:spcPct val="0"/>
                </a:spcBef>
                <a:spcAft>
                  <a:spcPct val="35000"/>
                </a:spcAft>
                <a:buNone/>
              </a:pPr>
              <a:fld id="{234C9BFF-0F05-4B40-A5C0-06D72C29E3A3}" type="TxLink">
                <a:rPr lang="en-US" sz="800" b="1" i="0" u="none" strike="noStrike" kern="1200" cap="none" spc="0">
                  <a:ln w="0"/>
                  <a:solidFill>
                    <a:sysClr val="windowText" lastClr="00000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800" b="1" kern="1200" cap="none" spc="0">
                <a:ln w="0"/>
                <a:solidFill>
                  <a:sysClr val="windowText" lastClr="000000"/>
                </a:solidFill>
                <a:effectLst>
                  <a:outerShdw blurRad="38100" dist="19050" dir="2700000" algn="tl" rotWithShape="0">
                    <a:schemeClr val="dk1">
                      <a:alpha val="40000"/>
                    </a:schemeClr>
                  </a:outerShdw>
                </a:effectLst>
              </a:endParaRPr>
            </a:p>
          </xdr:txBody>
        </xdr:sp>
      </xdr:grpSp>
      <xdr:grpSp>
        <xdr:nvGrpSpPr>
          <xdr:cNvPr id="44" name="Group 26">
            <a:extLst>
              <a:ext uri="{FF2B5EF4-FFF2-40B4-BE49-F238E27FC236}">
                <a16:creationId xmlns:a16="http://schemas.microsoft.com/office/drawing/2014/main" id="{6F2AB925-6A27-78B0-06E7-13509C2C6D36}"/>
              </a:ext>
            </a:extLst>
          </xdr:cNvPr>
          <xdr:cNvGrpSpPr/>
        </xdr:nvGrpSpPr>
        <xdr:grpSpPr>
          <a:xfrm>
            <a:off x="561430" y="15034034"/>
            <a:ext cx="8206450" cy="193899"/>
            <a:chOff x="1797092" y="14728496"/>
            <a:chExt cx="10919696" cy="240479"/>
          </a:xfrm>
        </xdr:grpSpPr>
        <xdr:grpSp>
          <xdr:nvGrpSpPr>
            <xdr:cNvPr id="45" name="Group 27">
              <a:extLst>
                <a:ext uri="{FF2B5EF4-FFF2-40B4-BE49-F238E27FC236}">
                  <a16:creationId xmlns:a16="http://schemas.microsoft.com/office/drawing/2014/main" id="{F5015237-EE36-8012-EDD1-C188CA99E006}"/>
                </a:ext>
              </a:extLst>
            </xdr:cNvPr>
            <xdr:cNvGrpSpPr/>
          </xdr:nvGrpSpPr>
          <xdr:grpSpPr>
            <a:xfrm>
              <a:off x="1797092" y="14728496"/>
              <a:ext cx="10919696" cy="240479"/>
              <a:chOff x="1305332" y="14220012"/>
              <a:chExt cx="8677074" cy="246599"/>
            </a:xfrm>
          </xdr:grpSpPr>
          <xdr:sp macro="" textlink="$E$82">
            <xdr:nvSpPr>
              <xdr:cNvPr id="47" name="Freeform: Shape 36">
                <a:extLst>
                  <a:ext uri="{FF2B5EF4-FFF2-40B4-BE49-F238E27FC236}">
                    <a16:creationId xmlns:a16="http://schemas.microsoft.com/office/drawing/2014/main" id="{C99F3219-2E0D-71B9-E340-DF07B9F39F5A}"/>
                  </a:ext>
                </a:extLst>
              </xdr:cNvPr>
              <xdr:cNvSpPr/>
            </xdr:nvSpPr>
            <xdr:spPr>
              <a:xfrm>
                <a:off x="3919466" y="14231480"/>
                <a:ext cx="457200" cy="228602"/>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3D64C366-76C7-4FE5-91F8-E755C8E96264}" type="TxLink">
                  <a:rPr lang="en-US" sz="900" b="0" i="0" u="none" strike="noStrike" kern="1200" cap="none" spc="0">
                    <a:ln w="0"/>
                    <a:solidFill>
                      <a:srgbClr val="00008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900" b="0" kern="1200" cap="none" spc="0">
                  <a:ln w="0"/>
                  <a:effectLst>
                    <a:outerShdw blurRad="38100" dist="19050" dir="2700000" algn="tl" rotWithShape="0">
                      <a:schemeClr val="dk1">
                        <a:alpha val="40000"/>
                      </a:schemeClr>
                    </a:outerShdw>
                  </a:effectLst>
                </a:endParaRPr>
              </a:p>
            </xdr:txBody>
          </xdr:sp>
          <xdr:sp macro="" textlink="$E$83">
            <xdr:nvSpPr>
              <xdr:cNvPr id="48" name="Freeform: Shape 36">
                <a:extLst>
                  <a:ext uri="{FF2B5EF4-FFF2-40B4-BE49-F238E27FC236}">
                    <a16:creationId xmlns:a16="http://schemas.microsoft.com/office/drawing/2014/main" id="{0A09E8B7-9690-ADE7-64F6-7EAB749BC12E}"/>
                  </a:ext>
                </a:extLst>
              </xdr:cNvPr>
              <xdr:cNvSpPr/>
            </xdr:nvSpPr>
            <xdr:spPr>
              <a:xfrm>
                <a:off x="4472652" y="14226808"/>
                <a:ext cx="457200" cy="228602"/>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DB40C5A0-A8C5-45AF-A5CC-E6ADED434646}" type="TxLink">
                  <a:rPr lang="en-US" sz="900" b="0" i="0" u="none" strike="noStrike" kern="1200" cap="none" spc="0">
                    <a:ln w="0"/>
                    <a:solidFill>
                      <a:srgbClr val="00008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900" b="0" kern="1200" cap="none" spc="0">
                  <a:ln w="0"/>
                  <a:effectLst>
                    <a:outerShdw blurRad="38100" dist="19050" dir="2700000" algn="tl" rotWithShape="0">
                      <a:schemeClr val="dk1">
                        <a:alpha val="40000"/>
                      </a:schemeClr>
                    </a:outerShdw>
                  </a:effectLst>
                </a:endParaRPr>
              </a:p>
            </xdr:txBody>
          </xdr:sp>
          <xdr:sp macro="" textlink="$E$84">
            <xdr:nvSpPr>
              <xdr:cNvPr id="50" name="Freeform: Shape 36">
                <a:extLst>
                  <a:ext uri="{FF2B5EF4-FFF2-40B4-BE49-F238E27FC236}">
                    <a16:creationId xmlns:a16="http://schemas.microsoft.com/office/drawing/2014/main" id="{A0DF9502-B07B-8D33-4C34-CAE823CAC11E}"/>
                  </a:ext>
                </a:extLst>
              </xdr:cNvPr>
              <xdr:cNvSpPr/>
            </xdr:nvSpPr>
            <xdr:spPr>
              <a:xfrm>
                <a:off x="5467488" y="14230183"/>
                <a:ext cx="457200" cy="22860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4AF7D58C-A778-4BF0-BB54-0C23203968ED}" type="TxLink">
                  <a:rPr lang="en-US" sz="900" b="0" i="0" u="none" strike="noStrike" kern="1200" cap="none" spc="0">
                    <a:ln w="0"/>
                    <a:solidFill>
                      <a:srgbClr val="00008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900" b="0" kern="1200" cap="none" spc="0">
                  <a:ln w="0"/>
                  <a:effectLst>
                    <a:outerShdw blurRad="38100" dist="19050" dir="2700000" algn="tl" rotWithShape="0">
                      <a:schemeClr val="dk1">
                        <a:alpha val="40000"/>
                      </a:schemeClr>
                    </a:outerShdw>
                  </a:effectLst>
                </a:endParaRPr>
              </a:p>
            </xdr:txBody>
          </xdr:sp>
          <xdr:sp macro="" textlink="$E$87">
            <xdr:nvSpPr>
              <xdr:cNvPr id="51" name="Freeform: Shape 36">
                <a:extLst>
                  <a:ext uri="{FF2B5EF4-FFF2-40B4-BE49-F238E27FC236}">
                    <a16:creationId xmlns:a16="http://schemas.microsoft.com/office/drawing/2014/main" id="{D65A9322-0E54-04A5-7F90-0853B54D6B7B}"/>
                  </a:ext>
                </a:extLst>
              </xdr:cNvPr>
              <xdr:cNvSpPr/>
            </xdr:nvSpPr>
            <xdr:spPr>
              <a:xfrm>
                <a:off x="7454164" y="14232094"/>
                <a:ext cx="457200" cy="22860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A08051DB-6CD3-4BE7-BB94-3FFD997AD859}" type="TxLink">
                  <a:rPr lang="en-US" sz="900" b="0" i="0" u="none" strike="noStrike" kern="1200" cap="none" spc="0">
                    <a:ln w="0"/>
                    <a:solidFill>
                      <a:srgbClr val="00008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900" b="0" kern="1200" cap="none" spc="0">
                  <a:ln w="0"/>
                  <a:effectLst>
                    <a:outerShdw blurRad="38100" dist="19050" dir="2700000" algn="tl" rotWithShape="0">
                      <a:schemeClr val="dk1">
                        <a:alpha val="40000"/>
                      </a:schemeClr>
                    </a:outerShdw>
                  </a:effectLst>
                </a:endParaRPr>
              </a:p>
            </xdr:txBody>
          </xdr:sp>
          <xdr:sp macro="" textlink="$E$88">
            <xdr:nvSpPr>
              <xdr:cNvPr id="54" name="Freeform: Shape 36">
                <a:extLst>
                  <a:ext uri="{FF2B5EF4-FFF2-40B4-BE49-F238E27FC236}">
                    <a16:creationId xmlns:a16="http://schemas.microsoft.com/office/drawing/2014/main" id="{83F17DDC-1DC9-EA39-AFCA-04F8B8C06B4A}"/>
                  </a:ext>
                </a:extLst>
              </xdr:cNvPr>
              <xdr:cNvSpPr/>
            </xdr:nvSpPr>
            <xdr:spPr>
              <a:xfrm>
                <a:off x="8011118" y="14238010"/>
                <a:ext cx="457200" cy="228601"/>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B772F131-D59A-4CC3-8A90-7B96591237DD}" type="TxLink">
                  <a:rPr lang="en-US" sz="900" b="0" i="0" u="none" strike="noStrike" kern="1200" cap="none" spc="0">
                    <a:ln w="0"/>
                    <a:solidFill>
                      <a:srgbClr val="00008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900" b="0" kern="1200" cap="none" spc="0">
                  <a:ln w="0"/>
                  <a:effectLst>
                    <a:outerShdw blurRad="38100" dist="19050" dir="2700000" algn="tl" rotWithShape="0">
                      <a:schemeClr val="dk1">
                        <a:alpha val="40000"/>
                      </a:schemeClr>
                    </a:outerShdw>
                  </a:effectLst>
                </a:endParaRPr>
              </a:p>
            </xdr:txBody>
          </xdr:sp>
          <xdr:sp macro="" textlink="$E$91">
            <xdr:nvSpPr>
              <xdr:cNvPr id="55" name="Freeform: Shape 36">
                <a:extLst>
                  <a:ext uri="{FF2B5EF4-FFF2-40B4-BE49-F238E27FC236}">
                    <a16:creationId xmlns:a16="http://schemas.microsoft.com/office/drawing/2014/main" id="{17B8F69E-9578-EDCA-17BE-B31B16BD43D3}"/>
                  </a:ext>
                </a:extLst>
              </xdr:cNvPr>
              <xdr:cNvSpPr/>
            </xdr:nvSpPr>
            <xdr:spPr>
              <a:xfrm>
                <a:off x="9525206" y="14227241"/>
                <a:ext cx="457200" cy="228601"/>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01F5B557-4B05-4137-9A07-2B55A86A5D1E}" type="TxLink">
                  <a:rPr lang="en-US" sz="900" b="0" i="0" u="none" strike="noStrike" kern="1200" cap="none" spc="0">
                    <a:ln w="0"/>
                    <a:solidFill>
                      <a:srgbClr val="00008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900" b="0" kern="1200" cap="none" spc="0">
                  <a:ln w="0"/>
                  <a:effectLst>
                    <a:outerShdw blurRad="38100" dist="19050" dir="2700000" algn="tl" rotWithShape="0">
                      <a:schemeClr val="dk1">
                        <a:alpha val="40000"/>
                      </a:schemeClr>
                    </a:outerShdw>
                  </a:effectLst>
                </a:endParaRPr>
              </a:p>
            </xdr:txBody>
          </xdr:sp>
          <xdr:sp macro="" textlink="$E$79">
            <xdr:nvSpPr>
              <xdr:cNvPr id="56" name="Freeform: Shape 36">
                <a:extLst>
                  <a:ext uri="{FF2B5EF4-FFF2-40B4-BE49-F238E27FC236}">
                    <a16:creationId xmlns:a16="http://schemas.microsoft.com/office/drawing/2014/main" id="{DD6AD272-2CA5-3D96-7E69-98BAF8FD2282}"/>
                  </a:ext>
                </a:extLst>
              </xdr:cNvPr>
              <xdr:cNvSpPr/>
            </xdr:nvSpPr>
            <xdr:spPr>
              <a:xfrm>
                <a:off x="1846791" y="14231220"/>
                <a:ext cx="457200" cy="228601"/>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C13D4E5C-0DBD-4B09-A318-3BC98D307B42}" type="TxLink">
                  <a:rPr lang="en-US" sz="900" b="0" i="0" u="none" strike="noStrike" kern="1200" cap="none" spc="0">
                    <a:ln w="0"/>
                    <a:solidFill>
                      <a:srgbClr val="00008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900" b="0" kern="1200" cap="none" spc="0">
                  <a:ln w="0"/>
                  <a:effectLst>
                    <a:outerShdw blurRad="38100" dist="19050" dir="2700000" algn="tl" rotWithShape="0">
                      <a:schemeClr val="dk1">
                        <a:alpha val="40000"/>
                      </a:schemeClr>
                    </a:outerShdw>
                  </a:effectLst>
                </a:endParaRPr>
              </a:p>
            </xdr:txBody>
          </xdr:sp>
          <xdr:sp macro="" textlink="$E$78">
            <xdr:nvSpPr>
              <xdr:cNvPr id="57" name="Freeform: Shape 36">
                <a:extLst>
                  <a:ext uri="{FF2B5EF4-FFF2-40B4-BE49-F238E27FC236}">
                    <a16:creationId xmlns:a16="http://schemas.microsoft.com/office/drawing/2014/main" id="{F02F3ECA-82F4-215F-D3A3-A106E08D3BA1}"/>
                  </a:ext>
                </a:extLst>
              </xdr:cNvPr>
              <xdr:cNvSpPr/>
            </xdr:nvSpPr>
            <xdr:spPr>
              <a:xfrm>
                <a:off x="1305332" y="14229269"/>
                <a:ext cx="457200" cy="228601"/>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FE5171AF-7692-44BA-843F-DC3E8CDEB9E0}" type="TxLink">
                  <a:rPr lang="en-US" sz="900" b="0" i="0" u="none" strike="noStrike" kern="1200" cap="none" spc="0">
                    <a:ln w="0"/>
                    <a:solidFill>
                      <a:srgbClr val="00008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900" b="0" kern="1200" cap="none" spc="0">
                  <a:ln w="0"/>
                  <a:effectLst>
                    <a:outerShdw blurRad="38100" dist="19050" dir="2700000" algn="tl" rotWithShape="0">
                      <a:schemeClr val="dk1">
                        <a:alpha val="40000"/>
                      </a:schemeClr>
                    </a:outerShdw>
                  </a:effectLst>
                </a:endParaRPr>
              </a:p>
            </xdr:txBody>
          </xdr:sp>
          <xdr:sp macro="" textlink="$E$80">
            <xdr:nvSpPr>
              <xdr:cNvPr id="58" name="Freeform: Shape 36">
                <a:extLst>
                  <a:ext uri="{FF2B5EF4-FFF2-40B4-BE49-F238E27FC236}">
                    <a16:creationId xmlns:a16="http://schemas.microsoft.com/office/drawing/2014/main" id="{EA706941-95F6-03F6-5D0C-53267F23E907}"/>
                  </a:ext>
                </a:extLst>
              </xdr:cNvPr>
              <xdr:cNvSpPr/>
            </xdr:nvSpPr>
            <xdr:spPr>
              <a:xfrm>
                <a:off x="2403441" y="14229553"/>
                <a:ext cx="457200" cy="228601"/>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3EF5D462-6AB0-4580-9392-E29F2667D897}" type="TxLink">
                  <a:rPr lang="en-US" sz="900" b="0" i="0" u="none" strike="noStrike" kern="1200" cap="none" spc="0">
                    <a:ln w="0"/>
                    <a:solidFill>
                      <a:srgbClr val="00008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900" b="0" kern="1200" cap="none" spc="0">
                  <a:ln w="0"/>
                  <a:effectLst>
                    <a:outerShdw blurRad="38100" dist="19050" dir="2700000" algn="tl" rotWithShape="0">
                      <a:schemeClr val="dk1">
                        <a:alpha val="40000"/>
                      </a:schemeClr>
                    </a:outerShdw>
                  </a:effectLst>
                </a:endParaRPr>
              </a:p>
            </xdr:txBody>
          </xdr:sp>
          <xdr:sp macro="" textlink="$E$89">
            <xdr:nvSpPr>
              <xdr:cNvPr id="59" name="Freeform: Shape 36">
                <a:extLst>
                  <a:ext uri="{FF2B5EF4-FFF2-40B4-BE49-F238E27FC236}">
                    <a16:creationId xmlns:a16="http://schemas.microsoft.com/office/drawing/2014/main" id="{12EB2017-21BE-34D8-5075-FF36C66F5DA8}"/>
                  </a:ext>
                </a:extLst>
              </xdr:cNvPr>
              <xdr:cNvSpPr/>
            </xdr:nvSpPr>
            <xdr:spPr>
              <a:xfrm>
                <a:off x="8560041" y="14231156"/>
                <a:ext cx="457200" cy="228601"/>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A72BB328-D158-4ABB-AF3D-CA09FFA47D3D}" type="TxLink">
                  <a:rPr lang="en-US" sz="900" b="0" i="0" u="none" strike="noStrike" kern="1200" cap="none" spc="0">
                    <a:ln w="0"/>
                    <a:solidFill>
                      <a:srgbClr val="00008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900" b="0" kern="1200" cap="none" spc="0">
                  <a:ln w="0"/>
                  <a:effectLst>
                    <a:outerShdw blurRad="38100" dist="19050" dir="2700000" algn="tl" rotWithShape="0">
                      <a:schemeClr val="dk1">
                        <a:alpha val="40000"/>
                      </a:schemeClr>
                    </a:outerShdw>
                  </a:effectLst>
                </a:endParaRPr>
              </a:p>
            </xdr:txBody>
          </xdr:sp>
          <xdr:sp macro="" textlink="$E$85">
            <xdr:nvSpPr>
              <xdr:cNvPr id="61" name="Freeform: Shape 36">
                <a:extLst>
                  <a:ext uri="{FF2B5EF4-FFF2-40B4-BE49-F238E27FC236}">
                    <a16:creationId xmlns:a16="http://schemas.microsoft.com/office/drawing/2014/main" id="{A34A4CFB-350B-8CDB-7AE2-86CD0240274D}"/>
                  </a:ext>
                </a:extLst>
              </xdr:cNvPr>
              <xdr:cNvSpPr/>
            </xdr:nvSpPr>
            <xdr:spPr>
              <a:xfrm>
                <a:off x="5988227" y="14220012"/>
                <a:ext cx="457200" cy="22860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FA7F9E1B-72A2-41A9-8EA1-F5778713D5C8}" type="TxLink">
                  <a:rPr lang="en-US" sz="900" b="0" i="0" u="none" strike="noStrike" kern="1200" cap="none" spc="0">
                    <a:ln w="0"/>
                    <a:solidFill>
                      <a:srgbClr val="00008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900" b="0" kern="1200" cap="none" spc="0">
                  <a:ln w="0"/>
                  <a:effectLst>
                    <a:outerShdw blurRad="38100" dist="19050" dir="2700000" algn="tl" rotWithShape="0">
                      <a:schemeClr val="dk1">
                        <a:alpha val="40000"/>
                      </a:schemeClr>
                    </a:outerShdw>
                  </a:effectLst>
                </a:endParaRPr>
              </a:p>
            </xdr:txBody>
          </xdr:sp>
          <xdr:sp macro="" textlink="$E$86">
            <xdr:nvSpPr>
              <xdr:cNvPr id="65" name="Freeform: Shape 36">
                <a:extLst>
                  <a:ext uri="{FF2B5EF4-FFF2-40B4-BE49-F238E27FC236}">
                    <a16:creationId xmlns:a16="http://schemas.microsoft.com/office/drawing/2014/main" id="{85A44F5D-5D8D-49EB-9ADF-D8D1DCF5405C}"/>
                  </a:ext>
                </a:extLst>
              </xdr:cNvPr>
              <xdr:cNvSpPr/>
            </xdr:nvSpPr>
            <xdr:spPr>
              <a:xfrm>
                <a:off x="6520400" y="14220130"/>
                <a:ext cx="457200" cy="22860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51A219A9-A3C1-4205-B7A7-39B23C501DFA}" type="TxLink">
                  <a:rPr lang="en-US" sz="900" b="0" i="0" u="none" strike="noStrike" kern="1200" cap="none" spc="0">
                    <a:ln w="0"/>
                    <a:solidFill>
                      <a:srgbClr val="00008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900" b="0" kern="1200" cap="none" spc="0">
                  <a:ln w="0"/>
                  <a:effectLst>
                    <a:outerShdw blurRad="38100" dist="19050" dir="2700000" algn="tl" rotWithShape="0">
                      <a:schemeClr val="dk1">
                        <a:alpha val="40000"/>
                      </a:schemeClr>
                    </a:outerShdw>
                  </a:effectLst>
                </a:endParaRPr>
              </a:p>
            </xdr:txBody>
          </xdr:sp>
          <xdr:sp macro="" textlink="$E$81">
            <xdr:nvSpPr>
              <xdr:cNvPr id="66" name="Freeform: Shape 36">
                <a:extLst>
                  <a:ext uri="{FF2B5EF4-FFF2-40B4-BE49-F238E27FC236}">
                    <a16:creationId xmlns:a16="http://schemas.microsoft.com/office/drawing/2014/main" id="{DE0D298E-EEB5-862B-0699-9FC33A604528}"/>
                  </a:ext>
                </a:extLst>
              </xdr:cNvPr>
              <xdr:cNvSpPr/>
            </xdr:nvSpPr>
            <xdr:spPr>
              <a:xfrm>
                <a:off x="2954038" y="14230770"/>
                <a:ext cx="457200" cy="22860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40909" tIns="40909" rIns="40909" bIns="40909" numCol="1" spcCol="1270" anchor="b" anchorCtr="0">
                <a:noAutofit/>
              </a:bodyPr>
              <a:lstStyle/>
              <a:p>
                <a:pPr marL="0" lvl="0" indent="0" algn="ctr" defTabSz="400050">
                  <a:lnSpc>
                    <a:spcPct val="90000"/>
                  </a:lnSpc>
                  <a:spcBef>
                    <a:spcPct val="0"/>
                  </a:spcBef>
                  <a:spcAft>
                    <a:spcPct val="35000"/>
                  </a:spcAft>
                  <a:buNone/>
                </a:pPr>
                <a:fld id="{7D990D5E-3BA4-4DA3-8732-9E9A7BB66B96}" type="TxLink">
                  <a:rPr lang="en-US" sz="900" b="0" i="0" u="none" strike="noStrike" kern="1200" cap="none" spc="0">
                    <a:ln w="0"/>
                    <a:solidFill>
                      <a:srgbClr val="00008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900" b="0" kern="1200" cap="none" spc="0">
                  <a:ln w="0"/>
                  <a:effectLst>
                    <a:outerShdw blurRad="38100" dist="19050" dir="2700000" algn="tl" rotWithShape="0">
                      <a:schemeClr val="dk1">
                        <a:alpha val="40000"/>
                      </a:schemeClr>
                    </a:outerShdw>
                  </a:effectLst>
                </a:endParaRPr>
              </a:p>
            </xdr:txBody>
          </xdr:sp>
        </xdr:grpSp>
        <xdr:sp macro="" textlink="$E$90">
          <xdr:nvSpPr>
            <xdr:cNvPr id="46" name="Freeform: Shape 36">
              <a:extLst>
                <a:ext uri="{FF2B5EF4-FFF2-40B4-BE49-F238E27FC236}">
                  <a16:creationId xmlns:a16="http://schemas.microsoft.com/office/drawing/2014/main" id="{97F45799-7930-AAA4-7087-6B743D7101AE}"/>
                </a:ext>
              </a:extLst>
            </xdr:cNvPr>
            <xdr:cNvSpPr/>
          </xdr:nvSpPr>
          <xdr:spPr>
            <a:xfrm>
              <a:off x="11574051" y="14744557"/>
              <a:ext cx="485160" cy="20577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spcFirstLastPara="0" vert="horz" wrap="square" lIns="0" tIns="0" rIns="0" bIns="0" numCol="1" spcCol="1270" anchor="t" anchorCtr="0">
              <a:noAutofit/>
            </a:bodyPr>
            <a:lstStyle/>
            <a:p>
              <a:pPr marL="0" lvl="0" indent="0" algn="ctr" defTabSz="400050">
                <a:lnSpc>
                  <a:spcPct val="90000"/>
                </a:lnSpc>
                <a:spcBef>
                  <a:spcPct val="0"/>
                </a:spcBef>
                <a:spcAft>
                  <a:spcPct val="35000"/>
                </a:spcAft>
                <a:buNone/>
              </a:pPr>
              <a:fld id="{A25D3567-0577-4889-8538-CF24739069E0}" type="TxLink">
                <a:rPr lang="en-US" sz="800" b="0" i="0" u="none" strike="noStrike" kern="1200" cap="none" spc="0">
                  <a:ln w="0"/>
                  <a:solidFill>
                    <a:srgbClr val="000080"/>
                  </a:solidFill>
                  <a:effectLst>
                    <a:outerShdw blurRad="38100" dist="19050" dir="2700000" algn="tl" rotWithShape="0">
                      <a:schemeClr val="dk1">
                        <a:alpha val="40000"/>
                      </a:schemeClr>
                    </a:outerShdw>
                  </a:effectLst>
                  <a:latin typeface="Calibri"/>
                  <a:cs typeface="Calibri"/>
                </a:rPr>
                <a:pPr marL="0" lvl="0" indent="0" algn="ctr" defTabSz="400050">
                  <a:lnSpc>
                    <a:spcPct val="90000"/>
                  </a:lnSpc>
                  <a:spcBef>
                    <a:spcPct val="0"/>
                  </a:spcBef>
                  <a:spcAft>
                    <a:spcPct val="35000"/>
                  </a:spcAft>
                  <a:buNone/>
                </a:pPr>
                <a:t> </a:t>
              </a:fld>
              <a:endParaRPr lang="en-US" sz="800" b="0" kern="1200" cap="none" spc="0">
                <a:ln w="0"/>
                <a:effectLst>
                  <a:outerShdw blurRad="38100" dist="19050" dir="2700000" algn="tl" rotWithShape="0">
                    <a:schemeClr val="dk1">
                      <a:alpha val="40000"/>
                    </a:schemeClr>
                  </a:outerShdw>
                </a:effectLst>
              </a:endParaRPr>
            </a:p>
          </xdr:txBody>
        </xdr:sp>
      </xdr:grpSp>
    </xdr:grpSp>
    <xdr:clientData/>
  </xdr:twoCellAnchor>
  <xdr:twoCellAnchor>
    <xdr:from>
      <xdr:col>9</xdr:col>
      <xdr:colOff>217723</xdr:colOff>
      <xdr:row>215</xdr:row>
      <xdr:rowOff>107949</xdr:rowOff>
    </xdr:from>
    <xdr:to>
      <xdr:col>13</xdr:col>
      <xdr:colOff>1235084</xdr:colOff>
      <xdr:row>231</xdr:row>
      <xdr:rowOff>14514</xdr:rowOff>
    </xdr:to>
    <xdr:graphicFrame macro="">
      <xdr:nvGraphicFramePr>
        <xdr:cNvPr id="87" name="Chart 86">
          <a:extLst>
            <a:ext uri="{FF2B5EF4-FFF2-40B4-BE49-F238E27FC236}">
              <a16:creationId xmlns:a16="http://schemas.microsoft.com/office/drawing/2014/main" id="{ED776A81-4600-1A3A-2804-6C1CFF4A9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0.86516</cdr:x>
      <cdr:y>0.08718</cdr:y>
    </cdr:from>
    <cdr:to>
      <cdr:x>0.97434</cdr:x>
      <cdr:y>0.18891</cdr:y>
    </cdr:to>
    <cdr:grpSp>
      <cdr:nvGrpSpPr>
        <cdr:cNvPr id="8" name="Group 7">
          <a:extLst xmlns:a="http://schemas.openxmlformats.org/drawingml/2006/main">
            <a:ext uri="{FF2B5EF4-FFF2-40B4-BE49-F238E27FC236}">
              <a16:creationId xmlns:a16="http://schemas.microsoft.com/office/drawing/2014/main" id="{71193B6F-347E-439C-AD60-D9A27D7EB966}"/>
            </a:ext>
          </a:extLst>
        </cdr:cNvPr>
        <cdr:cNvGrpSpPr/>
      </cdr:nvGrpSpPr>
      <cdr:grpSpPr>
        <a:xfrm xmlns:a="http://schemas.openxmlformats.org/drawingml/2006/main">
          <a:off x="8940167" y="278569"/>
          <a:ext cx="1128216" cy="325061"/>
          <a:chOff x="4908550" y="335281"/>
          <a:chExt cx="899152" cy="329500"/>
        </a:xfrm>
      </cdr:grpSpPr>
      <cdr:sp macro="" textlink="">
        <cdr:nvSpPr>
          <cdr:cNvPr id="5" name="Rectangle 4">
            <a:extLst xmlns:a="http://schemas.openxmlformats.org/drawingml/2006/main">
              <a:ext uri="{FF2B5EF4-FFF2-40B4-BE49-F238E27FC236}">
                <a16:creationId xmlns:a16="http://schemas.microsoft.com/office/drawing/2014/main" id="{58AED5C3-85DC-480F-A7A0-A32D2B28EB81}"/>
              </a:ext>
            </a:extLst>
          </cdr:cNvPr>
          <cdr:cNvSpPr/>
        </cdr:nvSpPr>
        <cdr:spPr>
          <a:xfrm xmlns:a="http://schemas.openxmlformats.org/drawingml/2006/main">
            <a:off x="4908550" y="411480"/>
            <a:ext cx="91440" cy="60960"/>
          </a:xfrm>
          <a:prstGeom xmlns:a="http://schemas.openxmlformats.org/drawingml/2006/main" prst="rect">
            <a:avLst/>
          </a:prstGeom>
          <a:ln xmlns:a="http://schemas.openxmlformats.org/drawingml/2006/main">
            <a:solidFill>
              <a:srgbClr val="FF0000"/>
            </a:solidFill>
          </a:ln>
        </cdr:spPr>
        <cdr:style>
          <a:lnRef xmlns:a="http://schemas.openxmlformats.org/drawingml/2006/main" idx="2">
            <a:scrgbClr r="0" g="0" b="0"/>
          </a:lnRef>
          <a:fillRef xmlns:a="http://schemas.openxmlformats.org/drawingml/2006/main" idx="1">
            <a:schemeClr val="lt1">
              <a:hueOff val="0"/>
              <a:satOff val="0"/>
              <a:lumOff val="0"/>
              <a:alphaOff val="0"/>
            </a:schemeClr>
          </a:fillRef>
          <a:effectRef xmlns:a="http://schemas.openxmlformats.org/drawingml/2006/main" idx="0">
            <a:schemeClr val="lt1">
              <a:hueOff val="0"/>
              <a:satOff val="0"/>
              <a:lumOff val="0"/>
              <a:alphaOff val="0"/>
            </a:schemeClr>
          </a:effectRef>
          <a:fontRef xmlns:a="http://schemas.openxmlformats.org/drawingml/2006/main" idx="minor">
            <a:schemeClr val="dk1">
              <a:hueOff val="0"/>
              <a:satOff val="0"/>
              <a:lumOff val="0"/>
              <a:alphaOff val="0"/>
            </a:schemeClr>
          </a:fontRef>
        </cdr:style>
        <cdr:txBody>
          <a:bodyPr xmlns:a="http://schemas.openxmlformats.org/drawingml/2006/main" spcFirstLastPara="0" vertOverflow="clip" vert="horz" wrap="square" lIns="40909" tIns="40909" rIns="40909" bIns="40909" numCol="1" spcCol="1270" anchor="ctr" anchorCtr="0">
            <a:noAutofit/>
          </a:bodyPr>
          <a:lstStyle xmlns:a="http://schemas.openxmlformats.org/drawingml/2006/main"/>
          <a:p xmlns:a="http://schemas.openxmlformats.org/drawingml/2006/main">
            <a:endParaRPr lang="en-US">
              <a:solidFill>
                <a:schemeClr val="accent6"/>
              </a:solidFill>
            </a:endParaRPr>
          </a:p>
        </cdr:txBody>
      </cdr:sp>
      <cdr:sp macro="" textlink="">
        <cdr:nvSpPr>
          <cdr:cNvPr id="6" name="TextBox 5">
            <a:extLst xmlns:a="http://schemas.openxmlformats.org/drawingml/2006/main">
              <a:ext uri="{FF2B5EF4-FFF2-40B4-BE49-F238E27FC236}">
                <a16:creationId xmlns:a16="http://schemas.microsoft.com/office/drawing/2014/main" id="{348104AA-31D7-489C-AE47-EBE909BF99A7}"/>
              </a:ext>
            </a:extLst>
          </cdr:cNvPr>
          <cdr:cNvSpPr txBox="1"/>
        </cdr:nvSpPr>
        <cdr:spPr>
          <a:xfrm xmlns:a="http://schemas.openxmlformats.org/drawingml/2006/main">
            <a:off x="4954263" y="335281"/>
            <a:ext cx="853439" cy="329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a:t>
            </a:r>
          </a:p>
        </cdr:txBody>
      </cdr:sp>
    </cdr:grpSp>
  </cdr:relSizeAnchor>
  <cdr:relSizeAnchor xmlns:cdr="http://schemas.openxmlformats.org/drawingml/2006/chartDrawing">
    <cdr:from>
      <cdr:x>0.7031</cdr:x>
      <cdr:y>0.08277</cdr:y>
    </cdr:from>
    <cdr:to>
      <cdr:x>0.82363</cdr:x>
      <cdr:y>0.18504</cdr:y>
    </cdr:to>
    <cdr:grpSp>
      <cdr:nvGrpSpPr>
        <cdr:cNvPr id="7" name="Group 6">
          <a:extLst xmlns:a="http://schemas.openxmlformats.org/drawingml/2006/main">
            <a:ext uri="{FF2B5EF4-FFF2-40B4-BE49-F238E27FC236}">
              <a16:creationId xmlns:a16="http://schemas.microsoft.com/office/drawing/2014/main" id="{9FB0B569-6802-4779-8D7C-BD9B77ED8691}"/>
            </a:ext>
          </a:extLst>
        </cdr:cNvPr>
        <cdr:cNvGrpSpPr/>
      </cdr:nvGrpSpPr>
      <cdr:grpSpPr>
        <a:xfrm xmlns:a="http://schemas.openxmlformats.org/drawingml/2006/main">
          <a:off x="7265513" y="264478"/>
          <a:ext cx="1245502" cy="326786"/>
          <a:chOff x="0" y="0"/>
          <a:chExt cx="857936" cy="331239"/>
        </a:xfrm>
      </cdr:grpSpPr>
      <cdr:sp macro="" textlink="">
        <cdr:nvSpPr>
          <cdr:cNvPr id="9" name="Rectangle 8">
            <a:extLst xmlns:a="http://schemas.openxmlformats.org/drawingml/2006/main">
              <a:ext uri="{FF2B5EF4-FFF2-40B4-BE49-F238E27FC236}">
                <a16:creationId xmlns:a16="http://schemas.microsoft.com/office/drawing/2014/main" id="{FF017A09-1F6B-4056-84F4-9F1CFAD69882}"/>
              </a:ext>
            </a:extLst>
          </cdr:cNvPr>
          <cdr:cNvSpPr/>
        </cdr:nvSpPr>
        <cdr:spPr>
          <a:xfrm xmlns:a="http://schemas.openxmlformats.org/drawingml/2006/main">
            <a:off x="0" y="76601"/>
            <a:ext cx="87248" cy="61282"/>
          </a:xfrm>
          <a:prstGeom xmlns:a="http://schemas.openxmlformats.org/drawingml/2006/main" prst="rect">
            <a:avLst/>
          </a:prstGeom>
          <a:ln xmlns:a="http://schemas.openxmlformats.org/drawingml/2006/main">
            <a:solidFill>
              <a:schemeClr val="accent6"/>
            </a:solidFill>
          </a:ln>
        </cdr:spPr>
        <cdr:style>
          <a:lnRef xmlns:a="http://schemas.openxmlformats.org/drawingml/2006/main" idx="2">
            <a:scrgbClr r="0" g="0" b="0"/>
          </a:lnRef>
          <a:fillRef xmlns:a="http://schemas.openxmlformats.org/drawingml/2006/main" idx="1">
            <a:schemeClr val="lt1">
              <a:hueOff val="0"/>
              <a:satOff val="0"/>
              <a:lumOff val="0"/>
              <a:alphaOff val="0"/>
            </a:schemeClr>
          </a:fillRef>
          <a:effectRef xmlns:a="http://schemas.openxmlformats.org/drawingml/2006/main" idx="0">
            <a:schemeClr val="lt1">
              <a:hueOff val="0"/>
              <a:satOff val="0"/>
              <a:lumOff val="0"/>
              <a:alphaOff val="0"/>
            </a:schemeClr>
          </a:effectRef>
          <a:fontRef xmlns:a="http://schemas.openxmlformats.org/drawingml/2006/main" idx="minor">
            <a:schemeClr val="dk1">
              <a:hueOff val="0"/>
              <a:satOff val="0"/>
              <a:lumOff val="0"/>
              <a:alphaOff val="0"/>
            </a:schemeClr>
          </a:fontRef>
        </cdr:style>
        <cdr:txBody>
          <a:bodyPr xmlns:a="http://schemas.openxmlformats.org/drawingml/2006/main" spcFirstLastPara="0" vert="horz" wrap="square" lIns="40909" tIns="40909" rIns="40909" bIns="40909" numCol="1" spcCol="1270" anchor="ctr" anchorCtr="0">
            <a:noAutofit/>
          </a:bodyPr>
          <a:lstStyle xmlns:a="http://schemas.openxmlformats.org/drawingml/2006/main">
            <a:lvl1pPr marL="0" indent="0">
              <a:defRPr sz="1100">
                <a:solidFill>
                  <a:schemeClr val="dk1">
                    <a:hueOff val="0"/>
                    <a:satOff val="0"/>
                    <a:lumOff val="0"/>
                    <a:alphaOff val="0"/>
                  </a:schemeClr>
                </a:solidFill>
                <a:latin typeface="+mn-lt"/>
                <a:ea typeface="+mn-ea"/>
                <a:cs typeface="+mn-cs"/>
              </a:defRPr>
            </a:lvl1pPr>
            <a:lvl2pPr marL="457200" indent="0">
              <a:defRPr sz="1100">
                <a:solidFill>
                  <a:schemeClr val="dk1">
                    <a:hueOff val="0"/>
                    <a:satOff val="0"/>
                    <a:lumOff val="0"/>
                    <a:alphaOff val="0"/>
                  </a:schemeClr>
                </a:solidFill>
                <a:latin typeface="+mn-lt"/>
                <a:ea typeface="+mn-ea"/>
                <a:cs typeface="+mn-cs"/>
              </a:defRPr>
            </a:lvl2pPr>
            <a:lvl3pPr marL="914400" indent="0">
              <a:defRPr sz="1100">
                <a:solidFill>
                  <a:schemeClr val="dk1">
                    <a:hueOff val="0"/>
                    <a:satOff val="0"/>
                    <a:lumOff val="0"/>
                    <a:alphaOff val="0"/>
                  </a:schemeClr>
                </a:solidFill>
                <a:latin typeface="+mn-lt"/>
                <a:ea typeface="+mn-ea"/>
                <a:cs typeface="+mn-cs"/>
              </a:defRPr>
            </a:lvl3pPr>
            <a:lvl4pPr marL="1371600" indent="0">
              <a:defRPr sz="1100">
                <a:solidFill>
                  <a:schemeClr val="dk1">
                    <a:hueOff val="0"/>
                    <a:satOff val="0"/>
                    <a:lumOff val="0"/>
                    <a:alphaOff val="0"/>
                  </a:schemeClr>
                </a:solidFill>
                <a:latin typeface="+mn-lt"/>
                <a:ea typeface="+mn-ea"/>
                <a:cs typeface="+mn-cs"/>
              </a:defRPr>
            </a:lvl4pPr>
            <a:lvl5pPr marL="1828800" indent="0">
              <a:defRPr sz="1100">
                <a:solidFill>
                  <a:schemeClr val="dk1">
                    <a:hueOff val="0"/>
                    <a:satOff val="0"/>
                    <a:lumOff val="0"/>
                    <a:alphaOff val="0"/>
                  </a:schemeClr>
                </a:solidFill>
                <a:latin typeface="+mn-lt"/>
                <a:ea typeface="+mn-ea"/>
                <a:cs typeface="+mn-cs"/>
              </a:defRPr>
            </a:lvl5pPr>
            <a:lvl6pPr marL="2286000" indent="0">
              <a:defRPr sz="1100">
                <a:solidFill>
                  <a:schemeClr val="dk1">
                    <a:hueOff val="0"/>
                    <a:satOff val="0"/>
                    <a:lumOff val="0"/>
                    <a:alphaOff val="0"/>
                  </a:schemeClr>
                </a:solidFill>
                <a:latin typeface="+mn-lt"/>
                <a:ea typeface="+mn-ea"/>
                <a:cs typeface="+mn-cs"/>
              </a:defRPr>
            </a:lvl6pPr>
            <a:lvl7pPr marL="2743200" indent="0">
              <a:defRPr sz="1100">
                <a:solidFill>
                  <a:schemeClr val="dk1">
                    <a:hueOff val="0"/>
                    <a:satOff val="0"/>
                    <a:lumOff val="0"/>
                    <a:alphaOff val="0"/>
                  </a:schemeClr>
                </a:solidFill>
                <a:latin typeface="+mn-lt"/>
                <a:ea typeface="+mn-ea"/>
                <a:cs typeface="+mn-cs"/>
              </a:defRPr>
            </a:lvl7pPr>
            <a:lvl8pPr marL="3200400" indent="0">
              <a:defRPr sz="1100">
                <a:solidFill>
                  <a:schemeClr val="dk1">
                    <a:hueOff val="0"/>
                    <a:satOff val="0"/>
                    <a:lumOff val="0"/>
                    <a:alphaOff val="0"/>
                  </a:schemeClr>
                </a:solidFill>
                <a:latin typeface="+mn-lt"/>
                <a:ea typeface="+mn-ea"/>
                <a:cs typeface="+mn-cs"/>
              </a:defRPr>
            </a:lvl8pPr>
            <a:lvl9pPr marL="3657600" indent="0">
              <a:defRPr sz="1100">
                <a:solidFill>
                  <a:schemeClr val="dk1">
                    <a:hueOff val="0"/>
                    <a:satOff val="0"/>
                    <a:lumOff val="0"/>
                    <a:alphaOff val="0"/>
                  </a:schemeClr>
                </a:solidFill>
                <a:latin typeface="+mn-lt"/>
                <a:ea typeface="+mn-ea"/>
                <a:cs typeface="+mn-cs"/>
              </a:defRPr>
            </a:lvl9pPr>
          </a:lstStyle>
          <a:p xmlns:a="http://schemas.openxmlformats.org/drawingml/2006/main">
            <a:endParaRPr lang="en-US">
              <a:solidFill>
                <a:schemeClr val="accent6"/>
              </a:solidFill>
            </a:endParaRPr>
          </a:p>
        </cdr:txBody>
      </cdr:sp>
      <cdr:sp macro="" textlink="">
        <cdr:nvSpPr>
          <cdr:cNvPr id="10" name="TextBox 3">
            <a:extLst xmlns:a="http://schemas.openxmlformats.org/drawingml/2006/main">
              <a:ext uri="{FF2B5EF4-FFF2-40B4-BE49-F238E27FC236}">
                <a16:creationId xmlns:a16="http://schemas.microsoft.com/office/drawing/2014/main" id="{D90AFA5C-1D65-426E-B65E-9791BB17C7B8}"/>
              </a:ext>
            </a:extLst>
          </cdr:cNvPr>
          <cdr:cNvSpPr txBox="1"/>
        </cdr:nvSpPr>
        <cdr:spPr>
          <a:xfrm xmlns:a="http://schemas.openxmlformats.org/drawingml/2006/main">
            <a:off x="43618" y="0"/>
            <a:ext cx="814318" cy="33123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a:t>Total amount</a:t>
            </a:r>
          </a:p>
          <a:p xmlns:a="http://schemas.openxmlformats.org/drawingml/2006/main">
            <a:r>
              <a:rPr lang="en-US" sz="900"/>
              <a:t>($mn)</a:t>
            </a:r>
          </a:p>
        </cdr:txBody>
      </cdr:sp>
    </cdr:grpSp>
  </cdr:relSizeAnchor>
</c:userShapes>
</file>

<file path=xl/drawings/drawing4.xml><?xml version="1.0" encoding="utf-8"?>
<c:userShapes xmlns:c="http://schemas.openxmlformats.org/drawingml/2006/chart">
  <cdr:relSizeAnchor xmlns:cdr="http://schemas.openxmlformats.org/drawingml/2006/chartDrawing">
    <cdr:from>
      <cdr:x>0.86516</cdr:x>
      <cdr:y>0.08718</cdr:y>
    </cdr:from>
    <cdr:to>
      <cdr:x>0.97434</cdr:x>
      <cdr:y>0.18891</cdr:y>
    </cdr:to>
    <cdr:grpSp>
      <cdr:nvGrpSpPr>
        <cdr:cNvPr id="8" name="Group 7">
          <a:extLst xmlns:a="http://schemas.openxmlformats.org/drawingml/2006/main">
            <a:ext uri="{FF2B5EF4-FFF2-40B4-BE49-F238E27FC236}">
              <a16:creationId xmlns:a16="http://schemas.microsoft.com/office/drawing/2014/main" id="{71193B6F-347E-439C-AD60-D9A27D7EB966}"/>
            </a:ext>
          </a:extLst>
        </cdr:cNvPr>
        <cdr:cNvGrpSpPr/>
      </cdr:nvGrpSpPr>
      <cdr:grpSpPr>
        <a:xfrm xmlns:a="http://schemas.openxmlformats.org/drawingml/2006/main">
          <a:off x="7305842" y="317318"/>
          <a:ext cx="921970" cy="370277"/>
          <a:chOff x="4908550" y="335281"/>
          <a:chExt cx="899152" cy="329500"/>
        </a:xfrm>
      </cdr:grpSpPr>
      <cdr:sp macro="" textlink="">
        <cdr:nvSpPr>
          <cdr:cNvPr id="5" name="Rectangle 4">
            <a:extLst xmlns:a="http://schemas.openxmlformats.org/drawingml/2006/main">
              <a:ext uri="{FF2B5EF4-FFF2-40B4-BE49-F238E27FC236}">
                <a16:creationId xmlns:a16="http://schemas.microsoft.com/office/drawing/2014/main" id="{58AED5C3-85DC-480F-A7A0-A32D2B28EB81}"/>
              </a:ext>
            </a:extLst>
          </cdr:cNvPr>
          <cdr:cNvSpPr/>
        </cdr:nvSpPr>
        <cdr:spPr>
          <a:xfrm xmlns:a="http://schemas.openxmlformats.org/drawingml/2006/main">
            <a:off x="4908550" y="411480"/>
            <a:ext cx="91440" cy="60960"/>
          </a:xfrm>
          <a:prstGeom xmlns:a="http://schemas.openxmlformats.org/drawingml/2006/main" prst="rect">
            <a:avLst/>
          </a:prstGeom>
          <a:ln xmlns:a="http://schemas.openxmlformats.org/drawingml/2006/main">
            <a:solidFill>
              <a:srgbClr val="FF0000"/>
            </a:solidFill>
          </a:ln>
        </cdr:spPr>
        <cdr:style>
          <a:lnRef xmlns:a="http://schemas.openxmlformats.org/drawingml/2006/main" idx="2">
            <a:scrgbClr r="0" g="0" b="0"/>
          </a:lnRef>
          <a:fillRef xmlns:a="http://schemas.openxmlformats.org/drawingml/2006/main" idx="1">
            <a:schemeClr val="lt1">
              <a:hueOff val="0"/>
              <a:satOff val="0"/>
              <a:lumOff val="0"/>
              <a:alphaOff val="0"/>
            </a:schemeClr>
          </a:fillRef>
          <a:effectRef xmlns:a="http://schemas.openxmlformats.org/drawingml/2006/main" idx="0">
            <a:schemeClr val="lt1">
              <a:hueOff val="0"/>
              <a:satOff val="0"/>
              <a:lumOff val="0"/>
              <a:alphaOff val="0"/>
            </a:schemeClr>
          </a:effectRef>
          <a:fontRef xmlns:a="http://schemas.openxmlformats.org/drawingml/2006/main" idx="minor">
            <a:schemeClr val="dk1">
              <a:hueOff val="0"/>
              <a:satOff val="0"/>
              <a:lumOff val="0"/>
              <a:alphaOff val="0"/>
            </a:schemeClr>
          </a:fontRef>
        </cdr:style>
        <cdr:txBody>
          <a:bodyPr xmlns:a="http://schemas.openxmlformats.org/drawingml/2006/main" spcFirstLastPara="0" vertOverflow="clip" vert="horz" wrap="square" lIns="40909" tIns="40909" rIns="40909" bIns="40909" numCol="1" spcCol="1270" anchor="ctr" anchorCtr="0">
            <a:noAutofit/>
          </a:bodyPr>
          <a:lstStyle xmlns:a="http://schemas.openxmlformats.org/drawingml/2006/main"/>
          <a:p xmlns:a="http://schemas.openxmlformats.org/drawingml/2006/main">
            <a:endParaRPr lang="en-US">
              <a:solidFill>
                <a:schemeClr val="accent6"/>
              </a:solidFill>
            </a:endParaRPr>
          </a:p>
        </cdr:txBody>
      </cdr:sp>
      <cdr:sp macro="" textlink="">
        <cdr:nvSpPr>
          <cdr:cNvPr id="6" name="TextBox 5">
            <a:extLst xmlns:a="http://schemas.openxmlformats.org/drawingml/2006/main">
              <a:ext uri="{FF2B5EF4-FFF2-40B4-BE49-F238E27FC236}">
                <a16:creationId xmlns:a16="http://schemas.microsoft.com/office/drawing/2014/main" id="{348104AA-31D7-489C-AE47-EBE909BF99A7}"/>
              </a:ext>
            </a:extLst>
          </cdr:cNvPr>
          <cdr:cNvSpPr txBox="1"/>
        </cdr:nvSpPr>
        <cdr:spPr>
          <a:xfrm xmlns:a="http://schemas.openxmlformats.org/drawingml/2006/main">
            <a:off x="4954263" y="335281"/>
            <a:ext cx="853439" cy="329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a:t>
            </a:r>
          </a:p>
        </cdr:txBody>
      </cdr:sp>
    </cdr:grpSp>
  </cdr:relSizeAnchor>
  <cdr:relSizeAnchor xmlns:cdr="http://schemas.openxmlformats.org/drawingml/2006/chartDrawing">
    <cdr:from>
      <cdr:x>0.7031</cdr:x>
      <cdr:y>0.08277</cdr:y>
    </cdr:from>
    <cdr:to>
      <cdr:x>0.82363</cdr:x>
      <cdr:y>0.18504</cdr:y>
    </cdr:to>
    <cdr:grpSp>
      <cdr:nvGrpSpPr>
        <cdr:cNvPr id="7" name="Group 6">
          <a:extLst xmlns:a="http://schemas.openxmlformats.org/drawingml/2006/main">
            <a:ext uri="{FF2B5EF4-FFF2-40B4-BE49-F238E27FC236}">
              <a16:creationId xmlns:a16="http://schemas.microsoft.com/office/drawing/2014/main" id="{9FB0B569-6802-4779-8D7C-BD9B77ED8691}"/>
            </a:ext>
          </a:extLst>
        </cdr:cNvPr>
        <cdr:cNvGrpSpPr/>
      </cdr:nvGrpSpPr>
      <cdr:grpSpPr>
        <a:xfrm xmlns:a="http://schemas.openxmlformats.org/drawingml/2006/main">
          <a:off x="5937327" y="301266"/>
          <a:ext cx="1017815" cy="372243"/>
          <a:chOff x="0" y="0"/>
          <a:chExt cx="857936" cy="331239"/>
        </a:xfrm>
      </cdr:grpSpPr>
      <cdr:sp macro="" textlink="">
        <cdr:nvSpPr>
          <cdr:cNvPr id="9" name="Rectangle 8">
            <a:extLst xmlns:a="http://schemas.openxmlformats.org/drawingml/2006/main">
              <a:ext uri="{FF2B5EF4-FFF2-40B4-BE49-F238E27FC236}">
                <a16:creationId xmlns:a16="http://schemas.microsoft.com/office/drawing/2014/main" id="{FF017A09-1F6B-4056-84F4-9F1CFAD69882}"/>
              </a:ext>
            </a:extLst>
          </cdr:cNvPr>
          <cdr:cNvSpPr/>
        </cdr:nvSpPr>
        <cdr:spPr>
          <a:xfrm xmlns:a="http://schemas.openxmlformats.org/drawingml/2006/main">
            <a:off x="0" y="76601"/>
            <a:ext cx="87248" cy="61282"/>
          </a:xfrm>
          <a:prstGeom xmlns:a="http://schemas.openxmlformats.org/drawingml/2006/main" prst="rect">
            <a:avLst/>
          </a:prstGeom>
          <a:ln xmlns:a="http://schemas.openxmlformats.org/drawingml/2006/main">
            <a:solidFill>
              <a:schemeClr val="accent6"/>
            </a:solidFill>
          </a:ln>
        </cdr:spPr>
        <cdr:style>
          <a:lnRef xmlns:a="http://schemas.openxmlformats.org/drawingml/2006/main" idx="2">
            <a:scrgbClr r="0" g="0" b="0"/>
          </a:lnRef>
          <a:fillRef xmlns:a="http://schemas.openxmlformats.org/drawingml/2006/main" idx="1">
            <a:schemeClr val="lt1">
              <a:hueOff val="0"/>
              <a:satOff val="0"/>
              <a:lumOff val="0"/>
              <a:alphaOff val="0"/>
            </a:schemeClr>
          </a:fillRef>
          <a:effectRef xmlns:a="http://schemas.openxmlformats.org/drawingml/2006/main" idx="0">
            <a:schemeClr val="lt1">
              <a:hueOff val="0"/>
              <a:satOff val="0"/>
              <a:lumOff val="0"/>
              <a:alphaOff val="0"/>
            </a:schemeClr>
          </a:effectRef>
          <a:fontRef xmlns:a="http://schemas.openxmlformats.org/drawingml/2006/main" idx="minor">
            <a:schemeClr val="dk1">
              <a:hueOff val="0"/>
              <a:satOff val="0"/>
              <a:lumOff val="0"/>
              <a:alphaOff val="0"/>
            </a:schemeClr>
          </a:fontRef>
        </cdr:style>
        <cdr:txBody>
          <a:bodyPr xmlns:a="http://schemas.openxmlformats.org/drawingml/2006/main" spcFirstLastPara="0" vert="horz" wrap="square" lIns="40909" tIns="40909" rIns="40909" bIns="40909" numCol="1" spcCol="1270" anchor="ctr" anchorCtr="0">
            <a:noAutofit/>
          </a:bodyPr>
          <a:lstStyle xmlns:a="http://schemas.openxmlformats.org/drawingml/2006/main">
            <a:lvl1pPr marL="0" indent="0">
              <a:defRPr sz="1100">
                <a:solidFill>
                  <a:schemeClr val="dk1">
                    <a:hueOff val="0"/>
                    <a:satOff val="0"/>
                    <a:lumOff val="0"/>
                    <a:alphaOff val="0"/>
                  </a:schemeClr>
                </a:solidFill>
                <a:latin typeface="+mn-lt"/>
                <a:ea typeface="+mn-ea"/>
                <a:cs typeface="+mn-cs"/>
              </a:defRPr>
            </a:lvl1pPr>
            <a:lvl2pPr marL="457200" indent="0">
              <a:defRPr sz="1100">
                <a:solidFill>
                  <a:schemeClr val="dk1">
                    <a:hueOff val="0"/>
                    <a:satOff val="0"/>
                    <a:lumOff val="0"/>
                    <a:alphaOff val="0"/>
                  </a:schemeClr>
                </a:solidFill>
                <a:latin typeface="+mn-lt"/>
                <a:ea typeface="+mn-ea"/>
                <a:cs typeface="+mn-cs"/>
              </a:defRPr>
            </a:lvl2pPr>
            <a:lvl3pPr marL="914400" indent="0">
              <a:defRPr sz="1100">
                <a:solidFill>
                  <a:schemeClr val="dk1">
                    <a:hueOff val="0"/>
                    <a:satOff val="0"/>
                    <a:lumOff val="0"/>
                    <a:alphaOff val="0"/>
                  </a:schemeClr>
                </a:solidFill>
                <a:latin typeface="+mn-lt"/>
                <a:ea typeface="+mn-ea"/>
                <a:cs typeface="+mn-cs"/>
              </a:defRPr>
            </a:lvl3pPr>
            <a:lvl4pPr marL="1371600" indent="0">
              <a:defRPr sz="1100">
                <a:solidFill>
                  <a:schemeClr val="dk1">
                    <a:hueOff val="0"/>
                    <a:satOff val="0"/>
                    <a:lumOff val="0"/>
                    <a:alphaOff val="0"/>
                  </a:schemeClr>
                </a:solidFill>
                <a:latin typeface="+mn-lt"/>
                <a:ea typeface="+mn-ea"/>
                <a:cs typeface="+mn-cs"/>
              </a:defRPr>
            </a:lvl4pPr>
            <a:lvl5pPr marL="1828800" indent="0">
              <a:defRPr sz="1100">
                <a:solidFill>
                  <a:schemeClr val="dk1">
                    <a:hueOff val="0"/>
                    <a:satOff val="0"/>
                    <a:lumOff val="0"/>
                    <a:alphaOff val="0"/>
                  </a:schemeClr>
                </a:solidFill>
                <a:latin typeface="+mn-lt"/>
                <a:ea typeface="+mn-ea"/>
                <a:cs typeface="+mn-cs"/>
              </a:defRPr>
            </a:lvl5pPr>
            <a:lvl6pPr marL="2286000" indent="0">
              <a:defRPr sz="1100">
                <a:solidFill>
                  <a:schemeClr val="dk1">
                    <a:hueOff val="0"/>
                    <a:satOff val="0"/>
                    <a:lumOff val="0"/>
                    <a:alphaOff val="0"/>
                  </a:schemeClr>
                </a:solidFill>
                <a:latin typeface="+mn-lt"/>
                <a:ea typeface="+mn-ea"/>
                <a:cs typeface="+mn-cs"/>
              </a:defRPr>
            </a:lvl6pPr>
            <a:lvl7pPr marL="2743200" indent="0">
              <a:defRPr sz="1100">
                <a:solidFill>
                  <a:schemeClr val="dk1">
                    <a:hueOff val="0"/>
                    <a:satOff val="0"/>
                    <a:lumOff val="0"/>
                    <a:alphaOff val="0"/>
                  </a:schemeClr>
                </a:solidFill>
                <a:latin typeface="+mn-lt"/>
                <a:ea typeface="+mn-ea"/>
                <a:cs typeface="+mn-cs"/>
              </a:defRPr>
            </a:lvl7pPr>
            <a:lvl8pPr marL="3200400" indent="0">
              <a:defRPr sz="1100">
                <a:solidFill>
                  <a:schemeClr val="dk1">
                    <a:hueOff val="0"/>
                    <a:satOff val="0"/>
                    <a:lumOff val="0"/>
                    <a:alphaOff val="0"/>
                  </a:schemeClr>
                </a:solidFill>
                <a:latin typeface="+mn-lt"/>
                <a:ea typeface="+mn-ea"/>
                <a:cs typeface="+mn-cs"/>
              </a:defRPr>
            </a:lvl8pPr>
            <a:lvl9pPr marL="3657600" indent="0">
              <a:defRPr sz="1100">
                <a:solidFill>
                  <a:schemeClr val="dk1">
                    <a:hueOff val="0"/>
                    <a:satOff val="0"/>
                    <a:lumOff val="0"/>
                    <a:alphaOff val="0"/>
                  </a:schemeClr>
                </a:solidFill>
                <a:latin typeface="+mn-lt"/>
                <a:ea typeface="+mn-ea"/>
                <a:cs typeface="+mn-cs"/>
              </a:defRPr>
            </a:lvl9pPr>
          </a:lstStyle>
          <a:p xmlns:a="http://schemas.openxmlformats.org/drawingml/2006/main">
            <a:endParaRPr lang="en-US">
              <a:solidFill>
                <a:schemeClr val="accent6"/>
              </a:solidFill>
            </a:endParaRPr>
          </a:p>
        </cdr:txBody>
      </cdr:sp>
      <cdr:sp macro="" textlink="">
        <cdr:nvSpPr>
          <cdr:cNvPr id="10" name="TextBox 3">
            <a:extLst xmlns:a="http://schemas.openxmlformats.org/drawingml/2006/main">
              <a:ext uri="{FF2B5EF4-FFF2-40B4-BE49-F238E27FC236}">
                <a16:creationId xmlns:a16="http://schemas.microsoft.com/office/drawing/2014/main" id="{D90AFA5C-1D65-426E-B65E-9791BB17C7B8}"/>
              </a:ext>
            </a:extLst>
          </cdr:cNvPr>
          <cdr:cNvSpPr txBox="1"/>
        </cdr:nvSpPr>
        <cdr:spPr>
          <a:xfrm xmlns:a="http://schemas.openxmlformats.org/drawingml/2006/main">
            <a:off x="43618" y="0"/>
            <a:ext cx="814318" cy="33123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a:t>Total amount</a:t>
            </a:r>
          </a:p>
          <a:p xmlns:a="http://schemas.openxmlformats.org/drawingml/2006/main">
            <a:r>
              <a:rPr lang="en-US" sz="900"/>
              <a:t>($mn)</a:t>
            </a:r>
          </a:p>
        </cdr:txBody>
      </cdr:sp>
    </cdr:grpSp>
  </cdr:relSizeAnchor>
</c:userShapes>
</file>

<file path=xl/drawings/drawing5.xml><?xml version="1.0" encoding="utf-8"?>
<xdr:wsDr xmlns:xdr="http://schemas.openxmlformats.org/drawingml/2006/spreadsheetDrawing" xmlns:a="http://schemas.openxmlformats.org/drawingml/2006/main">
  <xdr:twoCellAnchor editAs="oneCell">
    <xdr:from>
      <xdr:col>0</xdr:col>
      <xdr:colOff>241746</xdr:colOff>
      <xdr:row>137</xdr:row>
      <xdr:rowOff>156016</xdr:rowOff>
    </xdr:from>
    <xdr:to>
      <xdr:col>0</xdr:col>
      <xdr:colOff>1202616</xdr:colOff>
      <xdr:row>138</xdr:row>
      <xdr:rowOff>131778</xdr:rowOff>
    </xdr:to>
    <xdr:sp macro="" textlink="">
      <xdr:nvSpPr>
        <xdr:cNvPr id="43" name="Rectangle: Rounded Corners 42">
          <a:hlinkClick xmlns:r="http://schemas.openxmlformats.org/officeDocument/2006/relationships" r:id="rId1"/>
          <a:extLst>
            <a:ext uri="{FF2B5EF4-FFF2-40B4-BE49-F238E27FC236}">
              <a16:creationId xmlns:a16="http://schemas.microsoft.com/office/drawing/2014/main" id="{AC47A930-078F-E6B4-3C38-622B1ECB5EE0}"/>
            </a:ext>
          </a:extLst>
        </xdr:cNvPr>
        <xdr:cNvSpPr/>
      </xdr:nvSpPr>
      <xdr:spPr>
        <a:xfrm>
          <a:off x="241746" y="17888204"/>
          <a:ext cx="957060" cy="160211"/>
        </a:xfrm>
        <a:prstGeom prst="roundRect">
          <a:avLst/>
        </a:prstGeom>
        <a:solidFill>
          <a:schemeClr val="accent6">
            <a:lumMod val="40000"/>
            <a:lumOff val="60000"/>
          </a:schemeClr>
        </a:solidFill>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rtlCol="0" anchor="ctr" anchorCtr="0">
          <a:noAutofit/>
        </a:bodyPr>
        <a:lstStyle/>
        <a:p>
          <a:pPr marL="0" indent="0" algn="ctr" defTabSz="400050">
            <a:lnSpc>
              <a:spcPct val="90000"/>
            </a:lnSpc>
            <a:spcBef>
              <a:spcPct val="0"/>
            </a:spcBef>
            <a:spcAft>
              <a:spcPct val="35000"/>
            </a:spcAft>
            <a:buNone/>
          </a:pPr>
          <a:r>
            <a:rPr lang="en-US" sz="900" b="0" kern="1200" cap="none" spc="0">
              <a:ln w="0"/>
              <a:effectLst>
                <a:outerShdw blurRad="38100" dist="19050" dir="2700000" algn="tl" rotWithShape="0">
                  <a:schemeClr val="dk1">
                    <a:alpha val="40000"/>
                  </a:schemeClr>
                </a:outerShdw>
              </a:effectLst>
            </a:rPr>
            <a:t>Go</a:t>
          </a:r>
          <a:r>
            <a:rPr lang="en-US" sz="900" b="0" kern="1200" cap="none" spc="0" baseline="0">
              <a:ln w="0"/>
              <a:effectLst>
                <a:outerShdw blurRad="38100" dist="19050" dir="2700000" algn="tl" rotWithShape="0">
                  <a:schemeClr val="dk1">
                    <a:alpha val="40000"/>
                  </a:schemeClr>
                </a:outerShdw>
              </a:effectLst>
            </a:rPr>
            <a:t> to detail &gt;&gt;</a:t>
          </a:r>
          <a:endParaRPr lang="en-US" sz="900" b="0" kern="1200" cap="none" spc="0">
            <a:ln w="0"/>
            <a:effectLst>
              <a:outerShdw blurRad="38100" dist="19050" dir="2700000" algn="tl" rotWithShape="0">
                <a:schemeClr val="dk1">
                  <a:alpha val="40000"/>
                </a:schemeClr>
              </a:outerShdw>
            </a:effectLst>
          </a:endParaRPr>
        </a:p>
      </xdr:txBody>
    </xdr:sp>
    <xdr:clientData/>
  </xdr:twoCellAnchor>
  <xdr:oneCellAnchor>
    <xdr:from>
      <xdr:col>0</xdr:col>
      <xdr:colOff>280149</xdr:colOff>
      <xdr:row>196</xdr:row>
      <xdr:rowOff>106132</xdr:rowOff>
    </xdr:from>
    <xdr:ext cx="963706" cy="234528"/>
    <xdr:sp macro="" textlink="">
      <xdr:nvSpPr>
        <xdr:cNvPr id="44" name="Rectangle: Rounded Corners 43">
          <a:hlinkClick xmlns:r="http://schemas.openxmlformats.org/officeDocument/2006/relationships" r:id="rId2"/>
          <a:extLst>
            <a:ext uri="{FF2B5EF4-FFF2-40B4-BE49-F238E27FC236}">
              <a16:creationId xmlns:a16="http://schemas.microsoft.com/office/drawing/2014/main" id="{70CAA12A-E3E8-4999-9116-9B3FCD111D32}"/>
            </a:ext>
          </a:extLst>
        </xdr:cNvPr>
        <xdr:cNvSpPr/>
      </xdr:nvSpPr>
      <xdr:spPr>
        <a:xfrm>
          <a:off x="280149" y="25879661"/>
          <a:ext cx="963706" cy="234528"/>
        </a:xfrm>
        <a:prstGeom prst="roundRect">
          <a:avLst/>
        </a:prstGeom>
        <a:solidFill>
          <a:schemeClr val="accent6">
            <a:lumMod val="40000"/>
            <a:lumOff val="60000"/>
          </a:schemeClr>
        </a:solidFill>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rtlCol="0" anchor="ctr" anchorCtr="0">
          <a:noAutofit/>
        </a:bodyPr>
        <a:lstStyle/>
        <a:p>
          <a:pPr marL="0" indent="0" algn="ctr" defTabSz="400050">
            <a:lnSpc>
              <a:spcPct val="90000"/>
            </a:lnSpc>
            <a:spcBef>
              <a:spcPct val="0"/>
            </a:spcBef>
            <a:spcAft>
              <a:spcPct val="35000"/>
            </a:spcAft>
            <a:buNone/>
          </a:pPr>
          <a:r>
            <a:rPr lang="en-US" sz="900" b="0" kern="1200" cap="none" spc="0">
              <a:ln w="0"/>
              <a:effectLst>
                <a:outerShdw blurRad="38100" dist="19050" dir="2700000" algn="tl" rotWithShape="0">
                  <a:schemeClr val="dk1">
                    <a:alpha val="40000"/>
                  </a:schemeClr>
                </a:outerShdw>
              </a:effectLst>
            </a:rPr>
            <a:t>Go</a:t>
          </a:r>
          <a:r>
            <a:rPr lang="en-US" sz="900" b="0" kern="1200" cap="none" spc="0" baseline="0">
              <a:ln w="0"/>
              <a:effectLst>
                <a:outerShdw blurRad="38100" dist="19050" dir="2700000" algn="tl" rotWithShape="0">
                  <a:schemeClr val="dk1">
                    <a:alpha val="40000"/>
                  </a:schemeClr>
                </a:outerShdw>
              </a:effectLst>
            </a:rPr>
            <a:t> to detail &gt;&gt;</a:t>
          </a:r>
          <a:endParaRPr lang="en-US" sz="900" b="0" kern="1200" cap="none" spc="0">
            <a:ln w="0"/>
            <a:effectLst>
              <a:outerShdw blurRad="38100" dist="19050" dir="2700000" algn="tl" rotWithShape="0">
                <a:schemeClr val="dk1">
                  <a:alpha val="40000"/>
                </a:schemeClr>
              </a:outerShdw>
            </a:effectLst>
          </a:endParaRPr>
        </a:p>
      </xdr:txBody>
    </xdr:sp>
    <xdr:clientData/>
  </xdr:oneCellAnchor>
  <xdr:twoCellAnchor editAs="oneCell">
    <xdr:from>
      <xdr:col>0</xdr:col>
      <xdr:colOff>245223</xdr:colOff>
      <xdr:row>64</xdr:row>
      <xdr:rowOff>10522</xdr:rowOff>
    </xdr:from>
    <xdr:to>
      <xdr:col>0</xdr:col>
      <xdr:colOff>1102658</xdr:colOff>
      <xdr:row>65</xdr:row>
      <xdr:rowOff>21739</xdr:rowOff>
    </xdr:to>
    <xdr:sp macro="" textlink="">
      <xdr:nvSpPr>
        <xdr:cNvPr id="46" name="Rectangle: Rounded Corners 45">
          <a:hlinkClick xmlns:r="http://schemas.openxmlformats.org/officeDocument/2006/relationships" r:id="rId3"/>
          <a:extLst>
            <a:ext uri="{FF2B5EF4-FFF2-40B4-BE49-F238E27FC236}">
              <a16:creationId xmlns:a16="http://schemas.microsoft.com/office/drawing/2014/main" id="{5AE15A53-B64D-442F-94EE-7D403057189A}"/>
            </a:ext>
          </a:extLst>
        </xdr:cNvPr>
        <xdr:cNvSpPr/>
      </xdr:nvSpPr>
      <xdr:spPr>
        <a:xfrm>
          <a:off x="245223" y="7101604"/>
          <a:ext cx="857435" cy="186702"/>
        </a:xfrm>
        <a:prstGeom prst="roundRect">
          <a:avLst/>
        </a:prstGeom>
        <a:solidFill>
          <a:schemeClr val="accent6">
            <a:lumMod val="40000"/>
            <a:lumOff val="60000"/>
          </a:schemeClr>
        </a:solidFill>
        <a:ln>
          <a:solidFill>
            <a:srgbClr val="FF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rtlCol="0" anchor="ctr" anchorCtr="0">
          <a:noAutofit/>
        </a:bodyPr>
        <a:lstStyle/>
        <a:p>
          <a:pPr marL="0" indent="0" algn="ctr" defTabSz="400050">
            <a:lnSpc>
              <a:spcPct val="90000"/>
            </a:lnSpc>
            <a:spcBef>
              <a:spcPct val="0"/>
            </a:spcBef>
            <a:spcAft>
              <a:spcPct val="35000"/>
            </a:spcAft>
            <a:buNone/>
          </a:pPr>
          <a:r>
            <a:rPr lang="en-US" sz="900" b="0" kern="1200" cap="none" spc="0">
              <a:ln w="0"/>
              <a:effectLst>
                <a:outerShdw blurRad="38100" dist="19050" dir="2700000" algn="tl" rotWithShape="0">
                  <a:schemeClr val="dk1">
                    <a:alpha val="40000"/>
                  </a:schemeClr>
                </a:outerShdw>
              </a:effectLst>
            </a:rPr>
            <a:t>Go</a:t>
          </a:r>
          <a:r>
            <a:rPr lang="en-US" sz="900" b="0" kern="1200" cap="none" spc="0" baseline="0">
              <a:ln w="0"/>
              <a:effectLst>
                <a:outerShdw blurRad="38100" dist="19050" dir="2700000" algn="tl" rotWithShape="0">
                  <a:schemeClr val="dk1">
                    <a:alpha val="40000"/>
                  </a:schemeClr>
                </a:outerShdw>
              </a:effectLst>
            </a:rPr>
            <a:t> to detail &gt;&gt;</a:t>
          </a:r>
          <a:endParaRPr lang="en-US" sz="900" b="0" kern="1200" cap="none" spc="0">
            <a:ln w="0"/>
            <a:effectLst>
              <a:outerShdw blurRad="38100" dist="19050" dir="2700000" algn="tl" rotWithShape="0">
                <a:schemeClr val="dk1">
                  <a:alpha val="40000"/>
                </a:schemeClr>
              </a:outerShdw>
            </a:effectLst>
          </a:endParaRPr>
        </a:p>
      </xdr:txBody>
    </xdr:sp>
    <xdr:clientData/>
  </xdr:twoCellAnchor>
  <xdr:twoCellAnchor editAs="oneCell">
    <xdr:from>
      <xdr:col>5</xdr:col>
      <xdr:colOff>493059</xdr:colOff>
      <xdr:row>73</xdr:row>
      <xdr:rowOff>179294</xdr:rowOff>
    </xdr:from>
    <xdr:to>
      <xdr:col>10</xdr:col>
      <xdr:colOff>0</xdr:colOff>
      <xdr:row>100</xdr:row>
      <xdr:rowOff>50860</xdr:rowOff>
    </xdr:to>
    <xdr:graphicFrame macro="">
      <xdr:nvGraphicFramePr>
        <xdr:cNvPr id="20" name="Chart 1">
          <a:extLst>
            <a:ext uri="{FF2B5EF4-FFF2-40B4-BE49-F238E27FC236}">
              <a16:creationId xmlns:a16="http://schemas.microsoft.com/office/drawing/2014/main" id="{29603E53-0C1F-49B2-8AB6-829E98F7C31B}"/>
            </a:ext>
            <a:ext uri="{147F2762-F138-4A5C-976F-8EAC2B608ADB}">
              <a16:predDERef xmlns:a16="http://schemas.microsoft.com/office/drawing/2014/main" pred="{5AE15A53-B64D-442F-94EE-7D4030571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1460214</xdr:colOff>
      <xdr:row>77</xdr:row>
      <xdr:rowOff>58829</xdr:rowOff>
    </xdr:from>
    <xdr:to>
      <xdr:col>9</xdr:col>
      <xdr:colOff>736291</xdr:colOff>
      <xdr:row>78</xdr:row>
      <xdr:rowOff>155412</xdr:rowOff>
    </xdr:to>
    <xdr:grpSp>
      <xdr:nvGrpSpPr>
        <xdr:cNvPr id="4" name="Group 16">
          <a:extLst>
            <a:ext uri="{FF2B5EF4-FFF2-40B4-BE49-F238E27FC236}">
              <a16:creationId xmlns:a16="http://schemas.microsoft.com/office/drawing/2014/main" id="{82025C7E-0203-77DB-2BEA-AA71DED63468}"/>
            </a:ext>
          </a:extLst>
        </xdr:cNvPr>
        <xdr:cNvGrpSpPr/>
      </xdr:nvGrpSpPr>
      <xdr:grpSpPr>
        <a:xfrm>
          <a:off x="10968281" y="11234829"/>
          <a:ext cx="4262943" cy="282850"/>
          <a:chOff x="18967824" y="23033310"/>
          <a:chExt cx="5152996" cy="267938"/>
        </a:xfrm>
      </xdr:grpSpPr>
      <xdr:grpSp>
        <xdr:nvGrpSpPr>
          <xdr:cNvPr id="5" name="Group 12">
            <a:extLst>
              <a:ext uri="{FF2B5EF4-FFF2-40B4-BE49-F238E27FC236}">
                <a16:creationId xmlns:a16="http://schemas.microsoft.com/office/drawing/2014/main" id="{DFF35422-9FDD-FADB-4DFC-581B714DD9D3}"/>
              </a:ext>
            </a:extLst>
          </xdr:cNvPr>
          <xdr:cNvGrpSpPr/>
        </xdr:nvGrpSpPr>
        <xdr:grpSpPr>
          <a:xfrm>
            <a:off x="18967824" y="23033310"/>
            <a:ext cx="1277470" cy="231588"/>
            <a:chOff x="18975294" y="23272369"/>
            <a:chExt cx="1277470" cy="231588"/>
          </a:xfrm>
        </xdr:grpSpPr>
        <xdr:sp macro="" textlink="">
          <xdr:nvSpPr>
            <xdr:cNvPr id="6" name="Rectangle 4">
              <a:extLst>
                <a:ext uri="{FF2B5EF4-FFF2-40B4-BE49-F238E27FC236}">
                  <a16:creationId xmlns:a16="http://schemas.microsoft.com/office/drawing/2014/main" id="{C7023A50-32DF-6E0E-D484-5679208A370E}"/>
                </a:ext>
              </a:extLst>
            </xdr:cNvPr>
            <xdr:cNvSpPr/>
          </xdr:nvSpPr>
          <xdr:spPr>
            <a:xfrm>
              <a:off x="18975294" y="23324640"/>
              <a:ext cx="230909" cy="127000"/>
            </a:xfrm>
            <a:prstGeom prst="rect">
              <a:avLst/>
            </a:prstGeom>
            <a:solidFill>
              <a:schemeClr val="accent6">
                <a:lumMod val="20000"/>
                <a:lumOff val="80000"/>
              </a:schemeClr>
            </a:solidFill>
            <a:ln>
              <a:solidFill>
                <a:sysClr val="windowText" lastClr="00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rtlCol="0" anchor="ctr" anchorCtr="0">
              <a:noAutofit/>
            </a:bodyPr>
            <a:lstStyle/>
            <a:p>
              <a:pPr marL="0" indent="0" algn="ctr" defTabSz="400050">
                <a:lnSpc>
                  <a:spcPct val="90000"/>
                </a:lnSpc>
                <a:spcBef>
                  <a:spcPct val="0"/>
                </a:spcBef>
                <a:spcAft>
                  <a:spcPct val="35000"/>
                </a:spcAft>
                <a:buNone/>
              </a:pPr>
              <a:endParaRPr lang="en-US" sz="900" b="1" kern="1200" cap="none" spc="0">
                <a:ln w="0"/>
                <a:effectLst>
                  <a:outerShdw blurRad="38100" dist="19050" dir="2700000" algn="tl" rotWithShape="0">
                    <a:schemeClr val="dk1">
                      <a:alpha val="40000"/>
                    </a:schemeClr>
                  </a:outerShdw>
                </a:effectLst>
              </a:endParaRPr>
            </a:p>
          </xdr:txBody>
        </xdr:sp>
        <xdr:sp macro="" textlink="">
          <xdr:nvSpPr>
            <xdr:cNvPr id="7" name="TextBox 8">
              <a:extLst>
                <a:ext uri="{FF2B5EF4-FFF2-40B4-BE49-F238E27FC236}">
                  <a16:creationId xmlns:a16="http://schemas.microsoft.com/office/drawing/2014/main" id="{33418DD1-F9C4-5239-F8F0-436871B25BD1}"/>
                </a:ext>
              </a:extLst>
            </xdr:cNvPr>
            <xdr:cNvSpPr txBox="1"/>
          </xdr:nvSpPr>
          <xdr:spPr>
            <a:xfrm>
              <a:off x="19259177" y="23272369"/>
              <a:ext cx="993587" cy="23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B.O.P</a:t>
              </a:r>
              <a:endParaRPr lang="en-US" sz="1100" b="1" baseline="0"/>
            </a:p>
            <a:p>
              <a:endParaRPr lang="en-US" sz="1100" b="1"/>
            </a:p>
          </xdr:txBody>
        </xdr:sp>
      </xdr:grpSp>
      <xdr:grpSp>
        <xdr:nvGrpSpPr>
          <xdr:cNvPr id="8" name="Group 13">
            <a:extLst>
              <a:ext uri="{FF2B5EF4-FFF2-40B4-BE49-F238E27FC236}">
                <a16:creationId xmlns:a16="http://schemas.microsoft.com/office/drawing/2014/main" id="{D1A8ABAF-8C9D-455F-12F3-AA40CE940153}"/>
              </a:ext>
            </a:extLst>
          </xdr:cNvPr>
          <xdr:cNvGrpSpPr/>
        </xdr:nvGrpSpPr>
        <xdr:grpSpPr>
          <a:xfrm>
            <a:off x="22865759" y="23036813"/>
            <a:ext cx="1255061" cy="258484"/>
            <a:chOff x="23104818" y="23320695"/>
            <a:chExt cx="1255061" cy="258484"/>
          </a:xfrm>
        </xdr:grpSpPr>
        <xdr:sp macro="" textlink="">
          <xdr:nvSpPr>
            <xdr:cNvPr id="9" name="Rectangle 5">
              <a:extLst>
                <a:ext uri="{FF2B5EF4-FFF2-40B4-BE49-F238E27FC236}">
                  <a16:creationId xmlns:a16="http://schemas.microsoft.com/office/drawing/2014/main" id="{C91B5F65-9D42-470A-9EF4-E7699A4DFF33}"/>
                </a:ext>
              </a:extLst>
            </xdr:cNvPr>
            <xdr:cNvSpPr/>
          </xdr:nvSpPr>
          <xdr:spPr>
            <a:xfrm>
              <a:off x="23104818" y="23369486"/>
              <a:ext cx="230908" cy="127000"/>
            </a:xfrm>
            <a:prstGeom prst="rect">
              <a:avLst/>
            </a:prstGeom>
            <a:solidFill>
              <a:schemeClr val="accent6">
                <a:lumMod val="75000"/>
              </a:schemeClr>
            </a:solidFill>
            <a:ln>
              <a:solidFill>
                <a:sysClr val="windowText" lastClr="00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rtlCol="0" anchor="ctr" anchorCtr="0">
              <a:noAutofit/>
            </a:bodyPr>
            <a:lstStyle/>
            <a:p>
              <a:pPr marL="0" indent="0" algn="ctr" defTabSz="400050">
                <a:lnSpc>
                  <a:spcPct val="90000"/>
                </a:lnSpc>
                <a:spcBef>
                  <a:spcPct val="0"/>
                </a:spcBef>
                <a:spcAft>
                  <a:spcPct val="35000"/>
                </a:spcAft>
                <a:buNone/>
              </a:pPr>
              <a:endParaRPr lang="en-US" sz="900" b="1" kern="1200" cap="none" spc="0">
                <a:ln w="0"/>
                <a:effectLst>
                  <a:outerShdw blurRad="38100" dist="19050" dir="2700000" algn="tl" rotWithShape="0">
                    <a:schemeClr val="dk1">
                      <a:alpha val="40000"/>
                    </a:schemeClr>
                  </a:outerShdw>
                </a:effectLst>
              </a:endParaRPr>
            </a:p>
          </xdr:txBody>
        </xdr:sp>
        <xdr:sp macro="" textlink="">
          <xdr:nvSpPr>
            <xdr:cNvPr id="11" name="TextBox 9">
              <a:extLst>
                <a:ext uri="{FF2B5EF4-FFF2-40B4-BE49-F238E27FC236}">
                  <a16:creationId xmlns:a16="http://schemas.microsoft.com/office/drawing/2014/main" id="{79CC5C91-2B3D-4227-9A11-E5B78DAEE085}"/>
                </a:ext>
              </a:extLst>
            </xdr:cNvPr>
            <xdr:cNvSpPr txBox="1"/>
          </xdr:nvSpPr>
          <xdr:spPr>
            <a:xfrm>
              <a:off x="23346867" y="23320695"/>
              <a:ext cx="1013012" cy="258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E.O.P</a:t>
              </a:r>
              <a:endParaRPr lang="en-US" sz="1100" b="1" baseline="0"/>
            </a:p>
            <a:p>
              <a:endParaRPr lang="en-US" sz="1100" b="1"/>
            </a:p>
          </xdr:txBody>
        </xdr:sp>
      </xdr:grpSp>
      <xdr:grpSp>
        <xdr:nvGrpSpPr>
          <xdr:cNvPr id="12" name="Group 14">
            <a:extLst>
              <a:ext uri="{FF2B5EF4-FFF2-40B4-BE49-F238E27FC236}">
                <a16:creationId xmlns:a16="http://schemas.microsoft.com/office/drawing/2014/main" id="{247A91CF-3B15-1C08-4C2D-D8506C8E8D49}"/>
              </a:ext>
            </a:extLst>
          </xdr:cNvPr>
          <xdr:cNvGrpSpPr/>
        </xdr:nvGrpSpPr>
        <xdr:grpSpPr>
          <a:xfrm>
            <a:off x="21476509" y="23039153"/>
            <a:ext cx="1219563" cy="262095"/>
            <a:chOff x="18816980" y="23816094"/>
            <a:chExt cx="1219563" cy="262095"/>
          </a:xfrm>
        </xdr:grpSpPr>
        <xdr:sp macro="" textlink="">
          <xdr:nvSpPr>
            <xdr:cNvPr id="13" name="Rectangle 6">
              <a:extLst>
                <a:ext uri="{FF2B5EF4-FFF2-40B4-BE49-F238E27FC236}">
                  <a16:creationId xmlns:a16="http://schemas.microsoft.com/office/drawing/2014/main" id="{A7855A89-D0C3-4782-8A9D-A17D689A4F24}"/>
                </a:ext>
              </a:extLst>
            </xdr:cNvPr>
            <xdr:cNvSpPr/>
          </xdr:nvSpPr>
          <xdr:spPr>
            <a:xfrm>
              <a:off x="18816980" y="23862573"/>
              <a:ext cx="230909" cy="127000"/>
            </a:xfrm>
            <a:prstGeom prst="rect">
              <a:avLst/>
            </a:prstGeom>
            <a:solidFill>
              <a:schemeClr val="accent2">
                <a:lumMod val="40000"/>
                <a:lumOff val="60000"/>
              </a:schemeClr>
            </a:solidFill>
            <a:ln>
              <a:solidFill>
                <a:sysClr val="windowText" lastClr="00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rtlCol="0" anchor="ctr" anchorCtr="0">
              <a:noAutofit/>
            </a:bodyPr>
            <a:lstStyle/>
            <a:p>
              <a:pPr marL="0" indent="0" algn="ctr" defTabSz="400050">
                <a:lnSpc>
                  <a:spcPct val="90000"/>
                </a:lnSpc>
                <a:spcBef>
                  <a:spcPct val="0"/>
                </a:spcBef>
                <a:spcAft>
                  <a:spcPct val="35000"/>
                </a:spcAft>
                <a:buNone/>
              </a:pPr>
              <a:endParaRPr lang="en-US" sz="900" b="1" kern="1200" cap="none" spc="0">
                <a:ln w="0"/>
                <a:effectLst>
                  <a:outerShdw blurRad="38100" dist="19050" dir="2700000" algn="tl" rotWithShape="0">
                    <a:schemeClr val="dk1">
                      <a:alpha val="40000"/>
                    </a:schemeClr>
                  </a:outerShdw>
                </a:effectLst>
              </a:endParaRPr>
            </a:p>
          </xdr:txBody>
        </xdr:sp>
        <xdr:sp macro="" textlink="">
          <xdr:nvSpPr>
            <xdr:cNvPr id="14" name="TextBox 10">
              <a:extLst>
                <a:ext uri="{FF2B5EF4-FFF2-40B4-BE49-F238E27FC236}">
                  <a16:creationId xmlns:a16="http://schemas.microsoft.com/office/drawing/2014/main" id="{DC139E08-E864-42B2-8528-2E9BAD2BCA6A}"/>
                </a:ext>
              </a:extLst>
            </xdr:cNvPr>
            <xdr:cNvSpPr txBox="1"/>
          </xdr:nvSpPr>
          <xdr:spPr>
            <a:xfrm>
              <a:off x="19106837" y="23816094"/>
              <a:ext cx="929706" cy="262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Cash</a:t>
              </a:r>
              <a:r>
                <a:rPr lang="en-US" sz="1100" b="1" baseline="0"/>
                <a:t> out</a:t>
              </a:r>
            </a:p>
            <a:p>
              <a:endParaRPr lang="en-US" sz="1100" b="1"/>
            </a:p>
          </xdr:txBody>
        </xdr:sp>
      </xdr:grpSp>
      <xdr:grpSp>
        <xdr:nvGrpSpPr>
          <xdr:cNvPr id="15" name="Group 15">
            <a:extLst>
              <a:ext uri="{FF2B5EF4-FFF2-40B4-BE49-F238E27FC236}">
                <a16:creationId xmlns:a16="http://schemas.microsoft.com/office/drawing/2014/main" id="{D6C22DFB-C189-660D-E0AB-21162016B2A6}"/>
              </a:ext>
            </a:extLst>
          </xdr:cNvPr>
          <xdr:cNvGrpSpPr/>
        </xdr:nvGrpSpPr>
        <xdr:grpSpPr>
          <a:xfrm>
            <a:off x="20210851" y="23035957"/>
            <a:ext cx="1159074" cy="214797"/>
            <a:chOff x="16430734" y="24164016"/>
            <a:chExt cx="1159074" cy="214797"/>
          </a:xfrm>
        </xdr:grpSpPr>
        <xdr:sp macro="" textlink="">
          <xdr:nvSpPr>
            <xdr:cNvPr id="16" name="Rectangle 7">
              <a:extLst>
                <a:ext uri="{FF2B5EF4-FFF2-40B4-BE49-F238E27FC236}">
                  <a16:creationId xmlns:a16="http://schemas.microsoft.com/office/drawing/2014/main" id="{F15EF0B6-9A4D-4686-935A-6A7FFC192A26}"/>
                </a:ext>
              </a:extLst>
            </xdr:cNvPr>
            <xdr:cNvSpPr/>
          </xdr:nvSpPr>
          <xdr:spPr>
            <a:xfrm>
              <a:off x="16430734" y="24213682"/>
              <a:ext cx="230909" cy="127000"/>
            </a:xfrm>
            <a:prstGeom prst="rect">
              <a:avLst/>
            </a:prstGeom>
            <a:solidFill>
              <a:schemeClr val="accent5">
                <a:lumMod val="75000"/>
              </a:schemeClr>
            </a:solidFill>
            <a:ln>
              <a:solidFill>
                <a:sysClr val="windowText" lastClr="000000"/>
              </a:solidFill>
            </a:ln>
          </xdr:spPr>
          <xdr: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horz" wrap="square" lIns="40909" tIns="40909" rIns="40909" bIns="40909" numCol="1" spcCol="1270" rtlCol="0" anchor="ctr" anchorCtr="0">
              <a:noAutofit/>
            </a:bodyPr>
            <a:lstStyle/>
            <a:p>
              <a:pPr marL="0" indent="0" algn="ctr" defTabSz="400050">
                <a:lnSpc>
                  <a:spcPct val="90000"/>
                </a:lnSpc>
                <a:spcBef>
                  <a:spcPct val="0"/>
                </a:spcBef>
                <a:spcAft>
                  <a:spcPct val="35000"/>
                </a:spcAft>
                <a:buNone/>
              </a:pPr>
              <a:endParaRPr lang="en-US" sz="900" b="1" kern="1200" cap="none" spc="0">
                <a:ln w="0"/>
                <a:effectLst>
                  <a:outerShdw blurRad="38100" dist="19050" dir="2700000" algn="tl" rotWithShape="0">
                    <a:schemeClr val="dk1">
                      <a:alpha val="40000"/>
                    </a:schemeClr>
                  </a:outerShdw>
                </a:effectLst>
              </a:endParaRPr>
            </a:p>
          </xdr:txBody>
        </xdr:sp>
        <xdr:sp macro="" textlink="">
          <xdr:nvSpPr>
            <xdr:cNvPr id="17" name="TextBox 11">
              <a:extLst>
                <a:ext uri="{FF2B5EF4-FFF2-40B4-BE49-F238E27FC236}">
                  <a16:creationId xmlns:a16="http://schemas.microsoft.com/office/drawing/2014/main" id="{8714290E-1B0C-4362-A309-B7F45387E21D}"/>
                </a:ext>
              </a:extLst>
            </xdr:cNvPr>
            <xdr:cNvSpPr txBox="1"/>
          </xdr:nvSpPr>
          <xdr:spPr>
            <a:xfrm>
              <a:off x="16701170" y="24164016"/>
              <a:ext cx="888638" cy="214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Cash</a:t>
              </a:r>
              <a:r>
                <a:rPr lang="en-US" sz="1100" b="1" baseline="0"/>
                <a:t> in</a:t>
              </a:r>
            </a:p>
            <a:p>
              <a:endParaRPr lang="en-US" sz="1100" b="1"/>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12700</xdr:colOff>
      <xdr:row>0</xdr:row>
      <xdr:rowOff>0</xdr:rowOff>
    </xdr:from>
    <xdr:to>
      <xdr:col>11</xdr:col>
      <xdr:colOff>31750</xdr:colOff>
      <xdr:row>2</xdr:row>
      <xdr:rowOff>152400</xdr:rowOff>
    </xdr:to>
    <xdr:pic>
      <xdr:nvPicPr>
        <xdr:cNvPr id="2" name="Picture 2" descr="Internet Banking dành cho doanh nghiệp - eFAST VietinBank - Mozilla Firefox">
          <a:extLst>
            <a:ext uri="{FF2B5EF4-FFF2-40B4-BE49-F238E27FC236}">
              <a16:creationId xmlns:a16="http://schemas.microsoft.com/office/drawing/2014/main" id="{7837CD85-ED02-4FF7-8B9B-68BD77E824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68300" y="0"/>
          <a:ext cx="1847850" cy="52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12700</xdr:colOff>
      <xdr:row>0</xdr:row>
      <xdr:rowOff>0</xdr:rowOff>
    </xdr:from>
    <xdr:to>
      <xdr:col>8</xdr:col>
      <xdr:colOff>1860550</xdr:colOff>
      <xdr:row>2</xdr:row>
      <xdr:rowOff>165100</xdr:rowOff>
    </xdr:to>
    <xdr:pic>
      <xdr:nvPicPr>
        <xdr:cNvPr id="2" name="Picture 2" descr="Internet Banking dành cho doanh nghiệp - eFAST VietinBank - Mozilla Firefox">
          <a:extLst>
            <a:ext uri="{FF2B5EF4-FFF2-40B4-BE49-F238E27FC236}">
              <a16:creationId xmlns:a16="http://schemas.microsoft.com/office/drawing/2014/main" id="{4EF0A0F1-5108-423F-81CA-464F8A012C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68300" y="0"/>
          <a:ext cx="1847850" cy="52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267</xdr:row>
      <xdr:rowOff>27214</xdr:rowOff>
    </xdr:from>
    <xdr:to>
      <xdr:col>9</xdr:col>
      <xdr:colOff>1235552</xdr:colOff>
      <xdr:row>301</xdr:row>
      <xdr:rowOff>18954</xdr:rowOff>
    </xdr:to>
    <xdr:graphicFrame macro="">
      <xdr:nvGraphicFramePr>
        <xdr:cNvPr id="2" name="Chart 1">
          <a:extLst>
            <a:ext uri="{FF2B5EF4-FFF2-40B4-BE49-F238E27FC236}">
              <a16:creationId xmlns:a16="http://schemas.microsoft.com/office/drawing/2014/main" id="{1B721339-FCC2-488E-A940-7B54C97D3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599251</xdr:colOff>
      <xdr:row>94</xdr:row>
      <xdr:rowOff>100526</xdr:rowOff>
    </xdr:from>
    <xdr:to>
      <xdr:col>23</xdr:col>
      <xdr:colOff>47172</xdr:colOff>
      <xdr:row>128</xdr:row>
      <xdr:rowOff>141348</xdr:rowOff>
    </xdr:to>
    <xdr:graphicFrame macro="">
      <xdr:nvGraphicFramePr>
        <xdr:cNvPr id="3" name="Chart 2">
          <a:extLst>
            <a:ext uri="{FF2B5EF4-FFF2-40B4-BE49-F238E27FC236}">
              <a16:creationId xmlns:a16="http://schemas.microsoft.com/office/drawing/2014/main" id="{9BE95FAF-EE35-41A2-9A24-3503D7544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82C9009-9F8F-4DA1-90FF-3619FE3AB2D2}"/>
</namedSheetViews>
</file>

<file path=xl/persons/person.xml><?xml version="1.0" encoding="utf-8"?>
<personList xmlns="http://schemas.microsoft.com/office/spreadsheetml/2018/threadedcomments" xmlns:x="http://schemas.openxmlformats.org/spreadsheetml/2006/main">
  <person displayName="BWID Accounting" id="{F92FC0F8-0CE5-48FC-A97D-89F3E06F8EB1}" userId="BWID Accounting" providerId="None"/>
  <person displayName="Nhat, Nguyen Van Viet (Intern-Accounting)" id="{94F1F7A9-4100-4B5A-A6C5-F180D4AD37C2}" userId="nhat.nvv@bwidjsc.com" providerId="PeoplePicker"/>
</personList>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Copy"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Copy"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Copy"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microsoft.com/office/2006/relationships/xlExternalLinkPath/xlPathMissing" Target="Copy"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microsoft.com/office/2006/relationships/xlExternalLinkPath/xlPathMissing" Target="Copy"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ang, Nguyen Mau (Capital Market)" refreshedDate="45188.768133449077" createdVersion="8" refreshedVersion="8" minRefreshableVersion="3" recordCount="179" xr:uid="{517769C4-AF6C-48DC-B861-387C5A541C7E}">
  <cacheSource type="worksheet">
    <worksheetSource name="Table12" sheet=" Bi-weekly updated cash report_01 Dec 2025 to 15 Dec 2025 (internal).xlsx" r:id="rId2"/>
  </cacheSource>
  <cacheFields count="19">
    <cacheField name="ENTITY" numFmtId="0">
      <sharedItems containsBlank="1" count="91">
        <s v="BWID BINH DUONG"/>
        <s v="BWID DONG AN LID"/>
        <s v="BWID HAI DUONG"/>
        <s v="BWID HAI PHONG"/>
        <s v="BW HAI AN"/>
        <s v="BWID HAI DUONG 3"/>
        <s v="BW DINH VU"/>
        <s v="BW NAM DINH VU"/>
        <s v="BW NEW CITY"/>
        <s v="BW SUPLLY CHAIN CITY"/>
        <s v="GREAT KINGDOM NT 2"/>
        <s v="LONG BINH"/>
        <s v="BWID LOGISTICS TAN UYEN"/>
        <s v="BWID NHON TRACH"/>
        <s v="BWID THOI HOA 2"/>
        <s v="BW SAI GON"/>
        <s v="DELIWAY"/>
        <s v="KIM TRUC DN"/>
        <s v="SONGTHAN LID"/>
        <s v="VINA PARTNERS INVESTMENT"/>
        <s v="WPJV 1"/>
        <s v="WPJV 2"/>
        <s v="WPJV 3"/>
        <s v="BAU BANG 6"/>
        <s v="SUPPLY CHAIN 2A"/>
        <s v="YEN PHONG"/>
        <s v="SAO HOA"/>
        <s v="SPV5B"/>
        <s v="THUAN THANH 3B"/>
        <s v="BW PHU NGHIA"/>
        <s v="BAC TIEN PHONG"/>
        <s v="BWID HAI DUONG 2"/>
        <s v="BWID THOI HOA"/>
        <s v="WINLOCK 2B"/>
        <s v="WINLOCK 2A"/>
        <s v="BWID TAN DONG HIEP"/>
        <s v="BWID Tan Phu Trung"/>
        <s v="BWID BAC NINH"/>
        <s v="BW DONG HAI"/>
        <s v="BCI JSC"/>
        <s v="BW NAM HAI"/>
        <s v="HOLDCO4K"/>
        <s v="HOLDCO4L"/>
        <s v="HOLDCO4M"/>
        <s v="HOLDCO4N"/>
        <s v="HOLDCO4O"/>
        <s v="HOLDCO4P"/>
        <s v="HOLDCO5K"/>
        <s v="HOLDCO5L"/>
        <s v="HOLDCO5M"/>
        <s v="BW THU DAU MOT"/>
        <s v="IRE CONSULTANCY &amp; MANAGEMENT"/>
        <s v="SG LOGISTICS"/>
        <s v="GIA TAN"/>
        <s v="SPV4B"/>
        <s v="SPV4C"/>
        <s v="SPV5C"/>
        <s v="SPV4A"/>
        <s v="SPV5A"/>
        <s v="HOLDCO5F"/>
        <s v="HOLDCO4F"/>
        <s v="HOLDCO4H"/>
        <s v="HOLDCO5H"/>
        <s v="HOLDCO5J"/>
        <s v="HOLDCO5I"/>
        <s v="HOLDCO5G"/>
        <s v="HOLDCO4J"/>
        <s v="HOLDCO4I"/>
        <s v="HOLDCO4G"/>
        <s v="HOLDCO4Q"/>
        <s v="HOLDCO4R"/>
        <s v="HOLDCO4S"/>
        <s v="HOLDCO4T"/>
        <s v="HOLDCO4U"/>
        <s v="HOLDCO4V"/>
        <s v="HOLDCO4Y"/>
        <s v="HOLDCO4Z"/>
        <s v="HOLDCO4W"/>
        <s v="HOLDCO4X"/>
        <s v="HOLDCO5Q"/>
        <s v="HOLDCO5R"/>
        <s v="HOLDCO5S"/>
        <s v="HOLDCO5T"/>
        <s v="HOLDCO5U"/>
        <s v="HANOI MANAGEMENT SERVICES"/>
        <s v="BW BAU BANG"/>
        <s v="BAU BANG 3"/>
        <s v="BAU BANG 4"/>
        <e v="#N/A" u="1"/>
        <m u="1"/>
        <s v="XENIA 1" u="1"/>
      </sharedItems>
    </cacheField>
    <cacheField name="BRANCH" numFmtId="0">
      <sharedItems/>
    </cacheField>
    <cacheField name="ACCOUNT NUMBER" numFmtId="0">
      <sharedItems/>
    </cacheField>
    <cacheField name="ACCOUNT TYPE" numFmtId="0">
      <sharedItems/>
    </cacheField>
    <cacheField name="CURRENCY" numFmtId="0">
      <sharedItems/>
    </cacheField>
    <cacheField name="CLOSING BALANCE _x000a_(VND)" numFmtId="166">
      <sharedItems containsSemiMixedTypes="0" containsString="0" containsNumber="1" containsInteger="1" minValue="0" maxValue="400000000000"/>
    </cacheField>
    <cacheField name="CLOSING BALANCE_x000a_(USD)" numFmtId="166">
      <sharedItems containsSemiMixedTypes="0" containsString="0" containsNumber="1" containsInteger="1" minValue="0" maxValue="3900000"/>
    </cacheField>
    <cacheField name="Term (months)" numFmtId="0">
      <sharedItems containsBlank="1" count="15">
        <s v="1 month"/>
        <s v="12 months"/>
        <s v="3 months"/>
        <s v="6 months"/>
        <s v="5 months"/>
        <s v="4 months"/>
        <s v="9 months"/>
        <s v="2 months"/>
        <m u="1"/>
        <s v="106 days" u="1"/>
        <s v="40 days" u="1"/>
        <s v="2 weeks" u="1"/>
        <s v="289 days" u="1"/>
        <s v="198 days" u="1"/>
        <s v="380 days" u="1"/>
      </sharedItems>
    </cacheField>
    <cacheField name="Maturity date" numFmtId="14">
      <sharedItems containsSemiMixedTypes="0" containsNonDate="0" containsDate="1" containsString="0" minDate="2023-06-01T00:00:00" maxDate="2024-08-30T00:00:00" count="131">
        <d v="2023-10-11T00:00:00"/>
        <d v="2023-10-24T00:00:00"/>
        <d v="2023-11-01T00:00:00"/>
        <d v="2023-11-04T00:00:00"/>
        <d v="2023-10-04T00:00:00"/>
        <d v="2023-09-28T00:00:00"/>
        <d v="2023-09-22T00:00:00"/>
        <d v="2023-09-24T00:00:00"/>
        <d v="2023-10-18T00:00:00"/>
        <d v="2023-11-24T00:00:00"/>
        <d v="2024-02-11T00:00:00"/>
        <d v="2023-11-11T00:00:00"/>
        <d v="2023-10-07T00:00:00"/>
        <d v="2023-09-14T00:00:00"/>
        <d v="2024-07-28T00:00:00"/>
        <d v="2024-07-11T00:00:00"/>
        <d v="2023-11-27T00:00:00"/>
        <d v="2024-08-05T00:00:00"/>
        <d v="2023-09-04T00:00:00"/>
        <d v="2024-01-10T00:00:00"/>
        <d v="2023-10-27T00:00:00"/>
        <d v="2023-12-09T00:00:00"/>
        <d v="2023-10-17T00:00:00"/>
        <d v="2023-10-01T00:00:00"/>
        <d v="2023-10-13T00:00:00"/>
        <d v="2023-09-21T00:00:00"/>
        <d v="2023-09-30T00:00:00"/>
        <d v="2023-09-20T00:00:00"/>
        <d v="2023-10-14T00:00:00"/>
        <d v="2023-10-05T00:00:00"/>
        <d v="2023-10-26T00:00:00"/>
        <d v="2023-09-25T00:00:00"/>
        <d v="2023-09-16T00:00:00"/>
        <d v="2023-11-16T00:00:00"/>
        <d v="2023-10-16T00:00:00"/>
        <d v="2023-12-01T00:00:00"/>
        <d v="2023-12-16T00:00:00"/>
        <d v="2023-11-29T00:00:00"/>
        <d v="2023-10-25T00:00:00"/>
        <d v="2023-12-31T00:00:00"/>
        <d v="2024-03-31T00:00:00"/>
        <d v="2024-06-30T00:00:00"/>
        <d v="2023-12-21T00:00:00"/>
        <d v="2023-12-20T00:00:00"/>
        <d v="2024-01-25T00:00:00"/>
        <d v="2023-10-06T00:00:00"/>
        <d v="2023-10-20T00:00:00"/>
        <d v="2024-02-01T00:00:00"/>
        <d v="2024-01-13T00:00:00"/>
        <d v="2023-09-07T00:00:00"/>
        <d v="2023-12-12T00:00:00"/>
        <d v="2023-09-19T00:00:00"/>
        <d v="2024-02-24T00:00:00"/>
        <d v="2023-11-22T00:00:00"/>
        <d v="2024-02-25T00:00:00"/>
        <d v="2023-11-25T00:00:00"/>
        <d v="2023-10-21T00:00:00"/>
        <d v="2023-09-17T00:00:00"/>
        <d v="2024-02-22T00:00:00"/>
        <d v="2023-09-29T00:00:00"/>
        <d v="2024-02-14T00:00:00"/>
        <d v="2024-02-16T00:00:00"/>
        <d v="2024-08-29T00:00:00"/>
        <d v="2023-12-07T00:00:00"/>
        <d v="2023-10-08T00:00:00"/>
        <d v="2023-10-15T00:00:00"/>
        <d v="2023-12-05T00:00:00"/>
        <d v="2023-09-11T00:00:00" u="1"/>
        <d v="2023-09-01T00:00:00" u="1"/>
        <d v="2023-09-02T00:00:00" u="1"/>
        <d v="2023-08-14T00:00:00" u="1"/>
        <d v="2023-08-28T00:00:00" u="1"/>
        <d v="2023-08-22T00:00:00" u="1"/>
        <d v="2023-08-20T00:00:00" u="1"/>
        <d v="2023-08-24T00:00:00" u="1"/>
        <d v="2023-08-25T00:00:00" u="1"/>
        <d v="2023-08-15T00:00:00" u="1"/>
        <d v="2023-08-21T00:00:00" u="1"/>
        <d v="2023-08-23T00:00:00" u="1"/>
        <d v="2023-08-16T00:00:00" u="1"/>
        <d v="2023-08-31T00:00:00" u="1"/>
        <d v="2023-08-07T00:00:00" u="1"/>
        <d v="2023-07-22T00:00:00" u="1"/>
        <d v="2023-08-03T00:00:00" u="1"/>
        <d v="2023-07-18T00:00:00" u="1"/>
        <d v="2023-07-14T00:00:00" u="1"/>
        <d v="2023-07-10T00:00:00" u="1"/>
        <d v="2023-06-21T00:00:00" u="1"/>
        <d v="2023-07-02T00:00:00" u="1"/>
        <d v="2023-06-09T00:00:00" u="1"/>
        <d v="2023-06-01T00:00:00" u="1"/>
        <d v="2023-08-10T00:00:00" u="1"/>
        <d v="2023-07-21T00:00:00" u="1"/>
        <d v="2023-08-02T00:00:00" u="1"/>
        <d v="2023-06-28T00:00:00" u="1"/>
        <d v="2023-07-09T00:00:00" u="1"/>
        <d v="2023-06-24T00:00:00" u="1"/>
        <d v="2023-07-05T00:00:00" u="1"/>
        <d v="2023-06-20T00:00:00" u="1"/>
        <d v="2023-07-01T00:00:00" u="1"/>
        <d v="2023-06-12T00:00:00" u="1"/>
        <d v="2023-06-08T00:00:00" u="1"/>
        <d v="2023-06-04T00:00:00" u="1"/>
        <d v="2023-07-28T00:00:00" u="1"/>
        <d v="2023-08-09T00:00:00" u="1"/>
        <d v="2023-07-24T00:00:00" u="1"/>
        <d v="2023-08-01T00:00:00" u="1"/>
        <d v="2023-07-16T00:00:00" u="1"/>
        <d v="2023-07-12T00:00:00" u="1"/>
        <d v="2023-06-27T00:00:00" u="1"/>
        <d v="2023-07-08T00:00:00" u="1"/>
        <d v="2023-06-23T00:00:00" u="1"/>
        <d v="2023-07-04T00:00:00" u="1"/>
        <d v="2023-06-15T00:00:00" u="1"/>
        <d v="2023-06-11T00:00:00" u="1"/>
        <d v="2023-06-07T00:00:00" u="1"/>
        <d v="2023-06-03T00:00:00" u="1"/>
        <d v="2023-07-31T00:00:00" u="1"/>
        <d v="2023-08-12T00:00:00" u="1"/>
        <d v="2023-08-08T00:00:00" u="1"/>
        <d v="2023-07-23T00:00:00" u="1"/>
        <d v="2023-08-04T00:00:00" u="1"/>
        <d v="2023-07-15T00:00:00" u="1"/>
        <d v="2023-06-30T00:00:00" u="1"/>
        <d v="2023-07-11T00:00:00" u="1"/>
        <d v="2023-07-07T00:00:00" u="1"/>
        <d v="2023-06-22T00:00:00" u="1"/>
        <d v="2023-07-03T00:00:00" u="1"/>
        <d v="2023-06-18T00:00:00" u="1"/>
        <d v="2023-07-30T00:00:00" u="1"/>
        <d v="2023-08-11T00:00:00" u="1"/>
      </sharedItems>
    </cacheField>
    <cacheField name="Interest rate" numFmtId="10">
      <sharedItems containsSemiMixedTypes="0" containsString="0" containsNumber="1" minValue="0" maxValue="0.105" count="34">
        <n v="2.7E-2"/>
        <n v="5.1999999999999998E-2"/>
        <n v="4.7500000000000001E-2"/>
        <n v="4.7E-2"/>
        <n v="3.5999999999999997E-2"/>
        <n v="4.1000000000000002E-2"/>
        <n v="5.0999999999999997E-2"/>
        <n v="0.08"/>
        <n v="0.04"/>
        <n v="4.2500000000000003E-2"/>
        <n v="4.65E-2"/>
        <n v="7.1999999999999995E-2"/>
        <n v="7.0000000000000007E-2"/>
        <n v="6.7000000000000004E-2"/>
        <n v="5.8000000000000003E-2"/>
        <n v="7.4999999999999997E-2"/>
        <n v="0"/>
        <n v="8.1000000000000003E-2"/>
        <n v="5.5E-2"/>
        <n v="0.05"/>
        <n v="5.7000000000000002E-2"/>
        <n v="0.06"/>
        <n v="7.0999999999999994E-2"/>
        <n v="5.8999999999999997E-2"/>
        <n v="6.5000000000000002E-2"/>
        <n v="0.03" u="1"/>
        <n v="4.2999999999999997E-2" u="1"/>
        <n v="4.8000000000000001E-2" u="1"/>
        <n v="9.5000000000000001E-2" u="1"/>
        <n v="4.9000000000000002E-2" u="1"/>
        <n v="4.5999999999999999E-2" u="1"/>
        <n v="3.1E-2" u="1"/>
        <n v="5.0000000000000001E-3" u="1"/>
        <n v="0.105" u="1"/>
      </sharedItems>
    </cacheField>
    <cacheField name="NAME" numFmtId="0">
      <sharedItems containsBlank="1" count="5">
        <s v="BWID JSC"/>
        <s v="Subsidiaries"/>
        <s v="VC3"/>
        <e v="#N/A" u="1"/>
        <m u="1"/>
      </sharedItems>
    </cacheField>
    <cacheField name="Bank_1" numFmtId="0">
      <sharedItems containsBlank="1" count="15">
        <s v="VCB"/>
        <s v="VTB"/>
        <s v="BIDV"/>
        <s v="OCB"/>
        <s v="TCB"/>
        <s v="ACB"/>
        <s v="Standard Chartered"/>
        <s v="MBB"/>
        <s v="VIB"/>
        <s v="UOB"/>
        <s v="SNP"/>
        <e v="#N/A" u="1"/>
        <m u="1"/>
        <s v="Others" u="1"/>
        <s v="SINO" u="1"/>
      </sharedItems>
    </cacheField>
    <cacheField name="Bank" numFmtId="0">
      <sharedItems/>
    </cacheField>
    <cacheField name="Reference rate" numFmtId="10">
      <sharedItems containsSemiMixedTypes="0" containsString="0" containsNumber="1" minValue="0" maxValue="6.5000000000000002E-2"/>
    </cacheField>
    <cacheField name="Remark" numFmtId="0">
      <sharedItems containsBlank="1"/>
    </cacheField>
    <cacheField name="Stablized Asset" numFmtId="0">
      <sharedItems containsNonDate="0" containsString="0" containsBlank="1"/>
    </cacheField>
    <cacheField name="Week" numFmtId="0">
      <sharedItems/>
    </cacheField>
    <cacheField name="VNDbn" numFmtId="0">
      <sharedItems containsSemiMixedTypes="0" containsString="0" containsNumber="1" minValue="0" maxValue="400"/>
    </cacheField>
    <cacheField name="To maturity date" numFmtId="43">
      <sharedItems/>
    </cacheField>
  </cacheFields>
  <extLst>
    <ext xmlns:x14="http://schemas.microsoft.com/office/spreadsheetml/2009/9/main" uri="{725AE2AE-9491-48be-B2B4-4EB974FC3084}">
      <x14:pivotCacheDefinition pivotCacheId="2256971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WID Accounting" refreshedDate="45954.764005787038" createdVersion="8" refreshedVersion="8" minRefreshableVersion="3" recordCount="810" xr:uid="{88461A73-0273-4D06-A468-1C2BF4FFCF03}">
  <cacheSource type="worksheet">
    <worksheetSource name="Table11" sheet=" Bi-weekly updated cash report_01 Dec 2025 to 15 Dec 2025 (internal).xlsx" r:id="rId2"/>
  </cacheSource>
  <cacheFields count="25">
    <cacheField name="ENTITY" numFmtId="0">
      <sharedItems/>
    </cacheField>
    <cacheField name="BRANCH" numFmtId="0">
      <sharedItems/>
    </cacheField>
    <cacheField name="ACCOUNT NUMBER" numFmtId="0">
      <sharedItems containsMixedTypes="1" containsNumber="1" containsInteger="1" minValue="1060629524" maxValue="1060934439"/>
    </cacheField>
    <cacheField name="ACCOUNT TYPE" numFmtId="0">
      <sharedItems containsBlank="1" count="8">
        <s v="Current Account"/>
        <s v="Capital Account"/>
        <s v="Saving Account"/>
        <s v="Foreign Loan"/>
        <s v="Reserve Account"/>
        <s v="Escrow account"/>
        <s v="ISRA Account" u="1"/>
        <m u="1"/>
      </sharedItems>
    </cacheField>
    <cacheField name="CURRENCY" numFmtId="0">
      <sharedItems/>
    </cacheField>
    <cacheField name="OB_BS (VND)" numFmtId="166">
      <sharedItems containsBlank="1"/>
    </cacheField>
    <cacheField name="Dif" numFmtId="166">
      <sharedItems containsBlank="1" containsMixedTypes="1" containsNumber="1" containsInteger="1" minValue="-7239166851" maxValue="0"/>
    </cacheField>
    <cacheField name="OPENING BALANCE (VND)" numFmtId="166">
      <sharedItems containsSemiMixedTypes="0" containsString="0" containsNumber="1" containsInteger="1" minValue="0" maxValue="950000000000"/>
    </cacheField>
    <cacheField name="CASH IN - CREDIT (VND)" numFmtId="166">
      <sharedItems containsSemiMixedTypes="0" containsString="0" containsNumber="1" containsInteger="1" minValue="0" maxValue="182000000000"/>
    </cacheField>
    <cacheField name="CASH OUT - DEBIT (VND)" numFmtId="166">
      <sharedItems containsSemiMixedTypes="0" containsString="0" containsNumber="1" containsInteger="1" minValue="0" maxValue="182000000000"/>
    </cacheField>
    <cacheField name="NET AMOUNT (VND)" numFmtId="166">
      <sharedItems containsSemiMixedTypes="0" containsString="0" containsNumber="1" containsInteger="1" minValue="-180000110000" maxValue="182000000000"/>
    </cacheField>
    <cacheField name="CLOSING BALANCE (VND)2" numFmtId="166">
      <sharedItems containsSemiMixedTypes="0" containsString="0" containsNumber="1" containsInteger="1" minValue="0" maxValue="950000000000"/>
    </cacheField>
    <cacheField name="CB_BS (VND)" numFmtId="169">
      <sharedItems/>
    </cacheField>
    <cacheField name="Dif2" numFmtId="166">
      <sharedItems/>
    </cacheField>
    <cacheField name="OB_BS (USD)" numFmtId="166">
      <sharedItems containsSemiMixedTypes="0" containsString="0" containsNumber="1" containsInteger="1" minValue="0" maxValue="0"/>
    </cacheField>
    <cacheField name="Dif3" numFmtId="166">
      <sharedItems containsSemiMixedTypes="0" containsString="0" containsNumber="1" minValue="-29660.409999999996" maxValue="0"/>
    </cacheField>
    <cacheField name="OPENING BALANCE (USD)" numFmtId="166">
      <sharedItems containsSemiMixedTypes="0" containsString="0" containsNumber="1" minValue="0" maxValue="29660.409999999996"/>
    </cacheField>
    <cacheField name="CASH IN - CREDIT (USD)" numFmtId="166">
      <sharedItems containsSemiMixedTypes="0" containsString="0" containsNumber="1" containsInteger="1" minValue="0" maxValue="0"/>
    </cacheField>
    <cacheField name="CASH OUT - DEBIT (USD)" numFmtId="166">
      <sharedItems containsSemiMixedTypes="0" containsString="0" containsNumber="1" minValue="0" maxValue="2.2000000000000002"/>
    </cacheField>
    <cacheField name="CLOSING BALANCE (USD)" numFmtId="43">
      <sharedItems containsSemiMixedTypes="0" containsString="0" containsNumber="1" minValue="0" maxValue="29660.409999999996"/>
    </cacheField>
    <cacheField name="CB_BS (USD)" numFmtId="166">
      <sharedItems containsBlank="1" containsMixedTypes="1" containsNumber="1" containsInteger="1" minValue="0" maxValue="0"/>
    </cacheField>
    <cacheField name="Dif4" numFmtId="0">
      <sharedItems containsMixedTypes="1" containsNumber="1" minValue="0" maxValue="13120"/>
    </cacheField>
    <cacheField name="NAME" numFmtId="0">
      <sharedItems containsBlank="1" count="5">
        <s v="BWID JSC"/>
        <s v="Subsidiaries"/>
        <s v="VC3"/>
        <e v="#N/A" u="1"/>
        <m u="1"/>
      </sharedItems>
    </cacheField>
    <cacheField name="Bank_1" numFmtId="0">
      <sharedItems containsBlank="1" count="16">
        <s v="BIDV"/>
        <s v="VCB"/>
        <s v="VTB"/>
        <s v="Others"/>
        <s v="VIB"/>
        <s v="TCB"/>
        <s v="OCB"/>
        <s v="ACB"/>
        <s v="SNP"/>
        <s v="MBB"/>
        <s v="UOB"/>
        <s v="KEB Hana"/>
        <s v="Standard Chartered"/>
        <m u="1"/>
        <s v="SINO" u="1"/>
        <e v="#N/A" u="1"/>
      </sharedItems>
    </cacheField>
    <cacheField name="Bank" numFmtId="0">
      <sharedItems containsBlank="1" count="29">
        <s v="BIDV - THANH XUAN"/>
        <s v="VIETCOMBANK - BA DINH"/>
        <s v="VIETCOMBANK - HCM"/>
        <s v="VIETINBANK - TIEN SON"/>
        <s v="VIETINBANK - BINH DUONG + QM"/>
        <s v="VIETINBANK - DONG SAI GON"/>
        <s v="VIETINBANK - CN1"/>
        <s v="OTHERS"/>
        <s v="VIB - HOI SO"/>
        <s v="TECHCOMBANK"/>
        <s v="OCB - BINH DUONG"/>
        <s v="ACB - HCM"/>
        <s v="SINOPAC"/>
        <s v="BIDV - LONG BIEN"/>
        <s v="BIDV - NAM SAI GON"/>
        <s v="MB - BAC SAI GON"/>
        <s v="ACB - SAI GON"/>
        <s v="UOB"/>
        <s v="KEB Hana - HCM"/>
        <s v="VIETINBANK - TPHCM"/>
        <s v="STANDARD CHARTERED"/>
        <s v="BIDV - GIA DINH"/>
        <s v="VIETCOMBANK - NAM BINH DUONG"/>
        <s v="VIETCOMBANK - BINH TAY"/>
        <s v="VIETINBANK - HA NOI" u="1"/>
        <s v="MB - GIA DINH" u="1"/>
        <s v="MB - NGUYEN TRI PHUONG" u="1"/>
        <s v="VIETINBANK - CN6" u="1"/>
        <m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WID Accounting" refreshedDate="45954.764008564816" createdVersion="8" refreshedVersion="8" minRefreshableVersion="3" recordCount="240" xr:uid="{277D0DFD-30D4-4DCB-8E53-2CA423BC7451}">
  <cacheSource type="worksheet">
    <worksheetSource name="Table1218" sheet=" Bi-weekly updated cash report_01 Dec 2025 to 15 Dec 2025 (internal).xlsx" r:id="rId2"/>
  </cacheSource>
  <cacheFields count="26">
    <cacheField name="ENTITY" numFmtId="0">
      <sharedItems/>
    </cacheField>
    <cacheField name="BRANCH" numFmtId="0">
      <sharedItems/>
    </cacheField>
    <cacheField name="ACCOUNT NUMBER" numFmtId="0">
      <sharedItems containsMixedTypes="1" containsNumber="1" containsInteger="1" minValue="1060932216" maxValue="1060934439"/>
    </cacheField>
    <cacheField name="ACCOUNT TYPE" numFmtId="0">
      <sharedItems/>
    </cacheField>
    <cacheField name="CURRENCY" numFmtId="0">
      <sharedItems/>
    </cacheField>
    <cacheField name="CLOSING BALANCE _x000a_(VND)" numFmtId="166">
      <sharedItems containsSemiMixedTypes="0" containsString="0" containsNumber="1" containsInteger="1" minValue="50000000" maxValue="950000000000"/>
    </cacheField>
    <cacheField name="CLOSING BALANCE_x000a_(USD)" numFmtId="166">
      <sharedItems containsString="0" containsBlank="1" containsNumber="1" containsInteger="1" minValue="0" maxValue="0"/>
    </cacheField>
    <cacheField name="Term (months)" numFmtId="0">
      <sharedItems count="11">
        <s v="3 months"/>
        <s v="6 months"/>
        <s v="1 month"/>
        <s v="12 months"/>
        <s v="2 months"/>
        <s v="13 months"/>
        <s v="7 months"/>
        <s v="5 months"/>
        <s v="4 months"/>
        <s v="8 months" u="1"/>
        <s v="9 months" u="1"/>
      </sharedItems>
    </cacheField>
    <cacheField name="Term (days)" numFmtId="0">
      <sharedItems containsString="0" containsBlank="1" containsNumber="1" containsInteger="1" minValue="0" maxValue="0"/>
    </cacheField>
    <cacheField name="Opening date" numFmtId="0">
      <sharedItems containsNonDate="0" containsDate="1" containsString="0" containsBlank="1" minDate="2020-08-10T00:00:00" maxDate="2025-03-26T00:00:00"/>
    </cacheField>
    <cacheField name="Maturity date" numFmtId="15">
      <sharedItems containsSemiMixedTypes="0" containsNonDate="0" containsDate="1" containsString="0" minDate="2025-10-17T00:00:00" maxDate="2026-08-05T00:00:00"/>
    </cacheField>
    <cacheField name="Interest rate" numFmtId="10">
      <sharedItems containsSemiMixedTypes="0" containsString="0" containsNumber="1" minValue="0" maxValue="0.08" count="64">
        <n v="4.3999999999999997E-2"/>
        <n v="4.4999999999999998E-2"/>
        <n v="4.2999999999999997E-2"/>
        <n v="0.03"/>
        <n v="1.4999999999999999E-2"/>
        <n v="4.1000000000000002E-2"/>
        <n v="4.8000000000000001E-2"/>
        <n v="4.2000000000000003E-2"/>
        <n v="2.9000000000000001E-2"/>
        <n v="4.5999999999999999E-2"/>
        <n v="5.5E-2"/>
        <n v="5.1999999999999998E-2"/>
        <n v="4.7E-2"/>
        <n v="3.6999999999999998E-2"/>
        <n v="4.7500000000000001E-2"/>
        <n v="6.2E-2"/>
        <n v="4.4400000000000002E-2" u="1"/>
        <n v="3.5000000000000003E-2" u="1"/>
        <n v="4.5499999999999999E-2" u="1"/>
        <n v="0.04" u="1"/>
        <n v="3.4000000000000002E-2" u="1"/>
        <n v="3.6499999999999998E-2" u="1"/>
        <n v="3.2000000000000001E-2" u="1"/>
        <n v="3.3000000000000002E-2" u="1"/>
        <n v="2.1999999999999999E-2" u="1"/>
        <n v="4.9000000000000002E-2" u="1"/>
        <n v="4.4499999999999998E-2" u="1"/>
        <n v="3.7999999999999999E-2" u="1"/>
        <n v="3.1E-2" u="1"/>
        <n v="2.5999999999999999E-2" u="1"/>
        <n v="2.3E-2" u="1"/>
        <n v="2.1000000000000001E-2" u="1"/>
        <n v="4.3200000000000002E-2" u="1"/>
        <n v="4.1500000000000002E-2" u="1"/>
        <n v="1.9E-2" u="1"/>
        <n v="3.5999999999999997E-2" u="1"/>
        <n v="0.02" u="1"/>
        <n v="0" u="1"/>
        <n v="6.7000000000000004E-2" u="1"/>
        <n v="1.7999999999999999E-2" u="1"/>
        <n v="3.9E-2" u="1"/>
        <n v="1.6E-2" u="1"/>
        <n v="2.4E-2" u="1"/>
        <n v="1.7000000000000001E-2" u="1"/>
        <n v="6.5000000000000002E-2" u="1"/>
        <n v="5.7000000000000002E-2" u="1"/>
        <n v="2.8000000000000001E-2" u="1"/>
        <n v="2.5000000000000001E-2" u="1"/>
        <n v="0.05" u="1"/>
        <n v="3.7499999999999999E-2" u="1"/>
        <n v="1.4E-2" u="1"/>
        <n v="7.0999999999999994E-2" u="1"/>
        <n v="5.8999999999999997E-2" u="1"/>
        <n v="3.85E-2" u="1"/>
        <n v="7.1999999999999995E-2" u="1"/>
        <n v="2.7E-2" u="1"/>
        <n v="0.06" u="1"/>
        <n v="0.08" u="1"/>
        <n v="4.2500000000000003E-2" u="1"/>
        <n v="3.3500000000000002E-2" u="1"/>
        <n v="4.65E-2" u="1"/>
        <n v="7.0000000000000007E-2" u="1"/>
        <n v="5.8000000000000003E-2" u="1"/>
        <n v="7.4999999999999997E-2" u="1"/>
      </sharedItems>
    </cacheField>
    <cacheField name="NAME" numFmtId="0">
      <sharedItems count="3">
        <s v="Subsidiaries"/>
        <s v="BWID JSC"/>
        <s v="VC3"/>
      </sharedItems>
    </cacheField>
    <cacheField name="Bank_1" numFmtId="0">
      <sharedItems count="16">
        <s v="BIDV"/>
        <s v="VTB"/>
        <s v="VCB"/>
        <s v="SNP"/>
        <s v="KBANK"/>
        <s v="VIB"/>
        <s v="Woori Bank"/>
        <s v="KEB Hana"/>
        <s v="TCB"/>
        <s v="OCB" u="1"/>
        <s v="ACB" u="1"/>
        <s v="MAYBANK" u="1"/>
        <s v="CTBC" u="1"/>
        <s v="UOB" u="1"/>
        <s v="VPBank" u="1"/>
        <s v="Standard Chartered" u="1"/>
      </sharedItems>
    </cacheField>
    <cacheField name="Bank" numFmtId="0">
      <sharedItems/>
    </cacheField>
    <cacheField name="Column1" numFmtId="10">
      <sharedItems containsNonDate="0" containsString="0" containsBlank="1"/>
    </cacheField>
    <cacheField name="Remark" numFmtId="0">
      <sharedItems containsBlank="1"/>
    </cacheField>
    <cacheField name="Stablized Asset" numFmtId="0">
      <sharedItems containsNonDate="0" containsString="0" containsBlank="1"/>
    </cacheField>
    <cacheField name="Week" numFmtId="0">
      <sharedItems/>
    </cacheField>
    <cacheField name="VNDbn" numFmtId="43">
      <sharedItems containsSemiMixedTypes="0" containsString="0" containsNumber="1" minValue="0.05" maxValue="950"/>
    </cacheField>
    <cacheField name="To maturity date" numFmtId="43">
      <sharedItems/>
    </cacheField>
    <cacheField name="Column3" numFmtId="166">
      <sharedItems containsString="0" containsBlank="1" containsNumber="1" containsInteger="1" minValue="1" maxValue="13"/>
    </cacheField>
    <cacheField name="Per bank statement" numFmtId="0">
      <sharedItems containsString="0" containsBlank="1" containsNumber="1" containsInteger="1" minValue="1" maxValue="13"/>
    </cacheField>
    <cacheField name="Difference" numFmtId="166">
      <sharedItems containsString="0" containsBlank="1" containsNumber="1" containsInteger="1" minValue="0" maxValue="0"/>
    </cacheField>
    <cacheField name="Per bank statement2" numFmtId="0">
      <sharedItems containsString="0" containsBlank="1" containsNumber="1" minValue="1.4999999999999999E-2" maxValue="5.1999999999999998E-2"/>
    </cacheField>
    <cacheField name="Interest Difference" numFmtId="0">
      <sharedItems containsString="0" containsBlank="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WID Accounting" refreshedDate="45954.764027199075" createdVersion="8" refreshedVersion="8" minRefreshableVersion="3" recordCount="70" xr:uid="{6F9331D0-D417-4782-8F8C-B03B2870E87B}">
  <cacheSource type="worksheet">
    <worksheetSource name="Table10" sheet=" Bi-weekly updated cash report_01 Dec 2025 to 15 Dec 2025 (internal).xlsx" r:id="rId2"/>
  </cacheSource>
  <cacheFields count="11">
    <cacheField name="No.1" numFmtId="0">
      <sharedItems containsString="0" containsBlank="1" containsNumber="1" containsInteger="1" minValue="1" maxValue="15"/>
    </cacheField>
    <cacheField name="Entity" numFmtId="0">
      <sharedItems containsBlank="1"/>
    </cacheField>
    <cacheField name="Billed Amount" numFmtId="0">
      <sharedItems containsString="0" containsBlank="1" containsNumber="1" minValue="10009626154.800001" maxValue="1006875000000"/>
    </cacheField>
    <cacheField name="Denoted _x000a_Currency" numFmtId="0">
      <sharedItems containsBlank="1"/>
    </cacheField>
    <cacheField name="VND equivalent" numFmtId="0">
      <sharedItems containsString="0" containsBlank="1" containsNumber="1" minValue="0" maxValue="1006875000000"/>
    </cacheField>
    <cacheField name="Description" numFmtId="0">
      <sharedItems containsBlank="1"/>
    </cacheField>
    <cacheField name="Expected date of receipt" numFmtId="0">
      <sharedItems containsBlank="1"/>
    </cacheField>
    <cacheField name="Sub_Type" numFmtId="0">
      <sharedItems containsBlank="1"/>
    </cacheField>
    <cacheField name="Type" numFmtId="0">
      <sharedItems containsBlank="1" count="9">
        <s v="Receipt from tenants"/>
        <s v="Refinancing"/>
        <s v="VAT refund"/>
        <m/>
        <s v=""/>
        <s v="Corporate Loan drawdown" u="1"/>
        <s v="Refund land/deal deposit payment" u="1"/>
        <s v="Management fee from subsidiaries" u="1"/>
        <s v="Other receipts" u="1"/>
      </sharedItems>
    </cacheField>
    <cacheField name="Status" numFmtId="0">
      <sharedItems containsBlank="1" count="3">
        <s v="PLANNED"/>
        <m/>
        <s v="DONE" u="1"/>
      </sharedItems>
    </cacheField>
    <cacheField name="Transfer to" numFmtId="0">
      <sharedItems containsBlank="1" count="5">
        <s v="BWID JSC"/>
        <s v="Subsidiaries"/>
        <s v="VC3"/>
        <m/>
        <s v=""/>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WID Accounting" refreshedDate="45954.764028587961" createdVersion="8" refreshedVersion="8" minRefreshableVersion="3" recordCount="50" xr:uid="{5885CF23-4F7F-4E4B-8965-CBAB939DBEFC}">
  <cacheSource type="worksheet">
    <worksheetSource name="Table9" sheet=" Bi-weekly updated cash report_01 Dec 2025 to 15 Dec 2025 (internal).xlsx" r:id="rId2"/>
  </cacheSource>
  <cacheFields count="19">
    <cacheField name="No.1" numFmtId="0">
      <sharedItems containsSemiMixedTypes="0" containsString="0" containsNumber="1" containsInteger="1" minValue="1" maxValue="49"/>
    </cacheField>
    <cacheField name="Entity" numFmtId="0">
      <sharedItems/>
    </cacheField>
    <cacheField name="Billed Amount" numFmtId="0">
      <sharedItems containsSemiMixedTypes="0" containsString="0" containsNumber="1" minValue="30000" maxValue="85764550692"/>
    </cacheField>
    <cacheField name="Denoted _x000a_Currency" numFmtId="0">
      <sharedItems/>
    </cacheField>
    <cacheField name="VND equivalent" numFmtId="166">
      <sharedItems containsSemiMixedTypes="0" containsString="0" containsNumber="1" containsInteger="1" minValue="780000000" maxValue="85764550692"/>
    </cacheField>
    <cacheField name="Description" numFmtId="49">
      <sharedItems/>
    </cacheField>
    <cacheField name="Expected date of payment" numFmtId="175">
      <sharedItems containsBlank="1" count="104">
        <s v="W3Jun25"/>
        <s v="W4Jun25"/>
        <s v="W2Jun25"/>
        <s v="W1Jun25"/>
        <s v="W5May25"/>
        <s v="W4Apr25" u="1"/>
        <s v="W3Apr25" u="1"/>
        <s v="W2May25" u="1"/>
        <s v="W3May25" u="1"/>
        <s v="W1May25" u="1"/>
        <m u="1"/>
        <s v="W4Mar25" u="1"/>
        <s v="W3Mar25" u="1"/>
        <s v="W1Apr25" u="1"/>
        <s v="W2Apr25" u="1"/>
        <s v="W2Mar25" u="1"/>
        <s v="W4Feb25" u="1"/>
        <s v="W3Feb25" u="1"/>
        <s v="W2Feb25" u="1"/>
        <s v="W1Mar25" u="1"/>
        <s v="W4Dec24" u="1"/>
        <s v="W2Dec24" u="1"/>
        <s v="W1Dec24" u="1"/>
        <s v="W3Dec24" u="1"/>
        <s v="W4Nov24" u="1"/>
        <s v="W4Oct24" u="1"/>
        <s v="W5Oct24" u="1"/>
        <s v="W2Nov24" u="1"/>
        <s v="W1Nov24" u="1"/>
        <s v="W3Oct24" u="1"/>
        <s v="W1Oct24" u="1"/>
        <s v="W4Sep24" u="1"/>
        <s v="W2Oct24" u="1"/>
        <s v="W2Sep24" u="1"/>
        <s v="W3Sep24" u="1"/>
        <s v="W5Aug24" u="1"/>
        <s v="W4Aug24" u="1"/>
        <s v="W1Sep24" u="1"/>
        <s v="W3Aug24" u="1"/>
        <s v="W1Aug24" u="1"/>
        <s v="W2Aug24" u="1"/>
        <s v="W4Jul24" u="1"/>
        <s v="W3Jul24" u="1"/>
        <s v="W4Jun24" u="1"/>
        <s v="W3Jun24" u="1"/>
        <s v="W2Jun24" u="1"/>
        <s v="W1Jun24" u="1"/>
        <s v="W4May24" u="1"/>
        <s v="W4Apr24" u="1"/>
        <s v="W1May24" u="1"/>
        <s v="W2May24" u="1"/>
        <s v="W2Mar24" u="1"/>
        <s v="W4Mar24" u="1"/>
        <s v="W3Mar24" u="1"/>
        <s v="W1Mar24" u="1"/>
        <s v="W1Apr24" u="1"/>
        <s v="W4Feb24" u="1"/>
        <s v="W3Feb24" u="1"/>
        <s v="W1Feb24" u="1"/>
        <s v="W4Jan24" u="1"/>
        <s v="W2Jan24" u="1"/>
        <s v="W3Jan24" u="1"/>
        <s v="W5Jan24" u="1"/>
        <s v="W1Jan24" u="1"/>
        <s v="W4Oct23" u="1"/>
        <s v="W3Nov23" u="1"/>
        <s v="W1Nov23" u="1"/>
        <s v="W2Nov23" u="1"/>
        <s v="W4Sep23" u="1"/>
        <s v="W3Oct23" u="1"/>
        <s v="W2Oct23" u="1"/>
        <s v="W1Oct23" u="1"/>
        <s v="W3Sep23" u="1"/>
        <s v="W2Sep23" u="1"/>
        <s v="W4Aug23" u="1"/>
        <s v="W1Sep23" u="1"/>
        <s v="W3Aug23" u="1"/>
        <s v="W1Jun23" u="1"/>
        <s v="W4Mar23" u="1"/>
        <s v="W3Jan23" u="1"/>
        <s v="W3Jun23" u="1"/>
        <s v="W4Apr23" u="1"/>
        <s v="W1Jul23" u="1"/>
        <s v="W1Feb23" u="1"/>
        <s v="W1May23" u="1"/>
        <s v="W2Aug23" u="1"/>
        <s v="W3Jul23" u="1"/>
        <s v="W3Feb23" u="1"/>
        <s v="W3May23" u="1"/>
        <s v="W1Mar23" u="1"/>
        <s v="W3Mar23" u="1"/>
        <s v="W2Jan23" u="1"/>
        <s v="W2Jun23" u="1"/>
        <s v="W4Jan23" u="1"/>
        <s v="W4Jun23" u="1"/>
        <s v="W3Apr23" u="1"/>
        <s v="W1Aug23" u="1"/>
        <s v="W2Jul23" u="1"/>
        <s v="W2Feb23" u="1"/>
        <s v="W2May23" u="1"/>
        <s v="W4Jul23" u="1"/>
        <s v="W4Feb23" u="1"/>
        <s v="W4May23" u="1"/>
        <s v="W2Mar23" u="1"/>
      </sharedItems>
    </cacheField>
    <cacheField name="Sub_type" numFmtId="0">
      <sharedItems/>
    </cacheField>
    <cacheField name="Type" numFmtId="0">
      <sharedItems containsBlank="1" count="10">
        <s v="Deal payment"/>
        <s v="Loan interest"/>
        <s v="Operating expense"/>
        <s v="Loan repayment"/>
        <s v="Construction expense"/>
        <s v="Land acquisition"/>
        <m u="1"/>
        <s v="recheck" u="1"/>
        <s v="" u="1"/>
        <s v="Internal Contribution" u="1"/>
      </sharedItems>
    </cacheField>
    <cacheField name="Status" numFmtId="0">
      <sharedItems containsBlank="1" count="3">
        <s v="PLANNED"/>
        <m u="1"/>
        <s v="DONE" u="1"/>
      </sharedItems>
    </cacheField>
    <cacheField name="Source" numFmtId="0">
      <sharedItems containsBlank="1" count="5">
        <s v="SHL"/>
        <s v="Equity"/>
        <s v="Bank Loan"/>
        <m u="1"/>
        <s v="Contribution" u="1"/>
      </sharedItems>
    </cacheField>
    <cacheField name="Transfer from" numFmtId="0">
      <sharedItems containsBlank="1" count="5">
        <s v="VC3"/>
        <s v="Subsidiaries"/>
        <s v="BWID JSC"/>
        <m u="1"/>
        <s v="" u="1"/>
      </sharedItems>
    </cacheField>
    <cacheField name="Urgent" numFmtId="0">
      <sharedItems containsNonDate="0" containsString="0" containsBlank="1"/>
    </cacheField>
    <cacheField name="Transfer Account" numFmtId="0">
      <sharedItems containsNonDate="0" containsString="0" containsBlank="1"/>
    </cacheField>
    <cacheField name="Transfer Entity" numFmtId="0">
      <sharedItems containsBlank="1"/>
    </cacheField>
    <cacheField name="Transfer Branch" numFmtId="0">
      <sharedItems containsBlank="1"/>
    </cacheField>
    <cacheField name="Receiving Account" numFmtId="0">
      <sharedItems containsNonDate="0" containsString="0" containsBlank="1"/>
    </cacheField>
    <cacheField name="Receiving Entity" numFmtId="0">
      <sharedItems containsBlank="1"/>
    </cacheField>
    <cacheField name="Receiving Branch"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
  <r>
    <x v="0"/>
    <s v="VIETCOMBANK - HCM"/>
    <s v="001015733500"/>
    <s v="Saving Account"/>
    <s v="VND"/>
    <n v="100000000"/>
    <n v="0"/>
    <x v="0"/>
    <x v="0"/>
    <x v="0"/>
    <x v="0"/>
    <x v="0"/>
    <s v="VIETCOMBANK - HCM"/>
    <n v="3.5999999999999997E-2"/>
    <s v="will close account soon because of very small amount"/>
    <m/>
    <s v="W3Oct23"/>
    <n v="0.1"/>
    <s v="Next 1 month"/>
  </r>
  <r>
    <x v="0"/>
    <s v="VIETCOMBANK - HCM"/>
    <s v="001017165869"/>
    <s v="Saving Account"/>
    <s v="VND"/>
    <n v="100000000"/>
    <n v="0"/>
    <x v="1"/>
    <x v="1"/>
    <x v="1"/>
    <x v="0"/>
    <x v="0"/>
    <s v="VIETCOMBANK - HCM"/>
    <n v="5.1999999999999998E-2"/>
    <m/>
    <m/>
    <s v="W4Oct23"/>
    <n v="0.1"/>
    <s v="Next 1 month"/>
  </r>
  <r>
    <x v="1"/>
    <s v="VIETINBANK - DONG SAI GON"/>
    <s v="211000300645"/>
    <s v="Saving Account"/>
    <s v="VND"/>
    <n v="17000000000"/>
    <n v="0"/>
    <x v="2"/>
    <x v="2"/>
    <x v="2"/>
    <x v="1"/>
    <x v="1"/>
    <s v="VIETINBANK - DONG SAI GON"/>
    <n v="4.2500000000000003E-2"/>
    <s v="for optimal cashflow purpose"/>
    <m/>
    <s v="W1Nov23"/>
    <n v="17"/>
    <s v="Next 2 months"/>
  </r>
  <r>
    <x v="1"/>
    <s v="VIETINBANK - DONG SAI GON"/>
    <s v="217000301104"/>
    <s v="Saving Account"/>
    <s v="VND"/>
    <n v="20000000000"/>
    <n v="0"/>
    <x v="2"/>
    <x v="3"/>
    <x v="2"/>
    <x v="1"/>
    <x v="1"/>
    <s v="VIETINBANK - DONG SAI GON"/>
    <n v="4.2500000000000003E-2"/>
    <s v="for optimal cashflow purpose"/>
    <m/>
    <s v="W1Nov23"/>
    <n v="20"/>
    <s v="Next 2 months"/>
  </r>
  <r>
    <x v="2"/>
    <s v="VIETINBANK - TIEN SON"/>
    <s v="214000295447"/>
    <s v="Saving Account"/>
    <s v="VND"/>
    <n v="16000000000"/>
    <n v="0"/>
    <x v="2"/>
    <x v="4"/>
    <x v="3"/>
    <x v="1"/>
    <x v="1"/>
    <s v="VIETINBANK - TIEN SON"/>
    <n v="4.2500000000000003E-2"/>
    <m/>
    <m/>
    <s v="W2Oct23"/>
    <n v="16"/>
    <s v="Next 1 month"/>
  </r>
  <r>
    <x v="3"/>
    <s v="VIETINBANK - TIEN SON"/>
    <s v="211000306676"/>
    <s v="Saving Account"/>
    <s v="VND"/>
    <n v="4800000000"/>
    <n v="0"/>
    <x v="0"/>
    <x v="5"/>
    <x v="4"/>
    <x v="1"/>
    <x v="1"/>
    <s v="VIETINBANK - TIEN SON"/>
    <n v="3.5999999999999997E-2"/>
    <m/>
    <m/>
    <s v="W4Sep23"/>
    <n v="4.8"/>
    <s v="Due in Sep"/>
  </r>
  <r>
    <x v="4"/>
    <s v="BIDV - THANH XUAN"/>
    <s v="22210001560498"/>
    <s v="Saving Account"/>
    <s v="VND"/>
    <n v="9000000000"/>
    <n v="0"/>
    <x v="0"/>
    <x v="6"/>
    <x v="5"/>
    <x v="1"/>
    <x v="2"/>
    <s v="BIDV - THANH XUAN"/>
    <n v="3.5999999999999997E-2"/>
    <m/>
    <m/>
    <s v="W4Sep23"/>
    <n v="9"/>
    <s v="Due in Sep"/>
  </r>
  <r>
    <x v="4"/>
    <s v="BIDV - THANH XUAN"/>
    <s v="22210001522319"/>
    <s v="Saving Account"/>
    <s v="VND"/>
    <n v="2500000000"/>
    <n v="0"/>
    <x v="1"/>
    <x v="7"/>
    <x v="6"/>
    <x v="1"/>
    <x v="2"/>
    <s v="BIDV - THANH XUAN"/>
    <n v="5.1999999999999998E-2"/>
    <s v="due to opening date/renew date was before interate rate updating date"/>
    <m/>
    <s v="W4Sep23"/>
    <n v="2.5"/>
    <s v="Due in Sep"/>
  </r>
  <r>
    <x v="4"/>
    <s v="BIDV - THANH XUAN"/>
    <s v="22210001486901"/>
    <s v="Saving Account"/>
    <s v="VND"/>
    <n v="2000000000"/>
    <n v="0"/>
    <x v="2"/>
    <x v="8"/>
    <x v="2"/>
    <x v="1"/>
    <x v="2"/>
    <s v="BIDV - THANH XUAN"/>
    <n v="4.2500000000000003E-2"/>
    <m/>
    <m/>
    <s v="W4Oct23"/>
    <n v="2"/>
    <s v="Next 1 month"/>
  </r>
  <r>
    <x v="5"/>
    <s v="BIDV - THANH XUAN"/>
    <s v="22210001614906"/>
    <s v="Saving Account"/>
    <s v="VND"/>
    <n v="8000000000"/>
    <n v="0"/>
    <x v="2"/>
    <x v="9"/>
    <x v="2"/>
    <x v="1"/>
    <x v="2"/>
    <s v="BIDV - THANH XUAN"/>
    <n v="4.2500000000000003E-2"/>
    <m/>
    <m/>
    <s v="W4Nov23"/>
    <n v="8"/>
    <s v="Next 2 months"/>
  </r>
  <r>
    <x v="5"/>
    <s v="BIDV - THANH XUAN"/>
    <s v="22210001614890"/>
    <s v="Saving Account"/>
    <s v="VND"/>
    <n v="2500000000"/>
    <n v="0"/>
    <x v="3"/>
    <x v="10"/>
    <x v="1"/>
    <x v="1"/>
    <x v="2"/>
    <s v="BIDV - THANH XUAN"/>
    <n v="4.7E-2"/>
    <m/>
    <m/>
    <s v="W2Feb24"/>
    <n v="2.5"/>
    <s v="Next 5 months"/>
  </r>
  <r>
    <x v="6"/>
    <s v="BIDV - THANH XUAN"/>
    <s v="22210001520216"/>
    <s v="Saving Account"/>
    <s v="VND"/>
    <n v="8000000000"/>
    <n v="0"/>
    <x v="2"/>
    <x v="11"/>
    <x v="2"/>
    <x v="1"/>
    <x v="2"/>
    <s v="BIDV - THANH XUAN"/>
    <n v="4.2500000000000003E-2"/>
    <s v="for optimal cashflow purpose"/>
    <m/>
    <s v="W2Nov23"/>
    <n v="8"/>
    <s v="Next 2 months"/>
  </r>
  <r>
    <x v="6"/>
    <s v="BIDV - THANH XUAN"/>
    <s v="22210001511344"/>
    <s v="Saving Account"/>
    <s v="VND"/>
    <n v="5000000000"/>
    <n v="0"/>
    <x v="2"/>
    <x v="6"/>
    <x v="2"/>
    <x v="1"/>
    <x v="2"/>
    <s v="BIDV - THANH XUAN"/>
    <n v="4.2500000000000003E-2"/>
    <m/>
    <m/>
    <s v="W4Sep23"/>
    <n v="5"/>
    <s v="Due in Sep"/>
  </r>
  <r>
    <x v="7"/>
    <s v="BIDV - LONG BIEN"/>
    <s v="15010002861057"/>
    <s v="Saving Account"/>
    <s v="VND"/>
    <n v="7500000000"/>
    <n v="0"/>
    <x v="0"/>
    <x v="12"/>
    <x v="4"/>
    <x v="1"/>
    <x v="2"/>
    <s v="BIDV - LONG BIEN"/>
    <n v="3.5999999999999997E-2"/>
    <m/>
    <m/>
    <s v="W2Oct23"/>
    <n v="7.5"/>
    <s v="Next 1 month"/>
  </r>
  <r>
    <x v="8"/>
    <s v="VIETCOMBANK - HCM"/>
    <s v="1036609077"/>
    <s v="Saving Account"/>
    <s v="VND"/>
    <n v="190000000000"/>
    <n v="0"/>
    <x v="3"/>
    <x v="4"/>
    <x v="7"/>
    <x v="1"/>
    <x v="0"/>
    <s v="VIETCOMBANK - HCM"/>
    <n v="4.5999999999999999E-2"/>
    <m/>
    <m/>
    <s v="W2Oct23"/>
    <n v="190"/>
    <s v="Next 1 month"/>
  </r>
  <r>
    <x v="9"/>
    <s v="VIETCOMBANK - HCM"/>
    <s v="001032842516"/>
    <s v="Saving Account"/>
    <s v="VND"/>
    <n v="0"/>
    <n v="0"/>
    <x v="0"/>
    <x v="13"/>
    <x v="8"/>
    <x v="1"/>
    <x v="0"/>
    <s v="VIETCOMBANK - HCM"/>
    <n v="3.5999999999999997E-2"/>
    <m/>
    <m/>
    <s v="W3Sep23"/>
    <n v="0"/>
    <s v="Due in Sep"/>
  </r>
  <r>
    <x v="10"/>
    <s v="VIETINBANK - CN1"/>
    <s v="216000283949"/>
    <s v="Saving Account"/>
    <s v="VND"/>
    <n v="2630000000"/>
    <n v="0"/>
    <x v="1"/>
    <x v="14"/>
    <x v="1"/>
    <x v="1"/>
    <x v="1"/>
    <s v="VIETINBANK - CN1"/>
    <n v="5.1999999999999998E-2"/>
    <s v="for deposit of electricity agreement"/>
    <m/>
    <s v="W4Jul24"/>
    <n v="2.63"/>
    <s v="Next 10 months"/>
  </r>
  <r>
    <x v="11"/>
    <s v="VIETINBANK - CN1"/>
    <s v="215000327202"/>
    <s v="Saving Account"/>
    <s v="VND"/>
    <n v="15000000000"/>
    <n v="0"/>
    <x v="2"/>
    <x v="7"/>
    <x v="3"/>
    <x v="1"/>
    <x v="1"/>
    <s v="VIETINBANK - CN1"/>
    <n v="4.2500000000000003E-2"/>
    <m/>
    <m/>
    <s v="W4Sep23"/>
    <n v="15"/>
    <s v="Due in Sep"/>
  </r>
  <r>
    <x v="11"/>
    <s v="VIETINBANK - CN1"/>
    <s v="213000298879"/>
    <s v="Saving Account"/>
    <s v="VND"/>
    <n v="50000000000"/>
    <n v="0"/>
    <x v="2"/>
    <x v="7"/>
    <x v="3"/>
    <x v="1"/>
    <x v="1"/>
    <s v="VIETINBANK - CN1"/>
    <n v="4.2500000000000003E-2"/>
    <m/>
    <m/>
    <s v="W4Sep23"/>
    <n v="50"/>
    <s v="Due in Sep"/>
  </r>
  <r>
    <x v="11"/>
    <s v="VIETINBANK - CN1"/>
    <s v="212000281605"/>
    <s v="Saving Account"/>
    <s v="VND"/>
    <n v="1738000000"/>
    <n v="0"/>
    <x v="1"/>
    <x v="15"/>
    <x v="1"/>
    <x v="1"/>
    <x v="1"/>
    <s v="VIETINBANK - CN1"/>
    <n v="5.1999999999999998E-2"/>
    <s v="for optimal cashflow purpose"/>
    <m/>
    <s v="W1Jul24"/>
    <n v="1.738"/>
    <s v="Next 10 months"/>
  </r>
  <r>
    <x v="12"/>
    <s v="VIETCOMBANK - BA DINH"/>
    <s v="001026551452"/>
    <s v="Saving Account"/>
    <s v="VND"/>
    <n v="0"/>
    <n v="0"/>
    <x v="2"/>
    <x v="16"/>
    <x v="9"/>
    <x v="1"/>
    <x v="0"/>
    <s v="VIETCOMBANK - BA DINH"/>
    <n v="4.2500000000000003E-2"/>
    <m/>
    <m/>
    <s v="W4Nov23"/>
    <n v="0"/>
    <s v="Next 2 months"/>
  </r>
  <r>
    <x v="12"/>
    <s v="VIETCOMBANK - BA DINH"/>
    <s v="001022212767"/>
    <s v="Saving Account"/>
    <s v="VND"/>
    <n v="3000000000"/>
    <n v="0"/>
    <x v="2"/>
    <x v="1"/>
    <x v="10"/>
    <x v="1"/>
    <x v="0"/>
    <s v="VIETCOMBANK - BA DINH"/>
    <n v="4.2500000000000003E-2"/>
    <m/>
    <m/>
    <s v="W4Oct23"/>
    <n v="3"/>
    <s v="Next 1 month"/>
  </r>
  <r>
    <x v="12"/>
    <s v="VIETCOMBANK - BA DINH"/>
    <s v="001031334939"/>
    <s v="Saving Account"/>
    <s v="VND"/>
    <n v="5000000000"/>
    <n v="0"/>
    <x v="0"/>
    <x v="6"/>
    <x v="8"/>
    <x v="1"/>
    <x v="0"/>
    <s v="VIETCOMBANK - BA DINH"/>
    <n v="3.5999999999999997E-2"/>
    <m/>
    <m/>
    <s v="W4Sep23"/>
    <n v="5"/>
    <s v="Due in Sep"/>
  </r>
  <r>
    <x v="13"/>
    <s v="VIETCOMBANK - HCM"/>
    <s v="001030251199"/>
    <s v="Saving Account"/>
    <s v="VND"/>
    <n v="1128000000"/>
    <n v="0"/>
    <x v="1"/>
    <x v="17"/>
    <x v="1"/>
    <x v="1"/>
    <x v="0"/>
    <s v="VIETCOMBANK - HCM"/>
    <n v="5.1999999999999998E-2"/>
    <s v="for deposit of electricity agreement"/>
    <m/>
    <s v="W1Aug24"/>
    <n v="1.1279999999999999"/>
    <s v="Next 11 months"/>
  </r>
  <r>
    <x v="14"/>
    <s v="OCB - BINH DUONG"/>
    <s v="0010600051287008"/>
    <s v="Saving Account"/>
    <s v="VND"/>
    <n v="0"/>
    <n v="0"/>
    <x v="0"/>
    <x v="18"/>
    <x v="2"/>
    <x v="1"/>
    <x v="3"/>
    <s v="OCB - BINH DUONG"/>
    <n v="4.7500000000000001E-2"/>
    <m/>
    <m/>
    <s v="W2Sep23"/>
    <n v="0"/>
    <s v="Due in Sep"/>
  </r>
  <r>
    <x v="14"/>
    <s v="OCB - BINH DUONG"/>
    <s v="0010600051283002"/>
    <s v="Saving Account"/>
    <s v="VND"/>
    <n v="0"/>
    <n v="0"/>
    <x v="0"/>
    <x v="18"/>
    <x v="2"/>
    <x v="1"/>
    <x v="3"/>
    <s v="OCB - BINH DUONG"/>
    <n v="4.7500000000000001E-2"/>
    <m/>
    <m/>
    <s v="W2Sep23"/>
    <n v="0"/>
    <s v="Due in Sep"/>
  </r>
  <r>
    <x v="15"/>
    <s v="TECHCOMBANK"/>
    <s v="11111"/>
    <s v="Saving Account"/>
    <s v="VND"/>
    <n v="50000000000"/>
    <n v="0"/>
    <x v="3"/>
    <x v="19"/>
    <x v="11"/>
    <x v="1"/>
    <x v="4"/>
    <s v="TECHCOMBANK"/>
    <n v="6.3E-2"/>
    <s v="for optimal cashflow purpose"/>
    <m/>
    <s v="W-51Jan24"/>
    <n v="50"/>
    <s v="Next 4 months"/>
  </r>
  <r>
    <x v="16"/>
    <s v="BIDV - THANH XUAN"/>
    <s v="22210001572952"/>
    <s v="Saving Account"/>
    <s v="VND"/>
    <n v="30000000000"/>
    <n v="0"/>
    <x v="2"/>
    <x v="2"/>
    <x v="2"/>
    <x v="1"/>
    <x v="2"/>
    <s v="BIDV - THANH XUAN"/>
    <n v="4.2500000000000003E-2"/>
    <s v="for optimal cashflow purpose"/>
    <m/>
    <s v="W1Nov23"/>
    <n v="30"/>
    <s v="Next 2 months"/>
  </r>
  <r>
    <x v="17"/>
    <s v="BIDV - NAM SAI GON"/>
    <s v="13210001603661"/>
    <s v="Saving Account"/>
    <s v="VND"/>
    <n v="1418000000"/>
    <n v="0"/>
    <x v="1"/>
    <x v="20"/>
    <x v="12"/>
    <x v="1"/>
    <x v="2"/>
    <s v="BIDV - NAM SAI GON"/>
    <n v="5.1999999999999998E-2"/>
    <m/>
    <m/>
    <s v="W4Oct23"/>
    <n v="1.4179999999999999"/>
    <s v="Next 1 month"/>
  </r>
  <r>
    <x v="18"/>
    <s v="VIETINBANK - DONG SAI GON"/>
    <s v="216000312326"/>
    <s v="Saving Account"/>
    <s v="VND"/>
    <n v="7000000000"/>
    <n v="0"/>
    <x v="2"/>
    <x v="5"/>
    <x v="3"/>
    <x v="1"/>
    <x v="1"/>
    <s v="VIETINBANK - DONG SAI GON"/>
    <n v="4.2500000000000003E-2"/>
    <m/>
    <m/>
    <s v="W4Sep23"/>
    <n v="7"/>
    <s v="Due in Sep"/>
  </r>
  <r>
    <x v="18"/>
    <s v="VIETINBANK - DONG SAI GON"/>
    <s v="216000308639"/>
    <s v="Saving Account"/>
    <s v="VND"/>
    <n v="20000000000"/>
    <n v="0"/>
    <x v="3"/>
    <x v="21"/>
    <x v="13"/>
    <x v="1"/>
    <x v="1"/>
    <s v="VIETINBANK - DONG SAI GON"/>
    <n v="4.7E-2"/>
    <s v="for optimal cashflow purpose"/>
    <m/>
    <s v="W2Dec23"/>
    <n v="20"/>
    <s v="Next 3 months"/>
  </r>
  <r>
    <x v="19"/>
    <s v="VIETINBANK - CN1"/>
    <s v="216000297782"/>
    <s v="Saving Account"/>
    <s v="VND"/>
    <n v="2900000000"/>
    <n v="0"/>
    <x v="1"/>
    <x v="22"/>
    <x v="14"/>
    <x v="1"/>
    <x v="1"/>
    <s v="VIETINBANK - CN1"/>
    <n v="5.1999999999999998E-2"/>
    <m/>
    <m/>
    <s v="W4Oct23"/>
    <n v="2.9"/>
    <s v="Next 1 month"/>
  </r>
  <r>
    <x v="20"/>
    <s v="VIETINBANK - TIEN SON"/>
    <s v="214000300615"/>
    <s v="Saving Account"/>
    <s v="VND"/>
    <n v="4686488696"/>
    <n v="0"/>
    <x v="0"/>
    <x v="23"/>
    <x v="4"/>
    <x v="1"/>
    <x v="1"/>
    <s v="VIETINBANK - TIEN SON"/>
    <n v="3.5999999999999997E-2"/>
    <m/>
    <m/>
    <s v="W2Oct23"/>
    <n v="4.6864886959999996"/>
    <s v="Next 1 month"/>
  </r>
  <r>
    <x v="21"/>
    <s v="VIETINBANK - TIEN SON"/>
    <s v="219000300622"/>
    <s v="Saving Account"/>
    <s v="VND"/>
    <n v="4686488696"/>
    <n v="0"/>
    <x v="0"/>
    <x v="23"/>
    <x v="4"/>
    <x v="1"/>
    <x v="1"/>
    <s v="VIETINBANK - TIEN SON"/>
    <n v="3.5999999999999997E-2"/>
    <m/>
    <m/>
    <s v="W2Oct23"/>
    <n v="4.6864886959999996"/>
    <s v="Next 1 month"/>
  </r>
  <r>
    <x v="22"/>
    <s v="VIETINBANK - TIEN SON"/>
    <s v="216000300625"/>
    <s v="Saving Account"/>
    <s v="VND"/>
    <n v="4686488696"/>
    <n v="0"/>
    <x v="0"/>
    <x v="23"/>
    <x v="4"/>
    <x v="1"/>
    <x v="1"/>
    <s v="VIETINBANK - TIEN SON"/>
    <n v="3.5999999999999997E-2"/>
    <m/>
    <m/>
    <s v="W2Oct23"/>
    <n v="4.6864886959999996"/>
    <s v="Next 1 month"/>
  </r>
  <r>
    <x v="23"/>
    <s v="VIETINBANK - BINH DUONG"/>
    <s v="217000313309"/>
    <s v="Saving Account"/>
    <s v="VND"/>
    <n v="12700000000"/>
    <n v="0"/>
    <x v="0"/>
    <x v="5"/>
    <x v="4"/>
    <x v="1"/>
    <x v="1"/>
    <s v="VIETINBANK - BINH DUONG"/>
    <n v="3.5999999999999997E-2"/>
    <m/>
    <m/>
    <s v="W4Sep23"/>
    <n v="12.7"/>
    <s v="Due in Sep"/>
  </r>
  <r>
    <x v="23"/>
    <s v="VIETINBANK - BINH DUONG"/>
    <s v="217000318177"/>
    <s v="Saving Account"/>
    <s v="VND"/>
    <n v="80000000000"/>
    <n v="0"/>
    <x v="0"/>
    <x v="5"/>
    <x v="4"/>
    <x v="1"/>
    <x v="1"/>
    <s v="VIETINBANK - BINH DUONG"/>
    <n v="3.5999999999999997E-2"/>
    <m/>
    <m/>
    <s v="W4Sep23"/>
    <n v="80"/>
    <s v="Due in Sep"/>
  </r>
  <r>
    <x v="24"/>
    <s v="VIETINBANK - TIEN SON"/>
    <s v="214000331348"/>
    <s v="Saving Account"/>
    <s v="VND"/>
    <n v="53000000000"/>
    <n v="0"/>
    <x v="3"/>
    <x v="24"/>
    <x v="15"/>
    <x v="1"/>
    <x v="1"/>
    <s v="VIETINBANK - TIEN SON"/>
    <n v="4.7E-2"/>
    <m/>
    <m/>
    <s v="W3Oct23"/>
    <n v="53"/>
    <s v="Next 1 month"/>
  </r>
  <r>
    <x v="24"/>
    <s v="VIETINBANK - TIEN SON"/>
    <s v="215000331347"/>
    <s v="Saving Account"/>
    <s v="VND"/>
    <n v="50000000000"/>
    <n v="0"/>
    <x v="3"/>
    <x v="24"/>
    <x v="15"/>
    <x v="1"/>
    <x v="1"/>
    <s v="VIETINBANK - TIEN SON"/>
    <n v="4.7E-2"/>
    <m/>
    <m/>
    <s v="W3Oct23"/>
    <n v="50"/>
    <s v="Next 1 month"/>
  </r>
  <r>
    <x v="24"/>
    <s v="VIETINBANK - TIEN SON"/>
    <s v="217000331345"/>
    <s v="Saving Account"/>
    <s v="VND"/>
    <n v="50000000000"/>
    <n v="0"/>
    <x v="3"/>
    <x v="24"/>
    <x v="15"/>
    <x v="1"/>
    <x v="1"/>
    <s v="VIETINBANK - TIEN SON"/>
    <n v="4.7E-2"/>
    <m/>
    <m/>
    <s v="W3Oct23"/>
    <n v="50"/>
    <s v="Next 1 month"/>
  </r>
  <r>
    <x v="25"/>
    <s v="VIETINBANK - TIEN SON"/>
    <s v="219000304394"/>
    <s v="Saving Account"/>
    <s v="VND"/>
    <n v="13350000000"/>
    <n v="0"/>
    <x v="0"/>
    <x v="25"/>
    <x v="5"/>
    <x v="1"/>
    <x v="1"/>
    <s v="VIETINBANK - TIEN SON"/>
    <n v="3.5999999999999997E-2"/>
    <m/>
    <m/>
    <s v="W4Sep23"/>
    <n v="13.35"/>
    <s v="Due in Sep"/>
  </r>
  <r>
    <x v="26"/>
    <s v="VIETINBANK - QUANG MINH"/>
    <s v="216000280354"/>
    <s v="Saving Account"/>
    <s v="USD"/>
    <n v="0"/>
    <n v="3900000"/>
    <x v="2"/>
    <x v="26"/>
    <x v="16"/>
    <x v="2"/>
    <x v="1"/>
    <s v="VIETINBANK - QUANG MINH"/>
    <n v="0"/>
    <m/>
    <m/>
    <s v="W1Oct23"/>
    <n v="0"/>
    <s v="Due in Sep"/>
  </r>
  <r>
    <x v="27"/>
    <s v="VIETINBANK - CN1"/>
    <s v="210000255779"/>
    <s v="Saving Account"/>
    <s v="USD"/>
    <n v="0"/>
    <n v="3000000"/>
    <x v="0"/>
    <x v="5"/>
    <x v="16"/>
    <x v="1"/>
    <x v="1"/>
    <s v="VIETINBANK - CN1"/>
    <n v="0"/>
    <m/>
    <m/>
    <s v="W4Sep23"/>
    <n v="0"/>
    <s v="Due in Sep"/>
  </r>
  <r>
    <x v="26"/>
    <s v="VIETCOMBANK - BA DINH"/>
    <s v="001036141745"/>
    <s v="Saving Account"/>
    <s v="VND"/>
    <n v="186000000000"/>
    <n v="0"/>
    <x v="3"/>
    <x v="27"/>
    <x v="17"/>
    <x v="2"/>
    <x v="0"/>
    <s v="VIETCOMBANK - BA DINH"/>
    <n v="4.5999999999999999E-2"/>
    <m/>
    <m/>
    <s v="W4Sep23"/>
    <n v="186"/>
    <s v="Due in Sep"/>
  </r>
  <r>
    <x v="0"/>
    <s v="VIETINBANK - HA NOI"/>
    <s v="217000327782"/>
    <s v="Saving Account"/>
    <s v="USD"/>
    <n v="0"/>
    <n v="1000000"/>
    <x v="2"/>
    <x v="27"/>
    <x v="16"/>
    <x v="0"/>
    <x v="1"/>
    <s v="VIETINBANK - HA NOI"/>
    <n v="0"/>
    <m/>
    <m/>
    <s v="W4Sep23"/>
    <n v="0"/>
    <s v="Due in Sep"/>
  </r>
  <r>
    <x v="0"/>
    <s v="ACB - HCM"/>
    <s v="394612719"/>
    <s v="Saving Account"/>
    <s v="VND"/>
    <n v="222737000000"/>
    <n v="0"/>
    <x v="3"/>
    <x v="28"/>
    <x v="7"/>
    <x v="0"/>
    <x v="5"/>
    <s v="ACB - HCM"/>
    <n v="5.8999999999999997E-2"/>
    <m/>
    <m/>
    <s v="W3Oct23"/>
    <n v="222.73699999999999"/>
    <s v="Next 1 month"/>
  </r>
  <r>
    <x v="16"/>
    <s v="ACB - SAI GON"/>
    <s v="393576919"/>
    <s v="Saving Account"/>
    <s v="VND"/>
    <n v="22000000000"/>
    <n v="0"/>
    <x v="3"/>
    <x v="29"/>
    <x v="7"/>
    <x v="1"/>
    <x v="5"/>
    <s v="ACB - SAI GON"/>
    <n v="5.8999999999999997E-2"/>
    <m/>
    <m/>
    <s v="W2Oct23"/>
    <n v="22"/>
    <s v="Next 1 month"/>
  </r>
  <r>
    <x v="0"/>
    <s v="BIDV - THANH XUAN"/>
    <s v="22210001592808"/>
    <s v="Saving Account"/>
    <s v="VND"/>
    <n v="0"/>
    <n v="0"/>
    <x v="4"/>
    <x v="13"/>
    <x v="18"/>
    <x v="0"/>
    <x v="2"/>
    <s v="BIDV - THANH XUAN"/>
    <n v="4.2500000000000003E-2"/>
    <m/>
    <m/>
    <s v="W3Sep23"/>
    <n v="0"/>
    <s v="Due in Sep"/>
  </r>
  <r>
    <x v="6"/>
    <s v="BIDV - THANH XUAN"/>
    <s v="22210001595986"/>
    <s v="Saving Account"/>
    <s v="VND"/>
    <n v="8000000000"/>
    <n v="0"/>
    <x v="0"/>
    <x v="5"/>
    <x v="4"/>
    <x v="1"/>
    <x v="2"/>
    <s v="BIDV - THANH XUAN"/>
    <n v="3.5999999999999997E-2"/>
    <m/>
    <m/>
    <s v="W4Sep23"/>
    <n v="8"/>
    <s v="Due in Sep"/>
  </r>
  <r>
    <x v="9"/>
    <s v="VIETCOMBANK - HCM"/>
    <s v="001037232640"/>
    <s v="Saving Account"/>
    <s v="VND"/>
    <n v="20000000000"/>
    <n v="0"/>
    <x v="3"/>
    <x v="30"/>
    <x v="15"/>
    <x v="1"/>
    <x v="0"/>
    <s v="VIETCOMBANK - HCM"/>
    <n v="4.5999999999999999E-2"/>
    <m/>
    <m/>
    <s v="W4Oct23"/>
    <n v="20"/>
    <s v="Next 1 month"/>
  </r>
  <r>
    <x v="28"/>
    <s v="VIETCOMBANK - BA DINH"/>
    <s v="1037150624"/>
    <s v="Saving Account"/>
    <s v="VND"/>
    <n v="10000000000"/>
    <n v="0"/>
    <x v="0"/>
    <x v="7"/>
    <x v="4"/>
    <x v="1"/>
    <x v="0"/>
    <s v="VIETCOMBANK - BA DINH"/>
    <n v="3.5999999999999997E-2"/>
    <m/>
    <m/>
    <s v="W4Sep23"/>
    <n v="10"/>
    <s v="Due in Sep"/>
  </r>
  <r>
    <x v="14"/>
    <s v="OCB - BINH DUONG"/>
    <s v="0010600058216009"/>
    <s v="Saving Account"/>
    <s v="VND"/>
    <n v="3000000000"/>
    <n v="0"/>
    <x v="0"/>
    <x v="31"/>
    <x v="2"/>
    <x v="1"/>
    <x v="3"/>
    <s v="OCB - BINH DUONG"/>
    <n v="4.7500000000000001E-2"/>
    <m/>
    <m/>
    <s v="W4Sep23"/>
    <n v="3"/>
    <s v="Due in Sep"/>
  </r>
  <r>
    <x v="14"/>
    <s v="OCB - BINH DUONG"/>
    <s v="0010600057642004"/>
    <s v="Saving Account"/>
    <s v="VND"/>
    <n v="4000000000"/>
    <n v="0"/>
    <x v="0"/>
    <x v="31"/>
    <x v="2"/>
    <x v="1"/>
    <x v="3"/>
    <s v="OCB - BINH DUONG"/>
    <n v="4.7500000000000001E-2"/>
    <m/>
    <m/>
    <s v="W4Sep23"/>
    <n v="4"/>
    <s v="Due in Sep"/>
  </r>
  <r>
    <x v="29"/>
    <s v="BIDV - THANH XUAN"/>
    <s v="22210001599094"/>
    <s v="Saving Account"/>
    <s v="VND"/>
    <n v="0"/>
    <n v="0"/>
    <x v="5"/>
    <x v="32"/>
    <x v="18"/>
    <x v="1"/>
    <x v="2"/>
    <s v="BIDV - THANH XUAN"/>
    <n v="4.2500000000000003E-2"/>
    <m/>
    <m/>
    <s v="W3Sep23"/>
    <n v="0"/>
    <s v="Due in Sep"/>
  </r>
  <r>
    <x v="29"/>
    <s v="BIDV - THANH XUAN"/>
    <s v="22210001599119"/>
    <s v="Saving Account"/>
    <s v="VND"/>
    <n v="4000000000"/>
    <n v="0"/>
    <x v="2"/>
    <x v="33"/>
    <x v="2"/>
    <x v="1"/>
    <x v="2"/>
    <s v="BIDV - THANH XUAN"/>
    <n v="4.2500000000000003E-2"/>
    <m/>
    <m/>
    <s v="W3Nov23"/>
    <n v="4"/>
    <s v="Next 2 months"/>
  </r>
  <r>
    <x v="29"/>
    <s v="BIDV - THANH XUAN"/>
    <s v="22210001599128"/>
    <s v="Saving Account"/>
    <s v="VND"/>
    <n v="2000000000"/>
    <n v="0"/>
    <x v="0"/>
    <x v="34"/>
    <x v="4"/>
    <x v="1"/>
    <x v="2"/>
    <s v="BIDV - THANH XUAN"/>
    <n v="3.5999999999999997E-2"/>
    <m/>
    <m/>
    <s v="W4Oct23"/>
    <n v="2"/>
    <s v="Next 1 month"/>
  </r>
  <r>
    <x v="30"/>
    <s v="BIDV - THANH XUAN"/>
    <s v="22210001598170"/>
    <s v="Saving Account"/>
    <s v="VND"/>
    <n v="4489230555"/>
    <n v="0"/>
    <x v="0"/>
    <x v="0"/>
    <x v="4"/>
    <x v="1"/>
    <x v="2"/>
    <s v="BIDV - THANH XUAN"/>
    <n v="3.5999999999999997E-2"/>
    <m/>
    <m/>
    <s v="W3Oct23"/>
    <n v="4.4892305549999998"/>
    <s v="Next 1 month"/>
  </r>
  <r>
    <x v="0"/>
    <s v="STANDARD CHARTERED"/>
    <s v="123123123"/>
    <s v="Saving Account"/>
    <s v="VND"/>
    <n v="200000000000"/>
    <n v="0"/>
    <x v="3"/>
    <x v="35"/>
    <x v="7"/>
    <x v="0"/>
    <x v="6"/>
    <s v="STANDARD CHARTERED"/>
    <n v="3.7999999999999999E-2"/>
    <m/>
    <m/>
    <s v="W1Dec23"/>
    <n v="200"/>
    <s v="Next 3 months"/>
  </r>
  <r>
    <x v="7"/>
    <s v="BIDV - LONG BIEN"/>
    <s v="15010002951611"/>
    <s v="Saving Account"/>
    <s v="VND"/>
    <n v="7000000000"/>
    <n v="0"/>
    <x v="0"/>
    <x v="34"/>
    <x v="4"/>
    <x v="1"/>
    <x v="2"/>
    <s v="BIDV - LONG BIEN"/>
    <n v="3.5999999999999997E-2"/>
    <m/>
    <m/>
    <s v="W4Oct23"/>
    <n v="7"/>
    <s v="Next 1 month"/>
  </r>
  <r>
    <x v="4"/>
    <s v="BIDV - THANH XUAN"/>
    <s v="22210001604952"/>
    <s v="Saving Account"/>
    <s v="VND"/>
    <n v="1000000000"/>
    <n v="0"/>
    <x v="0"/>
    <x v="32"/>
    <x v="4"/>
    <x v="1"/>
    <x v="2"/>
    <s v="BIDV - THANH XUAN"/>
    <n v="3.5999999999999997E-2"/>
    <m/>
    <m/>
    <s v="W3Sep23"/>
    <n v="1"/>
    <s v="Due in Sep"/>
  </r>
  <r>
    <x v="16"/>
    <s v="BIDV - THANH XUAN"/>
    <s v="22210001604989"/>
    <s v="Saving Account"/>
    <s v="VND"/>
    <n v="1000000000"/>
    <n v="0"/>
    <x v="0"/>
    <x v="34"/>
    <x v="4"/>
    <x v="1"/>
    <x v="2"/>
    <s v="BIDV - THANH XUAN"/>
    <n v="3.5999999999999997E-2"/>
    <m/>
    <m/>
    <s v="W4Oct23"/>
    <n v="1"/>
    <s v="Next 1 month"/>
  </r>
  <r>
    <x v="16"/>
    <s v="BIDV - THANH XUAN"/>
    <s v="22210001604970"/>
    <s v="Saving Account"/>
    <s v="VND"/>
    <n v="10000000000"/>
    <n v="0"/>
    <x v="2"/>
    <x v="36"/>
    <x v="9"/>
    <x v="1"/>
    <x v="2"/>
    <s v="BIDV - THANH XUAN"/>
    <n v="4.2500000000000003E-2"/>
    <m/>
    <m/>
    <s v="W3Dec23"/>
    <n v="10"/>
    <s v="Next 3 months"/>
  </r>
  <r>
    <x v="29"/>
    <s v="BIDV - THANH XUAN"/>
    <s v="22210001601616"/>
    <s v="Saving Account"/>
    <s v="VND"/>
    <n v="5000000000"/>
    <n v="0"/>
    <x v="3"/>
    <x v="37"/>
    <x v="13"/>
    <x v="1"/>
    <x v="2"/>
    <s v="BIDV - THANH XUAN"/>
    <n v="4.7E-2"/>
    <s v="for Bank Loan/bank interest payment"/>
    <m/>
    <s v="W4Nov23"/>
    <n v="5"/>
    <s v="Next 2 months"/>
  </r>
  <r>
    <x v="31"/>
    <s v="VIETINBANK - TIEN SON"/>
    <s v="216000343046"/>
    <s v="Saving Account"/>
    <s v="VND"/>
    <n v="5000000000"/>
    <n v="0"/>
    <x v="0"/>
    <x v="34"/>
    <x v="4"/>
    <x v="1"/>
    <x v="1"/>
    <s v="VIETINBANK - TIEN SON"/>
    <n v="3.5999999999999997E-2"/>
    <m/>
    <m/>
    <s v="W4Oct23"/>
    <n v="5"/>
    <s v="Next 1 month"/>
  </r>
  <r>
    <x v="31"/>
    <s v="VIETINBANK - TIEN SON"/>
    <s v="215000343047"/>
    <s v="Saving Account"/>
    <s v="VND"/>
    <n v="6000000000"/>
    <n v="0"/>
    <x v="2"/>
    <x v="36"/>
    <x v="9"/>
    <x v="1"/>
    <x v="1"/>
    <s v="VIETINBANK - TIEN SON"/>
    <n v="4.2500000000000003E-2"/>
    <m/>
    <m/>
    <s v="W3Dec23"/>
    <n v="6"/>
    <s v="Next 3 months"/>
  </r>
  <r>
    <x v="3"/>
    <s v="VIETINBANK - TIEN SON"/>
    <s v="213000343009"/>
    <s v="Saving Account"/>
    <s v="VND"/>
    <n v="6500000000"/>
    <n v="0"/>
    <x v="0"/>
    <x v="34"/>
    <x v="4"/>
    <x v="1"/>
    <x v="1"/>
    <s v="VIETINBANK - TIEN SON"/>
    <n v="3.5999999999999997E-2"/>
    <m/>
    <m/>
    <s v="W4Oct23"/>
    <n v="6.5"/>
    <s v="Next 1 month"/>
  </r>
  <r>
    <x v="1"/>
    <s v="VIETINBANK - DONG SAI GON"/>
    <s v="217000342907"/>
    <s v="Saving Account"/>
    <s v="VND"/>
    <n v="18000000000"/>
    <n v="0"/>
    <x v="3"/>
    <x v="36"/>
    <x v="13"/>
    <x v="1"/>
    <x v="1"/>
    <s v="VIETINBANK - DONG SAI GON"/>
    <n v="4.7E-2"/>
    <s v="for optimal cashflow purpose"/>
    <m/>
    <s v="W3Dec23"/>
    <n v="18"/>
    <s v="Next 3 months"/>
  </r>
  <r>
    <x v="18"/>
    <s v="VIETINBANK - DONG SAI GON"/>
    <s v="214000342900"/>
    <s v="Saving Account"/>
    <s v="VND"/>
    <n v="13500000000"/>
    <n v="0"/>
    <x v="3"/>
    <x v="36"/>
    <x v="13"/>
    <x v="1"/>
    <x v="1"/>
    <s v="VIETINBANK - DONG SAI GON"/>
    <n v="4.7E-2"/>
    <s v="for Bank Loan/bank interest payment (9bn)"/>
    <m/>
    <s v="W3Dec23"/>
    <n v="13.5"/>
    <s v="Next 3 months"/>
  </r>
  <r>
    <x v="11"/>
    <s v="VIETINBANK - CN1"/>
    <s v="212000342232"/>
    <s v="Saving Account"/>
    <s v="VND"/>
    <n v="11000000000"/>
    <n v="0"/>
    <x v="0"/>
    <x v="28"/>
    <x v="4"/>
    <x v="1"/>
    <x v="1"/>
    <s v="VIETINBANK - CN1"/>
    <n v="3.5999999999999997E-2"/>
    <m/>
    <m/>
    <s v="W3Oct23"/>
    <n v="11"/>
    <s v="Next 1 month"/>
  </r>
  <r>
    <x v="19"/>
    <s v="VIETINBANK - CN1"/>
    <s v="216000356921"/>
    <s v="Saving Account"/>
    <s v="VND"/>
    <n v="10000000000"/>
    <n v="0"/>
    <x v="0"/>
    <x v="38"/>
    <x v="4"/>
    <x v="1"/>
    <x v="1"/>
    <s v="VIETINBANK - CN1"/>
    <n v="3.5999999999999997E-2"/>
    <m/>
    <m/>
    <s v="W4Oct23"/>
    <n v="10"/>
    <s v="Next 1 month"/>
  </r>
  <r>
    <x v="32"/>
    <s v="VIETINBANK - TIEN SON"/>
    <s v="219000343055"/>
    <s v="Saving Account"/>
    <s v="VND"/>
    <n v="3000000000"/>
    <n v="0"/>
    <x v="2"/>
    <x v="26"/>
    <x v="19"/>
    <x v="1"/>
    <x v="1"/>
    <s v="VIETINBANK - TIEN SON"/>
    <n v="4.2500000000000003E-2"/>
    <m/>
    <m/>
    <s v="W1Oct23"/>
    <n v="3"/>
    <s v="Due in Sep"/>
  </r>
  <r>
    <x v="32"/>
    <s v="VIETINBANK - TIEN SON"/>
    <s v="218000343056"/>
    <s v="Saving Account"/>
    <s v="VND"/>
    <n v="2500000000"/>
    <n v="0"/>
    <x v="3"/>
    <x v="39"/>
    <x v="13"/>
    <x v="1"/>
    <x v="1"/>
    <s v="VIETINBANK - TIEN SON"/>
    <n v="4.7E-2"/>
    <s v="for ESR payment schedule"/>
    <m/>
    <s v="W-52Jan24"/>
    <n v="2.5"/>
    <s v="Next 3 months"/>
  </r>
  <r>
    <x v="32"/>
    <s v="VIETINBANK - TIEN SON"/>
    <s v="217000343057"/>
    <s v="Saving Account"/>
    <s v="VND"/>
    <n v="2500000000"/>
    <n v="0"/>
    <x v="6"/>
    <x v="40"/>
    <x v="13"/>
    <x v="1"/>
    <x v="1"/>
    <s v="VIETINBANK - TIEN SON"/>
    <n v="4.7E-2"/>
    <s v="for ESR payment schedule"/>
    <m/>
    <s v="W0Apr24"/>
    <n v="2.5"/>
    <s v="Next 6 months"/>
  </r>
  <r>
    <x v="32"/>
    <s v="VIETINBANK - TIEN SON"/>
    <s v="216000343058"/>
    <s v="Saving Account"/>
    <s v="VND"/>
    <n v="5000000000"/>
    <n v="0"/>
    <x v="1"/>
    <x v="41"/>
    <x v="13"/>
    <x v="1"/>
    <x v="1"/>
    <s v="VIETINBANK - TIEN SON"/>
    <n v="5.1999999999999998E-2"/>
    <s v="for ESR payment schedule"/>
    <m/>
    <s v="W0Jul24"/>
    <n v="5"/>
    <s v="Next 9 months"/>
  </r>
  <r>
    <x v="14"/>
    <s v="VIETINBANK - TIEN SON"/>
    <s v="213000343051"/>
    <s v="Saving Account"/>
    <s v="VND"/>
    <n v="1400000000"/>
    <n v="0"/>
    <x v="2"/>
    <x v="26"/>
    <x v="19"/>
    <x v="1"/>
    <x v="1"/>
    <s v="VIETINBANK - TIEN SON"/>
    <n v="4.2500000000000003E-2"/>
    <m/>
    <m/>
    <s v="W1Oct23"/>
    <n v="1.4"/>
    <s v="Due in Sep"/>
  </r>
  <r>
    <x v="14"/>
    <s v="VIETINBANK - TIEN SON"/>
    <s v="212000343052"/>
    <s v="Saving Account"/>
    <s v="VND"/>
    <n v="1400000000"/>
    <n v="0"/>
    <x v="3"/>
    <x v="39"/>
    <x v="13"/>
    <x v="1"/>
    <x v="1"/>
    <s v="VIETINBANK - TIEN SON"/>
    <n v="4.7E-2"/>
    <s v="for ESR payment schedule"/>
    <m/>
    <s v="W-52Jan24"/>
    <n v="1.4"/>
    <s v="Next 3 months"/>
  </r>
  <r>
    <x v="14"/>
    <s v="VIETINBANK - TIEN SON"/>
    <s v="211000343053"/>
    <s v="Saving Account"/>
    <s v="VND"/>
    <n v="1400000000"/>
    <n v="0"/>
    <x v="6"/>
    <x v="40"/>
    <x v="13"/>
    <x v="1"/>
    <x v="1"/>
    <s v="VIETINBANK - TIEN SON"/>
    <n v="4.7E-2"/>
    <s v="for ESR payment schedule"/>
    <m/>
    <s v="W0Apr24"/>
    <n v="1.4"/>
    <s v="Next 6 months"/>
  </r>
  <r>
    <x v="14"/>
    <s v="VIETINBANK - TIEN SON"/>
    <s v="210000343054"/>
    <s v="Saving Account"/>
    <s v="VND"/>
    <n v="2800000000"/>
    <n v="0"/>
    <x v="1"/>
    <x v="41"/>
    <x v="13"/>
    <x v="1"/>
    <x v="1"/>
    <s v="VIETINBANK - TIEN SON"/>
    <n v="5.1999999999999998E-2"/>
    <s v="for ESR payment schedule"/>
    <m/>
    <s v="W0Jul24"/>
    <n v="2.8"/>
    <s v="Next 9 months"/>
  </r>
  <r>
    <x v="31"/>
    <s v="VIETINBANK - TIEN SON"/>
    <s v="213000346307"/>
    <s v="Saving Account"/>
    <s v="VND"/>
    <n v="5500000000"/>
    <n v="0"/>
    <x v="5"/>
    <x v="1"/>
    <x v="3"/>
    <x v="1"/>
    <x v="1"/>
    <s v="VIETINBANK - TIEN SON"/>
    <n v="4.2500000000000003E-2"/>
    <m/>
    <m/>
    <s v="W4Oct23"/>
    <n v="5.5"/>
    <s v="Next 1 month"/>
  </r>
  <r>
    <x v="1"/>
    <s v="VIETINBANK - DONG SAI GON"/>
    <s v="217000343851"/>
    <s v="Saving Account"/>
    <s v="VND"/>
    <n v="33000000000"/>
    <n v="0"/>
    <x v="3"/>
    <x v="42"/>
    <x v="20"/>
    <x v="1"/>
    <x v="1"/>
    <s v="VIETINBANK - DONG SAI GON"/>
    <n v="4.7E-2"/>
    <s v="for optimal cashflow purpose"/>
    <m/>
    <s v="W4Dec23"/>
    <n v="33"/>
    <s v="Next 3 months"/>
  </r>
  <r>
    <x v="5"/>
    <s v="BIDV - THANH XUAN"/>
    <s v="22210001605779"/>
    <s v="Saving Account"/>
    <s v="VND"/>
    <n v="1000000000"/>
    <n v="0"/>
    <x v="3"/>
    <x v="43"/>
    <x v="13"/>
    <x v="1"/>
    <x v="2"/>
    <s v="BIDV - THANH XUAN"/>
    <n v="4.7E-2"/>
    <s v="for optimal cashflow purpose"/>
    <m/>
    <s v="W4Dec23"/>
    <n v="1"/>
    <s v="Next 3 months"/>
  </r>
  <r>
    <x v="0"/>
    <s v="MB - NGUYEN TRI PHUONG"/>
    <s v="3406679534695"/>
    <s v="Saving Account"/>
    <s v="VND"/>
    <n v="0"/>
    <n v="0"/>
    <x v="7"/>
    <x v="18"/>
    <x v="2"/>
    <x v="0"/>
    <x v="7"/>
    <s v="MB - NGUYEN TRI PHUONG"/>
    <n v="4.1000000000000002E-2"/>
    <m/>
    <m/>
    <s v="W2Sep23"/>
    <n v="0"/>
    <s v="Due in Sep"/>
  </r>
  <r>
    <x v="33"/>
    <s v="VIETINBANK - TIEN SON"/>
    <s v="219000347340"/>
    <s v="Saving Account"/>
    <s v="VND"/>
    <n v="6000000000"/>
    <n v="0"/>
    <x v="0"/>
    <x v="12"/>
    <x v="4"/>
    <x v="1"/>
    <x v="1"/>
    <s v="VIETINBANK - TIEN SON"/>
    <n v="3.5999999999999997E-2"/>
    <m/>
    <m/>
    <s v="W2Oct23"/>
    <n v="6"/>
    <s v="Next 1 month"/>
  </r>
  <r>
    <x v="34"/>
    <s v="VIETINBANK - TIEN SON"/>
    <s v="218000347338"/>
    <s v="Saving Account"/>
    <s v="VND"/>
    <n v="6000000000"/>
    <n v="0"/>
    <x v="0"/>
    <x v="12"/>
    <x v="4"/>
    <x v="1"/>
    <x v="1"/>
    <s v="VIETINBANK - TIEN SON"/>
    <n v="3.5999999999999997E-2"/>
    <m/>
    <m/>
    <s v="W2Oct23"/>
    <n v="6"/>
    <s v="Next 1 month"/>
  </r>
  <r>
    <x v="35"/>
    <s v="VIB - HOI SO"/>
    <s v="882250723201"/>
    <s v="Saving Account"/>
    <s v="VND"/>
    <n v="10000000000"/>
    <n v="0"/>
    <x v="3"/>
    <x v="44"/>
    <x v="21"/>
    <x v="1"/>
    <x v="8"/>
    <s v="VIB - HOI SO"/>
    <n v="5.2999999999999999E-2"/>
    <s v="for Bank Loan/bank interest payment"/>
    <m/>
    <s v="W-49Jan24"/>
    <n v="10"/>
    <s v="Next 4 months"/>
  </r>
  <r>
    <x v="35"/>
    <s v="VIB - HOI SO"/>
    <s v="882260723202"/>
    <s v="Saving Account"/>
    <s v="VND"/>
    <n v="10000000000"/>
    <n v="0"/>
    <x v="7"/>
    <x v="45"/>
    <x v="2"/>
    <x v="1"/>
    <x v="8"/>
    <s v="VIB - HOI SO"/>
    <n v="0.03"/>
    <m/>
    <m/>
    <s v="W2Oct23"/>
    <n v="10"/>
    <s v="Next 1 month"/>
  </r>
  <r>
    <x v="36"/>
    <s v="VIETINBANK - TIEN SON"/>
    <s v="219000350539"/>
    <s v="Saving Account"/>
    <s v="VND"/>
    <n v="8000000000"/>
    <n v="0"/>
    <x v="7"/>
    <x v="46"/>
    <x v="5"/>
    <x v="1"/>
    <x v="1"/>
    <s v="VIETINBANK - TIEN SON"/>
    <n v="3.5999999999999997E-2"/>
    <m/>
    <m/>
    <s v="W4Oct23"/>
    <n v="8"/>
    <s v="Next 1 month"/>
  </r>
  <r>
    <x v="0"/>
    <s v="UOB - HCM"/>
    <s v="1050033959_1"/>
    <s v="Saving Account"/>
    <s v="VND"/>
    <n v="20000000000"/>
    <n v="0"/>
    <x v="7"/>
    <x v="5"/>
    <x v="2"/>
    <x v="0"/>
    <x v="9"/>
    <s v="UOB - HCM"/>
    <n v="4.7500000000000001E-2"/>
    <m/>
    <m/>
    <s v="W4Sep23"/>
    <n v="20"/>
    <s v="Due in Sep"/>
  </r>
  <r>
    <x v="0"/>
    <s v="UOB - HCM"/>
    <s v="1050033959_2"/>
    <s v="Saving Account"/>
    <s v="VND"/>
    <n v="400000000000"/>
    <n v="0"/>
    <x v="7"/>
    <x v="5"/>
    <x v="2"/>
    <x v="0"/>
    <x v="9"/>
    <s v="UOB - HCM"/>
    <n v="4.7500000000000001E-2"/>
    <m/>
    <m/>
    <s v="W4Sep23"/>
    <n v="400"/>
    <s v="Due in Sep"/>
  </r>
  <r>
    <x v="26"/>
    <s v="VIETINBANK - CN6"/>
    <s v="215000349723"/>
    <s v="Saving Account"/>
    <s v="VND"/>
    <n v="58524478435"/>
    <n v="0"/>
    <x v="0"/>
    <x v="7"/>
    <x v="4"/>
    <x v="2"/>
    <x v="1"/>
    <s v="VIETINBANK - CN6"/>
    <n v="3.5999999999999997E-2"/>
    <m/>
    <m/>
    <s v="W4Sep23"/>
    <n v="58.524478434999999"/>
    <s v="Due in Sep"/>
  </r>
  <r>
    <x v="26"/>
    <s v="ACB - HCM"/>
    <s v="405447919"/>
    <s v="Saving Account"/>
    <s v="VND"/>
    <n v="40000000000"/>
    <n v="0"/>
    <x v="0"/>
    <x v="26"/>
    <x v="2"/>
    <x v="2"/>
    <x v="5"/>
    <s v="ACB - HCM"/>
    <n v="4.7500000000000001E-2"/>
    <m/>
    <m/>
    <s v="W1Oct23"/>
    <n v="40"/>
    <s v="Due in Sep"/>
  </r>
  <r>
    <x v="16"/>
    <s v="TECHCOMBANK"/>
    <s v="112233"/>
    <s v="Saving Account"/>
    <s v="VND"/>
    <n v="70000000000"/>
    <n v="0"/>
    <x v="3"/>
    <x v="47"/>
    <x v="22"/>
    <x v="1"/>
    <x v="4"/>
    <s v="TECHCOMBANK"/>
    <n v="6.3E-2"/>
    <s v="for optimal cashflow purpose"/>
    <m/>
    <s v="W0Feb24"/>
    <n v="70"/>
    <s v="Next 5 months"/>
  </r>
  <r>
    <x v="15"/>
    <s v="SINOPAC"/>
    <s v="07003600011593"/>
    <s v="Saving Account"/>
    <s v="VND"/>
    <n v="5633098111"/>
    <n v="0"/>
    <x v="3"/>
    <x v="48"/>
    <x v="8"/>
    <x v="1"/>
    <x v="10"/>
    <s v="SINOPAC"/>
    <n v="3.4000000000000002E-2"/>
    <s v="for optimal cashflow purpose"/>
    <m/>
    <s v="W-51Jan24"/>
    <n v="5.6330981109999998"/>
    <s v="Next 4 months"/>
  </r>
  <r>
    <x v="0"/>
    <s v="UOB - HCM"/>
    <s v="1050033959_3"/>
    <s v="Saving Account"/>
    <s v="VND"/>
    <n v="50000000000"/>
    <n v="0"/>
    <x v="7"/>
    <x v="5"/>
    <x v="2"/>
    <x v="0"/>
    <x v="9"/>
    <s v="UOB - HCM"/>
    <n v="4.7500000000000001E-2"/>
    <m/>
    <m/>
    <s v="W4Sep23"/>
    <n v="50"/>
    <s v="Due in Sep"/>
  </r>
  <r>
    <x v="26"/>
    <s v="VIETCOMBANK - HCM"/>
    <s v="001039722038"/>
    <s v="Saving Account"/>
    <s v="VND"/>
    <n v="300000000000"/>
    <n v="0"/>
    <x v="2"/>
    <x v="2"/>
    <x v="10"/>
    <x v="2"/>
    <x v="0"/>
    <s v="VIETCOMBANK - HCM"/>
    <n v="4.2500000000000003E-2"/>
    <m/>
    <m/>
    <s v="W1Nov23"/>
    <n v="300"/>
    <s v="Next 2 months"/>
  </r>
  <r>
    <x v="0"/>
    <s v="VIETINBANK - BINH DUONG"/>
    <s v="214000351682"/>
    <s v="Saving Account"/>
    <s v="VND"/>
    <n v="20000000000"/>
    <n v="0"/>
    <x v="2"/>
    <x v="3"/>
    <x v="2"/>
    <x v="0"/>
    <x v="1"/>
    <s v="VIETINBANK - BINH DUONG"/>
    <n v="4.2500000000000003E-2"/>
    <m/>
    <m/>
    <s v="W1Nov23"/>
    <n v="20"/>
    <s v="Next 2 months"/>
  </r>
  <r>
    <x v="26"/>
    <s v="VIETINBANK - CN1"/>
    <s v="210000352018"/>
    <s v="Saving Account"/>
    <s v="VND"/>
    <n v="0"/>
    <n v="0"/>
    <x v="0"/>
    <x v="49"/>
    <x v="5"/>
    <x v="2"/>
    <x v="1"/>
    <s v="VIETINBANK - CN1"/>
    <n v="3.5999999999999997E-2"/>
    <m/>
    <m/>
    <s v="W2Sep23"/>
    <n v="0"/>
    <s v="Due in Sep"/>
  </r>
  <r>
    <x v="26"/>
    <s v="VIETINBANK - CN1"/>
    <s v="219000352019"/>
    <s v="Saving Account"/>
    <s v="VND"/>
    <n v="0"/>
    <n v="0"/>
    <x v="0"/>
    <x v="49"/>
    <x v="5"/>
    <x v="2"/>
    <x v="1"/>
    <s v="VIETINBANK - CN1"/>
    <n v="3.5999999999999997E-2"/>
    <m/>
    <m/>
    <s v="W2Sep23"/>
    <n v="0"/>
    <s v="Due in Sep"/>
  </r>
  <r>
    <x v="2"/>
    <s v="VIETINBANK - TIEN SON"/>
    <s v="214000351246"/>
    <s v="Saving Account"/>
    <s v="VND"/>
    <n v="4000000000"/>
    <n v="0"/>
    <x v="7"/>
    <x v="1"/>
    <x v="5"/>
    <x v="1"/>
    <x v="1"/>
    <s v="VIETINBANK - TIEN SON"/>
    <n v="3.5999999999999997E-2"/>
    <m/>
    <m/>
    <s v="W4Oct23"/>
    <n v="4"/>
    <s v="Next 1 month"/>
  </r>
  <r>
    <x v="37"/>
    <s v="VIETINBANK - TIEN SON"/>
    <s v="218000351239"/>
    <s v="Saving Account"/>
    <s v="VND"/>
    <n v="7000000000"/>
    <n v="0"/>
    <x v="5"/>
    <x v="50"/>
    <x v="2"/>
    <x v="1"/>
    <x v="1"/>
    <s v="VIETINBANK - TIEN SON"/>
    <n v="4.2500000000000003E-2"/>
    <m/>
    <m/>
    <s v="W3Dec23"/>
    <n v="7"/>
    <s v="Next 3 months"/>
  </r>
  <r>
    <x v="37"/>
    <s v="VIETINBANK - TIEN SON"/>
    <s v="210000351240"/>
    <s v="Saving Account"/>
    <s v="VND"/>
    <n v="5500000000"/>
    <n v="0"/>
    <x v="0"/>
    <x v="51"/>
    <x v="5"/>
    <x v="1"/>
    <x v="1"/>
    <s v="VIETINBANK - TIEN SON"/>
    <n v="3.5999999999999997E-2"/>
    <m/>
    <m/>
    <s v="W4Sep23"/>
    <n v="5.5"/>
    <s v="Due in Sep"/>
  </r>
  <r>
    <x v="11"/>
    <s v="VIETINBANK - CN1"/>
    <s v="214000352505"/>
    <s v="Saving Account"/>
    <s v="VND"/>
    <n v="32000000000"/>
    <n v="0"/>
    <x v="7"/>
    <x v="1"/>
    <x v="5"/>
    <x v="1"/>
    <x v="1"/>
    <s v="VIETINBANK - CN1"/>
    <n v="3.5999999999999997E-2"/>
    <m/>
    <m/>
    <s v="W4Oct23"/>
    <n v="32"/>
    <s v="Next 1 month"/>
  </r>
  <r>
    <x v="0"/>
    <s v="ACB - HCM"/>
    <s v="408045969"/>
    <s v="Saving Account"/>
    <s v="VND"/>
    <n v="40000000000"/>
    <n v="0"/>
    <x v="0"/>
    <x v="31"/>
    <x v="2"/>
    <x v="0"/>
    <x v="5"/>
    <s v="ACB - HCM"/>
    <n v="4.7500000000000001E-2"/>
    <m/>
    <m/>
    <s v="W4Sep23"/>
    <n v="40"/>
    <s v="Due in Sep"/>
  </r>
  <r>
    <x v="16"/>
    <s v="ACB - SAI GON"/>
    <s v="407777599"/>
    <s v="Saving Account"/>
    <s v="VND"/>
    <n v="3000000000"/>
    <n v="0"/>
    <x v="3"/>
    <x v="52"/>
    <x v="23"/>
    <x v="1"/>
    <x v="5"/>
    <s v="ACB - SAI GON"/>
    <n v="5.8999999999999997E-2"/>
    <m/>
    <m/>
    <s v="W3Feb24"/>
    <n v="3"/>
    <s v="Next 5 months"/>
  </r>
  <r>
    <x v="7"/>
    <s v="BIDV - LONG BIEN"/>
    <s v="801502967654"/>
    <s v="Saving Account"/>
    <s v="VND"/>
    <n v="5000000000"/>
    <n v="0"/>
    <x v="0"/>
    <x v="6"/>
    <x v="5"/>
    <x v="1"/>
    <x v="2"/>
    <s v="BIDV - LONG BIEN"/>
    <n v="3.5999999999999997E-2"/>
    <m/>
    <m/>
    <s v="W4Sep23"/>
    <n v="5"/>
    <s v="Due in Sep"/>
  </r>
  <r>
    <x v="4"/>
    <s v="BIDV - THANH XUAN"/>
    <s v="802221617020"/>
    <s v="Saving Account"/>
    <s v="VND"/>
    <n v="8000000000"/>
    <n v="0"/>
    <x v="0"/>
    <x v="6"/>
    <x v="5"/>
    <x v="1"/>
    <x v="2"/>
    <s v="BIDV - THANH XUAN"/>
    <n v="3.5999999999999997E-2"/>
    <m/>
    <m/>
    <s v="W4Sep23"/>
    <n v="8"/>
    <s v="Due in Sep"/>
  </r>
  <r>
    <x v="38"/>
    <s v="BIDV - THANH XUAN"/>
    <s v="802221617093"/>
    <s v="Saving Account"/>
    <s v="VND"/>
    <n v="4800000000"/>
    <n v="0"/>
    <x v="2"/>
    <x v="53"/>
    <x v="2"/>
    <x v="1"/>
    <x v="2"/>
    <s v="BIDV - THANH XUAN"/>
    <n v="4.2500000000000003E-2"/>
    <m/>
    <m/>
    <s v="W4Nov23"/>
    <n v="4.8"/>
    <s v="Next 2 months"/>
  </r>
  <r>
    <x v="5"/>
    <s v="BIDV - THANH XUAN"/>
    <s v="802221617686"/>
    <s v="Saving Account"/>
    <s v="VND"/>
    <n v="1000000000"/>
    <n v="0"/>
    <x v="3"/>
    <x v="54"/>
    <x v="3"/>
    <x v="1"/>
    <x v="2"/>
    <s v="BIDV - THANH XUAN"/>
    <n v="4.7E-2"/>
    <m/>
    <m/>
    <s v="W4Feb24"/>
    <n v="1"/>
    <s v="Next 5 months"/>
  </r>
  <r>
    <x v="0"/>
    <s v="BIDV - THANH XUAN"/>
    <s v="802221616771"/>
    <s v="Saving Account"/>
    <s v="VND"/>
    <n v="18000000000"/>
    <n v="0"/>
    <x v="2"/>
    <x v="55"/>
    <x v="2"/>
    <x v="0"/>
    <x v="2"/>
    <s v="BIDV - THANH XUAN"/>
    <n v="4.2500000000000003E-2"/>
    <m/>
    <m/>
    <s v="W4Nov23"/>
    <n v="18"/>
    <s v="Next 2 months"/>
  </r>
  <r>
    <x v="10"/>
    <s v="VIETINBANK - CN1"/>
    <s v="217000355621"/>
    <s v="Saving Account"/>
    <s v="VND"/>
    <n v="6500000000"/>
    <n v="0"/>
    <x v="7"/>
    <x v="46"/>
    <x v="4"/>
    <x v="1"/>
    <x v="1"/>
    <s v="VIETINBANK - CN1"/>
    <n v="3.5999999999999997E-2"/>
    <m/>
    <m/>
    <s v="W4Oct23"/>
    <n v="6.5"/>
    <s v="Next 1 month"/>
  </r>
  <r>
    <x v="36"/>
    <s v="VIETINBANK - TIEN SON"/>
    <s v="215000354293"/>
    <s v="Saving Account"/>
    <s v="VND"/>
    <n v="5000000000"/>
    <n v="0"/>
    <x v="7"/>
    <x v="56"/>
    <x v="5"/>
    <x v="1"/>
    <x v="1"/>
    <s v="VIETINBANK - TIEN SON"/>
    <n v="3.5999999999999997E-2"/>
    <m/>
    <m/>
    <s v="W4Oct23"/>
    <n v="5"/>
    <s v="Next 1 month"/>
  </r>
  <r>
    <x v="0"/>
    <s v="VIETINBANK - TIEN SON"/>
    <s v="217000354361"/>
    <s v="Saving Account"/>
    <s v="VND"/>
    <n v="10000000000"/>
    <n v="0"/>
    <x v="2"/>
    <x v="55"/>
    <x v="2"/>
    <x v="0"/>
    <x v="1"/>
    <s v="VIETINBANK - TIEN SON"/>
    <n v="4.2500000000000003E-2"/>
    <m/>
    <m/>
    <s v="W4Nov23"/>
    <n v="10"/>
    <s v="Next 2 months"/>
  </r>
  <r>
    <x v="18"/>
    <s v="VIETINBANK - DONG SAI GON"/>
    <s v="212000353860"/>
    <s v="Saving Account"/>
    <s v="VND"/>
    <n v="0"/>
    <n v="0"/>
    <x v="0"/>
    <x v="57"/>
    <x v="5"/>
    <x v="1"/>
    <x v="1"/>
    <s v="VIETINBANK - DONG SAI GON"/>
    <n v="3.5999999999999997E-2"/>
    <m/>
    <m/>
    <s v="W4Sep23"/>
    <n v="0"/>
    <s v="Due in Sep"/>
  </r>
  <r>
    <x v="18"/>
    <s v="VIETINBANK - DONG SAI GON"/>
    <s v="211000353861"/>
    <s v="Saving Account"/>
    <s v="VND"/>
    <n v="8000000000"/>
    <n v="0"/>
    <x v="0"/>
    <x v="31"/>
    <x v="5"/>
    <x v="1"/>
    <x v="1"/>
    <s v="VIETINBANK - DONG SAI GON"/>
    <n v="3.5999999999999997E-2"/>
    <m/>
    <m/>
    <s v="W4Sep23"/>
    <n v="8"/>
    <s v="Due in Sep"/>
  </r>
  <r>
    <x v="39"/>
    <s v="VIETINBANK - TIEN SON"/>
    <s v="219000355440"/>
    <s v="Saving Account"/>
    <s v="VND"/>
    <n v="7000000000"/>
    <n v="0"/>
    <x v="0"/>
    <x v="5"/>
    <x v="4"/>
    <x v="1"/>
    <x v="1"/>
    <s v="VIETINBANK - TIEN SON"/>
    <n v="3.5999999999999997E-2"/>
    <m/>
    <m/>
    <s v="W4Sep23"/>
    <n v="7"/>
    <s v="Due in Sep"/>
  </r>
  <r>
    <x v="0"/>
    <s v="VIETINBANK - BINH DUONG"/>
    <s v="216000354362"/>
    <s v="Saving Account"/>
    <s v="VND"/>
    <n v="35000000000"/>
    <n v="0"/>
    <x v="0"/>
    <x v="31"/>
    <x v="5"/>
    <x v="0"/>
    <x v="1"/>
    <s v="VIETINBANK - BINH DUONG"/>
    <n v="3.5999999999999997E-2"/>
    <m/>
    <m/>
    <s v="W4Sep23"/>
    <n v="35"/>
    <s v="Due in Sep"/>
  </r>
  <r>
    <x v="0"/>
    <s v="VIETINBANK - BINH DUONG"/>
    <s v="219000354372"/>
    <s v="Saving Account"/>
    <s v="VND"/>
    <n v="10000000000"/>
    <n v="0"/>
    <x v="2"/>
    <x v="55"/>
    <x v="2"/>
    <x v="0"/>
    <x v="1"/>
    <s v="VIETINBANK - BINH DUONG"/>
    <n v="4.2500000000000003E-2"/>
    <m/>
    <m/>
    <s v="W4Nov23"/>
    <n v="10"/>
    <s v="Next 2 months"/>
  </r>
  <r>
    <x v="0"/>
    <s v="VIETINBANK - BINH DUONG"/>
    <s v="218000354563"/>
    <s v="Saving Account"/>
    <s v="VND"/>
    <n v="3000000000"/>
    <n v="0"/>
    <x v="3"/>
    <x v="58"/>
    <x v="1"/>
    <x v="0"/>
    <x v="1"/>
    <s v="VIETINBANK - BINH DUONG"/>
    <n v="4.7E-2"/>
    <m/>
    <m/>
    <s v="W3Feb24"/>
    <n v="3"/>
    <s v="Next 5 months"/>
  </r>
  <r>
    <x v="40"/>
    <s v="VIETCOMBANK - BA DINH"/>
    <s v="1040450593"/>
    <s v="Saving Account"/>
    <s v="VND"/>
    <n v="53200000000"/>
    <n v="0"/>
    <x v="0"/>
    <x v="59"/>
    <x v="4"/>
    <x v="1"/>
    <x v="0"/>
    <s v="VIETCOMBANK - BA DINH"/>
    <n v="3.5999999999999997E-2"/>
    <m/>
    <m/>
    <s v="W4Sep23"/>
    <n v="53.2"/>
    <s v="Due in Sep"/>
  </r>
  <r>
    <x v="40"/>
    <s v="VIETCOMBANK - BA DINH"/>
    <s v="1040449497"/>
    <s v="Saving Account"/>
    <s v="VND"/>
    <n v="34800000000"/>
    <n v="0"/>
    <x v="2"/>
    <x v="37"/>
    <x v="9"/>
    <x v="1"/>
    <x v="0"/>
    <s v="VIETCOMBANK - BA DINH"/>
    <n v="4.2500000000000003E-2"/>
    <m/>
    <m/>
    <s v="W4Nov23"/>
    <n v="34.799999999999997"/>
    <s v="Next 2 months"/>
  </r>
  <r>
    <x v="0"/>
    <s v="TECHCOMBANK"/>
    <s v="14534274205013"/>
    <s v="Saving Account"/>
    <s v="VND"/>
    <n v="222000000000"/>
    <n v="0"/>
    <x v="3"/>
    <x v="60"/>
    <x v="13"/>
    <x v="0"/>
    <x v="4"/>
    <s v="TECHCOMBANK"/>
    <n v="6.3E-2"/>
    <m/>
    <m/>
    <s v="W2Feb24"/>
    <n v="222"/>
    <s v="Next 5 months"/>
  </r>
  <r>
    <x v="41"/>
    <s v="BIDV - THANH XUAN"/>
    <s v="802221617039"/>
    <s v="Saving Account"/>
    <s v="VND"/>
    <n v="900000000"/>
    <n v="0"/>
    <x v="3"/>
    <x v="58"/>
    <x v="1"/>
    <x v="1"/>
    <x v="2"/>
    <s v="BIDV - THANH XUAN"/>
    <n v="4.7E-2"/>
    <m/>
    <m/>
    <s v="W3Feb24"/>
    <n v="0.9"/>
    <s v="Next 5 months"/>
  </r>
  <r>
    <x v="42"/>
    <s v="BIDV - THANH XUAN"/>
    <s v="802221617048"/>
    <s v="Saving Account"/>
    <s v="VND"/>
    <n v="900000000"/>
    <n v="0"/>
    <x v="3"/>
    <x v="58"/>
    <x v="1"/>
    <x v="1"/>
    <x v="2"/>
    <s v="BIDV - THANH XUAN"/>
    <n v="4.7E-2"/>
    <m/>
    <m/>
    <s v="W3Feb24"/>
    <n v="0.9"/>
    <s v="Next 5 months"/>
  </r>
  <r>
    <x v="43"/>
    <s v="BIDV - THANH XUAN"/>
    <s v="802221617057"/>
    <s v="Saving Account"/>
    <s v="VND"/>
    <n v="900000000"/>
    <n v="0"/>
    <x v="3"/>
    <x v="58"/>
    <x v="1"/>
    <x v="1"/>
    <x v="2"/>
    <s v="BIDV - THANH XUAN"/>
    <n v="4.7E-2"/>
    <m/>
    <m/>
    <s v="W3Feb24"/>
    <n v="0.9"/>
    <s v="Next 5 months"/>
  </r>
  <r>
    <x v="44"/>
    <s v="BIDV - BEN NGHE"/>
    <s v="801380277427"/>
    <s v="Saving Account"/>
    <s v="VND"/>
    <n v="900000000"/>
    <n v="0"/>
    <x v="3"/>
    <x v="58"/>
    <x v="1"/>
    <x v="1"/>
    <x v="2"/>
    <s v="BIDV - BEN NGHE"/>
    <n v="4.7E-2"/>
    <m/>
    <m/>
    <s v="W3Feb24"/>
    <n v="0.9"/>
    <s v="Next 5 months"/>
  </r>
  <r>
    <x v="45"/>
    <s v="BIDV - BEN NGHE"/>
    <s v="801380277445"/>
    <s v="Saving Account"/>
    <s v="VND"/>
    <n v="900000000"/>
    <n v="0"/>
    <x v="3"/>
    <x v="58"/>
    <x v="1"/>
    <x v="1"/>
    <x v="2"/>
    <s v="BIDV - BEN NGHE"/>
    <n v="4.7E-2"/>
    <m/>
    <m/>
    <s v="W3Feb24"/>
    <n v="0.9"/>
    <s v="Next 5 months"/>
  </r>
  <r>
    <x v="46"/>
    <s v="BIDV - BEN NGHE"/>
    <s v="801380277436"/>
    <s v="Saving Account"/>
    <s v="VND"/>
    <n v="900000000"/>
    <n v="0"/>
    <x v="3"/>
    <x v="58"/>
    <x v="1"/>
    <x v="1"/>
    <x v="2"/>
    <s v="BIDV - BEN NGHE"/>
    <n v="4.7E-2"/>
    <m/>
    <m/>
    <s v="W3Feb24"/>
    <n v="0.9"/>
    <s v="Next 5 months"/>
  </r>
  <r>
    <x v="47"/>
    <s v="BIDV - THANH XUAN"/>
    <s v="802221617084"/>
    <s v="Saving Account"/>
    <s v="VND"/>
    <n v="800000000"/>
    <n v="0"/>
    <x v="3"/>
    <x v="58"/>
    <x v="1"/>
    <x v="1"/>
    <x v="2"/>
    <s v="BIDV - THANH XUAN"/>
    <n v="4.7E-2"/>
    <m/>
    <m/>
    <s v="W3Feb24"/>
    <n v="0.8"/>
    <s v="Next 5 months"/>
  </r>
  <r>
    <x v="48"/>
    <s v="BIDV - THANH XUAN"/>
    <s v="802221617066"/>
    <s v="Saving Account"/>
    <s v="VND"/>
    <n v="800000000"/>
    <n v="0"/>
    <x v="3"/>
    <x v="58"/>
    <x v="1"/>
    <x v="1"/>
    <x v="2"/>
    <s v="BIDV - THANH XUAN"/>
    <n v="4.7E-2"/>
    <m/>
    <m/>
    <s v="W3Feb24"/>
    <n v="0.8"/>
    <s v="Next 5 months"/>
  </r>
  <r>
    <x v="49"/>
    <s v="BIDV - THANH XUAN"/>
    <s v="802221617075"/>
    <s v="Saving Account"/>
    <s v="VND"/>
    <n v="800000000"/>
    <n v="0"/>
    <x v="3"/>
    <x v="58"/>
    <x v="1"/>
    <x v="1"/>
    <x v="2"/>
    <s v="BIDV - THANH XUAN"/>
    <n v="4.7E-2"/>
    <m/>
    <m/>
    <s v="W3Feb24"/>
    <n v="0.8"/>
    <s v="Next 5 months"/>
  </r>
  <r>
    <x v="50"/>
    <s v="VIETINBANK - TIEN SON"/>
    <s v="214000353638"/>
    <s v="Saving Account"/>
    <s v="VND"/>
    <n v="900000000"/>
    <n v="0"/>
    <x v="3"/>
    <x v="61"/>
    <x v="1"/>
    <x v="1"/>
    <x v="1"/>
    <s v="VIETINBANK - TIEN SON"/>
    <n v="4.7E-2"/>
    <m/>
    <m/>
    <s v="W2Feb24"/>
    <n v="0.9"/>
    <s v="Next 5 months"/>
  </r>
  <r>
    <x v="51"/>
    <s v="VIETINBANK - TIEN SON"/>
    <s v="215000353625"/>
    <s v="Saving Account"/>
    <s v="VND"/>
    <n v="800000000"/>
    <n v="0"/>
    <x v="3"/>
    <x v="61"/>
    <x v="1"/>
    <x v="1"/>
    <x v="1"/>
    <s v="VIETINBANK - TIEN SON"/>
    <n v="4.7E-2"/>
    <m/>
    <m/>
    <s v="W2Feb24"/>
    <n v="0.8"/>
    <s v="Next 5 months"/>
  </r>
  <r>
    <x v="52"/>
    <s v="VIETINBANK - TIEN SON"/>
    <s v="213000353639"/>
    <s v="Saving Account"/>
    <s v="VND"/>
    <n v="50000000"/>
    <n v="0"/>
    <x v="3"/>
    <x v="61"/>
    <x v="1"/>
    <x v="1"/>
    <x v="1"/>
    <s v="VIETINBANK - TIEN SON"/>
    <n v="4.7E-2"/>
    <m/>
    <m/>
    <s v="W2Feb24"/>
    <n v="0.05"/>
    <s v="Next 5 months"/>
  </r>
  <r>
    <x v="53"/>
    <s v="VIETINBANK - TIEN SON"/>
    <s v="216000353636"/>
    <s v="Saving Account"/>
    <s v="VND"/>
    <n v="50000000"/>
    <n v="0"/>
    <x v="3"/>
    <x v="61"/>
    <x v="1"/>
    <x v="1"/>
    <x v="1"/>
    <s v="VIETINBANK - TIEN SON"/>
    <n v="4.7E-2"/>
    <m/>
    <m/>
    <s v="W2Feb24"/>
    <n v="0.05"/>
    <s v="Next 5 months"/>
  </r>
  <r>
    <x v="54"/>
    <s v="VIETINBANK - TIEN SON"/>
    <s v="218000353622"/>
    <s v="Saving Account"/>
    <s v="VND"/>
    <n v="80000000"/>
    <n v="0"/>
    <x v="3"/>
    <x v="61"/>
    <x v="1"/>
    <x v="1"/>
    <x v="1"/>
    <s v="VIETINBANK - TIEN SON"/>
    <n v="4.7E-2"/>
    <m/>
    <m/>
    <s v="W2Feb24"/>
    <n v="0.08"/>
    <s v="Next 5 months"/>
  </r>
  <r>
    <x v="55"/>
    <s v="VIETINBANK - TIEN SON"/>
    <s v="211000353629"/>
    <s v="Saving Account"/>
    <s v="VND"/>
    <n v="50000000"/>
    <n v="0"/>
    <x v="3"/>
    <x v="61"/>
    <x v="1"/>
    <x v="1"/>
    <x v="1"/>
    <s v="VIETINBANK - TIEN SON"/>
    <n v="4.7E-2"/>
    <m/>
    <m/>
    <s v="W2Feb24"/>
    <n v="0.05"/>
    <s v="Next 5 months"/>
  </r>
  <r>
    <x v="56"/>
    <s v="VIETINBANK - TIEN SON"/>
    <s v="218000353647"/>
    <s v="Saving Account"/>
    <s v="VND"/>
    <n v="800000000"/>
    <n v="0"/>
    <x v="3"/>
    <x v="61"/>
    <x v="1"/>
    <x v="1"/>
    <x v="1"/>
    <s v="VIETINBANK - TIEN SON"/>
    <n v="4.7E-2"/>
    <m/>
    <m/>
    <s v="W2Feb24"/>
    <n v="0.8"/>
    <s v="Next 5 months"/>
  </r>
  <r>
    <x v="57"/>
    <s v="VIETINBANK - TIEN SON"/>
    <s v="219000353633"/>
    <s v="Saving Account"/>
    <s v="VND"/>
    <n v="50000000"/>
    <n v="0"/>
    <x v="3"/>
    <x v="61"/>
    <x v="1"/>
    <x v="1"/>
    <x v="1"/>
    <s v="VIETINBANK - TIEN SON"/>
    <n v="4.7E-2"/>
    <m/>
    <m/>
    <s v="W2Feb24"/>
    <n v="0.05"/>
    <s v="Next 5 months"/>
  </r>
  <r>
    <x v="58"/>
    <s v="VIETINBANK - TIEN SON"/>
    <s v="211000353631"/>
    <s v="Saving Account"/>
    <s v="VND"/>
    <n v="80000000"/>
    <n v="0"/>
    <x v="3"/>
    <x v="61"/>
    <x v="1"/>
    <x v="1"/>
    <x v="1"/>
    <s v="VIETINBANK - TIEN SON"/>
    <n v="4.7E-2"/>
    <m/>
    <m/>
    <s v="W2Feb24"/>
    <n v="0.08"/>
    <s v="Next 5 months"/>
  </r>
  <r>
    <x v="58"/>
    <s v="VIETINBANK - TIEN SON"/>
    <s v="216000354578"/>
    <s v="Saving Account"/>
    <s v="VND"/>
    <n v="720000000"/>
    <n v="0"/>
    <x v="3"/>
    <x v="58"/>
    <x v="1"/>
    <x v="1"/>
    <x v="1"/>
    <s v="VIETINBANK - TIEN SON"/>
    <n v="4.7E-2"/>
    <m/>
    <m/>
    <s v="W3Feb24"/>
    <n v="0.72"/>
    <s v="Next 5 months"/>
  </r>
  <r>
    <x v="59"/>
    <s v="VIETINBANK - TIEN SON"/>
    <s v="212000353628"/>
    <s v="Saving Account"/>
    <s v="VND"/>
    <n v="800000000"/>
    <n v="0"/>
    <x v="3"/>
    <x v="61"/>
    <x v="1"/>
    <x v="1"/>
    <x v="1"/>
    <s v="VIETINBANK - TIEN SON"/>
    <n v="4.7E-2"/>
    <m/>
    <m/>
    <s v="W2Feb24"/>
    <n v="0.8"/>
    <s v="Next 5 months"/>
  </r>
  <r>
    <x v="60"/>
    <s v="VIETINBANK - TIEN SON"/>
    <s v="218000353634"/>
    <s v="Saving Account"/>
    <s v="VND"/>
    <n v="50000000"/>
    <n v="0"/>
    <x v="3"/>
    <x v="61"/>
    <x v="1"/>
    <x v="1"/>
    <x v="1"/>
    <s v="VIETINBANK - TIEN SON"/>
    <n v="4.7E-2"/>
    <m/>
    <m/>
    <s v="W2Feb24"/>
    <n v="0.05"/>
    <s v="Next 5 months"/>
  </r>
  <r>
    <x v="61"/>
    <s v="VIETINBANK - TIEN SON"/>
    <s v="216000353624"/>
    <s v="Saving Account"/>
    <s v="VND"/>
    <n v="50000000"/>
    <n v="0"/>
    <x v="3"/>
    <x v="61"/>
    <x v="1"/>
    <x v="1"/>
    <x v="1"/>
    <s v="VIETINBANK - TIEN SON"/>
    <n v="4.7E-2"/>
    <m/>
    <m/>
    <s v="W2Feb24"/>
    <n v="0.05"/>
    <s v="Next 5 months"/>
  </r>
  <r>
    <x v="62"/>
    <s v="VIETINBANK - TIEN SON"/>
    <s v="212000353643"/>
    <s v="Saving Account"/>
    <s v="VND"/>
    <n v="800000000"/>
    <n v="0"/>
    <x v="3"/>
    <x v="61"/>
    <x v="1"/>
    <x v="1"/>
    <x v="1"/>
    <s v="VIETINBANK - TIEN SON"/>
    <n v="4.7E-2"/>
    <m/>
    <m/>
    <s v="W2Feb24"/>
    <n v="0.8"/>
    <s v="Next 5 months"/>
  </r>
  <r>
    <x v="63"/>
    <s v="VIETINBANK - TIEN SON"/>
    <s v="210000353645"/>
    <s v="Saving Account"/>
    <s v="VND"/>
    <n v="800000000"/>
    <n v="0"/>
    <x v="3"/>
    <x v="61"/>
    <x v="1"/>
    <x v="1"/>
    <x v="1"/>
    <s v="VIETINBANK - TIEN SON"/>
    <n v="4.7E-2"/>
    <m/>
    <m/>
    <s v="W2Feb24"/>
    <n v="0.8"/>
    <s v="Next 5 months"/>
  </r>
  <r>
    <x v="64"/>
    <s v="VIETINBANK - TIEN SON"/>
    <s v="217000353635"/>
    <s v="Saving Account"/>
    <s v="VND"/>
    <n v="800000000"/>
    <n v="0"/>
    <x v="3"/>
    <x v="61"/>
    <x v="1"/>
    <x v="1"/>
    <x v="1"/>
    <s v="VIETINBANK - TIEN SON"/>
    <n v="4.7E-2"/>
    <m/>
    <m/>
    <s v="W2Feb24"/>
    <n v="0.8"/>
    <s v="Next 5 months"/>
  </r>
  <r>
    <x v="65"/>
    <s v="VIETINBANK - TIEN SON"/>
    <s v="212000353616"/>
    <s v="Saving Account"/>
    <s v="VND"/>
    <n v="800000000"/>
    <n v="0"/>
    <x v="3"/>
    <x v="61"/>
    <x v="1"/>
    <x v="1"/>
    <x v="1"/>
    <s v="VIETINBANK - TIEN SON"/>
    <n v="4.7E-2"/>
    <m/>
    <m/>
    <s v="W2Feb24"/>
    <n v="0.8"/>
    <s v="Next 5 months"/>
  </r>
  <r>
    <x v="66"/>
    <s v="VIETINBANK - TIEN SON"/>
    <s v="219000353646"/>
    <s v="Saving Account"/>
    <s v="VND"/>
    <n v="50000000"/>
    <n v="0"/>
    <x v="3"/>
    <x v="61"/>
    <x v="1"/>
    <x v="1"/>
    <x v="1"/>
    <s v="VIETINBANK - TIEN SON"/>
    <n v="4.7E-2"/>
    <m/>
    <m/>
    <s v="W2Feb24"/>
    <n v="0.05"/>
    <s v="Next 5 months"/>
  </r>
  <r>
    <x v="67"/>
    <s v="VIETINBANK - TIEN SON"/>
    <s v="211000353644"/>
    <s v="Saving Account"/>
    <s v="VND"/>
    <n v="50000000"/>
    <n v="0"/>
    <x v="3"/>
    <x v="61"/>
    <x v="1"/>
    <x v="1"/>
    <x v="1"/>
    <s v="VIETINBANK - TIEN SON"/>
    <n v="4.7E-2"/>
    <m/>
    <m/>
    <s v="W2Feb24"/>
    <n v="0.05"/>
    <s v="Next 5 months"/>
  </r>
  <r>
    <x v="68"/>
    <s v="VIETINBANK - TIEN SON"/>
    <s v="215000353637"/>
    <s v="Saving Account"/>
    <s v="VND"/>
    <n v="50000000"/>
    <n v="0"/>
    <x v="3"/>
    <x v="61"/>
    <x v="1"/>
    <x v="1"/>
    <x v="1"/>
    <s v="VIETINBANK - TIEN SON"/>
    <n v="4.7E-2"/>
    <m/>
    <m/>
    <s v="W2Feb24"/>
    <n v="0.05"/>
    <s v="Next 5 months"/>
  </r>
  <r>
    <x v="69"/>
    <s v="VIETINBANK - TIEN SON"/>
    <s v="213000353642"/>
    <s v="Saving Account"/>
    <s v="VND"/>
    <n v="80000000"/>
    <n v="0"/>
    <x v="3"/>
    <x v="61"/>
    <x v="1"/>
    <x v="1"/>
    <x v="1"/>
    <s v="VIETINBANK - TIEN SON"/>
    <n v="4.7E-2"/>
    <m/>
    <m/>
    <s v="W2Feb24"/>
    <n v="0.08"/>
    <s v="Next 5 months"/>
  </r>
  <r>
    <x v="70"/>
    <s v="VIETINBANK - TIEN SON"/>
    <s v="215000353640"/>
    <s v="Saving Account"/>
    <s v="VND"/>
    <n v="80000000"/>
    <n v="0"/>
    <x v="3"/>
    <x v="61"/>
    <x v="1"/>
    <x v="1"/>
    <x v="1"/>
    <s v="VIETINBANK - TIEN SON"/>
    <n v="4.7E-2"/>
    <m/>
    <m/>
    <s v="W2Feb24"/>
    <n v="0.08"/>
    <s v="Next 5 months"/>
  </r>
  <r>
    <x v="71"/>
    <s v="VIETINBANK - TIEN SON"/>
    <s v="210000353620"/>
    <s v="Saving Account"/>
    <s v="VND"/>
    <n v="80000000"/>
    <n v="0"/>
    <x v="3"/>
    <x v="61"/>
    <x v="1"/>
    <x v="1"/>
    <x v="1"/>
    <s v="VIETINBANK - TIEN SON"/>
    <n v="4.7E-2"/>
    <m/>
    <m/>
    <s v="W2Feb24"/>
    <n v="0.08"/>
    <s v="Next 5 months"/>
  </r>
  <r>
    <x v="72"/>
    <s v="VIETINBANK - TIEN SON"/>
    <s v="210000353618"/>
    <s v="Saving Account"/>
    <s v="VND"/>
    <n v="80000000"/>
    <n v="0"/>
    <x v="3"/>
    <x v="61"/>
    <x v="1"/>
    <x v="1"/>
    <x v="1"/>
    <s v="VIETINBANK - TIEN SON"/>
    <n v="4.7E-2"/>
    <m/>
    <m/>
    <s v="W2Feb24"/>
    <n v="0.08"/>
    <s v="Next 5 months"/>
  </r>
  <r>
    <x v="73"/>
    <s v="VIETINBANK - TIEN SON"/>
    <s v="217000353623"/>
    <s v="Saving Account"/>
    <s v="VND"/>
    <n v="80000000"/>
    <n v="0"/>
    <x v="3"/>
    <x v="61"/>
    <x v="1"/>
    <x v="1"/>
    <x v="1"/>
    <s v="VIETINBANK - TIEN SON"/>
    <n v="4.7E-2"/>
    <m/>
    <m/>
    <s v="W2Feb24"/>
    <n v="0.08"/>
    <s v="Next 5 months"/>
  </r>
  <r>
    <x v="74"/>
    <s v="VIETINBANK - TIEN SON"/>
    <s v="214000353614"/>
    <s v="Saving Account"/>
    <s v="VND"/>
    <n v="900000000"/>
    <n v="0"/>
    <x v="3"/>
    <x v="61"/>
    <x v="1"/>
    <x v="1"/>
    <x v="1"/>
    <s v="VIETINBANK - TIEN SON"/>
    <n v="4.7E-2"/>
    <m/>
    <m/>
    <s v="W2Feb24"/>
    <n v="0.9"/>
    <s v="Next 5 months"/>
  </r>
  <r>
    <x v="75"/>
    <s v="VIETINBANK - TIEN SON"/>
    <s v="216000353612"/>
    <s v="Saving Account"/>
    <s v="VND"/>
    <n v="900000000"/>
    <n v="0"/>
    <x v="3"/>
    <x v="61"/>
    <x v="1"/>
    <x v="1"/>
    <x v="1"/>
    <s v="VIETINBANK - TIEN SON"/>
    <n v="4.7E-2"/>
    <m/>
    <m/>
    <s v="W2Feb24"/>
    <n v="0.9"/>
    <s v="Next 5 months"/>
  </r>
  <r>
    <x v="76"/>
    <s v="VIETINBANK - TIEN SON"/>
    <s v="214000353626"/>
    <s v="Saving Account"/>
    <s v="VND"/>
    <n v="900000000"/>
    <n v="0"/>
    <x v="3"/>
    <x v="61"/>
    <x v="1"/>
    <x v="1"/>
    <x v="1"/>
    <s v="VIETINBANK - TIEN SON"/>
    <n v="4.7E-2"/>
    <m/>
    <m/>
    <s v="W2Feb24"/>
    <n v="0.9"/>
    <s v="Next 5 months"/>
  </r>
  <r>
    <x v="77"/>
    <s v="VIETINBANK - TIEN SON"/>
    <s v="211000353617"/>
    <s v="Saving Account"/>
    <s v="VND"/>
    <n v="900000000"/>
    <n v="0"/>
    <x v="3"/>
    <x v="61"/>
    <x v="1"/>
    <x v="1"/>
    <x v="1"/>
    <s v="VIETINBANK - TIEN SON"/>
    <n v="4.7E-2"/>
    <m/>
    <m/>
    <s v="W2Feb24"/>
    <n v="0.9"/>
    <s v="Next 5 months"/>
  </r>
  <r>
    <x v="78"/>
    <s v="VIETINBANK - TIEN SON"/>
    <s v="213000353627"/>
    <s v="Saving Account"/>
    <s v="VND"/>
    <n v="900000000"/>
    <n v="0"/>
    <x v="3"/>
    <x v="61"/>
    <x v="1"/>
    <x v="1"/>
    <x v="1"/>
    <s v="VIETINBANK - TIEN SON"/>
    <n v="4.7E-2"/>
    <m/>
    <m/>
    <s v="W2Feb24"/>
    <n v="0.9"/>
    <s v="Next 5 months"/>
  </r>
  <r>
    <x v="79"/>
    <s v="VIETINBANK - TIEN SON"/>
    <s v="213000353615"/>
    <s v="Saving Account"/>
    <s v="VND"/>
    <n v="800000000"/>
    <n v="0"/>
    <x v="3"/>
    <x v="61"/>
    <x v="1"/>
    <x v="1"/>
    <x v="1"/>
    <s v="VIETINBANK - TIEN SON"/>
    <n v="4.7E-2"/>
    <m/>
    <m/>
    <s v="W2Feb24"/>
    <n v="0.8"/>
    <s v="Next 5 months"/>
  </r>
  <r>
    <x v="80"/>
    <s v="VIETINBANK - TIEN SON"/>
    <s v="219000353621"/>
    <s v="Saving Account"/>
    <s v="VND"/>
    <n v="800000000"/>
    <n v="0"/>
    <x v="3"/>
    <x v="61"/>
    <x v="1"/>
    <x v="1"/>
    <x v="1"/>
    <s v="VIETINBANK - TIEN SON"/>
    <n v="4.7E-2"/>
    <m/>
    <m/>
    <s v="W2Feb24"/>
    <n v="0.8"/>
    <s v="Next 5 months"/>
  </r>
  <r>
    <x v="81"/>
    <s v="VIETINBANK - TIEN SON"/>
    <s v="219000353619"/>
    <s v="Saving Account"/>
    <s v="VND"/>
    <n v="800000000"/>
    <n v="0"/>
    <x v="3"/>
    <x v="61"/>
    <x v="1"/>
    <x v="1"/>
    <x v="1"/>
    <s v="VIETINBANK - TIEN SON"/>
    <n v="4.7E-2"/>
    <m/>
    <m/>
    <s v="W2Feb24"/>
    <n v="0.8"/>
    <s v="Next 5 months"/>
  </r>
  <r>
    <x v="82"/>
    <s v="VIETINBANK - TIEN SON"/>
    <s v="215000353613"/>
    <s v="Saving Account"/>
    <s v="VND"/>
    <n v="800000000"/>
    <n v="0"/>
    <x v="3"/>
    <x v="61"/>
    <x v="1"/>
    <x v="1"/>
    <x v="1"/>
    <s v="VIETINBANK - TIEN SON"/>
    <n v="4.7E-2"/>
    <m/>
    <m/>
    <s v="W2Feb24"/>
    <n v="0.8"/>
    <s v="Next 5 months"/>
  </r>
  <r>
    <x v="83"/>
    <s v="VIETINBANK - TIEN SON"/>
    <s v="212000353630"/>
    <s v="Saving Account"/>
    <s v="VND"/>
    <n v="800000000"/>
    <n v="0"/>
    <x v="3"/>
    <x v="61"/>
    <x v="1"/>
    <x v="1"/>
    <x v="1"/>
    <s v="VIETINBANK - TIEN SON"/>
    <n v="4.7E-2"/>
    <m/>
    <m/>
    <s v="W2Feb24"/>
    <n v="0.8"/>
    <s v="Next 5 months"/>
  </r>
  <r>
    <x v="84"/>
    <s v="VIETINBANK - TIEN SON"/>
    <s v="210000353632"/>
    <s v="Saving Account"/>
    <s v="VND"/>
    <n v="200000000"/>
    <n v="0"/>
    <x v="3"/>
    <x v="61"/>
    <x v="1"/>
    <x v="1"/>
    <x v="1"/>
    <s v="VIETINBANK - TIEN SON"/>
    <n v="4.7E-2"/>
    <m/>
    <m/>
    <s v="W2Feb24"/>
    <n v="0.2"/>
    <s v="Next 5 months"/>
  </r>
  <r>
    <x v="15"/>
    <s v="TECHCOMBANK"/>
    <s v="14539697228038"/>
    <s v="Saving Account"/>
    <s v="VND"/>
    <n v="40000000000"/>
    <n v="0"/>
    <x v="1"/>
    <x v="62"/>
    <x v="24"/>
    <x v="1"/>
    <x v="4"/>
    <s v="TECHCOMBANK"/>
    <n v="6.5000000000000002E-2"/>
    <m/>
    <m/>
    <s v="W4Aug24"/>
    <n v="40"/>
    <s v="Next 11 months"/>
  </r>
  <r>
    <x v="85"/>
    <s v="VIETINBANK - TIEN SON"/>
    <s v="219000354575"/>
    <s v="Saving Account"/>
    <s v="VND"/>
    <n v="400000000"/>
    <n v="0"/>
    <x v="3"/>
    <x v="58"/>
    <x v="1"/>
    <x v="1"/>
    <x v="1"/>
    <s v="VIETINBANK - TIEN SON"/>
    <n v="4.7E-2"/>
    <m/>
    <m/>
    <s v="W3Feb24"/>
    <n v="0.4"/>
    <s v="Next 5 months"/>
  </r>
  <r>
    <x v="86"/>
    <s v="VIETINBANK - BINH DUONG"/>
    <s v="215000354566"/>
    <s v="Saving Account"/>
    <s v="VND"/>
    <n v="650000000"/>
    <n v="0"/>
    <x v="3"/>
    <x v="58"/>
    <x v="1"/>
    <x v="1"/>
    <x v="1"/>
    <s v="VIETINBANK - BINH DUONG"/>
    <n v="4.7E-2"/>
    <m/>
    <m/>
    <s v="W3Feb24"/>
    <n v="0.65"/>
    <s v="Next 5 months"/>
  </r>
  <r>
    <x v="87"/>
    <s v="VIETINBANK - BINH DUONG"/>
    <s v="213000354568"/>
    <s v="Saving Account"/>
    <s v="VND"/>
    <n v="200000000"/>
    <n v="0"/>
    <x v="3"/>
    <x v="58"/>
    <x v="1"/>
    <x v="1"/>
    <x v="1"/>
    <s v="VIETINBANK - BINH DUONG"/>
    <n v="4.7E-2"/>
    <m/>
    <m/>
    <s v="W3Feb24"/>
    <n v="0.2"/>
    <s v="Next 5 months"/>
  </r>
  <r>
    <x v="26"/>
    <s v="ACB - HCM"/>
    <s v="409294069"/>
    <s v="Saving Account"/>
    <s v="VND"/>
    <n v="100000000000"/>
    <n v="0"/>
    <x v="2"/>
    <x v="63"/>
    <x v="2"/>
    <x v="2"/>
    <x v="5"/>
    <s v="ACB - HCM"/>
    <n v="4.7500000000000001E-2"/>
    <m/>
    <m/>
    <s v="W2Dec23"/>
    <n v="100"/>
    <s v="Next 3 months"/>
  </r>
  <r>
    <x v="26"/>
    <s v="ACB - HCM"/>
    <s v="409316549"/>
    <s v="Saving Account"/>
    <s v="VND"/>
    <n v="150000000000"/>
    <n v="0"/>
    <x v="2"/>
    <x v="63"/>
    <x v="2"/>
    <x v="2"/>
    <x v="5"/>
    <s v="ACB - HCM"/>
    <n v="4.7500000000000001E-2"/>
    <m/>
    <m/>
    <s v="W2Dec23"/>
    <n v="150"/>
    <s v="Next 3 months"/>
  </r>
  <r>
    <x v="26"/>
    <s v="VIETINBANK - BINH DUONG"/>
    <s v="217000357125"/>
    <s v="Saving Account"/>
    <s v="VND"/>
    <n v="100000000000"/>
    <n v="0"/>
    <x v="0"/>
    <x v="12"/>
    <x v="4"/>
    <x v="2"/>
    <x v="1"/>
    <s v="VIETINBANK - BINH DUONG"/>
    <n v="3.5999999999999997E-2"/>
    <m/>
    <m/>
    <s v="W2Oct23"/>
    <n v="100"/>
    <s v="Next 1 month"/>
  </r>
  <r>
    <x v="26"/>
    <s v="VIETINBANK - CN1"/>
    <s v="211000357185"/>
    <s v="Saving Account"/>
    <s v="VND"/>
    <n v="250000000000"/>
    <n v="0"/>
    <x v="0"/>
    <x v="12"/>
    <x v="4"/>
    <x v="2"/>
    <x v="1"/>
    <s v="VIETINBANK - CN1"/>
    <n v="3.5999999999999997E-2"/>
    <m/>
    <m/>
    <s v="W2Oct23"/>
    <n v="250"/>
    <s v="Next 1 month"/>
  </r>
  <r>
    <x v="26"/>
    <s v="VIETINBANK - CN6"/>
    <s v="219000357257"/>
    <s v="Saving Account"/>
    <s v="VND"/>
    <n v="117048956869"/>
    <n v="0"/>
    <x v="0"/>
    <x v="64"/>
    <x v="4"/>
    <x v="2"/>
    <x v="1"/>
    <s v="VIETINBANK - CN6"/>
    <n v="3.5999999999999997E-2"/>
    <m/>
    <m/>
    <s v="W3Oct23"/>
    <n v="117.04895686899999"/>
    <s v="Next 1 month"/>
  </r>
  <r>
    <x v="2"/>
    <s v="VIETINBANK - TIEN SON"/>
    <s v="210000358352"/>
    <s v="Saving Account"/>
    <s v="VND"/>
    <n v="3000000000"/>
    <n v="0"/>
    <x v="0"/>
    <x v="65"/>
    <x v="4"/>
    <x v="1"/>
    <x v="1"/>
    <s v="VIETINBANK - TIEN SON"/>
    <n v="3.5999999999999997E-2"/>
    <m/>
    <m/>
    <s v="W4Oct23"/>
    <n v="3"/>
    <s v="Next 1 month"/>
  </r>
  <r>
    <x v="14"/>
    <s v="OCB - BINH DUONG"/>
    <s v="0010600059509007"/>
    <s v="Saving Account"/>
    <s v="VND"/>
    <n v="20000000000"/>
    <n v="0"/>
    <x v="2"/>
    <x v="66"/>
    <x v="2"/>
    <x v="1"/>
    <x v="3"/>
    <s v="OCB - BINH DUONG"/>
    <n v="4.7500000000000001E-2"/>
    <m/>
    <m/>
    <s v="W2Dec23"/>
    <n v="20"/>
    <s v="Next 3 months"/>
  </r>
  <r>
    <x v="14"/>
    <s v="OCB - BINH DUONG"/>
    <s v="0010600059511004"/>
    <s v="Saving Account"/>
    <s v="VND"/>
    <n v="3000000000"/>
    <n v="0"/>
    <x v="0"/>
    <x v="29"/>
    <x v="2"/>
    <x v="1"/>
    <x v="3"/>
    <s v="OCB - BINH DUONG"/>
    <n v="4.7500000000000001E-2"/>
    <m/>
    <m/>
    <s v="W2Oct23"/>
    <n v="3"/>
    <s v="Next 1 month"/>
  </r>
  <r>
    <x v="14"/>
    <s v="OCB - BINH DUONG"/>
    <s v="0010600059512008"/>
    <s v="Saving Account"/>
    <s v="VND"/>
    <n v="3000000000"/>
    <n v="0"/>
    <x v="0"/>
    <x v="29"/>
    <x v="2"/>
    <x v="1"/>
    <x v="3"/>
    <s v="OCB - BINH DUONG"/>
    <n v="4.7500000000000001E-2"/>
    <m/>
    <m/>
    <s v="W2Oct23"/>
    <n v="3"/>
    <s v="Next 1 mont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0">
  <r>
    <s v="BWID BINH DUONG"/>
    <s v="BIDV - THANH XUAN"/>
    <s v="2229596789"/>
    <x v="0"/>
    <s v="VND"/>
    <e v="#N/A"/>
    <e v="#N/A"/>
    <n v="38441328"/>
    <n v="0"/>
    <n v="0"/>
    <n v="0"/>
    <n v="38441328"/>
    <e v="#N/A"/>
    <e v="#N/A"/>
    <n v="0"/>
    <n v="0"/>
    <n v="0"/>
    <n v="0"/>
    <n v="0"/>
    <n v="0"/>
    <m/>
    <n v="0"/>
    <x v="0"/>
    <x v="0"/>
    <x v="0"/>
  </r>
  <r>
    <s v="BWID BINH DUONG"/>
    <s v="BIDV - THANH XUAN"/>
    <s v="2220016789"/>
    <x v="0"/>
    <s v="USD"/>
    <e v="#N/A"/>
    <e v="#N/A"/>
    <n v="0"/>
    <n v="0"/>
    <n v="0"/>
    <n v="0"/>
    <n v="0"/>
    <e v="#N/A"/>
    <e v="#N/A"/>
    <n v="0"/>
    <n v="-73.599999999999994"/>
    <n v="73.599999999999994"/>
    <n v="0"/>
    <n v="0"/>
    <n v="73.599999999999994"/>
    <m/>
    <n v="73.599999999999994"/>
    <x v="0"/>
    <x v="0"/>
    <x v="0"/>
  </r>
  <r>
    <s v="BWID BINH DUONG"/>
    <s v="VIETCOMBANK - BA DINH"/>
    <s v="0611001866868"/>
    <x v="0"/>
    <s v="VND"/>
    <e v="#N/A"/>
    <e v="#N/A"/>
    <n v="429398501"/>
    <n v="0"/>
    <n v="110000"/>
    <n v="-110000"/>
    <n v="429288501"/>
    <e v="#N/A"/>
    <e v="#N/A"/>
    <n v="0"/>
    <n v="0"/>
    <n v="0"/>
    <n v="0"/>
    <n v="0"/>
    <n v="0"/>
    <m/>
    <n v="0"/>
    <x v="0"/>
    <x v="1"/>
    <x v="1"/>
  </r>
  <r>
    <s v="BWID BINH DUONG"/>
    <s v="VIETCOMBANK - BA DINH"/>
    <s v="0611371866868"/>
    <x v="0"/>
    <s v="USD"/>
    <e v="#N/A"/>
    <e v="#N/A"/>
    <n v="0"/>
    <n v="0"/>
    <n v="0"/>
    <n v="0"/>
    <n v="0"/>
    <e v="#N/A"/>
    <e v="#N/A"/>
    <n v="0"/>
    <n v="-645.69999999999993"/>
    <n v="645.69999999999993"/>
    <n v="0"/>
    <n v="0"/>
    <n v="645.69999999999993"/>
    <m/>
    <n v="645.69999999999993"/>
    <x v="0"/>
    <x v="1"/>
    <x v="1"/>
  </r>
  <r>
    <s v="BWID BINH DUONG"/>
    <s v="VIETCOMBANK - HCM"/>
    <s v="0071371866868"/>
    <x v="1"/>
    <s v="USD"/>
    <m/>
    <m/>
    <n v="0"/>
    <n v="0"/>
    <n v="0"/>
    <n v="0"/>
    <n v="0"/>
    <e v="#N/A"/>
    <e v="#N/A"/>
    <n v="0"/>
    <n v="-749"/>
    <n v="749"/>
    <n v="0"/>
    <n v="0"/>
    <n v="749"/>
    <e v="#N/A"/>
    <e v="#N/A"/>
    <x v="0"/>
    <x v="1"/>
    <x v="2"/>
  </r>
  <r>
    <s v="BWID BINH DUONG"/>
    <s v="VIETCOMBANK - HCM"/>
    <s v="0071001866868"/>
    <x v="1"/>
    <s v="VND"/>
    <e v="#N/A"/>
    <e v="#N/A"/>
    <n v="42980577"/>
    <n v="0"/>
    <n v="0"/>
    <n v="0"/>
    <n v="42980577"/>
    <e v="#N/A"/>
    <e v="#N/A"/>
    <n v="0"/>
    <n v="0"/>
    <n v="0"/>
    <n v="0"/>
    <n v="0"/>
    <n v="0"/>
    <m/>
    <n v="0"/>
    <x v="0"/>
    <x v="1"/>
    <x v="2"/>
  </r>
  <r>
    <s v="BWID BINH DUONG"/>
    <s v="VIETCOMBANK - HCM"/>
    <s v="0071372826868"/>
    <x v="0"/>
    <s v="USD"/>
    <e v="#N/A"/>
    <e v="#N/A"/>
    <n v="0"/>
    <n v="0"/>
    <n v="0"/>
    <n v="0"/>
    <n v="0"/>
    <e v="#N/A"/>
    <e v="#N/A"/>
    <n v="0"/>
    <n v="-322.69999999999993"/>
    <n v="322.69999999999993"/>
    <n v="0"/>
    <n v="0"/>
    <n v="322.69999999999993"/>
    <m/>
    <n v="322.69999999999993"/>
    <x v="0"/>
    <x v="1"/>
    <x v="2"/>
  </r>
  <r>
    <s v="BWID BINH DUONG"/>
    <s v="VIETCOMBANK - HCM"/>
    <s v="001015733500"/>
    <x v="2"/>
    <s v="VND"/>
    <e v="#N/A"/>
    <e v="#N/A"/>
    <n v="100000000"/>
    <n v="0"/>
    <n v="0"/>
    <n v="0"/>
    <n v="100000000"/>
    <e v="#N/A"/>
    <e v="#N/A"/>
    <n v="0"/>
    <n v="0"/>
    <n v="0"/>
    <n v="0"/>
    <n v="0"/>
    <n v="0"/>
    <m/>
    <n v="0"/>
    <x v="0"/>
    <x v="1"/>
    <x v="2"/>
  </r>
  <r>
    <s v="BWID BINH DUONG"/>
    <s v="VIETCOMBANK - HCM"/>
    <s v="0071002826868"/>
    <x v="0"/>
    <s v="VND"/>
    <m/>
    <m/>
    <n v="35078795"/>
    <n v="123287"/>
    <n v="0"/>
    <n v="123287"/>
    <n v="35202082"/>
    <e v="#N/A"/>
    <e v="#N/A"/>
    <n v="0"/>
    <n v="0"/>
    <n v="0"/>
    <n v="0"/>
    <n v="0"/>
    <n v="0"/>
    <e v="#N/A"/>
    <e v="#N/A"/>
    <x v="0"/>
    <x v="1"/>
    <x v="2"/>
  </r>
  <r>
    <s v="BWID BINH DUONG"/>
    <s v="VIETCOMBANK - HCM"/>
    <s v="001017165869"/>
    <x v="2"/>
    <s v="VND"/>
    <e v="#N/A"/>
    <e v="#N/A"/>
    <n v="100000000"/>
    <n v="0"/>
    <n v="0"/>
    <n v="0"/>
    <n v="100000000"/>
    <e v="#N/A"/>
    <e v="#N/A"/>
    <n v="0"/>
    <n v="0"/>
    <n v="0"/>
    <n v="0"/>
    <n v="0"/>
    <n v="0"/>
    <m/>
    <n v="0"/>
    <x v="0"/>
    <x v="1"/>
    <x v="2"/>
  </r>
  <r>
    <s v="BWID BINH DUONG"/>
    <s v="VIETINBANK - TIEN SON"/>
    <s v="111005686868"/>
    <x v="0"/>
    <s v="VND"/>
    <e v="#N/A"/>
    <e v="#N/A"/>
    <n v="29002948"/>
    <n v="0"/>
    <n v="0"/>
    <n v="0"/>
    <n v="29002948"/>
    <e v="#N/A"/>
    <e v="#N/A"/>
    <n v="0"/>
    <n v="0"/>
    <n v="0"/>
    <n v="0"/>
    <n v="0"/>
    <n v="0"/>
    <m/>
    <n v="0"/>
    <x v="0"/>
    <x v="2"/>
    <x v="3"/>
  </r>
  <r>
    <s v="BWID BINH DUONG"/>
    <s v="VIETINBANK - TIEN SON"/>
    <s v="113003668668"/>
    <x v="0"/>
    <s v="USD"/>
    <e v="#N/A"/>
    <e v="#N/A"/>
    <n v="0"/>
    <n v="0"/>
    <n v="0"/>
    <n v="0"/>
    <n v="0"/>
    <e v="#N/A"/>
    <e v="#N/A"/>
    <n v="0"/>
    <n v="-200"/>
    <n v="200"/>
    <n v="0"/>
    <n v="0"/>
    <n v="200"/>
    <m/>
    <n v="200"/>
    <x v="0"/>
    <x v="2"/>
    <x v="3"/>
  </r>
  <r>
    <s v="BWID BINH DUONG"/>
    <s v="VIETINBANK - BINH DUONG"/>
    <s v="117002673879"/>
    <x v="0"/>
    <s v="VND"/>
    <m/>
    <m/>
    <n v="45026148852"/>
    <n v="995949724"/>
    <n v="33011273245"/>
    <n v="-32015323521"/>
    <n v="13010825331"/>
    <e v="#N/A"/>
    <e v="#N/A"/>
    <n v="0"/>
    <n v="0"/>
    <n v="0"/>
    <n v="0"/>
    <n v="0"/>
    <n v="0"/>
    <e v="#N/A"/>
    <e v="#N/A"/>
    <x v="0"/>
    <x v="2"/>
    <x v="4"/>
  </r>
  <r>
    <s v="BWID BINH DUONG"/>
    <s v="VIETINBANK - BINH DUONG"/>
    <s v="118002673880"/>
    <x v="0"/>
    <s v="USD"/>
    <m/>
    <m/>
    <n v="0"/>
    <n v="0"/>
    <n v="0"/>
    <n v="0"/>
    <n v="0"/>
    <e v="#N/A"/>
    <e v="#N/A"/>
    <n v="0"/>
    <n v="-1504"/>
    <n v="1504"/>
    <n v="0"/>
    <n v="0"/>
    <n v="1504"/>
    <e v="#N/A"/>
    <e v="#N/A"/>
    <x v="0"/>
    <x v="2"/>
    <x v="4"/>
  </r>
  <r>
    <s v="BWID BINH DUONG"/>
    <s v="VIETINBANK - QUANG MINH"/>
    <s v="119002676629"/>
    <x v="0"/>
    <s v="VND"/>
    <m/>
    <m/>
    <n v="16207784"/>
    <n v="0"/>
    <n v="0"/>
    <n v="0"/>
    <n v="16207784"/>
    <e v="#N/A"/>
    <e v="#N/A"/>
    <n v="0"/>
    <n v="0"/>
    <n v="0"/>
    <n v="0"/>
    <n v="0"/>
    <n v="0"/>
    <e v="#N/A"/>
    <e v="#N/A"/>
    <x v="0"/>
    <x v="2"/>
    <x v="4"/>
  </r>
  <r>
    <s v="BWID BINH DUONG"/>
    <s v="VIETINBANK - QUANG MINH"/>
    <s v="110002676630"/>
    <x v="0"/>
    <s v="USD"/>
    <e v="#N/A"/>
    <e v="#N/A"/>
    <n v="0"/>
    <n v="0"/>
    <n v="0"/>
    <n v="0"/>
    <n v="0"/>
    <e v="#N/A"/>
    <e v="#N/A"/>
    <n v="0"/>
    <n v="-200"/>
    <n v="200"/>
    <n v="0"/>
    <n v="0"/>
    <n v="200"/>
    <m/>
    <n v="200"/>
    <x v="0"/>
    <x v="2"/>
    <x v="4"/>
  </r>
  <r>
    <s v="BWID BINH DUONG"/>
    <s v="VIETINBANK - DONG SAI GON"/>
    <s v="110601263999"/>
    <x v="0"/>
    <s v="USD"/>
    <e v="#N/A"/>
    <e v="#N/A"/>
    <n v="0"/>
    <n v="0"/>
    <n v="0"/>
    <n v="0"/>
    <n v="0"/>
    <e v="#N/A"/>
    <e v="#N/A"/>
    <n v="0"/>
    <n v="0"/>
    <n v="0"/>
    <n v="0"/>
    <n v="0"/>
    <n v="0"/>
    <m/>
    <n v="0"/>
    <x v="0"/>
    <x v="2"/>
    <x v="5"/>
  </r>
  <r>
    <s v="BWID BINH DUONG"/>
    <s v="VIETINBANK - CN1"/>
    <s v="112002870516"/>
    <x v="0"/>
    <s v="VND"/>
    <e v="#N/A"/>
    <e v="#N/A"/>
    <n v="90753078"/>
    <n v="0"/>
    <n v="0"/>
    <n v="0"/>
    <n v="90753078"/>
    <e v="#N/A"/>
    <e v="#N/A"/>
    <n v="0"/>
    <n v="0"/>
    <n v="0"/>
    <n v="0"/>
    <n v="0"/>
    <n v="0"/>
    <m/>
    <n v="0"/>
    <x v="0"/>
    <x v="2"/>
    <x v="6"/>
  </r>
  <r>
    <s v="BWID BINH DUONG"/>
    <s v="MB - BINH DUONG"/>
    <s v="1401101888008"/>
    <x v="0"/>
    <s v="VND"/>
    <e v="#N/A"/>
    <e v="#N/A"/>
    <n v="65455747"/>
    <n v="5021"/>
    <n v="0"/>
    <n v="5021"/>
    <n v="65460768"/>
    <e v="#N/A"/>
    <e v="#N/A"/>
    <n v="0"/>
    <n v="0"/>
    <n v="0"/>
    <n v="0"/>
    <n v="0"/>
    <n v="0"/>
    <m/>
    <n v="0"/>
    <x v="0"/>
    <x v="3"/>
    <x v="7"/>
  </r>
  <r>
    <s v="BWID BINH DUONG"/>
    <s v="MB - BINH DUONG"/>
    <s v="1401101897007"/>
    <x v="0"/>
    <s v="USD"/>
    <e v="#N/A"/>
    <e v="#N/A"/>
    <n v="0"/>
    <n v="0"/>
    <n v="0"/>
    <n v="0"/>
    <n v="0"/>
    <e v="#N/A"/>
    <e v="#N/A"/>
    <n v="0"/>
    <n v="0"/>
    <n v="0"/>
    <n v="0"/>
    <n v="0"/>
    <n v="0"/>
    <m/>
    <n v="0"/>
    <x v="0"/>
    <x v="3"/>
    <x v="7"/>
  </r>
  <r>
    <s v="BWID BINH DUONG"/>
    <s v="VIB - HOI SO"/>
    <s v="004368306"/>
    <x v="0"/>
    <s v="VND"/>
    <e v="#N/A"/>
    <e v="#N/A"/>
    <n v="13820552"/>
    <n v="0"/>
    <n v="0"/>
    <n v="0"/>
    <n v="13820552"/>
    <e v="#N/A"/>
    <e v="#N/A"/>
    <n v="0"/>
    <n v="0"/>
    <n v="0"/>
    <n v="0"/>
    <n v="0"/>
    <n v="0"/>
    <m/>
    <n v="0"/>
    <x v="0"/>
    <x v="4"/>
    <x v="8"/>
  </r>
  <r>
    <s v="BWID BINH DUONG"/>
    <s v="VIB - HOI SO"/>
    <s v="004368342"/>
    <x v="0"/>
    <s v="USD"/>
    <e v="#N/A"/>
    <e v="#N/A"/>
    <n v="0"/>
    <n v="0"/>
    <n v="0"/>
    <n v="0"/>
    <n v="0"/>
    <e v="#N/A"/>
    <e v="#N/A"/>
    <n v="0"/>
    <n v="-58.199999999999996"/>
    <n v="58.199999999999996"/>
    <n v="0"/>
    <n v="0"/>
    <n v="58.199999999999996"/>
    <m/>
    <n v="58.199999999999996"/>
    <x v="0"/>
    <x v="4"/>
    <x v="8"/>
  </r>
  <r>
    <s v="BWID BINH DUONG"/>
    <s v="TECHCOMBANK"/>
    <s v="19134274205013"/>
    <x v="0"/>
    <s v="VND"/>
    <m/>
    <m/>
    <n v="1366668"/>
    <n v="0"/>
    <n v="0"/>
    <n v="0"/>
    <n v="1366668"/>
    <e v="#N/A"/>
    <e v="#N/A"/>
    <n v="0"/>
    <n v="0"/>
    <n v="0"/>
    <n v="0"/>
    <n v="0"/>
    <n v="0"/>
    <e v="#N/A"/>
    <e v="#N/A"/>
    <x v="0"/>
    <x v="5"/>
    <x v="9"/>
  </r>
  <r>
    <s v="BWID BINH DUONG"/>
    <s v="OCB - BINH DUONG"/>
    <s v="0010100011702468"/>
    <x v="0"/>
    <s v="VND"/>
    <e v="#N/A"/>
    <e v="#N/A"/>
    <n v="69939140"/>
    <n v="0"/>
    <n v="0"/>
    <n v="0"/>
    <n v="69939140"/>
    <e v="#N/A"/>
    <e v="#N/A"/>
    <n v="0"/>
    <n v="0"/>
    <n v="0"/>
    <n v="0"/>
    <n v="0"/>
    <n v="0"/>
    <m/>
    <n v="0"/>
    <x v="0"/>
    <x v="6"/>
    <x v="10"/>
  </r>
  <r>
    <s v="BWID BINH DUONG"/>
    <s v="OCB - BINH DUONG"/>
    <s v="0010100013102468"/>
    <x v="0"/>
    <s v="USD"/>
    <e v="#N/A"/>
    <e v="#N/A"/>
    <n v="0"/>
    <n v="0"/>
    <n v="0"/>
    <n v="0"/>
    <n v="0"/>
    <e v="#N/A"/>
    <e v="#N/A"/>
    <n v="0"/>
    <n v="-150"/>
    <n v="150"/>
    <n v="0"/>
    <n v="0"/>
    <n v="150"/>
    <m/>
    <n v="150"/>
    <x v="0"/>
    <x v="6"/>
    <x v="10"/>
  </r>
  <r>
    <s v="BWID BINH DUONG"/>
    <s v="ACB - HCM"/>
    <s v="23011818"/>
    <x v="0"/>
    <s v="VND"/>
    <e v="#N/A"/>
    <e v="#N/A"/>
    <n v="69319225"/>
    <n v="0"/>
    <n v="0"/>
    <n v="0"/>
    <n v="69319225"/>
    <e v="#N/A"/>
    <e v="#N/A"/>
    <n v="0"/>
    <n v="0"/>
    <n v="0"/>
    <n v="0"/>
    <n v="0"/>
    <n v="0"/>
    <m/>
    <n v="0"/>
    <x v="0"/>
    <x v="7"/>
    <x v="11"/>
  </r>
  <r>
    <s v="BWID BINH DUONG"/>
    <s v="ACB - HCM"/>
    <s v="23011838"/>
    <x v="0"/>
    <s v="USD"/>
    <e v="#N/A"/>
    <e v="#N/A"/>
    <n v="0"/>
    <n v="0"/>
    <n v="0"/>
    <n v="0"/>
    <n v="0"/>
    <e v="#N/A"/>
    <e v="#N/A"/>
    <n v="0"/>
    <n v="0"/>
    <n v="0"/>
    <n v="0"/>
    <n v="0"/>
    <n v="0"/>
    <m/>
    <n v="0"/>
    <x v="0"/>
    <x v="7"/>
    <x v="11"/>
  </r>
  <r>
    <s v="BWID BINH DUONG"/>
    <s v="SINOPAC"/>
    <s v="07000800107577"/>
    <x v="0"/>
    <s v="USD"/>
    <e v="#N/A"/>
    <e v="#N/A"/>
    <n v="0"/>
    <n v="0"/>
    <n v="0"/>
    <n v="0"/>
    <n v="0"/>
    <e v="#N/A"/>
    <e v="#N/A"/>
    <n v="0"/>
    <n v="-13120"/>
    <n v="13120"/>
    <n v="0"/>
    <n v="0"/>
    <n v="13120"/>
    <m/>
    <n v="13120"/>
    <x v="0"/>
    <x v="8"/>
    <x v="12"/>
  </r>
  <r>
    <s v="BWID HAI DUONG"/>
    <s v="VIETINBANK - TIEN SON"/>
    <s v="111007158888"/>
    <x v="0"/>
    <s v="VND"/>
    <e v="#N/A"/>
    <e v="#N/A"/>
    <n v="4570155086"/>
    <n v="11726523017"/>
    <n v="1033723307"/>
    <n v="10692799710"/>
    <n v="15262954796"/>
    <e v="#N/A"/>
    <e v="#N/A"/>
    <n v="0"/>
    <n v="0"/>
    <n v="0"/>
    <n v="0"/>
    <n v="0"/>
    <n v="0"/>
    <m/>
    <n v="0"/>
    <x v="1"/>
    <x v="2"/>
    <x v="3"/>
  </r>
  <r>
    <s v="BWID HAI DUONG"/>
    <s v="VIETINBANK - TIEN SON"/>
    <s v="117007156666"/>
    <x v="0"/>
    <s v="USD"/>
    <e v="#N/A"/>
    <e v="#N/A"/>
    <n v="0"/>
    <n v="0"/>
    <n v="0"/>
    <n v="0"/>
    <n v="0"/>
    <e v="#N/A"/>
    <e v="#N/A"/>
    <n v="0"/>
    <n v="-276.64"/>
    <n v="276.64"/>
    <n v="0"/>
    <n v="0"/>
    <n v="276.64"/>
    <m/>
    <n v="276.64"/>
    <x v="1"/>
    <x v="2"/>
    <x v="3"/>
  </r>
  <r>
    <s v="BWID HAI DUONG"/>
    <s v="VIETINBANK - TIEN SON"/>
    <s v="214000295447"/>
    <x v="2"/>
    <s v="VND"/>
    <e v="#N/A"/>
    <e v="#N/A"/>
    <n v="0"/>
    <n v="0"/>
    <n v="0"/>
    <n v="0"/>
    <n v="0"/>
    <e v="#N/A"/>
    <e v="#N/A"/>
    <n v="0"/>
    <n v="0"/>
    <n v="0"/>
    <n v="0"/>
    <n v="0"/>
    <n v="0"/>
    <m/>
    <n v="0"/>
    <x v="1"/>
    <x v="2"/>
    <x v="3"/>
  </r>
  <r>
    <s v="BWID BAC NINH"/>
    <s v="VIETINBANK - TIEN SON"/>
    <s v="118008108888"/>
    <x v="0"/>
    <s v="VND"/>
    <m/>
    <m/>
    <n v="3378700359"/>
    <n v="4170574339"/>
    <n v="177908051"/>
    <n v="3992666288"/>
    <n v="7371366647"/>
    <e v="#N/A"/>
    <e v="#N/A"/>
    <n v="0"/>
    <n v="0"/>
    <n v="0"/>
    <n v="0"/>
    <n v="0"/>
    <n v="0"/>
    <e v="#N/A"/>
    <e v="#N/A"/>
    <x v="1"/>
    <x v="2"/>
    <x v="3"/>
  </r>
  <r>
    <s v="BWID BAC NINH"/>
    <s v="VIETINBANK - TIEN SON"/>
    <s v="119000436666"/>
    <x v="0"/>
    <s v="USD"/>
    <e v="#N/A"/>
    <e v="#N/A"/>
    <n v="0"/>
    <n v="0"/>
    <n v="0"/>
    <n v="0"/>
    <n v="0"/>
    <e v="#N/A"/>
    <e v="#N/A"/>
    <n v="0"/>
    <n v="0"/>
    <n v="0"/>
    <n v="0"/>
    <n v="0"/>
    <n v="0"/>
    <m/>
    <n v="0"/>
    <x v="1"/>
    <x v="2"/>
    <x v="3"/>
  </r>
  <r>
    <s v="BWID HAI DUONG 2"/>
    <s v="VIETINBANK - TIEN SON"/>
    <s v="118006028888"/>
    <x v="0"/>
    <s v="VND"/>
    <m/>
    <m/>
    <n v="2158510756"/>
    <n v="13127128674"/>
    <n v="1075084679"/>
    <n v="12052043995"/>
    <n v="14210554751"/>
    <e v="#N/A"/>
    <e v="#N/A"/>
    <n v="0"/>
    <n v="0"/>
    <n v="0"/>
    <n v="0"/>
    <n v="0"/>
    <n v="0"/>
    <e v="#N/A"/>
    <e v="#N/A"/>
    <x v="1"/>
    <x v="2"/>
    <x v="3"/>
  </r>
  <r>
    <s v="BWID HAI DUONG 2"/>
    <s v="VIETINBANK - TIEN SON"/>
    <s v="111008916666"/>
    <x v="0"/>
    <s v="USD"/>
    <e v="#N/A"/>
    <e v="#N/A"/>
    <n v="0"/>
    <n v="0"/>
    <n v="0"/>
    <n v="0"/>
    <n v="0"/>
    <e v="#N/A"/>
    <e v="#N/A"/>
    <n v="0"/>
    <n v="0"/>
    <n v="0"/>
    <n v="0"/>
    <n v="0"/>
    <n v="0"/>
    <m/>
    <n v="0"/>
    <x v="1"/>
    <x v="2"/>
    <x v="3"/>
  </r>
  <r>
    <s v="BWID HAI PHONG"/>
    <s v="VIETINBANK - TIEN SON"/>
    <s v="116002681740"/>
    <x v="0"/>
    <s v="VND"/>
    <e v="#N/A"/>
    <e v="#N/A"/>
    <n v="4088356626"/>
    <n v="5486650105"/>
    <n v="39408935"/>
    <n v="5447241170"/>
    <n v="9535597796"/>
    <e v="#N/A"/>
    <e v="#N/A"/>
    <n v="0"/>
    <n v="0"/>
    <n v="0"/>
    <n v="0"/>
    <n v="0"/>
    <n v="0"/>
    <m/>
    <n v="0"/>
    <x v="1"/>
    <x v="2"/>
    <x v="3"/>
  </r>
  <r>
    <s v="BWID HAI PHONG"/>
    <s v="VIETINBANK - TIEN SON"/>
    <s v="113010316868"/>
    <x v="0"/>
    <s v="USD"/>
    <e v="#N/A"/>
    <e v="#N/A"/>
    <n v="0"/>
    <n v="0"/>
    <n v="0"/>
    <n v="0"/>
    <n v="0"/>
    <e v="#N/A"/>
    <e v="#N/A"/>
    <n v="0"/>
    <n v="0"/>
    <n v="0"/>
    <n v="0"/>
    <n v="0"/>
    <n v="0"/>
    <m/>
    <n v="0"/>
    <x v="1"/>
    <x v="2"/>
    <x v="3"/>
  </r>
  <r>
    <s v="BWID NHON TRACH"/>
    <s v="VIETCOMBANK - HCM"/>
    <s v="0071001286959"/>
    <x v="0"/>
    <s v="VND"/>
    <e v="#N/A"/>
    <e v="#N/A"/>
    <n v="6101577281"/>
    <n v="7427150334"/>
    <n v="1173843353"/>
    <n v="6253306981"/>
    <n v="12354884262"/>
    <e v="#N/A"/>
    <e v="#N/A"/>
    <n v="0"/>
    <n v="0"/>
    <n v="0"/>
    <n v="0"/>
    <n v="0"/>
    <n v="0"/>
    <m/>
    <n v="0"/>
    <x v="1"/>
    <x v="1"/>
    <x v="2"/>
  </r>
  <r>
    <s v="BWID NHON TRACH"/>
    <s v="VIETCOMBANK - HCM"/>
    <s v="001030251199"/>
    <x v="2"/>
    <s v="VND"/>
    <e v="#N/A"/>
    <e v="#N/A"/>
    <n v="1128000000"/>
    <n v="0"/>
    <n v="0"/>
    <n v="0"/>
    <n v="1128000000"/>
    <e v="#N/A"/>
    <e v="#N/A"/>
    <n v="0"/>
    <n v="0"/>
    <n v="0"/>
    <n v="0"/>
    <n v="0"/>
    <n v="0"/>
    <m/>
    <n v="0"/>
    <x v="1"/>
    <x v="1"/>
    <x v="2"/>
  </r>
  <r>
    <s v="BWID NHON TRACH"/>
    <s v="VIETCOMBANK - HCM"/>
    <s v="0071371286960"/>
    <x v="0"/>
    <s v="USD"/>
    <e v="#N/A"/>
    <e v="#N/A"/>
    <n v="0"/>
    <n v="0"/>
    <n v="0"/>
    <n v="0"/>
    <n v="0"/>
    <e v="#N/A"/>
    <e v="#N/A"/>
    <n v="0"/>
    <n v="0"/>
    <n v="0"/>
    <n v="0"/>
    <n v="0"/>
    <n v="0"/>
    <m/>
    <n v="0"/>
    <x v="1"/>
    <x v="1"/>
    <x v="2"/>
  </r>
  <r>
    <s v="BWID HAI DUONG 3"/>
    <s v="BIDV - THANH XUAN"/>
    <s v="2221133456"/>
    <x v="0"/>
    <s v="VND"/>
    <e v="#N/A"/>
    <e v="#N/A"/>
    <n v="2401499760"/>
    <n v="4549914172"/>
    <n v="909741991"/>
    <n v="3640172181"/>
    <n v="6041671941"/>
    <e v="#N/A"/>
    <e v="#N/A"/>
    <n v="0"/>
    <n v="0"/>
    <n v="0"/>
    <n v="0"/>
    <n v="0"/>
    <n v="0"/>
    <m/>
    <n v="0"/>
    <x v="1"/>
    <x v="0"/>
    <x v="0"/>
  </r>
  <r>
    <s v="BWID THOI HOA"/>
    <s v="OCB - BINH DUONG"/>
    <s v="0010100014965001"/>
    <x v="0"/>
    <s v="VND"/>
    <e v="#N/A"/>
    <e v="#N/A"/>
    <n v="97118295"/>
    <n v="0"/>
    <n v="0"/>
    <n v="0"/>
    <n v="97118295"/>
    <e v="#N/A"/>
    <e v="#N/A"/>
    <n v="0"/>
    <n v="0"/>
    <n v="0"/>
    <n v="0"/>
    <n v="0"/>
    <n v="0"/>
    <m/>
    <n v="0"/>
    <x v="1"/>
    <x v="6"/>
    <x v="10"/>
  </r>
  <r>
    <s v="TH1 HOLDCO"/>
    <s v="VIETINBANK - CN1"/>
    <s v="116002901287"/>
    <x v="0"/>
    <s v="VND"/>
    <m/>
    <m/>
    <n v="72481566"/>
    <n v="0"/>
    <n v="0"/>
    <n v="0"/>
    <n v="72481566"/>
    <e v="#N/A"/>
    <e v="#N/A"/>
    <n v="0"/>
    <n v="0"/>
    <n v="0"/>
    <n v="0"/>
    <n v="0"/>
    <n v="0"/>
    <e v="#N/A"/>
    <e v="#N/A"/>
    <x v="1"/>
    <x v="2"/>
    <x v="6"/>
  </r>
  <r>
    <s v="BWID THOI HOA 2"/>
    <s v="OCB - BINH DUONG"/>
    <s v="0010100014966008"/>
    <x v="0"/>
    <s v="VND"/>
    <e v="#N/A"/>
    <e v="#N/A"/>
    <n v="493744107"/>
    <n v="1000000000"/>
    <n v="462598575"/>
    <n v="537401425"/>
    <n v="1031145532"/>
    <e v="#N/A"/>
    <e v="#N/A"/>
    <n v="0"/>
    <n v="0"/>
    <n v="0"/>
    <n v="0"/>
    <n v="0"/>
    <n v="0"/>
    <m/>
    <n v="0"/>
    <x v="1"/>
    <x v="6"/>
    <x v="10"/>
  </r>
  <r>
    <s v="TH2 HOLDCO"/>
    <s v="VIETINBANK - CN1"/>
    <s v="115002901290"/>
    <x v="0"/>
    <s v="VND"/>
    <e v="#N/A"/>
    <e v="#N/A"/>
    <n v="8505854"/>
    <n v="0"/>
    <n v="0"/>
    <n v="0"/>
    <n v="8505854"/>
    <e v="#N/A"/>
    <e v="#N/A"/>
    <n v="0"/>
    <n v="0"/>
    <n v="0"/>
    <n v="0"/>
    <n v="0"/>
    <n v="0"/>
    <m/>
    <n v="0"/>
    <x v="1"/>
    <x v="2"/>
    <x v="6"/>
  </r>
  <r>
    <s v="BWID LOGISTICS TAN UYEN"/>
    <s v="VIETCOMBANK - DONG SAI GON"/>
    <s v="0531007776868"/>
    <x v="0"/>
    <s v="VND"/>
    <e v="#N/A"/>
    <e v="#N/A"/>
    <n v="132111771"/>
    <n v="0"/>
    <n v="0"/>
    <n v="0"/>
    <n v="132111771"/>
    <e v="#N/A"/>
    <e v="#N/A"/>
    <n v="0"/>
    <n v="0"/>
    <n v="0"/>
    <n v="0"/>
    <n v="0"/>
    <n v="0"/>
    <m/>
    <n v="0"/>
    <x v="1"/>
    <x v="3"/>
    <x v="7"/>
  </r>
  <r>
    <s v="BWID LOGISTICS TAN UYEN"/>
    <s v="VIETCOMBANK - BA DINH"/>
    <s v="1018776868"/>
    <x v="0"/>
    <s v="VND"/>
    <m/>
    <m/>
    <n v="3733212863"/>
    <n v="1116960722"/>
    <n v="256843130"/>
    <n v="860117592"/>
    <n v="4593330455"/>
    <e v="#N/A"/>
    <e v="#N/A"/>
    <n v="0"/>
    <n v="0"/>
    <n v="0"/>
    <n v="0"/>
    <n v="0"/>
    <n v="0"/>
    <e v="#N/A"/>
    <e v="#N/A"/>
    <x v="1"/>
    <x v="1"/>
    <x v="1"/>
  </r>
  <r>
    <s v="BWID LOGISTICS TAN UYEN"/>
    <s v="VIETCOMBANK - BA DINH"/>
    <s v="_x0009_1019776868"/>
    <x v="0"/>
    <s v="USD"/>
    <e v="#N/A"/>
    <e v="#N/A"/>
    <n v="0"/>
    <n v="0"/>
    <n v="0"/>
    <n v="0"/>
    <n v="0"/>
    <e v="#N/A"/>
    <e v="#N/A"/>
    <n v="0"/>
    <n v="0"/>
    <n v="0"/>
    <n v="0"/>
    <n v="0"/>
    <n v="0"/>
    <m/>
    <n v="0"/>
    <x v="1"/>
    <x v="1"/>
    <x v="1"/>
  </r>
  <r>
    <s v="BWID LOGISTICS TAN UYEN"/>
    <s v="VIETCOMBANK - BA DINH"/>
    <s v="001022212767"/>
    <x v="2"/>
    <s v="VND"/>
    <e v="#N/A"/>
    <e v="#N/A"/>
    <n v="0"/>
    <n v="0"/>
    <n v="0"/>
    <n v="0"/>
    <n v="0"/>
    <e v="#N/A"/>
    <e v="#N/A"/>
    <n v="0"/>
    <n v="0"/>
    <n v="0"/>
    <n v="0"/>
    <n v="0"/>
    <n v="0"/>
    <m/>
    <n v="0"/>
    <x v="1"/>
    <x v="1"/>
    <x v="1"/>
  </r>
  <r>
    <s v="BW SAI GON"/>
    <s v="SINOPAC"/>
    <s v="07000800107177"/>
    <x v="0"/>
    <s v="VND"/>
    <e v="#N/A"/>
    <e v="#N/A"/>
    <n v="8291536238"/>
    <n v="87002862"/>
    <n v="5599321476"/>
    <n v="-5512318614"/>
    <n v="2779217624"/>
    <e v="#N/A"/>
    <e v="#N/A"/>
    <n v="0"/>
    <n v="0"/>
    <n v="0"/>
    <n v="0"/>
    <n v="0"/>
    <n v="0"/>
    <m/>
    <n v="0"/>
    <x v="1"/>
    <x v="8"/>
    <x v="12"/>
  </r>
  <r>
    <s v="BW SAI GON"/>
    <s v="SINOPAC"/>
    <s v="07000800107185"/>
    <x v="0"/>
    <s v="VND"/>
    <m/>
    <m/>
    <n v="371664916"/>
    <n v="0"/>
    <n v="0"/>
    <n v="0"/>
    <n v="371664916"/>
    <e v="#N/A"/>
    <e v="#N/A"/>
    <n v="0"/>
    <n v="0"/>
    <n v="0"/>
    <n v="0"/>
    <n v="0"/>
    <n v="0"/>
    <e v="#N/A"/>
    <e v="#N/A"/>
    <x v="1"/>
    <x v="8"/>
    <x v="12"/>
  </r>
  <r>
    <s v="BW SAI GON"/>
    <s v="TECHCOMBANK"/>
    <s v="3315696868"/>
    <x v="0"/>
    <s v="VND"/>
    <e v="#N/A"/>
    <e v="#N/A"/>
    <n v="77557095"/>
    <n v="0"/>
    <n v="0"/>
    <n v="0"/>
    <n v="77557095"/>
    <e v="#N/A"/>
    <e v="#N/A"/>
    <n v="0"/>
    <n v="0"/>
    <n v="0"/>
    <n v="0"/>
    <n v="0"/>
    <n v="0"/>
    <m/>
    <n v="0"/>
    <x v="1"/>
    <x v="5"/>
    <x v="9"/>
  </r>
  <r>
    <s v="BW SAI GON"/>
    <s v="VIETCOMBANK - HCM"/>
    <s v="0071370366868"/>
    <x v="0"/>
    <s v="USD"/>
    <e v="#N/A"/>
    <e v="#N/A"/>
    <n v="0"/>
    <n v="0"/>
    <n v="0"/>
    <n v="0"/>
    <n v="0"/>
    <e v="#N/A"/>
    <e v="#N/A"/>
    <n v="0"/>
    <n v="0"/>
    <n v="0"/>
    <n v="0"/>
    <n v="0"/>
    <n v="0"/>
    <m/>
    <n v="0"/>
    <x v="1"/>
    <x v="1"/>
    <x v="2"/>
  </r>
  <r>
    <s v="BW NEW CITY"/>
    <s v="VIETCOMBANK - HCM"/>
    <s v="0071370266868"/>
    <x v="0"/>
    <s v="USD"/>
    <e v="#N/A"/>
    <e v="#N/A"/>
    <n v="0"/>
    <n v="0"/>
    <n v="0"/>
    <n v="0"/>
    <n v="0"/>
    <e v="#N/A"/>
    <e v="#N/A"/>
    <n v="0"/>
    <n v="0"/>
    <n v="0"/>
    <n v="0"/>
    <n v="0"/>
    <n v="0"/>
    <n v="0"/>
    <n v="0"/>
    <x v="1"/>
    <x v="1"/>
    <x v="2"/>
  </r>
  <r>
    <s v="BW NEW CITY"/>
    <s v="VIETCOMBANK - HCM"/>
    <s v="1018291387"/>
    <x v="0"/>
    <s v="VND"/>
    <m/>
    <n v="-21172844"/>
    <n v="21172844"/>
    <n v="0"/>
    <n v="0"/>
    <n v="0"/>
    <n v="21172844"/>
    <e v="#N/A"/>
    <e v="#N/A"/>
    <n v="0"/>
    <n v="0"/>
    <n v="0"/>
    <n v="0"/>
    <n v="0"/>
    <n v="0"/>
    <e v="#N/A"/>
    <e v="#N/A"/>
    <x v="1"/>
    <x v="1"/>
    <x v="2"/>
  </r>
  <r>
    <s v="BW NEW CITY"/>
    <s v="BIDV - THANH XUAN"/>
    <s v="2224278781"/>
    <x v="0"/>
    <s v="VND"/>
    <e v="#N/A"/>
    <e v="#N/A"/>
    <n v="4154529"/>
    <n v="0"/>
    <n v="0"/>
    <n v="0"/>
    <n v="4154529"/>
    <e v="#N/A"/>
    <e v="#N/A"/>
    <n v="0"/>
    <n v="0"/>
    <n v="0"/>
    <n v="0"/>
    <n v="0"/>
    <n v="0"/>
    <n v="0"/>
    <n v="0"/>
    <x v="1"/>
    <x v="0"/>
    <x v="0"/>
  </r>
  <r>
    <s v="GREAT KINGDOM NT 2"/>
    <s v="VIETINBANK - CN1"/>
    <s v="216000283949"/>
    <x v="2"/>
    <s v="VND"/>
    <e v="#N/A"/>
    <e v="#N/A"/>
    <n v="2883354342"/>
    <n v="0"/>
    <n v="0"/>
    <n v="0"/>
    <n v="2883354342"/>
    <e v="#N/A"/>
    <e v="#N/A"/>
    <n v="0"/>
    <n v="0"/>
    <n v="0"/>
    <n v="0"/>
    <n v="0"/>
    <n v="0"/>
    <m/>
    <n v="0"/>
    <x v="1"/>
    <x v="2"/>
    <x v="6"/>
  </r>
  <r>
    <s v="GREAT KINGDOM NT 2"/>
    <s v="VIETINBANK - CN1"/>
    <s v="110609187777"/>
    <x v="0"/>
    <s v="VND"/>
    <m/>
    <n v="-7239166851"/>
    <n v="7239166851"/>
    <n v="5718448069"/>
    <n v="1744162091"/>
    <n v="3974285978"/>
    <n v="11213452829"/>
    <e v="#N/A"/>
    <e v="#N/A"/>
    <n v="0"/>
    <n v="0"/>
    <n v="0"/>
    <n v="0"/>
    <n v="0"/>
    <n v="0"/>
    <e v="#N/A"/>
    <e v="#N/A"/>
    <x v="1"/>
    <x v="2"/>
    <x v="6"/>
  </r>
  <r>
    <s v="BW BAU BANG"/>
    <s v="VIETINBANK - TIEN SON"/>
    <s v="117002806218"/>
    <x v="0"/>
    <s v="VND"/>
    <e v="#N/A"/>
    <e v="#N/A"/>
    <n v="172687970"/>
    <n v="0"/>
    <n v="0"/>
    <n v="0"/>
    <n v="172687970"/>
    <e v="#N/A"/>
    <e v="#N/A"/>
    <n v="0"/>
    <n v="0"/>
    <n v="0"/>
    <n v="0"/>
    <n v="0"/>
    <n v="0"/>
    <n v="0"/>
    <n v="0"/>
    <x v="1"/>
    <x v="2"/>
    <x v="3"/>
  </r>
  <r>
    <s v="BW PHU NGHIA"/>
    <s v="BIDV - THANH XUAN"/>
    <s v="2220830888"/>
    <x v="0"/>
    <s v="VND"/>
    <m/>
    <n v="-1561016106"/>
    <n v="1561016106"/>
    <n v="877888"/>
    <n v="2858803"/>
    <n v="-1980915"/>
    <n v="1559035191"/>
    <e v="#N/A"/>
    <e v="#N/A"/>
    <n v="0"/>
    <n v="0"/>
    <n v="0"/>
    <n v="0"/>
    <n v="0"/>
    <n v="0"/>
    <e v="#N/A"/>
    <e v="#N/A"/>
    <x v="1"/>
    <x v="0"/>
    <x v="0"/>
  </r>
  <r>
    <s v="BW DINH VU"/>
    <s v="BIDV - THANH XUAN"/>
    <s v="2220151668"/>
    <x v="0"/>
    <s v="VND"/>
    <m/>
    <n v="-1424842020"/>
    <n v="1424842020"/>
    <n v="0"/>
    <n v="218285618"/>
    <n v="-218285618"/>
    <n v="1206556402"/>
    <e v="#N/A"/>
    <e v="#N/A"/>
    <n v="0"/>
    <n v="0"/>
    <n v="0"/>
    <n v="0"/>
    <n v="0"/>
    <n v="0"/>
    <e v="#N/A"/>
    <e v="#N/A"/>
    <x v="1"/>
    <x v="0"/>
    <x v="0"/>
  </r>
  <r>
    <s v="BW DINH VU"/>
    <s v="BIDV - THANH XUAN"/>
    <s v="2220107911"/>
    <x v="0"/>
    <s v="USD"/>
    <e v="#N/A"/>
    <e v="#N/A"/>
    <n v="0"/>
    <n v="0"/>
    <n v="0"/>
    <n v="0"/>
    <n v="0"/>
    <e v="#N/A"/>
    <e v="#N/A"/>
    <n v="0"/>
    <n v="-138.49"/>
    <n v="138.49"/>
    <n v="0"/>
    <n v="0"/>
    <n v="138.49"/>
    <n v="0"/>
    <n v="138.49"/>
    <x v="1"/>
    <x v="0"/>
    <x v="0"/>
  </r>
  <r>
    <s v="BW DINH VU"/>
    <s v="BIDV - THANH XUAN"/>
    <s v="22210001511344"/>
    <x v="2"/>
    <s v="VND"/>
    <e v="#N/A"/>
    <e v="#N/A"/>
    <n v="5000000000"/>
    <n v="0"/>
    <n v="0"/>
    <n v="0"/>
    <n v="5000000000"/>
    <e v="#N/A"/>
    <e v="#N/A"/>
    <n v="0"/>
    <n v="0"/>
    <n v="0"/>
    <n v="0"/>
    <n v="0"/>
    <n v="0"/>
    <m/>
    <n v="0"/>
    <x v="1"/>
    <x v="0"/>
    <x v="0"/>
  </r>
  <r>
    <s v="BW NAM DINH VU"/>
    <s v="BIDV - LONG BIEN"/>
    <s v="1500019128"/>
    <x v="0"/>
    <s v="USD"/>
    <m/>
    <n v="0"/>
    <n v="0"/>
    <n v="0"/>
    <n v="0"/>
    <n v="0"/>
    <n v="0"/>
    <e v="#N/A"/>
    <e v="#N/A"/>
    <n v="0"/>
    <n v="-29660.409999999996"/>
    <n v="29660.409999999996"/>
    <n v="0"/>
    <n v="0"/>
    <n v="29660.409999999996"/>
    <e v="#N/A"/>
    <e v="#N/A"/>
    <x v="1"/>
    <x v="0"/>
    <x v="13"/>
  </r>
  <r>
    <s v="BW NAM DINH VU"/>
    <s v="BIDV - LONG BIEN"/>
    <s v="1500871050"/>
    <x v="0"/>
    <s v="VND"/>
    <e v="#N/A"/>
    <e v="#N/A"/>
    <n v="4872216642"/>
    <n v="1019785362"/>
    <n v="568965270"/>
    <n v="450820092"/>
    <n v="5323036734"/>
    <e v="#N/A"/>
    <e v="#N/A"/>
    <n v="0"/>
    <n v="0"/>
    <n v="0"/>
    <n v="0"/>
    <n v="0"/>
    <n v="0"/>
    <m/>
    <n v="0"/>
    <x v="1"/>
    <x v="0"/>
    <x v="13"/>
  </r>
  <r>
    <s v="BWID TAN DONG HIEP"/>
    <s v="VIB - HOI SO"/>
    <s v="000658139"/>
    <x v="0"/>
    <s v="VND"/>
    <e v="#N/A"/>
    <e v="#N/A"/>
    <n v="38502649"/>
    <n v="16350"/>
    <n v="0"/>
    <n v="16350"/>
    <n v="38518999"/>
    <e v="#N/A"/>
    <e v="#N/A"/>
    <n v="0"/>
    <n v="0"/>
    <n v="0"/>
    <n v="0"/>
    <n v="0"/>
    <n v="0"/>
    <m/>
    <n v="0"/>
    <x v="1"/>
    <x v="4"/>
    <x v="8"/>
  </r>
  <r>
    <s v="BWID DONG AN LID"/>
    <s v="VIETINBANK - DONG SAI GON"/>
    <s v="114002807847"/>
    <x v="0"/>
    <s v="VND"/>
    <e v="#N/A"/>
    <e v="#N/A"/>
    <n v="2385252448"/>
    <n v="10158207603"/>
    <n v="430534942"/>
    <n v="9727672661"/>
    <n v="12112925109"/>
    <e v="#N/A"/>
    <e v="#N/A"/>
    <n v="0"/>
    <n v="0"/>
    <n v="0"/>
    <n v="0"/>
    <n v="0"/>
    <n v="0"/>
    <m/>
    <n v="0"/>
    <x v="1"/>
    <x v="2"/>
    <x v="5"/>
  </r>
  <r>
    <s v="BWID DONG AN LID"/>
    <s v="VIETINBANK - DONG SAI GON"/>
    <s v="217000301104"/>
    <x v="2"/>
    <s v="VND"/>
    <e v="#N/A"/>
    <e v="#N/A"/>
    <n v="0"/>
    <n v="0"/>
    <n v="0"/>
    <n v="0"/>
    <n v="0"/>
    <e v="#N/A"/>
    <e v="#N/A"/>
    <n v="0"/>
    <n v="0"/>
    <n v="0"/>
    <n v="0"/>
    <n v="0"/>
    <n v="0"/>
    <m/>
    <n v="0"/>
    <x v="1"/>
    <x v="2"/>
    <x v="5"/>
  </r>
  <r>
    <s v="BWID LONG AN"/>
    <s v="OCB - BINH DUONG"/>
    <s v="0010100013992005"/>
    <x v="0"/>
    <s v="VND"/>
    <e v="#N/A"/>
    <e v="#N/A"/>
    <n v="69038517"/>
    <n v="0"/>
    <n v="0"/>
    <n v="0"/>
    <n v="69038517"/>
    <e v="#N/A"/>
    <e v="#N/A"/>
    <n v="0"/>
    <n v="0"/>
    <n v="0"/>
    <n v="0"/>
    <n v="0"/>
    <n v="0"/>
    <m/>
    <n v="0"/>
    <x v="1"/>
    <x v="6"/>
    <x v="10"/>
  </r>
  <r>
    <s v="SG LOGISTICS"/>
    <s v="VIETINBANK - TIEN SON"/>
    <s v="111002882978"/>
    <x v="0"/>
    <s v="VND"/>
    <e v="#N/A"/>
    <e v="#N/A"/>
    <n v="18402169"/>
    <n v="0"/>
    <n v="0"/>
    <n v="0"/>
    <n v="18402169"/>
    <e v="#N/A"/>
    <e v="#N/A"/>
    <n v="0"/>
    <n v="0"/>
    <n v="0"/>
    <n v="0"/>
    <n v="0"/>
    <n v="0"/>
    <m/>
    <n v="0"/>
    <x v="1"/>
    <x v="2"/>
    <x v="3"/>
  </r>
  <r>
    <s v="HANOI MANAGEMENT SERVICES"/>
    <s v="VIETINBANK - TIEN SON"/>
    <s v="110002855448"/>
    <x v="0"/>
    <s v="VND"/>
    <e v="#N/A"/>
    <e v="#N/A"/>
    <n v="1093642230"/>
    <n v="34301006"/>
    <n v="0"/>
    <n v="34301006"/>
    <n v="1127943236"/>
    <e v="#N/A"/>
    <e v="#N/A"/>
    <n v="0"/>
    <n v="0"/>
    <n v="0"/>
    <n v="0"/>
    <n v="0"/>
    <n v="0"/>
    <m/>
    <n v="0"/>
    <x v="1"/>
    <x v="2"/>
    <x v="3"/>
  </r>
  <r>
    <s v="IRE CONSULTANCY &amp; MANAGEMENT"/>
    <s v="VIETINBANK - TIEN SON"/>
    <s v="113002864775"/>
    <x v="0"/>
    <s v="VND"/>
    <e v="#N/A"/>
    <e v="#N/A"/>
    <n v="18959401"/>
    <n v="0"/>
    <n v="0"/>
    <n v="0"/>
    <n v="18959401"/>
    <e v="#N/A"/>
    <e v="#N/A"/>
    <n v="0"/>
    <n v="0"/>
    <n v="0"/>
    <n v="0"/>
    <n v="0"/>
    <n v="0"/>
    <m/>
    <n v="0"/>
    <x v="1"/>
    <x v="2"/>
    <x v="3"/>
  </r>
  <r>
    <s v="BW THU DAU MOT"/>
    <s v="VIETINBANK - TIEN SON"/>
    <s v="113002864762"/>
    <x v="0"/>
    <s v="VND"/>
    <e v="#N/A"/>
    <e v="#N/A"/>
    <n v="35374421"/>
    <n v="0"/>
    <n v="0"/>
    <n v="0"/>
    <n v="35374421"/>
    <e v="#N/A"/>
    <e v="#N/A"/>
    <n v="0"/>
    <n v="0"/>
    <n v="0"/>
    <n v="0"/>
    <n v="0"/>
    <n v="0"/>
    <m/>
    <n v="0"/>
    <x v="1"/>
    <x v="2"/>
    <x v="3"/>
  </r>
  <r>
    <s v="KIM TRUC DN"/>
    <s v="BIDV - NAM SAI GON"/>
    <s v="1329397986"/>
    <x v="0"/>
    <s v="VND"/>
    <e v="#N/A"/>
    <e v="#N/A"/>
    <n v="3745250414"/>
    <n v="5741950097"/>
    <n v="1793752667"/>
    <n v="3948197430"/>
    <n v="7693447844"/>
    <e v="#N/A"/>
    <e v="#N/A"/>
    <n v="0"/>
    <n v="0"/>
    <n v="0"/>
    <n v="0"/>
    <n v="0"/>
    <n v="0"/>
    <m/>
    <n v="0"/>
    <x v="1"/>
    <x v="0"/>
    <x v="14"/>
  </r>
  <r>
    <s v="KIM TRUC DN"/>
    <s v="BIDV - NAM SAI GON"/>
    <s v="13210001603661"/>
    <x v="2"/>
    <s v="VND"/>
    <e v="#N/A"/>
    <e v="#N/A"/>
    <n v="1418000000"/>
    <n v="0"/>
    <n v="0"/>
    <n v="0"/>
    <n v="1418000000"/>
    <e v="#N/A"/>
    <e v="#N/A"/>
    <n v="0"/>
    <n v="0"/>
    <n v="0"/>
    <n v="0"/>
    <n v="0"/>
    <n v="0"/>
    <m/>
    <n v="0"/>
    <x v="1"/>
    <x v="0"/>
    <x v="14"/>
  </r>
  <r>
    <s v="BW SUPLLY CHAIN CITY"/>
    <s v="SUMITOMO - HCM"/>
    <s v="10012991 VND"/>
    <x v="0"/>
    <s v="VND"/>
    <e v="#N/A"/>
    <e v="#N/A"/>
    <n v="0"/>
    <n v="0"/>
    <n v="0"/>
    <n v="0"/>
    <n v="0"/>
    <e v="#N/A"/>
    <e v="#N/A"/>
    <n v="0"/>
    <n v="0"/>
    <n v="0"/>
    <n v="0"/>
    <n v="0"/>
    <n v="0"/>
    <m/>
    <n v="0"/>
    <x v="1"/>
    <x v="3"/>
    <x v="7"/>
  </r>
  <r>
    <s v="BW SUPLLY CHAIN CITY"/>
    <s v="SUMITOMO - HCM"/>
    <s v="10012992 VND"/>
    <x v="0"/>
    <s v="VND"/>
    <e v="#N/A"/>
    <e v="#N/A"/>
    <n v="146636"/>
    <n v="0"/>
    <n v="0"/>
    <n v="0"/>
    <n v="146636"/>
    <e v="#N/A"/>
    <e v="#N/A"/>
    <n v="0"/>
    <n v="0"/>
    <n v="0"/>
    <n v="0"/>
    <n v="0"/>
    <n v="0"/>
    <m/>
    <n v="0"/>
    <x v="1"/>
    <x v="3"/>
    <x v="7"/>
  </r>
  <r>
    <s v="BW SUPLLY CHAIN CITY"/>
    <s v="VIETCOMBANK - HCM"/>
    <s v="1018291733"/>
    <x v="0"/>
    <s v="VND"/>
    <e v="#N/A"/>
    <e v="#N/A"/>
    <n v="11169940325"/>
    <n v="9651075481"/>
    <n v="2315090619"/>
    <n v="7335984862"/>
    <n v="18505925187"/>
    <e v="#N/A"/>
    <e v="#N/A"/>
    <n v="0"/>
    <n v="0"/>
    <n v="0"/>
    <n v="0"/>
    <n v="0"/>
    <n v="0"/>
    <m/>
    <n v="0"/>
    <x v="1"/>
    <x v="1"/>
    <x v="2"/>
  </r>
  <r>
    <s v="BW SUPLLY CHAIN CITY"/>
    <s v="VIETCOMBANK - HCM"/>
    <s v="1018291778"/>
    <x v="0"/>
    <s v="USD"/>
    <e v="#N/A"/>
    <e v="#N/A"/>
    <n v="0"/>
    <n v="0"/>
    <n v="0"/>
    <n v="0"/>
    <n v="0"/>
    <e v="#N/A"/>
    <e v="#N/A"/>
    <n v="0"/>
    <n v="-5645.869999999999"/>
    <n v="5645.869999999999"/>
    <n v="0"/>
    <n v="0"/>
    <n v="5645.869999999999"/>
    <m/>
    <n v="5645.869999999999"/>
    <x v="1"/>
    <x v="1"/>
    <x v="2"/>
  </r>
  <r>
    <s v="SAO THO"/>
    <s v="VIETINBANK - CN1"/>
    <s v="116002866455"/>
    <x v="0"/>
    <s v="VND"/>
    <e v="#N/A"/>
    <e v="#N/A"/>
    <n v="3436078"/>
    <n v="0"/>
    <n v="0"/>
    <n v="0"/>
    <n v="3436078"/>
    <e v="#N/A"/>
    <e v="#N/A"/>
    <n v="0"/>
    <n v="0"/>
    <n v="0"/>
    <n v="0"/>
    <n v="0"/>
    <n v="0"/>
    <m/>
    <n v="0"/>
    <x v="1"/>
    <x v="2"/>
    <x v="6"/>
  </r>
  <r>
    <s v="SAO THO"/>
    <s v="VIETINBANK - CN1"/>
    <s v="1150 0286 6456"/>
    <x v="0"/>
    <s v="USD"/>
    <e v="#N/A"/>
    <e v="#N/A"/>
    <n v="0"/>
    <n v="0"/>
    <n v="0"/>
    <n v="0"/>
    <n v="0"/>
    <e v="#N/A"/>
    <e v="#N/A"/>
    <n v="0"/>
    <n v="0"/>
    <n v="0"/>
    <n v="0"/>
    <n v="0"/>
    <n v="0"/>
    <m/>
    <n v="0"/>
    <x v="1"/>
    <x v="2"/>
    <x v="6"/>
  </r>
  <r>
    <s v="SAO MOC"/>
    <s v="VIETINBANK - CN1"/>
    <s v="111002866787"/>
    <x v="0"/>
    <s v="VND"/>
    <e v="#N/A"/>
    <e v="#N/A"/>
    <n v="15331861"/>
    <n v="0"/>
    <n v="0"/>
    <n v="0"/>
    <n v="15331861"/>
    <e v="#N/A"/>
    <e v="#N/A"/>
    <n v="0"/>
    <n v="0"/>
    <n v="0"/>
    <n v="0"/>
    <n v="0"/>
    <n v="0"/>
    <m/>
    <n v="0"/>
    <x v="1"/>
    <x v="2"/>
    <x v="6"/>
  </r>
  <r>
    <s v="SAO MOC"/>
    <s v="VIETINBANK - CN1"/>
    <s v="1100 0286 6788"/>
    <x v="0"/>
    <s v="USD"/>
    <e v="#N/A"/>
    <e v="#N/A"/>
    <n v="0"/>
    <n v="0"/>
    <n v="0"/>
    <n v="0"/>
    <n v="0"/>
    <e v="#N/A"/>
    <e v="#N/A"/>
    <n v="0"/>
    <n v="0"/>
    <n v="0"/>
    <n v="0"/>
    <n v="0"/>
    <n v="0"/>
    <m/>
    <n v="0"/>
    <x v="1"/>
    <x v="2"/>
    <x v="6"/>
  </r>
  <r>
    <s v="SAO HOA"/>
    <s v="VIETINBANK - CN1"/>
    <s v="110002867869"/>
    <x v="0"/>
    <s v="VND"/>
    <e v="#N/A"/>
    <e v="#N/A"/>
    <n v="172325847"/>
    <n v="0"/>
    <n v="0"/>
    <n v="0"/>
    <n v="172325847"/>
    <e v="#N/A"/>
    <e v="#N/A"/>
    <n v="0"/>
    <n v="0"/>
    <n v="0"/>
    <n v="0"/>
    <n v="0"/>
    <n v="0"/>
    <m/>
    <n v="0"/>
    <x v="2"/>
    <x v="2"/>
    <x v="6"/>
  </r>
  <r>
    <s v="SAO HOA"/>
    <s v="VIETINBANK - CN1"/>
    <s v="113002867893"/>
    <x v="3"/>
    <s v="USD"/>
    <m/>
    <m/>
    <n v="0"/>
    <n v="0"/>
    <n v="0"/>
    <n v="0"/>
    <n v="0"/>
    <e v="#N/A"/>
    <e v="#N/A"/>
    <n v="0"/>
    <n v="0"/>
    <n v="0"/>
    <n v="0"/>
    <n v="0"/>
    <n v="0"/>
    <e v="#N/A"/>
    <e v="#N/A"/>
    <x v="2"/>
    <x v="2"/>
    <x v="6"/>
  </r>
  <r>
    <s v="SAO HOA"/>
    <s v="VIETINBANK - CN1"/>
    <s v="110002880534"/>
    <x v="0"/>
    <s v="USD"/>
    <e v="#N/A"/>
    <e v="#N/A"/>
    <n v="0"/>
    <n v="0"/>
    <n v="0"/>
    <n v="0"/>
    <n v="0"/>
    <e v="#N/A"/>
    <e v="#N/A"/>
    <n v="0"/>
    <n v="-541.76"/>
    <n v="541.76"/>
    <n v="0"/>
    <n v="0"/>
    <n v="541.76"/>
    <m/>
    <n v="541.76"/>
    <x v="2"/>
    <x v="2"/>
    <x v="6"/>
  </r>
  <r>
    <s v="SAO HOA"/>
    <s v="VIETINBANK - QUANG MINH"/>
    <s v="110600968868"/>
    <x v="0"/>
    <s v="VND"/>
    <e v="#N/A"/>
    <e v="#N/A"/>
    <n v="343391680"/>
    <n v="0"/>
    <n v="0"/>
    <n v="0"/>
    <n v="343391680"/>
    <e v="#N/A"/>
    <e v="#N/A"/>
    <n v="0"/>
    <n v="0"/>
    <n v="0"/>
    <n v="0"/>
    <n v="0"/>
    <n v="0"/>
    <m/>
    <n v="0"/>
    <x v="2"/>
    <x v="2"/>
    <x v="4"/>
  </r>
  <r>
    <s v="SAO HOA"/>
    <s v="VIETINBANK - TIEN SON"/>
    <s v="114002874189"/>
    <x v="0"/>
    <s v="VND"/>
    <e v="#N/A"/>
    <e v="#N/A"/>
    <n v="77951013879"/>
    <n v="911357250"/>
    <n v="11916262177"/>
    <n v="-11004904927"/>
    <n v="66946108952"/>
    <e v="#N/A"/>
    <e v="#N/A"/>
    <n v="0"/>
    <n v="0"/>
    <n v="0"/>
    <n v="0"/>
    <n v="0"/>
    <n v="0"/>
    <m/>
    <n v="0"/>
    <x v="2"/>
    <x v="2"/>
    <x v="3"/>
  </r>
  <r>
    <s v="SAO HOA"/>
    <s v="VIETINBANK - TIEN SON"/>
    <s v="115002874190"/>
    <x v="0"/>
    <s v="USD"/>
    <e v="#N/A"/>
    <e v="#N/A"/>
    <n v="0"/>
    <n v="0"/>
    <n v="0"/>
    <n v="0"/>
    <n v="0"/>
    <e v="#N/A"/>
    <e v="#N/A"/>
    <n v="0"/>
    <n v="-438.53"/>
    <n v="438.53"/>
    <n v="0"/>
    <n v="0"/>
    <n v="438.53"/>
    <m/>
    <n v="438.53"/>
    <x v="2"/>
    <x v="2"/>
    <x v="3"/>
  </r>
  <r>
    <s v="SAO HOA"/>
    <s v="VIETINBANK - BINH DUONG"/>
    <s v="116002904666"/>
    <x v="0"/>
    <s v="VND"/>
    <e v="#N/A"/>
    <e v="#N/A"/>
    <n v="2220044121"/>
    <n v="180000000000"/>
    <n v="182000000000"/>
    <n v="-2000000000"/>
    <n v="220044121"/>
    <e v="#N/A"/>
    <e v="#N/A"/>
    <n v="0"/>
    <n v="0"/>
    <n v="0"/>
    <n v="0"/>
    <n v="0"/>
    <n v="0"/>
    <m/>
    <n v="0"/>
    <x v="2"/>
    <x v="2"/>
    <x v="4"/>
  </r>
  <r>
    <s v="SAO HOA"/>
    <s v="VIETINBANK - BINH DUONG"/>
    <s v="117002904665"/>
    <x v="0"/>
    <s v="USD"/>
    <e v="#N/A"/>
    <e v="#N/A"/>
    <n v="0"/>
    <n v="0"/>
    <n v="0"/>
    <n v="0"/>
    <n v="0"/>
    <e v="#N/A"/>
    <e v="#N/A"/>
    <n v="0"/>
    <n v="-1812.22"/>
    <n v="1812.22"/>
    <n v="0"/>
    <n v="0"/>
    <n v="1812.22"/>
    <m/>
    <n v="1812.22"/>
    <x v="2"/>
    <x v="2"/>
    <x v="4"/>
  </r>
  <r>
    <s v="SAO HOA"/>
    <s v="VIETCOMBANK - HCM"/>
    <s v="1019667606"/>
    <x v="0"/>
    <s v="VND"/>
    <e v="#N/A"/>
    <e v="#N/A"/>
    <n v="195048585349"/>
    <n v="0"/>
    <n v="55000"/>
    <n v="-55000"/>
    <n v="195048530349"/>
    <e v="#N/A"/>
    <e v="#N/A"/>
    <n v="0"/>
    <n v="0"/>
    <n v="0"/>
    <n v="0"/>
    <n v="0"/>
    <n v="0"/>
    <m/>
    <n v="0"/>
    <x v="2"/>
    <x v="1"/>
    <x v="2"/>
  </r>
  <r>
    <s v="SAO HOA"/>
    <s v="VIETCOMBANK - HCM"/>
    <s v="1019667637"/>
    <x v="0"/>
    <s v="USD"/>
    <e v="#N/A"/>
    <e v="#N/A"/>
    <n v="0"/>
    <n v="0"/>
    <n v="0"/>
    <n v="0"/>
    <n v="0"/>
    <e v="#N/A"/>
    <e v="#N/A"/>
    <n v="0"/>
    <n v="-98"/>
    <n v="98"/>
    <n v="0"/>
    <n v="2.2000000000000002"/>
    <n v="95.8"/>
    <m/>
    <n v="95.8"/>
    <x v="2"/>
    <x v="1"/>
    <x v="2"/>
  </r>
  <r>
    <s v="SAO HOA"/>
    <s v="VIETCOMBANK - BA DINH"/>
    <s v="1015796868"/>
    <x v="0"/>
    <s v="VND"/>
    <e v="#N/A"/>
    <e v="#N/A"/>
    <n v="2032290614"/>
    <n v="0"/>
    <n v="0"/>
    <n v="0"/>
    <n v="2032290614"/>
    <e v="#N/A"/>
    <e v="#N/A"/>
    <n v="0"/>
    <n v="0"/>
    <n v="0"/>
    <n v="0"/>
    <n v="0"/>
    <n v="0"/>
    <m/>
    <n v="0"/>
    <x v="2"/>
    <x v="1"/>
    <x v="1"/>
  </r>
  <r>
    <s v="SAO HOA"/>
    <s v="VIETCOMBANK - BA DINH"/>
    <s v="1011456868"/>
    <x v="0"/>
    <s v="USD"/>
    <e v="#N/A"/>
    <e v="#N/A"/>
    <n v="0"/>
    <n v="0"/>
    <n v="0"/>
    <n v="0"/>
    <n v="0"/>
    <e v="#N/A"/>
    <e v="#N/A"/>
    <n v="0"/>
    <n v="-611.69999999999993"/>
    <n v="611.69999999999993"/>
    <n v="0"/>
    <n v="2.2000000000000002"/>
    <n v="609.49999999999989"/>
    <m/>
    <n v="609.49999999999989"/>
    <x v="2"/>
    <x v="1"/>
    <x v="1"/>
  </r>
  <r>
    <s v="SAO HOA"/>
    <s v="MB - BAC SAI GON"/>
    <s v="0001574304502"/>
    <x v="0"/>
    <s v="VND"/>
    <e v="#N/A"/>
    <e v="#N/A"/>
    <n v="7956322"/>
    <n v="0"/>
    <n v="0"/>
    <n v="0"/>
    <n v="7956322"/>
    <e v="#N/A"/>
    <e v="#N/A"/>
    <n v="0"/>
    <n v="0"/>
    <n v="0"/>
    <n v="0"/>
    <n v="0"/>
    <n v="0"/>
    <m/>
    <n v="0"/>
    <x v="2"/>
    <x v="9"/>
    <x v="15"/>
  </r>
  <r>
    <s v="SAO HOA"/>
    <s v="MB - BAC SAI GON"/>
    <s v="0000123466621"/>
    <x v="0"/>
    <s v="USD"/>
    <e v="#N/A"/>
    <e v="#N/A"/>
    <n v="0"/>
    <n v="0"/>
    <n v="0"/>
    <n v="0"/>
    <n v="0"/>
    <e v="#N/A"/>
    <e v="#N/A"/>
    <n v="0"/>
    <n v="-90"/>
    <n v="90"/>
    <n v="0"/>
    <n v="0"/>
    <n v="90"/>
    <m/>
    <n v="90"/>
    <x v="2"/>
    <x v="9"/>
    <x v="15"/>
  </r>
  <r>
    <s v="SAO HOA"/>
    <s v="OCB - BINH DUONG"/>
    <s v="0010108000006789"/>
    <x v="0"/>
    <s v="VND"/>
    <e v="#N/A"/>
    <e v="#N/A"/>
    <n v="56798256"/>
    <n v="0"/>
    <n v="0"/>
    <n v="0"/>
    <n v="56798256"/>
    <e v="#N/A"/>
    <e v="#N/A"/>
    <n v="0"/>
    <n v="0"/>
    <n v="0"/>
    <n v="0"/>
    <n v="0"/>
    <n v="0"/>
    <m/>
    <n v="0"/>
    <x v="2"/>
    <x v="6"/>
    <x v="10"/>
  </r>
  <r>
    <s v="SAO HOA"/>
    <s v="OCB - BINH DUONG"/>
    <s v="0010101200006789"/>
    <x v="0"/>
    <s v="USD"/>
    <m/>
    <m/>
    <n v="0"/>
    <n v="0"/>
    <n v="0"/>
    <n v="0"/>
    <n v="0"/>
    <e v="#N/A"/>
    <e v="#N/A"/>
    <n v="0"/>
    <n v="-100"/>
    <n v="100"/>
    <n v="0"/>
    <n v="0"/>
    <n v="100"/>
    <e v="#N/A"/>
    <e v="#N/A"/>
    <x v="2"/>
    <x v="6"/>
    <x v="10"/>
  </r>
  <r>
    <s v="SAO HOA"/>
    <s v="VIB - HOI SO"/>
    <s v="008735931"/>
    <x v="0"/>
    <s v="VND"/>
    <e v="#N/A"/>
    <e v="#N/A"/>
    <n v="187383361"/>
    <n v="0"/>
    <n v="0"/>
    <n v="0"/>
    <n v="187383361"/>
    <e v="#N/A"/>
    <e v="#N/A"/>
    <n v="0"/>
    <n v="0"/>
    <n v="0"/>
    <n v="0"/>
    <n v="0"/>
    <n v="0"/>
    <m/>
    <n v="0"/>
    <x v="2"/>
    <x v="4"/>
    <x v="8"/>
  </r>
  <r>
    <s v="SAO HOA"/>
    <s v="VIB - HOI SO"/>
    <s v="008969251"/>
    <x v="0"/>
    <s v="USD"/>
    <m/>
    <m/>
    <n v="0"/>
    <n v="0"/>
    <n v="0"/>
    <n v="0"/>
    <n v="0"/>
    <e v="#N/A"/>
    <e v="#N/A"/>
    <n v="0"/>
    <n v="-100"/>
    <n v="100"/>
    <n v="0"/>
    <n v="0"/>
    <n v="100"/>
    <e v="#N/A"/>
    <e v="#N/A"/>
    <x v="2"/>
    <x v="4"/>
    <x v="8"/>
  </r>
  <r>
    <s v="SAO HOA"/>
    <s v="BIDV - THANH XUAN"/>
    <s v="2221578686"/>
    <x v="0"/>
    <s v="VND"/>
    <m/>
    <m/>
    <n v="250822489"/>
    <n v="0"/>
    <n v="0"/>
    <n v="0"/>
    <n v="250822489"/>
    <e v="#N/A"/>
    <e v="#N/A"/>
    <n v="0"/>
    <n v="0"/>
    <n v="0"/>
    <n v="0"/>
    <n v="0"/>
    <n v="0"/>
    <e v="#N/A"/>
    <e v="#N/A"/>
    <x v="2"/>
    <x v="0"/>
    <x v="0"/>
  </r>
  <r>
    <s v="SAO HOA"/>
    <s v="BIDV - THANH XUAN"/>
    <s v="2229886688"/>
    <x v="0"/>
    <s v="USD"/>
    <e v="#N/A"/>
    <e v="#N/A"/>
    <n v="0"/>
    <n v="0"/>
    <n v="0"/>
    <n v="0"/>
    <n v="0"/>
    <e v="#N/A"/>
    <e v="#N/A"/>
    <n v="0"/>
    <n v="-220.41000000000003"/>
    <n v="220.41000000000003"/>
    <n v="0"/>
    <n v="0"/>
    <n v="220.41000000000003"/>
    <m/>
    <n v="220.41000000000003"/>
    <x v="2"/>
    <x v="0"/>
    <x v="0"/>
  </r>
  <r>
    <s v="SAO HOA"/>
    <s v="BIDV - THANH XUAN"/>
    <s v="22210377686688"/>
    <x v="3"/>
    <s v="USD"/>
    <m/>
    <m/>
    <n v="0"/>
    <n v="0"/>
    <n v="0"/>
    <n v="0"/>
    <n v="0"/>
    <e v="#N/A"/>
    <e v="#N/A"/>
    <n v="0"/>
    <n v="0"/>
    <n v="0"/>
    <n v="0"/>
    <n v="0"/>
    <n v="0"/>
    <e v="#N/A"/>
    <e v="#N/A"/>
    <x v="2"/>
    <x v="0"/>
    <x v="0"/>
  </r>
  <r>
    <s v="SAO HOA"/>
    <s v="ACB - HCM"/>
    <s v="92776068"/>
    <x v="0"/>
    <s v="VND"/>
    <e v="#N/A"/>
    <e v="#N/A"/>
    <n v="51756407"/>
    <n v="0"/>
    <n v="0"/>
    <n v="0"/>
    <n v="51756407"/>
    <e v="#N/A"/>
    <e v="#N/A"/>
    <n v="0"/>
    <n v="0"/>
    <n v="0"/>
    <n v="0"/>
    <n v="0"/>
    <n v="0"/>
    <m/>
    <n v="0"/>
    <x v="2"/>
    <x v="7"/>
    <x v="11"/>
  </r>
  <r>
    <s v="SAO HOA"/>
    <s v="ACB - HCM"/>
    <s v="92776088"/>
    <x v="0"/>
    <s v="USD"/>
    <m/>
    <m/>
    <n v="0"/>
    <n v="0"/>
    <n v="0"/>
    <n v="0"/>
    <n v="0"/>
    <e v="#N/A"/>
    <e v="#N/A"/>
    <n v="0"/>
    <n v="0"/>
    <n v="0"/>
    <n v="0"/>
    <n v="0"/>
    <n v="0"/>
    <e v="#N/A"/>
    <e v="#N/A"/>
    <x v="2"/>
    <x v="7"/>
    <x v="11"/>
  </r>
  <r>
    <s v="BAU BANG 3"/>
    <s v="VIETINBANK - BINH DUONG"/>
    <s v="118002867617"/>
    <x v="0"/>
    <s v="VND"/>
    <e v="#N/A"/>
    <e v="#N/A"/>
    <n v="49298711"/>
    <n v="0"/>
    <n v="0"/>
    <n v="0"/>
    <n v="49298711"/>
    <e v="#N/A"/>
    <e v="#N/A"/>
    <n v="0"/>
    <n v="0"/>
    <n v="0"/>
    <n v="0"/>
    <n v="0"/>
    <n v="0"/>
    <m/>
    <n v="0"/>
    <x v="1"/>
    <x v="2"/>
    <x v="4"/>
  </r>
  <r>
    <s v="BAU BANG 3"/>
    <s v="VIETINBANK - BINH DUONG"/>
    <s v="117002867618"/>
    <x v="0"/>
    <s v="USD"/>
    <m/>
    <m/>
    <n v="0"/>
    <n v="0"/>
    <n v="0"/>
    <n v="0"/>
    <n v="0"/>
    <e v="#N/A"/>
    <e v="#N/A"/>
    <n v="0"/>
    <n v="0"/>
    <n v="0"/>
    <n v="0"/>
    <n v="0"/>
    <n v="0"/>
    <e v="#N/A"/>
    <e v="#N/A"/>
    <x v="1"/>
    <x v="2"/>
    <x v="4"/>
  </r>
  <r>
    <s v="BWID Tan Phu Trung"/>
    <s v="VIETINBANK - TIEN SON"/>
    <s v="110610727979"/>
    <x v="0"/>
    <s v="VND"/>
    <e v="#N/A"/>
    <e v="#N/A"/>
    <n v="8038839431"/>
    <n v="11978243455"/>
    <n v="1025389968"/>
    <n v="10952853487"/>
    <n v="18991692918"/>
    <e v="#N/A"/>
    <e v="#N/A"/>
    <n v="0"/>
    <n v="0"/>
    <n v="0"/>
    <n v="0"/>
    <n v="0"/>
    <n v="0"/>
    <m/>
    <n v="0"/>
    <x v="1"/>
    <x v="2"/>
    <x v="3"/>
  </r>
  <r>
    <s v="BAU BANG 4"/>
    <s v="VIETINBANK - BINH DUONG"/>
    <s v="116002867621"/>
    <x v="0"/>
    <s v="VND"/>
    <m/>
    <m/>
    <n v="11336697"/>
    <n v="0"/>
    <n v="0"/>
    <n v="0"/>
    <n v="11336697"/>
    <e v="#N/A"/>
    <e v="#N/A"/>
    <n v="0"/>
    <n v="0"/>
    <n v="0"/>
    <n v="0"/>
    <n v="0"/>
    <n v="0"/>
    <e v="#N/A"/>
    <e v="#N/A"/>
    <x v="1"/>
    <x v="2"/>
    <x v="4"/>
  </r>
  <r>
    <s v="BAU BANG 4"/>
    <s v="VIETINBANK - BINH DUONG"/>
    <s v="115002867622"/>
    <x v="0"/>
    <s v="USD"/>
    <m/>
    <m/>
    <n v="0"/>
    <n v="0"/>
    <n v="0"/>
    <n v="0"/>
    <n v="0"/>
    <e v="#N/A"/>
    <e v="#N/A"/>
    <n v="0"/>
    <n v="0"/>
    <n v="0"/>
    <n v="0"/>
    <n v="0"/>
    <n v="0"/>
    <e v="#N/A"/>
    <e v="#N/A"/>
    <x v="1"/>
    <x v="2"/>
    <x v="4"/>
  </r>
  <r>
    <s v="SONGTHAN LID"/>
    <s v="VIETINBANK - DONG SAI GON"/>
    <s v="112002807481"/>
    <x v="0"/>
    <s v="VND"/>
    <e v="#N/A"/>
    <e v="#N/A"/>
    <n v="7611978499"/>
    <n v="0"/>
    <n v="84006720"/>
    <n v="-84006720"/>
    <n v="7527971779"/>
    <e v="#N/A"/>
    <e v="#N/A"/>
    <n v="0"/>
    <n v="0"/>
    <n v="0"/>
    <n v="0"/>
    <n v="0"/>
    <n v="0"/>
    <m/>
    <n v="0"/>
    <x v="1"/>
    <x v="2"/>
    <x v="5"/>
  </r>
  <r>
    <s v="SONGTHAN LID"/>
    <s v="VIETINBANK - DONG SAI GON"/>
    <s v="110002807483"/>
    <x v="0"/>
    <s v="USD"/>
    <m/>
    <m/>
    <n v="0"/>
    <n v="0"/>
    <n v="0"/>
    <n v="0"/>
    <n v="0"/>
    <e v="#N/A"/>
    <e v="#N/A"/>
    <n v="0"/>
    <n v="0"/>
    <n v="0"/>
    <n v="0"/>
    <n v="0"/>
    <n v="0"/>
    <e v="#N/A"/>
    <e v="#N/A"/>
    <x v="1"/>
    <x v="2"/>
    <x v="5"/>
  </r>
  <r>
    <s v="BW HAI AN"/>
    <s v="BIDV - THANH XUAN"/>
    <s v="2220131688"/>
    <x v="0"/>
    <s v="VND"/>
    <m/>
    <m/>
    <n v="3131750458"/>
    <n v="6199624800"/>
    <n v="356629855"/>
    <n v="5842994945"/>
    <n v="8974745403"/>
    <e v="#N/A"/>
    <e v="#N/A"/>
    <n v="0"/>
    <n v="0"/>
    <n v="0"/>
    <n v="0"/>
    <n v="0"/>
    <n v="0"/>
    <e v="#N/A"/>
    <e v="#N/A"/>
    <x v="1"/>
    <x v="0"/>
    <x v="0"/>
  </r>
  <r>
    <s v="BW HAI AN"/>
    <s v="BIDV - THANH XUAN"/>
    <s v="22210001486901"/>
    <x v="2"/>
    <s v="VND"/>
    <e v="#N/A"/>
    <e v="#N/A"/>
    <n v="2000000000"/>
    <n v="0"/>
    <n v="0"/>
    <n v="0"/>
    <n v="2000000000"/>
    <e v="#N/A"/>
    <e v="#N/A"/>
    <n v="0"/>
    <n v="0"/>
    <n v="0"/>
    <n v="0"/>
    <n v="0"/>
    <n v="0"/>
    <m/>
    <n v="0"/>
    <x v="1"/>
    <x v="0"/>
    <x v="0"/>
  </r>
  <r>
    <s v="BW HAI AN"/>
    <s v="BIDV - THANH XUAN"/>
    <s v="810009385180"/>
    <x v="2"/>
    <s v="VND"/>
    <e v="#N/A"/>
    <e v="#N/A"/>
    <n v="0"/>
    <n v="0"/>
    <n v="0"/>
    <n v="0"/>
    <n v="0"/>
    <e v="#N/A"/>
    <e v="#N/A"/>
    <n v="0"/>
    <n v="0"/>
    <n v="0"/>
    <n v="0"/>
    <n v="0"/>
    <n v="0"/>
    <m/>
    <n v="0"/>
    <x v="1"/>
    <x v="0"/>
    <x v="0"/>
  </r>
  <r>
    <s v="SPV4A"/>
    <s v="VIETINBANK - TIEN SON"/>
    <s v="112644826868"/>
    <x v="0"/>
    <s v="VND"/>
    <e v="#N/A"/>
    <e v="#N/A"/>
    <n v="40131219"/>
    <n v="0"/>
    <n v="0"/>
    <n v="0"/>
    <n v="40131219"/>
    <e v="#N/A"/>
    <e v="#N/A"/>
    <n v="0"/>
    <n v="0"/>
    <n v="0"/>
    <n v="0"/>
    <n v="0"/>
    <n v="0"/>
    <m/>
    <n v="0"/>
    <x v="1"/>
    <x v="2"/>
    <x v="3"/>
  </r>
  <r>
    <s v="SPV4A"/>
    <s v="VIETINBANK - TIEN SON"/>
    <s v="112642446868"/>
    <x v="0"/>
    <s v="USD"/>
    <m/>
    <m/>
    <n v="0"/>
    <n v="0"/>
    <n v="0"/>
    <n v="0"/>
    <n v="0"/>
    <e v="#N/A"/>
    <e v="#N/A"/>
    <n v="0"/>
    <n v="0"/>
    <n v="0"/>
    <n v="0"/>
    <n v="0"/>
    <n v="0"/>
    <e v="#N/A"/>
    <e v="#N/A"/>
    <x v="1"/>
    <x v="2"/>
    <x v="3"/>
  </r>
  <r>
    <s v="SPV4A"/>
    <s v="OCB - BINH DUONG"/>
    <s v="0010100020695008"/>
    <x v="0"/>
    <s v="VND"/>
    <e v="#N/A"/>
    <e v="#N/A"/>
    <n v="301622"/>
    <n v="0"/>
    <n v="55000"/>
    <n v="-55000"/>
    <n v="246622"/>
    <e v="#N/A"/>
    <e v="#N/A"/>
    <n v="0"/>
    <n v="0"/>
    <n v="0"/>
    <n v="0"/>
    <n v="0"/>
    <n v="0"/>
    <m/>
    <n v="0"/>
    <x v="1"/>
    <x v="6"/>
    <x v="10"/>
  </r>
  <r>
    <s v="SPV4B"/>
    <s v="VIETINBANK - TIEN SON"/>
    <s v="110624896789"/>
    <x v="0"/>
    <s v="VND"/>
    <m/>
    <m/>
    <n v="24105056"/>
    <n v="0"/>
    <n v="0"/>
    <n v="0"/>
    <n v="24105056"/>
    <e v="#N/A"/>
    <e v="#N/A"/>
    <n v="0"/>
    <n v="0"/>
    <n v="0"/>
    <n v="0"/>
    <n v="0"/>
    <n v="0"/>
    <e v="#N/A"/>
    <e v="#N/A"/>
    <x v="1"/>
    <x v="2"/>
    <x v="3"/>
  </r>
  <r>
    <s v="SPV4C"/>
    <s v="VIETINBANK - TIEN SON"/>
    <s v="110634678686"/>
    <x v="0"/>
    <s v="VND"/>
    <m/>
    <m/>
    <n v="31317628"/>
    <n v="0"/>
    <n v="0"/>
    <n v="0"/>
    <n v="31317628"/>
    <e v="#N/A"/>
    <e v="#N/A"/>
    <n v="0"/>
    <n v="0"/>
    <n v="0"/>
    <n v="0"/>
    <n v="0"/>
    <n v="0"/>
    <e v="#N/A"/>
    <e v="#N/A"/>
    <x v="1"/>
    <x v="2"/>
    <x v="3"/>
  </r>
  <r>
    <s v="SPV4C"/>
    <s v="VIETINBANK - TIEN SON"/>
    <s v="110640648686"/>
    <x v="0"/>
    <s v="USD"/>
    <e v="#N/A"/>
    <e v="#N/A"/>
    <n v="0"/>
    <n v="0"/>
    <n v="0"/>
    <n v="0"/>
    <n v="0"/>
    <e v="#N/A"/>
    <e v="#N/A"/>
    <n v="0"/>
    <n v="0"/>
    <n v="0"/>
    <n v="0"/>
    <n v="0"/>
    <n v="0"/>
    <m/>
    <n v="0"/>
    <x v="1"/>
    <x v="2"/>
    <x v="3"/>
  </r>
  <r>
    <s v="SPV4C"/>
    <s v="OCB - BINH DUONG"/>
    <s v="0010100020673004"/>
    <x v="0"/>
    <s v="VND"/>
    <m/>
    <m/>
    <n v="3160742"/>
    <n v="0"/>
    <n v="0"/>
    <n v="0"/>
    <n v="3160742"/>
    <e v="#N/A"/>
    <e v="#N/A"/>
    <n v="0"/>
    <n v="0"/>
    <n v="0"/>
    <n v="0"/>
    <n v="0"/>
    <n v="0"/>
    <e v="#N/A"/>
    <e v="#N/A"/>
    <x v="1"/>
    <x v="6"/>
    <x v="10"/>
  </r>
  <r>
    <s v="SPV4D"/>
    <s v="VIETINBANK - TIEN SON"/>
    <s v="114604469999"/>
    <x v="0"/>
    <s v="VND"/>
    <e v="#N/A"/>
    <e v="#N/A"/>
    <n v="18413384"/>
    <n v="0"/>
    <n v="0"/>
    <n v="0"/>
    <n v="18413384"/>
    <e v="#N/A"/>
    <e v="#N/A"/>
    <n v="0"/>
    <n v="0"/>
    <n v="0"/>
    <n v="0"/>
    <n v="0"/>
    <n v="0"/>
    <m/>
    <n v="0"/>
    <x v="1"/>
    <x v="2"/>
    <x v="3"/>
  </r>
  <r>
    <s v="SPV4D"/>
    <s v="VIETINBANK - TIEN SON"/>
    <s v="113641449999"/>
    <x v="0"/>
    <s v="USD"/>
    <m/>
    <m/>
    <n v="0"/>
    <n v="0"/>
    <n v="0"/>
    <n v="0"/>
    <n v="0"/>
    <e v="#N/A"/>
    <e v="#N/A"/>
    <n v="0"/>
    <n v="-179.16"/>
    <n v="179.16"/>
    <n v="0"/>
    <n v="0"/>
    <n v="179.16"/>
    <e v="#N/A"/>
    <e v="#N/A"/>
    <x v="1"/>
    <x v="2"/>
    <x v="3"/>
  </r>
  <r>
    <s v="SPV4D"/>
    <s v="VIETINBANK - TIEN SON"/>
    <s v="116002905229"/>
    <x v="1"/>
    <s v="USD"/>
    <m/>
    <m/>
    <n v="0"/>
    <n v="0"/>
    <n v="0"/>
    <n v="0"/>
    <n v="0"/>
    <e v="#N/A"/>
    <e v="#N/A"/>
    <n v="0"/>
    <n v="0"/>
    <n v="0"/>
    <n v="0"/>
    <n v="0"/>
    <n v="0"/>
    <e v="#N/A"/>
    <e v="#N/A"/>
    <x v="1"/>
    <x v="2"/>
    <x v="3"/>
  </r>
  <r>
    <s v="SPV4E"/>
    <s v="VIETINBANK - TIEN SON"/>
    <s v="110619957777"/>
    <x v="0"/>
    <s v="VND"/>
    <e v="#N/A"/>
    <e v="#N/A"/>
    <n v="21424932"/>
    <n v="0"/>
    <n v="0"/>
    <n v="0"/>
    <n v="21424932"/>
    <e v="#N/A"/>
    <e v="#N/A"/>
    <n v="0"/>
    <n v="0"/>
    <n v="0"/>
    <n v="0"/>
    <n v="0"/>
    <n v="0"/>
    <m/>
    <n v="0"/>
    <x v="1"/>
    <x v="2"/>
    <x v="3"/>
  </r>
  <r>
    <s v="SPV4E"/>
    <s v="VIETINBANK - TIEN SON"/>
    <s v="110622067777"/>
    <x v="0"/>
    <s v="USD"/>
    <m/>
    <m/>
    <n v="0"/>
    <n v="0"/>
    <n v="0"/>
    <n v="0"/>
    <n v="0"/>
    <e v="#N/A"/>
    <e v="#N/A"/>
    <n v="0"/>
    <n v="-176.16"/>
    <n v="176.16"/>
    <n v="0"/>
    <n v="0"/>
    <n v="176.16"/>
    <e v="#N/A"/>
    <e v="#N/A"/>
    <x v="1"/>
    <x v="2"/>
    <x v="3"/>
  </r>
  <r>
    <s v="SPV4E"/>
    <s v="VIETINBANK - TIEN SON"/>
    <s v="117002905230"/>
    <x v="1"/>
    <s v="USD"/>
    <m/>
    <m/>
    <n v="0"/>
    <n v="0"/>
    <n v="0"/>
    <n v="0"/>
    <n v="0"/>
    <e v="#N/A"/>
    <e v="#N/A"/>
    <n v="0"/>
    <n v="0"/>
    <n v="0"/>
    <n v="0"/>
    <n v="0"/>
    <n v="0"/>
    <e v="#N/A"/>
    <e v="#N/A"/>
    <x v="1"/>
    <x v="2"/>
    <x v="3"/>
  </r>
  <r>
    <s v="SPV5A"/>
    <s v="VIETINBANK - TIEN SON"/>
    <s v="112609476868"/>
    <x v="0"/>
    <s v="VND"/>
    <e v="#N/A"/>
    <e v="#N/A"/>
    <n v="61945528"/>
    <n v="0"/>
    <n v="0"/>
    <n v="0"/>
    <n v="61945528"/>
    <e v="#N/A"/>
    <e v="#N/A"/>
    <n v="0"/>
    <n v="0"/>
    <n v="0"/>
    <n v="0"/>
    <n v="0"/>
    <n v="0"/>
    <m/>
    <n v="0"/>
    <x v="1"/>
    <x v="2"/>
    <x v="3"/>
  </r>
  <r>
    <s v="SPV5A"/>
    <s v="VIETINBANK - TIEN SON"/>
    <s v="112624546868"/>
    <x v="0"/>
    <s v="USD"/>
    <m/>
    <m/>
    <n v="0"/>
    <n v="0"/>
    <n v="0"/>
    <n v="0"/>
    <n v="0"/>
    <e v="#N/A"/>
    <e v="#N/A"/>
    <n v="0"/>
    <n v="0"/>
    <n v="0"/>
    <n v="0"/>
    <n v="0"/>
    <n v="0"/>
    <e v="#N/A"/>
    <e v="#N/A"/>
    <x v="1"/>
    <x v="2"/>
    <x v="3"/>
  </r>
  <r>
    <s v="SPV5C"/>
    <s v="VIETINBANK - TIEN SON"/>
    <s v="118604588998"/>
    <x v="0"/>
    <s v="VND"/>
    <e v="#N/A"/>
    <e v="#N/A"/>
    <n v="94522182"/>
    <n v="0"/>
    <n v="0"/>
    <n v="0"/>
    <n v="94522182"/>
    <e v="#N/A"/>
    <e v="#N/A"/>
    <n v="0"/>
    <n v="0"/>
    <n v="0"/>
    <n v="0"/>
    <n v="0"/>
    <n v="0"/>
    <m/>
    <n v="0"/>
    <x v="1"/>
    <x v="2"/>
    <x v="3"/>
  </r>
  <r>
    <s v="SPV5C"/>
    <s v="VIETINBANK - TIEN SON"/>
    <s v="116604648998"/>
    <x v="0"/>
    <s v="USD"/>
    <m/>
    <m/>
    <n v="0"/>
    <n v="0"/>
    <n v="0"/>
    <n v="0"/>
    <n v="0"/>
    <e v="#N/A"/>
    <e v="#N/A"/>
    <n v="0"/>
    <n v="0"/>
    <n v="0"/>
    <n v="0"/>
    <n v="0"/>
    <n v="0"/>
    <e v="#N/A"/>
    <e v="#N/A"/>
    <x v="1"/>
    <x v="2"/>
    <x v="3"/>
  </r>
  <r>
    <s v="SPV5C"/>
    <s v="OCB - BINH DUONG"/>
    <s v="0010100021271007"/>
    <x v="0"/>
    <s v="VND"/>
    <e v="#N/A"/>
    <e v="#N/A"/>
    <n v="3534885"/>
    <n v="0"/>
    <n v="0"/>
    <n v="0"/>
    <n v="3534885"/>
    <e v="#N/A"/>
    <e v="#N/A"/>
    <n v="0"/>
    <n v="0"/>
    <n v="0"/>
    <n v="0"/>
    <n v="0"/>
    <n v="0"/>
    <m/>
    <n v="0"/>
    <x v="1"/>
    <x v="6"/>
    <x v="10"/>
  </r>
  <r>
    <s v="SPV5B"/>
    <s v="VIETINBANK - TIEN SON"/>
    <s v="110618485555"/>
    <x v="0"/>
    <s v="VND"/>
    <e v="#N/A"/>
    <e v="#N/A"/>
    <n v="749014157"/>
    <n v="0"/>
    <n v="0"/>
    <n v="0"/>
    <n v="749014157"/>
    <e v="#N/A"/>
    <e v="#N/A"/>
    <n v="0"/>
    <n v="0"/>
    <n v="0"/>
    <n v="0"/>
    <n v="0"/>
    <n v="0"/>
    <m/>
    <n v="0"/>
    <x v="1"/>
    <x v="2"/>
    <x v="3"/>
  </r>
  <r>
    <s v="SPV5B"/>
    <s v="VIETINBANK - TIEN SON"/>
    <s v="110625945555"/>
    <x v="0"/>
    <s v="USD"/>
    <e v="#N/A"/>
    <e v="#N/A"/>
    <n v="0"/>
    <n v="0"/>
    <n v="0"/>
    <n v="0"/>
    <n v="0"/>
    <e v="#N/A"/>
    <e v="#N/A"/>
    <n v="0"/>
    <n v="-338.72"/>
    <n v="338.72"/>
    <n v="0"/>
    <n v="0"/>
    <n v="338.72"/>
    <m/>
    <n v="338.72"/>
    <x v="1"/>
    <x v="2"/>
    <x v="3"/>
  </r>
  <r>
    <s v="SPV5B"/>
    <s v="SINOPAC"/>
    <s v="07000800107516"/>
    <x v="0"/>
    <s v="VND"/>
    <e v="#N/A"/>
    <e v="#N/A"/>
    <n v="63934554"/>
    <n v="0"/>
    <n v="0"/>
    <n v="0"/>
    <n v="63934554"/>
    <e v="#N/A"/>
    <e v="#N/A"/>
    <n v="0"/>
    <n v="0"/>
    <n v="0"/>
    <n v="0"/>
    <n v="0"/>
    <n v="0"/>
    <m/>
    <n v="0"/>
    <x v="1"/>
    <x v="8"/>
    <x v="12"/>
  </r>
  <r>
    <s v="SPV5B"/>
    <s v="SINOPAC"/>
    <s v="07000800107516_1"/>
    <x v="0"/>
    <s v="USD"/>
    <e v="#N/A"/>
    <e v="#N/A"/>
    <n v="0"/>
    <n v="0"/>
    <n v="0"/>
    <n v="0"/>
    <n v="0"/>
    <e v="#N/A"/>
    <e v="#N/A"/>
    <n v="0"/>
    <n v="0"/>
    <n v="0"/>
    <n v="0"/>
    <n v="0"/>
    <n v="0"/>
    <m/>
    <n v="0"/>
    <x v="1"/>
    <x v="8"/>
    <x v="12"/>
  </r>
  <r>
    <s v="SPV5B"/>
    <s v="SINOPAC"/>
    <s v="07000800901715"/>
    <x v="3"/>
    <s v="USD"/>
    <m/>
    <m/>
    <n v="0"/>
    <n v="0"/>
    <n v="0"/>
    <n v="0"/>
    <n v="0"/>
    <e v="#N/A"/>
    <e v="#N/A"/>
    <n v="0"/>
    <n v="0"/>
    <n v="0"/>
    <n v="0"/>
    <n v="0"/>
    <n v="0"/>
    <e v="#N/A"/>
    <e v="#N/A"/>
    <x v="1"/>
    <x v="8"/>
    <x v="12"/>
  </r>
  <r>
    <s v="SPV5B"/>
    <s v="SINOPAC"/>
    <s v="07000800107508"/>
    <x v="4"/>
    <s v="USD"/>
    <m/>
    <m/>
    <n v="0"/>
    <n v="0"/>
    <n v="0"/>
    <n v="0"/>
    <n v="0"/>
    <e v="#N/A"/>
    <e v="#N/A"/>
    <n v="0"/>
    <n v="0"/>
    <n v="0"/>
    <n v="0"/>
    <n v="0"/>
    <n v="0"/>
    <e v="#N/A"/>
    <e v="#N/A"/>
    <x v="1"/>
    <x v="8"/>
    <x v="12"/>
  </r>
  <r>
    <s v="SPV5B"/>
    <s v="SINOPAC"/>
    <s v="07000800106431"/>
    <x v="4"/>
    <s v="USD"/>
    <m/>
    <m/>
    <n v="0"/>
    <n v="0"/>
    <n v="0"/>
    <n v="0"/>
    <n v="0"/>
    <e v="#N/A"/>
    <e v="#N/A"/>
    <n v="0"/>
    <n v="0"/>
    <n v="0"/>
    <n v="0"/>
    <n v="0"/>
    <n v="0"/>
    <e v="#N/A"/>
    <e v="#N/A"/>
    <x v="1"/>
    <x v="8"/>
    <x v="12"/>
  </r>
  <r>
    <s v="SPV5D"/>
    <s v="VIETINBANK - TIEN SON"/>
    <s v="110624787777"/>
    <x v="0"/>
    <s v="VND"/>
    <e v="#N/A"/>
    <e v="#N/A"/>
    <n v="5986577"/>
    <n v="0"/>
    <n v="0"/>
    <n v="0"/>
    <n v="5986577"/>
    <e v="#N/A"/>
    <e v="#N/A"/>
    <n v="0"/>
    <n v="0"/>
    <n v="0"/>
    <n v="0"/>
    <n v="0"/>
    <n v="0"/>
    <m/>
    <n v="0"/>
    <x v="1"/>
    <x v="2"/>
    <x v="3"/>
  </r>
  <r>
    <s v="SPV5D"/>
    <s v="VIETINBANK - TIEN SON"/>
    <s v="110625747777"/>
    <x v="0"/>
    <s v="USD"/>
    <e v="#N/A"/>
    <e v="#N/A"/>
    <n v="0"/>
    <n v="0"/>
    <n v="0"/>
    <n v="0"/>
    <n v="0"/>
    <e v="#N/A"/>
    <e v="#N/A"/>
    <n v="0"/>
    <n v="0"/>
    <n v="0"/>
    <n v="0"/>
    <n v="0"/>
    <n v="0"/>
    <m/>
    <n v="0"/>
    <x v="1"/>
    <x v="2"/>
    <x v="3"/>
  </r>
  <r>
    <s v="SPV5E"/>
    <s v="VIETINBANK - TIEN SON"/>
    <s v="110619446688"/>
    <x v="0"/>
    <s v="VND"/>
    <m/>
    <m/>
    <n v="908756"/>
    <n v="235043837"/>
    <n v="0"/>
    <n v="235043837"/>
    <n v="235952593"/>
    <e v="#N/A"/>
    <e v="#N/A"/>
    <n v="0"/>
    <n v="0"/>
    <n v="0"/>
    <n v="0"/>
    <n v="0"/>
    <n v="0"/>
    <e v="#N/A"/>
    <e v="#N/A"/>
    <x v="1"/>
    <x v="2"/>
    <x v="3"/>
  </r>
  <r>
    <s v="SPV5E"/>
    <s v="VIETINBANK - TIEN SON"/>
    <s v="110616846688"/>
    <x v="0"/>
    <s v="USD"/>
    <m/>
    <m/>
    <n v="0"/>
    <n v="0"/>
    <n v="0"/>
    <n v="0"/>
    <n v="0"/>
    <e v="#N/A"/>
    <e v="#N/A"/>
    <n v="0"/>
    <n v="0"/>
    <n v="0"/>
    <n v="0"/>
    <n v="0"/>
    <n v="0"/>
    <e v="#N/A"/>
    <e v="#N/A"/>
    <x v="1"/>
    <x v="2"/>
    <x v="3"/>
  </r>
  <r>
    <s v="PHUOC LOI"/>
    <s v="VIETCOMBANK - HCM"/>
    <s v="1021014947"/>
    <x v="0"/>
    <s v="VND"/>
    <e v="#N/A"/>
    <e v="#N/A"/>
    <n v="3028025"/>
    <n v="0"/>
    <n v="0"/>
    <n v="0"/>
    <n v="3028025"/>
    <e v="#N/A"/>
    <e v="#N/A"/>
    <n v="0"/>
    <n v="0"/>
    <n v="0"/>
    <n v="0"/>
    <n v="0"/>
    <n v="0"/>
    <m/>
    <n v="0"/>
    <x v="1"/>
    <x v="1"/>
    <x v="2"/>
  </r>
  <r>
    <s v="PHUOC LOI"/>
    <s v="VIETCOMBANK - HCM"/>
    <s v="1021015062"/>
    <x v="0"/>
    <s v="USD"/>
    <e v="#N/A"/>
    <e v="#N/A"/>
    <n v="0"/>
    <n v="0"/>
    <n v="0"/>
    <n v="0"/>
    <n v="0"/>
    <e v="#N/A"/>
    <e v="#N/A"/>
    <n v="0"/>
    <n v="0"/>
    <n v="0"/>
    <n v="0"/>
    <n v="0"/>
    <n v="0"/>
    <m/>
    <n v="0"/>
    <x v="1"/>
    <x v="1"/>
    <x v="2"/>
  </r>
  <r>
    <s v="GIA TAN"/>
    <s v="VIETINBANK - TIEN SON"/>
    <s v="113002882196"/>
    <x v="0"/>
    <s v="VND"/>
    <e v="#N/A"/>
    <e v="#N/A"/>
    <n v="8111623"/>
    <n v="0"/>
    <n v="0"/>
    <n v="0"/>
    <n v="8111623"/>
    <e v="#N/A"/>
    <e v="#N/A"/>
    <n v="0"/>
    <n v="0"/>
    <n v="0"/>
    <n v="0"/>
    <n v="0"/>
    <n v="0"/>
    <m/>
    <n v="0"/>
    <x v="1"/>
    <x v="2"/>
    <x v="3"/>
  </r>
  <r>
    <s v="GIA TAN"/>
    <s v="VIETINBANK - TIEN SON"/>
    <s v="111002882198"/>
    <x v="0"/>
    <s v="USD"/>
    <e v="#N/A"/>
    <e v="#N/A"/>
    <n v="0"/>
    <n v="0"/>
    <n v="0"/>
    <n v="0"/>
    <n v="0"/>
    <e v="#N/A"/>
    <e v="#N/A"/>
    <n v="0"/>
    <n v="0"/>
    <n v="0"/>
    <n v="0"/>
    <n v="0"/>
    <n v="0"/>
    <m/>
    <n v="0"/>
    <x v="1"/>
    <x v="2"/>
    <x v="3"/>
  </r>
  <r>
    <s v="BCI JSC"/>
    <s v="VIETINBANK - TIEN SON"/>
    <s v="114622278888"/>
    <x v="0"/>
    <s v="VND"/>
    <e v="#N/A"/>
    <e v="#N/A"/>
    <n v="2622256948"/>
    <n v="14852885444"/>
    <n v="630789403"/>
    <n v="14222096041"/>
    <n v="16844352989"/>
    <e v="#N/A"/>
    <e v="#N/A"/>
    <n v="0"/>
    <n v="0"/>
    <n v="0"/>
    <n v="0"/>
    <n v="0"/>
    <n v="0"/>
    <m/>
    <n v="0"/>
    <x v="1"/>
    <x v="2"/>
    <x v="3"/>
  </r>
  <r>
    <s v="BCI JSC"/>
    <s v="VIETINBANK - TIEN SON"/>
    <s v="111641796789"/>
    <x v="0"/>
    <s v="USD"/>
    <e v="#N/A"/>
    <e v="#N/A"/>
    <n v="0"/>
    <n v="0"/>
    <n v="0"/>
    <n v="0"/>
    <n v="0"/>
    <e v="#N/A"/>
    <e v="#N/A"/>
    <n v="0"/>
    <n v="-192.16"/>
    <n v="192.16"/>
    <n v="0"/>
    <n v="0"/>
    <n v="192.16"/>
    <m/>
    <n v="192.16"/>
    <x v="1"/>
    <x v="2"/>
    <x v="3"/>
  </r>
  <r>
    <s v="VINA PARTNERS INVESTMENT"/>
    <s v="VIETINBANK - CN1"/>
    <s v="111002902772"/>
    <x v="0"/>
    <s v="VND"/>
    <m/>
    <m/>
    <n v="3999229461"/>
    <n v="13136983431"/>
    <n v="1031453196"/>
    <n v="12105530235"/>
    <n v="16104759696"/>
    <e v="#N/A"/>
    <e v="#N/A"/>
    <n v="0"/>
    <n v="0"/>
    <n v="0"/>
    <n v="0"/>
    <n v="0"/>
    <n v="0"/>
    <e v="#N/A"/>
    <e v="#N/A"/>
    <x v="1"/>
    <x v="2"/>
    <x v="6"/>
  </r>
  <r>
    <s v="VINA PARTNERS INVESTMENT"/>
    <s v="VIETINBANK - CN1"/>
    <s v="216000297782"/>
    <x v="2"/>
    <s v="VND"/>
    <e v="#N/A"/>
    <e v="#N/A"/>
    <n v="2900000000"/>
    <n v="0"/>
    <n v="0"/>
    <n v="0"/>
    <n v="2900000000"/>
    <e v="#N/A"/>
    <e v="#N/A"/>
    <n v="0"/>
    <n v="0"/>
    <n v="0"/>
    <n v="0"/>
    <n v="0"/>
    <n v="0"/>
    <m/>
    <n v="0"/>
    <x v="1"/>
    <x v="2"/>
    <x v="6"/>
  </r>
  <r>
    <s v="HOLDCO4F"/>
    <s v="VIETINBANK - TIEN SON"/>
    <s v="114631539999"/>
    <x v="0"/>
    <s v="VND"/>
    <m/>
    <m/>
    <n v="41591554"/>
    <n v="0"/>
    <n v="0"/>
    <n v="0"/>
    <n v="41591554"/>
    <e v="#N/A"/>
    <e v="#N/A"/>
    <n v="0"/>
    <n v="0"/>
    <n v="0"/>
    <n v="0"/>
    <n v="0"/>
    <n v="0"/>
    <e v="#N/A"/>
    <e v="#N/A"/>
    <x v="1"/>
    <x v="2"/>
    <x v="3"/>
  </r>
  <r>
    <s v="HOLDCO4H"/>
    <s v="VIETINBANK - TIEN SON"/>
    <s v="114641639999"/>
    <x v="0"/>
    <s v="VND"/>
    <e v="#N/A"/>
    <e v="#N/A"/>
    <n v="37641970"/>
    <n v="0"/>
    <n v="0"/>
    <n v="0"/>
    <n v="37641970"/>
    <e v="#N/A"/>
    <e v="#N/A"/>
    <n v="0"/>
    <n v="0"/>
    <n v="0"/>
    <n v="0"/>
    <n v="0"/>
    <n v="0"/>
    <m/>
    <n v="0"/>
    <x v="1"/>
    <x v="2"/>
    <x v="3"/>
  </r>
  <r>
    <s v="HOLDCO4H"/>
    <s v="OCB - BINH DUONG"/>
    <s v="807403"/>
    <x v="0"/>
    <s v="VND"/>
    <e v="#N/A"/>
    <e v="#N/A"/>
    <n v="1058066"/>
    <n v="0"/>
    <n v="0"/>
    <n v="0"/>
    <n v="1058066"/>
    <e v="#N/A"/>
    <e v="#N/A"/>
    <n v="0"/>
    <n v="0"/>
    <n v="0"/>
    <n v="0"/>
    <n v="0"/>
    <n v="0"/>
    <m/>
    <n v="0"/>
    <x v="1"/>
    <x v="6"/>
    <x v="10"/>
  </r>
  <r>
    <s v="HOLDCO4G"/>
    <s v="VIETINBANK - TIEN SON"/>
    <s v="114634209999"/>
    <x v="0"/>
    <s v="VND"/>
    <e v="#N/A"/>
    <e v="#N/A"/>
    <n v="37984774"/>
    <n v="0"/>
    <n v="0"/>
    <n v="0"/>
    <n v="37984774"/>
    <e v="#N/A"/>
    <e v="#N/A"/>
    <n v="0"/>
    <n v="0"/>
    <n v="0"/>
    <n v="0"/>
    <n v="0"/>
    <n v="0"/>
    <m/>
    <n v="0"/>
    <x v="1"/>
    <x v="2"/>
    <x v="3"/>
  </r>
  <r>
    <s v="HOLDCO4I"/>
    <s v="VIETINBANK - TIEN SON"/>
    <s v="114632528888"/>
    <x v="0"/>
    <s v="VND"/>
    <e v="#N/A"/>
    <e v="#N/A"/>
    <n v="40631540"/>
    <n v="0"/>
    <n v="0"/>
    <n v="0"/>
    <n v="40631540"/>
    <e v="#N/A"/>
    <e v="#N/A"/>
    <n v="0"/>
    <n v="0"/>
    <n v="0"/>
    <n v="0"/>
    <n v="0"/>
    <n v="0"/>
    <m/>
    <n v="0"/>
    <x v="1"/>
    <x v="2"/>
    <x v="3"/>
  </r>
  <r>
    <s v="HOLDCO4J"/>
    <s v="VIETINBANK - TIEN SON"/>
    <s v="110616845555"/>
    <x v="0"/>
    <s v="VND"/>
    <e v="#N/A"/>
    <e v="#N/A"/>
    <n v="30069505"/>
    <n v="0"/>
    <n v="0"/>
    <n v="0"/>
    <n v="30069505"/>
    <e v="#N/A"/>
    <e v="#N/A"/>
    <n v="0"/>
    <n v="0"/>
    <n v="0"/>
    <n v="0"/>
    <n v="0"/>
    <n v="0"/>
    <m/>
    <n v="0"/>
    <x v="1"/>
    <x v="2"/>
    <x v="3"/>
  </r>
  <r>
    <s v="HOLDCO4J"/>
    <s v="OCB - BINH DUONG"/>
    <s v="160381"/>
    <x v="0"/>
    <s v="VND"/>
    <e v="#N/A"/>
    <e v="#N/A"/>
    <n v="5755553"/>
    <n v="0"/>
    <n v="0"/>
    <n v="0"/>
    <n v="5755553"/>
    <e v="#N/A"/>
    <e v="#N/A"/>
    <n v="0"/>
    <n v="0"/>
    <n v="0"/>
    <n v="0"/>
    <n v="0"/>
    <n v="0"/>
    <m/>
    <n v="0"/>
    <x v="1"/>
    <x v="6"/>
    <x v="10"/>
  </r>
  <r>
    <s v="HOLDCO5F"/>
    <s v="VIETINBANK - TIEN SON"/>
    <s v="114642159999"/>
    <x v="0"/>
    <s v="VND"/>
    <e v="#N/A"/>
    <e v="#N/A"/>
    <n v="113585674"/>
    <n v="0"/>
    <n v="0"/>
    <n v="0"/>
    <n v="113585674"/>
    <e v="#N/A"/>
    <e v="#N/A"/>
    <n v="0"/>
    <n v="0"/>
    <n v="0"/>
    <n v="0"/>
    <n v="0"/>
    <n v="0"/>
    <m/>
    <n v="0"/>
    <x v="1"/>
    <x v="2"/>
    <x v="3"/>
  </r>
  <r>
    <s v="HOLDCO5F"/>
    <s v="VIETINBANK - TIEN SON"/>
    <s v="114642459999"/>
    <x v="0"/>
    <s v="USD"/>
    <e v="#N/A"/>
    <e v="#N/A"/>
    <n v="0"/>
    <n v="0"/>
    <n v="0"/>
    <n v="0"/>
    <n v="0"/>
    <e v="#N/A"/>
    <e v="#N/A"/>
    <n v="0"/>
    <n v="0"/>
    <n v="0"/>
    <n v="0"/>
    <n v="0"/>
    <n v="0"/>
    <m/>
    <n v="0"/>
    <x v="1"/>
    <x v="2"/>
    <x v="3"/>
  </r>
  <r>
    <s v="HOLDCO5G"/>
    <s v="VIETINBANK - TIEN SON"/>
    <s v="116634859999"/>
    <x v="0"/>
    <s v="VND"/>
    <e v="#N/A"/>
    <e v="#N/A"/>
    <n v="61212617"/>
    <n v="0"/>
    <n v="0"/>
    <n v="0"/>
    <n v="61212617"/>
    <e v="#N/A"/>
    <e v="#N/A"/>
    <n v="0"/>
    <n v="0"/>
    <n v="0"/>
    <n v="0"/>
    <n v="0"/>
    <n v="0"/>
    <m/>
    <n v="0"/>
    <x v="1"/>
    <x v="2"/>
    <x v="3"/>
  </r>
  <r>
    <s v="HOLDCO5H"/>
    <s v="VIETINBANK - TIEN SON"/>
    <s v="114642759999"/>
    <x v="0"/>
    <s v="VND"/>
    <e v="#N/A"/>
    <e v="#N/A"/>
    <n v="46309101"/>
    <n v="0"/>
    <n v="0"/>
    <n v="0"/>
    <n v="46309101"/>
    <e v="#N/A"/>
    <e v="#N/A"/>
    <n v="0"/>
    <n v="0"/>
    <n v="0"/>
    <n v="0"/>
    <n v="0"/>
    <n v="0"/>
    <m/>
    <n v="0"/>
    <x v="1"/>
    <x v="2"/>
    <x v="3"/>
  </r>
  <r>
    <s v="HOLDCO5H"/>
    <s v="VIETINBANK - TIEN SON"/>
    <s v="114644239999"/>
    <x v="0"/>
    <s v="USD"/>
    <e v="#N/A"/>
    <e v="#N/A"/>
    <n v="0"/>
    <n v="0"/>
    <n v="0"/>
    <n v="0"/>
    <n v="0"/>
    <e v="#N/A"/>
    <e v="#N/A"/>
    <n v="0"/>
    <n v="0"/>
    <n v="0"/>
    <n v="0"/>
    <n v="0"/>
    <n v="0"/>
    <m/>
    <n v="0"/>
    <x v="1"/>
    <x v="2"/>
    <x v="3"/>
  </r>
  <r>
    <s v="HOLDCO5I"/>
    <s v="VIETINBANK - TIEN SON"/>
    <s v="114627628888"/>
    <x v="0"/>
    <s v="VND"/>
    <m/>
    <m/>
    <n v="58591844"/>
    <n v="0"/>
    <n v="0"/>
    <n v="0"/>
    <n v="58591844"/>
    <e v="#N/A"/>
    <e v="#N/A"/>
    <n v="0"/>
    <n v="0"/>
    <n v="0"/>
    <n v="0"/>
    <n v="0"/>
    <n v="0"/>
    <e v="#N/A"/>
    <e v="#N/A"/>
    <x v="1"/>
    <x v="2"/>
    <x v="3"/>
  </r>
  <r>
    <s v="HOLDCO5J"/>
    <s v="VIETINBANK - TIEN SON"/>
    <s v="118642359999"/>
    <x v="0"/>
    <s v="VND"/>
    <e v="#N/A"/>
    <e v="#N/A"/>
    <n v="160209154"/>
    <n v="0"/>
    <n v="0"/>
    <n v="0"/>
    <n v="160209154"/>
    <e v="#N/A"/>
    <e v="#N/A"/>
    <n v="0"/>
    <n v="0"/>
    <n v="0"/>
    <n v="0"/>
    <n v="0"/>
    <n v="0"/>
    <m/>
    <n v="0"/>
    <x v="1"/>
    <x v="2"/>
    <x v="3"/>
  </r>
  <r>
    <s v="DELIWAY"/>
    <s v="ACB - SAI GON"/>
    <s v="691668"/>
    <x v="0"/>
    <s v="VND"/>
    <m/>
    <m/>
    <n v="109485072"/>
    <n v="0"/>
    <n v="0"/>
    <n v="0"/>
    <n v="109485072"/>
    <e v="#N/A"/>
    <e v="#N/A"/>
    <n v="0"/>
    <n v="0"/>
    <n v="0"/>
    <n v="0"/>
    <n v="0"/>
    <n v="0"/>
    <e v="#N/A"/>
    <e v="#N/A"/>
    <x v="1"/>
    <x v="7"/>
    <x v="16"/>
  </r>
  <r>
    <s v="YEN PHONG"/>
    <s v="VIETINBANK - TIEN SON"/>
    <s v="114638028888"/>
    <x v="0"/>
    <s v="VND"/>
    <e v="#N/A"/>
    <e v="#N/A"/>
    <n v="2547137870"/>
    <n v="0"/>
    <n v="11722319"/>
    <n v="-11722319"/>
    <n v="2535415551"/>
    <e v="#N/A"/>
    <e v="#N/A"/>
    <n v="0"/>
    <n v="0"/>
    <n v="0"/>
    <n v="0"/>
    <n v="0"/>
    <n v="0"/>
    <m/>
    <n v="0"/>
    <x v="1"/>
    <x v="2"/>
    <x v="3"/>
  </r>
  <r>
    <s v="BAU BANG 5"/>
    <s v="VIETINBANK - BINH DUONG"/>
    <s v="112604409888"/>
    <x v="0"/>
    <s v="VND"/>
    <m/>
    <m/>
    <n v="1119391212"/>
    <n v="0"/>
    <n v="446233060"/>
    <n v="-446233060"/>
    <n v="673158152"/>
    <e v="#N/A"/>
    <e v="#N/A"/>
    <n v="0"/>
    <n v="0"/>
    <n v="0"/>
    <n v="0"/>
    <n v="0"/>
    <n v="0"/>
    <e v="#N/A"/>
    <e v="#N/A"/>
    <x v="1"/>
    <x v="2"/>
    <x v="4"/>
  </r>
  <r>
    <s v="BAU BANG 6"/>
    <s v="VIETINBANK - BINH DUONG"/>
    <s v="115624079999"/>
    <x v="0"/>
    <s v="VND"/>
    <e v="#N/A"/>
    <e v="#N/A"/>
    <n v="7685898005"/>
    <n v="10971266558"/>
    <n v="1052422273"/>
    <n v="9918844285"/>
    <n v="17604742290"/>
    <e v="#N/A"/>
    <e v="#N/A"/>
    <n v="0"/>
    <n v="0"/>
    <n v="0"/>
    <n v="0"/>
    <n v="0"/>
    <n v="0"/>
    <m/>
    <n v="0"/>
    <x v="1"/>
    <x v="2"/>
    <x v="4"/>
  </r>
  <r>
    <s v="LONG BINH"/>
    <s v="VIETINBANK - CN1"/>
    <s v="212000281605"/>
    <x v="2"/>
    <s v="VND"/>
    <e v="#N/A"/>
    <e v="#N/A"/>
    <n v="1738000000"/>
    <n v="0"/>
    <n v="0"/>
    <n v="0"/>
    <n v="1738000000"/>
    <e v="#N/A"/>
    <e v="#N/A"/>
    <n v="0"/>
    <n v="0"/>
    <n v="0"/>
    <n v="0"/>
    <n v="0"/>
    <n v="0"/>
    <m/>
    <n v="0"/>
    <x v="1"/>
    <x v="2"/>
    <x v="6"/>
  </r>
  <r>
    <s v="LONG BINH"/>
    <s v="VIETINBANK - CN1"/>
    <s v="111002903335"/>
    <x v="0"/>
    <s v="VND"/>
    <m/>
    <m/>
    <n v="1181449833"/>
    <n v="2500473237"/>
    <n v="198120383"/>
    <n v="2302352854"/>
    <n v="3483802687"/>
    <e v="#N/A"/>
    <e v="#N/A"/>
    <n v="0"/>
    <n v="0"/>
    <n v="0"/>
    <n v="0"/>
    <n v="0"/>
    <n v="0"/>
    <e v="#N/A"/>
    <e v="#N/A"/>
    <x v="1"/>
    <x v="2"/>
    <x v="6"/>
  </r>
  <r>
    <s v="XENIA 1"/>
    <s v="VIETINBANK - TIEN SON"/>
    <s v="116646026868"/>
    <x v="0"/>
    <s v="VND"/>
    <e v="#N/A"/>
    <e v="#N/A"/>
    <n v="2084425141"/>
    <n v="1525997706"/>
    <n v="1194194724"/>
    <n v="331802982"/>
    <n v="2416228123"/>
    <e v="#N/A"/>
    <e v="#N/A"/>
    <n v="0"/>
    <n v="0"/>
    <n v="0"/>
    <n v="0"/>
    <n v="0"/>
    <n v="0"/>
    <m/>
    <n v="0"/>
    <x v="1"/>
    <x v="2"/>
    <x v="3"/>
  </r>
  <r>
    <s v="XENIA 2"/>
    <s v="VIETINBANK - TIEN SON"/>
    <s v="118625469999"/>
    <x v="0"/>
    <s v="VND"/>
    <e v="#N/A"/>
    <e v="#N/A"/>
    <n v="3085324664"/>
    <n v="838683810"/>
    <n v="231329903"/>
    <n v="607353907"/>
    <n v="3692678571"/>
    <e v="#N/A"/>
    <e v="#N/A"/>
    <n v="0"/>
    <n v="0"/>
    <n v="0"/>
    <n v="0"/>
    <n v="0"/>
    <n v="0"/>
    <m/>
    <n v="0"/>
    <x v="1"/>
    <x v="2"/>
    <x v="3"/>
  </r>
  <r>
    <s v="WINLOCK 2A"/>
    <s v="VIETINBANK - TIEN SON"/>
    <s v="114628748888"/>
    <x v="0"/>
    <s v="VND"/>
    <m/>
    <m/>
    <n v="2561572889"/>
    <n v="86387988"/>
    <n v="576448749"/>
    <n v="-490060761"/>
    <n v="2071512128"/>
    <e v="#N/A"/>
    <e v="#N/A"/>
    <n v="0"/>
    <n v="0"/>
    <n v="0"/>
    <n v="0"/>
    <n v="0"/>
    <n v="0"/>
    <e v="#N/A"/>
    <e v="#N/A"/>
    <x v="1"/>
    <x v="2"/>
    <x v="3"/>
  </r>
  <r>
    <s v="WINLOCK 2B"/>
    <s v="VIETINBANK - TIEN SON"/>
    <s v="119642069999"/>
    <x v="0"/>
    <s v="VND"/>
    <e v="#N/A"/>
    <e v="#N/A"/>
    <n v="784946282"/>
    <n v="10000000000"/>
    <n v="0"/>
    <n v="10000000000"/>
    <n v="10784946282"/>
    <e v="#N/A"/>
    <e v="#N/A"/>
    <n v="0"/>
    <n v="0"/>
    <n v="0"/>
    <n v="0"/>
    <n v="0"/>
    <n v="0"/>
    <m/>
    <n v="0"/>
    <x v="1"/>
    <x v="2"/>
    <x v="3"/>
  </r>
  <r>
    <s v="BW MY PHUOC 3"/>
    <s v="VIETINBANK - BINH DUONG"/>
    <s v="111002915309"/>
    <x v="0"/>
    <s v="VND"/>
    <m/>
    <m/>
    <n v="15637870558"/>
    <n v="2612493046"/>
    <n v="280787479"/>
    <n v="2331705567"/>
    <n v="17969576125"/>
    <e v="#N/A"/>
    <e v="#N/A"/>
    <n v="0"/>
    <n v="0"/>
    <n v="0"/>
    <n v="0"/>
    <n v="0"/>
    <n v="0"/>
    <e v="#N/A"/>
    <e v="#N/A"/>
    <x v="1"/>
    <x v="2"/>
    <x v="4"/>
  </r>
  <r>
    <s v="BW BAU BANG 01"/>
    <s v="VIETINBANK - BINH DUONG"/>
    <s v="110002915294"/>
    <x v="0"/>
    <s v="VND"/>
    <e v="#N/A"/>
    <e v="#N/A"/>
    <n v="1339021461"/>
    <n v="50902700171"/>
    <n v="570783554"/>
    <n v="50331916617"/>
    <n v="51670938078"/>
    <e v="#N/A"/>
    <e v="#N/A"/>
    <n v="0"/>
    <n v="0"/>
    <n v="0"/>
    <n v="0"/>
    <n v="0"/>
    <n v="0"/>
    <m/>
    <n v="0"/>
    <x v="1"/>
    <x v="2"/>
    <x v="4"/>
  </r>
  <r>
    <s v="HOLDCO4K"/>
    <s v="BIDV - THANH XUAN"/>
    <s v="2221707888"/>
    <x v="0"/>
    <s v="VND"/>
    <m/>
    <m/>
    <n v="53604081"/>
    <n v="0"/>
    <n v="0"/>
    <n v="0"/>
    <n v="53604081"/>
    <e v="#N/A"/>
    <e v="#N/A"/>
    <n v="0"/>
    <n v="0"/>
    <n v="0"/>
    <n v="0"/>
    <n v="0"/>
    <n v="0"/>
    <e v="#N/A"/>
    <e v="#N/A"/>
    <x v="1"/>
    <x v="0"/>
    <x v="0"/>
  </r>
  <r>
    <s v="HOLDCO4L"/>
    <s v="BIDV - THANH XUAN"/>
    <s v="2221721888"/>
    <x v="0"/>
    <s v="VND"/>
    <e v="#N/A"/>
    <e v="#N/A"/>
    <n v="7867903"/>
    <n v="0"/>
    <n v="0"/>
    <n v="0"/>
    <n v="7867903"/>
    <e v="#N/A"/>
    <e v="#N/A"/>
    <n v="0"/>
    <n v="0"/>
    <n v="0"/>
    <n v="0"/>
    <n v="0"/>
    <n v="0"/>
    <m/>
    <n v="0"/>
    <x v="1"/>
    <x v="0"/>
    <x v="0"/>
  </r>
  <r>
    <s v="HOLDCO4L"/>
    <s v="OCB - BINH DUONG"/>
    <s v="0010100021270008"/>
    <x v="0"/>
    <s v="VND"/>
    <m/>
    <m/>
    <n v="1398262"/>
    <n v="0"/>
    <n v="0"/>
    <n v="0"/>
    <n v="1398262"/>
    <e v="#N/A"/>
    <e v="#N/A"/>
    <n v="0"/>
    <n v="0"/>
    <n v="0"/>
    <n v="0"/>
    <n v="0"/>
    <n v="0"/>
    <e v="#N/A"/>
    <e v="#N/A"/>
    <x v="1"/>
    <x v="6"/>
    <x v="10"/>
  </r>
  <r>
    <s v="HOLDCO4M"/>
    <s v="BIDV - THANH XUAN"/>
    <s v="2221714888"/>
    <x v="0"/>
    <s v="VND"/>
    <e v="#N/A"/>
    <e v="#N/A"/>
    <n v="43189136"/>
    <n v="0"/>
    <n v="0"/>
    <n v="0"/>
    <n v="43189136"/>
    <e v="#N/A"/>
    <e v="#N/A"/>
    <n v="0"/>
    <n v="0"/>
    <n v="0"/>
    <n v="0"/>
    <n v="0"/>
    <n v="0"/>
    <m/>
    <n v="0"/>
    <x v="1"/>
    <x v="0"/>
    <x v="0"/>
  </r>
  <r>
    <s v="HOLDCO4N"/>
    <s v="BIDV - BEN NGHE"/>
    <s v="1380504532"/>
    <x v="0"/>
    <s v="VND"/>
    <e v="#N/A"/>
    <e v="#N/A"/>
    <n v="46261043"/>
    <n v="0"/>
    <n v="0"/>
    <n v="0"/>
    <n v="46261043"/>
    <e v="#N/A"/>
    <e v="#N/A"/>
    <n v="0"/>
    <n v="0"/>
    <n v="0"/>
    <n v="0"/>
    <n v="0"/>
    <n v="0"/>
    <m/>
    <n v="0"/>
    <x v="1"/>
    <x v="3"/>
    <x v="7"/>
  </r>
  <r>
    <s v="HOLDCO4O"/>
    <s v="BIDV - BEN NGHE"/>
    <s v="1380504541"/>
    <x v="0"/>
    <s v="VND"/>
    <e v="#N/A"/>
    <e v="#N/A"/>
    <n v="46261043"/>
    <n v="0"/>
    <n v="0"/>
    <n v="0"/>
    <n v="46261043"/>
    <e v="#N/A"/>
    <e v="#N/A"/>
    <n v="0"/>
    <n v="0"/>
    <n v="0"/>
    <n v="0"/>
    <n v="0"/>
    <n v="0"/>
    <m/>
    <n v="0"/>
    <x v="1"/>
    <x v="3"/>
    <x v="7"/>
  </r>
  <r>
    <s v="HOLDCO4P"/>
    <s v="BIDV - BEN NGHE"/>
    <s v="1380504550"/>
    <x v="0"/>
    <s v="VND"/>
    <e v="#N/A"/>
    <e v="#N/A"/>
    <n v="32352248"/>
    <n v="0"/>
    <n v="0"/>
    <n v="0"/>
    <n v="32352248"/>
    <e v="#N/A"/>
    <e v="#N/A"/>
    <n v="0"/>
    <n v="0"/>
    <n v="0"/>
    <n v="0"/>
    <n v="0"/>
    <n v="0"/>
    <m/>
    <n v="0"/>
    <x v="1"/>
    <x v="3"/>
    <x v="7"/>
  </r>
  <r>
    <s v="HOLDCO5K"/>
    <s v="BIDV - THANH XUAN"/>
    <s v="2223558666"/>
    <x v="0"/>
    <s v="VND"/>
    <m/>
    <m/>
    <n v="43207370"/>
    <n v="0"/>
    <n v="0"/>
    <n v="0"/>
    <n v="43207370"/>
    <e v="#N/A"/>
    <e v="#N/A"/>
    <n v="0"/>
    <n v="0"/>
    <n v="0"/>
    <n v="0"/>
    <n v="0"/>
    <n v="0"/>
    <e v="#N/A"/>
    <e v="#N/A"/>
    <x v="1"/>
    <x v="0"/>
    <x v="0"/>
  </r>
  <r>
    <s v="HOLDCO5L"/>
    <s v="BIDV - THANH XUAN"/>
    <s v="2221808666"/>
    <x v="0"/>
    <s v="VND"/>
    <e v="#N/A"/>
    <e v="#N/A"/>
    <n v="7179790"/>
    <n v="0"/>
    <n v="0"/>
    <n v="0"/>
    <n v="7179790"/>
    <e v="#N/A"/>
    <e v="#N/A"/>
    <n v="0"/>
    <n v="0"/>
    <n v="0"/>
    <n v="0"/>
    <n v="0"/>
    <n v="0"/>
    <m/>
    <n v="0"/>
    <x v="1"/>
    <x v="0"/>
    <x v="0"/>
  </r>
  <r>
    <s v="HOLDCO5L"/>
    <s v="OCB - BINH DUONG"/>
    <s v="0010100021272003"/>
    <x v="0"/>
    <s v="VND"/>
    <m/>
    <m/>
    <n v="1528346"/>
    <n v="0"/>
    <n v="0"/>
    <n v="0"/>
    <n v="1528346"/>
    <e v="#N/A"/>
    <e v="#N/A"/>
    <n v="0"/>
    <n v="0"/>
    <n v="0"/>
    <n v="0"/>
    <n v="0"/>
    <n v="0"/>
    <e v="#N/A"/>
    <e v="#N/A"/>
    <x v="1"/>
    <x v="6"/>
    <x v="10"/>
  </r>
  <r>
    <s v="HOLDCO5M"/>
    <s v="BIDV - THANH XUAN"/>
    <s v="2227338666"/>
    <x v="0"/>
    <s v="VND"/>
    <e v="#N/A"/>
    <e v="#N/A"/>
    <n v="44925760"/>
    <n v="0"/>
    <n v="0"/>
    <n v="0"/>
    <n v="44925760"/>
    <e v="#N/A"/>
    <e v="#N/A"/>
    <n v="0"/>
    <n v="0"/>
    <n v="0"/>
    <n v="0"/>
    <n v="0"/>
    <n v="0"/>
    <m/>
    <n v="0"/>
    <x v="1"/>
    <x v="0"/>
    <x v="0"/>
  </r>
  <r>
    <s v="WPJV 1"/>
    <s v="VIETINBANK - TIEN SON"/>
    <s v="110638056688"/>
    <x v="0"/>
    <s v="VND"/>
    <m/>
    <m/>
    <n v="115600638"/>
    <n v="0"/>
    <n v="0"/>
    <n v="0"/>
    <n v="115600638"/>
    <e v="#N/A"/>
    <e v="#N/A"/>
    <n v="0"/>
    <n v="0"/>
    <n v="0"/>
    <n v="0"/>
    <n v="0"/>
    <n v="0"/>
    <e v="#N/A"/>
    <e v="#N/A"/>
    <x v="1"/>
    <x v="2"/>
    <x v="3"/>
  </r>
  <r>
    <s v="WPJV 1"/>
    <s v="VIETINBANK - TIEN SON"/>
    <s v="214000300615"/>
    <x v="2"/>
    <s v="VND"/>
    <e v="#N/A"/>
    <e v="#N/A"/>
    <n v="5001182467"/>
    <n v="0"/>
    <n v="0"/>
    <n v="0"/>
    <n v="5001182467"/>
    <e v="#N/A"/>
    <e v="#N/A"/>
    <n v="0"/>
    <n v="0"/>
    <n v="0"/>
    <n v="0"/>
    <n v="0"/>
    <n v="0"/>
    <m/>
    <n v="0"/>
    <x v="1"/>
    <x v="2"/>
    <x v="3"/>
  </r>
  <r>
    <s v="WPJV 2"/>
    <s v="VIETINBANK - TIEN SON"/>
    <s v="117626306868"/>
    <x v="0"/>
    <s v="VND"/>
    <e v="#N/A"/>
    <e v="#N/A"/>
    <n v="101537554"/>
    <n v="0"/>
    <n v="0"/>
    <n v="0"/>
    <n v="101537554"/>
    <e v="#N/A"/>
    <e v="#N/A"/>
    <n v="0"/>
    <n v="0"/>
    <n v="0"/>
    <n v="0"/>
    <n v="0"/>
    <n v="0"/>
    <m/>
    <n v="0"/>
    <x v="1"/>
    <x v="2"/>
    <x v="3"/>
  </r>
  <r>
    <s v="WPJV 3"/>
    <s v="VIETINBANK - TIEN SON"/>
    <s v="113644836666"/>
    <x v="0"/>
    <s v="VND"/>
    <e v="#N/A"/>
    <e v="#N/A"/>
    <n v="34873074"/>
    <n v="0"/>
    <n v="0"/>
    <n v="0"/>
    <n v="34873074"/>
    <e v="#N/A"/>
    <e v="#N/A"/>
    <n v="0"/>
    <n v="0"/>
    <n v="0"/>
    <n v="0"/>
    <n v="0"/>
    <n v="0"/>
    <m/>
    <n v="0"/>
    <x v="1"/>
    <x v="2"/>
    <x v="3"/>
  </r>
  <r>
    <s v="BW DONG HAI"/>
    <s v="BIDV - THANH XUAN"/>
    <s v="2220987979"/>
    <x v="0"/>
    <s v="VND"/>
    <m/>
    <m/>
    <n v="3483277741"/>
    <n v="2589727773"/>
    <n v="207563747"/>
    <n v="2382164026"/>
    <n v="5865441767"/>
    <e v="#N/A"/>
    <e v="#N/A"/>
    <n v="0"/>
    <n v="0"/>
    <n v="0"/>
    <n v="0"/>
    <n v="0"/>
    <n v="0"/>
    <e v="#N/A"/>
    <e v="#N/A"/>
    <x v="1"/>
    <x v="0"/>
    <x v="0"/>
  </r>
  <r>
    <s v="MP3 SOLAR POWER"/>
    <s v="VIETINBANK - DONG SAI GON"/>
    <s v="113002928321"/>
    <x v="0"/>
    <s v="VND"/>
    <e v="#N/A"/>
    <e v="#N/A"/>
    <n v="633964675"/>
    <n v="0"/>
    <n v="0"/>
    <n v="0"/>
    <n v="633964675"/>
    <e v="#N/A"/>
    <e v="#N/A"/>
    <n v="0"/>
    <n v="0"/>
    <n v="0"/>
    <n v="0"/>
    <n v="0"/>
    <n v="0"/>
    <m/>
    <n v="0"/>
    <x v="1"/>
    <x v="2"/>
    <x v="5"/>
  </r>
  <r>
    <s v="TPT1 SOLAR POWER"/>
    <s v="VIETINBANK - DONG SAI GON"/>
    <s v="113002928481"/>
    <x v="0"/>
    <s v="VND"/>
    <m/>
    <m/>
    <n v="259947093"/>
    <n v="0"/>
    <n v="0"/>
    <n v="0"/>
    <n v="259947093"/>
    <e v="#N/A"/>
    <e v="#N/A"/>
    <n v="0"/>
    <n v="0"/>
    <n v="0"/>
    <n v="0"/>
    <n v="0"/>
    <n v="0"/>
    <e v="#N/A"/>
    <e v="#N/A"/>
    <x v="1"/>
    <x v="2"/>
    <x v="5"/>
  </r>
  <r>
    <s v="SUPPLY CHAIN 2A"/>
    <s v="VIETINBANK - TIEN SON"/>
    <s v="114606236688"/>
    <x v="0"/>
    <s v="VND"/>
    <e v="#N/A"/>
    <e v="#N/A"/>
    <n v="792714867"/>
    <n v="0"/>
    <n v="0"/>
    <n v="0"/>
    <n v="792714867"/>
    <e v="#N/A"/>
    <e v="#N/A"/>
    <n v="0"/>
    <n v="0"/>
    <n v="0"/>
    <n v="0"/>
    <n v="0"/>
    <n v="0"/>
    <m/>
    <n v="0"/>
    <x v="1"/>
    <x v="2"/>
    <x v="3"/>
  </r>
  <r>
    <s v="BAC TIEN PHONG"/>
    <s v="BIDV - THANH XUAN"/>
    <s v="2220757668"/>
    <x v="0"/>
    <s v="VND"/>
    <e v="#N/A"/>
    <e v="#N/A"/>
    <n v="2563009086"/>
    <n v="84821918"/>
    <n v="0"/>
    <n v="84821918"/>
    <n v="2647831004"/>
    <e v="#N/A"/>
    <e v="#N/A"/>
    <n v="0"/>
    <n v="0"/>
    <n v="0"/>
    <n v="0"/>
    <n v="0"/>
    <n v="0"/>
    <m/>
    <n v="0"/>
    <x v="1"/>
    <x v="0"/>
    <x v="0"/>
  </r>
  <r>
    <s v="DELIWAY"/>
    <s v="BIDV - THANH XUAN"/>
    <s v="2225191094"/>
    <x v="0"/>
    <s v="VND"/>
    <m/>
    <m/>
    <n v="73764444"/>
    <n v="0"/>
    <n v="0"/>
    <n v="0"/>
    <n v="73764444"/>
    <e v="#N/A"/>
    <e v="#N/A"/>
    <n v="0"/>
    <n v="0"/>
    <n v="0"/>
    <n v="0"/>
    <n v="0"/>
    <n v="0"/>
    <e v="#N/A"/>
    <e v="#N/A"/>
    <x v="1"/>
    <x v="0"/>
    <x v="0"/>
  </r>
  <r>
    <s v="GREAT KINGDOM NT 2"/>
    <s v="VIETINBANK - CN1"/>
    <s v="110609487777"/>
    <x v="0"/>
    <s v="USD"/>
    <e v="#N/A"/>
    <e v="#N/A"/>
    <n v="0"/>
    <n v="0"/>
    <n v="0"/>
    <n v="0"/>
    <n v="0"/>
    <e v="#N/A"/>
    <e v="#N/A"/>
    <n v="0"/>
    <n v="0"/>
    <n v="0"/>
    <n v="0"/>
    <n v="0"/>
    <n v="0"/>
    <m/>
    <n v="0"/>
    <x v="1"/>
    <x v="2"/>
    <x v="6"/>
  </r>
  <r>
    <s v="BWID HAI DUONG 3"/>
    <s v="BIDV - THANH XUAN"/>
    <s v="2220558999"/>
    <x v="0"/>
    <s v="USD"/>
    <e v="#N/A"/>
    <e v="#N/A"/>
    <n v="0"/>
    <n v="0"/>
    <n v="0"/>
    <n v="0"/>
    <n v="0"/>
    <e v="#N/A"/>
    <e v="#N/A"/>
    <n v="0"/>
    <n v="-40.599999999999994"/>
    <n v="40.599999999999994"/>
    <n v="0"/>
    <n v="0"/>
    <n v="40.599999999999994"/>
    <m/>
    <n v="40.599999999999994"/>
    <x v="1"/>
    <x v="0"/>
    <x v="0"/>
  </r>
  <r>
    <s v="BWID THOI HOA"/>
    <s v="VIETINBANK - TIEN SON"/>
    <s v="110618908666"/>
    <x v="0"/>
    <s v="VND"/>
    <e v="#N/A"/>
    <e v="#N/A"/>
    <n v="14496431"/>
    <n v="0"/>
    <n v="0"/>
    <n v="0"/>
    <n v="14496431"/>
    <e v="#N/A"/>
    <e v="#N/A"/>
    <n v="0"/>
    <n v="0"/>
    <n v="0"/>
    <n v="0"/>
    <n v="0"/>
    <n v="0"/>
    <m/>
    <n v="0"/>
    <x v="1"/>
    <x v="2"/>
    <x v="3"/>
  </r>
  <r>
    <s v="BWID THOI HOA 2"/>
    <s v="VIETINBANK - TIEN SON"/>
    <s v="111622918666"/>
    <x v="0"/>
    <s v="VND"/>
    <m/>
    <m/>
    <n v="62679535"/>
    <n v="0"/>
    <n v="0"/>
    <n v="0"/>
    <n v="62679535"/>
    <e v="#N/A"/>
    <e v="#N/A"/>
    <n v="0"/>
    <n v="0"/>
    <n v="0"/>
    <n v="0"/>
    <n v="0"/>
    <n v="0"/>
    <e v="#N/A"/>
    <e v="#N/A"/>
    <x v="1"/>
    <x v="2"/>
    <x v="3"/>
  </r>
  <r>
    <s v="THUAN THANH 3B"/>
    <s v="VIETCOMBANK - BA DINH"/>
    <s v="9020128888"/>
    <x v="0"/>
    <s v="VND"/>
    <e v="#N/A"/>
    <e v="#N/A"/>
    <n v="1909255717"/>
    <n v="6141620380"/>
    <n v="454422085"/>
    <n v="5687198295"/>
    <n v="7596454012"/>
    <e v="#N/A"/>
    <e v="#N/A"/>
    <n v="0"/>
    <n v="0"/>
    <n v="0"/>
    <n v="0"/>
    <n v="0"/>
    <n v="0"/>
    <m/>
    <n v="0"/>
    <x v="1"/>
    <x v="1"/>
    <x v="1"/>
  </r>
  <r>
    <s v="BWID BINH DUONG"/>
    <s v="VIETINBANK - CN1"/>
    <s v="110002940327"/>
    <x v="0"/>
    <s v="USD"/>
    <e v="#N/A"/>
    <e v="#N/A"/>
    <n v="0"/>
    <n v="0"/>
    <n v="0"/>
    <n v="0"/>
    <n v="0"/>
    <e v="#N/A"/>
    <e v="#N/A"/>
    <n v="0"/>
    <n v="-748"/>
    <n v="748"/>
    <n v="0"/>
    <n v="0"/>
    <n v="748"/>
    <m/>
    <n v="748"/>
    <x v="0"/>
    <x v="2"/>
    <x v="6"/>
  </r>
  <r>
    <s v="BWID BINH DUONG"/>
    <s v="VIETINBANK - DONG SAI GON"/>
    <s v="114002940156"/>
    <x v="0"/>
    <s v="USD"/>
    <m/>
    <m/>
    <n v="0"/>
    <n v="0"/>
    <n v="0"/>
    <n v="0"/>
    <n v="0"/>
    <e v="#N/A"/>
    <e v="#N/A"/>
    <n v="0"/>
    <n v="-769"/>
    <n v="769"/>
    <n v="0"/>
    <n v="0"/>
    <n v="769"/>
    <e v="#N/A"/>
    <e v="#N/A"/>
    <x v="0"/>
    <x v="2"/>
    <x v="5"/>
  </r>
  <r>
    <s v="SAO HOA"/>
    <s v="VIETINBANK - DONG SAI GON"/>
    <s v="116002940154"/>
    <x v="0"/>
    <s v="USD"/>
    <e v="#N/A"/>
    <e v="#N/A"/>
    <n v="0"/>
    <n v="0"/>
    <n v="0"/>
    <n v="0"/>
    <n v="0"/>
    <e v="#N/A"/>
    <e v="#N/A"/>
    <n v="0"/>
    <n v="0"/>
    <n v="0"/>
    <n v="0"/>
    <n v="0"/>
    <n v="0"/>
    <m/>
    <n v="0"/>
    <x v="2"/>
    <x v="2"/>
    <x v="5"/>
  </r>
  <r>
    <s v="BWID Tan Phu Trung"/>
    <s v="VIETINBANK - TIEN SON"/>
    <s v="115648746666"/>
    <x v="0"/>
    <s v="VND"/>
    <m/>
    <m/>
    <n v="2563850"/>
    <n v="0"/>
    <n v="0"/>
    <n v="0"/>
    <n v="2563850"/>
    <e v="#N/A"/>
    <e v="#N/A"/>
    <n v="0"/>
    <n v="0"/>
    <n v="0"/>
    <n v="0"/>
    <n v="0"/>
    <n v="0"/>
    <e v="#N/A"/>
    <e v="#N/A"/>
    <x v="1"/>
    <x v="2"/>
    <x v="3"/>
  </r>
  <r>
    <s v="BW THU DAU MOT"/>
    <s v="OCB - BINH DUONG"/>
    <s v="381308"/>
    <x v="0"/>
    <s v="VND"/>
    <e v="#N/A"/>
    <e v="#N/A"/>
    <n v="2850053"/>
    <n v="0"/>
    <n v="55000"/>
    <n v="-55000"/>
    <n v="2795053"/>
    <e v="#N/A"/>
    <e v="#N/A"/>
    <n v="0"/>
    <n v="0"/>
    <n v="0"/>
    <n v="0"/>
    <n v="0"/>
    <n v="0"/>
    <m/>
    <n v="0"/>
    <x v="1"/>
    <x v="6"/>
    <x v="10"/>
  </r>
  <r>
    <s v="HOLDCO4Q"/>
    <s v="VIETINBANK - TIEN SON"/>
    <s v="115645476666"/>
    <x v="0"/>
    <s v="VND"/>
    <m/>
    <m/>
    <n v="12031574"/>
    <n v="0"/>
    <n v="0"/>
    <n v="0"/>
    <n v="12031574"/>
    <e v="#N/A"/>
    <e v="#N/A"/>
    <n v="0"/>
    <n v="0"/>
    <n v="0"/>
    <n v="0"/>
    <n v="0"/>
    <n v="0"/>
    <e v="#N/A"/>
    <e v="#N/A"/>
    <x v="1"/>
    <x v="2"/>
    <x v="3"/>
  </r>
  <r>
    <s v="HOLDCO4R"/>
    <s v="VIETINBANK - TIEN SON"/>
    <s v="111602475555"/>
    <x v="0"/>
    <s v="VND"/>
    <e v="#N/A"/>
    <e v="#N/A"/>
    <n v="18259867"/>
    <n v="0"/>
    <n v="0"/>
    <n v="0"/>
    <n v="18259867"/>
    <e v="#N/A"/>
    <e v="#N/A"/>
    <n v="0"/>
    <n v="0"/>
    <n v="0"/>
    <n v="0"/>
    <n v="0"/>
    <n v="0"/>
    <m/>
    <n v="0"/>
    <x v="1"/>
    <x v="2"/>
    <x v="3"/>
  </r>
  <r>
    <s v="HOLDCO4S"/>
    <s v="VIETINBANK - TIEN SON"/>
    <s v="110624503333"/>
    <x v="0"/>
    <s v="VND"/>
    <m/>
    <m/>
    <n v="22951662"/>
    <n v="0"/>
    <n v="0"/>
    <n v="0"/>
    <n v="22951662"/>
    <e v="#N/A"/>
    <e v="#N/A"/>
    <n v="0"/>
    <n v="0"/>
    <n v="0"/>
    <n v="0"/>
    <n v="0"/>
    <n v="0"/>
    <e v="#N/A"/>
    <e v="#N/A"/>
    <x v="1"/>
    <x v="2"/>
    <x v="3"/>
  </r>
  <r>
    <s v="HOLDCO4T"/>
    <s v="VIETINBANK - TIEN SON"/>
    <s v="115648146666"/>
    <x v="0"/>
    <s v="VND"/>
    <e v="#N/A"/>
    <e v="#N/A"/>
    <n v="22675125"/>
    <n v="0"/>
    <n v="0"/>
    <n v="0"/>
    <n v="22675125"/>
    <e v="#N/A"/>
    <e v="#N/A"/>
    <n v="0"/>
    <n v="0"/>
    <n v="0"/>
    <n v="0"/>
    <n v="0"/>
    <n v="0"/>
    <m/>
    <n v="0"/>
    <x v="1"/>
    <x v="2"/>
    <x v="3"/>
  </r>
  <r>
    <s v="HOLDCO4U"/>
    <s v="VIETINBANK - TIEN SON"/>
    <s v="115632546666"/>
    <x v="0"/>
    <s v="VND"/>
    <e v="#N/A"/>
    <e v="#N/A"/>
    <n v="34913667"/>
    <n v="0"/>
    <n v="0"/>
    <n v="0"/>
    <n v="34913667"/>
    <e v="#N/A"/>
    <e v="#N/A"/>
    <n v="0"/>
    <n v="0"/>
    <n v="0"/>
    <n v="0"/>
    <n v="0"/>
    <n v="0"/>
    <m/>
    <n v="0"/>
    <x v="1"/>
    <x v="2"/>
    <x v="3"/>
  </r>
  <r>
    <s v="HOLDCO4V"/>
    <s v="VIETINBANK - TIEN SON"/>
    <s v="110638468888"/>
    <x v="0"/>
    <s v="VND"/>
    <m/>
    <m/>
    <n v="75224538"/>
    <n v="0"/>
    <n v="0"/>
    <n v="0"/>
    <n v="75224538"/>
    <e v="#N/A"/>
    <e v="#N/A"/>
    <n v="0"/>
    <n v="0"/>
    <n v="0"/>
    <n v="0"/>
    <n v="0"/>
    <n v="0"/>
    <e v="#N/A"/>
    <e v="#N/A"/>
    <x v="1"/>
    <x v="2"/>
    <x v="3"/>
  </r>
  <r>
    <s v="HOLDCO4Y"/>
    <s v="VIETINBANK - TIEN SON"/>
    <s v="110662568888"/>
    <x v="0"/>
    <s v="VND"/>
    <m/>
    <m/>
    <n v="25231274"/>
    <n v="0"/>
    <n v="0"/>
    <n v="0"/>
    <n v="25231274"/>
    <e v="#N/A"/>
    <e v="#N/A"/>
    <n v="0"/>
    <n v="0"/>
    <n v="0"/>
    <n v="0"/>
    <n v="0"/>
    <n v="0"/>
    <e v="#N/A"/>
    <e v="#N/A"/>
    <x v="1"/>
    <x v="2"/>
    <x v="3"/>
  </r>
  <r>
    <s v="HOLDCO4Z"/>
    <s v="VIETINBANK - TIEN SON"/>
    <s v="110648268888"/>
    <x v="0"/>
    <s v="VND"/>
    <e v="#N/A"/>
    <e v="#N/A"/>
    <n v="118328920"/>
    <n v="0"/>
    <n v="0"/>
    <n v="0"/>
    <n v="118328920"/>
    <e v="#N/A"/>
    <e v="#N/A"/>
    <n v="0"/>
    <n v="0"/>
    <n v="0"/>
    <n v="0"/>
    <n v="0"/>
    <n v="0"/>
    <m/>
    <n v="0"/>
    <x v="1"/>
    <x v="2"/>
    <x v="3"/>
  </r>
  <r>
    <s v="HOLDCO4W"/>
    <s v="VIETINBANK - TIEN SON"/>
    <s v="116604476666"/>
    <x v="0"/>
    <s v="VND"/>
    <m/>
    <m/>
    <n v="40203566"/>
    <n v="0"/>
    <n v="0"/>
    <n v="0"/>
    <n v="40203566"/>
    <e v="#N/A"/>
    <e v="#N/A"/>
    <n v="0"/>
    <n v="0"/>
    <n v="0"/>
    <n v="0"/>
    <n v="0"/>
    <n v="0"/>
    <e v="#N/A"/>
    <e v="#N/A"/>
    <x v="1"/>
    <x v="2"/>
    <x v="3"/>
  </r>
  <r>
    <s v="HOLDCO4X"/>
    <s v="VIETINBANK - TIEN SON"/>
    <s v="110618512222"/>
    <x v="0"/>
    <s v="VND"/>
    <e v="#N/A"/>
    <e v="#N/A"/>
    <n v="84155925"/>
    <n v="0"/>
    <n v="0"/>
    <n v="0"/>
    <n v="84155925"/>
    <e v="#N/A"/>
    <e v="#N/A"/>
    <n v="0"/>
    <n v="0"/>
    <n v="0"/>
    <n v="0"/>
    <n v="0"/>
    <n v="0"/>
    <m/>
    <n v="0"/>
    <x v="1"/>
    <x v="2"/>
    <x v="3"/>
  </r>
  <r>
    <s v="HOLDCO5Q"/>
    <s v="VIETINBANK - TIEN SON"/>
    <s v="115648216666"/>
    <x v="0"/>
    <s v="VND"/>
    <m/>
    <m/>
    <n v="2114906414"/>
    <n v="0"/>
    <n v="0"/>
    <n v="0"/>
    <n v="2114906414"/>
    <e v="#N/A"/>
    <e v="#N/A"/>
    <n v="0"/>
    <n v="0"/>
    <n v="0"/>
    <n v="0"/>
    <n v="0"/>
    <n v="0"/>
    <e v="#N/A"/>
    <e v="#N/A"/>
    <x v="1"/>
    <x v="2"/>
    <x v="3"/>
  </r>
  <r>
    <s v="HOLDCO5R"/>
    <s v="VIETINBANK - TIEN SON"/>
    <s v="115648106666"/>
    <x v="0"/>
    <s v="VND"/>
    <e v="#N/A"/>
    <e v="#N/A"/>
    <n v="69240387"/>
    <n v="0"/>
    <n v="0"/>
    <n v="0"/>
    <n v="69240387"/>
    <e v="#N/A"/>
    <e v="#N/A"/>
    <n v="0"/>
    <n v="0"/>
    <n v="0"/>
    <n v="0"/>
    <n v="0"/>
    <n v="0"/>
    <m/>
    <n v="0"/>
    <x v="1"/>
    <x v="2"/>
    <x v="3"/>
  </r>
  <r>
    <s v="HOLDCO5S"/>
    <s v="VIETINBANK - TIEN SON"/>
    <s v="115644016666"/>
    <x v="0"/>
    <s v="VND"/>
    <m/>
    <m/>
    <n v="109104070"/>
    <n v="0"/>
    <n v="0"/>
    <n v="0"/>
    <n v="109104070"/>
    <e v="#N/A"/>
    <e v="#N/A"/>
    <n v="0"/>
    <n v="0"/>
    <n v="0"/>
    <n v="0"/>
    <n v="0"/>
    <n v="0"/>
    <e v="#N/A"/>
    <e v="#N/A"/>
    <x v="1"/>
    <x v="2"/>
    <x v="3"/>
  </r>
  <r>
    <s v="HOLDCO5T"/>
    <s v="VIETINBANK - TIEN SON"/>
    <s v="115648406666"/>
    <x v="0"/>
    <s v="VND"/>
    <e v="#N/A"/>
    <e v="#N/A"/>
    <n v="62710331"/>
    <n v="0"/>
    <n v="0"/>
    <n v="0"/>
    <n v="62710331"/>
    <e v="#N/A"/>
    <e v="#N/A"/>
    <n v="0"/>
    <n v="0"/>
    <n v="0"/>
    <n v="0"/>
    <n v="0"/>
    <n v="0"/>
    <m/>
    <n v="0"/>
    <x v="1"/>
    <x v="2"/>
    <x v="3"/>
  </r>
  <r>
    <s v="HOLDCO5U"/>
    <s v="VIETINBANK - TIEN SON"/>
    <s v="115648076666"/>
    <x v="0"/>
    <s v="VND"/>
    <m/>
    <m/>
    <n v="56577557"/>
    <n v="0"/>
    <n v="0"/>
    <n v="0"/>
    <n v="56577557"/>
    <e v="#N/A"/>
    <e v="#N/A"/>
    <n v="0"/>
    <n v="0"/>
    <n v="0"/>
    <n v="0"/>
    <n v="0"/>
    <n v="0"/>
    <e v="#N/A"/>
    <e v="#N/A"/>
    <x v="1"/>
    <x v="2"/>
    <x v="3"/>
  </r>
  <r>
    <s v="TH1 HOLDCO"/>
    <s v="OCB - BINH DUONG"/>
    <s v="517305"/>
    <x v="0"/>
    <s v="VND"/>
    <e v="#N/A"/>
    <e v="#N/A"/>
    <n v="3315401"/>
    <n v="0"/>
    <n v="0"/>
    <n v="0"/>
    <n v="3315401"/>
    <e v="#N/A"/>
    <e v="#N/A"/>
    <n v="0"/>
    <n v="0"/>
    <n v="0"/>
    <n v="0"/>
    <n v="0"/>
    <n v="0"/>
    <m/>
    <n v="0"/>
    <x v="1"/>
    <x v="6"/>
    <x v="10"/>
  </r>
  <r>
    <s v="TH2 HOLDCO"/>
    <s v="OCB - BINH DUONG"/>
    <s v="704971"/>
    <x v="0"/>
    <s v="VND"/>
    <m/>
    <m/>
    <n v="2122518"/>
    <n v="0"/>
    <n v="55000"/>
    <n v="-55000"/>
    <n v="2067518"/>
    <e v="#N/A"/>
    <e v="#N/A"/>
    <n v="0"/>
    <n v="0"/>
    <n v="0"/>
    <n v="0"/>
    <n v="0"/>
    <n v="0"/>
    <e v="#N/A"/>
    <e v="#N/A"/>
    <x v="1"/>
    <x v="6"/>
    <x v="10"/>
  </r>
  <r>
    <s v="SPV5B"/>
    <s v="SINOPAC"/>
    <s v="07000800902057"/>
    <x v="3"/>
    <s v="USD"/>
    <m/>
    <m/>
    <n v="0"/>
    <n v="0"/>
    <n v="0"/>
    <n v="0"/>
    <n v="0"/>
    <e v="#N/A"/>
    <e v="#N/A"/>
    <n v="0"/>
    <n v="0"/>
    <n v="0"/>
    <n v="0"/>
    <n v="0"/>
    <n v="0"/>
    <e v="#N/A"/>
    <e v="#N/A"/>
    <x v="1"/>
    <x v="8"/>
    <x v="12"/>
  </r>
  <r>
    <s v="BW NAM HAI"/>
    <s v="VIETCOMBANK - BA DINH"/>
    <s v="9020108888"/>
    <x v="0"/>
    <s v="VND"/>
    <e v="#N/A"/>
    <e v="#N/A"/>
    <n v="1738220459"/>
    <n v="27331507"/>
    <n v="18700000"/>
    <n v="8631507"/>
    <n v="1746851966"/>
    <e v="#N/A"/>
    <e v="#N/A"/>
    <n v="0"/>
    <n v="0"/>
    <n v="0"/>
    <n v="0"/>
    <n v="0"/>
    <n v="0"/>
    <m/>
    <n v="0"/>
    <x v="1"/>
    <x v="1"/>
    <x v="1"/>
  </r>
  <r>
    <s v="BWID BINH DUONG"/>
    <s v="UOB - HCM"/>
    <s v="1053037343"/>
    <x v="0"/>
    <s v="VND"/>
    <e v="#N/A"/>
    <e v="#N/A"/>
    <n v="71325444"/>
    <n v="0"/>
    <n v="0"/>
    <n v="0"/>
    <n v="71325444"/>
    <e v="#N/A"/>
    <e v="#N/A"/>
    <n v="0"/>
    <n v="0"/>
    <n v="0"/>
    <n v="0"/>
    <n v="0"/>
    <n v="0"/>
    <m/>
    <n v="0"/>
    <x v="0"/>
    <x v="10"/>
    <x v="17"/>
  </r>
  <r>
    <s v="BWID BINH DUONG"/>
    <s v="KEB Hana - HCM"/>
    <s v="00870004803"/>
    <x v="0"/>
    <s v="VND"/>
    <e v="#N/A"/>
    <e v="#N/A"/>
    <n v="0"/>
    <n v="0"/>
    <n v="0"/>
    <n v="0"/>
    <n v="0"/>
    <e v="#N/A"/>
    <e v="#N/A"/>
    <n v="0"/>
    <n v="0"/>
    <n v="0"/>
    <n v="0"/>
    <n v="0"/>
    <n v="0"/>
    <m/>
    <n v="0"/>
    <x v="0"/>
    <x v="11"/>
    <x v="18"/>
  </r>
  <r>
    <s v="BWID BINH DUONG"/>
    <s v="KEB Hana - HCM"/>
    <s v="00870004818"/>
    <x v="0"/>
    <s v="USD"/>
    <e v="#N/A"/>
    <e v="#N/A"/>
    <n v="0"/>
    <n v="0"/>
    <n v="0"/>
    <n v="0"/>
    <n v="0"/>
    <e v="#N/A"/>
    <e v="#N/A"/>
    <n v="0"/>
    <n v="0"/>
    <n v="0"/>
    <n v="0"/>
    <n v="0"/>
    <n v="0"/>
    <m/>
    <n v="0"/>
    <x v="0"/>
    <x v="11"/>
    <x v="18"/>
  </r>
  <r>
    <s v="BWID HAI DUONG 3"/>
    <s v="BIDV - THANH XUAN"/>
    <s v="22210001614890"/>
    <x v="2"/>
    <s v="VND"/>
    <e v="#N/A"/>
    <e v="#N/A"/>
    <n v="2500000000"/>
    <n v="0"/>
    <n v="0"/>
    <n v="0"/>
    <n v="2500000000"/>
    <e v="#N/A"/>
    <e v="#N/A"/>
    <n v="0"/>
    <n v="0"/>
    <n v="0"/>
    <n v="0"/>
    <n v="0"/>
    <n v="0"/>
    <m/>
    <n v="0"/>
    <x v="1"/>
    <x v="0"/>
    <x v="0"/>
  </r>
  <r>
    <s v="BW SAIGON LOGISTICS"/>
    <s v="VIETCOMBANK - HCM"/>
    <s v="1038935148"/>
    <x v="0"/>
    <s v="VND"/>
    <e v="#N/A"/>
    <e v="#N/A"/>
    <n v="1887862343"/>
    <n v="4680784617"/>
    <n v="587739333"/>
    <n v="4093045284"/>
    <n v="5980907627"/>
    <e v="#N/A"/>
    <e v="#N/A"/>
    <n v="0"/>
    <n v="0"/>
    <n v="0"/>
    <n v="0"/>
    <n v="0"/>
    <n v="0"/>
    <m/>
    <n v="0"/>
    <x v="1"/>
    <x v="1"/>
    <x v="2"/>
  </r>
  <r>
    <s v="BW SAIGON LOGISTICS"/>
    <s v="VIETCOMBANK - HCM"/>
    <s v="1038935176"/>
    <x v="0"/>
    <s v="USD"/>
    <e v="#N/A"/>
    <e v="#N/A"/>
    <n v="0"/>
    <n v="0"/>
    <n v="0"/>
    <n v="0"/>
    <n v="0"/>
    <e v="#N/A"/>
    <e v="#N/A"/>
    <n v="0"/>
    <n v="0"/>
    <n v="0"/>
    <n v="0"/>
    <n v="0"/>
    <n v="0"/>
    <m/>
    <n v="0"/>
    <x v="1"/>
    <x v="1"/>
    <x v="2"/>
  </r>
  <r>
    <s v="BW DONG HAI"/>
    <s v="BIDV - THANH XUAN"/>
    <s v="802221617093"/>
    <x v="2"/>
    <s v="VND"/>
    <e v="#N/A"/>
    <e v="#N/A"/>
    <n v="4800000000"/>
    <n v="0"/>
    <n v="0"/>
    <n v="0"/>
    <n v="4800000000"/>
    <e v="#N/A"/>
    <e v="#N/A"/>
    <n v="0"/>
    <n v="0"/>
    <n v="0"/>
    <n v="0"/>
    <n v="0"/>
    <n v="0"/>
    <m/>
    <n v="0"/>
    <x v="1"/>
    <x v="0"/>
    <x v="0"/>
  </r>
  <r>
    <s v="HOLDCO4K"/>
    <s v="BIDV - THANH XUAN"/>
    <s v="802221617039"/>
    <x v="2"/>
    <s v="VND"/>
    <e v="#N/A"/>
    <e v="#N/A"/>
    <n v="900000000"/>
    <n v="0"/>
    <n v="0"/>
    <n v="0"/>
    <n v="900000000"/>
    <e v="#N/A"/>
    <e v="#N/A"/>
    <n v="0"/>
    <n v="0"/>
    <n v="0"/>
    <n v="0"/>
    <n v="0"/>
    <n v="0"/>
    <m/>
    <n v="0"/>
    <x v="1"/>
    <x v="0"/>
    <x v="0"/>
  </r>
  <r>
    <s v="HOLDCO4M"/>
    <s v="BIDV - THANH XUAN"/>
    <s v="802221617057"/>
    <x v="2"/>
    <s v="VND"/>
    <e v="#N/A"/>
    <e v="#N/A"/>
    <n v="900000000"/>
    <n v="0"/>
    <n v="0"/>
    <n v="0"/>
    <n v="900000000"/>
    <e v="#N/A"/>
    <e v="#N/A"/>
    <n v="0"/>
    <n v="0"/>
    <n v="0"/>
    <n v="0"/>
    <n v="0"/>
    <n v="0"/>
    <m/>
    <n v="0"/>
    <x v="1"/>
    <x v="0"/>
    <x v="0"/>
  </r>
  <r>
    <s v="HOLDCO4N"/>
    <s v="BIDV - BEN NGHE"/>
    <s v="801380277427"/>
    <x v="2"/>
    <s v="VND"/>
    <e v="#N/A"/>
    <e v="#N/A"/>
    <n v="900000000"/>
    <n v="0"/>
    <n v="0"/>
    <n v="0"/>
    <n v="900000000"/>
    <e v="#N/A"/>
    <e v="#N/A"/>
    <n v="0"/>
    <n v="0"/>
    <n v="0"/>
    <n v="0"/>
    <n v="0"/>
    <n v="0"/>
    <m/>
    <n v="0"/>
    <x v="1"/>
    <x v="3"/>
    <x v="7"/>
  </r>
  <r>
    <s v="HOLDCO4O"/>
    <s v="BIDV - BEN NGHE"/>
    <s v="801380277445"/>
    <x v="2"/>
    <s v="VND"/>
    <e v="#N/A"/>
    <e v="#N/A"/>
    <n v="900000000"/>
    <n v="0"/>
    <n v="0"/>
    <n v="0"/>
    <n v="900000000"/>
    <e v="#N/A"/>
    <e v="#N/A"/>
    <n v="0"/>
    <n v="0"/>
    <n v="0"/>
    <n v="0"/>
    <n v="0"/>
    <n v="0"/>
    <m/>
    <n v="0"/>
    <x v="1"/>
    <x v="3"/>
    <x v="7"/>
  </r>
  <r>
    <s v="HOLDCO4P"/>
    <s v="BIDV - BEN NGHE"/>
    <s v="801380277436"/>
    <x v="2"/>
    <s v="VND"/>
    <e v="#N/A"/>
    <e v="#N/A"/>
    <n v="900000000"/>
    <n v="0"/>
    <n v="0"/>
    <n v="0"/>
    <n v="900000000"/>
    <e v="#N/A"/>
    <e v="#N/A"/>
    <n v="0"/>
    <n v="0"/>
    <n v="0"/>
    <n v="0"/>
    <n v="0"/>
    <n v="0"/>
    <m/>
    <n v="0"/>
    <x v="1"/>
    <x v="3"/>
    <x v="7"/>
  </r>
  <r>
    <s v="HOLDCO5K"/>
    <s v="BIDV - THANH XUAN"/>
    <s v="802221617084"/>
    <x v="2"/>
    <s v="VND"/>
    <e v="#N/A"/>
    <e v="#N/A"/>
    <n v="800000000"/>
    <n v="0"/>
    <n v="0"/>
    <n v="0"/>
    <n v="800000000"/>
    <e v="#N/A"/>
    <e v="#N/A"/>
    <n v="0"/>
    <n v="0"/>
    <n v="0"/>
    <n v="0"/>
    <n v="0"/>
    <n v="0"/>
    <m/>
    <n v="0"/>
    <x v="1"/>
    <x v="0"/>
    <x v="0"/>
  </r>
  <r>
    <s v="HOLDCO5M"/>
    <s v="BIDV - THANH XUAN"/>
    <s v="802221617075"/>
    <x v="2"/>
    <s v="VND"/>
    <e v="#N/A"/>
    <e v="#N/A"/>
    <n v="800000000"/>
    <n v="0"/>
    <n v="0"/>
    <n v="0"/>
    <n v="800000000"/>
    <e v="#N/A"/>
    <e v="#N/A"/>
    <n v="0"/>
    <n v="0"/>
    <n v="0"/>
    <n v="0"/>
    <n v="0"/>
    <n v="0"/>
    <m/>
    <n v="0"/>
    <x v="1"/>
    <x v="0"/>
    <x v="0"/>
  </r>
  <r>
    <s v="BW THU DAU MOT"/>
    <s v="VIETINBANK - TIEN SON"/>
    <s v="214000353638"/>
    <x v="2"/>
    <s v="VND"/>
    <e v="#N/A"/>
    <e v="#N/A"/>
    <n v="400000000"/>
    <n v="0"/>
    <n v="0"/>
    <n v="0"/>
    <n v="400000000"/>
    <e v="#N/A"/>
    <e v="#N/A"/>
    <n v="0"/>
    <n v="0"/>
    <n v="0"/>
    <n v="0"/>
    <n v="0"/>
    <n v="0"/>
    <m/>
    <n v="0"/>
    <x v="1"/>
    <x v="2"/>
    <x v="3"/>
  </r>
  <r>
    <s v="SG LOGISTICS"/>
    <s v="VIETINBANK - TIEN SON"/>
    <s v="213000353639"/>
    <x v="2"/>
    <s v="VND"/>
    <e v="#N/A"/>
    <e v="#N/A"/>
    <n v="50000000"/>
    <n v="0"/>
    <n v="0"/>
    <n v="0"/>
    <n v="50000000"/>
    <e v="#N/A"/>
    <e v="#N/A"/>
    <n v="0"/>
    <n v="0"/>
    <n v="0"/>
    <n v="0"/>
    <n v="0"/>
    <n v="0"/>
    <m/>
    <n v="0"/>
    <x v="1"/>
    <x v="2"/>
    <x v="3"/>
  </r>
  <r>
    <s v="GIA TAN"/>
    <s v="VIETINBANK - TIEN SON"/>
    <s v="216000353636"/>
    <x v="2"/>
    <s v="VND"/>
    <e v="#N/A"/>
    <e v="#N/A"/>
    <n v="50000000"/>
    <n v="0"/>
    <n v="0"/>
    <n v="0"/>
    <n v="50000000"/>
    <e v="#N/A"/>
    <e v="#N/A"/>
    <n v="0"/>
    <n v="0"/>
    <n v="0"/>
    <n v="0"/>
    <n v="0"/>
    <n v="0"/>
    <m/>
    <n v="0"/>
    <x v="1"/>
    <x v="2"/>
    <x v="3"/>
  </r>
  <r>
    <s v="SPV4B"/>
    <s v="VIETINBANK - TIEN SON"/>
    <s v="218000353622"/>
    <x v="2"/>
    <s v="VND"/>
    <e v="#N/A"/>
    <e v="#N/A"/>
    <n v="80000000"/>
    <n v="0"/>
    <n v="0"/>
    <n v="0"/>
    <n v="80000000"/>
    <e v="#N/A"/>
    <e v="#N/A"/>
    <n v="0"/>
    <n v="0"/>
    <n v="0"/>
    <n v="0"/>
    <n v="0"/>
    <n v="0"/>
    <m/>
    <n v="0"/>
    <x v="1"/>
    <x v="2"/>
    <x v="3"/>
  </r>
  <r>
    <s v="SPV4C"/>
    <s v="VIETINBANK - TIEN SON"/>
    <s v="211000353629"/>
    <x v="2"/>
    <s v="VND"/>
    <e v="#N/A"/>
    <e v="#N/A"/>
    <n v="50000000"/>
    <n v="0"/>
    <n v="0"/>
    <n v="0"/>
    <n v="50000000"/>
    <e v="#N/A"/>
    <e v="#N/A"/>
    <n v="0"/>
    <n v="0"/>
    <n v="0"/>
    <n v="0"/>
    <n v="0"/>
    <n v="0"/>
    <m/>
    <n v="0"/>
    <x v="1"/>
    <x v="2"/>
    <x v="3"/>
  </r>
  <r>
    <s v="SPV5C"/>
    <s v="VIETINBANK - TIEN SON"/>
    <s v="218000353647"/>
    <x v="2"/>
    <s v="VND"/>
    <e v="#N/A"/>
    <e v="#N/A"/>
    <n v="800000000"/>
    <n v="0"/>
    <n v="0"/>
    <n v="0"/>
    <n v="800000000"/>
    <e v="#N/A"/>
    <e v="#N/A"/>
    <n v="0"/>
    <n v="0"/>
    <n v="0"/>
    <n v="0"/>
    <n v="0"/>
    <n v="0"/>
    <m/>
    <n v="0"/>
    <x v="1"/>
    <x v="2"/>
    <x v="3"/>
  </r>
  <r>
    <s v="SPV4A"/>
    <s v="VIETINBANK - TIEN SON"/>
    <s v="219000353633"/>
    <x v="2"/>
    <s v="VND"/>
    <e v="#N/A"/>
    <e v="#N/A"/>
    <n v="50000000"/>
    <n v="0"/>
    <n v="0"/>
    <n v="0"/>
    <n v="50000000"/>
    <e v="#N/A"/>
    <e v="#N/A"/>
    <n v="0"/>
    <n v="0"/>
    <n v="0"/>
    <n v="0"/>
    <n v="0"/>
    <n v="0"/>
    <m/>
    <n v="0"/>
    <x v="1"/>
    <x v="2"/>
    <x v="3"/>
  </r>
  <r>
    <s v="SPV5A"/>
    <s v="VIETINBANK - TIEN SON"/>
    <s v="211000353631"/>
    <x v="2"/>
    <s v="VND"/>
    <e v="#N/A"/>
    <e v="#N/A"/>
    <n v="80000000"/>
    <n v="0"/>
    <n v="0"/>
    <n v="0"/>
    <n v="80000000"/>
    <e v="#N/A"/>
    <e v="#N/A"/>
    <n v="0"/>
    <n v="0"/>
    <n v="0"/>
    <n v="0"/>
    <n v="0"/>
    <n v="0"/>
    <m/>
    <n v="0"/>
    <x v="1"/>
    <x v="2"/>
    <x v="3"/>
  </r>
  <r>
    <s v="SPV5A"/>
    <s v="VIETINBANK - TIEN SON"/>
    <s v="216000354578"/>
    <x v="2"/>
    <s v="VND"/>
    <e v="#N/A"/>
    <e v="#N/A"/>
    <n v="720000000"/>
    <n v="0"/>
    <n v="0"/>
    <n v="0"/>
    <n v="720000000"/>
    <e v="#N/A"/>
    <e v="#N/A"/>
    <n v="0"/>
    <n v="0"/>
    <n v="0"/>
    <n v="0"/>
    <n v="0"/>
    <n v="0"/>
    <m/>
    <n v="0"/>
    <x v="1"/>
    <x v="2"/>
    <x v="3"/>
  </r>
  <r>
    <s v="HOLDCO5F"/>
    <s v="VIETINBANK - TIEN SON"/>
    <s v="212000353628"/>
    <x v="2"/>
    <s v="VND"/>
    <e v="#N/A"/>
    <e v="#N/A"/>
    <n v="600000000"/>
    <n v="0"/>
    <n v="0"/>
    <n v="0"/>
    <n v="600000000"/>
    <e v="#N/A"/>
    <e v="#N/A"/>
    <n v="0"/>
    <n v="0"/>
    <n v="0"/>
    <n v="0"/>
    <n v="0"/>
    <n v="0"/>
    <m/>
    <n v="0"/>
    <x v="1"/>
    <x v="2"/>
    <x v="3"/>
  </r>
  <r>
    <s v="HOLDCO4F"/>
    <s v="VIETINBANK - TIEN SON"/>
    <s v="218000353634"/>
    <x v="2"/>
    <s v="VND"/>
    <e v="#N/A"/>
    <e v="#N/A"/>
    <n v="50000000"/>
    <n v="0"/>
    <n v="0"/>
    <n v="0"/>
    <n v="50000000"/>
    <e v="#N/A"/>
    <e v="#N/A"/>
    <n v="0"/>
    <n v="0"/>
    <n v="0"/>
    <n v="0"/>
    <n v="0"/>
    <n v="0"/>
    <m/>
    <n v="0"/>
    <x v="1"/>
    <x v="2"/>
    <x v="3"/>
  </r>
  <r>
    <s v="HOLDCO4H"/>
    <s v="VIETINBANK - TIEN SON"/>
    <s v="216000353624"/>
    <x v="2"/>
    <s v="VND"/>
    <e v="#N/A"/>
    <e v="#N/A"/>
    <n v="50000000"/>
    <n v="0"/>
    <n v="0"/>
    <n v="0"/>
    <n v="50000000"/>
    <e v="#N/A"/>
    <e v="#N/A"/>
    <n v="0"/>
    <n v="0"/>
    <n v="0"/>
    <n v="0"/>
    <n v="0"/>
    <n v="0"/>
    <m/>
    <n v="0"/>
    <x v="1"/>
    <x v="2"/>
    <x v="3"/>
  </r>
  <r>
    <s v="HOLDCO5H"/>
    <s v="VIETINBANK - TIEN SON"/>
    <s v="212000353643"/>
    <x v="2"/>
    <s v="VND"/>
    <e v="#N/A"/>
    <e v="#N/A"/>
    <n v="800000000"/>
    <n v="0"/>
    <n v="0"/>
    <n v="0"/>
    <n v="800000000"/>
    <e v="#N/A"/>
    <e v="#N/A"/>
    <n v="0"/>
    <n v="0"/>
    <n v="0"/>
    <n v="0"/>
    <n v="0"/>
    <n v="0"/>
    <m/>
    <n v="0"/>
    <x v="1"/>
    <x v="2"/>
    <x v="3"/>
  </r>
  <r>
    <s v="HOLDCO5J"/>
    <s v="VIETINBANK - TIEN SON"/>
    <s v="210000353645"/>
    <x v="2"/>
    <s v="VND"/>
    <e v="#N/A"/>
    <e v="#N/A"/>
    <n v="800000000"/>
    <n v="0"/>
    <n v="0"/>
    <n v="0"/>
    <n v="800000000"/>
    <e v="#N/A"/>
    <e v="#N/A"/>
    <n v="0"/>
    <n v="0"/>
    <n v="0"/>
    <n v="0"/>
    <n v="0"/>
    <n v="0"/>
    <m/>
    <n v="0"/>
    <x v="1"/>
    <x v="2"/>
    <x v="3"/>
  </r>
  <r>
    <s v="HOLDCO5I"/>
    <s v="VIETINBANK - TIEN SON"/>
    <s v="217000353635"/>
    <x v="2"/>
    <s v="VND"/>
    <e v="#N/A"/>
    <e v="#N/A"/>
    <n v="800000000"/>
    <n v="0"/>
    <n v="0"/>
    <n v="0"/>
    <n v="800000000"/>
    <e v="#N/A"/>
    <e v="#N/A"/>
    <n v="0"/>
    <n v="0"/>
    <n v="0"/>
    <n v="0"/>
    <n v="0"/>
    <n v="0"/>
    <m/>
    <n v="0"/>
    <x v="1"/>
    <x v="2"/>
    <x v="3"/>
  </r>
  <r>
    <s v="HOLDCO5G"/>
    <s v="VIETINBANK - TIEN SON"/>
    <s v="212000353616"/>
    <x v="2"/>
    <s v="VND"/>
    <e v="#N/A"/>
    <e v="#N/A"/>
    <n v="800000000"/>
    <n v="0"/>
    <n v="0"/>
    <n v="0"/>
    <n v="800000000"/>
    <e v="#N/A"/>
    <e v="#N/A"/>
    <n v="0"/>
    <n v="0"/>
    <n v="0"/>
    <n v="0"/>
    <n v="0"/>
    <n v="0"/>
    <m/>
    <n v="0"/>
    <x v="1"/>
    <x v="2"/>
    <x v="3"/>
  </r>
  <r>
    <s v="HOLDCO4J"/>
    <s v="VIETINBANK - TIEN SON"/>
    <s v="219000353646"/>
    <x v="2"/>
    <s v="VND"/>
    <e v="#N/A"/>
    <e v="#N/A"/>
    <n v="50000000"/>
    <n v="0"/>
    <n v="0"/>
    <n v="0"/>
    <n v="50000000"/>
    <e v="#N/A"/>
    <e v="#N/A"/>
    <n v="0"/>
    <n v="0"/>
    <n v="0"/>
    <n v="0"/>
    <n v="0"/>
    <n v="0"/>
    <m/>
    <n v="0"/>
    <x v="1"/>
    <x v="2"/>
    <x v="3"/>
  </r>
  <r>
    <s v="HOLDCO4I"/>
    <s v="VIETINBANK - TIEN SON"/>
    <s v="211000353644"/>
    <x v="2"/>
    <s v="VND"/>
    <e v="#N/A"/>
    <e v="#N/A"/>
    <n v="50000000"/>
    <n v="0"/>
    <n v="0"/>
    <n v="0"/>
    <n v="50000000"/>
    <e v="#N/A"/>
    <e v="#N/A"/>
    <n v="0"/>
    <n v="0"/>
    <n v="0"/>
    <n v="0"/>
    <n v="0"/>
    <n v="0"/>
    <m/>
    <n v="0"/>
    <x v="1"/>
    <x v="2"/>
    <x v="3"/>
  </r>
  <r>
    <s v="HOLDCO4G"/>
    <s v="VIETINBANK - TIEN SON"/>
    <s v="215000353637"/>
    <x v="2"/>
    <s v="VND"/>
    <e v="#N/A"/>
    <e v="#N/A"/>
    <n v="50000000"/>
    <n v="0"/>
    <n v="0"/>
    <n v="0"/>
    <n v="50000000"/>
    <e v="#N/A"/>
    <e v="#N/A"/>
    <n v="0"/>
    <n v="0"/>
    <n v="0"/>
    <n v="0"/>
    <n v="0"/>
    <n v="0"/>
    <m/>
    <n v="0"/>
    <x v="1"/>
    <x v="2"/>
    <x v="3"/>
  </r>
  <r>
    <s v="HOLDCO4Q"/>
    <s v="VIETINBANK - TIEN SON"/>
    <s v="213000353642"/>
    <x v="2"/>
    <s v="VND"/>
    <e v="#N/A"/>
    <e v="#N/A"/>
    <n v="80000000"/>
    <n v="0"/>
    <n v="0"/>
    <n v="0"/>
    <n v="80000000"/>
    <e v="#N/A"/>
    <e v="#N/A"/>
    <n v="0"/>
    <n v="0"/>
    <n v="0"/>
    <n v="0"/>
    <n v="0"/>
    <n v="0"/>
    <m/>
    <n v="0"/>
    <x v="1"/>
    <x v="2"/>
    <x v="3"/>
  </r>
  <r>
    <s v="HOLDCO4R"/>
    <s v="VIETINBANK - TIEN SON"/>
    <s v="215000353640"/>
    <x v="2"/>
    <s v="VND"/>
    <e v="#N/A"/>
    <e v="#N/A"/>
    <n v="80000000"/>
    <n v="0"/>
    <n v="0"/>
    <n v="0"/>
    <n v="80000000"/>
    <e v="#N/A"/>
    <e v="#N/A"/>
    <n v="0"/>
    <n v="0"/>
    <n v="0"/>
    <n v="0"/>
    <n v="0"/>
    <n v="0"/>
    <m/>
    <n v="0"/>
    <x v="1"/>
    <x v="2"/>
    <x v="3"/>
  </r>
  <r>
    <s v="HOLDCO4S"/>
    <s v="VIETINBANK - TIEN SON"/>
    <s v="210000353620"/>
    <x v="2"/>
    <s v="VND"/>
    <e v="#N/A"/>
    <e v="#N/A"/>
    <n v="80000000"/>
    <n v="0"/>
    <n v="0"/>
    <n v="0"/>
    <n v="80000000"/>
    <e v="#N/A"/>
    <e v="#N/A"/>
    <n v="0"/>
    <n v="0"/>
    <n v="0"/>
    <n v="0"/>
    <n v="0"/>
    <n v="0"/>
    <m/>
    <n v="0"/>
    <x v="1"/>
    <x v="2"/>
    <x v="3"/>
  </r>
  <r>
    <s v="HOLDCO4T"/>
    <s v="VIETINBANK - TIEN SON"/>
    <s v="210000353618"/>
    <x v="2"/>
    <s v="VND"/>
    <e v="#N/A"/>
    <e v="#N/A"/>
    <n v="80000000"/>
    <n v="0"/>
    <n v="0"/>
    <n v="0"/>
    <n v="80000000"/>
    <e v="#N/A"/>
    <e v="#N/A"/>
    <n v="0"/>
    <n v="0"/>
    <n v="0"/>
    <n v="0"/>
    <n v="0"/>
    <n v="0"/>
    <m/>
    <n v="0"/>
    <x v="1"/>
    <x v="2"/>
    <x v="3"/>
  </r>
  <r>
    <s v="HOLDCO4U"/>
    <s v="VIETINBANK - TIEN SON"/>
    <s v="217000353623"/>
    <x v="2"/>
    <s v="VND"/>
    <e v="#N/A"/>
    <e v="#N/A"/>
    <n v="80000000"/>
    <n v="0"/>
    <n v="0"/>
    <n v="0"/>
    <n v="80000000"/>
    <e v="#N/A"/>
    <e v="#N/A"/>
    <n v="0"/>
    <n v="0"/>
    <n v="0"/>
    <n v="0"/>
    <n v="0"/>
    <n v="0"/>
    <m/>
    <n v="0"/>
    <x v="1"/>
    <x v="2"/>
    <x v="3"/>
  </r>
  <r>
    <s v="HOLDCO4Z"/>
    <s v="VIETINBANK - TIEN SON"/>
    <s v="214000353626"/>
    <x v="2"/>
    <s v="VND"/>
    <e v="#N/A"/>
    <e v="#N/A"/>
    <n v="900000000"/>
    <n v="0"/>
    <n v="0"/>
    <n v="0"/>
    <n v="900000000"/>
    <e v="#N/A"/>
    <e v="#N/A"/>
    <n v="0"/>
    <n v="0"/>
    <n v="0"/>
    <n v="0"/>
    <n v="0"/>
    <n v="0"/>
    <m/>
    <n v="0"/>
    <x v="1"/>
    <x v="2"/>
    <x v="3"/>
  </r>
  <r>
    <s v="HOLDCO4W"/>
    <s v="VIETINBANK - TIEN SON"/>
    <s v="211000353617"/>
    <x v="2"/>
    <s v="VND"/>
    <e v="#N/A"/>
    <e v="#N/A"/>
    <n v="900000000"/>
    <n v="0"/>
    <n v="0"/>
    <n v="0"/>
    <n v="900000000"/>
    <e v="#N/A"/>
    <e v="#N/A"/>
    <n v="0"/>
    <n v="0"/>
    <n v="0"/>
    <n v="0"/>
    <n v="0"/>
    <n v="0"/>
    <m/>
    <n v="0"/>
    <x v="1"/>
    <x v="2"/>
    <x v="3"/>
  </r>
  <r>
    <s v="HOLDCO5Q"/>
    <s v="VIETINBANK - TIEN SON"/>
    <s v="213000353615"/>
    <x v="2"/>
    <s v="VND"/>
    <e v="#N/A"/>
    <e v="#N/A"/>
    <n v="800000000"/>
    <n v="0"/>
    <n v="0"/>
    <n v="0"/>
    <n v="800000000"/>
    <e v="#N/A"/>
    <e v="#N/A"/>
    <n v="0"/>
    <n v="0"/>
    <n v="0"/>
    <n v="0"/>
    <n v="0"/>
    <n v="0"/>
    <m/>
    <n v="0"/>
    <x v="1"/>
    <x v="2"/>
    <x v="3"/>
  </r>
  <r>
    <s v="HOLDCO5R"/>
    <s v="VIETINBANK - TIEN SON"/>
    <s v="219000353621"/>
    <x v="2"/>
    <s v="VND"/>
    <e v="#N/A"/>
    <e v="#N/A"/>
    <n v="800000000"/>
    <n v="0"/>
    <n v="0"/>
    <n v="0"/>
    <n v="800000000"/>
    <e v="#N/A"/>
    <e v="#N/A"/>
    <n v="0"/>
    <n v="0"/>
    <n v="0"/>
    <n v="0"/>
    <n v="0"/>
    <n v="0"/>
    <m/>
    <n v="0"/>
    <x v="1"/>
    <x v="2"/>
    <x v="3"/>
  </r>
  <r>
    <s v="HOLDCO5S"/>
    <s v="VIETINBANK - TIEN SON"/>
    <s v="219000353619"/>
    <x v="2"/>
    <s v="VND"/>
    <e v="#N/A"/>
    <e v="#N/A"/>
    <n v="800000000"/>
    <n v="0"/>
    <n v="0"/>
    <n v="0"/>
    <n v="800000000"/>
    <e v="#N/A"/>
    <e v="#N/A"/>
    <n v="0"/>
    <n v="0"/>
    <n v="0"/>
    <n v="0"/>
    <n v="0"/>
    <n v="0"/>
    <m/>
    <n v="0"/>
    <x v="1"/>
    <x v="2"/>
    <x v="3"/>
  </r>
  <r>
    <s v="HOLDCO5T"/>
    <s v="VIETINBANK - TIEN SON"/>
    <s v="215000353613"/>
    <x v="2"/>
    <s v="VND"/>
    <e v="#N/A"/>
    <e v="#N/A"/>
    <n v="800000000"/>
    <n v="0"/>
    <n v="0"/>
    <n v="0"/>
    <n v="800000000"/>
    <e v="#N/A"/>
    <e v="#N/A"/>
    <n v="0"/>
    <n v="0"/>
    <n v="0"/>
    <n v="0"/>
    <n v="0"/>
    <n v="0"/>
    <m/>
    <n v="0"/>
    <x v="1"/>
    <x v="2"/>
    <x v="3"/>
  </r>
  <r>
    <s v="HOLDCO5U"/>
    <s v="VIETINBANK - TIEN SON"/>
    <s v="212000353630"/>
    <x v="2"/>
    <s v="VND"/>
    <e v="#N/A"/>
    <e v="#N/A"/>
    <n v="800000000"/>
    <n v="0"/>
    <n v="0"/>
    <n v="0"/>
    <n v="800000000"/>
    <e v="#N/A"/>
    <e v="#N/A"/>
    <n v="0"/>
    <n v="0"/>
    <n v="0"/>
    <n v="0"/>
    <n v="0"/>
    <n v="0"/>
    <m/>
    <n v="0"/>
    <x v="1"/>
    <x v="2"/>
    <x v="3"/>
  </r>
  <r>
    <s v="BWID Tan Phu Trung"/>
    <s v="VIETINBANK - TIEN SON"/>
    <s v="117002947699"/>
    <x v="0"/>
    <s v="VND"/>
    <e v="#N/A"/>
    <e v="#N/A"/>
    <n v="3241409"/>
    <n v="0"/>
    <n v="0"/>
    <n v="0"/>
    <n v="3241409"/>
    <e v="#N/A"/>
    <e v="#N/A"/>
    <n v="0"/>
    <n v="0"/>
    <n v="0"/>
    <n v="0"/>
    <n v="0"/>
    <n v="0"/>
    <m/>
    <n v="0"/>
    <x v="1"/>
    <x v="2"/>
    <x v="3"/>
  </r>
  <r>
    <s v="BWID Tan Phu Trung"/>
    <s v="VIETINBANK - TIEN SON"/>
    <s v="117612416666"/>
    <x v="0"/>
    <s v="VND"/>
    <e v="#N/A"/>
    <e v="#N/A"/>
    <n v="5833819112"/>
    <n v="5357764871"/>
    <n v="638190821"/>
    <n v="4719574050"/>
    <n v="10553393162"/>
    <e v="#N/A"/>
    <e v="#N/A"/>
    <n v="0"/>
    <n v="0"/>
    <n v="0"/>
    <n v="0"/>
    <n v="0"/>
    <n v="0"/>
    <m/>
    <n v="0"/>
    <x v="1"/>
    <x v="2"/>
    <x v="3"/>
  </r>
  <r>
    <s v="BW BAU BANG"/>
    <s v="VIETINBANK - TIEN SON"/>
    <s v="219000354575"/>
    <x v="2"/>
    <s v="VND"/>
    <e v="#N/A"/>
    <e v="#N/A"/>
    <n v="0"/>
    <n v="0"/>
    <n v="0"/>
    <n v="0"/>
    <n v="0"/>
    <e v="#N/A"/>
    <e v="#N/A"/>
    <n v="0"/>
    <n v="0"/>
    <n v="0"/>
    <n v="0"/>
    <n v="0"/>
    <n v="0"/>
    <m/>
    <n v="0"/>
    <x v="1"/>
    <x v="2"/>
    <x v="3"/>
  </r>
  <r>
    <s v="BAU BANG 3"/>
    <s v="VIETINBANK - BINH DUONG"/>
    <s v="215000354566"/>
    <x v="2"/>
    <s v="VND"/>
    <e v="#N/A"/>
    <e v="#N/A"/>
    <n v="500000000"/>
    <n v="0"/>
    <n v="0"/>
    <n v="0"/>
    <n v="500000000"/>
    <e v="#N/A"/>
    <e v="#N/A"/>
    <n v="0"/>
    <n v="0"/>
    <n v="0"/>
    <n v="0"/>
    <n v="0"/>
    <n v="0"/>
    <m/>
    <n v="0"/>
    <x v="1"/>
    <x v="2"/>
    <x v="4"/>
  </r>
  <r>
    <s v="BAU BANG 4"/>
    <s v="VIETINBANK - BINH DUONG"/>
    <s v="213000354568"/>
    <x v="2"/>
    <s v="VND"/>
    <e v="#N/A"/>
    <e v="#N/A"/>
    <n v="0"/>
    <n v="0"/>
    <n v="0"/>
    <n v="0"/>
    <n v="0"/>
    <e v="#N/A"/>
    <e v="#N/A"/>
    <n v="0"/>
    <n v="0"/>
    <n v="0"/>
    <n v="0"/>
    <n v="0"/>
    <n v="0"/>
    <m/>
    <n v="0"/>
    <x v="1"/>
    <x v="2"/>
    <x v="4"/>
  </r>
  <r>
    <s v="BWID HAI DUONG"/>
    <s v="VIETINBANK - TIEN SON"/>
    <s v="210000358352"/>
    <x v="2"/>
    <s v="VND"/>
    <e v="#N/A"/>
    <e v="#N/A"/>
    <n v="0"/>
    <n v="0"/>
    <n v="0"/>
    <n v="0"/>
    <n v="0"/>
    <e v="#N/A"/>
    <e v="#N/A"/>
    <n v="0"/>
    <n v="0"/>
    <n v="0"/>
    <n v="0"/>
    <n v="0"/>
    <n v="0"/>
    <m/>
    <n v="0"/>
    <x v="1"/>
    <x v="2"/>
    <x v="3"/>
  </r>
  <r>
    <s v="SUPPLY CHAIN 2A"/>
    <s v="VIB - HOI SO"/>
    <s v="045681644"/>
    <x v="0"/>
    <s v="VND"/>
    <e v="#N/A"/>
    <e v="#N/A"/>
    <n v="169316950"/>
    <n v="0"/>
    <n v="0"/>
    <n v="0"/>
    <n v="169316950"/>
    <e v="#N/A"/>
    <e v="#N/A"/>
    <n v="0"/>
    <n v="0"/>
    <n v="0"/>
    <n v="0"/>
    <n v="0"/>
    <n v="0"/>
    <m/>
    <n v="0"/>
    <x v="1"/>
    <x v="4"/>
    <x v="8"/>
  </r>
  <r>
    <s v="THUAN DAO"/>
    <s v="VIETINBANK - TPHCM"/>
    <s v="116002949864"/>
    <x v="0"/>
    <s v="VND"/>
    <m/>
    <m/>
    <n v="1030200259"/>
    <n v="0"/>
    <n v="0"/>
    <n v="0"/>
    <n v="1030200259"/>
    <e v="#N/A"/>
    <e v="#N/A"/>
    <n v="0"/>
    <n v="0"/>
    <n v="0"/>
    <n v="0"/>
    <n v="0"/>
    <n v="0"/>
    <e v="#N/A"/>
    <e v="#N/A"/>
    <x v="1"/>
    <x v="2"/>
    <x v="19"/>
  </r>
  <r>
    <s v="WPJV 2A"/>
    <s v="VIETINBANK - TPHCM"/>
    <s v="111002949708"/>
    <x v="0"/>
    <s v="VND"/>
    <e v="#N/A"/>
    <e v="#N/A"/>
    <n v="51176986"/>
    <n v="6542877"/>
    <n v="0"/>
    <n v="6542877"/>
    <n v="57719863"/>
    <e v="#N/A"/>
    <e v="#N/A"/>
    <n v="0"/>
    <n v="0"/>
    <n v="0"/>
    <n v="0"/>
    <n v="0"/>
    <n v="0"/>
    <m/>
    <n v="0"/>
    <x v="1"/>
    <x v="2"/>
    <x v="19"/>
  </r>
  <r>
    <s v="WPJV 2A"/>
    <s v="VIETINBANK - TPHCM"/>
    <s v="1110029497081"/>
    <x v="2"/>
    <s v="VND"/>
    <e v="#N/A"/>
    <e v="#N/A"/>
    <n v="450000000"/>
    <n v="0"/>
    <n v="0"/>
    <n v="0"/>
    <n v="450000000"/>
    <e v="#N/A"/>
    <e v="#N/A"/>
    <n v="0"/>
    <n v="0"/>
    <n v="0"/>
    <n v="0"/>
    <n v="0"/>
    <n v="0"/>
    <m/>
    <n v="0"/>
    <x v="1"/>
    <x v="2"/>
    <x v="19"/>
  </r>
  <r>
    <s v="WPJV 2B"/>
    <s v="VIETINBANK - TPHCM"/>
    <s v="113002949867"/>
    <x v="0"/>
    <s v="VND"/>
    <e v="#N/A"/>
    <e v="#N/A"/>
    <n v="51178519"/>
    <n v="6542877"/>
    <n v="0"/>
    <n v="6542877"/>
    <n v="57721396"/>
    <e v="#N/A"/>
    <e v="#N/A"/>
    <n v="0"/>
    <n v="0"/>
    <n v="0"/>
    <n v="0"/>
    <n v="0"/>
    <n v="0"/>
    <m/>
    <n v="0"/>
    <x v="1"/>
    <x v="2"/>
    <x v="19"/>
  </r>
  <r>
    <s v="WPJV 2B"/>
    <s v="VIETINBANK - TPHCM"/>
    <s v="1130029498671"/>
    <x v="2"/>
    <s v="VND"/>
    <e v="#N/A"/>
    <e v="#N/A"/>
    <n v="450000000"/>
    <n v="0"/>
    <n v="0"/>
    <n v="0"/>
    <n v="450000000"/>
    <e v="#N/A"/>
    <e v="#N/A"/>
    <n v="0"/>
    <n v="0"/>
    <n v="0"/>
    <n v="0"/>
    <n v="0"/>
    <n v="0"/>
    <m/>
    <n v="0"/>
    <x v="1"/>
    <x v="2"/>
    <x v="19"/>
  </r>
  <r>
    <s v="HOLDCO4W"/>
    <s v="STANDARD CHARTERED"/>
    <s v="90443435201"/>
    <x v="0"/>
    <s v="VND"/>
    <m/>
    <m/>
    <n v="101427112"/>
    <n v="0"/>
    <n v="0"/>
    <n v="0"/>
    <n v="101427112"/>
    <e v="#N/A"/>
    <e v="#N/A"/>
    <n v="0"/>
    <n v="0"/>
    <n v="0"/>
    <n v="0"/>
    <n v="0"/>
    <n v="0"/>
    <e v="#N/A"/>
    <e v="#N/A"/>
    <x v="1"/>
    <x v="12"/>
    <x v="20"/>
  </r>
  <r>
    <s v="HOLDCO4X"/>
    <s v="STANDARD CHARTERED"/>
    <s v="90443435101"/>
    <x v="0"/>
    <s v="VND"/>
    <e v="#N/A"/>
    <e v="#N/A"/>
    <n v="88727179"/>
    <n v="0"/>
    <n v="0"/>
    <n v="0"/>
    <n v="88727179"/>
    <e v="#N/A"/>
    <e v="#N/A"/>
    <n v="0"/>
    <n v="0"/>
    <n v="0"/>
    <n v="0"/>
    <n v="0"/>
    <n v="0"/>
    <m/>
    <n v="0"/>
    <x v="1"/>
    <x v="12"/>
    <x v="20"/>
  </r>
  <r>
    <s v="HOLDCO5R"/>
    <s v="STANDARD CHARTERED"/>
    <s v="90443435601"/>
    <x v="0"/>
    <s v="VND"/>
    <e v="#N/A"/>
    <e v="#N/A"/>
    <n v="90007234"/>
    <n v="0"/>
    <n v="0"/>
    <n v="0"/>
    <n v="90007234"/>
    <e v="#N/A"/>
    <e v="#N/A"/>
    <n v="0"/>
    <n v="0"/>
    <n v="0"/>
    <n v="0"/>
    <n v="0"/>
    <n v="0"/>
    <m/>
    <n v="0"/>
    <x v="1"/>
    <x v="12"/>
    <x v="20"/>
  </r>
  <r>
    <s v="HOLDCO4Y"/>
    <s v="STANDARD CHARTERED"/>
    <s v="90443435301"/>
    <x v="0"/>
    <s v="VND"/>
    <e v="#N/A"/>
    <e v="#N/A"/>
    <n v="157328476"/>
    <n v="0"/>
    <n v="0"/>
    <n v="0"/>
    <n v="157328476"/>
    <e v="#N/A"/>
    <e v="#N/A"/>
    <n v="0"/>
    <n v="0"/>
    <n v="0"/>
    <n v="0"/>
    <n v="0"/>
    <n v="0"/>
    <m/>
    <n v="0"/>
    <x v="1"/>
    <x v="12"/>
    <x v="20"/>
  </r>
  <r>
    <s v="HOLDCO5Q"/>
    <s v="STANDARD CHARTERED"/>
    <s v="90443435501"/>
    <x v="0"/>
    <s v="VND"/>
    <e v="#N/A"/>
    <e v="#N/A"/>
    <n v="98857026"/>
    <n v="0"/>
    <n v="0"/>
    <n v="0"/>
    <n v="98857026"/>
    <e v="#N/A"/>
    <e v="#N/A"/>
    <n v="0"/>
    <n v="0"/>
    <n v="0"/>
    <n v="0"/>
    <n v="0"/>
    <n v="0"/>
    <m/>
    <n v="0"/>
    <x v="1"/>
    <x v="12"/>
    <x v="20"/>
  </r>
  <r>
    <s v="HOLDCO4W"/>
    <s v="STANDARD CHARTERED"/>
    <s v="90443660301"/>
    <x v="5"/>
    <s v="VND"/>
    <e v="#N/A"/>
    <e v="#N/A"/>
    <n v="0"/>
    <n v="0"/>
    <n v="0"/>
    <n v="0"/>
    <n v="0"/>
    <e v="#N/A"/>
    <e v="#N/A"/>
    <n v="0"/>
    <n v="0"/>
    <n v="0"/>
    <n v="0"/>
    <n v="0"/>
    <n v="0"/>
    <m/>
    <n v="0"/>
    <x v="1"/>
    <x v="12"/>
    <x v="20"/>
  </r>
  <r>
    <s v="HOLDCO4X"/>
    <s v="STANDARD CHARTERED"/>
    <s v="90443659701"/>
    <x v="5"/>
    <s v="VND"/>
    <e v="#N/A"/>
    <e v="#N/A"/>
    <n v="0"/>
    <n v="0"/>
    <n v="0"/>
    <n v="0"/>
    <n v="0"/>
    <e v="#N/A"/>
    <e v="#N/A"/>
    <n v="0"/>
    <n v="0"/>
    <n v="0"/>
    <n v="0"/>
    <n v="0"/>
    <n v="0"/>
    <m/>
    <n v="0"/>
    <x v="1"/>
    <x v="12"/>
    <x v="20"/>
  </r>
  <r>
    <s v="HOLDCO5R"/>
    <s v="STANDARD CHARTERED"/>
    <s v="90443659801"/>
    <x v="5"/>
    <s v="VND"/>
    <e v="#N/A"/>
    <e v="#N/A"/>
    <n v="0"/>
    <n v="0"/>
    <n v="0"/>
    <n v="0"/>
    <n v="0"/>
    <e v="#N/A"/>
    <e v="#N/A"/>
    <n v="0"/>
    <n v="0"/>
    <n v="0"/>
    <n v="0"/>
    <n v="0"/>
    <n v="0"/>
    <m/>
    <n v="0"/>
    <x v="1"/>
    <x v="12"/>
    <x v="20"/>
  </r>
  <r>
    <s v="HOLDCO4Y"/>
    <s v="STANDARD CHARTERED"/>
    <s v="90443660101"/>
    <x v="5"/>
    <s v="VND"/>
    <e v="#N/A"/>
    <e v="#N/A"/>
    <n v="0"/>
    <n v="0"/>
    <n v="0"/>
    <n v="0"/>
    <n v="0"/>
    <e v="#N/A"/>
    <e v="#N/A"/>
    <n v="0"/>
    <n v="0"/>
    <n v="0"/>
    <n v="0"/>
    <n v="0"/>
    <n v="0"/>
    <m/>
    <n v="0"/>
    <x v="1"/>
    <x v="12"/>
    <x v="20"/>
  </r>
  <r>
    <s v="HOLDCO5Q"/>
    <s v="STANDARD CHARTERED"/>
    <s v="90443660201"/>
    <x v="5"/>
    <s v="VND"/>
    <e v="#N/A"/>
    <e v="#N/A"/>
    <n v="0"/>
    <n v="0"/>
    <n v="0"/>
    <n v="0"/>
    <n v="0"/>
    <e v="#N/A"/>
    <e v="#N/A"/>
    <n v="0"/>
    <n v="0"/>
    <n v="0"/>
    <n v="0"/>
    <n v="0"/>
    <n v="0"/>
    <m/>
    <n v="0"/>
    <x v="1"/>
    <x v="12"/>
    <x v="20"/>
  </r>
  <r>
    <s v="NDV HOLDCO 1"/>
    <s v="BIDV - THANH XUAN"/>
    <s v="2225402352"/>
    <x v="0"/>
    <s v="VND"/>
    <e v="#N/A"/>
    <e v="#N/A"/>
    <n v="15290024"/>
    <n v="0"/>
    <n v="0"/>
    <n v="0"/>
    <n v="15290024"/>
    <e v="#N/A"/>
    <e v="#N/A"/>
    <n v="0"/>
    <n v="0"/>
    <n v="0"/>
    <n v="0"/>
    <n v="0"/>
    <n v="0"/>
    <m/>
    <n v="0"/>
    <x v="1"/>
    <x v="0"/>
    <x v="0"/>
  </r>
  <r>
    <s v="NDV HOLDCO 2"/>
    <s v="BIDV - THANH XUAN"/>
    <s v="2225402343"/>
    <x v="0"/>
    <s v="VND"/>
    <e v="#N/A"/>
    <e v="#N/A"/>
    <n v="1207129"/>
    <n v="0"/>
    <n v="0"/>
    <n v="0"/>
    <n v="1207129"/>
    <e v="#N/A"/>
    <e v="#N/A"/>
    <n v="0"/>
    <n v="0"/>
    <n v="0"/>
    <n v="0"/>
    <n v="0"/>
    <n v="0"/>
    <m/>
    <n v="0"/>
    <x v="1"/>
    <x v="0"/>
    <x v="0"/>
  </r>
  <r>
    <s v="YEN PHONG HOLDCO"/>
    <s v="BIDV - THANH XUAN"/>
    <s v="2225402361"/>
    <x v="0"/>
    <s v="VND"/>
    <e v="#N/A"/>
    <e v="#N/A"/>
    <n v="88830826"/>
    <n v="0"/>
    <n v="0"/>
    <n v="0"/>
    <n v="88830826"/>
    <e v="#N/A"/>
    <e v="#N/A"/>
    <n v="0"/>
    <n v="0"/>
    <n v="0"/>
    <n v="0"/>
    <n v="0"/>
    <n v="0"/>
    <m/>
    <n v="0"/>
    <x v="1"/>
    <x v="0"/>
    <x v="0"/>
  </r>
  <r>
    <s v="YEN PHONG HOLDCO"/>
    <s v="BIDV - THANH XUAN"/>
    <s v="2225546171"/>
    <x v="1"/>
    <s v="VND"/>
    <e v="#N/A"/>
    <e v="#N/A"/>
    <n v="0"/>
    <n v="0"/>
    <n v="0"/>
    <n v="0"/>
    <n v="0"/>
    <e v="#N/A"/>
    <e v="#N/A"/>
    <n v="0"/>
    <n v="0"/>
    <n v="0"/>
    <n v="0"/>
    <n v="0"/>
    <n v="0"/>
    <m/>
    <n v="0"/>
    <x v="1"/>
    <x v="0"/>
    <x v="0"/>
  </r>
  <r>
    <s v="YEN PHONG HOLDCO"/>
    <s v="BIDV - THANH XUAN"/>
    <s v="2220110627"/>
    <x v="0"/>
    <s v="USD"/>
    <e v="#N/A"/>
    <e v="#N/A"/>
    <n v="0"/>
    <n v="0"/>
    <n v="0"/>
    <n v="0"/>
    <n v="0"/>
    <e v="#N/A"/>
    <e v="#N/A"/>
    <n v="0"/>
    <n v="0"/>
    <n v="0"/>
    <n v="0"/>
    <n v="0"/>
    <n v="0"/>
    <m/>
    <n v="0"/>
    <x v="1"/>
    <x v="0"/>
    <x v="0"/>
  </r>
  <r>
    <s v="YEN PHONG HOLDCO"/>
    <s v="BIDV - THANH XUAN"/>
    <s v="8680006880"/>
    <x v="3"/>
    <s v="USD"/>
    <m/>
    <m/>
    <n v="0"/>
    <n v="0"/>
    <n v="0"/>
    <n v="0"/>
    <n v="0"/>
    <e v="#N/A"/>
    <e v="#N/A"/>
    <n v="0"/>
    <n v="0"/>
    <n v="0"/>
    <n v="0"/>
    <n v="0"/>
    <n v="0"/>
    <e v="#N/A"/>
    <e v="#N/A"/>
    <x v="1"/>
    <x v="0"/>
    <x v="0"/>
  </r>
  <r>
    <s v="QV2 HOLDCO"/>
    <s v="BIDV - THANH XUAN"/>
    <s v="8670003775"/>
    <x v="0"/>
    <s v="VND"/>
    <e v="#N/A"/>
    <e v="#N/A"/>
    <n v="68888221"/>
    <n v="0"/>
    <n v="0"/>
    <n v="0"/>
    <n v="68888221"/>
    <e v="#N/A"/>
    <e v="#N/A"/>
    <n v="0"/>
    <n v="0"/>
    <n v="0"/>
    <n v="0"/>
    <n v="0"/>
    <n v="0"/>
    <m/>
    <n v="0"/>
    <x v="1"/>
    <x v="0"/>
    <x v="0"/>
  </r>
  <r>
    <s v="TAY HAI"/>
    <s v="BIDV - THANH XUAN"/>
    <s v="8650003077"/>
    <x v="0"/>
    <s v="VND"/>
    <e v="#N/A"/>
    <e v="#N/A"/>
    <n v="0"/>
    <n v="0"/>
    <n v="0"/>
    <n v="0"/>
    <n v="0"/>
    <e v="#N/A"/>
    <e v="#N/A"/>
    <n v="0"/>
    <n v="0"/>
    <n v="0"/>
    <n v="0"/>
    <n v="0"/>
    <n v="0"/>
    <m/>
    <n v="0"/>
    <x v="1"/>
    <x v="0"/>
    <x v="0"/>
  </r>
  <r>
    <s v="NSHL HOLDCO"/>
    <s v="BIDV - THANH XUAN"/>
    <s v="2225007614"/>
    <x v="1"/>
    <s v="VND"/>
    <e v="#N/A"/>
    <e v="#N/A"/>
    <n v="1479134"/>
    <n v="0"/>
    <n v="0"/>
    <n v="0"/>
    <n v="1479134"/>
    <e v="#N/A"/>
    <e v="#N/A"/>
    <n v="0"/>
    <n v="0"/>
    <n v="0"/>
    <n v="0"/>
    <n v="0"/>
    <n v="0"/>
    <m/>
    <n v="0"/>
    <x v="1"/>
    <x v="0"/>
    <x v="0"/>
  </r>
  <r>
    <s v="NSHL HOLDCO"/>
    <s v="BIDV - THANH XUAN"/>
    <s v="2222201888"/>
    <x v="0"/>
    <s v="VND"/>
    <e v="#N/A"/>
    <e v="#N/A"/>
    <n v="17970038"/>
    <n v="0"/>
    <n v="0"/>
    <n v="0"/>
    <n v="17970038"/>
    <e v="#N/A"/>
    <e v="#N/A"/>
    <n v="0"/>
    <n v="0"/>
    <n v="0"/>
    <n v="0"/>
    <n v="0"/>
    <n v="0"/>
    <m/>
    <n v="0"/>
    <x v="1"/>
    <x v="0"/>
    <x v="0"/>
  </r>
  <r>
    <s v="NSHL LLC"/>
    <s v="BIDV - THANH XUAN"/>
    <s v="2225179735"/>
    <x v="0"/>
    <s v="VND"/>
    <e v="#N/A"/>
    <e v="#N/A"/>
    <n v="858514216"/>
    <n v="2618317067"/>
    <n v="20276179"/>
    <n v="2598040888"/>
    <n v="3456555104"/>
    <e v="#N/A"/>
    <e v="#N/A"/>
    <n v="0"/>
    <n v="0"/>
    <n v="0"/>
    <n v="0"/>
    <n v="0"/>
    <n v="0"/>
    <m/>
    <n v="0"/>
    <x v="1"/>
    <x v="0"/>
    <x v="0"/>
  </r>
  <r>
    <s v="SAO HOA"/>
    <s v="VIETINBANK - TPHCM"/>
    <s v="119002947319"/>
    <x v="0"/>
    <s v="VND"/>
    <e v="#N/A"/>
    <e v="#N/A"/>
    <n v="1476610123"/>
    <n v="0"/>
    <n v="0"/>
    <n v="0"/>
    <n v="1476610123"/>
    <e v="#N/A"/>
    <e v="#N/A"/>
    <n v="0"/>
    <n v="0"/>
    <n v="0"/>
    <n v="0"/>
    <n v="0"/>
    <n v="0"/>
    <m/>
    <n v="0"/>
    <x v="2"/>
    <x v="2"/>
    <x v="19"/>
  </r>
  <r>
    <s v="BW SUPLLY CHAIN CITY"/>
    <s v="BIDV - GIA DINH"/>
    <s v="8660008651"/>
    <x v="0"/>
    <s v="VND"/>
    <e v="#N/A"/>
    <e v="#N/A"/>
    <n v="0"/>
    <n v="0"/>
    <n v="0"/>
    <n v="0"/>
    <n v="0"/>
    <e v="#N/A"/>
    <e v="#N/A"/>
    <n v="0"/>
    <n v="0"/>
    <n v="0"/>
    <n v="0"/>
    <n v="0"/>
    <n v="0"/>
    <m/>
    <n v="0"/>
    <x v="1"/>
    <x v="0"/>
    <x v="21"/>
  </r>
  <r>
    <s v="HOLDCO4T"/>
    <s v="BIDV - THANH XUAN"/>
    <s v="8610003832"/>
    <x v="0"/>
    <s v="VND"/>
    <e v="#N/A"/>
    <e v="#N/A"/>
    <n v="29360806"/>
    <n v="0"/>
    <n v="0"/>
    <n v="0"/>
    <n v="29360806"/>
    <e v="#N/A"/>
    <e v="#N/A"/>
    <n v="0"/>
    <n v="0"/>
    <n v="0"/>
    <n v="0"/>
    <n v="0"/>
    <n v="0"/>
    <m/>
    <n v="0"/>
    <x v="1"/>
    <x v="0"/>
    <x v="0"/>
  </r>
  <r>
    <s v="HOLDCO5T"/>
    <s v="BIDV - THANH XUAN"/>
    <s v="8610003833"/>
    <x v="0"/>
    <s v="VND"/>
    <e v="#N/A"/>
    <e v="#N/A"/>
    <n v="0"/>
    <n v="0"/>
    <n v="0"/>
    <n v="0"/>
    <n v="0"/>
    <e v="#N/A"/>
    <e v="#N/A"/>
    <n v="0"/>
    <n v="0"/>
    <n v="0"/>
    <n v="0"/>
    <n v="0"/>
    <n v="0"/>
    <m/>
    <n v="0"/>
    <x v="1"/>
    <x v="0"/>
    <x v="0"/>
  </r>
  <r>
    <s v="YEN PHONG PROJECT CO"/>
    <s v="BIDV - THANH XUAN"/>
    <s v="8660004066"/>
    <x v="0"/>
    <s v="VND"/>
    <e v="#N/A"/>
    <e v="#N/A"/>
    <n v="5947247743"/>
    <n v="0"/>
    <n v="0"/>
    <n v="0"/>
    <n v="5947247743"/>
    <e v="#N/A"/>
    <e v="#N/A"/>
    <n v="0"/>
    <n v="0"/>
    <n v="0"/>
    <n v="0"/>
    <n v="0"/>
    <n v="0"/>
    <m/>
    <n v="0"/>
    <x v="1"/>
    <x v="0"/>
    <x v="0"/>
  </r>
  <r>
    <s v="YEN PHONG PROJECT CO"/>
    <s v="BIDV - THANH XUAN"/>
    <s v="8690004067"/>
    <x v="0"/>
    <s v="USD"/>
    <e v="#N/A"/>
    <e v="#N/A"/>
    <n v="0"/>
    <n v="0"/>
    <n v="0"/>
    <n v="0"/>
    <n v="0"/>
    <e v="#N/A"/>
    <e v="#N/A"/>
    <n v="0"/>
    <n v="0"/>
    <n v="0"/>
    <n v="0"/>
    <n v="0"/>
    <n v="0"/>
    <m/>
    <n v="0"/>
    <x v="1"/>
    <x v="0"/>
    <x v="0"/>
  </r>
  <r>
    <s v="YEN PHONG PROJECT CO"/>
    <s v="UOB - HCM"/>
    <s v="1053001888"/>
    <x v="0"/>
    <s v="VND"/>
    <e v="#N/A"/>
    <e v="#N/A"/>
    <n v="0"/>
    <n v="0"/>
    <n v="0"/>
    <n v="0"/>
    <n v="0"/>
    <e v="#N/A"/>
    <e v="#N/A"/>
    <n v="0"/>
    <n v="0"/>
    <n v="0"/>
    <n v="0"/>
    <n v="0"/>
    <n v="0"/>
    <m/>
    <n v="0"/>
    <x v="1"/>
    <x v="10"/>
    <x v="17"/>
  </r>
  <r>
    <s v="YEN PHONG PROJECT CO"/>
    <s v="UOB - HCM"/>
    <s v="1053001896"/>
    <x v="1"/>
    <s v="VND"/>
    <e v="#N/A"/>
    <e v="#N/A"/>
    <n v="0"/>
    <n v="0"/>
    <n v="0"/>
    <n v="0"/>
    <n v="0"/>
    <e v="#N/A"/>
    <e v="#N/A"/>
    <n v="0"/>
    <n v="0"/>
    <n v="0"/>
    <n v="0"/>
    <n v="0"/>
    <n v="0"/>
    <m/>
    <n v="0"/>
    <x v="1"/>
    <x v="10"/>
    <x v="17"/>
  </r>
  <r>
    <s v="YEN PHONG PROJECT CO"/>
    <s v="UOB - HCM"/>
    <s v="1059002622"/>
    <x v="0"/>
    <s v="USD"/>
    <e v="#N/A"/>
    <e v="#N/A"/>
    <n v="0"/>
    <n v="0"/>
    <n v="0"/>
    <n v="0"/>
    <n v="0"/>
    <e v="#N/A"/>
    <e v="#N/A"/>
    <n v="0"/>
    <n v="0"/>
    <n v="0"/>
    <n v="0"/>
    <n v="0"/>
    <n v="0"/>
    <m/>
    <n v="0"/>
    <x v="1"/>
    <x v="10"/>
    <x v="17"/>
  </r>
  <r>
    <s v="YEN PHONG PROJECT CO"/>
    <s v="UOB - HCM"/>
    <s v="1059002649"/>
    <x v="1"/>
    <s v="USD"/>
    <m/>
    <m/>
    <n v="0"/>
    <n v="0"/>
    <n v="0"/>
    <n v="0"/>
    <n v="0"/>
    <e v="#N/A"/>
    <e v="#N/A"/>
    <n v="0"/>
    <n v="0"/>
    <n v="0"/>
    <n v="0"/>
    <n v="0"/>
    <n v="0"/>
    <e v="#N/A"/>
    <e v="#N/A"/>
    <x v="1"/>
    <x v="10"/>
    <x v="17"/>
  </r>
  <r>
    <s v="NDV PROJECT CO"/>
    <s v="BIDV - THANH XUAN"/>
    <s v="8620004064"/>
    <x v="0"/>
    <s v="VND"/>
    <e v="#N/A"/>
    <e v="#N/A"/>
    <n v="5138287066"/>
    <n v="13855796925"/>
    <n v="307616174"/>
    <n v="13548180751"/>
    <n v="18686467817"/>
    <e v="#N/A"/>
    <e v="#N/A"/>
    <n v="0"/>
    <n v="0"/>
    <n v="0"/>
    <n v="0"/>
    <n v="0"/>
    <n v="0"/>
    <m/>
    <n v="0"/>
    <x v="1"/>
    <x v="0"/>
    <x v="0"/>
  </r>
  <r>
    <s v="NDV PROJECT CO"/>
    <s v="BIDV - THANH XUAN"/>
    <s v="8640004065"/>
    <x v="0"/>
    <s v="USD"/>
    <e v="#N/A"/>
    <e v="#N/A"/>
    <n v="0"/>
    <n v="0"/>
    <n v="0"/>
    <n v="0"/>
    <n v="0"/>
    <e v="#N/A"/>
    <e v="#N/A"/>
    <n v="0"/>
    <n v="0"/>
    <n v="0"/>
    <n v="0"/>
    <n v="0"/>
    <n v="0"/>
    <m/>
    <n v="0"/>
    <x v="1"/>
    <x v="0"/>
    <x v="0"/>
  </r>
  <r>
    <s v="NDV PROJECT CO"/>
    <s v="UOB - HCM"/>
    <s v="1053012901"/>
    <x v="0"/>
    <s v="VND"/>
    <e v="#N/A"/>
    <e v="#N/A"/>
    <n v="0"/>
    <n v="0"/>
    <n v="0"/>
    <n v="0"/>
    <n v="0"/>
    <e v="#N/A"/>
    <e v="#N/A"/>
    <n v="0"/>
    <n v="0"/>
    <n v="0"/>
    <n v="0"/>
    <n v="0"/>
    <n v="0"/>
    <m/>
    <n v="0"/>
    <x v="1"/>
    <x v="10"/>
    <x v="17"/>
  </r>
  <r>
    <s v="NDV PROJECT CO"/>
    <s v="UOB - HCM"/>
    <s v="1053012928"/>
    <x v="1"/>
    <s v="VND"/>
    <e v="#N/A"/>
    <e v="#N/A"/>
    <n v="0"/>
    <n v="0"/>
    <n v="0"/>
    <n v="0"/>
    <n v="0"/>
    <e v="#N/A"/>
    <e v="#N/A"/>
    <n v="0"/>
    <n v="0"/>
    <n v="0"/>
    <n v="0"/>
    <n v="0"/>
    <n v="0"/>
    <m/>
    <n v="0"/>
    <x v="1"/>
    <x v="10"/>
    <x v="17"/>
  </r>
  <r>
    <s v="NDV PROJECT CO"/>
    <s v="UOB - HCM"/>
    <s v="1059017913"/>
    <x v="0"/>
    <s v="USD"/>
    <e v="#N/A"/>
    <e v="#N/A"/>
    <n v="0"/>
    <n v="0"/>
    <n v="0"/>
    <n v="0"/>
    <n v="0"/>
    <e v="#N/A"/>
    <e v="#N/A"/>
    <n v="0"/>
    <n v="0"/>
    <n v="0"/>
    <n v="0"/>
    <n v="0"/>
    <n v="0"/>
    <m/>
    <n v="0"/>
    <x v="1"/>
    <x v="10"/>
    <x v="17"/>
  </r>
  <r>
    <s v="NDV PROJECT CO"/>
    <s v="UOB - HCM"/>
    <s v="1059017921"/>
    <x v="1"/>
    <s v="USD"/>
    <m/>
    <m/>
    <n v="0"/>
    <n v="0"/>
    <n v="0"/>
    <n v="0"/>
    <n v="0"/>
    <e v="#N/A"/>
    <e v="#N/A"/>
    <n v="0"/>
    <n v="0"/>
    <n v="0"/>
    <n v="0"/>
    <n v="0"/>
    <n v="0"/>
    <e v="#N/A"/>
    <e v="#N/A"/>
    <x v="1"/>
    <x v="10"/>
    <x v="17"/>
  </r>
  <r>
    <s v="DONG TIEN PHONG"/>
    <s v="VIETINBANK - QUANG MINH"/>
    <s v="113632066789"/>
    <x v="0"/>
    <s v="VND"/>
    <e v="#N/A"/>
    <e v="#N/A"/>
    <n v="10361724"/>
    <n v="0"/>
    <n v="0"/>
    <n v="0"/>
    <n v="10361724"/>
    <e v="#N/A"/>
    <e v="#N/A"/>
    <n v="0"/>
    <n v="0"/>
    <n v="0"/>
    <n v="0"/>
    <n v="0"/>
    <n v="0"/>
    <m/>
    <n v="0"/>
    <x v="1"/>
    <x v="2"/>
    <x v="4"/>
  </r>
  <r>
    <s v="DONG TIEN PHONG"/>
    <s v="VIETINBANK - QUANG MINH"/>
    <s v="118002955174"/>
    <x v="0"/>
    <s v="USD"/>
    <e v="#N/A"/>
    <e v="#N/A"/>
    <n v="0"/>
    <n v="0"/>
    <n v="0"/>
    <n v="0"/>
    <n v="0"/>
    <e v="#N/A"/>
    <e v="#N/A"/>
    <n v="0"/>
    <n v="0"/>
    <n v="0"/>
    <n v="0"/>
    <n v="0"/>
    <n v="0"/>
    <m/>
    <n v="0"/>
    <x v="1"/>
    <x v="2"/>
    <x v="4"/>
  </r>
  <r>
    <s v="QV2 HOLDCO"/>
    <s v="BIDV - THANH XUAN"/>
    <s v="8690003776"/>
    <x v="0"/>
    <s v="USD"/>
    <e v="#N/A"/>
    <e v="#N/A"/>
    <n v="0"/>
    <n v="0"/>
    <n v="0"/>
    <n v="0"/>
    <n v="0"/>
    <e v="#N/A"/>
    <e v="#N/A"/>
    <n v="0"/>
    <n v="0"/>
    <n v="0"/>
    <n v="0"/>
    <n v="0"/>
    <n v="0"/>
    <m/>
    <n v="0"/>
    <x v="1"/>
    <x v="0"/>
    <x v="0"/>
  </r>
  <r>
    <s v="QV2 HOLDCO"/>
    <s v="BIDV - THANH XUAN"/>
    <s v="8670003775_1"/>
    <x v="2"/>
    <s v="VND"/>
    <e v="#N/A"/>
    <e v="#N/A"/>
    <n v="1000000000"/>
    <n v="0"/>
    <n v="0"/>
    <n v="0"/>
    <n v="1000000000"/>
    <e v="#N/A"/>
    <e v="#N/A"/>
    <n v="0"/>
    <n v="0"/>
    <n v="0"/>
    <n v="0"/>
    <n v="0"/>
    <n v="0"/>
    <m/>
    <n v="0"/>
    <x v="1"/>
    <x v="0"/>
    <x v="0"/>
  </r>
  <r>
    <s v="SAO HOA"/>
    <s v="VIETINBANK - QUANG MINH"/>
    <s v="117002954749"/>
    <x v="0"/>
    <s v="USD"/>
    <e v="#N/A"/>
    <e v="#N/A"/>
    <n v="0"/>
    <n v="0"/>
    <n v="0"/>
    <n v="0"/>
    <n v="0"/>
    <e v="#N/A"/>
    <e v="#N/A"/>
    <n v="0"/>
    <n v="0"/>
    <n v="0"/>
    <n v="0"/>
    <n v="0"/>
    <n v="0"/>
    <m/>
    <n v="0"/>
    <x v="2"/>
    <x v="2"/>
    <x v="4"/>
  </r>
  <r>
    <s v="BW PHU NGHIA"/>
    <s v="BIDV - THANH XUAN"/>
    <s v="817001485788"/>
    <x v="2"/>
    <s v="VND"/>
    <e v="#N/A"/>
    <e v="#N/A"/>
    <n v="2000000000"/>
    <n v="0"/>
    <n v="0"/>
    <n v="0"/>
    <n v="2000000000"/>
    <e v="#N/A"/>
    <e v="#N/A"/>
    <n v="0"/>
    <n v="0"/>
    <n v="0"/>
    <n v="0"/>
    <n v="0"/>
    <n v="0"/>
    <m/>
    <n v="0"/>
    <x v="1"/>
    <x v="0"/>
    <x v="0"/>
  </r>
  <r>
    <s v="HOLDCO S4C"/>
    <s v="VIETINBANK - TIEN SON"/>
    <s v="110616421111"/>
    <x v="0"/>
    <s v="VND"/>
    <e v="#N/A"/>
    <e v="#N/A"/>
    <n v="7978713"/>
    <n v="0"/>
    <n v="0"/>
    <n v="0"/>
    <n v="7978713"/>
    <e v="#N/A"/>
    <e v="#N/A"/>
    <n v="0"/>
    <n v="0"/>
    <n v="0"/>
    <n v="0"/>
    <n v="0"/>
    <n v="0"/>
    <m/>
    <n v="0"/>
    <x v="1"/>
    <x v="2"/>
    <x v="3"/>
  </r>
  <r>
    <s v="TCS JSC"/>
    <s v="VIETINBANK - QUANG MINH"/>
    <s v="118002959877"/>
    <x v="0"/>
    <s v="VND"/>
    <e v="#N/A"/>
    <e v="#N/A"/>
    <n v="6884080"/>
    <n v="0"/>
    <n v="6884080"/>
    <n v="-6884080"/>
    <n v="0"/>
    <e v="#N/A"/>
    <e v="#N/A"/>
    <n v="0"/>
    <n v="0"/>
    <n v="0"/>
    <n v="0"/>
    <n v="0"/>
    <n v="0"/>
    <m/>
    <n v="0"/>
    <x v="1"/>
    <x v="2"/>
    <x v="4"/>
  </r>
  <r>
    <s v="TCS JSC"/>
    <s v="VIETINBANK - QUANG MINH"/>
    <s v="117002959878"/>
    <x v="0"/>
    <s v="USD"/>
    <e v="#N/A"/>
    <e v="#N/A"/>
    <n v="0"/>
    <n v="0"/>
    <n v="0"/>
    <n v="0"/>
    <n v="0"/>
    <e v="#N/A"/>
    <e v="#N/A"/>
    <n v="0"/>
    <n v="0"/>
    <n v="0"/>
    <n v="0"/>
    <n v="0"/>
    <n v="0"/>
    <m/>
    <n v="0"/>
    <x v="1"/>
    <x v="2"/>
    <x v="4"/>
  </r>
  <r>
    <s v="HOLDCO S4D"/>
    <s v="VIETINBANK - TIEN SON"/>
    <s v="110641253333"/>
    <x v="0"/>
    <s v="VND"/>
    <e v="#N/A"/>
    <e v="#N/A"/>
    <n v="95680835"/>
    <n v="0"/>
    <n v="0"/>
    <n v="0"/>
    <n v="95680835"/>
    <e v="#N/A"/>
    <e v="#N/A"/>
    <n v="0"/>
    <n v="0"/>
    <n v="0"/>
    <n v="0"/>
    <n v="0"/>
    <n v="0"/>
    <m/>
    <n v="0"/>
    <x v="1"/>
    <x v="2"/>
    <x v="3"/>
  </r>
  <r>
    <s v="MINH PHUONG"/>
    <s v="VIETCOMBANK - NAM BINH DUONG"/>
    <s v="1024510918"/>
    <x v="0"/>
    <s v="VND"/>
    <m/>
    <m/>
    <n v="8291787"/>
    <n v="0"/>
    <n v="0"/>
    <n v="0"/>
    <n v="8291787"/>
    <e v="#N/A"/>
    <e v="#N/A"/>
    <n v="0"/>
    <n v="0"/>
    <n v="0"/>
    <n v="0"/>
    <n v="0"/>
    <n v="0"/>
    <e v="#N/A"/>
    <e v="#N/A"/>
    <x v="1"/>
    <x v="1"/>
    <x v="22"/>
  </r>
  <r>
    <s v="TCS JSC"/>
    <s v="VIETCOMBANK - BINH TAY"/>
    <s v="1032485398"/>
    <x v="0"/>
    <s v="VND"/>
    <m/>
    <m/>
    <n v="1945689"/>
    <n v="0"/>
    <n v="0"/>
    <n v="0"/>
    <n v="1945689"/>
    <e v="#N/A"/>
    <e v="#N/A"/>
    <n v="0"/>
    <n v="0"/>
    <n v="0"/>
    <n v="0"/>
    <n v="0"/>
    <n v="0"/>
    <e v="#N/A"/>
    <e v="#N/A"/>
    <x v="1"/>
    <x v="1"/>
    <x v="23"/>
  </r>
  <r>
    <s v="MINH PHUONG"/>
    <s v="BIDV - THANH XUAN"/>
    <s v="8600013323"/>
    <x v="0"/>
    <s v="VND"/>
    <e v="#N/A"/>
    <e v="#N/A"/>
    <n v="1269855845"/>
    <n v="0"/>
    <n v="0"/>
    <n v="0"/>
    <n v="1269855845"/>
    <e v="#N/A"/>
    <e v="#N/A"/>
    <n v="0"/>
    <n v="0"/>
    <n v="0"/>
    <n v="0"/>
    <n v="0"/>
    <n v="0"/>
    <m/>
    <n v="0"/>
    <x v="1"/>
    <x v="0"/>
    <x v="0"/>
  </r>
  <r>
    <s v="NSHL HOLDCO"/>
    <s v="BIDV - THANH XUAN"/>
    <s v="2220109388"/>
    <x v="1"/>
    <s v="USD"/>
    <m/>
    <m/>
    <n v="0"/>
    <n v="0"/>
    <n v="0"/>
    <n v="0"/>
    <n v="0"/>
    <e v="#N/A"/>
    <e v="#N/A"/>
    <n v="0"/>
    <n v="0"/>
    <n v="0"/>
    <n v="0"/>
    <n v="0"/>
    <n v="0"/>
    <e v="#N/A"/>
    <e v="#N/A"/>
    <x v="1"/>
    <x v="0"/>
    <x v="0"/>
  </r>
  <r>
    <s v="NSHL LLC"/>
    <s v="BIDV - THANH XUAN"/>
    <s v="2220109722"/>
    <x v="0"/>
    <s v="USD"/>
    <e v="#N/A"/>
    <e v="#N/A"/>
    <n v="0"/>
    <n v="0"/>
    <n v="0"/>
    <n v="0"/>
    <n v="0"/>
    <e v="#N/A"/>
    <e v="#N/A"/>
    <n v="0"/>
    <n v="0"/>
    <n v="0"/>
    <n v="0"/>
    <n v="0"/>
    <n v="0"/>
    <m/>
    <n v="0"/>
    <x v="1"/>
    <x v="0"/>
    <x v="0"/>
  </r>
  <r>
    <s v="NSHL HOLDCO"/>
    <s v="BIDV - THANH XUAN"/>
    <s v="2220022999"/>
    <x v="0"/>
    <s v="USD"/>
    <e v="#N/A"/>
    <e v="#N/A"/>
    <n v="0"/>
    <n v="0"/>
    <n v="0"/>
    <n v="0"/>
    <n v="0"/>
    <e v="#N/A"/>
    <e v="#N/A"/>
    <n v="0"/>
    <n v="0"/>
    <n v="0"/>
    <n v="0"/>
    <n v="0"/>
    <n v="0"/>
    <m/>
    <n v="0"/>
    <x v="1"/>
    <x v="0"/>
    <x v="0"/>
  </r>
  <r>
    <s v="NSHL HOLDCO"/>
    <s v="BIDV - THANH XUAN"/>
    <s v="8600006833"/>
    <x v="3"/>
    <s v="USD"/>
    <m/>
    <m/>
    <n v="0"/>
    <n v="0"/>
    <n v="0"/>
    <n v="0"/>
    <n v="0"/>
    <e v="#N/A"/>
    <e v="#N/A"/>
    <n v="0"/>
    <n v="0"/>
    <n v="0"/>
    <n v="0"/>
    <n v="0"/>
    <n v="0"/>
    <e v="#N/A"/>
    <e v="#N/A"/>
    <x v="1"/>
    <x v="0"/>
    <x v="0"/>
  </r>
  <r>
    <s v="NDV PROJECT CO"/>
    <s v="UOB - HCM"/>
    <s v="1059053081"/>
    <x v="3"/>
    <s v="USD"/>
    <m/>
    <m/>
    <n v="0"/>
    <n v="0"/>
    <n v="0"/>
    <n v="0"/>
    <n v="0"/>
    <e v="#N/A"/>
    <e v="#N/A"/>
    <n v="0"/>
    <n v="0"/>
    <n v="0"/>
    <n v="0"/>
    <n v="0"/>
    <n v="0"/>
    <e v="#N/A"/>
    <e v="#N/A"/>
    <x v="1"/>
    <x v="10"/>
    <x v="17"/>
  </r>
  <r>
    <s v="YEN PHONG PROJECT CO"/>
    <s v="UOB - HCM"/>
    <s v="1059053073"/>
    <x v="3"/>
    <s v="USD"/>
    <m/>
    <m/>
    <n v="0"/>
    <n v="0"/>
    <n v="0"/>
    <n v="0"/>
    <n v="0"/>
    <e v="#N/A"/>
    <e v="#N/A"/>
    <n v="0"/>
    <n v="0"/>
    <n v="0"/>
    <n v="0"/>
    <n v="0"/>
    <n v="0"/>
    <e v="#N/A"/>
    <e v="#N/A"/>
    <x v="1"/>
    <x v="10"/>
    <x v="17"/>
  </r>
  <r>
    <s v="HOLDCO5H"/>
    <s v="OCB - BINH DUONG"/>
    <s v="0010100020900008"/>
    <x v="0"/>
    <s v="VND"/>
    <m/>
    <m/>
    <n v="3478788"/>
    <n v="0"/>
    <n v="0"/>
    <n v="0"/>
    <n v="3478788"/>
    <e v="#N/A"/>
    <e v="#N/A"/>
    <n v="0"/>
    <n v="0"/>
    <n v="0"/>
    <n v="0"/>
    <n v="0"/>
    <n v="0"/>
    <e v="#N/A"/>
    <e v="#N/A"/>
    <x v="1"/>
    <x v="6"/>
    <x v="10"/>
  </r>
  <r>
    <s v="HOLDCO4R"/>
    <s v="OCB - BINH DUONG"/>
    <s v="370830"/>
    <x v="0"/>
    <s v="VND"/>
    <m/>
    <m/>
    <n v="49148791"/>
    <n v="0"/>
    <n v="0"/>
    <n v="0"/>
    <n v="49148791"/>
    <e v="#N/A"/>
    <e v="#N/A"/>
    <n v="0"/>
    <n v="0"/>
    <n v="0"/>
    <n v="0"/>
    <n v="0"/>
    <n v="0"/>
    <e v="#N/A"/>
    <e v="#N/A"/>
    <x v="1"/>
    <x v="6"/>
    <x v="10"/>
  </r>
  <r>
    <s v="HOLDCO4Z"/>
    <s v="OCB - BINH DUONG"/>
    <s v="719026"/>
    <x v="0"/>
    <s v="VND"/>
    <m/>
    <m/>
    <n v="3179569"/>
    <n v="0"/>
    <n v="55000"/>
    <n v="-55000"/>
    <n v="3124569"/>
    <e v="#N/A"/>
    <e v="#N/A"/>
    <n v="0"/>
    <n v="0"/>
    <n v="0"/>
    <n v="0"/>
    <n v="0"/>
    <n v="0"/>
    <e v="#N/A"/>
    <e v="#N/A"/>
    <x v="1"/>
    <x v="6"/>
    <x v="10"/>
  </r>
  <r>
    <s v="HOLDCO4Q"/>
    <s v="OCB - BINH DUONG"/>
    <s v="501496"/>
    <x v="0"/>
    <s v="VND"/>
    <e v="#N/A"/>
    <e v="#N/A"/>
    <n v="2189055"/>
    <n v="0"/>
    <n v="0"/>
    <n v="0"/>
    <n v="2189055"/>
    <e v="#N/A"/>
    <e v="#N/A"/>
    <n v="0"/>
    <n v="0"/>
    <n v="0"/>
    <n v="0"/>
    <n v="0"/>
    <n v="0"/>
    <m/>
    <n v="0"/>
    <x v="1"/>
    <x v="6"/>
    <x v="10"/>
  </r>
  <r>
    <s v="HOLDCO4G"/>
    <s v="OCB - BINH DUONG"/>
    <s v="259248"/>
    <x v="0"/>
    <s v="VND"/>
    <e v="#N/A"/>
    <e v="#N/A"/>
    <n v="5512159"/>
    <n v="0"/>
    <n v="0"/>
    <n v="0"/>
    <n v="5512159"/>
    <e v="#N/A"/>
    <e v="#N/A"/>
    <n v="0"/>
    <n v="0"/>
    <n v="0"/>
    <n v="0"/>
    <n v="0"/>
    <n v="0"/>
    <m/>
    <n v="0"/>
    <x v="1"/>
    <x v="6"/>
    <x v="10"/>
  </r>
  <r>
    <s v="HOLDCO4K"/>
    <s v="OCB - BINH DUONG"/>
    <s v="148064"/>
    <x v="0"/>
    <s v="VND"/>
    <e v="#N/A"/>
    <e v="#N/A"/>
    <n v="5886652"/>
    <n v="0"/>
    <n v="0"/>
    <n v="0"/>
    <n v="5886652"/>
    <e v="#N/A"/>
    <e v="#N/A"/>
    <n v="0"/>
    <n v="0"/>
    <n v="0"/>
    <n v="0"/>
    <n v="0"/>
    <n v="0"/>
    <m/>
    <n v="0"/>
    <x v="1"/>
    <x v="6"/>
    <x v="10"/>
  </r>
  <r>
    <s v="HOLDCO5K"/>
    <s v="OCB - BINH DUONG"/>
    <s v="429072"/>
    <x v="0"/>
    <s v="VND"/>
    <e v="#N/A"/>
    <e v="#N/A"/>
    <n v="10136583"/>
    <n v="0"/>
    <n v="0"/>
    <n v="0"/>
    <n v="10136583"/>
    <e v="#N/A"/>
    <e v="#N/A"/>
    <n v="0"/>
    <n v="0"/>
    <n v="0"/>
    <n v="0"/>
    <n v="0"/>
    <n v="0"/>
    <m/>
    <n v="0"/>
    <x v="1"/>
    <x v="6"/>
    <x v="10"/>
  </r>
  <r>
    <s v="HOLDCO S4A"/>
    <s v="VIETINBANK - TIEN SON"/>
    <s v="112621441111"/>
    <x v="0"/>
    <s v="VND"/>
    <e v="#N/A"/>
    <e v="#N/A"/>
    <n v="96655177"/>
    <n v="0"/>
    <n v="0"/>
    <n v="0"/>
    <n v="96655177"/>
    <e v="#N/A"/>
    <e v="#N/A"/>
    <n v="0"/>
    <n v="0"/>
    <n v="0"/>
    <n v="0"/>
    <n v="0"/>
    <n v="0"/>
    <m/>
    <n v="0"/>
    <x v="1"/>
    <x v="2"/>
    <x v="3"/>
  </r>
  <r>
    <s v="HOLDCO S5A"/>
    <s v="VIETINBANK - TIEN SON"/>
    <s v="110634551111"/>
    <x v="0"/>
    <s v="VND"/>
    <e v="#N/A"/>
    <e v="#N/A"/>
    <n v="98135379"/>
    <n v="0"/>
    <n v="0"/>
    <n v="0"/>
    <n v="98135379"/>
    <e v="#N/A"/>
    <e v="#N/A"/>
    <n v="0"/>
    <n v="0"/>
    <n v="0"/>
    <n v="0"/>
    <n v="0"/>
    <n v="0"/>
    <m/>
    <n v="0"/>
    <x v="1"/>
    <x v="2"/>
    <x v="3"/>
  </r>
  <r>
    <s v="HOLDCO S4B"/>
    <s v="VIETINBANK - TIEN SON"/>
    <s v="112628442222"/>
    <x v="0"/>
    <s v="VND"/>
    <e v="#N/A"/>
    <e v="#N/A"/>
    <n v="96655287"/>
    <n v="0"/>
    <n v="0"/>
    <n v="0"/>
    <n v="96655287"/>
    <e v="#N/A"/>
    <e v="#N/A"/>
    <n v="0"/>
    <n v="0"/>
    <n v="0"/>
    <n v="0"/>
    <n v="0"/>
    <n v="0"/>
    <m/>
    <n v="0"/>
    <x v="1"/>
    <x v="2"/>
    <x v="3"/>
  </r>
  <r>
    <s v="HOLDCO S5B"/>
    <s v="VIETINBANK - TIEN SON"/>
    <s v="112627552222"/>
    <x v="0"/>
    <s v="VND"/>
    <e v="#N/A"/>
    <e v="#N/A"/>
    <n v="51712018"/>
    <n v="0"/>
    <n v="0"/>
    <n v="0"/>
    <n v="51712018"/>
    <e v="#N/A"/>
    <e v="#N/A"/>
    <n v="0"/>
    <n v="0"/>
    <n v="0"/>
    <n v="0"/>
    <n v="0"/>
    <n v="0"/>
    <m/>
    <n v="0"/>
    <x v="1"/>
    <x v="2"/>
    <x v="3"/>
  </r>
  <r>
    <s v="HOLDCO S4E"/>
    <s v="VIETINBANK - TIEN SON"/>
    <s v="110623441111"/>
    <x v="0"/>
    <s v="VND"/>
    <e v="#N/A"/>
    <e v="#N/A"/>
    <n v="102392017"/>
    <n v="0"/>
    <n v="0"/>
    <n v="0"/>
    <n v="102392017"/>
    <e v="#N/A"/>
    <e v="#N/A"/>
    <n v="0"/>
    <n v="0"/>
    <n v="0"/>
    <n v="0"/>
    <n v="0"/>
    <n v="0"/>
    <m/>
    <n v="0"/>
    <x v="1"/>
    <x v="2"/>
    <x v="3"/>
  </r>
  <r>
    <s v="QV2 LLC"/>
    <s v="BIDV - THANH XUAN"/>
    <s v="8610015824"/>
    <x v="0"/>
    <s v="VND"/>
    <e v="#N/A"/>
    <e v="#N/A"/>
    <n v="10813798"/>
    <n v="0"/>
    <n v="0"/>
    <n v="0"/>
    <n v="10813798"/>
    <e v="#N/A"/>
    <e v="#N/A"/>
    <n v="0"/>
    <n v="0"/>
    <n v="0"/>
    <n v="0"/>
    <n v="0"/>
    <n v="0"/>
    <m/>
    <n v="0"/>
    <x v="1"/>
    <x v="0"/>
    <x v="0"/>
  </r>
  <r>
    <s v="WPJV 3A"/>
    <s v="VIETINBANK - TIEN SON"/>
    <s v="110627612222"/>
    <x v="0"/>
    <s v="VND"/>
    <e v="#N/A"/>
    <e v="#N/A"/>
    <n v="4612585"/>
    <n v="0"/>
    <n v="0"/>
    <n v="0"/>
    <n v="4612585"/>
    <e v="#N/A"/>
    <e v="#N/A"/>
    <n v="0"/>
    <n v="0"/>
    <n v="0"/>
    <n v="0"/>
    <n v="0"/>
    <n v="0"/>
    <m/>
    <n v="0"/>
    <x v="1"/>
    <x v="2"/>
    <x v="3"/>
  </r>
  <r>
    <s v="WPJV 3B"/>
    <s v="VIETINBANK - TIEN SON"/>
    <s v="112623945555"/>
    <x v="0"/>
    <s v="VND"/>
    <e v="#N/A"/>
    <e v="#N/A"/>
    <n v="4614654"/>
    <n v="0"/>
    <n v="0"/>
    <n v="0"/>
    <n v="4614654"/>
    <e v="#N/A"/>
    <e v="#N/A"/>
    <n v="0"/>
    <n v="0"/>
    <n v="0"/>
    <n v="0"/>
    <n v="0"/>
    <n v="0"/>
    <m/>
    <n v="0"/>
    <x v="1"/>
    <x v="2"/>
    <x v="3"/>
  </r>
  <r>
    <s v="PHO NOI A"/>
    <s v="VIETINBANK - TIEN SON"/>
    <s v="685603330999"/>
    <x v="0"/>
    <s v="VND"/>
    <e v="#N/A"/>
    <e v="#N/A"/>
    <n v="492494242"/>
    <n v="0"/>
    <n v="0"/>
    <n v="0"/>
    <n v="492494242"/>
    <e v="#N/A"/>
    <e v="#N/A"/>
    <n v="0"/>
    <n v="0"/>
    <n v="0"/>
    <n v="0"/>
    <n v="0"/>
    <n v="0"/>
    <m/>
    <n v="0"/>
    <x v="1"/>
    <x v="2"/>
    <x v="3"/>
  </r>
  <r>
    <s v="PHO NOI A"/>
    <s v="VIETINBANK - TIEN SON"/>
    <s v="681605550999"/>
    <x v="0"/>
    <s v="USD"/>
    <e v="#N/A"/>
    <e v="#N/A"/>
    <n v="0"/>
    <n v="0"/>
    <n v="0"/>
    <n v="0"/>
    <n v="0"/>
    <e v="#N/A"/>
    <e v="#N/A"/>
    <n v="0"/>
    <n v="0"/>
    <n v="0"/>
    <n v="0"/>
    <n v="0"/>
    <n v="0"/>
    <m/>
    <n v="0"/>
    <x v="1"/>
    <x v="2"/>
    <x v="3"/>
  </r>
  <r>
    <s v="BW SAI GON"/>
    <s v="SINOPAC"/>
    <s v="07003600013122"/>
    <x v="2"/>
    <s v="VND"/>
    <e v="#N/A"/>
    <e v="#N/A"/>
    <n v="5633098111"/>
    <n v="0"/>
    <n v="0"/>
    <n v="0"/>
    <n v="5633098111"/>
    <e v="#N/A"/>
    <e v="#N/A"/>
    <n v="0"/>
    <n v="0"/>
    <n v="0"/>
    <n v="0"/>
    <n v="0"/>
    <n v="0"/>
    <m/>
    <n v="0"/>
    <x v="1"/>
    <x v="8"/>
    <x v="12"/>
  </r>
  <r>
    <s v="BWID BINH DUONG"/>
    <s v="UOB - HCM"/>
    <s v="1059045925"/>
    <x v="0"/>
    <s v="USD"/>
    <e v="#N/A"/>
    <e v="#N/A"/>
    <n v="0"/>
    <n v="0"/>
    <n v="0"/>
    <n v="0"/>
    <n v="0"/>
    <e v="#N/A"/>
    <e v="#N/A"/>
    <n v="0"/>
    <n v="-950"/>
    <n v="950"/>
    <n v="0"/>
    <n v="0"/>
    <n v="950"/>
    <m/>
    <n v="950"/>
    <x v="0"/>
    <x v="10"/>
    <x v="17"/>
  </r>
  <r>
    <s v="PHUC DIEN"/>
    <s v="BIDV - THANH XUAN"/>
    <s v="8630017620"/>
    <x v="0"/>
    <s v="VND"/>
    <e v="#N/A"/>
    <e v="#N/A"/>
    <n v="72795157"/>
    <n v="0"/>
    <n v="0"/>
    <n v="0"/>
    <n v="72795157"/>
    <e v="#N/A"/>
    <e v="#N/A"/>
    <n v="0"/>
    <n v="0"/>
    <n v="0"/>
    <n v="0"/>
    <n v="0"/>
    <n v="0"/>
    <m/>
    <n v="0"/>
    <x v="1"/>
    <x v="0"/>
    <x v="0"/>
  </r>
  <r>
    <s v="TAY NAM A"/>
    <s v="VIETINBANK - TIEN SON"/>
    <s v="117615115555"/>
    <x v="0"/>
    <s v="VND"/>
    <e v="#N/A"/>
    <e v="#N/A"/>
    <n v="6538873"/>
    <n v="0"/>
    <n v="0"/>
    <n v="0"/>
    <n v="6538873"/>
    <e v="#N/A"/>
    <e v="#N/A"/>
    <n v="0"/>
    <n v="0"/>
    <n v="0"/>
    <n v="0"/>
    <n v="0"/>
    <n v="0"/>
    <m/>
    <n v="0"/>
    <x v="1"/>
    <x v="2"/>
    <x v="3"/>
  </r>
  <r>
    <s v="BWID HAI DUONG 2"/>
    <s v="VIETINBANK - TIEN SON"/>
    <s v="216000382800"/>
    <x v="2"/>
    <s v="VND"/>
    <e v="#N/A"/>
    <e v="#N/A"/>
    <n v="0"/>
    <n v="0"/>
    <n v="0"/>
    <n v="0"/>
    <n v="0"/>
    <e v="#N/A"/>
    <e v="#N/A"/>
    <n v="0"/>
    <n v="0"/>
    <n v="0"/>
    <n v="0"/>
    <n v="0"/>
    <n v="0"/>
    <m/>
    <n v="0"/>
    <x v="1"/>
    <x v="2"/>
    <x v="3"/>
  </r>
  <r>
    <s v="BW NAM HAI"/>
    <s v="VIETCOMBANK - BA DINH"/>
    <s v="1044607568"/>
    <x v="2"/>
    <s v="VND"/>
    <e v="#N/A"/>
    <e v="#N/A"/>
    <n v="8000000000"/>
    <n v="0"/>
    <n v="0"/>
    <n v="0"/>
    <n v="8000000000"/>
    <e v="#N/A"/>
    <e v="#N/A"/>
    <n v="0"/>
    <n v="0"/>
    <n v="0"/>
    <n v="0"/>
    <n v="0"/>
    <n v="0"/>
    <m/>
    <n v="0"/>
    <x v="1"/>
    <x v="1"/>
    <x v="1"/>
  </r>
  <r>
    <s v="BIEN HOA"/>
    <s v="KBank - HCM"/>
    <s v="102001123828"/>
    <x v="0"/>
    <s v="VND"/>
    <e v="#N/A"/>
    <e v="#N/A"/>
    <n v="2892021646"/>
    <n v="0"/>
    <n v="1392858297"/>
    <n v="-1392858297"/>
    <n v="1499163349"/>
    <e v="#N/A"/>
    <e v="#N/A"/>
    <n v="0"/>
    <n v="0"/>
    <n v="0"/>
    <n v="0"/>
    <n v="0"/>
    <n v="0"/>
    <m/>
    <n v="0"/>
    <x v="1"/>
    <x v="3"/>
    <x v="7"/>
  </r>
  <r>
    <s v="SAO HOA"/>
    <s v="TECHCOMBANK"/>
    <s v="19037134677017"/>
    <x v="0"/>
    <s v="VND"/>
    <m/>
    <m/>
    <n v="246368221"/>
    <n v="0"/>
    <n v="0"/>
    <n v="0"/>
    <n v="246368221"/>
    <e v="#N/A"/>
    <e v="#N/A"/>
    <n v="0"/>
    <n v="0"/>
    <n v="0"/>
    <n v="0"/>
    <n v="0"/>
    <n v="0"/>
    <e v="#N/A"/>
    <e v="#N/A"/>
    <x v="2"/>
    <x v="5"/>
    <x v="9"/>
  </r>
  <r>
    <s v="SAO HOA"/>
    <s v="UOB - HCM"/>
    <s v="1053037351"/>
    <x v="0"/>
    <s v="VND"/>
    <e v="#N/A"/>
    <e v="#N/A"/>
    <n v="1172241785"/>
    <n v="0"/>
    <n v="0"/>
    <n v="0"/>
    <n v="1172241785"/>
    <e v="#N/A"/>
    <e v="#N/A"/>
    <n v="0"/>
    <n v="0"/>
    <n v="0"/>
    <n v="0"/>
    <n v="0"/>
    <n v="0"/>
    <m/>
    <n v="0"/>
    <x v="2"/>
    <x v="10"/>
    <x v="17"/>
  </r>
  <r>
    <s v="SAO HOA"/>
    <s v="UOB - HCM"/>
    <s v="1059045933"/>
    <x v="0"/>
    <s v="USD"/>
    <e v="#N/A"/>
    <e v="#N/A"/>
    <n v="0"/>
    <n v="0"/>
    <n v="0"/>
    <n v="0"/>
    <n v="0"/>
    <e v="#N/A"/>
    <e v="#N/A"/>
    <n v="0"/>
    <n v="0"/>
    <n v="0"/>
    <n v="0"/>
    <n v="0"/>
    <n v="0"/>
    <m/>
    <n v="0"/>
    <x v="2"/>
    <x v="10"/>
    <x v="17"/>
  </r>
  <r>
    <s v="SAO HOA"/>
    <s v="SINOPAC"/>
    <s v="07000800107552"/>
    <x v="0"/>
    <s v="VND"/>
    <e v="#N/A"/>
    <e v="#N/A"/>
    <n v="180595278749"/>
    <n v="0"/>
    <n v="180000110000"/>
    <n v="-180000110000"/>
    <n v="595168749"/>
    <e v="#N/A"/>
    <e v="#N/A"/>
    <n v="0"/>
    <n v="0"/>
    <n v="0"/>
    <n v="0"/>
    <n v="0"/>
    <n v="0"/>
    <m/>
    <n v="0"/>
    <x v="2"/>
    <x v="8"/>
    <x v="12"/>
  </r>
  <r>
    <s v="BW NEW CITY"/>
    <s v="VIB - HOI SO"/>
    <s v="053376900"/>
    <x v="0"/>
    <s v="VND"/>
    <e v="#N/A"/>
    <e v="#N/A"/>
    <n v="3118336"/>
    <n v="0"/>
    <n v="0"/>
    <n v="0"/>
    <n v="3118336"/>
    <e v="#N/A"/>
    <e v="#N/A"/>
    <n v="0"/>
    <n v="0"/>
    <n v="0"/>
    <n v="0"/>
    <n v="0"/>
    <n v="0"/>
    <m/>
    <n v="0"/>
    <x v="1"/>
    <x v="4"/>
    <x v="8"/>
  </r>
  <r>
    <s v="SAO HOA"/>
    <s v="UOB - HCM"/>
    <s v="1059053219"/>
    <x v="3"/>
    <s v="USD"/>
    <e v="#N/A"/>
    <e v="#N/A"/>
    <n v="0"/>
    <n v="0"/>
    <n v="0"/>
    <n v="0"/>
    <n v="0"/>
    <e v="#N/A"/>
    <e v="#N/A"/>
    <n v="0"/>
    <n v="-2118.7299999999814"/>
    <n v="2118.7299999999814"/>
    <n v="0"/>
    <n v="0"/>
    <n v="2118.7299999999814"/>
    <m/>
    <n v="2118.7299999999814"/>
    <x v="2"/>
    <x v="10"/>
    <x v="17"/>
  </r>
  <r>
    <s v="HOLDCO N4A"/>
    <s v="VIETINBANK - TIEN SON"/>
    <s v="119635596888"/>
    <x v="0"/>
    <s v="VND"/>
    <e v="#N/A"/>
    <e v="#N/A"/>
    <n v="38748417"/>
    <n v="0"/>
    <n v="0"/>
    <n v="0"/>
    <n v="38748417"/>
    <e v="#N/A"/>
    <e v="#N/A"/>
    <n v="0"/>
    <n v="0"/>
    <n v="0"/>
    <n v="0"/>
    <n v="0"/>
    <n v="0"/>
    <m/>
    <n v="0"/>
    <x v="1"/>
    <x v="2"/>
    <x v="3"/>
  </r>
  <r>
    <s v="HOLDCO N4B"/>
    <s v="VIETINBANK - TIEN SON"/>
    <s v="112617216688"/>
    <x v="0"/>
    <s v="VND"/>
    <e v="#N/A"/>
    <e v="#N/A"/>
    <n v="40049489"/>
    <n v="0"/>
    <n v="0"/>
    <n v="0"/>
    <n v="40049489"/>
    <e v="#N/A"/>
    <e v="#N/A"/>
    <n v="0"/>
    <n v="0"/>
    <n v="0"/>
    <n v="0"/>
    <n v="0"/>
    <n v="0"/>
    <m/>
    <n v="0"/>
    <x v="1"/>
    <x v="2"/>
    <x v="3"/>
  </r>
  <r>
    <s v="HOLDCO N4C"/>
    <s v="VIETINBANK - TIEN SON"/>
    <s v="110630158666"/>
    <x v="0"/>
    <s v="VND"/>
    <e v="#N/A"/>
    <e v="#N/A"/>
    <n v="46568180"/>
    <n v="0"/>
    <n v="0"/>
    <n v="0"/>
    <n v="46568180"/>
    <e v="#N/A"/>
    <e v="#N/A"/>
    <n v="0"/>
    <n v="0"/>
    <n v="0"/>
    <n v="0"/>
    <n v="0"/>
    <n v="0"/>
    <m/>
    <n v="0"/>
    <x v="1"/>
    <x v="2"/>
    <x v="3"/>
  </r>
  <r>
    <s v="HOLDCO N4D"/>
    <s v="VIETINBANK - TIEN SON"/>
    <s v="110623508666"/>
    <x v="0"/>
    <s v="VND"/>
    <m/>
    <m/>
    <n v="39333126"/>
    <n v="0"/>
    <n v="0"/>
    <n v="0"/>
    <n v="39333126"/>
    <e v="#N/A"/>
    <e v="#N/A"/>
    <n v="0"/>
    <n v="0"/>
    <n v="0"/>
    <n v="0"/>
    <n v="0"/>
    <n v="0"/>
    <e v="#N/A"/>
    <e v="#N/A"/>
    <x v="1"/>
    <x v="2"/>
    <x v="3"/>
  </r>
  <r>
    <s v="HOLDCO N4E"/>
    <s v="VIETINBANK - TIEN SON"/>
    <s v="117606776688"/>
    <x v="0"/>
    <s v="VND"/>
    <e v="#N/A"/>
    <e v="#N/A"/>
    <n v="39333126"/>
    <n v="0"/>
    <n v="0"/>
    <n v="0"/>
    <n v="39333126"/>
    <e v="#N/A"/>
    <e v="#N/A"/>
    <n v="0"/>
    <n v="0"/>
    <n v="0"/>
    <n v="0"/>
    <n v="0"/>
    <n v="0"/>
    <m/>
    <n v="0"/>
    <x v="1"/>
    <x v="2"/>
    <x v="3"/>
  </r>
  <r>
    <s v="BAC TIEN PHONG"/>
    <s v="BIDV - THANH XUAN"/>
    <s v="811004151855"/>
    <x v="2"/>
    <s v="VND"/>
    <e v="#N/A"/>
    <e v="#N/A"/>
    <n v="6000000000"/>
    <n v="0"/>
    <n v="0"/>
    <n v="0"/>
    <n v="6000000000"/>
    <e v="#N/A"/>
    <e v="#N/A"/>
    <n v="0"/>
    <n v="0"/>
    <n v="0"/>
    <n v="0"/>
    <n v="0"/>
    <n v="0"/>
    <m/>
    <n v="0"/>
    <x v="1"/>
    <x v="0"/>
    <x v="0"/>
  </r>
  <r>
    <s v="BWID HAI DUONG 2"/>
    <s v="VIETINBANK - TIEN SON"/>
    <s v="216000394097"/>
    <x v="2"/>
    <s v="VND"/>
    <e v="#N/A"/>
    <e v="#N/A"/>
    <n v="7000000000"/>
    <n v="0"/>
    <n v="0"/>
    <n v="0"/>
    <n v="7000000000"/>
    <e v="#N/A"/>
    <e v="#N/A"/>
    <n v="0"/>
    <n v="0"/>
    <n v="0"/>
    <n v="0"/>
    <n v="0"/>
    <n v="0"/>
    <m/>
    <n v="0"/>
    <x v="1"/>
    <x v="2"/>
    <x v="3"/>
  </r>
  <r>
    <s v="BWID HAI DUONG 2"/>
    <s v="VIETINBANK - TIEN SON"/>
    <s v="218000393697"/>
    <x v="2"/>
    <s v="VND"/>
    <e v="#N/A"/>
    <e v="#N/A"/>
    <n v="0"/>
    <n v="0"/>
    <n v="0"/>
    <n v="0"/>
    <n v="0"/>
    <e v="#N/A"/>
    <e v="#N/A"/>
    <n v="0"/>
    <n v="0"/>
    <n v="0"/>
    <n v="0"/>
    <n v="0"/>
    <n v="0"/>
    <m/>
    <n v="0"/>
    <x v="1"/>
    <x v="2"/>
    <x v="3"/>
  </r>
  <r>
    <s v="TAY HAI"/>
    <s v="VIETINBANK - QUANG MINH"/>
    <s v="110002969103"/>
    <x v="0"/>
    <s v="VND"/>
    <e v="#N/A"/>
    <e v="#N/A"/>
    <n v="2133810078"/>
    <n v="0"/>
    <n v="0"/>
    <n v="0"/>
    <n v="2133810078"/>
    <e v="#N/A"/>
    <e v="#N/A"/>
    <n v="0"/>
    <n v="0"/>
    <n v="0"/>
    <n v="0"/>
    <n v="0"/>
    <n v="0"/>
    <m/>
    <n v="0"/>
    <x v="1"/>
    <x v="2"/>
    <x v="4"/>
  </r>
  <r>
    <s v="LE MINH XUAN 3"/>
    <s v="STANDARD CHARTERED"/>
    <s v="90433414101"/>
    <x v="0"/>
    <s v="VND"/>
    <e v="#N/A"/>
    <e v="#N/A"/>
    <n v="260732649"/>
    <n v="0"/>
    <n v="0"/>
    <n v="0"/>
    <n v="260732649"/>
    <e v="#N/A"/>
    <e v="#N/A"/>
    <n v="0"/>
    <n v="0"/>
    <n v="0"/>
    <n v="0"/>
    <n v="0"/>
    <n v="0"/>
    <m/>
    <n v="0"/>
    <x v="1"/>
    <x v="12"/>
    <x v="20"/>
  </r>
  <r>
    <s v="BWID HAI DUONG"/>
    <s v="VIETINBANK - TIEN SON"/>
    <s v="218000396190"/>
    <x v="2"/>
    <s v="VND"/>
    <e v="#N/A"/>
    <e v="#N/A"/>
    <n v="0"/>
    <n v="0"/>
    <n v="0"/>
    <n v="0"/>
    <n v="0"/>
    <e v="#N/A"/>
    <e v="#N/A"/>
    <n v="0"/>
    <n v="0"/>
    <n v="0"/>
    <n v="0"/>
    <n v="0"/>
    <n v="0"/>
    <m/>
    <n v="0"/>
    <x v="1"/>
    <x v="2"/>
    <x v="3"/>
  </r>
  <r>
    <s v="BWID HAI DUONG"/>
    <s v="VIETINBANK - TIEN SON"/>
    <s v="211000396185"/>
    <x v="2"/>
    <s v="VND"/>
    <e v="#N/A"/>
    <e v="#N/A"/>
    <n v="0"/>
    <n v="0"/>
    <n v="0"/>
    <n v="0"/>
    <n v="0"/>
    <e v="#N/A"/>
    <e v="#N/A"/>
    <n v="0"/>
    <n v="0"/>
    <n v="0"/>
    <n v="0"/>
    <n v="0"/>
    <n v="0"/>
    <m/>
    <n v="0"/>
    <x v="1"/>
    <x v="2"/>
    <x v="3"/>
  </r>
  <r>
    <s v="BAC TIEN PHONG"/>
    <s v="BIDV - THANH XUAN"/>
    <s v="815004616762"/>
    <x v="2"/>
    <s v="VND"/>
    <e v="#N/A"/>
    <e v="#N/A"/>
    <n v="5000000000"/>
    <n v="0"/>
    <n v="0"/>
    <n v="0"/>
    <n v="5000000000"/>
    <e v="#N/A"/>
    <e v="#N/A"/>
    <n v="0"/>
    <n v="0"/>
    <n v="0"/>
    <n v="0"/>
    <n v="0"/>
    <n v="0"/>
    <m/>
    <n v="0"/>
    <x v="1"/>
    <x v="0"/>
    <x v="0"/>
  </r>
  <r>
    <s v="HOLDCO4K"/>
    <s v="VIETINBANK - QUANG MINH"/>
    <s v="114002970384"/>
    <x v="0"/>
    <s v="VND"/>
    <e v="#N/A"/>
    <e v="#N/A"/>
    <n v="38269900"/>
    <n v="0"/>
    <n v="0"/>
    <n v="0"/>
    <n v="38269900"/>
    <e v="#N/A"/>
    <e v="#N/A"/>
    <n v="0"/>
    <n v="0"/>
    <n v="0"/>
    <n v="0"/>
    <n v="0"/>
    <n v="0"/>
    <m/>
    <n v="0"/>
    <x v="1"/>
    <x v="2"/>
    <x v="4"/>
  </r>
  <r>
    <s v="HOLDCO5K"/>
    <s v="VIETINBANK - QUANG MINH"/>
    <s v="116002970409"/>
    <x v="0"/>
    <s v="VND"/>
    <e v="#N/A"/>
    <e v="#N/A"/>
    <n v="41548345"/>
    <n v="0"/>
    <n v="0"/>
    <n v="0"/>
    <n v="41548345"/>
    <e v="#N/A"/>
    <e v="#N/A"/>
    <n v="0"/>
    <n v="0"/>
    <n v="0"/>
    <n v="0"/>
    <n v="0"/>
    <n v="0"/>
    <m/>
    <n v="0"/>
    <x v="1"/>
    <x v="2"/>
    <x v="4"/>
  </r>
  <r>
    <s v="THUAN THANH 3B"/>
    <s v="VIETCOMBANK - BA DINH"/>
    <s v="3243126666"/>
    <x v="0"/>
    <s v="VND"/>
    <e v="#N/A"/>
    <e v="#N/A"/>
    <n v="2103906893"/>
    <n v="1441110557"/>
    <n v="816445208"/>
    <n v="624665349"/>
    <n v="2728572242"/>
    <e v="#N/A"/>
    <e v="#N/A"/>
    <n v="0"/>
    <n v="0"/>
    <n v="0"/>
    <n v="0"/>
    <n v="0"/>
    <n v="0"/>
    <m/>
    <n v="0"/>
    <x v="1"/>
    <x v="1"/>
    <x v="1"/>
  </r>
  <r>
    <s v="BWID HAI DUONG"/>
    <s v="VIETINBANK - TIEN SON"/>
    <s v="215000398695"/>
    <x v="2"/>
    <s v="VND"/>
    <e v="#N/A"/>
    <e v="#N/A"/>
    <n v="0"/>
    <n v="0"/>
    <n v="0"/>
    <n v="0"/>
    <n v="0"/>
    <e v="#N/A"/>
    <e v="#N/A"/>
    <n v="0"/>
    <n v="0"/>
    <n v="0"/>
    <n v="0"/>
    <n v="0"/>
    <n v="0"/>
    <m/>
    <n v="0"/>
    <x v="1"/>
    <x v="2"/>
    <x v="3"/>
  </r>
  <r>
    <s v="BWID HAI PHONG"/>
    <s v="VIETINBANK - TIEN SON"/>
    <s v="211000398699"/>
    <x v="2"/>
    <s v="VND"/>
    <e v="#N/A"/>
    <e v="#N/A"/>
    <n v="0"/>
    <n v="0"/>
    <n v="0"/>
    <n v="0"/>
    <n v="0"/>
    <e v="#N/A"/>
    <e v="#N/A"/>
    <n v="0"/>
    <n v="0"/>
    <n v="0"/>
    <n v="0"/>
    <n v="0"/>
    <n v="0"/>
    <m/>
    <n v="0"/>
    <x v="1"/>
    <x v="2"/>
    <x v="3"/>
  </r>
  <r>
    <s v="HOLDCO N4D"/>
    <s v="VIETINBANK - TIEN SON"/>
    <s v="110623508666_1"/>
    <x v="2"/>
    <s v="VND"/>
    <e v="#N/A"/>
    <e v="#N/A"/>
    <n v="900000000"/>
    <n v="0"/>
    <n v="0"/>
    <n v="0"/>
    <n v="900000000"/>
    <e v="#N/A"/>
    <e v="#N/A"/>
    <n v="0"/>
    <n v="0"/>
    <n v="0"/>
    <n v="0"/>
    <n v="0"/>
    <n v="0"/>
    <m/>
    <n v="0"/>
    <x v="1"/>
    <x v="2"/>
    <x v="3"/>
  </r>
  <r>
    <s v="HOLDCO N4E"/>
    <s v="VIETINBANK - TIEN SON"/>
    <s v="117606776688_1"/>
    <x v="2"/>
    <s v="VND"/>
    <e v="#N/A"/>
    <e v="#N/A"/>
    <n v="900000000"/>
    <n v="0"/>
    <n v="0"/>
    <n v="0"/>
    <n v="900000000"/>
    <e v="#N/A"/>
    <e v="#N/A"/>
    <n v="0"/>
    <n v="0"/>
    <n v="0"/>
    <n v="0"/>
    <n v="0"/>
    <n v="0"/>
    <m/>
    <n v="0"/>
    <x v="1"/>
    <x v="2"/>
    <x v="3"/>
  </r>
  <r>
    <s v="HOLDCO N4A"/>
    <s v="VIETINBANK - TIEN SON"/>
    <s v="119635596888_1"/>
    <x v="2"/>
    <s v="VND"/>
    <e v="#N/A"/>
    <e v="#N/A"/>
    <n v="900000000"/>
    <n v="0"/>
    <n v="0"/>
    <n v="0"/>
    <n v="900000000"/>
    <e v="#N/A"/>
    <e v="#N/A"/>
    <n v="0"/>
    <n v="0"/>
    <n v="0"/>
    <n v="0"/>
    <n v="0"/>
    <n v="0"/>
    <m/>
    <n v="0"/>
    <x v="1"/>
    <x v="2"/>
    <x v="3"/>
  </r>
  <r>
    <s v="HOLDCO N4C"/>
    <s v="VIETINBANK - TIEN SON"/>
    <s v="110630158666_1"/>
    <x v="2"/>
    <s v="VND"/>
    <e v="#N/A"/>
    <e v="#N/A"/>
    <n v="900000000"/>
    <n v="0"/>
    <n v="0"/>
    <n v="0"/>
    <n v="900000000"/>
    <e v="#N/A"/>
    <e v="#N/A"/>
    <n v="0"/>
    <n v="0"/>
    <n v="0"/>
    <n v="0"/>
    <n v="0"/>
    <n v="0"/>
    <m/>
    <n v="0"/>
    <x v="1"/>
    <x v="2"/>
    <x v="3"/>
  </r>
  <r>
    <s v="HOLDCO N4B"/>
    <s v="VIETINBANK - TIEN SON"/>
    <s v="112617216688_1"/>
    <x v="2"/>
    <s v="VND"/>
    <e v="#N/A"/>
    <e v="#N/A"/>
    <n v="900000000"/>
    <n v="0"/>
    <n v="0"/>
    <n v="0"/>
    <n v="900000000"/>
    <e v="#N/A"/>
    <e v="#N/A"/>
    <n v="0"/>
    <n v="0"/>
    <n v="0"/>
    <n v="0"/>
    <n v="0"/>
    <n v="0"/>
    <m/>
    <n v="0"/>
    <x v="1"/>
    <x v="2"/>
    <x v="3"/>
  </r>
  <r>
    <s v="BW NAM DINH VU"/>
    <s v="BIDV - LONG BIEN"/>
    <s v="812004848361"/>
    <x v="2"/>
    <s v="VND"/>
    <e v="#N/A"/>
    <e v="#N/A"/>
    <n v="9000000000"/>
    <n v="0"/>
    <n v="0"/>
    <n v="0"/>
    <n v="9000000000"/>
    <e v="#N/A"/>
    <e v="#N/A"/>
    <n v="0"/>
    <n v="0"/>
    <n v="0"/>
    <n v="0"/>
    <n v="0"/>
    <n v="0"/>
    <m/>
    <n v="0"/>
    <x v="1"/>
    <x v="0"/>
    <x v="13"/>
  </r>
  <r>
    <s v="BWID BINH DUONG"/>
    <s v="SINOPAC"/>
    <s v="07000800107577_1"/>
    <x v="0"/>
    <s v="VND"/>
    <e v="#N/A"/>
    <e v="#N/A"/>
    <n v="34982065"/>
    <n v="0"/>
    <n v="0"/>
    <n v="0"/>
    <n v="34982065"/>
    <e v="#N/A"/>
    <e v="#N/A"/>
    <n v="0"/>
    <n v="0"/>
    <n v="0"/>
    <n v="0"/>
    <n v="0"/>
    <n v="0"/>
    <m/>
    <n v="0"/>
    <x v="0"/>
    <x v="8"/>
    <x v="12"/>
  </r>
  <r>
    <s v="DEEP C 2B"/>
    <s v="STANDARD CHARTERED"/>
    <s v="90436758522"/>
    <x v="1"/>
    <s v="VND"/>
    <e v="#N/A"/>
    <e v="#N/A"/>
    <n v="0"/>
    <n v="0"/>
    <n v="0"/>
    <n v="0"/>
    <n v="0"/>
    <e v="#N/A"/>
    <e v="#N/A"/>
    <n v="0"/>
    <n v="0"/>
    <n v="0"/>
    <n v="0"/>
    <n v="0"/>
    <n v="0"/>
    <n v="0"/>
    <n v="0"/>
    <x v="1"/>
    <x v="12"/>
    <x v="20"/>
  </r>
  <r>
    <s v="DEEP C 2B"/>
    <s v="STANDARD CHARTERED"/>
    <s v="37436758555"/>
    <x v="1"/>
    <s v="USD"/>
    <m/>
    <n v="0"/>
    <n v="0"/>
    <n v="0"/>
    <n v="0"/>
    <n v="0"/>
    <n v="0"/>
    <e v="#N/A"/>
    <e v="#N/A"/>
    <n v="0"/>
    <n v="0"/>
    <n v="0"/>
    <n v="0"/>
    <n v="0"/>
    <n v="0"/>
    <e v="#N/A"/>
    <e v="#N/A"/>
    <x v="1"/>
    <x v="12"/>
    <x v="20"/>
  </r>
  <r>
    <s v="DEEP C 2B"/>
    <s v="STANDARD CHARTERED"/>
    <s v="90436758501"/>
    <x v="0"/>
    <s v="VND"/>
    <e v="#N/A"/>
    <e v="#N/A"/>
    <n v="200360489"/>
    <n v="0"/>
    <n v="0"/>
    <n v="0"/>
    <n v="200360489"/>
    <e v="#N/A"/>
    <e v="#N/A"/>
    <n v="0"/>
    <n v="0"/>
    <n v="0"/>
    <n v="0"/>
    <n v="0"/>
    <n v="0"/>
    <m/>
    <n v="0"/>
    <x v="1"/>
    <x v="12"/>
    <x v="20"/>
  </r>
  <r>
    <s v="DEEP C 2B"/>
    <s v="STANDARD CHARTERED"/>
    <s v="37436758501"/>
    <x v="0"/>
    <s v="USD"/>
    <e v="#N/A"/>
    <e v="#N/A"/>
    <n v="0"/>
    <n v="0"/>
    <n v="0"/>
    <n v="0"/>
    <n v="0"/>
    <e v="#N/A"/>
    <e v="#N/A"/>
    <n v="0"/>
    <n v="0"/>
    <n v="0"/>
    <n v="0"/>
    <n v="0"/>
    <n v="0"/>
    <m/>
    <n v="0"/>
    <x v="1"/>
    <x v="12"/>
    <x v="20"/>
  </r>
  <r>
    <s v="PHU AN THANH"/>
    <s v="STANDARD CHARTERED"/>
    <s v="90438344622"/>
    <x v="1"/>
    <s v="VND"/>
    <e v="#N/A"/>
    <e v="#N/A"/>
    <n v="0"/>
    <n v="0"/>
    <n v="0"/>
    <n v="0"/>
    <n v="0"/>
    <e v="#N/A"/>
    <e v="#N/A"/>
    <n v="0"/>
    <n v="0"/>
    <n v="0"/>
    <n v="0"/>
    <n v="0"/>
    <n v="0"/>
    <n v="0"/>
    <n v="0"/>
    <x v="1"/>
    <x v="12"/>
    <x v="20"/>
  </r>
  <r>
    <s v="PHU AN THANH"/>
    <s v="STANDARD CHARTERED"/>
    <s v="37438344655"/>
    <x v="1"/>
    <s v="USD"/>
    <m/>
    <n v="0"/>
    <n v="0"/>
    <n v="0"/>
    <n v="0"/>
    <n v="0"/>
    <n v="0"/>
    <e v="#N/A"/>
    <e v="#N/A"/>
    <n v="0"/>
    <n v="-4.74"/>
    <n v="4.74"/>
    <n v="0"/>
    <n v="0"/>
    <n v="4.74"/>
    <e v="#N/A"/>
    <e v="#N/A"/>
    <x v="1"/>
    <x v="12"/>
    <x v="20"/>
  </r>
  <r>
    <s v="PHU AN THANH"/>
    <s v="STANDARD CHARTERED"/>
    <s v="90438344601"/>
    <x v="0"/>
    <s v="VND"/>
    <m/>
    <m/>
    <n v="181728459"/>
    <n v="0"/>
    <n v="0"/>
    <n v="0"/>
    <n v="181728459"/>
    <e v="#N/A"/>
    <e v="#N/A"/>
    <n v="0"/>
    <n v="0"/>
    <n v="0"/>
    <n v="0"/>
    <n v="0"/>
    <n v="0"/>
    <e v="#N/A"/>
    <e v="#N/A"/>
    <x v="1"/>
    <x v="12"/>
    <x v="20"/>
  </r>
  <r>
    <s v="PHU AN THANH"/>
    <s v="STANDARD CHARTERED"/>
    <s v="37438344601"/>
    <x v="0"/>
    <s v="USD"/>
    <e v="#N/A"/>
    <e v="#N/A"/>
    <n v="0"/>
    <n v="0"/>
    <n v="0"/>
    <n v="0"/>
    <n v="0"/>
    <e v="#N/A"/>
    <e v="#N/A"/>
    <n v="0"/>
    <n v="0"/>
    <n v="0"/>
    <n v="0"/>
    <n v="0"/>
    <n v="0"/>
    <m/>
    <n v="0"/>
    <x v="1"/>
    <x v="12"/>
    <x v="20"/>
  </r>
  <r>
    <s v="SONG THAN 2"/>
    <s v="STANDARD CHARTERED"/>
    <s v="90429027555"/>
    <x v="1"/>
    <s v="VND"/>
    <e v="#N/A"/>
    <e v="#N/A"/>
    <n v="0"/>
    <n v="0"/>
    <n v="0"/>
    <n v="0"/>
    <n v="0"/>
    <e v="#N/A"/>
    <e v="#N/A"/>
    <n v="0"/>
    <n v="0"/>
    <n v="0"/>
    <n v="0"/>
    <n v="0"/>
    <n v="0"/>
    <n v="0"/>
    <n v="0"/>
    <x v="1"/>
    <x v="12"/>
    <x v="20"/>
  </r>
  <r>
    <s v="SONG THAN 2"/>
    <s v="STANDARD CHARTERED"/>
    <s v="37429027502"/>
    <x v="1"/>
    <s v="USD"/>
    <m/>
    <n v="0"/>
    <n v="0"/>
    <n v="0"/>
    <n v="0"/>
    <n v="0"/>
    <n v="0"/>
    <e v="#N/A"/>
    <e v="#N/A"/>
    <n v="0"/>
    <n v="0"/>
    <n v="0"/>
    <n v="0"/>
    <n v="0"/>
    <n v="0"/>
    <e v="#N/A"/>
    <e v="#N/A"/>
    <x v="1"/>
    <x v="12"/>
    <x v="20"/>
  </r>
  <r>
    <s v="SONG THAN 2"/>
    <s v="STANDARD CHARTERED"/>
    <s v="90429027501"/>
    <x v="0"/>
    <s v="VND"/>
    <m/>
    <m/>
    <n v="97295675"/>
    <n v="0"/>
    <n v="0"/>
    <n v="0"/>
    <n v="97295675"/>
    <e v="#N/A"/>
    <e v="#N/A"/>
    <n v="0"/>
    <n v="0"/>
    <n v="0"/>
    <n v="0"/>
    <n v="0"/>
    <n v="0"/>
    <e v="#N/A"/>
    <e v="#N/A"/>
    <x v="1"/>
    <x v="12"/>
    <x v="20"/>
  </r>
  <r>
    <s v="SONG THAN 2"/>
    <s v="STANDARD CHARTERED"/>
    <s v="37429027501"/>
    <x v="0"/>
    <s v="USD"/>
    <e v="#N/A"/>
    <e v="#N/A"/>
    <n v="0"/>
    <n v="0"/>
    <n v="0"/>
    <n v="0"/>
    <n v="0"/>
    <e v="#N/A"/>
    <e v="#N/A"/>
    <n v="0"/>
    <n v="0"/>
    <n v="0"/>
    <n v="0"/>
    <n v="0"/>
    <n v="0"/>
    <m/>
    <n v="0"/>
    <x v="1"/>
    <x v="12"/>
    <x v="20"/>
  </r>
  <r>
    <s v="LE MINH XUAN 3"/>
    <s v="STANDARD CHARTERED"/>
    <s v="90433414122"/>
    <x v="1"/>
    <s v="VND"/>
    <e v="#N/A"/>
    <e v="#N/A"/>
    <n v="0"/>
    <n v="0"/>
    <n v="0"/>
    <n v="0"/>
    <n v="0"/>
    <e v="#N/A"/>
    <e v="#N/A"/>
    <n v="0"/>
    <n v="0"/>
    <n v="0"/>
    <n v="0"/>
    <n v="0"/>
    <n v="0"/>
    <n v="0"/>
    <n v="0"/>
    <x v="1"/>
    <x v="12"/>
    <x v="20"/>
  </r>
  <r>
    <s v="LE MINH XUAN 3"/>
    <s v="STANDARD CHARTERED"/>
    <s v="37433414155"/>
    <x v="1"/>
    <s v="USD"/>
    <m/>
    <n v="0"/>
    <n v="0"/>
    <n v="0"/>
    <n v="0"/>
    <n v="0"/>
    <n v="0"/>
    <e v="#N/A"/>
    <e v="#N/A"/>
    <n v="0"/>
    <n v="0"/>
    <n v="0"/>
    <n v="0"/>
    <n v="0"/>
    <n v="0"/>
    <e v="#N/A"/>
    <e v="#N/A"/>
    <x v="1"/>
    <x v="12"/>
    <x v="20"/>
  </r>
  <r>
    <s v="LE MINH XUAN 3"/>
    <s v="STANDARD CHARTERED"/>
    <s v="37433414101"/>
    <x v="0"/>
    <s v="USD"/>
    <m/>
    <m/>
    <n v="0"/>
    <n v="0"/>
    <n v="0"/>
    <n v="0"/>
    <n v="0"/>
    <e v="#N/A"/>
    <e v="#N/A"/>
    <n v="0"/>
    <n v="0"/>
    <n v="0"/>
    <n v="0"/>
    <n v="0"/>
    <n v="0"/>
    <e v="#N/A"/>
    <e v="#N/A"/>
    <x v="1"/>
    <x v="12"/>
    <x v="20"/>
  </r>
  <r>
    <s v="TAN DONG HIEP B ELECTRON"/>
    <s v="STANDARD CHARTERED"/>
    <s v="90433414822"/>
    <x v="1"/>
    <s v="VND"/>
    <e v="#N/A"/>
    <e v="#N/A"/>
    <n v="0"/>
    <n v="0"/>
    <n v="0"/>
    <n v="0"/>
    <n v="0"/>
    <e v="#N/A"/>
    <e v="#N/A"/>
    <n v="0"/>
    <n v="0"/>
    <n v="0"/>
    <n v="0"/>
    <n v="0"/>
    <n v="0"/>
    <n v="0"/>
    <n v="0"/>
    <x v="1"/>
    <x v="12"/>
    <x v="20"/>
  </r>
  <r>
    <s v="TAN DONG HIEP B ELECTRON"/>
    <s v="STANDARD CHARTERED"/>
    <s v="37433414855"/>
    <x v="1"/>
    <s v="USD"/>
    <m/>
    <n v="0"/>
    <n v="0"/>
    <n v="0"/>
    <n v="0"/>
    <n v="0"/>
    <n v="0"/>
    <e v="#N/A"/>
    <e v="#N/A"/>
    <n v="0"/>
    <n v="0"/>
    <n v="0"/>
    <n v="0"/>
    <n v="0"/>
    <n v="0"/>
    <e v="#N/A"/>
    <e v="#N/A"/>
    <x v="1"/>
    <x v="12"/>
    <x v="20"/>
  </r>
  <r>
    <s v="TAN DONG HIEP B ELECTRON"/>
    <s v="STANDARD CHARTERED"/>
    <s v="90433414801"/>
    <x v="0"/>
    <s v="VND"/>
    <m/>
    <m/>
    <n v="190285499"/>
    <n v="0"/>
    <n v="0"/>
    <n v="0"/>
    <n v="190285499"/>
    <e v="#N/A"/>
    <e v="#N/A"/>
    <n v="0"/>
    <n v="0"/>
    <n v="0"/>
    <n v="0"/>
    <n v="0"/>
    <n v="0"/>
    <e v="#N/A"/>
    <e v="#N/A"/>
    <x v="1"/>
    <x v="12"/>
    <x v="20"/>
  </r>
  <r>
    <s v="TAN DONG HIEP B ELECTRON"/>
    <s v="STANDARD CHARTERED"/>
    <s v="37433414801"/>
    <x v="0"/>
    <s v="USD"/>
    <m/>
    <m/>
    <n v="0"/>
    <n v="0"/>
    <n v="0"/>
    <n v="0"/>
    <n v="0"/>
    <e v="#N/A"/>
    <e v="#N/A"/>
    <n v="0"/>
    <n v="0"/>
    <n v="0"/>
    <n v="0"/>
    <n v="0"/>
    <n v="0"/>
    <e v="#N/A"/>
    <e v="#N/A"/>
    <x v="1"/>
    <x v="12"/>
    <x v="20"/>
  </r>
  <r>
    <s v="PHU AN THANH"/>
    <s v="VIETINBANK - TPHCM"/>
    <s v="115002972462"/>
    <x v="0"/>
    <s v="VND"/>
    <e v="#N/A"/>
    <e v="#N/A"/>
    <n v="685817543"/>
    <n v="0"/>
    <n v="290871000"/>
    <n v="-290871000"/>
    <n v="394946543"/>
    <e v="#N/A"/>
    <e v="#N/A"/>
    <n v="0"/>
    <n v="0"/>
    <n v="0"/>
    <n v="0"/>
    <n v="0"/>
    <n v="0"/>
    <m/>
    <n v="0"/>
    <x v="1"/>
    <x v="2"/>
    <x v="19"/>
  </r>
  <r>
    <s v="THUAN THANH 3B"/>
    <s v="VIETCOMBANK - BA DINH"/>
    <s v="1047222564"/>
    <x v="0"/>
    <s v="VND"/>
    <e v="#N/A"/>
    <e v="#N/A"/>
    <n v="318165516"/>
    <n v="0"/>
    <n v="0"/>
    <n v="0"/>
    <n v="318165516"/>
    <e v="#N/A"/>
    <e v="#N/A"/>
    <n v="0"/>
    <n v="0"/>
    <n v="0"/>
    <n v="0"/>
    <n v="0"/>
    <n v="0"/>
    <m/>
    <n v="0"/>
    <x v="1"/>
    <x v="1"/>
    <x v="1"/>
  </r>
  <r>
    <s v="SONGTHAN LID"/>
    <s v="OCB - BINH DUONG"/>
    <s v="0010101568686868"/>
    <x v="0"/>
    <s v="VND"/>
    <m/>
    <m/>
    <n v="11364042"/>
    <n v="0"/>
    <n v="55000"/>
    <n v="-55000"/>
    <n v="11309042"/>
    <e v="#N/A"/>
    <e v="#N/A"/>
    <n v="0"/>
    <n v="0"/>
    <n v="0"/>
    <n v="0"/>
    <n v="0"/>
    <n v="0"/>
    <e v="#N/A"/>
    <e v="#N/A"/>
    <x v="1"/>
    <x v="6"/>
    <x v="10"/>
  </r>
  <r>
    <s v="BAU BANG 5"/>
    <s v="OCB - BINH DUONG"/>
    <s v="703520"/>
    <x v="0"/>
    <s v="VND"/>
    <e v="#N/A"/>
    <e v="#N/A"/>
    <n v="3060309"/>
    <n v="0"/>
    <n v="55000"/>
    <n v="-55000"/>
    <n v="3005309"/>
    <e v="#N/A"/>
    <e v="#N/A"/>
    <n v="0"/>
    <n v="0"/>
    <n v="0"/>
    <n v="0"/>
    <n v="0"/>
    <n v="0"/>
    <m/>
    <n v="0"/>
    <x v="1"/>
    <x v="6"/>
    <x v="10"/>
  </r>
  <r>
    <s v="SUPPLY CHAIN 2A"/>
    <s v="OCB - BINH DUONG"/>
    <s v="184072"/>
    <x v="0"/>
    <s v="VND"/>
    <e v="#N/A"/>
    <e v="#N/A"/>
    <n v="2343580"/>
    <n v="0"/>
    <n v="55000"/>
    <n v="-55000"/>
    <n v="2288580"/>
    <e v="#N/A"/>
    <e v="#N/A"/>
    <n v="0"/>
    <n v="0"/>
    <n v="0"/>
    <n v="0"/>
    <n v="0"/>
    <n v="0"/>
    <m/>
    <n v="0"/>
    <x v="1"/>
    <x v="6"/>
    <x v="10"/>
  </r>
  <r>
    <s v="DELIWAY"/>
    <s v="OCB - BINH DUONG"/>
    <s v="295018"/>
    <x v="0"/>
    <s v="VND"/>
    <e v="#N/A"/>
    <e v="#N/A"/>
    <n v="40501682"/>
    <n v="0"/>
    <n v="55000"/>
    <n v="-55000"/>
    <n v="40446682"/>
    <e v="#N/A"/>
    <e v="#N/A"/>
    <n v="0"/>
    <n v="0"/>
    <n v="0"/>
    <n v="0"/>
    <n v="0"/>
    <n v="0"/>
    <m/>
    <n v="0"/>
    <x v="1"/>
    <x v="6"/>
    <x v="10"/>
  </r>
  <r>
    <s v="TAY HAI"/>
    <s v="OCB - BINH DUONG"/>
    <s v="840153"/>
    <x v="0"/>
    <s v="VND"/>
    <e v="#N/A"/>
    <e v="#N/A"/>
    <n v="2819331"/>
    <n v="0"/>
    <n v="0"/>
    <n v="0"/>
    <n v="2819331"/>
    <e v="#N/A"/>
    <e v="#N/A"/>
    <n v="0"/>
    <n v="0"/>
    <n v="0"/>
    <n v="0"/>
    <n v="0"/>
    <n v="0"/>
    <m/>
    <n v="0"/>
    <x v="1"/>
    <x v="6"/>
    <x v="10"/>
  </r>
  <r>
    <s v="QV2 HOLDCO"/>
    <s v="OCB - BINH DUONG"/>
    <s v="106415"/>
    <x v="0"/>
    <s v="VND"/>
    <m/>
    <m/>
    <n v="2253488"/>
    <n v="0"/>
    <n v="0"/>
    <n v="0"/>
    <n v="2253488"/>
    <e v="#N/A"/>
    <e v="#N/A"/>
    <n v="0"/>
    <n v="0"/>
    <n v="0"/>
    <n v="0"/>
    <n v="0"/>
    <n v="0"/>
    <e v="#N/A"/>
    <e v="#N/A"/>
    <x v="1"/>
    <x v="6"/>
    <x v="10"/>
  </r>
  <r>
    <s v="BW NEW CITY"/>
    <s v="OCB - BINH DUONG"/>
    <s v="914095"/>
    <x v="0"/>
    <s v="VND"/>
    <m/>
    <m/>
    <n v="1983894"/>
    <n v="0"/>
    <n v="55000"/>
    <n v="-55000"/>
    <n v="1928894"/>
    <e v="#N/A"/>
    <e v="#N/A"/>
    <n v="0"/>
    <n v="0"/>
    <n v="0"/>
    <n v="0"/>
    <n v="0"/>
    <n v="0"/>
    <e v="#N/A"/>
    <e v="#N/A"/>
    <x v="1"/>
    <x v="6"/>
    <x v="10"/>
  </r>
  <r>
    <s v="SAO HOA"/>
    <s v="MAYBANK - HCM"/>
    <s v="101020000008444"/>
    <x v="0"/>
    <s v="VND"/>
    <e v="#N/A"/>
    <e v="#N/A"/>
    <n v="0"/>
    <n v="0"/>
    <n v="0"/>
    <n v="0"/>
    <n v="0"/>
    <e v="#N/A"/>
    <e v="#N/A"/>
    <n v="0"/>
    <n v="0"/>
    <n v="0"/>
    <n v="0"/>
    <n v="0"/>
    <n v="0"/>
    <m/>
    <n v="0"/>
    <x v="2"/>
    <x v="3"/>
    <x v="7"/>
  </r>
  <r>
    <s v="SONG THAN 2"/>
    <s v="VIETINBANK - TPHCM"/>
    <s v="111002975027"/>
    <x v="0"/>
    <s v="VND"/>
    <e v="#N/A"/>
    <e v="#N/A"/>
    <n v="428267332"/>
    <n v="421168"/>
    <n v="35708510"/>
    <n v="-35287342"/>
    <n v="392979990"/>
    <e v="#N/A"/>
    <e v="#N/A"/>
    <n v="0"/>
    <n v="0"/>
    <n v="0"/>
    <n v="0"/>
    <n v="0"/>
    <n v="0"/>
    <m/>
    <n v="0"/>
    <x v="1"/>
    <x v="2"/>
    <x v="19"/>
  </r>
  <r>
    <s v="LE MINH XUAN 3"/>
    <s v="VIETINBANK - TPHCM"/>
    <s v="118002972254"/>
    <x v="0"/>
    <s v="VND"/>
    <e v="#N/A"/>
    <e v="#N/A"/>
    <n v="2472421304"/>
    <n v="111328883"/>
    <n v="181735927"/>
    <n v="-70407044"/>
    <n v="2402014260"/>
    <e v="#N/A"/>
    <e v="#N/A"/>
    <n v="0"/>
    <n v="0"/>
    <n v="0"/>
    <n v="0"/>
    <n v="0"/>
    <n v="0"/>
    <m/>
    <n v="0"/>
    <x v="1"/>
    <x v="2"/>
    <x v="19"/>
  </r>
  <r>
    <s v="TAN DONG HIEP B ELECTRON"/>
    <s v="VIETINBANK - TPHCM"/>
    <s v="110002974996"/>
    <x v="0"/>
    <s v="VND"/>
    <e v="#N/A"/>
    <e v="#N/A"/>
    <n v="943508035"/>
    <n v="4267369648"/>
    <n v="334504470"/>
    <n v="3932865178"/>
    <n v="4876373213"/>
    <e v="#N/A"/>
    <e v="#N/A"/>
    <n v="0"/>
    <n v="0"/>
    <n v="0"/>
    <n v="0"/>
    <n v="0"/>
    <n v="0"/>
    <m/>
    <n v="0"/>
    <x v="1"/>
    <x v="2"/>
    <x v="19"/>
  </r>
  <r>
    <s v="DEEP C 2B"/>
    <s v="VIETINBANK - TPHCM"/>
    <s v="117002972458"/>
    <x v="0"/>
    <s v="VND"/>
    <e v="#N/A"/>
    <e v="#N/A"/>
    <n v="503835244"/>
    <n v="0"/>
    <n v="371082109"/>
    <n v="-371082109"/>
    <n v="132753135"/>
    <e v="#N/A"/>
    <e v="#N/A"/>
    <n v="0"/>
    <n v="0"/>
    <n v="0"/>
    <n v="0"/>
    <n v="0"/>
    <n v="0"/>
    <m/>
    <n v="0"/>
    <x v="1"/>
    <x v="2"/>
    <x v="19"/>
  </r>
  <r>
    <s v="SAO HOA"/>
    <s v="KBank - HCM"/>
    <s v="102001530257"/>
    <x v="0"/>
    <s v="VND"/>
    <e v="#N/A"/>
    <e v="#N/A"/>
    <n v="91414710"/>
    <n v="0"/>
    <n v="0"/>
    <n v="0"/>
    <n v="91414710"/>
    <e v="#N/A"/>
    <e v="#N/A"/>
    <n v="0"/>
    <n v="0"/>
    <n v="0"/>
    <n v="0"/>
    <n v="0"/>
    <n v="0"/>
    <m/>
    <n v="0"/>
    <x v="2"/>
    <x v="3"/>
    <x v="7"/>
  </r>
  <r>
    <s v="BWID BINH DUONG"/>
    <s v="CTBC - HCM"/>
    <s v="907181285326"/>
    <x v="0"/>
    <s v="VND"/>
    <e v="#N/A"/>
    <e v="#N/A"/>
    <n v="50662508"/>
    <n v="0"/>
    <n v="0"/>
    <n v="0"/>
    <n v="50662508"/>
    <e v="#N/A"/>
    <e v="#N/A"/>
    <n v="0"/>
    <n v="0"/>
    <n v="0"/>
    <n v="0"/>
    <n v="0"/>
    <n v="0"/>
    <m/>
    <n v="0"/>
    <x v="0"/>
    <x v="3"/>
    <x v="7"/>
  </r>
  <r>
    <s v="SAO HOA"/>
    <s v="CTBC - HCM"/>
    <s v="907181285423"/>
    <x v="0"/>
    <s v="VND"/>
    <e v="#N/A"/>
    <e v="#N/A"/>
    <n v="341734394"/>
    <n v="0"/>
    <n v="0"/>
    <n v="0"/>
    <n v="341734394"/>
    <e v="#N/A"/>
    <e v="#N/A"/>
    <n v="0"/>
    <n v="0"/>
    <n v="0"/>
    <n v="0"/>
    <n v="0"/>
    <n v="0"/>
    <m/>
    <n v="0"/>
    <x v="2"/>
    <x v="3"/>
    <x v="7"/>
  </r>
  <r>
    <s v="SAO HOA"/>
    <s v="VIETINBANK - DONG SAI GON"/>
    <s v="110002970120"/>
    <x v="0"/>
    <s v="VND"/>
    <e v="#N/A"/>
    <e v="#N/A"/>
    <n v="4090292"/>
    <n v="0"/>
    <n v="0"/>
    <n v="0"/>
    <n v="4090292"/>
    <e v="#N/A"/>
    <e v="#N/A"/>
    <n v="0"/>
    <n v="0"/>
    <n v="0"/>
    <n v="0"/>
    <n v="0"/>
    <n v="0"/>
    <m/>
    <n v="0"/>
    <x v="2"/>
    <x v="2"/>
    <x v="5"/>
  </r>
  <r>
    <s v="SONG THAN 2"/>
    <s v="VIETINBANK - TPHCM"/>
    <s v="212000403019"/>
    <x v="2"/>
    <s v="VND"/>
    <e v="#N/A"/>
    <e v="#N/A"/>
    <n v="0"/>
    <n v="0"/>
    <n v="0"/>
    <n v="0"/>
    <n v="0"/>
    <e v="#N/A"/>
    <e v="#N/A"/>
    <n v="0"/>
    <n v="0"/>
    <n v="0"/>
    <n v="0"/>
    <n v="0"/>
    <n v="0"/>
    <m/>
    <n v="0"/>
    <x v="1"/>
    <x v="2"/>
    <x v="19"/>
  </r>
  <r>
    <s v="WINLOCK 2B"/>
    <s v="VIETINBANK - TIEN SON"/>
    <s v="216000403409"/>
    <x v="2"/>
    <s v="VND"/>
    <e v="#N/A"/>
    <e v="#N/A"/>
    <n v="0"/>
    <n v="0"/>
    <n v="0"/>
    <n v="0"/>
    <n v="0"/>
    <e v="#N/A"/>
    <e v="#N/A"/>
    <n v="0"/>
    <n v="0"/>
    <n v="0"/>
    <n v="0"/>
    <n v="0"/>
    <n v="0"/>
    <m/>
    <n v="0"/>
    <x v="1"/>
    <x v="2"/>
    <x v="3"/>
  </r>
  <r>
    <s v="BWID BINH DUONG"/>
    <s v="MAYBANK - HCM"/>
    <s v="101020000008482"/>
    <x v="0"/>
    <s v="VND"/>
    <m/>
    <m/>
    <n v="64012529"/>
    <n v="0"/>
    <n v="0"/>
    <n v="0"/>
    <n v="64012529"/>
    <e v="#N/A"/>
    <e v="#N/A"/>
    <n v="0"/>
    <n v="0"/>
    <n v="0"/>
    <n v="0"/>
    <n v="0"/>
    <n v="0"/>
    <e v="#N/A"/>
    <e v="#N/A"/>
    <x v="0"/>
    <x v="3"/>
    <x v="7"/>
  </r>
  <r>
    <s v="MPL JSC"/>
    <s v="BIDV - THANH XUAN"/>
    <s v="8610029749"/>
    <x v="0"/>
    <s v="VND"/>
    <e v="#N/A"/>
    <e v="#N/A"/>
    <n v="794088292"/>
    <n v="0"/>
    <n v="0"/>
    <n v="0"/>
    <n v="794088292"/>
    <e v="#N/A"/>
    <e v="#N/A"/>
    <n v="0"/>
    <n v="0"/>
    <n v="0"/>
    <n v="0"/>
    <n v="0"/>
    <n v="0"/>
    <m/>
    <n v="0"/>
    <x v="1"/>
    <x v="0"/>
    <x v="0"/>
  </r>
  <r>
    <s v="TAN DONG HIEP B ELECTRON"/>
    <s v="VIETINBANK - TPHCM"/>
    <s v="212000407628"/>
    <x v="2"/>
    <s v="VND"/>
    <e v="#N/A"/>
    <e v="#N/A"/>
    <n v="0"/>
    <n v="0"/>
    <n v="0"/>
    <n v="0"/>
    <n v="0"/>
    <e v="#N/A"/>
    <e v="#N/A"/>
    <n v="0"/>
    <n v="0"/>
    <n v="0"/>
    <n v="0"/>
    <n v="0"/>
    <n v="0"/>
    <m/>
    <n v="0"/>
    <x v="1"/>
    <x v="2"/>
    <x v="19"/>
  </r>
  <r>
    <s v="BWID HAI DUONG"/>
    <s v="VIETINBANK - TIEN SON"/>
    <s v="211000406357"/>
    <x v="2"/>
    <s v="VND"/>
    <e v="#N/A"/>
    <e v="#N/A"/>
    <n v="0"/>
    <n v="0"/>
    <n v="0"/>
    <n v="0"/>
    <n v="0"/>
    <e v="#N/A"/>
    <e v="#N/A"/>
    <n v="0"/>
    <n v="0"/>
    <n v="0"/>
    <n v="0"/>
    <n v="0"/>
    <n v="0"/>
    <m/>
    <n v="0"/>
    <x v="1"/>
    <x v="2"/>
    <x v="3"/>
  </r>
  <r>
    <s v="BWID DONG AN LID"/>
    <s v="VIETINBANK - DONG SAI GON"/>
    <s v="212000407382"/>
    <x v="2"/>
    <s v="VND"/>
    <e v="#N/A"/>
    <e v="#N/A"/>
    <n v="10000000000"/>
    <n v="0"/>
    <n v="0"/>
    <n v="0"/>
    <n v="10000000000"/>
    <e v="#N/A"/>
    <e v="#N/A"/>
    <n v="0"/>
    <n v="0"/>
    <n v="0"/>
    <n v="0"/>
    <n v="0"/>
    <n v="0"/>
    <m/>
    <n v="0"/>
    <x v="1"/>
    <x v="2"/>
    <x v="5"/>
  </r>
  <r>
    <s v="BWID HAI DUONG 2"/>
    <s v="VIETINBANK - TIEN SON"/>
    <s v="211000407222"/>
    <x v="2"/>
    <s v="VND"/>
    <e v="#N/A"/>
    <e v="#N/A"/>
    <n v="0"/>
    <n v="0"/>
    <n v="0"/>
    <n v="0"/>
    <n v="0"/>
    <e v="#N/A"/>
    <e v="#N/A"/>
    <n v="0"/>
    <n v="0"/>
    <n v="0"/>
    <n v="0"/>
    <n v="0"/>
    <n v="0"/>
    <m/>
    <n v="0"/>
    <x v="1"/>
    <x v="2"/>
    <x v="3"/>
  </r>
  <r>
    <s v="SG LOGISTICS"/>
    <s v="UOB - HCM"/>
    <s v="1053051753"/>
    <x v="0"/>
    <s v="VND"/>
    <e v="#N/A"/>
    <e v="#N/A"/>
    <n v="2780000"/>
    <n v="0"/>
    <n v="0"/>
    <n v="0"/>
    <n v="2780000"/>
    <e v="#N/A"/>
    <e v="#N/A"/>
    <n v="0"/>
    <n v="0"/>
    <n v="0"/>
    <n v="0"/>
    <n v="0"/>
    <n v="0"/>
    <m/>
    <n v="0"/>
    <x v="1"/>
    <x v="10"/>
    <x v="17"/>
  </r>
  <r>
    <s v="BW HAI AN"/>
    <s v="BIDV - THANH XUAN"/>
    <s v="817005836420"/>
    <x v="2"/>
    <s v="VND"/>
    <e v="#N/A"/>
    <e v="#N/A"/>
    <n v="9000000000"/>
    <n v="0"/>
    <n v="0"/>
    <n v="0"/>
    <n v="9000000000"/>
    <e v="#N/A"/>
    <e v="#N/A"/>
    <n v="0"/>
    <n v="0"/>
    <n v="0"/>
    <n v="0"/>
    <n v="0"/>
    <n v="0"/>
    <m/>
    <n v="0"/>
    <x v="1"/>
    <x v="0"/>
    <x v="0"/>
  </r>
  <r>
    <s v="BW HAI AN"/>
    <s v="BIDV - THANH XUAN"/>
    <s v="815005836440"/>
    <x v="2"/>
    <s v="VND"/>
    <e v="#N/A"/>
    <e v="#N/A"/>
    <n v="0"/>
    <n v="0"/>
    <n v="0"/>
    <n v="0"/>
    <n v="0"/>
    <e v="#N/A"/>
    <e v="#N/A"/>
    <n v="0"/>
    <n v="0"/>
    <n v="0"/>
    <n v="0"/>
    <n v="0"/>
    <n v="0"/>
    <m/>
    <n v="0"/>
    <x v="1"/>
    <x v="0"/>
    <x v="0"/>
  </r>
  <r>
    <s v="BWID THOI HOA 2"/>
    <s v="KBank - HCM"/>
    <s v="105001540411"/>
    <x v="0"/>
    <s v="VND"/>
    <e v="#N/A"/>
    <e v="#N/A"/>
    <n v="3311778542"/>
    <n v="7390753720"/>
    <n v="1171903281"/>
    <n v="6218850439"/>
    <n v="9530628981"/>
    <e v="#N/A"/>
    <e v="#N/A"/>
    <n v="0"/>
    <n v="0"/>
    <n v="0"/>
    <n v="0"/>
    <n v="0"/>
    <n v="0"/>
    <m/>
    <n v="0"/>
    <x v="1"/>
    <x v="3"/>
    <x v="7"/>
  </r>
  <r>
    <s v="BAC TIEN PHONG"/>
    <s v="BIDV - THANH XUAN"/>
    <s v="812006016470"/>
    <x v="2"/>
    <s v="VND"/>
    <e v="#N/A"/>
    <e v="#N/A"/>
    <n v="13000000000"/>
    <n v="0"/>
    <n v="0"/>
    <n v="0"/>
    <n v="13000000000"/>
    <e v="#N/A"/>
    <e v="#N/A"/>
    <n v="0"/>
    <n v="0"/>
    <n v="0"/>
    <n v="0"/>
    <n v="0"/>
    <n v="0"/>
    <m/>
    <n v="0"/>
    <x v="1"/>
    <x v="0"/>
    <x v="0"/>
  </r>
  <r>
    <s v="BAC TIEN PHONG"/>
    <s v="BIDV - THANH XUAN"/>
    <s v="814006107925"/>
    <x v="2"/>
    <s v="VND"/>
    <e v="#N/A"/>
    <e v="#N/A"/>
    <n v="8000000000"/>
    <n v="0"/>
    <n v="0"/>
    <n v="0"/>
    <n v="8000000000"/>
    <e v="#N/A"/>
    <e v="#N/A"/>
    <n v="0"/>
    <n v="0"/>
    <n v="0"/>
    <n v="0"/>
    <n v="0"/>
    <n v="0"/>
    <m/>
    <n v="0"/>
    <x v="1"/>
    <x v="0"/>
    <x v="0"/>
  </r>
  <r>
    <s v="BWID HAI DUONG 3"/>
    <s v="BIDV - THANH XUAN"/>
    <s v="810005865740"/>
    <x v="2"/>
    <s v="VND"/>
    <e v="#N/A"/>
    <e v="#N/A"/>
    <n v="24500000000"/>
    <n v="0"/>
    <n v="0"/>
    <n v="0"/>
    <n v="24500000000"/>
    <e v="#N/A"/>
    <e v="#N/A"/>
    <n v="0"/>
    <n v="0"/>
    <n v="0"/>
    <n v="0"/>
    <n v="0"/>
    <n v="0"/>
    <m/>
    <n v="0"/>
    <x v="1"/>
    <x v="0"/>
    <x v="0"/>
  </r>
  <r>
    <s v="BWID BINH DUONG"/>
    <s v="BIDV - THANH XUAN"/>
    <s v="815006345076"/>
    <x v="2"/>
    <s v="VND"/>
    <e v="#N/A"/>
    <e v="#N/A"/>
    <n v="0"/>
    <n v="0"/>
    <n v="0"/>
    <n v="0"/>
    <n v="0"/>
    <e v="#N/A"/>
    <e v="#N/A"/>
    <n v="0"/>
    <n v="0"/>
    <n v="0"/>
    <n v="0"/>
    <n v="0"/>
    <n v="0"/>
    <m/>
    <n v="0"/>
    <x v="0"/>
    <x v="0"/>
    <x v="0"/>
  </r>
  <r>
    <s v="TAY NAM A"/>
    <s v="KBank - HCM"/>
    <s v="109001462412"/>
    <x v="0"/>
    <s v="VND"/>
    <e v="#N/A"/>
    <e v="#N/A"/>
    <n v="611058433"/>
    <n v="0"/>
    <n v="46200"/>
    <n v="-46200"/>
    <n v="611012233"/>
    <e v="#N/A"/>
    <e v="#N/A"/>
    <n v="0"/>
    <n v="0"/>
    <n v="0"/>
    <n v="0"/>
    <n v="0"/>
    <n v="0"/>
    <m/>
    <n v="0"/>
    <x v="1"/>
    <x v="3"/>
    <x v="7"/>
  </r>
  <r>
    <s v="BWID BINH DUONG"/>
    <s v="VIETINBANK - BINH DUONG"/>
    <s v="213000418604"/>
    <x v="2"/>
    <s v="VND"/>
    <e v="#N/A"/>
    <e v="#N/A"/>
    <n v="0"/>
    <n v="0"/>
    <n v="0"/>
    <n v="0"/>
    <n v="0"/>
    <e v="#N/A"/>
    <e v="#N/A"/>
    <n v="0"/>
    <n v="0"/>
    <n v="0"/>
    <n v="0"/>
    <n v="0"/>
    <n v="0"/>
    <m/>
    <n v="0"/>
    <x v="0"/>
    <x v="2"/>
    <x v="4"/>
  </r>
  <r>
    <s v="BW MY PHUOC 3"/>
    <s v="VIETINBANK - BINH DUONG"/>
    <s v="212000418068"/>
    <x v="2"/>
    <s v="VND"/>
    <e v="#N/A"/>
    <e v="#N/A"/>
    <n v="0"/>
    <n v="0"/>
    <n v="0"/>
    <n v="0"/>
    <n v="0"/>
    <e v="#N/A"/>
    <e v="#N/A"/>
    <n v="0"/>
    <n v="0"/>
    <n v="0"/>
    <n v="0"/>
    <n v="0"/>
    <n v="0"/>
    <m/>
    <n v="0"/>
    <x v="1"/>
    <x v="2"/>
    <x v="4"/>
  </r>
  <r>
    <s v="NDV PROJECT CO"/>
    <s v="BIDV - THANH XUAN"/>
    <s v="815006820776"/>
    <x v="2"/>
    <s v="VND"/>
    <e v="#N/A"/>
    <e v="#N/A"/>
    <n v="4815000000"/>
    <n v="0"/>
    <n v="0"/>
    <n v="0"/>
    <n v="4815000000"/>
    <e v="#N/A"/>
    <e v="#N/A"/>
    <n v="0"/>
    <n v="0"/>
    <n v="0"/>
    <n v="0"/>
    <n v="0"/>
    <n v="0"/>
    <m/>
    <n v="0"/>
    <x v="1"/>
    <x v="0"/>
    <x v="0"/>
  </r>
  <r>
    <s v="THUAN THANH 3B"/>
    <s v="VIETCOMBANK - BA DINH"/>
    <s v="1050537961"/>
    <x v="2"/>
    <s v="VND"/>
    <e v="#N/A"/>
    <e v="#N/A"/>
    <n v="4000000000"/>
    <n v="0"/>
    <n v="0"/>
    <n v="0"/>
    <n v="4000000000"/>
    <e v="#N/A"/>
    <e v="#N/A"/>
    <n v="0"/>
    <n v="0"/>
    <n v="0"/>
    <n v="0"/>
    <n v="0"/>
    <n v="0"/>
    <m/>
    <n v="0"/>
    <x v="1"/>
    <x v="1"/>
    <x v="1"/>
  </r>
  <r>
    <s v="PHUC DIEN"/>
    <s v="VIETCOMBANK - BA DINH"/>
    <s v="6080146666"/>
    <x v="0"/>
    <s v="VND"/>
    <e v="#N/A"/>
    <e v="#N/A"/>
    <n v="176556962"/>
    <n v="0"/>
    <n v="0"/>
    <n v="0"/>
    <n v="176556962"/>
    <e v="#N/A"/>
    <e v="#N/A"/>
    <n v="0"/>
    <n v="0"/>
    <n v="0"/>
    <n v="0"/>
    <n v="0"/>
    <n v="0"/>
    <m/>
    <n v="0"/>
    <x v="1"/>
    <x v="1"/>
    <x v="1"/>
  </r>
  <r>
    <s v="BW NAM HAI"/>
    <s v="VIETCOMBANK - BA DINH"/>
    <s v="1048666263"/>
    <x v="0"/>
    <s v="VND"/>
    <e v="#N/A"/>
    <e v="#N/A"/>
    <n v="3418711106"/>
    <n v="98098262"/>
    <n v="254699992"/>
    <n v="-156601730"/>
    <n v="3262109376"/>
    <e v="#N/A"/>
    <e v="#N/A"/>
    <n v="0"/>
    <n v="0"/>
    <n v="0"/>
    <n v="0"/>
    <n v="0"/>
    <n v="0"/>
    <m/>
    <n v="0"/>
    <x v="1"/>
    <x v="1"/>
    <x v="1"/>
  </r>
  <r>
    <s v="PHUOC LOI"/>
    <s v="VIETINBANK - CN1"/>
    <s v="113002984859"/>
    <x v="0"/>
    <s v="VND"/>
    <e v="#N/A"/>
    <e v="#N/A"/>
    <n v="88199858"/>
    <n v="0"/>
    <n v="0"/>
    <n v="0"/>
    <n v="88199858"/>
    <e v="#N/A"/>
    <e v="#N/A"/>
    <n v="0"/>
    <n v="0"/>
    <n v="0"/>
    <n v="0"/>
    <n v="0"/>
    <n v="0"/>
    <m/>
    <n v="0"/>
    <x v="1"/>
    <x v="2"/>
    <x v="6"/>
  </r>
  <r>
    <s v="BWID TAN DONG HIEP"/>
    <s v="SINOPAC"/>
    <s v="07000800109999"/>
    <x v="0"/>
    <s v="VND"/>
    <e v="#N/A"/>
    <e v="#N/A"/>
    <n v="5835756440"/>
    <n v="3730488250"/>
    <n v="114062733"/>
    <n v="3616425517"/>
    <n v="9452181957"/>
    <e v="#N/A"/>
    <e v="#N/A"/>
    <n v="0"/>
    <n v="0"/>
    <n v="0"/>
    <n v="0"/>
    <n v="0"/>
    <n v="0"/>
    <m/>
    <n v="0"/>
    <x v="1"/>
    <x v="8"/>
    <x v="12"/>
  </r>
  <r>
    <s v="BCI JSC"/>
    <s v="VIETINBANK - TIEN SON"/>
    <s v="210000424285"/>
    <x v="2"/>
    <s v="VND"/>
    <e v="#N/A"/>
    <e v="#N/A"/>
    <n v="0"/>
    <n v="0"/>
    <n v="0"/>
    <n v="0"/>
    <n v="0"/>
    <e v="#N/A"/>
    <e v="#N/A"/>
    <n v="0"/>
    <n v="0"/>
    <n v="0"/>
    <n v="0"/>
    <n v="0"/>
    <n v="0"/>
    <m/>
    <n v="0"/>
    <x v="1"/>
    <x v="2"/>
    <x v="3"/>
  </r>
  <r>
    <s v="BW HAI AN"/>
    <s v="BIDV - THANH XUAN"/>
    <s v="814007227684"/>
    <x v="2"/>
    <s v="VND"/>
    <e v="#N/A"/>
    <e v="#N/A"/>
    <n v="0"/>
    <n v="0"/>
    <n v="0"/>
    <n v="0"/>
    <n v="0"/>
    <e v="#N/A"/>
    <e v="#N/A"/>
    <n v="0"/>
    <n v="0"/>
    <n v="0"/>
    <n v="0"/>
    <n v="0"/>
    <n v="0"/>
    <m/>
    <n v="0"/>
    <x v="1"/>
    <x v="0"/>
    <x v="0"/>
  </r>
  <r>
    <s v="BW HAI AN"/>
    <s v="BIDV - THANH XUAN"/>
    <s v="817007296714"/>
    <x v="2"/>
    <s v="VND"/>
    <e v="#N/A"/>
    <e v="#N/A"/>
    <n v="5000000000"/>
    <n v="0"/>
    <n v="0"/>
    <n v="0"/>
    <n v="5000000000"/>
    <e v="#N/A"/>
    <e v="#N/A"/>
    <n v="0"/>
    <n v="0"/>
    <n v="0"/>
    <n v="0"/>
    <n v="0"/>
    <n v="0"/>
    <m/>
    <n v="0"/>
    <x v="1"/>
    <x v="0"/>
    <x v="0"/>
  </r>
  <r>
    <s v="BW DINH VU"/>
    <s v="BIDV - THANH XUAN"/>
    <s v="817007280651"/>
    <x v="2"/>
    <s v="VND"/>
    <e v="#N/A"/>
    <e v="#N/A"/>
    <n v="4000000000"/>
    <n v="0"/>
    <n v="0"/>
    <n v="0"/>
    <n v="4000000000"/>
    <e v="#N/A"/>
    <e v="#N/A"/>
    <n v="0"/>
    <n v="0"/>
    <n v="0"/>
    <n v="0"/>
    <n v="0"/>
    <n v="0"/>
    <m/>
    <n v="0"/>
    <x v="1"/>
    <x v="0"/>
    <x v="0"/>
  </r>
  <r>
    <s v="BWID HAI DUONG 3"/>
    <s v="BIDV - THANH XUAN"/>
    <s v="814007295493"/>
    <x v="2"/>
    <s v="VND"/>
    <e v="#N/A"/>
    <e v="#N/A"/>
    <n v="10500000000"/>
    <n v="0"/>
    <n v="0"/>
    <n v="0"/>
    <n v="10500000000"/>
    <e v="#N/A"/>
    <e v="#N/A"/>
    <n v="0"/>
    <n v="0"/>
    <n v="0"/>
    <n v="0"/>
    <n v="0"/>
    <n v="0"/>
    <m/>
    <n v="0"/>
    <x v="1"/>
    <x v="0"/>
    <x v="0"/>
  </r>
  <r>
    <s v="BWID BINH DUONG"/>
    <s v="SINOPAC"/>
    <s v="07003600014838"/>
    <x v="2"/>
    <s v="VND"/>
    <e v="#N/A"/>
    <e v="#N/A"/>
    <n v="0"/>
    <n v="0"/>
    <n v="0"/>
    <n v="0"/>
    <n v="0"/>
    <e v="#N/A"/>
    <e v="#N/A"/>
    <n v="0"/>
    <n v="0"/>
    <n v="0"/>
    <n v="0"/>
    <n v="0"/>
    <n v="0"/>
    <m/>
    <n v="0"/>
    <x v="0"/>
    <x v="8"/>
    <x v="12"/>
  </r>
  <r>
    <s v="HOLDCO N4C"/>
    <s v="VIETINBANK - TIEN SON"/>
    <s v="112002987108"/>
    <x v="5"/>
    <s v="VND"/>
    <e v="#N/A"/>
    <e v="#N/A"/>
    <n v="0"/>
    <n v="0"/>
    <n v="0"/>
    <n v="0"/>
    <n v="0"/>
    <e v="#N/A"/>
    <e v="#N/A"/>
    <n v="0"/>
    <n v="0"/>
    <n v="0"/>
    <n v="0"/>
    <n v="0"/>
    <n v="0"/>
    <m/>
    <n v="0"/>
    <x v="1"/>
    <x v="2"/>
    <x v="3"/>
  </r>
  <r>
    <s v="TAY NAM A"/>
    <s v="KBank - HCM"/>
    <s v="400000001828"/>
    <x v="2"/>
    <s v="VND"/>
    <e v="#N/A"/>
    <e v="#N/A"/>
    <n v="1700000000"/>
    <n v="0"/>
    <n v="0"/>
    <n v="0"/>
    <n v="1700000000"/>
    <e v="#N/A"/>
    <e v="#N/A"/>
    <n v="0"/>
    <n v="0"/>
    <n v="0"/>
    <n v="0"/>
    <n v="0"/>
    <n v="0"/>
    <m/>
    <n v="0"/>
    <x v="1"/>
    <x v="3"/>
    <x v="7"/>
  </r>
  <r>
    <s v="HOLDCO N4C"/>
    <s v="VIETINBANK - TIEN SON"/>
    <s v="212000424722"/>
    <x v="2"/>
    <s v="VND"/>
    <e v="#N/A"/>
    <e v="#N/A"/>
    <n v="0"/>
    <n v="0"/>
    <n v="0"/>
    <n v="0"/>
    <n v="0"/>
    <e v="#N/A"/>
    <e v="#N/A"/>
    <n v="0"/>
    <n v="0"/>
    <n v="0"/>
    <n v="0"/>
    <n v="0"/>
    <n v="0"/>
    <m/>
    <n v="0"/>
    <x v="1"/>
    <x v="2"/>
    <x v="3"/>
  </r>
  <r>
    <s v="BWID Tan Phu Trung"/>
    <s v="VIETINBANK - TIEN SON"/>
    <s v="217000427712"/>
    <x v="2"/>
    <s v="VND"/>
    <e v="#N/A"/>
    <e v="#N/A"/>
    <n v="0"/>
    <n v="0"/>
    <n v="0"/>
    <n v="0"/>
    <n v="0"/>
    <e v="#N/A"/>
    <e v="#N/A"/>
    <n v="0"/>
    <n v="0"/>
    <n v="0"/>
    <n v="0"/>
    <n v="0"/>
    <n v="0"/>
    <m/>
    <n v="0"/>
    <x v="1"/>
    <x v="2"/>
    <x v="3"/>
  </r>
  <r>
    <s v="BW DONG HAI"/>
    <s v="BIDV - THANH XUAN"/>
    <s v="816007779759"/>
    <x v="2"/>
    <s v="VND"/>
    <e v="#N/A"/>
    <e v="#N/A"/>
    <n v="4000000000"/>
    <n v="0"/>
    <n v="0"/>
    <n v="0"/>
    <n v="4000000000"/>
    <e v="#N/A"/>
    <e v="#N/A"/>
    <n v="0"/>
    <n v="0"/>
    <n v="0"/>
    <n v="0"/>
    <n v="0"/>
    <n v="0"/>
    <m/>
    <n v="0"/>
    <x v="1"/>
    <x v="0"/>
    <x v="0"/>
  </r>
  <r>
    <s v="BW PHU NGHIA"/>
    <s v="BIDV - THANH XUAN"/>
    <s v="819007660245"/>
    <x v="2"/>
    <s v="VND"/>
    <e v="#N/A"/>
    <e v="#N/A"/>
    <n v="4000000000"/>
    <n v="0"/>
    <n v="0"/>
    <n v="0"/>
    <n v="4000000000"/>
    <e v="#N/A"/>
    <e v="#N/A"/>
    <n v="0"/>
    <n v="0"/>
    <n v="0"/>
    <n v="0"/>
    <n v="0"/>
    <n v="0"/>
    <m/>
    <n v="0"/>
    <x v="1"/>
    <x v="0"/>
    <x v="0"/>
  </r>
  <r>
    <s v="BW NAM HAI"/>
    <s v="VIETCOMBANK - BA DINH"/>
    <s v="1052530076"/>
    <x v="2"/>
    <s v="VND"/>
    <e v="#N/A"/>
    <e v="#N/A"/>
    <n v="7000000000"/>
    <n v="0"/>
    <n v="0"/>
    <n v="0"/>
    <n v="7000000000"/>
    <e v="#N/A"/>
    <e v="#N/A"/>
    <n v="0"/>
    <n v="0"/>
    <n v="0"/>
    <n v="0"/>
    <n v="0"/>
    <n v="0"/>
    <m/>
    <n v="0"/>
    <x v="1"/>
    <x v="1"/>
    <x v="1"/>
  </r>
  <r>
    <s v="BW SAI GON"/>
    <s v="SINOPAC"/>
    <s v="07003600015026"/>
    <x v="2"/>
    <s v="VND"/>
    <e v="#N/A"/>
    <e v="#N/A"/>
    <n v="20000000000"/>
    <n v="0"/>
    <n v="0"/>
    <n v="0"/>
    <n v="20000000000"/>
    <e v="#N/A"/>
    <e v="#N/A"/>
    <n v="0"/>
    <n v="0"/>
    <n v="0"/>
    <n v="0"/>
    <n v="0"/>
    <n v="0"/>
    <m/>
    <n v="0"/>
    <x v="1"/>
    <x v="8"/>
    <x v="12"/>
  </r>
  <r>
    <s v="SUPPLY CHAIN 2A"/>
    <s v="VIB - HOI SO"/>
    <s v="045681644_1"/>
    <x v="2"/>
    <s v="VND"/>
    <e v="#N/A"/>
    <e v="#N/A"/>
    <n v="2600000000"/>
    <n v="0"/>
    <n v="0"/>
    <n v="0"/>
    <n v="2600000000"/>
    <e v="#N/A"/>
    <e v="#N/A"/>
    <n v="0"/>
    <n v="0"/>
    <n v="0"/>
    <n v="0"/>
    <n v="0"/>
    <n v="0"/>
    <m/>
    <n v="0"/>
    <x v="1"/>
    <x v="4"/>
    <x v="8"/>
  </r>
  <r>
    <s v="TCS JSC"/>
    <s v="BIDV - THANH XUAN"/>
    <s v="8680028808"/>
    <x v="0"/>
    <s v="VND"/>
    <e v="#N/A"/>
    <e v="#N/A"/>
    <n v="2650745677"/>
    <n v="6637806"/>
    <n v="0"/>
    <n v="6637806"/>
    <n v="2657383483"/>
    <e v="#N/A"/>
    <e v="#N/A"/>
    <n v="0"/>
    <n v="0"/>
    <n v="0"/>
    <n v="0"/>
    <n v="0"/>
    <n v="0"/>
    <m/>
    <n v="0"/>
    <x v="1"/>
    <x v="0"/>
    <x v="0"/>
  </r>
  <r>
    <s v="HOLDCO4V"/>
    <s v="UOB - HCM"/>
    <s v="1053051826"/>
    <x v="0"/>
    <s v="VND"/>
    <e v="#N/A"/>
    <e v="#N/A"/>
    <n v="0"/>
    <n v="0"/>
    <n v="0"/>
    <n v="0"/>
    <n v="0"/>
    <e v="#N/A"/>
    <e v="#N/A"/>
    <n v="0"/>
    <n v="0"/>
    <n v="0"/>
    <n v="0"/>
    <n v="0"/>
    <n v="0"/>
    <m/>
    <n v="0"/>
    <x v="1"/>
    <x v="10"/>
    <x v="17"/>
  </r>
  <r>
    <s v="HOLDCO4S"/>
    <s v="UOB - HCM"/>
    <s v="1053051818"/>
    <x v="0"/>
    <s v="VND"/>
    <e v="#N/A"/>
    <e v="#N/A"/>
    <n v="0"/>
    <n v="0"/>
    <n v="0"/>
    <n v="0"/>
    <n v="0"/>
    <e v="#N/A"/>
    <e v="#N/A"/>
    <n v="0"/>
    <n v="0"/>
    <n v="0"/>
    <n v="0"/>
    <n v="0"/>
    <n v="0"/>
    <m/>
    <n v="0"/>
    <x v="1"/>
    <x v="10"/>
    <x v="17"/>
  </r>
  <r>
    <s v="HOLDCO5S"/>
    <s v="UOB - HCM"/>
    <s v="1053051796"/>
    <x v="0"/>
    <s v="VND"/>
    <e v="#N/A"/>
    <e v="#N/A"/>
    <n v="0"/>
    <n v="0"/>
    <n v="0"/>
    <n v="0"/>
    <n v="0"/>
    <e v="#N/A"/>
    <e v="#N/A"/>
    <n v="0"/>
    <n v="0"/>
    <n v="0"/>
    <n v="0"/>
    <n v="0"/>
    <n v="0"/>
    <m/>
    <n v="0"/>
    <x v="1"/>
    <x v="10"/>
    <x v="17"/>
  </r>
  <r>
    <s v="HOLDCO4U"/>
    <s v="UOB - HCM"/>
    <s v="1053067161"/>
    <x v="0"/>
    <s v="VND"/>
    <e v="#N/A"/>
    <e v="#N/A"/>
    <n v="780000"/>
    <n v="0"/>
    <n v="0"/>
    <n v="0"/>
    <n v="780000"/>
    <e v="#N/A"/>
    <e v="#N/A"/>
    <n v="0"/>
    <n v="0"/>
    <n v="0"/>
    <n v="0"/>
    <n v="0"/>
    <n v="0"/>
    <m/>
    <n v="0"/>
    <x v="1"/>
    <x v="10"/>
    <x v="17"/>
  </r>
  <r>
    <s v="HOLDCO5J"/>
    <s v="UOB - HCM"/>
    <s v="1053067218"/>
    <x v="0"/>
    <s v="VND"/>
    <e v="#N/A"/>
    <e v="#N/A"/>
    <n v="2390836"/>
    <n v="0"/>
    <n v="0"/>
    <n v="0"/>
    <n v="2390836"/>
    <e v="#N/A"/>
    <e v="#N/A"/>
    <n v="0"/>
    <n v="0"/>
    <n v="0"/>
    <n v="0"/>
    <n v="0"/>
    <n v="0"/>
    <m/>
    <n v="0"/>
    <x v="1"/>
    <x v="10"/>
    <x v="17"/>
  </r>
  <r>
    <s v="HOLDCO4J"/>
    <s v="UOB - HCM"/>
    <s v="1053067226"/>
    <x v="0"/>
    <s v="VND"/>
    <e v="#N/A"/>
    <e v="#N/A"/>
    <n v="0"/>
    <n v="0"/>
    <n v="0"/>
    <n v="0"/>
    <n v="0"/>
    <e v="#N/A"/>
    <e v="#N/A"/>
    <n v="0"/>
    <n v="0"/>
    <n v="0"/>
    <n v="0"/>
    <n v="0"/>
    <n v="0"/>
    <m/>
    <n v="0"/>
    <x v="1"/>
    <x v="10"/>
    <x v="17"/>
  </r>
  <r>
    <s v="HOLDCO4Y"/>
    <s v="UOB - HCM"/>
    <s v="1053067234"/>
    <x v="0"/>
    <s v="VND"/>
    <e v="#N/A"/>
    <e v="#N/A"/>
    <n v="0"/>
    <n v="0"/>
    <n v="0"/>
    <n v="0"/>
    <n v="0"/>
    <e v="#N/A"/>
    <e v="#N/A"/>
    <n v="0"/>
    <n v="0"/>
    <n v="0"/>
    <n v="0"/>
    <n v="0"/>
    <n v="0"/>
    <m/>
    <n v="0"/>
    <x v="1"/>
    <x v="10"/>
    <x v="17"/>
  </r>
  <r>
    <s v="DELIWAY"/>
    <s v="VIETINBANK - TPHCM"/>
    <s v="118002953136"/>
    <x v="0"/>
    <s v="VND"/>
    <e v="#N/A"/>
    <e v="#N/A"/>
    <n v="202980539"/>
    <n v="0"/>
    <n v="0"/>
    <n v="0"/>
    <n v="202980539"/>
    <e v="#N/A"/>
    <e v="#N/A"/>
    <n v="0"/>
    <n v="0"/>
    <n v="0"/>
    <n v="0"/>
    <n v="0"/>
    <n v="0"/>
    <m/>
    <n v="0"/>
    <x v="1"/>
    <x v="2"/>
    <x v="19"/>
  </r>
  <r>
    <s v="LONG BINH"/>
    <s v="VIETINBANK - CN1"/>
    <s v="219000434115"/>
    <x v="2"/>
    <s v="VND"/>
    <e v="#N/A"/>
    <e v="#N/A"/>
    <n v="0"/>
    <n v="0"/>
    <n v="0"/>
    <n v="0"/>
    <n v="0"/>
    <e v="#N/A"/>
    <e v="#N/A"/>
    <n v="0"/>
    <n v="0"/>
    <n v="0"/>
    <n v="0"/>
    <n v="0"/>
    <n v="0"/>
    <m/>
    <n v="0"/>
    <x v="1"/>
    <x v="2"/>
    <x v="6"/>
  </r>
  <r>
    <s v="BAU BANG 3"/>
    <s v="VIETINBANK - BINH DUONG"/>
    <s v="217000433839"/>
    <x v="2"/>
    <s v="VND"/>
    <e v="#N/A"/>
    <e v="#N/A"/>
    <n v="0"/>
    <n v="0"/>
    <n v="0"/>
    <n v="0"/>
    <n v="0"/>
    <e v="#N/A"/>
    <e v="#N/A"/>
    <n v="0"/>
    <n v="0"/>
    <n v="0"/>
    <n v="0"/>
    <n v="0"/>
    <n v="0"/>
    <m/>
    <n v="0"/>
    <x v="1"/>
    <x v="2"/>
    <x v="4"/>
  </r>
  <r>
    <s v="KIM TRUC DN"/>
    <s v="BIDV - NAM SAI GON"/>
    <s v="812008103877"/>
    <x v="2"/>
    <s v="VND"/>
    <e v="#N/A"/>
    <e v="#N/A"/>
    <n v="0"/>
    <n v="0"/>
    <n v="0"/>
    <n v="0"/>
    <n v="0"/>
    <e v="#N/A"/>
    <e v="#N/A"/>
    <n v="0"/>
    <n v="0"/>
    <n v="0"/>
    <n v="0"/>
    <n v="0"/>
    <n v="0"/>
    <m/>
    <n v="0"/>
    <x v="1"/>
    <x v="0"/>
    <x v="14"/>
  </r>
  <r>
    <s v="KIM TRUC DN"/>
    <s v="BIDV - NAM SAI GON"/>
    <s v="818008211788"/>
    <x v="2"/>
    <s v="VND"/>
    <e v="#N/A"/>
    <e v="#N/A"/>
    <n v="0"/>
    <n v="0"/>
    <n v="0"/>
    <n v="0"/>
    <n v="0"/>
    <e v="#N/A"/>
    <e v="#N/A"/>
    <n v="0"/>
    <n v="0"/>
    <n v="0"/>
    <n v="0"/>
    <n v="0"/>
    <n v="0"/>
    <m/>
    <n v="0"/>
    <x v="1"/>
    <x v="0"/>
    <x v="14"/>
  </r>
  <r>
    <s v="NSHL LLC"/>
    <s v="BIDV - THANH XUAN"/>
    <s v="2225179735_1"/>
    <x v="2"/>
    <s v="VND"/>
    <e v="#N/A"/>
    <e v="#N/A"/>
    <n v="7400000000"/>
    <n v="0"/>
    <n v="0"/>
    <n v="0"/>
    <n v="7400000000"/>
    <e v="#N/A"/>
    <e v="#N/A"/>
    <n v="0"/>
    <n v="0"/>
    <n v="0"/>
    <n v="0"/>
    <n v="0"/>
    <n v="0"/>
    <m/>
    <n v="0"/>
    <x v="1"/>
    <x v="0"/>
    <x v="0"/>
  </r>
  <r>
    <s v="MPL JSC"/>
    <s v="VIETINBANK - TIEN SON"/>
    <s v="119002902461"/>
    <x v="0"/>
    <s v="VND"/>
    <e v="#N/A"/>
    <e v="#N/A"/>
    <n v="0"/>
    <n v="0"/>
    <n v="0"/>
    <n v="0"/>
    <n v="0"/>
    <e v="#N/A"/>
    <e v="#N/A"/>
    <n v="0"/>
    <n v="0"/>
    <n v="0"/>
    <n v="0"/>
    <n v="0"/>
    <n v="0"/>
    <m/>
    <n v="0"/>
    <x v="1"/>
    <x v="2"/>
    <x v="3"/>
  </r>
  <r>
    <s v="BWID BAC NINH"/>
    <s v="VIETINBANK - TIEN SON"/>
    <s v="217000439330"/>
    <x v="2"/>
    <s v="VND"/>
    <e v="#N/A"/>
    <e v="#N/A"/>
    <n v="2500000000"/>
    <n v="0"/>
    <n v="0"/>
    <n v="0"/>
    <n v="2500000000"/>
    <e v="#N/A"/>
    <e v="#N/A"/>
    <n v="0"/>
    <n v="0"/>
    <n v="0"/>
    <n v="0"/>
    <n v="0"/>
    <n v="0"/>
    <m/>
    <n v="0"/>
    <x v="1"/>
    <x v="2"/>
    <x v="3"/>
  </r>
  <r>
    <s v="BWID HAI PHONG"/>
    <s v="VIETINBANK - TIEN SON"/>
    <s v="212000439975"/>
    <x v="2"/>
    <s v="VND"/>
    <e v="#N/A"/>
    <e v="#N/A"/>
    <n v="0"/>
    <n v="0"/>
    <n v="0"/>
    <n v="0"/>
    <n v="0"/>
    <e v="#N/A"/>
    <e v="#N/A"/>
    <n v="0"/>
    <n v="0"/>
    <n v="0"/>
    <n v="0"/>
    <n v="0"/>
    <n v="0"/>
    <m/>
    <n v="0"/>
    <x v="1"/>
    <x v="2"/>
    <x v="3"/>
  </r>
  <r>
    <s v="LONG BINH"/>
    <s v="VIETINBANK - CN1"/>
    <s v="218000439518"/>
    <x v="2"/>
    <s v="VND"/>
    <e v="#N/A"/>
    <e v="#N/A"/>
    <n v="0"/>
    <n v="0"/>
    <n v="0"/>
    <n v="0"/>
    <n v="0"/>
    <e v="#N/A"/>
    <e v="#N/A"/>
    <n v="0"/>
    <n v="0"/>
    <n v="0"/>
    <n v="0"/>
    <n v="0"/>
    <n v="0"/>
    <m/>
    <n v="0"/>
    <x v="1"/>
    <x v="2"/>
    <x v="6"/>
  </r>
  <r>
    <s v="XENIA 1"/>
    <s v="VIETINBANK - TIEN SON"/>
    <s v="116646026868_1"/>
    <x v="2"/>
    <s v="VND"/>
    <e v="#N/A"/>
    <e v="#N/A"/>
    <n v="78000000000"/>
    <n v="0"/>
    <n v="0"/>
    <n v="0"/>
    <n v="78000000000"/>
    <e v="#N/A"/>
    <e v="#N/A"/>
    <n v="0"/>
    <n v="0"/>
    <n v="0"/>
    <n v="0"/>
    <n v="0"/>
    <n v="0"/>
    <m/>
    <n v="0"/>
    <x v="1"/>
    <x v="2"/>
    <x v="3"/>
  </r>
  <r>
    <s v="WPJV 3"/>
    <s v="VIETINBANK - TIEN SON"/>
    <s v="218000439339"/>
    <x v="2"/>
    <s v="VND"/>
    <e v="#N/A"/>
    <e v="#N/A"/>
    <n v="50000000"/>
    <n v="0"/>
    <n v="0"/>
    <n v="0"/>
    <n v="50000000"/>
    <e v="#N/A"/>
    <e v="#N/A"/>
    <n v="0"/>
    <n v="0"/>
    <n v="0"/>
    <n v="0"/>
    <n v="0"/>
    <n v="0"/>
    <m/>
    <n v="0"/>
    <x v="1"/>
    <x v="2"/>
    <x v="3"/>
  </r>
  <r>
    <s v="BW HAI AN"/>
    <s v="BIDV - THANH XUAN"/>
    <s v="810008797191"/>
    <x v="2"/>
    <s v="VND"/>
    <e v="#N/A"/>
    <e v="#N/A"/>
    <n v="0"/>
    <n v="0"/>
    <n v="0"/>
    <n v="0"/>
    <n v="0"/>
    <e v="#N/A"/>
    <e v="#N/A"/>
    <n v="0"/>
    <n v="0"/>
    <n v="0"/>
    <n v="0"/>
    <n v="0"/>
    <n v="0"/>
    <m/>
    <n v="0"/>
    <x v="1"/>
    <x v="0"/>
    <x v="0"/>
  </r>
  <r>
    <s v="BAC TIEN PHONG"/>
    <s v="BIDV - THANH XUAN"/>
    <s v="813008725727"/>
    <x v="2"/>
    <s v="VND"/>
    <e v="#N/A"/>
    <e v="#N/A"/>
    <n v="2000000000"/>
    <n v="0"/>
    <n v="0"/>
    <n v="0"/>
    <n v="2000000000"/>
    <e v="#N/A"/>
    <e v="#N/A"/>
    <n v="0"/>
    <n v="0"/>
    <n v="0"/>
    <n v="0"/>
    <n v="0"/>
    <n v="0"/>
    <m/>
    <n v="0"/>
    <x v="1"/>
    <x v="0"/>
    <x v="0"/>
  </r>
  <r>
    <s v="BW DINH VU"/>
    <s v="BIDV - THANH XUAN"/>
    <s v="810008720203"/>
    <x v="2"/>
    <s v="VND"/>
    <e v="#N/A"/>
    <e v="#N/A"/>
    <n v="0"/>
    <n v="0"/>
    <n v="0"/>
    <n v="0"/>
    <n v="0"/>
    <e v="#N/A"/>
    <e v="#N/A"/>
    <n v="0"/>
    <n v="0"/>
    <n v="0"/>
    <n v="0"/>
    <n v="0"/>
    <n v="0"/>
    <m/>
    <n v="0"/>
    <x v="1"/>
    <x v="0"/>
    <x v="0"/>
  </r>
  <r>
    <s v="BWID HAI DUONG 3"/>
    <s v="BIDV - THANH XUAN"/>
    <s v="817008719602"/>
    <x v="2"/>
    <s v="VND"/>
    <e v="#N/A"/>
    <e v="#N/A"/>
    <n v="0"/>
    <n v="0"/>
    <n v="0"/>
    <n v="0"/>
    <n v="0"/>
    <e v="#N/A"/>
    <e v="#N/A"/>
    <n v="0"/>
    <n v="0"/>
    <n v="0"/>
    <n v="0"/>
    <n v="0"/>
    <n v="0"/>
    <m/>
    <n v="0"/>
    <x v="1"/>
    <x v="0"/>
    <x v="0"/>
  </r>
  <r>
    <s v="BWID HAI DUONG 3"/>
    <s v="BIDV - THANH XUAN"/>
    <s v="815008719852"/>
    <x v="2"/>
    <s v="VND"/>
    <e v="#N/A"/>
    <e v="#N/A"/>
    <n v="9000000000"/>
    <n v="0"/>
    <n v="0"/>
    <n v="0"/>
    <n v="9000000000"/>
    <e v="#N/A"/>
    <e v="#N/A"/>
    <n v="0"/>
    <n v="0"/>
    <n v="0"/>
    <n v="0"/>
    <n v="0"/>
    <n v="0"/>
    <m/>
    <n v="0"/>
    <x v="1"/>
    <x v="0"/>
    <x v="0"/>
  </r>
  <r>
    <s v="SAO HOA"/>
    <s v="BIDV - THANH XUAN"/>
    <s v="814008339503"/>
    <x v="2"/>
    <s v="VND"/>
    <e v="#N/A"/>
    <e v="#N/A"/>
    <n v="0"/>
    <n v="0"/>
    <n v="0"/>
    <n v="0"/>
    <n v="0"/>
    <e v="#N/A"/>
    <e v="#N/A"/>
    <n v="0"/>
    <n v="0"/>
    <n v="0"/>
    <n v="0"/>
    <n v="0"/>
    <n v="0"/>
    <m/>
    <n v="0"/>
    <x v="2"/>
    <x v="0"/>
    <x v="0"/>
  </r>
  <r>
    <s v="SAO HOA"/>
    <s v="BIDV - THANH XUAN"/>
    <s v="810008593647"/>
    <x v="2"/>
    <s v="VND"/>
    <e v="#N/A"/>
    <e v="#N/A"/>
    <n v="0"/>
    <n v="0"/>
    <n v="0"/>
    <n v="0"/>
    <n v="0"/>
    <e v="#N/A"/>
    <e v="#N/A"/>
    <n v="0"/>
    <n v="0"/>
    <n v="0"/>
    <n v="0"/>
    <n v="0"/>
    <n v="0"/>
    <m/>
    <n v="0"/>
    <x v="2"/>
    <x v="0"/>
    <x v="0"/>
  </r>
  <r>
    <s v="BWID TAN DONG HIEP"/>
    <s v="SINOPAC"/>
    <s v="07003600015486"/>
    <x v="2"/>
    <s v="VND"/>
    <e v="#N/A"/>
    <e v="#N/A"/>
    <n v="0"/>
    <n v="0"/>
    <n v="0"/>
    <n v="0"/>
    <n v="0"/>
    <e v="#N/A"/>
    <e v="#N/A"/>
    <n v="0"/>
    <n v="0"/>
    <n v="0"/>
    <n v="0"/>
    <n v="0"/>
    <n v="0"/>
    <m/>
    <n v="0"/>
    <x v="1"/>
    <x v="8"/>
    <x v="12"/>
  </r>
  <r>
    <s v="BWID THOI HOA 2"/>
    <s v="KBank - HCM"/>
    <s v="407000002302"/>
    <x v="2"/>
    <s v="VND"/>
    <e v="#N/A"/>
    <e v="#N/A"/>
    <n v="0"/>
    <n v="0"/>
    <n v="0"/>
    <n v="0"/>
    <n v="0"/>
    <e v="#N/A"/>
    <e v="#N/A"/>
    <n v="0"/>
    <n v="0"/>
    <n v="0"/>
    <n v="0"/>
    <n v="0"/>
    <n v="0"/>
    <m/>
    <n v="0"/>
    <x v="1"/>
    <x v="3"/>
    <x v="7"/>
  </r>
  <r>
    <s v="BWID THOI HOA 2"/>
    <s v="KBank - HCM"/>
    <s v="407000002284"/>
    <x v="2"/>
    <s v="VND"/>
    <e v="#N/A"/>
    <e v="#N/A"/>
    <n v="0"/>
    <n v="0"/>
    <n v="0"/>
    <n v="0"/>
    <n v="0"/>
    <e v="#N/A"/>
    <e v="#N/A"/>
    <n v="0"/>
    <n v="0"/>
    <n v="0"/>
    <n v="0"/>
    <n v="0"/>
    <n v="0"/>
    <m/>
    <n v="0"/>
    <x v="1"/>
    <x v="3"/>
    <x v="7"/>
  </r>
  <r>
    <s v="HOLDCO4G"/>
    <s v="VIETCOMBANK - BA DINH"/>
    <s v="7304126666"/>
    <x v="0"/>
    <s v="VND"/>
    <e v="#N/A"/>
    <e v="#N/A"/>
    <n v="61029649"/>
    <n v="0"/>
    <n v="0"/>
    <n v="0"/>
    <n v="61029649"/>
    <e v="#N/A"/>
    <e v="#N/A"/>
    <n v="0"/>
    <n v="0"/>
    <n v="0"/>
    <n v="0"/>
    <n v="0"/>
    <n v="0"/>
    <m/>
    <n v="0"/>
    <x v="1"/>
    <x v="1"/>
    <x v="1"/>
  </r>
  <r>
    <s v="SAO HOA"/>
    <s v="VIETINBANK - TIEN SON"/>
    <s v="119002970977"/>
    <x v="0"/>
    <s v="VND"/>
    <e v="#N/A"/>
    <e v="#N/A"/>
    <n v="320223038"/>
    <n v="0"/>
    <n v="0"/>
    <n v="0"/>
    <n v="320223038"/>
    <e v="#N/A"/>
    <e v="#N/A"/>
    <n v="0"/>
    <n v="0"/>
    <n v="0"/>
    <n v="0"/>
    <n v="0"/>
    <n v="0"/>
    <m/>
    <n v="0"/>
    <x v="2"/>
    <x v="2"/>
    <x v="3"/>
  </r>
  <r>
    <s v="HOLDCO4T"/>
    <s v="UOB - HCM"/>
    <s v="1053051788"/>
    <x v="0"/>
    <s v="VND"/>
    <e v="#N/A"/>
    <e v="#N/A"/>
    <n v="780000"/>
    <n v="0"/>
    <n v="0"/>
    <n v="0"/>
    <n v="780000"/>
    <e v="#N/A"/>
    <e v="#N/A"/>
    <n v="0"/>
    <n v="0"/>
    <n v="0"/>
    <n v="0"/>
    <n v="0"/>
    <n v="0"/>
    <m/>
    <n v="0"/>
    <x v="1"/>
    <x v="10"/>
    <x v="17"/>
  </r>
  <r>
    <s v="DONG TIEN PHONG"/>
    <s v="VIETCOMBANK - BA DINH"/>
    <s v="7043128888"/>
    <x v="0"/>
    <s v="VND"/>
    <e v="#N/A"/>
    <e v="#N/A"/>
    <n v="1202238632"/>
    <n v="0"/>
    <n v="113409129"/>
    <n v="-113409129"/>
    <n v="1088829503"/>
    <e v="#N/A"/>
    <e v="#N/A"/>
    <n v="0"/>
    <n v="0"/>
    <n v="0"/>
    <n v="0"/>
    <n v="0"/>
    <n v="0"/>
    <m/>
    <n v="0"/>
    <x v="1"/>
    <x v="1"/>
    <x v="1"/>
  </r>
  <r>
    <s v="TAN DONG HIEP B ELECTRON"/>
    <s v="VIETINBANK - TPHCM"/>
    <s v="110002974996_1"/>
    <x v="2"/>
    <s v="VND"/>
    <e v="#N/A"/>
    <e v="#N/A"/>
    <n v="0"/>
    <n v="0"/>
    <n v="0"/>
    <n v="0"/>
    <n v="0"/>
    <e v="#N/A"/>
    <e v="#N/A"/>
    <n v="0"/>
    <n v="0"/>
    <n v="0"/>
    <n v="0"/>
    <n v="0"/>
    <n v="0"/>
    <m/>
    <n v="0"/>
    <x v="1"/>
    <x v="2"/>
    <x v="19"/>
  </r>
  <r>
    <s v="LONG BINH"/>
    <s v="VIETINBANK - CN1"/>
    <s v="219000442883"/>
    <x v="2"/>
    <s v="VND"/>
    <e v="#N/A"/>
    <e v="#N/A"/>
    <n v="0"/>
    <n v="0"/>
    <n v="0"/>
    <n v="0"/>
    <n v="0"/>
    <e v="#N/A"/>
    <e v="#N/A"/>
    <n v="0"/>
    <n v="0"/>
    <n v="0"/>
    <n v="0"/>
    <n v="0"/>
    <n v="0"/>
    <m/>
    <n v="0"/>
    <x v="1"/>
    <x v="2"/>
    <x v="6"/>
  </r>
  <r>
    <s v="BWID HAI DUONG 2"/>
    <s v="VIETINBANK - TIEN SON"/>
    <s v="213000440879"/>
    <x v="2"/>
    <s v="VND"/>
    <e v="#N/A"/>
    <e v="#N/A"/>
    <n v="0"/>
    <n v="0"/>
    <n v="0"/>
    <n v="0"/>
    <n v="0"/>
    <e v="#N/A"/>
    <e v="#N/A"/>
    <n v="0"/>
    <n v="0"/>
    <n v="0"/>
    <n v="0"/>
    <n v="0"/>
    <n v="0"/>
    <m/>
    <n v="0"/>
    <x v="1"/>
    <x v="2"/>
    <x v="3"/>
  </r>
  <r>
    <s v="KIM TRUC DN"/>
    <s v="BIDV - NAM SAI GON"/>
    <s v="819009112551"/>
    <x v="2"/>
    <s v="VND"/>
    <e v="#N/A"/>
    <e v="#N/A"/>
    <n v="0"/>
    <n v="0"/>
    <n v="0"/>
    <n v="0"/>
    <n v="0"/>
    <e v="#N/A"/>
    <e v="#N/A"/>
    <n v="0"/>
    <n v="0"/>
    <n v="0"/>
    <n v="0"/>
    <n v="0"/>
    <n v="0"/>
    <m/>
    <n v="0"/>
    <x v="1"/>
    <x v="0"/>
    <x v="14"/>
  </r>
  <r>
    <s v="BWID LOGISTICS TAN UYEN"/>
    <s v="VIETCOMBANK - BA DINH"/>
    <s v="001054485764"/>
    <x v="2"/>
    <s v="VND"/>
    <e v="#N/A"/>
    <e v="#N/A"/>
    <n v="6000000000"/>
    <n v="0"/>
    <n v="1000000000"/>
    <n v="-1000000000"/>
    <n v="5000000000"/>
    <e v="#N/A"/>
    <e v="#N/A"/>
    <n v="0"/>
    <n v="0"/>
    <n v="0"/>
    <n v="0"/>
    <n v="0"/>
    <n v="0"/>
    <m/>
    <n v="0"/>
    <x v="1"/>
    <x v="1"/>
    <x v="1"/>
  </r>
  <r>
    <s v="NDV PROJECT CO"/>
    <s v="BIDV - THANH XUAN"/>
    <s v="8620004064_1"/>
    <x v="2"/>
    <s v="VND"/>
    <e v="#N/A"/>
    <e v="#N/A"/>
    <n v="0"/>
    <n v="0"/>
    <n v="0"/>
    <n v="0"/>
    <n v="0"/>
    <e v="#N/A"/>
    <e v="#N/A"/>
    <n v="0"/>
    <n v="0"/>
    <n v="0"/>
    <n v="0"/>
    <n v="0"/>
    <n v="0"/>
    <m/>
    <n v="0"/>
    <x v="1"/>
    <x v="0"/>
    <x v="0"/>
  </r>
  <r>
    <s v="SAO HOA"/>
    <s v="UOB - SINGAPORE"/>
    <s v="7799871320"/>
    <x v="4"/>
    <s v="USD"/>
    <e v="#N/A"/>
    <e v="#N/A"/>
    <n v="0"/>
    <n v="0"/>
    <n v="0"/>
    <n v="0"/>
    <n v="0"/>
    <e v="#N/A"/>
    <e v="#N/A"/>
    <n v="0"/>
    <n v="-4300.9399999994785"/>
    <n v="4300.9399999994785"/>
    <n v="0"/>
    <n v="0"/>
    <n v="4300.9399999994785"/>
    <e v="#N/A"/>
    <e v="#N/A"/>
    <x v="2"/>
    <x v="10"/>
    <x v="17"/>
  </r>
  <r>
    <s v="TAY HAI"/>
    <s v="VIETINBANK - QUANG MINH"/>
    <s v="218000445145"/>
    <x v="2"/>
    <s v="VND"/>
    <e v="#N/A"/>
    <e v="#N/A"/>
    <n v="0"/>
    <n v="0"/>
    <n v="0"/>
    <n v="0"/>
    <n v="0"/>
    <e v="#N/A"/>
    <e v="#N/A"/>
    <n v="0"/>
    <n v="0"/>
    <n v="0"/>
    <n v="0"/>
    <n v="0"/>
    <n v="0"/>
    <m/>
    <n v="0"/>
    <x v="1"/>
    <x v="2"/>
    <x v="4"/>
  </r>
  <r>
    <s v="GREAT KINGDOM NT 2"/>
    <s v="VIETINBANK - CN1"/>
    <s v="210000443881"/>
    <x v="2"/>
    <s v="VND"/>
    <e v="#N/A"/>
    <e v="#N/A"/>
    <n v="0"/>
    <n v="0"/>
    <n v="0"/>
    <n v="0"/>
    <n v="0"/>
    <e v="#N/A"/>
    <e v="#N/A"/>
    <n v="0"/>
    <n v="0"/>
    <n v="0"/>
    <n v="0"/>
    <n v="0"/>
    <n v="0"/>
    <m/>
    <n v="0"/>
    <x v="1"/>
    <x v="2"/>
    <x v="6"/>
  </r>
  <r>
    <s v="XENIA 1"/>
    <s v="VIETINBANK - TIEN SON"/>
    <s v="116646026868_2"/>
    <x v="2"/>
    <s v="VND"/>
    <e v="#N/A"/>
    <e v="#N/A"/>
    <n v="0"/>
    <n v="0"/>
    <n v="0"/>
    <n v="0"/>
    <n v="0"/>
    <e v="#N/A"/>
    <e v="#N/A"/>
    <n v="0"/>
    <n v="0"/>
    <n v="0"/>
    <n v="0"/>
    <n v="0"/>
    <n v="0"/>
    <m/>
    <n v="0"/>
    <x v="1"/>
    <x v="2"/>
    <x v="3"/>
  </r>
  <r>
    <s v="XENIA 1"/>
    <s v="VIETINBANK - TIEN SON"/>
    <s v="116646026868_3"/>
    <x v="2"/>
    <s v="VND"/>
    <e v="#N/A"/>
    <e v="#N/A"/>
    <n v="0"/>
    <n v="0"/>
    <n v="0"/>
    <n v="0"/>
    <n v="0"/>
    <e v="#N/A"/>
    <e v="#N/A"/>
    <n v="0"/>
    <n v="0"/>
    <n v="0"/>
    <n v="0"/>
    <n v="0"/>
    <n v="0"/>
    <m/>
    <n v="0"/>
    <x v="1"/>
    <x v="2"/>
    <x v="3"/>
  </r>
  <r>
    <s v="XENIA 1"/>
    <s v="VIETINBANK - TIEN SON"/>
    <s v="116646026868_4"/>
    <x v="2"/>
    <s v="VND"/>
    <e v="#N/A"/>
    <e v="#N/A"/>
    <n v="0"/>
    <n v="0"/>
    <n v="0"/>
    <n v="0"/>
    <n v="0"/>
    <e v="#N/A"/>
    <e v="#N/A"/>
    <n v="0"/>
    <n v="0"/>
    <n v="0"/>
    <n v="0"/>
    <n v="0"/>
    <n v="0"/>
    <m/>
    <n v="0"/>
    <x v="1"/>
    <x v="2"/>
    <x v="3"/>
  </r>
  <r>
    <s v="WINLOCK 2A"/>
    <s v="VIETINBANK - TIEN SON"/>
    <s v="114628748888_1"/>
    <x v="2"/>
    <s v="VND"/>
    <e v="#N/A"/>
    <e v="#N/A"/>
    <n v="0"/>
    <n v="0"/>
    <n v="0"/>
    <n v="0"/>
    <n v="0"/>
    <e v="#N/A"/>
    <e v="#N/A"/>
    <n v="0"/>
    <n v="0"/>
    <n v="0"/>
    <n v="0"/>
    <n v="0"/>
    <n v="0"/>
    <m/>
    <n v="0"/>
    <x v="1"/>
    <x v="2"/>
    <x v="3"/>
  </r>
  <r>
    <s v="WINLOCK 2A"/>
    <s v="VIETINBANK - TIEN SON"/>
    <s v="114628748888_2"/>
    <x v="2"/>
    <s v="VND"/>
    <e v="#N/A"/>
    <e v="#N/A"/>
    <n v="0"/>
    <n v="0"/>
    <n v="0"/>
    <n v="0"/>
    <n v="0"/>
    <e v="#N/A"/>
    <e v="#N/A"/>
    <n v="0"/>
    <n v="0"/>
    <n v="0"/>
    <n v="0"/>
    <n v="0"/>
    <n v="0"/>
    <m/>
    <n v="0"/>
    <x v="1"/>
    <x v="2"/>
    <x v="3"/>
  </r>
  <r>
    <s v="XENIA 2"/>
    <s v="VIETINBANK - TIEN SON"/>
    <s v="118625469999_1"/>
    <x v="2"/>
    <s v="VND"/>
    <e v="#N/A"/>
    <e v="#N/A"/>
    <n v="3000000000"/>
    <n v="0"/>
    <n v="0"/>
    <n v="0"/>
    <n v="3000000000"/>
    <e v="#N/A"/>
    <e v="#N/A"/>
    <n v="0"/>
    <n v="0"/>
    <n v="0"/>
    <n v="0"/>
    <n v="0"/>
    <n v="0"/>
    <m/>
    <n v="0"/>
    <x v="1"/>
    <x v="2"/>
    <x v="3"/>
  </r>
  <r>
    <s v="XENIA 2"/>
    <s v="VIETINBANK - TIEN SON"/>
    <s v="118625469999_2"/>
    <x v="2"/>
    <s v="VND"/>
    <e v="#N/A"/>
    <e v="#N/A"/>
    <n v="7000000000"/>
    <n v="0"/>
    <n v="0"/>
    <n v="0"/>
    <n v="7000000000"/>
    <e v="#N/A"/>
    <e v="#N/A"/>
    <n v="0"/>
    <n v="0"/>
    <n v="0"/>
    <n v="0"/>
    <n v="0"/>
    <n v="0"/>
    <m/>
    <n v="0"/>
    <x v="1"/>
    <x v="2"/>
    <x v="3"/>
  </r>
  <r>
    <s v="BW DONG HAI"/>
    <s v="BIDV - THANH XUAN"/>
    <s v="817009465564"/>
    <x v="2"/>
    <s v="VND"/>
    <e v="#N/A"/>
    <e v="#N/A"/>
    <n v="13000000000"/>
    <n v="0"/>
    <n v="0"/>
    <n v="0"/>
    <n v="13000000000"/>
    <e v="#N/A"/>
    <e v="#N/A"/>
    <n v="0"/>
    <n v="0"/>
    <n v="0"/>
    <n v="0"/>
    <n v="0"/>
    <n v="0"/>
    <m/>
    <n v="0"/>
    <x v="1"/>
    <x v="0"/>
    <x v="0"/>
  </r>
  <r>
    <s v="KIM TRUC DN"/>
    <s v="BIDV - NAM SAI GON"/>
    <s v="819009338065"/>
    <x v="2"/>
    <s v="VND"/>
    <e v="#N/A"/>
    <e v="#N/A"/>
    <n v="1460000000"/>
    <n v="0"/>
    <n v="0"/>
    <n v="0"/>
    <n v="1460000000"/>
    <e v="#N/A"/>
    <e v="#N/A"/>
    <n v="0"/>
    <n v="0"/>
    <n v="0"/>
    <n v="0"/>
    <n v="0"/>
    <n v="0"/>
    <m/>
    <n v="0"/>
    <x v="1"/>
    <x v="0"/>
    <x v="14"/>
  </r>
  <r>
    <s v="BWID HAI DUONG 3"/>
    <s v="BIDV - THANH XUAN"/>
    <s v="814009298246"/>
    <x v="2"/>
    <s v="VND"/>
    <e v="#N/A"/>
    <e v="#N/A"/>
    <n v="0"/>
    <n v="0"/>
    <n v="0"/>
    <n v="0"/>
    <n v="0"/>
    <e v="#N/A"/>
    <e v="#N/A"/>
    <n v="0"/>
    <n v="0"/>
    <n v="0"/>
    <n v="0"/>
    <n v="0"/>
    <n v="0"/>
    <m/>
    <n v="0"/>
    <x v="1"/>
    <x v="0"/>
    <x v="0"/>
  </r>
  <r>
    <s v="BAC TIEN PHONG"/>
    <s v="BIDV - THANH XUAN"/>
    <s v="818009439289"/>
    <x v="2"/>
    <s v="VND"/>
    <e v="#N/A"/>
    <e v="#N/A"/>
    <n v="0"/>
    <n v="0"/>
    <n v="0"/>
    <n v="0"/>
    <n v="0"/>
    <e v="#N/A"/>
    <e v="#N/A"/>
    <n v="0"/>
    <n v="0"/>
    <n v="0"/>
    <n v="0"/>
    <n v="0"/>
    <n v="0"/>
    <m/>
    <n v="0"/>
    <x v="1"/>
    <x v="0"/>
    <x v="0"/>
  </r>
  <r>
    <s v="THUAN THANH 3B"/>
    <s v="VIETCOMBANK - BA DINH"/>
    <s v="1054712853"/>
    <x v="2"/>
    <s v="VND"/>
    <e v="#N/A"/>
    <e v="#N/A"/>
    <n v="0"/>
    <n v="0"/>
    <n v="0"/>
    <n v="0"/>
    <n v="0"/>
    <e v="#N/A"/>
    <e v="#N/A"/>
    <n v="0"/>
    <n v="0"/>
    <n v="0"/>
    <n v="0"/>
    <n v="0"/>
    <n v="0"/>
    <m/>
    <n v="0"/>
    <x v="1"/>
    <x v="1"/>
    <x v="1"/>
  </r>
  <r>
    <s v="THUAN THANH 3B"/>
    <s v="VIETCOMBANK - BA DINH"/>
    <s v="1054983196"/>
    <x v="2"/>
    <s v="VND"/>
    <e v="#N/A"/>
    <e v="#N/A"/>
    <n v="0"/>
    <n v="0"/>
    <n v="0"/>
    <n v="0"/>
    <n v="0"/>
    <e v="#N/A"/>
    <e v="#N/A"/>
    <n v="0"/>
    <n v="0"/>
    <n v="0"/>
    <n v="0"/>
    <n v="0"/>
    <n v="0"/>
    <m/>
    <n v="0"/>
    <x v="1"/>
    <x v="1"/>
    <x v="1"/>
  </r>
  <r>
    <s v="BW SAIGON LOGISTICS"/>
    <s v="VIETCOMBANK - HCM"/>
    <s v="1054742961"/>
    <x v="2"/>
    <s v="VND"/>
    <e v="#N/A"/>
    <e v="#N/A"/>
    <n v="0"/>
    <n v="0"/>
    <n v="0"/>
    <n v="0"/>
    <n v="0"/>
    <e v="#N/A"/>
    <e v="#N/A"/>
    <n v="0"/>
    <n v="0"/>
    <n v="0"/>
    <n v="0"/>
    <n v="0"/>
    <n v="0"/>
    <m/>
    <n v="0"/>
    <x v="1"/>
    <x v="1"/>
    <x v="2"/>
  </r>
  <r>
    <s v="BWID THOI HOA"/>
    <s v="OCB - BINH DUONG"/>
    <s v="0010600071590009"/>
    <x v="2"/>
    <s v="VND"/>
    <e v="#N/A"/>
    <e v="#N/A"/>
    <n v="0"/>
    <n v="0"/>
    <n v="0"/>
    <n v="0"/>
    <n v="0"/>
    <e v="#N/A"/>
    <e v="#N/A"/>
    <n v="0"/>
    <n v="0"/>
    <n v="0"/>
    <n v="0"/>
    <n v="0"/>
    <n v="0"/>
    <m/>
    <n v="0"/>
    <x v="1"/>
    <x v="6"/>
    <x v="10"/>
  </r>
  <r>
    <s v="BWID BINH DUONG"/>
    <s v="SINOPAC"/>
    <s v="07003600015588"/>
    <x v="2"/>
    <s v="VND"/>
    <e v="#N/A"/>
    <e v="#N/A"/>
    <n v="0"/>
    <n v="0"/>
    <n v="0"/>
    <n v="0"/>
    <n v="0"/>
    <e v="#N/A"/>
    <e v="#N/A"/>
    <n v="0"/>
    <n v="0"/>
    <n v="0"/>
    <n v="0"/>
    <n v="0"/>
    <n v="0"/>
    <m/>
    <n v="0"/>
    <x v="0"/>
    <x v="8"/>
    <x v="12"/>
  </r>
  <r>
    <s v="BWID THOI HOA 2"/>
    <s v="KBank - HCM"/>
    <s v="404000002414"/>
    <x v="2"/>
    <s v="VND"/>
    <e v="#N/A"/>
    <e v="#N/A"/>
    <n v="0"/>
    <n v="0"/>
    <n v="0"/>
    <n v="0"/>
    <n v="0"/>
    <e v="#N/A"/>
    <e v="#N/A"/>
    <n v="0"/>
    <n v="0"/>
    <n v="0"/>
    <n v="0"/>
    <n v="0"/>
    <n v="0"/>
    <m/>
    <n v="0"/>
    <x v="1"/>
    <x v="3"/>
    <x v="7"/>
  </r>
  <r>
    <s v="BAU BANG 6"/>
    <s v="VIETINBANK - BINH DUONG"/>
    <s v="115624079999_1"/>
    <x v="2"/>
    <s v="VND"/>
    <e v="#N/A"/>
    <e v="#N/A"/>
    <n v="0"/>
    <n v="0"/>
    <n v="0"/>
    <n v="0"/>
    <n v="0"/>
    <e v="#N/A"/>
    <e v="#N/A"/>
    <n v="0"/>
    <n v="0"/>
    <n v="0"/>
    <n v="0"/>
    <n v="0"/>
    <n v="0"/>
    <m/>
    <n v="0"/>
    <x v="1"/>
    <x v="2"/>
    <x v="4"/>
  </r>
  <r>
    <s v="KIM TRUC DN"/>
    <s v="BIDV - NAM SAI GON"/>
    <s v="813009581655"/>
    <x v="2"/>
    <s v="VND"/>
    <e v="#N/A"/>
    <e v="#N/A"/>
    <n v="6000000000"/>
    <n v="0"/>
    <n v="0"/>
    <n v="0"/>
    <n v="6000000000"/>
    <e v="#N/A"/>
    <e v="#N/A"/>
    <n v="0"/>
    <n v="0"/>
    <n v="0"/>
    <n v="0"/>
    <n v="0"/>
    <n v="0"/>
    <m/>
    <n v="0"/>
    <x v="1"/>
    <x v="0"/>
    <x v="14"/>
  </r>
  <r>
    <s v="BWID NHON TRACH"/>
    <s v="VIETCOMBANK - HCM"/>
    <s v="001055323715"/>
    <x v="2"/>
    <s v="VND"/>
    <e v="#N/A"/>
    <e v="#N/A"/>
    <n v="0"/>
    <n v="0"/>
    <n v="0"/>
    <n v="0"/>
    <n v="0"/>
    <e v="#N/A"/>
    <e v="#N/A"/>
    <n v="0"/>
    <n v="0"/>
    <n v="0"/>
    <n v="0"/>
    <n v="0"/>
    <n v="0"/>
    <m/>
    <n v="0"/>
    <x v="1"/>
    <x v="1"/>
    <x v="2"/>
  </r>
  <r>
    <s v="SAO HOA"/>
    <s v="VIETCOMBANK - HCM"/>
    <s v="001055064008"/>
    <x v="2"/>
    <s v="VND"/>
    <e v="#N/A"/>
    <e v="#N/A"/>
    <n v="0"/>
    <n v="0"/>
    <n v="0"/>
    <n v="0"/>
    <n v="0"/>
    <e v="#N/A"/>
    <e v="#N/A"/>
    <n v="0"/>
    <n v="0"/>
    <n v="0"/>
    <n v="0"/>
    <n v="0"/>
    <n v="0"/>
    <m/>
    <n v="0"/>
    <x v="2"/>
    <x v="1"/>
    <x v="2"/>
  </r>
  <r>
    <s v="SAO HOA"/>
    <s v="VIETCOMBANK - BA DINH"/>
    <s v="001055138348"/>
    <x v="2"/>
    <s v="VND"/>
    <e v="#N/A"/>
    <e v="#N/A"/>
    <n v="0"/>
    <n v="0"/>
    <n v="0"/>
    <n v="0"/>
    <n v="0"/>
    <e v="#N/A"/>
    <e v="#N/A"/>
    <n v="0"/>
    <n v="0"/>
    <n v="0"/>
    <n v="0"/>
    <n v="0"/>
    <n v="0"/>
    <m/>
    <n v="0"/>
    <x v="2"/>
    <x v="1"/>
    <x v="1"/>
  </r>
  <r>
    <s v="BWID THOI HOA 2"/>
    <s v="KBank - HCM"/>
    <s v="403000002551"/>
    <x v="2"/>
    <s v="VND"/>
    <e v="#N/A"/>
    <e v="#N/A"/>
    <n v="0"/>
    <n v="0"/>
    <n v="0"/>
    <n v="0"/>
    <n v="0"/>
    <e v="#N/A"/>
    <e v="#N/A"/>
    <n v="0"/>
    <n v="0"/>
    <n v="0"/>
    <n v="0"/>
    <n v="0"/>
    <n v="0"/>
    <m/>
    <n v="0"/>
    <x v="1"/>
    <x v="3"/>
    <x v="7"/>
  </r>
  <r>
    <s v="SAO HOA"/>
    <s v="VIETINBANK - TPHCM"/>
    <s v="212000446113"/>
    <x v="2"/>
    <s v="VND"/>
    <e v="#N/A"/>
    <e v="#N/A"/>
    <n v="0"/>
    <n v="0"/>
    <n v="0"/>
    <n v="0"/>
    <n v="0"/>
    <e v="#N/A"/>
    <e v="#N/A"/>
    <n v="0"/>
    <n v="0"/>
    <n v="0"/>
    <n v="0"/>
    <n v="0"/>
    <n v="0"/>
    <m/>
    <n v="0"/>
    <x v="2"/>
    <x v="2"/>
    <x v="19"/>
  </r>
  <r>
    <s v="SPV4B"/>
    <s v="UOB - HCM"/>
    <s v="1053051761"/>
    <x v="0"/>
    <s v="VND"/>
    <e v="#N/A"/>
    <e v="#N/A"/>
    <n v="3000000"/>
    <n v="0"/>
    <n v="0"/>
    <n v="0"/>
    <n v="3000000"/>
    <e v="#N/A"/>
    <e v="#N/A"/>
    <n v="0"/>
    <n v="0"/>
    <n v="0"/>
    <n v="0"/>
    <n v="0"/>
    <n v="0"/>
    <m/>
    <n v="0"/>
    <x v="1"/>
    <x v="10"/>
    <x v="17"/>
  </r>
  <r>
    <s v="LONG BINH"/>
    <s v="VIETINBANK - CN1"/>
    <s v="210000449603"/>
    <x v="2"/>
    <s v="VND"/>
    <e v="#N/A"/>
    <e v="#N/A"/>
    <n v="0"/>
    <n v="0"/>
    <n v="0"/>
    <n v="0"/>
    <n v="0"/>
    <e v="#N/A"/>
    <e v="#N/A"/>
    <n v="0"/>
    <n v="0"/>
    <n v="0"/>
    <n v="0"/>
    <n v="0"/>
    <n v="0"/>
    <m/>
    <n v="0"/>
    <x v="1"/>
    <x v="2"/>
    <x v="6"/>
  </r>
  <r>
    <s v="BWID Tan Phu Trung"/>
    <s v="KEB Hana - HCM"/>
    <s v="00870011983"/>
    <x v="2"/>
    <s v="VND"/>
    <e v="#N/A"/>
    <e v="#N/A"/>
    <n v="0"/>
    <n v="0"/>
    <n v="0"/>
    <n v="0"/>
    <n v="0"/>
    <e v="#N/A"/>
    <e v="#N/A"/>
    <n v="0"/>
    <n v="0"/>
    <n v="0"/>
    <n v="0"/>
    <n v="0"/>
    <n v="0"/>
    <m/>
    <n v="0"/>
    <x v="1"/>
    <x v="11"/>
    <x v="18"/>
  </r>
  <r>
    <s v="BWID Tan Phu Trung"/>
    <s v="KEB Hana - HCM"/>
    <s v="00870011978"/>
    <x v="2"/>
    <s v="VND"/>
    <e v="#N/A"/>
    <e v="#N/A"/>
    <n v="0"/>
    <n v="0"/>
    <n v="0"/>
    <n v="0"/>
    <n v="0"/>
    <e v="#N/A"/>
    <e v="#N/A"/>
    <n v="0"/>
    <n v="0"/>
    <n v="0"/>
    <n v="0"/>
    <n v="0"/>
    <n v="0"/>
    <m/>
    <n v="0"/>
    <x v="1"/>
    <x v="11"/>
    <x v="18"/>
  </r>
  <r>
    <s v="BWID Tan Phu Trung"/>
    <s v="VIETINBANK - TIEN SON"/>
    <s v="215000449171"/>
    <x v="2"/>
    <s v="VND"/>
    <e v="#N/A"/>
    <e v="#N/A"/>
    <n v="8000000000"/>
    <n v="0"/>
    <n v="0"/>
    <n v="0"/>
    <n v="8000000000"/>
    <e v="#N/A"/>
    <e v="#N/A"/>
    <n v="0"/>
    <n v="0"/>
    <n v="0"/>
    <n v="0"/>
    <n v="0"/>
    <n v="0"/>
    <m/>
    <n v="0"/>
    <x v="1"/>
    <x v="2"/>
    <x v="3"/>
  </r>
  <r>
    <s v="KIM TRUC DN"/>
    <s v="BIDV - NAM SAI GON"/>
    <s v="811009812268"/>
    <x v="2"/>
    <s v="VND"/>
    <e v="#N/A"/>
    <e v="#N/A"/>
    <n v="0"/>
    <n v="0"/>
    <n v="0"/>
    <n v="0"/>
    <n v="0"/>
    <e v="#N/A"/>
    <e v="#N/A"/>
    <n v="0"/>
    <n v="0"/>
    <n v="0"/>
    <n v="0"/>
    <n v="0"/>
    <n v="0"/>
    <m/>
    <n v="0"/>
    <x v="1"/>
    <x v="0"/>
    <x v="14"/>
  </r>
  <r>
    <s v="BW NAM DINH VU"/>
    <s v="BIDV - LONG BIEN"/>
    <s v="815009921777"/>
    <x v="2"/>
    <s v="VND"/>
    <e v="#N/A"/>
    <e v="#N/A"/>
    <n v="12000000000"/>
    <n v="0"/>
    <n v="0"/>
    <n v="0"/>
    <n v="12000000000"/>
    <e v="#N/A"/>
    <e v="#N/A"/>
    <n v="0"/>
    <n v="0"/>
    <n v="0"/>
    <n v="0"/>
    <n v="0"/>
    <n v="0"/>
    <m/>
    <n v="0"/>
    <x v="1"/>
    <x v="0"/>
    <x v="13"/>
  </r>
  <r>
    <s v="BWID BINH DUONG"/>
    <s v="SINOPAC"/>
    <s v="07003600015783"/>
    <x v="2"/>
    <s v="VND"/>
    <e v="#N/A"/>
    <e v="#N/A"/>
    <n v="0"/>
    <n v="0"/>
    <n v="0"/>
    <n v="0"/>
    <n v="0"/>
    <e v="#N/A"/>
    <e v="#N/A"/>
    <n v="0"/>
    <n v="0"/>
    <n v="0"/>
    <n v="0"/>
    <n v="0"/>
    <n v="0"/>
    <m/>
    <n v="0"/>
    <x v="0"/>
    <x v="8"/>
    <x v="12"/>
  </r>
  <r>
    <s v="WINLOCK 2A"/>
    <s v="VIETINBANK - TIEN SON"/>
    <s v="215000450023"/>
    <x v="2"/>
    <s v="VND"/>
    <e v="#N/A"/>
    <e v="#N/A"/>
    <n v="2647867968"/>
    <n v="0"/>
    <n v="0"/>
    <n v="0"/>
    <n v="2647867968"/>
    <e v="#N/A"/>
    <e v="#N/A"/>
    <n v="0"/>
    <n v="0"/>
    <n v="0"/>
    <n v="0"/>
    <n v="0"/>
    <n v="0"/>
    <m/>
    <n v="0"/>
    <x v="1"/>
    <x v="2"/>
    <x v="3"/>
  </r>
  <r>
    <s v="WINLOCK 2A"/>
    <s v="VIETINBANK - TIEN SON"/>
    <s v="217000450019"/>
    <x v="2"/>
    <s v="VND"/>
    <e v="#N/A"/>
    <e v="#N/A"/>
    <n v="3277700640"/>
    <n v="0"/>
    <n v="0"/>
    <n v="0"/>
    <n v="3277700640"/>
    <e v="#N/A"/>
    <e v="#N/A"/>
    <n v="0"/>
    <n v="0"/>
    <n v="0"/>
    <n v="0"/>
    <n v="0"/>
    <n v="0"/>
    <m/>
    <n v="0"/>
    <x v="1"/>
    <x v="2"/>
    <x v="3"/>
  </r>
  <r>
    <s v="BW MY PHUOC 3"/>
    <s v="VIETINBANK - BINH DUONG"/>
    <s v="111002915309_1"/>
    <x v="2"/>
    <s v="VND"/>
    <e v="#N/A"/>
    <e v="#N/A"/>
    <n v="0"/>
    <n v="0"/>
    <n v="0"/>
    <n v="0"/>
    <n v="0"/>
    <e v="#N/A"/>
    <e v="#N/A"/>
    <n v="0"/>
    <n v="0"/>
    <n v="0"/>
    <n v="0"/>
    <n v="0"/>
    <n v="0"/>
    <m/>
    <n v="0"/>
    <x v="1"/>
    <x v="2"/>
    <x v="4"/>
  </r>
  <r>
    <s v="BAU BANG 3"/>
    <s v="UOB - HCM"/>
    <s v="1053067331"/>
    <x v="0"/>
    <s v="VND"/>
    <e v="#N/A"/>
    <e v="#N/A"/>
    <n v="3000000"/>
    <n v="0"/>
    <n v="0"/>
    <n v="0"/>
    <n v="3000000"/>
    <e v="#N/A"/>
    <e v="#N/A"/>
    <n v="0"/>
    <n v="0"/>
    <n v="0"/>
    <n v="0"/>
    <n v="0"/>
    <n v="0"/>
    <m/>
    <n v="0"/>
    <x v="1"/>
    <x v="10"/>
    <x v="17"/>
  </r>
  <r>
    <s v="BWID HAI DUONG"/>
    <s v="VIETINBANK - TIEN SON"/>
    <s v="216000453618"/>
    <x v="2"/>
    <s v="VND"/>
    <e v="#N/A"/>
    <e v="#N/A"/>
    <n v="16000000000"/>
    <n v="0"/>
    <n v="0"/>
    <n v="0"/>
    <n v="16000000000"/>
    <e v="#N/A"/>
    <e v="#N/A"/>
    <n v="0"/>
    <n v="0"/>
    <n v="0"/>
    <n v="0"/>
    <n v="0"/>
    <n v="0"/>
    <m/>
    <n v="0"/>
    <x v="1"/>
    <x v="2"/>
    <x v="3"/>
  </r>
  <r>
    <s v="SAO HOA"/>
    <s v="VIETINBANK - TPHCM"/>
    <s v="217000452414"/>
    <x v="2"/>
    <s v="VND"/>
    <e v="#N/A"/>
    <e v="#N/A"/>
    <n v="0"/>
    <n v="0"/>
    <n v="0"/>
    <n v="0"/>
    <n v="0"/>
    <e v="#N/A"/>
    <e v="#N/A"/>
    <n v="0"/>
    <n v="0"/>
    <n v="0"/>
    <n v="0"/>
    <n v="0"/>
    <n v="0"/>
    <m/>
    <n v="0"/>
    <x v="2"/>
    <x v="2"/>
    <x v="19"/>
  </r>
  <r>
    <s v="SONG THAN 2"/>
    <s v="VIETINBANK - TPHCM"/>
    <s v="111002975027_1"/>
    <x v="2"/>
    <s v="VND"/>
    <e v="#N/A"/>
    <e v="#N/A"/>
    <n v="0"/>
    <n v="0"/>
    <n v="0"/>
    <n v="0"/>
    <n v="0"/>
    <e v="#N/A"/>
    <e v="#N/A"/>
    <n v="0"/>
    <n v="0"/>
    <n v="0"/>
    <n v="0"/>
    <n v="0"/>
    <n v="0"/>
    <m/>
    <n v="0"/>
    <x v="1"/>
    <x v="2"/>
    <x v="19"/>
  </r>
  <r>
    <s v="BW NAM HAI"/>
    <s v="VIETCOMBANK - BA DINH"/>
    <s v="1055968238"/>
    <x v="2"/>
    <s v="VND"/>
    <e v="#N/A"/>
    <e v="#N/A"/>
    <n v="0"/>
    <n v="0"/>
    <n v="0"/>
    <n v="0"/>
    <n v="0"/>
    <e v="#N/A"/>
    <e v="#N/A"/>
    <n v="0"/>
    <n v="0"/>
    <n v="0"/>
    <n v="0"/>
    <n v="0"/>
    <n v="0"/>
    <m/>
    <n v="0"/>
    <x v="1"/>
    <x v="1"/>
    <x v="1"/>
  </r>
  <r>
    <s v="BW NAM HAI"/>
    <s v="VIETCOMBANK - BA DINH"/>
    <s v="1055967812"/>
    <x v="2"/>
    <s v="VND"/>
    <e v="#N/A"/>
    <e v="#N/A"/>
    <n v="0"/>
    <n v="0"/>
    <n v="0"/>
    <n v="0"/>
    <n v="0"/>
    <e v="#N/A"/>
    <e v="#N/A"/>
    <n v="0"/>
    <n v="0"/>
    <n v="0"/>
    <n v="0"/>
    <n v="0"/>
    <n v="0"/>
    <m/>
    <n v="0"/>
    <x v="1"/>
    <x v="1"/>
    <x v="1"/>
  </r>
  <r>
    <s v="BW NAM HAI"/>
    <s v="VIETCOMBANK - BA DINH"/>
    <s v="1055968026"/>
    <x v="2"/>
    <s v="VND"/>
    <e v="#N/A"/>
    <e v="#N/A"/>
    <n v="5000000000"/>
    <n v="0"/>
    <n v="0"/>
    <n v="0"/>
    <n v="5000000000"/>
    <e v="#N/A"/>
    <e v="#N/A"/>
    <n v="0"/>
    <n v="0"/>
    <n v="0"/>
    <n v="0"/>
    <n v="0"/>
    <n v="0"/>
    <m/>
    <n v="0"/>
    <x v="1"/>
    <x v="1"/>
    <x v="1"/>
  </r>
  <r>
    <s v="BWID BINH DUONG"/>
    <s v="VIETINBANK - BINH DUONG"/>
    <s v="212000454565"/>
    <x v="2"/>
    <s v="VND"/>
    <e v="#N/A"/>
    <e v="#N/A"/>
    <n v="0"/>
    <n v="0"/>
    <n v="0"/>
    <n v="0"/>
    <n v="0"/>
    <e v="#N/A"/>
    <e v="#N/A"/>
    <n v="0"/>
    <n v="0"/>
    <n v="0"/>
    <n v="0"/>
    <n v="0"/>
    <n v="0"/>
    <m/>
    <n v="0"/>
    <x v="0"/>
    <x v="2"/>
    <x v="4"/>
  </r>
  <r>
    <s v="BCI JSC"/>
    <s v="VIETINBANK - TIEN SON"/>
    <s v="212000456127"/>
    <x v="2"/>
    <s v="VND"/>
    <e v="#N/A"/>
    <e v="#N/A"/>
    <n v="0"/>
    <n v="0"/>
    <n v="0"/>
    <n v="0"/>
    <n v="0"/>
    <e v="#N/A"/>
    <e v="#N/A"/>
    <n v="0"/>
    <n v="0"/>
    <n v="0"/>
    <n v="0"/>
    <n v="0"/>
    <n v="0"/>
    <m/>
    <n v="0"/>
    <x v="1"/>
    <x v="2"/>
    <x v="3"/>
  </r>
  <r>
    <s v="BCI JSC"/>
    <s v="VIETINBANK - TIEN SON"/>
    <s v="218000455204"/>
    <x v="2"/>
    <s v="VND"/>
    <e v="#N/A"/>
    <e v="#N/A"/>
    <n v="3000000000"/>
    <n v="0"/>
    <n v="0"/>
    <n v="0"/>
    <n v="3000000000"/>
    <e v="#N/A"/>
    <e v="#N/A"/>
    <n v="0"/>
    <n v="0"/>
    <n v="0"/>
    <n v="0"/>
    <n v="0"/>
    <n v="0"/>
    <m/>
    <n v="0"/>
    <x v="1"/>
    <x v="2"/>
    <x v="3"/>
  </r>
  <r>
    <s v="TAN DONG HIEP B ELECTRON"/>
    <s v="VIETINBANK - TPHCM"/>
    <s v="110002974996_2"/>
    <x v="2"/>
    <s v="VND"/>
    <e v="#N/A"/>
    <e v="#N/A"/>
    <n v="0"/>
    <n v="0"/>
    <n v="0"/>
    <n v="0"/>
    <n v="0"/>
    <e v="#N/A"/>
    <e v="#N/A"/>
    <n v="0"/>
    <n v="0"/>
    <n v="0"/>
    <n v="0"/>
    <n v="0"/>
    <n v="0"/>
    <m/>
    <n v="0"/>
    <x v="1"/>
    <x v="2"/>
    <x v="19"/>
  </r>
  <r>
    <s v="LONG BINH"/>
    <s v="VIETINBANK - CN1"/>
    <s v="214000454333"/>
    <x v="2"/>
    <s v="VND"/>
    <e v="#N/A"/>
    <e v="#N/A"/>
    <n v="25000000000"/>
    <n v="0"/>
    <n v="0"/>
    <n v="0"/>
    <n v="25000000000"/>
    <e v="#N/A"/>
    <e v="#N/A"/>
    <n v="0"/>
    <n v="0"/>
    <n v="0"/>
    <n v="0"/>
    <n v="0"/>
    <n v="0"/>
    <m/>
    <n v="0"/>
    <x v="1"/>
    <x v="2"/>
    <x v="6"/>
  </r>
  <r>
    <s v="BWID HAI DUONG"/>
    <s v="VIETINBANK - TIEN SON"/>
    <s v="214000456247"/>
    <x v="2"/>
    <s v="VND"/>
    <e v="#N/A"/>
    <e v="#N/A"/>
    <n v="0"/>
    <n v="0"/>
    <n v="0"/>
    <n v="0"/>
    <n v="0"/>
    <e v="#N/A"/>
    <e v="#N/A"/>
    <n v="0"/>
    <n v="0"/>
    <n v="0"/>
    <n v="0"/>
    <n v="0"/>
    <n v="0"/>
    <m/>
    <n v="0"/>
    <x v="1"/>
    <x v="2"/>
    <x v="3"/>
  </r>
  <r>
    <s v="BWID HAI DUONG"/>
    <s v="VIETINBANK - TIEN SON"/>
    <s v="211000455526"/>
    <x v="2"/>
    <s v="VND"/>
    <e v="#N/A"/>
    <e v="#N/A"/>
    <n v="8000000000"/>
    <n v="0"/>
    <n v="0"/>
    <n v="0"/>
    <n v="8000000000"/>
    <e v="#N/A"/>
    <e v="#N/A"/>
    <n v="0"/>
    <n v="0"/>
    <n v="0"/>
    <n v="0"/>
    <n v="0"/>
    <n v="0"/>
    <m/>
    <n v="0"/>
    <x v="1"/>
    <x v="2"/>
    <x v="3"/>
  </r>
  <r>
    <s v="GREAT KINGDOM NT 2"/>
    <s v="VIETINBANK - CN1"/>
    <s v="216000456205"/>
    <x v="2"/>
    <s v="VND"/>
    <e v="#N/A"/>
    <e v="#N/A"/>
    <n v="0"/>
    <n v="0"/>
    <n v="0"/>
    <n v="0"/>
    <n v="0"/>
    <e v="#N/A"/>
    <e v="#N/A"/>
    <n v="0"/>
    <n v="0"/>
    <n v="0"/>
    <n v="0"/>
    <n v="0"/>
    <n v="0"/>
    <m/>
    <n v="0"/>
    <x v="1"/>
    <x v="2"/>
    <x v="6"/>
  </r>
  <r>
    <s v="DEEP C 2B"/>
    <s v="VIETINBANK - TPHCM"/>
    <s v="117002972458_1"/>
    <x v="2"/>
    <s v="VND"/>
    <e v="#N/A"/>
    <e v="#N/A"/>
    <n v="9000000000"/>
    <n v="0"/>
    <n v="0"/>
    <n v="0"/>
    <n v="9000000000"/>
    <e v="#N/A"/>
    <e v="#N/A"/>
    <n v="0"/>
    <n v="0"/>
    <n v="0"/>
    <n v="0"/>
    <n v="0"/>
    <n v="0"/>
    <m/>
    <n v="0"/>
    <x v="1"/>
    <x v="2"/>
    <x v="19"/>
  </r>
  <r>
    <s v="BWID BAC NINH"/>
    <s v="VIETINBANK - TIEN SON"/>
    <s v="217000456229"/>
    <x v="2"/>
    <s v="VND"/>
    <e v="#N/A"/>
    <e v="#N/A"/>
    <n v="4000000000"/>
    <n v="0"/>
    <n v="0"/>
    <n v="0"/>
    <n v="4000000000"/>
    <e v="#N/A"/>
    <e v="#N/A"/>
    <n v="0"/>
    <n v="0"/>
    <n v="0"/>
    <n v="0"/>
    <n v="0"/>
    <n v="0"/>
    <m/>
    <n v="0"/>
    <x v="1"/>
    <x v="2"/>
    <x v="3"/>
  </r>
  <r>
    <s v="BWID BAC NINH"/>
    <s v="VIETINBANK - TIEN SON"/>
    <s v="213000456211"/>
    <x v="2"/>
    <s v="VND"/>
    <e v="#N/A"/>
    <e v="#N/A"/>
    <n v="0"/>
    <n v="0"/>
    <n v="0"/>
    <n v="0"/>
    <n v="0"/>
    <e v="#N/A"/>
    <e v="#N/A"/>
    <n v="0"/>
    <n v="0"/>
    <n v="0"/>
    <n v="0"/>
    <n v="0"/>
    <n v="0"/>
    <m/>
    <n v="0"/>
    <x v="1"/>
    <x v="2"/>
    <x v="3"/>
  </r>
  <r>
    <s v="BWID HAI DUONG 2"/>
    <s v="VIETINBANK - TIEN SON"/>
    <s v="215000455210"/>
    <x v="2"/>
    <s v="VND"/>
    <e v="#N/A"/>
    <e v="#N/A"/>
    <n v="0"/>
    <n v="0"/>
    <n v="0"/>
    <n v="0"/>
    <n v="0"/>
    <e v="#N/A"/>
    <e v="#N/A"/>
    <n v="0"/>
    <n v="0"/>
    <n v="0"/>
    <n v="0"/>
    <n v="0"/>
    <n v="0"/>
    <m/>
    <n v="0"/>
    <x v="1"/>
    <x v="2"/>
    <x v="3"/>
  </r>
  <r>
    <s v="BWID Tan Phu Trung"/>
    <s v="VIETINBANK - TIEN SON"/>
    <s v="218000454302"/>
    <x v="2"/>
    <s v="VND"/>
    <e v="#N/A"/>
    <e v="#N/A"/>
    <n v="0"/>
    <n v="0"/>
    <n v="0"/>
    <n v="0"/>
    <n v="0"/>
    <e v="#N/A"/>
    <e v="#N/A"/>
    <n v="0"/>
    <n v="0"/>
    <n v="0"/>
    <n v="0"/>
    <n v="0"/>
    <n v="0"/>
    <m/>
    <n v="0"/>
    <x v="1"/>
    <x v="2"/>
    <x v="3"/>
  </r>
  <r>
    <s v="KIM TRUC DN"/>
    <s v="BIDV - NAM SAI GON"/>
    <s v="813010526699"/>
    <x v="2"/>
    <s v="VND"/>
    <e v="#N/A"/>
    <e v="#N/A"/>
    <n v="4000000000"/>
    <n v="0"/>
    <n v="0"/>
    <n v="0"/>
    <n v="4000000000"/>
    <e v="#N/A"/>
    <e v="#N/A"/>
    <n v="0"/>
    <n v="0"/>
    <n v="0"/>
    <n v="0"/>
    <n v="0"/>
    <n v="0"/>
    <m/>
    <n v="0"/>
    <x v="1"/>
    <x v="0"/>
    <x v="14"/>
  </r>
  <r>
    <s v="BW NAM DINH VU"/>
    <s v="BIDV - LONG BIEN"/>
    <s v="811010391572"/>
    <x v="2"/>
    <s v="VND"/>
    <e v="#N/A"/>
    <e v="#N/A"/>
    <n v="0"/>
    <n v="0"/>
    <n v="0"/>
    <n v="0"/>
    <n v="0"/>
    <e v="#N/A"/>
    <e v="#N/A"/>
    <n v="0"/>
    <n v="0"/>
    <n v="0"/>
    <n v="0"/>
    <n v="0"/>
    <n v="0"/>
    <m/>
    <n v="0"/>
    <x v="1"/>
    <x v="0"/>
    <x v="13"/>
  </r>
  <r>
    <s v="BW HAI AN"/>
    <s v="BIDV - THANH XUAN"/>
    <s v="815010464614"/>
    <x v="2"/>
    <s v="VND"/>
    <e v="#N/A"/>
    <e v="#N/A"/>
    <n v="0"/>
    <n v="0"/>
    <n v="0"/>
    <n v="0"/>
    <n v="0"/>
    <e v="#N/A"/>
    <e v="#N/A"/>
    <n v="0"/>
    <n v="0"/>
    <n v="0"/>
    <n v="0"/>
    <n v="0"/>
    <n v="0"/>
    <m/>
    <n v="0"/>
    <x v="1"/>
    <x v="0"/>
    <x v="0"/>
  </r>
  <r>
    <s v="BW HAI AN"/>
    <s v="BIDV - THANH XUAN"/>
    <s v="813010464634"/>
    <x v="2"/>
    <s v="VND"/>
    <e v="#N/A"/>
    <e v="#N/A"/>
    <n v="0"/>
    <n v="0"/>
    <n v="0"/>
    <n v="0"/>
    <n v="0"/>
    <e v="#N/A"/>
    <e v="#N/A"/>
    <n v="0"/>
    <n v="0"/>
    <n v="0"/>
    <n v="0"/>
    <n v="0"/>
    <n v="0"/>
    <m/>
    <n v="0"/>
    <x v="1"/>
    <x v="0"/>
    <x v="0"/>
  </r>
  <r>
    <s v="BW DINH VU"/>
    <s v="BIDV - THANH XUAN"/>
    <s v="814010344089"/>
    <x v="2"/>
    <s v="VND"/>
    <e v="#N/A"/>
    <e v="#N/A"/>
    <n v="11000000000"/>
    <n v="0"/>
    <n v="0"/>
    <n v="0"/>
    <n v="11000000000"/>
    <e v="#N/A"/>
    <e v="#N/A"/>
    <n v="0"/>
    <n v="0"/>
    <n v="0"/>
    <n v="0"/>
    <n v="0"/>
    <n v="0"/>
    <m/>
    <n v="0"/>
    <x v="1"/>
    <x v="0"/>
    <x v="0"/>
  </r>
  <r>
    <s v="BAC TIEN PHONG"/>
    <s v="BIDV - THANH XUAN"/>
    <s v="817010342631"/>
    <x v="2"/>
    <s v="VND"/>
    <e v="#N/A"/>
    <e v="#N/A"/>
    <n v="0"/>
    <n v="0"/>
    <n v="0"/>
    <n v="0"/>
    <n v="0"/>
    <e v="#N/A"/>
    <e v="#N/A"/>
    <n v="0"/>
    <n v="0"/>
    <n v="0"/>
    <n v="0"/>
    <n v="0"/>
    <n v="0"/>
    <m/>
    <n v="0"/>
    <x v="1"/>
    <x v="0"/>
    <x v="0"/>
  </r>
  <r>
    <s v="BAC TIEN PHONG"/>
    <s v="BIDV - THANH XUAN"/>
    <s v="815010443112"/>
    <x v="2"/>
    <s v="VND"/>
    <e v="#N/A"/>
    <e v="#N/A"/>
    <n v="0"/>
    <n v="0"/>
    <n v="0"/>
    <n v="0"/>
    <n v="0"/>
    <e v="#N/A"/>
    <e v="#N/A"/>
    <n v="0"/>
    <n v="0"/>
    <n v="0"/>
    <n v="0"/>
    <n v="0"/>
    <n v="0"/>
    <m/>
    <n v="0"/>
    <x v="1"/>
    <x v="0"/>
    <x v="0"/>
  </r>
  <r>
    <s v="BAC TIEN PHONG"/>
    <s v="BIDV - THANH XUAN"/>
    <s v="816010442989"/>
    <x v="2"/>
    <s v="VND"/>
    <e v="#N/A"/>
    <e v="#N/A"/>
    <n v="5000000000"/>
    <n v="0"/>
    <n v="0"/>
    <n v="0"/>
    <n v="5000000000"/>
    <e v="#N/A"/>
    <e v="#N/A"/>
    <n v="0"/>
    <n v="0"/>
    <n v="0"/>
    <n v="0"/>
    <n v="0"/>
    <n v="0"/>
    <m/>
    <n v="0"/>
    <x v="1"/>
    <x v="0"/>
    <x v="0"/>
  </r>
  <r>
    <s v="BW DONG HAI"/>
    <s v="BIDV - THANH XUAN"/>
    <s v="817010391806"/>
    <x v="2"/>
    <s v="VND"/>
    <e v="#N/A"/>
    <e v="#N/A"/>
    <n v="0"/>
    <n v="0"/>
    <n v="0"/>
    <n v="0"/>
    <n v="0"/>
    <e v="#N/A"/>
    <e v="#N/A"/>
    <n v="0"/>
    <n v="0"/>
    <n v="0"/>
    <n v="0"/>
    <n v="0"/>
    <n v="0"/>
    <m/>
    <n v="0"/>
    <x v="1"/>
    <x v="0"/>
    <x v="0"/>
  </r>
  <r>
    <s v="BWID HAI DUONG 3"/>
    <s v="BIDV - THANH XUAN"/>
    <s v="816010522472"/>
    <x v="2"/>
    <s v="VND"/>
    <e v="#N/A"/>
    <e v="#N/A"/>
    <n v="0"/>
    <n v="0"/>
    <n v="0"/>
    <n v="0"/>
    <n v="0"/>
    <e v="#N/A"/>
    <e v="#N/A"/>
    <n v="0"/>
    <n v="0"/>
    <n v="0"/>
    <n v="0"/>
    <n v="0"/>
    <n v="0"/>
    <m/>
    <n v="0"/>
    <x v="1"/>
    <x v="0"/>
    <x v="0"/>
  </r>
  <r>
    <s v="BWID HAI DUONG 3"/>
    <s v="BIDV - THANH XUAN"/>
    <s v="817010522526"/>
    <x v="2"/>
    <s v="VND"/>
    <e v="#N/A"/>
    <e v="#N/A"/>
    <n v="8000000000"/>
    <n v="0"/>
    <n v="0"/>
    <n v="0"/>
    <n v="8000000000"/>
    <e v="#N/A"/>
    <e v="#N/A"/>
    <n v="0"/>
    <n v="0"/>
    <n v="0"/>
    <n v="0"/>
    <n v="0"/>
    <n v="0"/>
    <m/>
    <n v="0"/>
    <x v="1"/>
    <x v="0"/>
    <x v="0"/>
  </r>
  <r>
    <s v="BWID HAI DUONG 3"/>
    <s v="BIDV - THANH XUAN"/>
    <s v="814010522556"/>
    <x v="2"/>
    <s v="VND"/>
    <e v="#N/A"/>
    <e v="#N/A"/>
    <n v="12000000000"/>
    <n v="0"/>
    <n v="0"/>
    <n v="0"/>
    <n v="12000000000"/>
    <e v="#N/A"/>
    <e v="#N/A"/>
    <n v="0"/>
    <n v="0"/>
    <n v="0"/>
    <n v="0"/>
    <n v="0"/>
    <n v="0"/>
    <m/>
    <n v="0"/>
    <x v="1"/>
    <x v="0"/>
    <x v="0"/>
  </r>
  <r>
    <s v="THUAN THANH 3B"/>
    <s v="VIETCOMBANK - BA DINH"/>
    <s v="1056718477"/>
    <x v="2"/>
    <s v="VND"/>
    <e v="#N/A"/>
    <e v="#N/A"/>
    <n v="8000000000"/>
    <n v="0"/>
    <n v="0"/>
    <n v="0"/>
    <n v="8000000000"/>
    <e v="#N/A"/>
    <e v="#N/A"/>
    <n v="0"/>
    <n v="0"/>
    <n v="0"/>
    <n v="0"/>
    <n v="0"/>
    <n v="0"/>
    <m/>
    <n v="0"/>
    <x v="1"/>
    <x v="1"/>
    <x v="1"/>
  </r>
  <r>
    <s v="THUAN THANH 3B"/>
    <s v="VIETCOMBANK - BA DINH"/>
    <s v="1056403594"/>
    <x v="2"/>
    <s v="VND"/>
    <e v="#N/A"/>
    <e v="#N/A"/>
    <n v="0"/>
    <n v="0"/>
    <n v="0"/>
    <n v="0"/>
    <n v="0"/>
    <e v="#N/A"/>
    <e v="#N/A"/>
    <n v="0"/>
    <n v="0"/>
    <n v="0"/>
    <n v="0"/>
    <n v="0"/>
    <n v="0"/>
    <m/>
    <n v="0"/>
    <x v="1"/>
    <x v="1"/>
    <x v="1"/>
  </r>
  <r>
    <s v="THUAN THANH 3B"/>
    <s v="VIETCOMBANK - BA DINH"/>
    <s v="1056403522"/>
    <x v="2"/>
    <s v="VND"/>
    <e v="#N/A"/>
    <e v="#N/A"/>
    <n v="11000000000"/>
    <n v="0"/>
    <n v="0"/>
    <n v="0"/>
    <n v="11000000000"/>
    <e v="#N/A"/>
    <e v="#N/A"/>
    <n v="0"/>
    <n v="0"/>
    <n v="0"/>
    <n v="0"/>
    <n v="0"/>
    <n v="0"/>
    <m/>
    <n v="0"/>
    <x v="1"/>
    <x v="1"/>
    <x v="1"/>
  </r>
  <r>
    <s v="THUAN THANH 3B"/>
    <s v="VIETCOMBANK - BA DINH"/>
    <s v="1056403238"/>
    <x v="2"/>
    <s v="VND"/>
    <e v="#N/A"/>
    <e v="#N/A"/>
    <n v="0"/>
    <n v="0"/>
    <n v="0"/>
    <n v="0"/>
    <n v="0"/>
    <e v="#N/A"/>
    <e v="#N/A"/>
    <n v="0"/>
    <n v="0"/>
    <n v="0"/>
    <n v="0"/>
    <n v="0"/>
    <n v="0"/>
    <m/>
    <n v="0"/>
    <x v="1"/>
    <x v="1"/>
    <x v="1"/>
  </r>
  <r>
    <s v="BWID THOI HOA"/>
    <s v="OCB - BINH DUONG"/>
    <s v="0010600073373005"/>
    <x v="2"/>
    <s v="VND"/>
    <e v="#N/A"/>
    <e v="#N/A"/>
    <n v="0"/>
    <n v="0"/>
    <n v="0"/>
    <n v="0"/>
    <n v="0"/>
    <e v="#N/A"/>
    <e v="#N/A"/>
    <n v="0"/>
    <n v="0"/>
    <n v="0"/>
    <n v="0"/>
    <n v="0"/>
    <n v="0"/>
    <m/>
    <n v="0"/>
    <x v="1"/>
    <x v="6"/>
    <x v="10"/>
  </r>
  <r>
    <s v="BWID THOI HOA"/>
    <s v="OCB - BINH DUONG"/>
    <s v="0010600073108007"/>
    <x v="2"/>
    <s v="VND"/>
    <e v="#N/A"/>
    <e v="#N/A"/>
    <n v="0"/>
    <n v="0"/>
    <n v="0"/>
    <n v="0"/>
    <n v="0"/>
    <e v="#N/A"/>
    <e v="#N/A"/>
    <n v="0"/>
    <n v="0"/>
    <n v="0"/>
    <n v="0"/>
    <n v="0"/>
    <n v="0"/>
    <m/>
    <n v="0"/>
    <x v="1"/>
    <x v="6"/>
    <x v="10"/>
  </r>
  <r>
    <s v="BW SAI GON"/>
    <s v="SINOPAC"/>
    <s v="07003600015934"/>
    <x v="2"/>
    <s v="VND"/>
    <e v="#N/A"/>
    <e v="#N/A"/>
    <n v="0"/>
    <n v="0"/>
    <n v="0"/>
    <n v="0"/>
    <n v="0"/>
    <e v="#N/A"/>
    <e v="#N/A"/>
    <n v="0"/>
    <n v="0"/>
    <n v="0"/>
    <n v="0"/>
    <n v="0"/>
    <n v="0"/>
    <m/>
    <n v="0"/>
    <x v="1"/>
    <x v="8"/>
    <x v="12"/>
  </r>
  <r>
    <s v="BWID THOI HOA 2"/>
    <s v="KBank - HCM"/>
    <s v="403000002812"/>
    <x v="2"/>
    <s v="VND"/>
    <e v="#N/A"/>
    <e v="#N/A"/>
    <n v="0"/>
    <n v="0"/>
    <n v="0"/>
    <n v="0"/>
    <n v="0"/>
    <e v="#N/A"/>
    <e v="#N/A"/>
    <n v="0"/>
    <n v="0"/>
    <n v="0"/>
    <n v="0"/>
    <n v="0"/>
    <n v="0"/>
    <m/>
    <n v="0"/>
    <x v="1"/>
    <x v="3"/>
    <x v="7"/>
  </r>
  <r>
    <s v="BWID TAN DONG HIEP"/>
    <s v="SINOPAC"/>
    <s v="07000800110068"/>
    <x v="4"/>
    <s v="VND"/>
    <e v="#N/A"/>
    <e v="#N/A"/>
    <n v="166320315"/>
    <n v="0"/>
    <n v="0"/>
    <n v="0"/>
    <n v="166320315"/>
    <e v="#N/A"/>
    <e v="#N/A"/>
    <n v="0"/>
    <n v="0"/>
    <n v="0"/>
    <n v="0"/>
    <n v="0"/>
    <n v="0"/>
    <m/>
    <n v="0"/>
    <x v="1"/>
    <x v="8"/>
    <x v="12"/>
  </r>
  <r>
    <s v="SPV5B"/>
    <s v="VIETINBANK - TIEN SON"/>
    <s v="215000457654"/>
    <x v="2"/>
    <s v="VND"/>
    <e v="#N/A"/>
    <e v="#N/A"/>
    <n v="4000000000"/>
    <n v="0"/>
    <n v="0"/>
    <n v="0"/>
    <n v="4000000000"/>
    <e v="#N/A"/>
    <e v="#N/A"/>
    <n v="0"/>
    <n v="0"/>
    <n v="0"/>
    <n v="0"/>
    <n v="0"/>
    <n v="0"/>
    <m/>
    <n v="0"/>
    <x v="1"/>
    <x v="2"/>
    <x v="3"/>
  </r>
  <r>
    <s v="LONG BINH"/>
    <s v="VIETINBANK - CN1"/>
    <s v="213000458124"/>
    <x v="2"/>
    <s v="VND"/>
    <e v="#N/A"/>
    <e v="#N/A"/>
    <n v="0"/>
    <n v="0"/>
    <n v="0"/>
    <n v="0"/>
    <n v="0"/>
    <e v="#N/A"/>
    <e v="#N/A"/>
    <n v="0"/>
    <n v="0"/>
    <n v="0"/>
    <n v="0"/>
    <n v="0"/>
    <n v="0"/>
    <m/>
    <n v="0"/>
    <x v="1"/>
    <x v="2"/>
    <x v="6"/>
  </r>
  <r>
    <s v="GREAT KINGDOM NT 2"/>
    <s v="VIETINBANK - CN1"/>
    <s v="218000458814"/>
    <x v="2"/>
    <s v="VND"/>
    <e v="#N/A"/>
    <e v="#N/A"/>
    <n v="0"/>
    <n v="0"/>
    <n v="0"/>
    <n v="0"/>
    <n v="0"/>
    <e v="#N/A"/>
    <e v="#N/A"/>
    <n v="0"/>
    <n v="0"/>
    <n v="0"/>
    <n v="0"/>
    <n v="0"/>
    <n v="0"/>
    <m/>
    <n v="0"/>
    <x v="1"/>
    <x v="2"/>
    <x v="6"/>
  </r>
  <r>
    <s v="SONG THAN 2"/>
    <s v="VIETINBANK - TPHCM"/>
    <s v="111002975027_2"/>
    <x v="2"/>
    <s v="VND"/>
    <e v="#N/A"/>
    <e v="#N/A"/>
    <n v="9000000000"/>
    <n v="0"/>
    <n v="0"/>
    <n v="0"/>
    <n v="9000000000"/>
    <e v="#N/A"/>
    <e v="#N/A"/>
    <n v="0"/>
    <n v="0"/>
    <n v="0"/>
    <n v="0"/>
    <n v="0"/>
    <n v="0"/>
    <m/>
    <n v="0"/>
    <x v="1"/>
    <x v="2"/>
    <x v="19"/>
  </r>
  <r>
    <s v="SONG THAN 2"/>
    <s v="VIETINBANK - TPHCM"/>
    <s v="111002975027_3"/>
    <x v="2"/>
    <s v="VND"/>
    <e v="#N/A"/>
    <e v="#N/A"/>
    <n v="0"/>
    <n v="0"/>
    <n v="0"/>
    <n v="0"/>
    <n v="0"/>
    <e v="#N/A"/>
    <e v="#N/A"/>
    <n v="0"/>
    <n v="0"/>
    <n v="0"/>
    <n v="0"/>
    <n v="0"/>
    <n v="0"/>
    <m/>
    <n v="0"/>
    <x v="1"/>
    <x v="2"/>
    <x v="19"/>
  </r>
  <r>
    <s v="BWID Tan Phu Trung"/>
    <s v="VIETINBANK - TIEN SON"/>
    <s v="210000458876"/>
    <x v="2"/>
    <s v="VND"/>
    <e v="#N/A"/>
    <e v="#N/A"/>
    <n v="0"/>
    <n v="0"/>
    <n v="0"/>
    <n v="0"/>
    <n v="0"/>
    <e v="#N/A"/>
    <e v="#N/A"/>
    <n v="0"/>
    <n v="0"/>
    <n v="0"/>
    <n v="0"/>
    <n v="0"/>
    <n v="0"/>
    <m/>
    <n v="0"/>
    <x v="1"/>
    <x v="2"/>
    <x v="3"/>
  </r>
  <r>
    <s v="BWID Tan Phu Trung"/>
    <s v="KEB Hana - HCM"/>
    <s v="00870004610"/>
    <x v="0"/>
    <s v="VND"/>
    <e v="#N/A"/>
    <e v="#N/A"/>
    <n v="46812268"/>
    <n v="0"/>
    <n v="0"/>
    <n v="0"/>
    <n v="46812268"/>
    <e v="#N/A"/>
    <e v="#N/A"/>
    <n v="0"/>
    <n v="0"/>
    <n v="0"/>
    <n v="0"/>
    <n v="0"/>
    <n v="0"/>
    <m/>
    <n v="0"/>
    <x v="1"/>
    <x v="11"/>
    <x v="18"/>
  </r>
  <r>
    <s v="BWID Tan Phu Trung"/>
    <s v="KEB Hana - HCM"/>
    <s v="00870004610_1"/>
    <x v="2"/>
    <s v="VND"/>
    <e v="#N/A"/>
    <e v="#N/A"/>
    <n v="4000000000"/>
    <n v="0"/>
    <n v="0"/>
    <n v="0"/>
    <n v="4000000000"/>
    <e v="#N/A"/>
    <e v="#N/A"/>
    <n v="0"/>
    <n v="0"/>
    <n v="0"/>
    <n v="0"/>
    <n v="0"/>
    <n v="0"/>
    <m/>
    <n v="0"/>
    <x v="1"/>
    <x v="11"/>
    <x v="18"/>
  </r>
  <r>
    <s v="VINA PARTNERS INVESTMENT"/>
    <s v="VIETINBANK - CN1"/>
    <s v="210000458851"/>
    <x v="2"/>
    <s v="VND"/>
    <e v="#N/A"/>
    <e v="#N/A"/>
    <n v="0"/>
    <n v="0"/>
    <n v="0"/>
    <n v="0"/>
    <n v="0"/>
    <e v="#N/A"/>
    <e v="#N/A"/>
    <n v="0"/>
    <n v="0"/>
    <n v="0"/>
    <n v="0"/>
    <n v="0"/>
    <n v="0"/>
    <m/>
    <n v="0"/>
    <x v="1"/>
    <x v="2"/>
    <x v="6"/>
  </r>
  <r>
    <s v="BWID HAI DUONG 3"/>
    <s v="BIDV - THANH XUAN"/>
    <s v="815010593339"/>
    <x v="2"/>
    <s v="VND"/>
    <e v="#N/A"/>
    <e v="#N/A"/>
    <n v="7000000000"/>
    <n v="0"/>
    <n v="0"/>
    <n v="0"/>
    <n v="7000000000"/>
    <e v="#N/A"/>
    <e v="#N/A"/>
    <n v="0"/>
    <n v="0"/>
    <n v="0"/>
    <n v="0"/>
    <n v="0"/>
    <n v="0"/>
    <m/>
    <n v="0"/>
    <x v="1"/>
    <x v="0"/>
    <x v="0"/>
  </r>
  <r>
    <s v="NDV PROJECT CO"/>
    <s v="BIDV - THANH XUAN"/>
    <s v="819010760974"/>
    <x v="2"/>
    <s v="VND"/>
    <e v="#N/A"/>
    <e v="#N/A"/>
    <n v="0"/>
    <n v="0"/>
    <n v="0"/>
    <n v="0"/>
    <n v="0"/>
    <e v="#N/A"/>
    <e v="#N/A"/>
    <n v="0"/>
    <n v="0"/>
    <n v="0"/>
    <n v="0"/>
    <n v="0"/>
    <n v="0"/>
    <m/>
    <n v="0"/>
    <x v="1"/>
    <x v="0"/>
    <x v="0"/>
  </r>
  <r>
    <s v="BWID NHON TRACH"/>
    <s v="VIETCOMBANK - HCM"/>
    <s v="001057195607"/>
    <x v="2"/>
    <s v="VND"/>
    <e v="#N/A"/>
    <e v="#N/A"/>
    <n v="0"/>
    <n v="0"/>
    <n v="0"/>
    <n v="0"/>
    <n v="0"/>
    <e v="#N/A"/>
    <e v="#N/A"/>
    <n v="0"/>
    <n v="0"/>
    <n v="0"/>
    <n v="0"/>
    <n v="0"/>
    <n v="0"/>
    <m/>
    <n v="0"/>
    <x v="1"/>
    <x v="1"/>
    <x v="2"/>
  </r>
  <r>
    <s v="BWID LOGISTICS TAN UYEN"/>
    <s v="VIETCOMBANK - BA DINH"/>
    <s v="001057112314"/>
    <x v="2"/>
    <s v="VND"/>
    <e v="#N/A"/>
    <e v="#N/A"/>
    <n v="0"/>
    <n v="0"/>
    <n v="0"/>
    <n v="0"/>
    <n v="0"/>
    <e v="#N/A"/>
    <e v="#N/A"/>
    <n v="0"/>
    <n v="0"/>
    <n v="0"/>
    <n v="0"/>
    <n v="0"/>
    <n v="0"/>
    <m/>
    <n v="0"/>
    <x v="1"/>
    <x v="1"/>
    <x v="1"/>
  </r>
  <r>
    <s v="BW NAM HAI"/>
    <s v="VIETCOMBANK - BA DINH"/>
    <s v="1057115518"/>
    <x v="2"/>
    <s v="VND"/>
    <e v="#N/A"/>
    <e v="#N/A"/>
    <n v="3000000000"/>
    <n v="0"/>
    <n v="0"/>
    <n v="0"/>
    <n v="3000000000"/>
    <e v="#N/A"/>
    <e v="#N/A"/>
    <n v="0"/>
    <n v="0"/>
    <n v="0"/>
    <n v="0"/>
    <n v="0"/>
    <n v="0"/>
    <m/>
    <n v="0"/>
    <x v="1"/>
    <x v="1"/>
    <x v="1"/>
  </r>
  <r>
    <s v="BW NAM HAI"/>
    <s v="VIETCOMBANK - BA DINH"/>
    <s v="1057116624"/>
    <x v="2"/>
    <s v="VND"/>
    <e v="#N/A"/>
    <e v="#N/A"/>
    <n v="0"/>
    <n v="0"/>
    <n v="0"/>
    <n v="0"/>
    <n v="0"/>
    <e v="#N/A"/>
    <e v="#N/A"/>
    <n v="0"/>
    <n v="0"/>
    <n v="0"/>
    <n v="0"/>
    <n v="0"/>
    <n v="0"/>
    <m/>
    <n v="0"/>
    <x v="1"/>
    <x v="1"/>
    <x v="1"/>
  </r>
  <r>
    <s v="BWID TAN DONG HIEP"/>
    <s v="SINOPAC"/>
    <s v="07003600016122"/>
    <x v="2"/>
    <s v="VND"/>
    <e v="#N/A"/>
    <e v="#N/A"/>
    <n v="0"/>
    <n v="0"/>
    <n v="0"/>
    <n v="0"/>
    <n v="0"/>
    <e v="#N/A"/>
    <e v="#N/A"/>
    <n v="0"/>
    <n v="0"/>
    <n v="0"/>
    <n v="0"/>
    <n v="0"/>
    <n v="0"/>
    <m/>
    <n v="0"/>
    <x v="1"/>
    <x v="8"/>
    <x v="12"/>
  </r>
  <r>
    <s v="BWID BINH DUONG"/>
    <s v="SINOPAC"/>
    <s v="07003600016049"/>
    <x v="2"/>
    <s v="VND"/>
    <e v="#N/A"/>
    <e v="#N/A"/>
    <n v="30000000000"/>
    <n v="0"/>
    <n v="0"/>
    <n v="0"/>
    <n v="30000000000"/>
    <e v="#N/A"/>
    <e v="#N/A"/>
    <n v="0"/>
    <n v="0"/>
    <n v="0"/>
    <n v="0"/>
    <n v="0"/>
    <n v="0"/>
    <m/>
    <n v="0"/>
    <x v="0"/>
    <x v="8"/>
    <x v="12"/>
  </r>
  <r>
    <s v="BWID THOI HOA 2"/>
    <s v="KBank - HCM"/>
    <s v="403000002960"/>
    <x v="2"/>
    <s v="VND"/>
    <e v="#N/A"/>
    <e v="#N/A"/>
    <n v="0"/>
    <n v="0"/>
    <n v="0"/>
    <n v="0"/>
    <n v="0"/>
    <e v="#N/A"/>
    <e v="#N/A"/>
    <n v="0"/>
    <n v="0"/>
    <n v="0"/>
    <n v="0"/>
    <n v="0"/>
    <n v="0"/>
    <m/>
    <n v="0"/>
    <x v="1"/>
    <x v="3"/>
    <x v="7"/>
  </r>
  <r>
    <s v="BWID THOI HOA 2"/>
    <s v="KBank - HCM"/>
    <s v="400000003022"/>
    <x v="2"/>
    <s v="VND"/>
    <e v="#N/A"/>
    <e v="#N/A"/>
    <n v="0"/>
    <n v="0"/>
    <n v="0"/>
    <n v="0"/>
    <n v="0"/>
    <e v="#N/A"/>
    <e v="#N/A"/>
    <n v="0"/>
    <n v="0"/>
    <n v="0"/>
    <n v="0"/>
    <n v="0"/>
    <n v="0"/>
    <m/>
    <n v="0"/>
    <x v="1"/>
    <x v="3"/>
    <x v="7"/>
  </r>
  <r>
    <s v="NASTEC JSC"/>
    <s v="VIETINBANK - TIEN SON"/>
    <s v="111002902469"/>
    <x v="0"/>
    <s v="VND"/>
    <e v="#N/A"/>
    <e v="#N/A"/>
    <n v="65551508"/>
    <n v="0"/>
    <n v="110000"/>
    <n v="-110000"/>
    <n v="65441508"/>
    <e v="#N/A"/>
    <e v="#N/A"/>
    <n v="0"/>
    <n v="0"/>
    <n v="0"/>
    <n v="0"/>
    <n v="0"/>
    <n v="0"/>
    <m/>
    <n v="0"/>
    <x v="1"/>
    <x v="2"/>
    <x v="3"/>
  </r>
  <r>
    <s v="BAU BANG 6"/>
    <s v="VIETINBANK - BINH DUONG"/>
    <s v="219000461096"/>
    <x v="2"/>
    <s v="VND"/>
    <e v="#N/A"/>
    <e v="#N/A"/>
    <n v="0"/>
    <n v="0"/>
    <n v="0"/>
    <n v="0"/>
    <n v="0"/>
    <e v="#N/A"/>
    <e v="#N/A"/>
    <n v="0"/>
    <n v="0"/>
    <n v="0"/>
    <n v="0"/>
    <n v="0"/>
    <n v="0"/>
    <m/>
    <n v="0"/>
    <x v="1"/>
    <x v="2"/>
    <x v="4"/>
  </r>
  <r>
    <s v="GREAT KINGDOM NT 2"/>
    <s v="VIETINBANK - CN1"/>
    <s v="210000461056"/>
    <x v="2"/>
    <s v="VND"/>
    <e v="#N/A"/>
    <e v="#N/A"/>
    <n v="0"/>
    <n v="0"/>
    <n v="0"/>
    <n v="0"/>
    <n v="0"/>
    <e v="#N/A"/>
    <e v="#N/A"/>
    <n v="0"/>
    <n v="0"/>
    <n v="0"/>
    <n v="0"/>
    <n v="0"/>
    <n v="0"/>
    <m/>
    <n v="0"/>
    <x v="1"/>
    <x v="2"/>
    <x v="6"/>
  </r>
  <r>
    <s v="BWID HAI DUONG 3"/>
    <s v="BIDV - THANH XUAN"/>
    <s v="814010881733"/>
    <x v="2"/>
    <s v="VND"/>
    <e v="#N/A"/>
    <e v="#N/A"/>
    <n v="1300000000"/>
    <n v="0"/>
    <n v="0"/>
    <n v="0"/>
    <n v="1300000000"/>
    <e v="#N/A"/>
    <e v="#N/A"/>
    <n v="0"/>
    <n v="0"/>
    <n v="0"/>
    <n v="0"/>
    <n v="0"/>
    <n v="0"/>
    <m/>
    <n v="0"/>
    <x v="1"/>
    <x v="0"/>
    <x v="0"/>
  </r>
  <r>
    <s v="BWID HAI DUONG 3"/>
    <s v="BIDV - THANH XUAN"/>
    <s v="811010881907"/>
    <x v="2"/>
    <s v="VND"/>
    <e v="#N/A"/>
    <e v="#N/A"/>
    <n v="100000000"/>
    <n v="0"/>
    <n v="0"/>
    <n v="0"/>
    <n v="100000000"/>
    <e v="#N/A"/>
    <e v="#N/A"/>
    <n v="0"/>
    <n v="0"/>
    <n v="0"/>
    <n v="0"/>
    <n v="0"/>
    <n v="0"/>
    <m/>
    <n v="0"/>
    <x v="1"/>
    <x v="0"/>
    <x v="0"/>
  </r>
  <r>
    <s v="BW PHU NGHIA"/>
    <s v="BIDV - THANH XUAN"/>
    <s v="817010925175"/>
    <x v="2"/>
    <s v="VND"/>
    <e v="#N/A"/>
    <e v="#N/A"/>
    <n v="2000000000"/>
    <n v="0"/>
    <n v="0"/>
    <n v="0"/>
    <n v="2000000000"/>
    <e v="#N/A"/>
    <e v="#N/A"/>
    <n v="0"/>
    <n v="0"/>
    <n v="0"/>
    <n v="0"/>
    <n v="0"/>
    <n v="0"/>
    <m/>
    <n v="0"/>
    <x v="1"/>
    <x v="0"/>
    <x v="0"/>
  </r>
  <r>
    <s v="BW PHU NGHIA"/>
    <s v="BIDV - THANH XUAN"/>
    <s v="817010925218"/>
    <x v="2"/>
    <s v="VND"/>
    <e v="#N/A"/>
    <e v="#N/A"/>
    <n v="2000000000"/>
    <n v="0"/>
    <n v="0"/>
    <n v="0"/>
    <n v="2000000000"/>
    <e v="#N/A"/>
    <e v="#N/A"/>
    <n v="0"/>
    <n v="0"/>
    <n v="0"/>
    <n v="0"/>
    <n v="0"/>
    <n v="0"/>
    <m/>
    <n v="0"/>
    <x v="1"/>
    <x v="0"/>
    <x v="0"/>
  </r>
  <r>
    <s v="BW PHU NGHIA"/>
    <s v="BIDV - THANH XUAN"/>
    <s v="816010925304"/>
    <x v="2"/>
    <s v="VND"/>
    <e v="#N/A"/>
    <e v="#N/A"/>
    <n v="0"/>
    <n v="0"/>
    <n v="0"/>
    <n v="0"/>
    <n v="0"/>
    <e v="#N/A"/>
    <e v="#N/A"/>
    <n v="0"/>
    <n v="0"/>
    <n v="0"/>
    <n v="0"/>
    <n v="0"/>
    <n v="0"/>
    <m/>
    <n v="0"/>
    <x v="1"/>
    <x v="0"/>
    <x v="0"/>
  </r>
  <r>
    <s v="BW PHU NGHIA"/>
    <s v="BIDV - THANH XUAN"/>
    <s v="811010925327"/>
    <x v="2"/>
    <s v="VND"/>
    <e v="#N/A"/>
    <e v="#N/A"/>
    <n v="0"/>
    <n v="0"/>
    <n v="0"/>
    <n v="0"/>
    <n v="0"/>
    <e v="#N/A"/>
    <e v="#N/A"/>
    <n v="0"/>
    <n v="0"/>
    <n v="0"/>
    <n v="0"/>
    <n v="0"/>
    <n v="0"/>
    <m/>
    <n v="0"/>
    <x v="1"/>
    <x v="0"/>
    <x v="0"/>
  </r>
  <r>
    <s v="BW SAIGON LOGISTICS"/>
    <s v="VIETCOMBANK - HCM"/>
    <s v="1057522204"/>
    <x v="2"/>
    <s v="VND"/>
    <e v="#N/A"/>
    <e v="#N/A"/>
    <n v="0"/>
    <n v="0"/>
    <n v="0"/>
    <n v="0"/>
    <n v="0"/>
    <e v="#N/A"/>
    <e v="#N/A"/>
    <n v="0"/>
    <n v="0"/>
    <n v="0"/>
    <n v="0"/>
    <n v="0"/>
    <n v="0"/>
    <m/>
    <n v="0"/>
    <x v="1"/>
    <x v="1"/>
    <x v="2"/>
  </r>
  <r>
    <s v="BWID TAN DONG HIEP"/>
    <s v="SINOPAC"/>
    <s v="07003600016244"/>
    <x v="2"/>
    <s v="VND"/>
    <e v="#N/A"/>
    <e v="#N/A"/>
    <n v="0"/>
    <n v="0"/>
    <n v="0"/>
    <n v="0"/>
    <n v="0"/>
    <e v="#N/A"/>
    <e v="#N/A"/>
    <n v="0"/>
    <n v="0"/>
    <n v="0"/>
    <n v="0"/>
    <n v="0"/>
    <n v="0"/>
    <m/>
    <n v="0"/>
    <x v="1"/>
    <x v="8"/>
    <x v="12"/>
  </r>
  <r>
    <s v="BWID THOI HOA 2"/>
    <s v="KBank - HCM"/>
    <s v="401000003128"/>
    <x v="2"/>
    <s v="VND"/>
    <e v="#N/A"/>
    <e v="#N/A"/>
    <n v="0"/>
    <n v="0"/>
    <n v="0"/>
    <n v="0"/>
    <n v="0"/>
    <e v="#N/A"/>
    <e v="#N/A"/>
    <n v="0"/>
    <n v="0"/>
    <n v="0"/>
    <n v="0"/>
    <n v="0"/>
    <n v="0"/>
    <m/>
    <n v="0"/>
    <x v="1"/>
    <x v="3"/>
    <x v="7"/>
  </r>
  <r>
    <s v="BW DONG HAI"/>
    <s v="BIDV - THANH XUAN"/>
    <s v="810010998263"/>
    <x v="2"/>
    <s v="VND"/>
    <e v="#N/A"/>
    <e v="#N/A"/>
    <n v="0"/>
    <n v="0"/>
    <n v="0"/>
    <n v="0"/>
    <n v="0"/>
    <e v="#N/A"/>
    <e v="#N/A"/>
    <n v="0"/>
    <n v="0"/>
    <n v="0"/>
    <n v="0"/>
    <n v="0"/>
    <n v="0"/>
    <m/>
    <n v="0"/>
    <x v="1"/>
    <x v="0"/>
    <x v="0"/>
  </r>
  <r>
    <s v="LONG BINH"/>
    <s v="VIETINBANK - CN1"/>
    <s v="217000464056"/>
    <x v="2"/>
    <s v="VND"/>
    <e v="#N/A"/>
    <e v="#N/A"/>
    <n v="0"/>
    <n v="0"/>
    <n v="0"/>
    <n v="0"/>
    <n v="0"/>
    <e v="#N/A"/>
    <e v="#N/A"/>
    <n v="0"/>
    <n v="0"/>
    <n v="0"/>
    <n v="0"/>
    <n v="0"/>
    <n v="0"/>
    <m/>
    <n v="0"/>
    <x v="1"/>
    <x v="2"/>
    <x v="6"/>
  </r>
  <r>
    <s v="BWID DONG AN LID"/>
    <s v="VIETINBANK - DONG SAI GON"/>
    <s v="213000463460"/>
    <x v="2"/>
    <s v="VND"/>
    <e v="#N/A"/>
    <e v="#N/A"/>
    <n v="0"/>
    <n v="0"/>
    <n v="0"/>
    <n v="0"/>
    <n v="0"/>
    <e v="#N/A"/>
    <e v="#N/A"/>
    <n v="0"/>
    <n v="0"/>
    <n v="0"/>
    <n v="0"/>
    <n v="0"/>
    <n v="0"/>
    <m/>
    <n v="0"/>
    <x v="1"/>
    <x v="2"/>
    <x v="5"/>
  </r>
  <r>
    <s v="BCI JSC"/>
    <s v="VIETINBANK - TIEN SON"/>
    <s v="213000462161"/>
    <x v="2"/>
    <s v="VND"/>
    <e v="#N/A"/>
    <e v="#N/A"/>
    <n v="0"/>
    <n v="0"/>
    <n v="0"/>
    <n v="0"/>
    <n v="0"/>
    <e v="#N/A"/>
    <e v="#N/A"/>
    <n v="0"/>
    <n v="0"/>
    <n v="0"/>
    <n v="0"/>
    <n v="0"/>
    <n v="0"/>
    <m/>
    <n v="0"/>
    <x v="1"/>
    <x v="2"/>
    <x v="3"/>
  </r>
  <r>
    <s v="BWID BINH DUONG"/>
    <s v="VIETINBANK - BINH DUONG"/>
    <s v="218000463318"/>
    <x v="2"/>
    <s v="VND"/>
    <e v="#N/A"/>
    <e v="#N/A"/>
    <n v="0"/>
    <n v="0"/>
    <n v="0"/>
    <n v="0"/>
    <n v="0"/>
    <e v="#N/A"/>
    <e v="#N/A"/>
    <n v="0"/>
    <n v="0"/>
    <n v="0"/>
    <n v="0"/>
    <n v="0"/>
    <n v="0"/>
    <m/>
    <n v="0"/>
    <x v="0"/>
    <x v="2"/>
    <x v="4"/>
  </r>
  <r>
    <s v="BWID Tan Phu Trung"/>
    <s v="VIETINBANK - TIEN SON"/>
    <s v="211000461752"/>
    <x v="2"/>
    <s v="VND"/>
    <e v="#N/A"/>
    <e v="#N/A"/>
    <n v="13000000000"/>
    <n v="0"/>
    <n v="0"/>
    <n v="0"/>
    <n v="13000000000"/>
    <e v="#N/A"/>
    <e v="#N/A"/>
    <n v="0"/>
    <n v="0"/>
    <n v="0"/>
    <n v="0"/>
    <n v="0"/>
    <n v="0"/>
    <m/>
    <n v="0"/>
    <x v="1"/>
    <x v="2"/>
    <x v="3"/>
  </r>
  <r>
    <s v="SAO HOA"/>
    <s v="VIETCOMBANK - HCM"/>
    <s v="001057915404"/>
    <x v="2"/>
    <s v="VND"/>
    <e v="#N/A"/>
    <e v="#N/A"/>
    <n v="0"/>
    <n v="0"/>
    <n v="0"/>
    <n v="0"/>
    <n v="0"/>
    <e v="#N/A"/>
    <e v="#N/A"/>
    <n v="0"/>
    <n v="0"/>
    <n v="0"/>
    <n v="0"/>
    <n v="0"/>
    <n v="0"/>
    <m/>
    <n v="0"/>
    <x v="2"/>
    <x v="1"/>
    <x v="2"/>
  </r>
  <r>
    <s v="SAO HOA"/>
    <s v="VIETCOMBANK - HCM"/>
    <s v="001057836946"/>
    <x v="2"/>
    <s v="VND"/>
    <e v="#N/A"/>
    <e v="#N/A"/>
    <n v="0"/>
    <n v="0"/>
    <n v="0"/>
    <n v="0"/>
    <n v="0"/>
    <e v="#N/A"/>
    <e v="#N/A"/>
    <n v="0"/>
    <n v="0"/>
    <n v="0"/>
    <n v="0"/>
    <n v="0"/>
    <n v="0"/>
    <m/>
    <n v="0"/>
    <x v="2"/>
    <x v="1"/>
    <x v="2"/>
  </r>
  <r>
    <s v="BWID NHON TRACH"/>
    <s v="VIETCOMBANK - HCM"/>
    <s v="001057954072"/>
    <x v="2"/>
    <s v="VND"/>
    <e v="#N/A"/>
    <e v="#N/A"/>
    <n v="0"/>
    <n v="0"/>
    <n v="0"/>
    <n v="0"/>
    <n v="0"/>
    <e v="#N/A"/>
    <e v="#N/A"/>
    <n v="0"/>
    <n v="0"/>
    <n v="0"/>
    <n v="0"/>
    <n v="0"/>
    <n v="0"/>
    <m/>
    <n v="0"/>
    <x v="1"/>
    <x v="1"/>
    <x v="2"/>
  </r>
  <r>
    <s v="BW SAIGON LOGISTICS"/>
    <s v="VIETCOMBANK - HCM"/>
    <s v="1057953404"/>
    <x v="2"/>
    <s v="VND"/>
    <e v="#N/A"/>
    <e v="#N/A"/>
    <n v="0"/>
    <n v="0"/>
    <n v="0"/>
    <n v="0"/>
    <n v="0"/>
    <e v="#N/A"/>
    <e v="#N/A"/>
    <n v="0"/>
    <n v="0"/>
    <n v="0"/>
    <n v="0"/>
    <n v="0"/>
    <n v="0"/>
    <m/>
    <n v="0"/>
    <x v="1"/>
    <x v="1"/>
    <x v="2"/>
  </r>
  <r>
    <s v="THUAN THANH 3B"/>
    <s v="VIETCOMBANK - BA DINH"/>
    <s v="1057670538"/>
    <x v="2"/>
    <s v="VND"/>
    <e v="#N/A"/>
    <e v="#N/A"/>
    <n v="4000000000"/>
    <n v="0"/>
    <n v="0"/>
    <n v="0"/>
    <n v="4000000000"/>
    <e v="#N/A"/>
    <e v="#N/A"/>
    <n v="0"/>
    <n v="0"/>
    <n v="0"/>
    <n v="0"/>
    <n v="0"/>
    <n v="0"/>
    <m/>
    <n v="0"/>
    <x v="1"/>
    <x v="1"/>
    <x v="1"/>
  </r>
  <r>
    <s v="THUAN THANH 3B"/>
    <s v="VIETCOMBANK - BA DINH"/>
    <s v="1057669326"/>
    <x v="2"/>
    <s v="VND"/>
    <e v="#N/A"/>
    <e v="#N/A"/>
    <n v="0"/>
    <n v="0"/>
    <n v="0"/>
    <n v="0"/>
    <n v="0"/>
    <e v="#N/A"/>
    <e v="#N/A"/>
    <n v="0"/>
    <n v="0"/>
    <n v="0"/>
    <n v="0"/>
    <n v="0"/>
    <n v="0"/>
    <m/>
    <n v="0"/>
    <x v="1"/>
    <x v="1"/>
    <x v="1"/>
  </r>
  <r>
    <s v="THUAN THANH 3B"/>
    <s v="VIETCOMBANK - BA DINH"/>
    <s v="1057669253"/>
    <x v="2"/>
    <s v="VND"/>
    <e v="#N/A"/>
    <e v="#N/A"/>
    <n v="14000000000"/>
    <n v="0"/>
    <n v="0"/>
    <n v="0"/>
    <n v="14000000000"/>
    <e v="#N/A"/>
    <e v="#N/A"/>
    <n v="0"/>
    <n v="0"/>
    <n v="0"/>
    <n v="0"/>
    <n v="0"/>
    <n v="0"/>
    <m/>
    <n v="0"/>
    <x v="1"/>
    <x v="1"/>
    <x v="1"/>
  </r>
  <r>
    <s v="THUAN THANH 3B"/>
    <s v="VIETCOMBANK - BA DINH"/>
    <s v="1057667032"/>
    <x v="2"/>
    <s v="VND"/>
    <e v="#N/A"/>
    <e v="#N/A"/>
    <n v="3500000000"/>
    <n v="0"/>
    <n v="0"/>
    <n v="0"/>
    <n v="3500000000"/>
    <e v="#N/A"/>
    <e v="#N/A"/>
    <n v="0"/>
    <n v="0"/>
    <n v="0"/>
    <n v="0"/>
    <n v="0"/>
    <n v="0"/>
    <m/>
    <n v="0"/>
    <x v="1"/>
    <x v="1"/>
    <x v="1"/>
  </r>
  <r>
    <s v="BWID THOI HOA"/>
    <s v="VIETCOMBANK - HCM"/>
    <s v="1060986491"/>
    <x v="2"/>
    <s v="VND"/>
    <e v="#N/A"/>
    <e v="#N/A"/>
    <n v="0"/>
    <n v="5000000000"/>
    <n v="0"/>
    <n v="5000000000"/>
    <n v="5000000000"/>
    <e v="#N/A"/>
    <e v="#N/A"/>
    <n v="0"/>
    <n v="0"/>
    <n v="0"/>
    <n v="0"/>
    <n v="0"/>
    <n v="0"/>
    <m/>
    <n v="0"/>
    <x v="1"/>
    <x v="1"/>
    <x v="2"/>
  </r>
  <r>
    <s v="BWID THOI HOA"/>
    <s v="VIETCOMBANK - HCM"/>
    <s v="1057270760"/>
    <x v="0"/>
    <s v="VND"/>
    <e v="#N/A"/>
    <e v="#N/A"/>
    <n v="7575278535"/>
    <n v="28523528438"/>
    <n v="12952063437"/>
    <n v="15571465001"/>
    <n v="23146743536"/>
    <e v="#N/A"/>
    <e v="#N/A"/>
    <n v="0"/>
    <n v="0"/>
    <n v="0"/>
    <n v="0"/>
    <n v="0"/>
    <n v="0"/>
    <m/>
    <n v="0"/>
    <x v="1"/>
    <x v="1"/>
    <x v="2"/>
  </r>
  <r>
    <s v="BWID Tan Phu Trung"/>
    <s v="KEB Hana - HCM"/>
    <s v="00870007065"/>
    <x v="0"/>
    <s v="VND"/>
    <e v="#N/A"/>
    <e v="#N/A"/>
    <n v="32653206"/>
    <n v="0"/>
    <n v="0"/>
    <n v="0"/>
    <n v="32653206"/>
    <e v="#N/A"/>
    <e v="#N/A"/>
    <n v="0"/>
    <n v="0"/>
    <n v="0"/>
    <n v="0"/>
    <n v="0"/>
    <n v="0"/>
    <m/>
    <n v="0"/>
    <x v="1"/>
    <x v="11"/>
    <x v="18"/>
  </r>
  <r>
    <s v="BWID Tan Phu Trung"/>
    <s v="KEB Hana - HCM"/>
    <s v="00870012956"/>
    <x v="2"/>
    <s v="VND"/>
    <e v="#N/A"/>
    <e v="#N/A"/>
    <n v="0"/>
    <n v="0"/>
    <n v="0"/>
    <n v="0"/>
    <n v="0"/>
    <e v="#N/A"/>
    <e v="#N/A"/>
    <n v="0"/>
    <n v="0"/>
    <n v="0"/>
    <n v="0"/>
    <n v="0"/>
    <n v="0"/>
    <m/>
    <n v="0"/>
    <x v="1"/>
    <x v="11"/>
    <x v="18"/>
  </r>
  <r>
    <s v="BWID Tan Phu Trung"/>
    <s v="KEB Hana - HCM"/>
    <s v="00870007070"/>
    <x v="0"/>
    <s v="VND"/>
    <e v="#N/A"/>
    <e v="#N/A"/>
    <n v="7326028"/>
    <n v="0"/>
    <n v="0"/>
    <n v="0"/>
    <n v="7326028"/>
    <e v="#N/A"/>
    <e v="#N/A"/>
    <n v="0"/>
    <n v="0"/>
    <n v="0"/>
    <n v="0"/>
    <n v="0"/>
    <n v="0"/>
    <m/>
    <n v="0"/>
    <x v="1"/>
    <x v="11"/>
    <x v="18"/>
  </r>
  <r>
    <s v="BWID Tan Phu Trung"/>
    <s v="KEB Hana - HCM"/>
    <s v="00870012961"/>
    <x v="2"/>
    <s v="VND"/>
    <e v="#N/A"/>
    <e v="#N/A"/>
    <n v="0"/>
    <n v="0"/>
    <n v="0"/>
    <n v="0"/>
    <n v="0"/>
    <e v="#N/A"/>
    <e v="#N/A"/>
    <n v="0"/>
    <n v="0"/>
    <n v="0"/>
    <n v="0"/>
    <n v="0"/>
    <n v="0"/>
    <m/>
    <n v="0"/>
    <x v="1"/>
    <x v="11"/>
    <x v="18"/>
  </r>
  <r>
    <s v="BW NAM DINH VU"/>
    <s v="BIDV - LONG BIEN"/>
    <s v="813011516527"/>
    <x v="2"/>
    <s v="VND"/>
    <e v="#N/A"/>
    <e v="#N/A"/>
    <n v="6000000000"/>
    <n v="0"/>
    <n v="0"/>
    <n v="0"/>
    <n v="6000000000"/>
    <e v="#N/A"/>
    <e v="#N/A"/>
    <n v="0"/>
    <n v="0"/>
    <n v="0"/>
    <n v="0"/>
    <n v="0"/>
    <n v="0"/>
    <m/>
    <n v="0"/>
    <x v="1"/>
    <x v="0"/>
    <x v="13"/>
  </r>
  <r>
    <s v="YEN PHONG"/>
    <s v="VIETINBANK - TIEN SON"/>
    <s v="215000465973"/>
    <x v="2"/>
    <s v="VND"/>
    <e v="#N/A"/>
    <e v="#N/A"/>
    <n v="3000000000"/>
    <n v="0"/>
    <n v="0"/>
    <n v="0"/>
    <n v="3000000000"/>
    <e v="#N/A"/>
    <e v="#N/A"/>
    <n v="0"/>
    <n v="0"/>
    <n v="0"/>
    <n v="0"/>
    <n v="0"/>
    <n v="0"/>
    <m/>
    <n v="0"/>
    <x v="1"/>
    <x v="2"/>
    <x v="3"/>
  </r>
  <r>
    <s v="SAO HOA"/>
    <s v="VIETINBANK - BINH DUONG"/>
    <s v="213000466782"/>
    <x v="2"/>
    <s v="VND"/>
    <e v="#N/A"/>
    <e v="#N/A"/>
    <n v="0"/>
    <n v="0"/>
    <n v="0"/>
    <n v="0"/>
    <n v="0"/>
    <e v="#N/A"/>
    <e v="#N/A"/>
    <n v="0"/>
    <n v="0"/>
    <n v="0"/>
    <n v="0"/>
    <n v="0"/>
    <n v="0"/>
    <m/>
    <n v="0"/>
    <x v="2"/>
    <x v="2"/>
    <x v="4"/>
  </r>
  <r>
    <s v="BAC TIEN PHONG"/>
    <s v="BIDV - THANH XUAN"/>
    <s v="817011512026"/>
    <x v="2"/>
    <s v="VND"/>
    <e v="#N/A"/>
    <e v="#N/A"/>
    <n v="0"/>
    <n v="0"/>
    <n v="0"/>
    <n v="0"/>
    <n v="0"/>
    <e v="#N/A"/>
    <e v="#N/A"/>
    <n v="0"/>
    <n v="0"/>
    <n v="0"/>
    <n v="0"/>
    <n v="0"/>
    <n v="0"/>
    <m/>
    <n v="0"/>
    <x v="1"/>
    <x v="0"/>
    <x v="0"/>
  </r>
  <r>
    <s v="BWID Tan Phu Trung"/>
    <s v="VIETINBANK - TIEN SON"/>
    <s v="219000465302"/>
    <x v="2"/>
    <s v="VND"/>
    <e v="#N/A"/>
    <e v="#N/A"/>
    <n v="5000000000"/>
    <n v="0"/>
    <n v="0"/>
    <n v="0"/>
    <n v="5000000000"/>
    <e v="#N/A"/>
    <e v="#N/A"/>
    <n v="0"/>
    <n v="0"/>
    <n v="0"/>
    <n v="0"/>
    <n v="0"/>
    <n v="0"/>
    <m/>
    <n v="0"/>
    <x v="1"/>
    <x v="2"/>
    <x v="3"/>
  </r>
  <r>
    <s v="SONGTHAN LID"/>
    <s v="VIETINBANK - DONG SAI GON"/>
    <s v="218000465643"/>
    <x v="2"/>
    <s v="VND"/>
    <e v="#N/A"/>
    <e v="#N/A"/>
    <n v="0"/>
    <n v="0"/>
    <n v="0"/>
    <n v="0"/>
    <n v="0"/>
    <e v="#N/A"/>
    <e v="#N/A"/>
    <n v="0"/>
    <n v="0"/>
    <n v="0"/>
    <n v="0"/>
    <n v="0"/>
    <n v="0"/>
    <m/>
    <n v="0"/>
    <x v="1"/>
    <x v="2"/>
    <x v="5"/>
  </r>
  <r>
    <s v="BAC TIEN PHONG"/>
    <s v="BIDV - THANH XUAN"/>
    <s v="812011512003"/>
    <x v="2"/>
    <s v="VND"/>
    <e v="#N/A"/>
    <e v="#N/A"/>
    <n v="3000000000"/>
    <n v="0"/>
    <n v="0"/>
    <n v="0"/>
    <n v="3000000000"/>
    <e v="#N/A"/>
    <e v="#N/A"/>
    <n v="0"/>
    <n v="0"/>
    <n v="0"/>
    <n v="0"/>
    <n v="0"/>
    <n v="0"/>
    <m/>
    <n v="0"/>
    <x v="1"/>
    <x v="0"/>
    <x v="0"/>
  </r>
  <r>
    <s v="SAO HOA"/>
    <s v="VIETINBANK - QUANG MINH"/>
    <s v="215000464540"/>
    <x v="2"/>
    <s v="VND"/>
    <e v="#N/A"/>
    <e v="#N/A"/>
    <n v="0"/>
    <n v="0"/>
    <n v="0"/>
    <n v="0"/>
    <n v="0"/>
    <e v="#N/A"/>
    <e v="#N/A"/>
    <n v="0"/>
    <n v="0"/>
    <n v="0"/>
    <n v="0"/>
    <n v="0"/>
    <n v="0"/>
    <m/>
    <n v="0"/>
    <x v="2"/>
    <x v="2"/>
    <x v="4"/>
  </r>
  <r>
    <s v="SAO HOA"/>
    <s v="VIETINBANK - TIEN SON"/>
    <s v="212000464543"/>
    <x v="2"/>
    <s v="VND"/>
    <e v="#N/A"/>
    <e v="#N/A"/>
    <n v="0"/>
    <n v="0"/>
    <n v="0"/>
    <n v="0"/>
    <n v="0"/>
    <e v="#N/A"/>
    <e v="#N/A"/>
    <n v="0"/>
    <n v="0"/>
    <n v="0"/>
    <n v="0"/>
    <n v="0"/>
    <n v="0"/>
    <m/>
    <n v="0"/>
    <x v="2"/>
    <x v="2"/>
    <x v="3"/>
  </r>
  <r>
    <s v="BWID BINH DUONG"/>
    <s v="VIETINBANK - BINH DUONG"/>
    <s v="215000467356"/>
    <x v="2"/>
    <s v="VND"/>
    <e v="#N/A"/>
    <e v="#N/A"/>
    <n v="0"/>
    <n v="0"/>
    <n v="0"/>
    <n v="0"/>
    <n v="0"/>
    <e v="#N/A"/>
    <e v="#N/A"/>
    <n v="0"/>
    <n v="0"/>
    <n v="0"/>
    <n v="0"/>
    <n v="0"/>
    <n v="0"/>
    <m/>
    <n v="0"/>
    <x v="0"/>
    <x v="2"/>
    <x v="4"/>
  </r>
  <r>
    <s v="SAO HOA"/>
    <s v="VIETINBANK - BINH DUONG"/>
    <s v="214000464471"/>
    <x v="2"/>
    <s v="VND"/>
    <e v="#N/A"/>
    <e v="#N/A"/>
    <n v="0"/>
    <n v="0"/>
    <n v="0"/>
    <n v="0"/>
    <n v="0"/>
    <e v="#N/A"/>
    <e v="#N/A"/>
    <n v="0"/>
    <n v="0"/>
    <n v="0"/>
    <n v="0"/>
    <n v="0"/>
    <n v="0"/>
    <m/>
    <n v="0"/>
    <x v="2"/>
    <x v="2"/>
    <x v="4"/>
  </r>
  <r>
    <s v="SAO HOA"/>
    <s v="VIETINBANK - BINH DUONG"/>
    <s v="215000464470"/>
    <x v="2"/>
    <s v="VND"/>
    <e v="#N/A"/>
    <e v="#N/A"/>
    <n v="0"/>
    <n v="0"/>
    <n v="0"/>
    <n v="0"/>
    <n v="0"/>
    <e v="#N/A"/>
    <e v="#N/A"/>
    <n v="0"/>
    <n v="0"/>
    <n v="0"/>
    <n v="0"/>
    <n v="0"/>
    <n v="0"/>
    <m/>
    <n v="0"/>
    <x v="2"/>
    <x v="2"/>
    <x v="4"/>
  </r>
  <r>
    <s v="LE MINH XUAN 3"/>
    <s v="VIETINBANK - TPHCM"/>
    <s v="212000465266"/>
    <x v="2"/>
    <s v="VND"/>
    <e v="#N/A"/>
    <e v="#N/A"/>
    <n v="0"/>
    <n v="0"/>
    <n v="0"/>
    <n v="0"/>
    <n v="0"/>
    <e v="#N/A"/>
    <e v="#N/A"/>
    <n v="0"/>
    <n v="0"/>
    <n v="0"/>
    <n v="0"/>
    <n v="0"/>
    <n v="0"/>
    <m/>
    <n v="0"/>
    <x v="1"/>
    <x v="2"/>
    <x v="19"/>
  </r>
  <r>
    <s v="HOLDCO N4C"/>
    <s v="VIETINBANK - TIEN SON"/>
    <s v="219000464367"/>
    <x v="2"/>
    <s v="VND"/>
    <e v="#N/A"/>
    <e v="#N/A"/>
    <n v="0"/>
    <n v="0"/>
    <n v="0"/>
    <n v="0"/>
    <n v="0"/>
    <e v="#N/A"/>
    <e v="#N/A"/>
    <n v="0"/>
    <n v="0"/>
    <n v="0"/>
    <n v="0"/>
    <n v="0"/>
    <n v="0"/>
    <m/>
    <n v="0"/>
    <x v="1"/>
    <x v="2"/>
    <x v="3"/>
  </r>
  <r>
    <s v="TAN DONG HIEP B ELECTRON"/>
    <s v="VIETINBANK - TPHCM"/>
    <s v="214000465182"/>
    <x v="2"/>
    <s v="VND"/>
    <e v="#N/A"/>
    <e v="#N/A"/>
    <n v="5000000000"/>
    <n v="0"/>
    <n v="0"/>
    <n v="0"/>
    <n v="5000000000"/>
    <e v="#N/A"/>
    <e v="#N/A"/>
    <n v="0"/>
    <n v="0"/>
    <n v="0"/>
    <n v="0"/>
    <n v="0"/>
    <n v="0"/>
    <m/>
    <n v="0"/>
    <x v="1"/>
    <x v="2"/>
    <x v="19"/>
  </r>
  <r>
    <s v="TAN DONG HIEP B ELECTRON"/>
    <s v="VIETINBANK - TPHCM"/>
    <s v="215000465181"/>
    <x v="2"/>
    <s v="VND"/>
    <e v="#N/A"/>
    <e v="#N/A"/>
    <n v="0"/>
    <n v="0"/>
    <n v="0"/>
    <n v="0"/>
    <n v="0"/>
    <e v="#N/A"/>
    <e v="#N/A"/>
    <n v="0"/>
    <n v="0"/>
    <n v="0"/>
    <n v="0"/>
    <n v="0"/>
    <n v="0"/>
    <m/>
    <n v="0"/>
    <x v="1"/>
    <x v="2"/>
    <x v="19"/>
  </r>
  <r>
    <s v="SAO HOA"/>
    <s v="BIDV - THANH XUAN"/>
    <s v="815011356328"/>
    <x v="2"/>
    <s v="VND"/>
    <e v="#N/A"/>
    <e v="#N/A"/>
    <n v="0"/>
    <n v="0"/>
    <n v="0"/>
    <n v="0"/>
    <n v="0"/>
    <e v="#N/A"/>
    <e v="#N/A"/>
    <n v="0"/>
    <n v="0"/>
    <n v="0"/>
    <n v="0"/>
    <n v="0"/>
    <n v="0"/>
    <m/>
    <n v="0"/>
    <x v="2"/>
    <x v="0"/>
    <x v="0"/>
  </r>
  <r>
    <s v="SAO HOA"/>
    <s v="BIDV - THANH XUAN"/>
    <s v="819011356127"/>
    <x v="2"/>
    <s v="VND"/>
    <e v="#N/A"/>
    <e v="#N/A"/>
    <n v="0"/>
    <n v="0"/>
    <n v="0"/>
    <n v="0"/>
    <n v="0"/>
    <e v="#N/A"/>
    <e v="#N/A"/>
    <n v="0"/>
    <n v="0"/>
    <n v="0"/>
    <n v="0"/>
    <n v="0"/>
    <n v="0"/>
    <m/>
    <n v="0"/>
    <x v="2"/>
    <x v="0"/>
    <x v="0"/>
  </r>
  <r>
    <s v="NDV PROJECT CO"/>
    <s v="BIDV - THANH XUAN"/>
    <s v="814011478864"/>
    <x v="2"/>
    <s v="VND"/>
    <e v="#N/A"/>
    <e v="#N/A"/>
    <n v="3000000000"/>
    <n v="0"/>
    <n v="0"/>
    <n v="0"/>
    <n v="3000000000"/>
    <e v="#N/A"/>
    <e v="#N/A"/>
    <n v="0"/>
    <n v="0"/>
    <n v="0"/>
    <n v="0"/>
    <n v="0"/>
    <n v="0"/>
    <m/>
    <n v="0"/>
    <x v="1"/>
    <x v="0"/>
    <x v="0"/>
  </r>
  <r>
    <s v="BWID THOI HOA"/>
    <s v="VIETCOMBANK - HCM"/>
    <s v="1058107681"/>
    <x v="2"/>
    <s v="VND"/>
    <e v="#N/A"/>
    <e v="#N/A"/>
    <n v="0"/>
    <n v="0"/>
    <n v="0"/>
    <n v="0"/>
    <n v="0"/>
    <e v="#N/A"/>
    <e v="#N/A"/>
    <n v="0"/>
    <n v="0"/>
    <n v="0"/>
    <n v="0"/>
    <n v="0"/>
    <n v="0"/>
    <m/>
    <n v="0"/>
    <x v="1"/>
    <x v="1"/>
    <x v="2"/>
  </r>
  <r>
    <s v="SAO HOA"/>
    <s v="SINOPAC"/>
    <s v="07003600016379"/>
    <x v="2"/>
    <s v="VND"/>
    <e v="#N/A"/>
    <e v="#N/A"/>
    <n v="0"/>
    <n v="0"/>
    <n v="0"/>
    <n v="0"/>
    <n v="0"/>
    <e v="#N/A"/>
    <e v="#N/A"/>
    <n v="0"/>
    <n v="0"/>
    <n v="0"/>
    <n v="0"/>
    <n v="0"/>
    <n v="0"/>
    <m/>
    <n v="0"/>
    <x v="2"/>
    <x v="8"/>
    <x v="12"/>
  </r>
  <r>
    <s v="BWID BINH DUONG"/>
    <s v="SINOPAC"/>
    <s v="07003600016387"/>
    <x v="2"/>
    <s v="VND"/>
    <e v="#N/A"/>
    <e v="#N/A"/>
    <n v="0"/>
    <n v="0"/>
    <n v="0"/>
    <n v="0"/>
    <n v="0"/>
    <e v="#N/A"/>
    <e v="#N/A"/>
    <n v="0"/>
    <n v="0"/>
    <n v="0"/>
    <n v="0"/>
    <n v="0"/>
    <n v="0"/>
    <m/>
    <n v="0"/>
    <x v="0"/>
    <x v="8"/>
    <x v="12"/>
  </r>
  <r>
    <s v="BW SAI GON"/>
    <s v="SINOPAC"/>
    <s v="07003600016293"/>
    <x v="2"/>
    <s v="VND"/>
    <e v="#N/A"/>
    <e v="#N/A"/>
    <n v="11000000000"/>
    <n v="0"/>
    <n v="0"/>
    <n v="0"/>
    <n v="11000000000"/>
    <e v="#N/A"/>
    <e v="#N/A"/>
    <n v="0"/>
    <n v="0"/>
    <n v="0"/>
    <n v="0"/>
    <n v="0"/>
    <n v="0"/>
    <m/>
    <n v="0"/>
    <x v="1"/>
    <x v="8"/>
    <x v="12"/>
  </r>
  <r>
    <s v="BWID TAN DONG HIEP"/>
    <s v="SINOPAC"/>
    <s v="07003600016318"/>
    <x v="2"/>
    <s v="VND"/>
    <e v="#N/A"/>
    <e v="#N/A"/>
    <n v="0"/>
    <n v="0"/>
    <n v="0"/>
    <n v="0"/>
    <n v="0"/>
    <e v="#N/A"/>
    <e v="#N/A"/>
    <n v="0"/>
    <n v="0"/>
    <n v="0"/>
    <n v="0"/>
    <n v="0"/>
    <n v="0"/>
    <m/>
    <n v="0"/>
    <x v="1"/>
    <x v="8"/>
    <x v="12"/>
  </r>
  <r>
    <s v="QV2 LLC"/>
    <s v="VIB - HOI SO"/>
    <s v="059817628"/>
    <x v="0"/>
    <s v="VND"/>
    <e v="#N/A"/>
    <e v="#N/A"/>
    <n v="338991052"/>
    <n v="0"/>
    <n v="0"/>
    <n v="0"/>
    <n v="338991052"/>
    <e v="#N/A"/>
    <e v="#N/A"/>
    <n v="0"/>
    <n v="0"/>
    <n v="0"/>
    <n v="0"/>
    <n v="0"/>
    <n v="0"/>
    <m/>
    <n v="0"/>
    <x v="1"/>
    <x v="4"/>
    <x v="8"/>
  </r>
  <r>
    <s v="BW THU DAU MOT"/>
    <s v="VIETINBANK - TIEN SON"/>
    <s v="210000467772"/>
    <x v="2"/>
    <s v="VND"/>
    <e v="#N/A"/>
    <e v="#N/A"/>
    <n v="100000000"/>
    <n v="0"/>
    <n v="0"/>
    <n v="0"/>
    <n v="100000000"/>
    <e v="#N/A"/>
    <e v="#N/A"/>
    <n v="0"/>
    <n v="0"/>
    <n v="0"/>
    <n v="0"/>
    <n v="0"/>
    <n v="0"/>
    <m/>
    <n v="0"/>
    <x v="1"/>
    <x v="2"/>
    <x v="3"/>
  </r>
  <r>
    <s v="HOLDCO N4A"/>
    <s v="VIETINBANK - TIEN SON"/>
    <s v="216000467736"/>
    <x v="2"/>
    <s v="VND"/>
    <e v="#N/A"/>
    <e v="#N/A"/>
    <n v="100000000"/>
    <n v="0"/>
    <n v="0"/>
    <n v="0"/>
    <n v="100000000"/>
    <e v="#N/A"/>
    <e v="#N/A"/>
    <n v="0"/>
    <n v="0"/>
    <n v="0"/>
    <n v="0"/>
    <n v="0"/>
    <n v="0"/>
    <m/>
    <n v="0"/>
    <x v="1"/>
    <x v="2"/>
    <x v="3"/>
  </r>
  <r>
    <s v="HOLDCO N4B"/>
    <s v="VIETINBANK - TIEN SON"/>
    <s v="217000467748"/>
    <x v="2"/>
    <s v="VND"/>
    <e v="#N/A"/>
    <e v="#N/A"/>
    <n v="100000000"/>
    <n v="0"/>
    <n v="0"/>
    <n v="0"/>
    <n v="100000000"/>
    <e v="#N/A"/>
    <e v="#N/A"/>
    <n v="0"/>
    <n v="0"/>
    <n v="0"/>
    <n v="0"/>
    <n v="0"/>
    <n v="0"/>
    <m/>
    <n v="0"/>
    <x v="1"/>
    <x v="2"/>
    <x v="3"/>
  </r>
  <r>
    <s v="HOLDCO N4E"/>
    <s v="VIETINBANK - TIEN SON"/>
    <s v="214000467753"/>
    <x v="2"/>
    <s v="VND"/>
    <e v="#N/A"/>
    <e v="#N/A"/>
    <n v="100000000"/>
    <n v="0"/>
    <n v="0"/>
    <n v="0"/>
    <n v="100000000"/>
    <e v="#N/A"/>
    <e v="#N/A"/>
    <n v="0"/>
    <n v="0"/>
    <n v="0"/>
    <n v="0"/>
    <n v="0"/>
    <n v="0"/>
    <m/>
    <n v="0"/>
    <x v="1"/>
    <x v="2"/>
    <x v="3"/>
  </r>
  <r>
    <s v="HOLDCO4X"/>
    <s v="VIETINBANK - TIEN SON"/>
    <s v="215000467764"/>
    <x v="2"/>
    <s v="VND"/>
    <e v="#N/A"/>
    <e v="#N/A"/>
    <n v="800000000"/>
    <n v="0"/>
    <n v="0"/>
    <n v="0"/>
    <n v="800000000"/>
    <e v="#N/A"/>
    <e v="#N/A"/>
    <n v="0"/>
    <n v="0"/>
    <n v="0"/>
    <n v="0"/>
    <n v="0"/>
    <n v="0"/>
    <m/>
    <n v="0"/>
    <x v="1"/>
    <x v="2"/>
    <x v="3"/>
  </r>
  <r>
    <s v="HOLDCO S4E"/>
    <s v="VIETINBANK - TIEN SON"/>
    <s v="219000467758"/>
    <x v="2"/>
    <s v="VND"/>
    <e v="#N/A"/>
    <e v="#N/A"/>
    <n v="900000000"/>
    <n v="0"/>
    <n v="0"/>
    <n v="0"/>
    <n v="900000000"/>
    <e v="#N/A"/>
    <e v="#N/A"/>
    <n v="0"/>
    <n v="0"/>
    <n v="0"/>
    <n v="0"/>
    <n v="0"/>
    <n v="0"/>
    <m/>
    <n v="0"/>
    <x v="1"/>
    <x v="2"/>
    <x v="3"/>
  </r>
  <r>
    <s v="HOLDCO S5A"/>
    <s v="VIETINBANK - TIEN SON"/>
    <s v="214000467765"/>
    <x v="2"/>
    <s v="VND"/>
    <e v="#N/A"/>
    <e v="#N/A"/>
    <n v="800000000"/>
    <n v="0"/>
    <n v="0"/>
    <n v="0"/>
    <n v="800000000"/>
    <e v="#N/A"/>
    <e v="#N/A"/>
    <n v="0"/>
    <n v="0"/>
    <n v="0"/>
    <n v="0"/>
    <n v="0"/>
    <n v="0"/>
    <m/>
    <n v="0"/>
    <x v="1"/>
    <x v="2"/>
    <x v="3"/>
  </r>
  <r>
    <s v="BW MY PHUOC 3"/>
    <s v="VIETINBANK - BINH DUONG"/>
    <s v="219000468893"/>
    <x v="2"/>
    <s v="VND"/>
    <e v="#N/A"/>
    <e v="#N/A"/>
    <n v="0"/>
    <n v="0"/>
    <n v="0"/>
    <n v="0"/>
    <n v="0"/>
    <e v="#N/A"/>
    <e v="#N/A"/>
    <n v="0"/>
    <n v="0"/>
    <n v="0"/>
    <n v="0"/>
    <n v="0"/>
    <n v="0"/>
    <m/>
    <n v="0"/>
    <x v="1"/>
    <x v="2"/>
    <x v="4"/>
  </r>
  <r>
    <s v="HOLDCO S5B"/>
    <s v="VIETINBANK - TIEN SON"/>
    <s v="213000467754"/>
    <x v="2"/>
    <s v="VND"/>
    <m/>
    <m/>
    <n v="850000000"/>
    <n v="0"/>
    <n v="0"/>
    <n v="0"/>
    <n v="850000000"/>
    <e v="#N/A"/>
    <e v="#N/A"/>
    <n v="0"/>
    <n v="0"/>
    <n v="0"/>
    <n v="0"/>
    <n v="0"/>
    <n v="0"/>
    <m/>
    <n v="0"/>
    <x v="1"/>
    <x v="2"/>
    <x v="3"/>
  </r>
  <r>
    <s v="HOLDCO4W"/>
    <s v="VIETINBANK - TIEN SON"/>
    <s v="216000467749"/>
    <x v="2"/>
    <s v="VND"/>
    <e v="#N/A"/>
    <e v="#N/A"/>
    <n v="100000000"/>
    <n v="0"/>
    <n v="0"/>
    <n v="0"/>
    <n v="100000000"/>
    <e v="#N/A"/>
    <e v="#N/A"/>
    <n v="0"/>
    <n v="0"/>
    <n v="0"/>
    <n v="0"/>
    <n v="0"/>
    <n v="0"/>
    <m/>
    <n v="0"/>
    <x v="1"/>
    <x v="2"/>
    <x v="3"/>
  </r>
  <r>
    <s v="HOLDCO5G"/>
    <s v="VIETINBANK - TIEN SON"/>
    <s v="212000467770"/>
    <x v="2"/>
    <s v="VND"/>
    <e v="#N/A"/>
    <e v="#N/A"/>
    <n v="100000000"/>
    <n v="0"/>
    <n v="0"/>
    <n v="0"/>
    <n v="100000000"/>
    <e v="#N/A"/>
    <e v="#N/A"/>
    <n v="0"/>
    <n v="0"/>
    <n v="0"/>
    <n v="0"/>
    <n v="0"/>
    <n v="0"/>
    <m/>
    <n v="0"/>
    <x v="1"/>
    <x v="2"/>
    <x v="3"/>
  </r>
  <r>
    <s v="HOLDCO5H"/>
    <s v="VIETINBANK - TIEN SON"/>
    <s v="215000467740"/>
    <x v="2"/>
    <s v="VND"/>
    <e v="#N/A"/>
    <e v="#N/A"/>
    <n v="90000000"/>
    <n v="0"/>
    <n v="0"/>
    <n v="0"/>
    <n v="90000000"/>
    <e v="#N/A"/>
    <e v="#N/A"/>
    <n v="0"/>
    <n v="0"/>
    <n v="0"/>
    <n v="0"/>
    <n v="0"/>
    <n v="0"/>
    <m/>
    <n v="0"/>
    <x v="1"/>
    <x v="2"/>
    <x v="3"/>
  </r>
  <r>
    <s v="HOLDCO5I"/>
    <s v="VIETINBANK - TIEN SON"/>
    <s v="211000467771"/>
    <x v="2"/>
    <s v="VND"/>
    <e v="#N/A"/>
    <e v="#N/A"/>
    <n v="100000000"/>
    <n v="0"/>
    <n v="0"/>
    <n v="0"/>
    <n v="100000000"/>
    <e v="#N/A"/>
    <e v="#N/A"/>
    <n v="0"/>
    <n v="0"/>
    <n v="0"/>
    <n v="0"/>
    <n v="0"/>
    <n v="0"/>
    <m/>
    <n v="0"/>
    <x v="1"/>
    <x v="2"/>
    <x v="3"/>
  </r>
  <r>
    <s v="HOLDCO5R"/>
    <s v="VIETINBANK - TIEN SON"/>
    <s v="218000467786"/>
    <x v="2"/>
    <s v="VND"/>
    <e v="#N/A"/>
    <e v="#N/A"/>
    <n v="300000000"/>
    <n v="0"/>
    <n v="0"/>
    <n v="0"/>
    <n v="300000000"/>
    <e v="#N/A"/>
    <e v="#N/A"/>
    <n v="0"/>
    <n v="0"/>
    <n v="0"/>
    <n v="0"/>
    <n v="0"/>
    <n v="0"/>
    <m/>
    <n v="0"/>
    <x v="1"/>
    <x v="2"/>
    <x v="3"/>
  </r>
  <r>
    <s v="HOLDCO5T"/>
    <s v="VIETINBANK - TIEN SON"/>
    <s v="210000467732"/>
    <x v="2"/>
    <s v="VND"/>
    <e v="#N/A"/>
    <e v="#N/A"/>
    <n v="100000000"/>
    <n v="0"/>
    <n v="0"/>
    <n v="0"/>
    <n v="100000000"/>
    <e v="#N/A"/>
    <e v="#N/A"/>
    <n v="0"/>
    <n v="0"/>
    <n v="0"/>
    <n v="0"/>
    <n v="0"/>
    <n v="0"/>
    <m/>
    <n v="0"/>
    <x v="1"/>
    <x v="2"/>
    <x v="3"/>
  </r>
  <r>
    <s v="HOLDCO5U"/>
    <s v="VIETINBANK - TIEN SON"/>
    <s v="213000467766"/>
    <x v="2"/>
    <s v="VND"/>
    <e v="#N/A"/>
    <e v="#N/A"/>
    <n v="100000000"/>
    <n v="0"/>
    <n v="0"/>
    <n v="0"/>
    <n v="100000000"/>
    <e v="#N/A"/>
    <e v="#N/A"/>
    <n v="0"/>
    <n v="0"/>
    <n v="0"/>
    <n v="0"/>
    <n v="0"/>
    <n v="0"/>
    <m/>
    <n v="0"/>
    <x v="1"/>
    <x v="2"/>
    <x v="3"/>
  </r>
  <r>
    <s v="IRE CONSULTANCY &amp; MANAGEMENT"/>
    <s v="VIETINBANK - TIEN SON"/>
    <s v="212000467767"/>
    <x v="2"/>
    <s v="VND"/>
    <e v="#N/A"/>
    <e v="#N/A"/>
    <n v="1500000000"/>
    <n v="0"/>
    <n v="0"/>
    <n v="0"/>
    <n v="1500000000"/>
    <e v="#N/A"/>
    <e v="#N/A"/>
    <n v="0"/>
    <n v="0"/>
    <n v="0"/>
    <n v="0"/>
    <n v="0"/>
    <n v="0"/>
    <m/>
    <n v="0"/>
    <x v="1"/>
    <x v="2"/>
    <x v="3"/>
  </r>
  <r>
    <s v="SPV5A"/>
    <s v="VIETINBANK - TIEN SON"/>
    <s v="211000467744"/>
    <x v="2"/>
    <s v="VND"/>
    <e v="#N/A"/>
    <e v="#N/A"/>
    <n v="100000000"/>
    <n v="0"/>
    <n v="0"/>
    <n v="0"/>
    <n v="100000000"/>
    <e v="#N/A"/>
    <e v="#N/A"/>
    <n v="0"/>
    <n v="0"/>
    <n v="0"/>
    <n v="0"/>
    <n v="0"/>
    <n v="0"/>
    <m/>
    <n v="0"/>
    <x v="1"/>
    <x v="2"/>
    <x v="3"/>
  </r>
  <r>
    <s v="WPJV 1"/>
    <s v="VIETINBANK - TIEN SON"/>
    <s v="216000467751"/>
    <x v="2"/>
    <s v="VND"/>
    <e v="#N/A"/>
    <e v="#N/A"/>
    <n v="300000000"/>
    <n v="0"/>
    <n v="0"/>
    <n v="0"/>
    <n v="300000000"/>
    <e v="#N/A"/>
    <e v="#N/A"/>
    <n v="0"/>
    <n v="0"/>
    <n v="0"/>
    <n v="0"/>
    <n v="0"/>
    <n v="0"/>
    <m/>
    <n v="0"/>
    <x v="1"/>
    <x v="2"/>
    <x v="3"/>
  </r>
  <r>
    <s v="WPJV 2"/>
    <s v="VIETINBANK - TIEN SON"/>
    <s v="215000467752"/>
    <x v="2"/>
    <s v="VND"/>
    <e v="#N/A"/>
    <e v="#N/A"/>
    <n v="100000000"/>
    <n v="0"/>
    <n v="0"/>
    <n v="0"/>
    <n v="100000000"/>
    <e v="#N/A"/>
    <e v="#N/A"/>
    <n v="0"/>
    <n v="0"/>
    <n v="0"/>
    <n v="0"/>
    <n v="0"/>
    <n v="0"/>
    <m/>
    <n v="0"/>
    <x v="1"/>
    <x v="2"/>
    <x v="3"/>
  </r>
  <r>
    <s v="PHUOC LOI"/>
    <s v="VIETINBANK - TIEN SON"/>
    <s v="211000467756"/>
    <x v="2"/>
    <s v="VND"/>
    <e v="#N/A"/>
    <e v="#N/A"/>
    <n v="100000000"/>
    <n v="0"/>
    <n v="0"/>
    <n v="0"/>
    <n v="100000000"/>
    <e v="#N/A"/>
    <e v="#N/A"/>
    <n v="0"/>
    <n v="0"/>
    <n v="0"/>
    <n v="0"/>
    <n v="0"/>
    <n v="0"/>
    <m/>
    <n v="0"/>
    <x v="1"/>
    <x v="2"/>
    <x v="3"/>
  </r>
  <r>
    <s v="SPV4D"/>
    <s v="VIETINBANK - TIEN SON"/>
    <s v="212000467743"/>
    <x v="2"/>
    <s v="VND"/>
    <e v="#N/A"/>
    <e v="#N/A"/>
    <n v="780000000"/>
    <n v="0"/>
    <n v="0"/>
    <n v="0"/>
    <n v="780000000"/>
    <e v="#N/A"/>
    <e v="#N/A"/>
    <n v="0"/>
    <n v="0"/>
    <n v="0"/>
    <n v="0"/>
    <n v="0"/>
    <n v="0"/>
    <m/>
    <n v="0"/>
    <x v="1"/>
    <x v="2"/>
    <x v="3"/>
  </r>
  <r>
    <s v="SPV4E"/>
    <s v="VIETINBANK - TIEN SON"/>
    <s v="218000467747"/>
    <x v="2"/>
    <s v="VND"/>
    <e v="#N/A"/>
    <e v="#N/A"/>
    <n v="400000000"/>
    <n v="0"/>
    <n v="0"/>
    <n v="0"/>
    <n v="400000000"/>
    <e v="#N/A"/>
    <e v="#N/A"/>
    <n v="0"/>
    <n v="0"/>
    <n v="0"/>
    <n v="0"/>
    <n v="0"/>
    <n v="0"/>
    <m/>
    <n v="0"/>
    <x v="1"/>
    <x v="2"/>
    <x v="3"/>
  </r>
  <r>
    <s v="HOLDCO N4D"/>
    <s v="VIETINBANK - TIEN SON"/>
    <s v="218000467734"/>
    <x v="2"/>
    <s v="VND"/>
    <e v="#N/A"/>
    <e v="#N/A"/>
    <n v="100000000"/>
    <n v="0"/>
    <n v="0"/>
    <n v="0"/>
    <n v="100000000"/>
    <e v="#N/A"/>
    <e v="#N/A"/>
    <n v="0"/>
    <n v="0"/>
    <n v="0"/>
    <n v="0"/>
    <n v="0"/>
    <n v="0"/>
    <m/>
    <n v="0"/>
    <x v="1"/>
    <x v="2"/>
    <x v="3"/>
  </r>
  <r>
    <s v="BWID DONG AN LID"/>
    <s v="VIETINBANK - DONG SAI GON"/>
    <s v="216000469461"/>
    <x v="2"/>
    <s v="VND"/>
    <e v="#N/A"/>
    <e v="#N/A"/>
    <n v="0"/>
    <n v="0"/>
    <n v="0"/>
    <n v="0"/>
    <n v="0"/>
    <e v="#N/A"/>
    <e v="#N/A"/>
    <n v="0"/>
    <n v="0"/>
    <n v="0"/>
    <n v="0"/>
    <n v="0"/>
    <n v="0"/>
    <m/>
    <n v="0"/>
    <x v="1"/>
    <x v="2"/>
    <x v="5"/>
  </r>
  <r>
    <s v="BWID BINH DUONG"/>
    <s v="VIETINBANK - BINH DUONG"/>
    <s v="214000468437"/>
    <x v="2"/>
    <s v="VND"/>
    <e v="#N/A"/>
    <e v="#N/A"/>
    <n v="0"/>
    <n v="0"/>
    <n v="0"/>
    <n v="0"/>
    <n v="0"/>
    <e v="#N/A"/>
    <e v="#N/A"/>
    <n v="0"/>
    <n v="0"/>
    <n v="0"/>
    <n v="0"/>
    <n v="0"/>
    <n v="0"/>
    <m/>
    <n v="0"/>
    <x v="0"/>
    <x v="2"/>
    <x v="4"/>
  </r>
  <r>
    <s v="BWID BINH DUONG"/>
    <s v="VIETINBANK - BINH DUONG"/>
    <s v="212000468427"/>
    <x v="2"/>
    <s v="VND"/>
    <e v="#N/A"/>
    <e v="#N/A"/>
    <n v="0"/>
    <n v="0"/>
    <n v="0"/>
    <n v="0"/>
    <n v="0"/>
    <e v="#N/A"/>
    <e v="#N/A"/>
    <n v="0"/>
    <n v="0"/>
    <n v="0"/>
    <n v="0"/>
    <n v="0"/>
    <n v="0"/>
    <m/>
    <n v="0"/>
    <x v="0"/>
    <x v="2"/>
    <x v="4"/>
  </r>
  <r>
    <s v="HOLDCO4K"/>
    <s v="BIDV - THANH XUAN"/>
    <s v="819011575835"/>
    <x v="2"/>
    <s v="VND"/>
    <e v="#N/A"/>
    <e v="#N/A"/>
    <n v="120000000"/>
    <n v="0"/>
    <n v="0"/>
    <n v="0"/>
    <n v="120000000"/>
    <e v="#N/A"/>
    <e v="#N/A"/>
    <n v="0"/>
    <n v="0"/>
    <n v="0"/>
    <n v="0"/>
    <n v="0"/>
    <n v="0"/>
    <m/>
    <n v="0"/>
    <x v="1"/>
    <x v="0"/>
    <x v="0"/>
  </r>
  <r>
    <s v="HOLDCO4M"/>
    <s v="BIDV - THANH XUAN"/>
    <s v="810011575877"/>
    <x v="2"/>
    <s v="VND"/>
    <e v="#N/A"/>
    <e v="#N/A"/>
    <n v="130000000"/>
    <n v="0"/>
    <n v="0"/>
    <n v="0"/>
    <n v="130000000"/>
    <e v="#N/A"/>
    <e v="#N/A"/>
    <n v="0"/>
    <n v="0"/>
    <n v="0"/>
    <n v="0"/>
    <n v="0"/>
    <n v="0"/>
    <m/>
    <n v="0"/>
    <x v="1"/>
    <x v="0"/>
    <x v="0"/>
  </r>
  <r>
    <s v="HOLDCO5K"/>
    <s v="BIDV - THANH XUAN"/>
    <s v="813011576023"/>
    <x v="2"/>
    <s v="VND"/>
    <e v="#N/A"/>
    <e v="#N/A"/>
    <n v="120000000"/>
    <n v="0"/>
    <n v="0"/>
    <n v="0"/>
    <n v="120000000"/>
    <e v="#N/A"/>
    <e v="#N/A"/>
    <n v="0"/>
    <n v="0"/>
    <n v="0"/>
    <n v="0"/>
    <n v="0"/>
    <n v="0"/>
    <m/>
    <n v="0"/>
    <x v="1"/>
    <x v="0"/>
    <x v="0"/>
  </r>
  <r>
    <s v="HOLDCO5M"/>
    <s v="BIDV - THANH XUAN"/>
    <s v="812011576219"/>
    <x v="2"/>
    <s v="VND"/>
    <e v="#N/A"/>
    <e v="#N/A"/>
    <n v="110000000"/>
    <n v="0"/>
    <n v="0"/>
    <n v="0"/>
    <n v="110000000"/>
    <e v="#N/A"/>
    <e v="#N/A"/>
    <n v="0"/>
    <n v="0"/>
    <n v="0"/>
    <n v="0"/>
    <n v="0"/>
    <n v="0"/>
    <m/>
    <n v="0"/>
    <x v="1"/>
    <x v="0"/>
    <x v="0"/>
  </r>
  <r>
    <s v="HOLDCO4N"/>
    <s v="BIDV - THANH XUAN"/>
    <s v="817011576227"/>
    <x v="2"/>
    <s v="VND"/>
    <e v="#N/A"/>
    <e v="#N/A"/>
    <n v="100000000"/>
    <n v="0"/>
    <n v="0"/>
    <n v="0"/>
    <n v="100000000"/>
    <e v="#N/A"/>
    <e v="#N/A"/>
    <n v="0"/>
    <n v="0"/>
    <n v="0"/>
    <n v="0"/>
    <n v="0"/>
    <n v="0"/>
    <m/>
    <n v="0"/>
    <x v="1"/>
    <x v="0"/>
    <x v="0"/>
  </r>
  <r>
    <s v="HOLDCO4O"/>
    <s v="BIDV - THANH XUAN"/>
    <s v="813011576209"/>
    <x v="2"/>
    <s v="VND"/>
    <e v="#N/A"/>
    <e v="#N/A"/>
    <n v="100000000"/>
    <n v="0"/>
    <n v="0"/>
    <n v="0"/>
    <n v="100000000"/>
    <e v="#N/A"/>
    <e v="#N/A"/>
    <n v="0"/>
    <n v="0"/>
    <n v="0"/>
    <n v="0"/>
    <n v="0"/>
    <n v="0"/>
    <m/>
    <n v="0"/>
    <x v="1"/>
    <x v="0"/>
    <x v="0"/>
  </r>
  <r>
    <s v="HOLDCO4P"/>
    <s v="BIDV - THANH XUAN"/>
    <s v="819011576036"/>
    <x v="2"/>
    <s v="VND"/>
    <e v="#N/A"/>
    <e v="#N/A"/>
    <n v="120000000"/>
    <n v="0"/>
    <n v="0"/>
    <n v="0"/>
    <n v="120000000"/>
    <e v="#N/A"/>
    <e v="#N/A"/>
    <n v="0"/>
    <n v="0"/>
    <n v="0"/>
    <n v="0"/>
    <n v="0"/>
    <n v="0"/>
    <m/>
    <n v="0"/>
    <x v="1"/>
    <x v="0"/>
    <x v="0"/>
  </r>
  <r>
    <s v="BW SAIGON LOGISTICS"/>
    <s v="VIETCOMBANK - HCM"/>
    <s v="1058657740"/>
    <x v="2"/>
    <s v="VND"/>
    <e v="#N/A"/>
    <e v="#N/A"/>
    <n v="0"/>
    <n v="0"/>
    <n v="0"/>
    <n v="0"/>
    <n v="0"/>
    <e v="#N/A"/>
    <e v="#N/A"/>
    <n v="0"/>
    <n v="0"/>
    <n v="0"/>
    <n v="0"/>
    <n v="0"/>
    <n v="0"/>
    <m/>
    <n v="0"/>
    <x v="1"/>
    <x v="1"/>
    <x v="2"/>
  </r>
  <r>
    <s v="NSHL HOLDCO"/>
    <s v="BIDV - THANH XUAN"/>
    <s v="811011575867"/>
    <x v="2"/>
    <s v="VND"/>
    <e v="#N/A"/>
    <e v="#N/A"/>
    <n v="200000000"/>
    <n v="0"/>
    <n v="0"/>
    <n v="0"/>
    <n v="200000000"/>
    <e v="#N/A"/>
    <e v="#N/A"/>
    <n v="0"/>
    <n v="0"/>
    <n v="0"/>
    <n v="0"/>
    <n v="0"/>
    <n v="0"/>
    <m/>
    <n v="0"/>
    <x v="1"/>
    <x v="0"/>
    <x v="0"/>
  </r>
  <r>
    <s v="YEN PHONG PROJECT CO"/>
    <s v="BIDV - THANH XUAN"/>
    <s v="810011408638"/>
    <x v="2"/>
    <s v="VND"/>
    <e v="#N/A"/>
    <e v="#N/A"/>
    <n v="2000000000"/>
    <n v="0"/>
    <n v="0"/>
    <n v="0"/>
    <n v="2000000000"/>
    <e v="#N/A"/>
    <e v="#N/A"/>
    <n v="0"/>
    <n v="0"/>
    <n v="0"/>
    <n v="0"/>
    <n v="0"/>
    <n v="0"/>
    <m/>
    <n v="0"/>
    <x v="1"/>
    <x v="0"/>
    <x v="0"/>
  </r>
  <r>
    <s v="SAO HOA"/>
    <s v="VIETINBANK - QUANG MINH"/>
    <s v="215000470222"/>
    <x v="2"/>
    <s v="VND"/>
    <e v="#N/A"/>
    <e v="#N/A"/>
    <n v="0"/>
    <n v="0"/>
    <n v="0"/>
    <n v="0"/>
    <n v="0"/>
    <e v="#N/A"/>
    <e v="#N/A"/>
    <n v="0"/>
    <n v="0"/>
    <n v="0"/>
    <n v="0"/>
    <n v="0"/>
    <n v="0"/>
    <m/>
    <n v="0"/>
    <x v="2"/>
    <x v="2"/>
    <x v="4"/>
  </r>
  <r>
    <s v="BCI JSC"/>
    <s v="VIETINBANK - TIEN SON"/>
    <s v="211000470526"/>
    <x v="2"/>
    <s v="VND"/>
    <e v="#N/A"/>
    <e v="#N/A"/>
    <n v="6000000000"/>
    <n v="0"/>
    <n v="0"/>
    <n v="0"/>
    <n v="6000000000"/>
    <e v="#N/A"/>
    <e v="#N/A"/>
    <n v="0"/>
    <n v="0"/>
    <n v="0"/>
    <n v="0"/>
    <n v="0"/>
    <n v="0"/>
    <m/>
    <n v="0"/>
    <x v="1"/>
    <x v="2"/>
    <x v="3"/>
  </r>
  <r>
    <s v="BWID Tan Phu Trung"/>
    <s v="VIETINBANK - TIEN SON"/>
    <s v="211000471264"/>
    <x v="2"/>
    <s v="VND"/>
    <e v="#N/A"/>
    <e v="#N/A"/>
    <n v="0"/>
    <n v="0"/>
    <n v="0"/>
    <n v="0"/>
    <n v="0"/>
    <e v="#N/A"/>
    <e v="#N/A"/>
    <n v="0"/>
    <n v="0"/>
    <n v="0"/>
    <n v="0"/>
    <n v="0"/>
    <n v="0"/>
    <m/>
    <n v="0"/>
    <x v="1"/>
    <x v="2"/>
    <x v="3"/>
  </r>
  <r>
    <s v="BWID HAI DUONG 2"/>
    <s v="VIETINBANK - TIEN SON"/>
    <s v="214000471713"/>
    <x v="2"/>
    <s v="VND"/>
    <e v="#N/A"/>
    <e v="#N/A"/>
    <n v="16000000000"/>
    <n v="0"/>
    <n v="0"/>
    <n v="0"/>
    <n v="16000000000"/>
    <e v="#N/A"/>
    <e v="#N/A"/>
    <n v="0"/>
    <n v="0"/>
    <n v="0"/>
    <n v="0"/>
    <n v="0"/>
    <n v="0"/>
    <m/>
    <n v="0"/>
    <x v="1"/>
    <x v="2"/>
    <x v="3"/>
  </r>
  <r>
    <s v="BWID HAI DUONG"/>
    <s v="VIETINBANK - TIEN SON"/>
    <s v="210000471950"/>
    <x v="2"/>
    <s v="VND"/>
    <e v="#N/A"/>
    <e v="#N/A"/>
    <n v="9000000000"/>
    <n v="0"/>
    <n v="0"/>
    <n v="0"/>
    <n v="9000000000"/>
    <e v="#N/A"/>
    <e v="#N/A"/>
    <n v="0"/>
    <n v="0"/>
    <n v="0"/>
    <n v="0"/>
    <n v="0"/>
    <n v="0"/>
    <m/>
    <n v="0"/>
    <x v="1"/>
    <x v="2"/>
    <x v="3"/>
  </r>
  <r>
    <s v="TAN DONG HIEP B ELECTRON"/>
    <s v="VIETINBANK - TPHCM"/>
    <s v="217000471856"/>
    <x v="2"/>
    <s v="VND"/>
    <e v="#N/A"/>
    <e v="#N/A"/>
    <n v="15000000000"/>
    <n v="0"/>
    <n v="0"/>
    <n v="0"/>
    <n v="15000000000"/>
    <e v="#N/A"/>
    <e v="#N/A"/>
    <n v="0"/>
    <n v="0"/>
    <n v="0"/>
    <n v="0"/>
    <n v="0"/>
    <n v="0"/>
    <m/>
    <n v="0"/>
    <x v="1"/>
    <x v="2"/>
    <x v="19"/>
  </r>
  <r>
    <s v="LONG BINH"/>
    <s v="VIETINBANK - CN1"/>
    <s v="219000472731"/>
    <x v="2"/>
    <s v="VND"/>
    <e v="#N/A"/>
    <e v="#N/A"/>
    <n v="0"/>
    <n v="0"/>
    <n v="0"/>
    <n v="0"/>
    <n v="0"/>
    <e v="#N/A"/>
    <e v="#N/A"/>
    <n v="0"/>
    <n v="0"/>
    <n v="0"/>
    <n v="0"/>
    <n v="0"/>
    <n v="0"/>
    <m/>
    <n v="0"/>
    <x v="1"/>
    <x v="2"/>
    <x v="6"/>
  </r>
  <r>
    <s v="VINA PARTNERS INVESTMENT"/>
    <s v="VIETINBANK - CN1"/>
    <s v="213000472740"/>
    <x v="2"/>
    <s v="VND"/>
    <e v="#N/A"/>
    <e v="#N/A"/>
    <n v="0"/>
    <n v="0"/>
    <n v="0"/>
    <n v="0"/>
    <n v="0"/>
    <e v="#N/A"/>
    <e v="#N/A"/>
    <n v="0"/>
    <n v="0"/>
    <n v="0"/>
    <n v="0"/>
    <n v="0"/>
    <n v="0"/>
    <m/>
    <n v="0"/>
    <x v="1"/>
    <x v="2"/>
    <x v="6"/>
  </r>
  <r>
    <s v="BWID Tan Phu Trung"/>
    <s v="VIETINBANK - TIEN SON"/>
    <s v="215000471273"/>
    <x v="2"/>
    <s v="VND"/>
    <e v="#N/A"/>
    <e v="#N/A"/>
    <n v="0"/>
    <n v="0"/>
    <n v="0"/>
    <n v="0"/>
    <n v="0"/>
    <e v="#N/A"/>
    <e v="#N/A"/>
    <n v="0"/>
    <n v="0"/>
    <n v="0"/>
    <n v="0"/>
    <n v="0"/>
    <n v="0"/>
    <m/>
    <n v="0"/>
    <x v="1"/>
    <x v="2"/>
    <x v="3"/>
  </r>
  <r>
    <s v="BWID BAC NINH"/>
    <s v="VIETINBANK - TIEN SON"/>
    <s v="219000471936"/>
    <x v="2"/>
    <s v="VND"/>
    <e v="#N/A"/>
    <e v="#N/A"/>
    <n v="0"/>
    <n v="0"/>
    <n v="0"/>
    <n v="0"/>
    <n v="0"/>
    <e v="#N/A"/>
    <e v="#N/A"/>
    <n v="0"/>
    <n v="0"/>
    <n v="0"/>
    <n v="0"/>
    <n v="0"/>
    <n v="0"/>
    <m/>
    <n v="0"/>
    <x v="1"/>
    <x v="2"/>
    <x v="3"/>
  </r>
  <r>
    <s v="VINA PARTNERS INVESTMENT"/>
    <s v="VIETINBANK - CN1"/>
    <s v="211000472739"/>
    <x v="2"/>
    <s v="VND"/>
    <e v="#N/A"/>
    <e v="#N/A"/>
    <n v="6000000000"/>
    <n v="0"/>
    <n v="0"/>
    <n v="0"/>
    <n v="6000000000"/>
    <e v="#N/A"/>
    <e v="#N/A"/>
    <n v="0"/>
    <n v="0"/>
    <n v="0"/>
    <n v="0"/>
    <n v="0"/>
    <n v="0"/>
    <m/>
    <n v="0"/>
    <x v="1"/>
    <x v="2"/>
    <x v="6"/>
  </r>
  <r>
    <s v="BWID HAI DUONG 2"/>
    <s v="VIETINBANK - TIEN SON"/>
    <s v="215000471724"/>
    <x v="2"/>
    <s v="VND"/>
    <e v="#N/A"/>
    <e v="#N/A"/>
    <n v="8000000000"/>
    <n v="0"/>
    <n v="0"/>
    <n v="0"/>
    <n v="8000000000"/>
    <e v="#N/A"/>
    <e v="#N/A"/>
    <n v="0"/>
    <n v="0"/>
    <n v="0"/>
    <n v="0"/>
    <n v="0"/>
    <n v="0"/>
    <m/>
    <n v="0"/>
    <x v="1"/>
    <x v="2"/>
    <x v="3"/>
  </r>
  <r>
    <s v="XENIA 2"/>
    <s v="VIETINBANK - TIEN SON"/>
    <s v="218000472281"/>
    <x v="2"/>
    <s v="VND"/>
    <e v="#N/A"/>
    <e v="#N/A"/>
    <n v="22000000000"/>
    <n v="0"/>
    <n v="0"/>
    <n v="0"/>
    <n v="22000000000"/>
    <e v="#N/A"/>
    <e v="#N/A"/>
    <n v="0"/>
    <n v="0"/>
    <n v="0"/>
    <n v="0"/>
    <n v="0"/>
    <n v="0"/>
    <m/>
    <n v="0"/>
    <x v="1"/>
    <x v="2"/>
    <x v="3"/>
  </r>
  <r>
    <s v="XENIA 2"/>
    <s v="VIETINBANK - TIEN SON"/>
    <s v="212000472275"/>
    <x v="2"/>
    <s v="VND"/>
    <e v="#N/A"/>
    <e v="#N/A"/>
    <n v="8000000000"/>
    <n v="0"/>
    <n v="0"/>
    <n v="0"/>
    <n v="8000000000"/>
    <e v="#N/A"/>
    <e v="#N/A"/>
    <n v="0"/>
    <n v="0"/>
    <n v="0"/>
    <n v="0"/>
    <n v="0"/>
    <n v="0"/>
    <m/>
    <n v="0"/>
    <x v="1"/>
    <x v="2"/>
    <x v="3"/>
  </r>
  <r>
    <s v="NASTEC JSC"/>
    <s v="VIETINBANK - TIEN SON"/>
    <s v="218000472157"/>
    <x v="2"/>
    <s v="VND"/>
    <e v="#N/A"/>
    <e v="#N/A"/>
    <n v="39400000000"/>
    <n v="0"/>
    <n v="0"/>
    <n v="0"/>
    <n v="39400000000"/>
    <e v="#N/A"/>
    <e v="#N/A"/>
    <n v="0"/>
    <n v="0"/>
    <n v="0"/>
    <n v="0"/>
    <n v="0"/>
    <n v="0"/>
    <m/>
    <n v="0"/>
    <x v="1"/>
    <x v="2"/>
    <x v="3"/>
  </r>
  <r>
    <s v="BWID NHON TRACH"/>
    <s v="VIETCOMBANK - HCM"/>
    <s v="1059252473"/>
    <x v="2"/>
    <s v="VND"/>
    <e v="#N/A"/>
    <e v="#N/A"/>
    <n v="0"/>
    <n v="0"/>
    <n v="0"/>
    <n v="0"/>
    <n v="0"/>
    <e v="#N/A"/>
    <e v="#N/A"/>
    <n v="0"/>
    <n v="0"/>
    <n v="0"/>
    <n v="0"/>
    <n v="0"/>
    <n v="0"/>
    <m/>
    <n v="0"/>
    <x v="1"/>
    <x v="1"/>
    <x v="2"/>
  </r>
  <r>
    <s v="BW SAIGON LOGISTICS"/>
    <s v="VIETCOMBANK - HCM"/>
    <s v="1058929269"/>
    <x v="2"/>
    <s v="VND"/>
    <e v="#N/A"/>
    <e v="#N/A"/>
    <n v="0"/>
    <n v="0"/>
    <n v="0"/>
    <n v="0"/>
    <n v="0"/>
    <e v="#N/A"/>
    <e v="#N/A"/>
    <n v="0"/>
    <n v="0"/>
    <n v="0"/>
    <n v="0"/>
    <n v="0"/>
    <n v="0"/>
    <m/>
    <n v="0"/>
    <x v="1"/>
    <x v="1"/>
    <x v="2"/>
  </r>
  <r>
    <s v="SAO HOA"/>
    <s v="VIETCOMBANK - HCM"/>
    <s v="1058894664"/>
    <x v="2"/>
    <s v="VND"/>
    <e v="#N/A"/>
    <e v="#N/A"/>
    <n v="0"/>
    <n v="0"/>
    <n v="0"/>
    <n v="0"/>
    <n v="0"/>
    <e v="#N/A"/>
    <e v="#N/A"/>
    <n v="0"/>
    <n v="0"/>
    <n v="0"/>
    <n v="0"/>
    <n v="0"/>
    <n v="0"/>
    <m/>
    <n v="0"/>
    <x v="2"/>
    <x v="1"/>
    <x v="2"/>
  </r>
  <r>
    <s v="SAO HOA"/>
    <s v="VIETCOMBANK - HCM"/>
    <s v="1059070341"/>
    <x v="2"/>
    <s v="VND"/>
    <e v="#N/A"/>
    <e v="#N/A"/>
    <n v="0"/>
    <n v="0"/>
    <n v="0"/>
    <n v="0"/>
    <n v="0"/>
    <e v="#N/A"/>
    <e v="#N/A"/>
    <n v="0"/>
    <n v="0"/>
    <n v="0"/>
    <n v="0"/>
    <n v="0"/>
    <n v="0"/>
    <m/>
    <n v="0"/>
    <x v="2"/>
    <x v="1"/>
    <x v="2"/>
  </r>
  <r>
    <s v="THUAN THANH 3B"/>
    <s v="VIETCOMBANK - BA DINH"/>
    <s v="1059244184"/>
    <x v="2"/>
    <s v="VND"/>
    <e v="#N/A"/>
    <e v="#N/A"/>
    <n v="3000000000"/>
    <n v="0"/>
    <n v="0"/>
    <n v="0"/>
    <n v="3000000000"/>
    <e v="#N/A"/>
    <e v="#N/A"/>
    <n v="0"/>
    <n v="0"/>
    <n v="0"/>
    <n v="0"/>
    <n v="0"/>
    <n v="0"/>
    <m/>
    <n v="0"/>
    <x v="1"/>
    <x v="1"/>
    <x v="1"/>
  </r>
  <r>
    <s v="THUAN THANH 3B"/>
    <s v="VIETCOMBANK - BA DINH"/>
    <s v="1059244935"/>
    <x v="2"/>
    <s v="VND"/>
    <e v="#N/A"/>
    <e v="#N/A"/>
    <n v="6500000000"/>
    <n v="0"/>
    <n v="0"/>
    <n v="0"/>
    <n v="6500000000"/>
    <e v="#N/A"/>
    <e v="#N/A"/>
    <n v="0"/>
    <n v="0"/>
    <n v="0"/>
    <n v="0"/>
    <n v="0"/>
    <n v="0"/>
    <m/>
    <n v="0"/>
    <x v="1"/>
    <x v="1"/>
    <x v="1"/>
  </r>
  <r>
    <s v="BW NAM HAI"/>
    <s v="VIETCOMBANK - BA DINH"/>
    <s v="1059096950"/>
    <x v="2"/>
    <s v="VND"/>
    <e v="#N/A"/>
    <e v="#N/A"/>
    <n v="2300000000"/>
    <n v="0"/>
    <n v="0"/>
    <n v="0"/>
    <n v="2300000000"/>
    <e v="#N/A"/>
    <e v="#N/A"/>
    <n v="0"/>
    <n v="0"/>
    <n v="0"/>
    <n v="0"/>
    <n v="0"/>
    <n v="0"/>
    <m/>
    <n v="0"/>
    <x v="1"/>
    <x v="1"/>
    <x v="1"/>
  </r>
  <r>
    <s v="BWID THOI HOA"/>
    <s v="VIETCOMBANK - HCM"/>
    <s v="1058864912"/>
    <x v="2"/>
    <s v="VND"/>
    <e v="#N/A"/>
    <e v="#N/A"/>
    <n v="0"/>
    <n v="0"/>
    <n v="0"/>
    <n v="0"/>
    <n v="0"/>
    <e v="#N/A"/>
    <e v="#N/A"/>
    <n v="0"/>
    <n v="0"/>
    <n v="0"/>
    <n v="0"/>
    <n v="0"/>
    <n v="0"/>
    <m/>
    <n v="0"/>
    <x v="1"/>
    <x v="1"/>
    <x v="2"/>
  </r>
  <r>
    <s v="BWID THOI HOA"/>
    <s v="VIETCOMBANK - HCM"/>
    <s v="1059252702"/>
    <x v="2"/>
    <s v="VND"/>
    <e v="#N/A"/>
    <e v="#N/A"/>
    <n v="0"/>
    <n v="0"/>
    <n v="0"/>
    <n v="0"/>
    <n v="0"/>
    <e v="#N/A"/>
    <e v="#N/A"/>
    <n v="0"/>
    <n v="0"/>
    <n v="0"/>
    <n v="0"/>
    <n v="0"/>
    <n v="0"/>
    <m/>
    <n v="0"/>
    <x v="1"/>
    <x v="1"/>
    <x v="2"/>
  </r>
  <r>
    <s v="BWID THOI HOA"/>
    <s v="VIETCOMBANK - HCM"/>
    <s v="1058981970"/>
    <x v="2"/>
    <s v="VND"/>
    <e v="#N/A"/>
    <e v="#N/A"/>
    <n v="0"/>
    <n v="0"/>
    <n v="0"/>
    <n v="0"/>
    <n v="0"/>
    <e v="#N/A"/>
    <e v="#N/A"/>
    <n v="0"/>
    <n v="0"/>
    <n v="0"/>
    <n v="0"/>
    <n v="0"/>
    <n v="0"/>
    <m/>
    <n v="0"/>
    <x v="1"/>
    <x v="1"/>
    <x v="2"/>
  </r>
  <r>
    <s v="BWID TAN DONG HIEP"/>
    <s v="SINOPAC"/>
    <s v="07003600016505"/>
    <x v="2"/>
    <s v="VND"/>
    <e v="#N/A"/>
    <e v="#N/A"/>
    <n v="20000000000"/>
    <n v="0"/>
    <n v="0"/>
    <n v="0"/>
    <n v="20000000000"/>
    <e v="#N/A"/>
    <e v="#N/A"/>
    <n v="0"/>
    <n v="0"/>
    <n v="0"/>
    <n v="0"/>
    <n v="0"/>
    <n v="0"/>
    <m/>
    <n v="0"/>
    <x v="1"/>
    <x v="8"/>
    <x v="12"/>
  </r>
  <r>
    <s v="BWID THOI HOA 2"/>
    <s v="KBank - HCM"/>
    <s v="409000003445"/>
    <x v="2"/>
    <s v="VND"/>
    <e v="#N/A"/>
    <e v="#N/A"/>
    <n v="0"/>
    <n v="0"/>
    <n v="0"/>
    <n v="0"/>
    <n v="0"/>
    <e v="#N/A"/>
    <e v="#N/A"/>
    <n v="0"/>
    <n v="0"/>
    <n v="0"/>
    <n v="0"/>
    <n v="0"/>
    <n v="0"/>
    <m/>
    <n v="0"/>
    <x v="1"/>
    <x v="3"/>
    <x v="7"/>
  </r>
  <r>
    <s v="SAO HOA"/>
    <s v="VIETINBANK - CN1"/>
    <s v="217000470411"/>
    <x v="2"/>
    <s v="VND"/>
    <e v="#N/A"/>
    <e v="#N/A"/>
    <n v="0"/>
    <n v="0"/>
    <n v="0"/>
    <n v="0"/>
    <n v="0"/>
    <e v="#N/A"/>
    <e v="#N/A"/>
    <n v="0"/>
    <n v="0"/>
    <n v="0"/>
    <n v="0"/>
    <n v="0"/>
    <n v="0"/>
    <m/>
    <n v="0"/>
    <x v="2"/>
    <x v="2"/>
    <x v="6"/>
  </r>
  <r>
    <s v="BWID HAI DUONG 3"/>
    <s v="BIDV - THANH XUAN"/>
    <s v="812011994043"/>
    <x v="2"/>
    <s v="VND"/>
    <e v="#N/A"/>
    <e v="#N/A"/>
    <n v="18000000000"/>
    <n v="0"/>
    <n v="0"/>
    <n v="0"/>
    <n v="18000000000"/>
    <e v="#N/A"/>
    <e v="#N/A"/>
    <n v="0"/>
    <n v="0"/>
    <n v="0"/>
    <n v="0"/>
    <n v="0"/>
    <n v="0"/>
    <m/>
    <n v="0"/>
    <x v="1"/>
    <x v="0"/>
    <x v="0"/>
  </r>
  <r>
    <s v="BW NAM DINH VU"/>
    <s v="BIDV - THANH XUAN"/>
    <s v="811011932282"/>
    <x v="2"/>
    <s v="VND"/>
    <e v="#N/A"/>
    <e v="#N/A"/>
    <n v="0"/>
    <n v="0"/>
    <n v="0"/>
    <n v="0"/>
    <n v="0"/>
    <e v="#N/A"/>
    <e v="#N/A"/>
    <n v="0"/>
    <n v="0"/>
    <n v="0"/>
    <n v="0"/>
    <n v="0"/>
    <n v="0"/>
    <m/>
    <n v="0"/>
    <x v="1"/>
    <x v="0"/>
    <x v="0"/>
  </r>
  <r>
    <s v="BW NAM DINH VU"/>
    <s v="BIDV - THANH XUAN"/>
    <s v="813012008964"/>
    <x v="2"/>
    <s v="VND"/>
    <e v="#N/A"/>
    <e v="#N/A"/>
    <n v="0"/>
    <n v="0"/>
    <n v="0"/>
    <n v="0"/>
    <n v="0"/>
    <e v="#N/A"/>
    <e v="#N/A"/>
    <n v="0"/>
    <n v="0"/>
    <n v="0"/>
    <n v="0"/>
    <n v="0"/>
    <n v="0"/>
    <m/>
    <n v="0"/>
    <x v="1"/>
    <x v="0"/>
    <x v="0"/>
  </r>
  <r>
    <s v="BAC TIEN PHONG"/>
    <s v="BIDV - THANH XUAN"/>
    <s v="810012016093"/>
    <x v="2"/>
    <s v="VND"/>
    <e v="#N/A"/>
    <e v="#N/A"/>
    <n v="5000000000"/>
    <n v="0"/>
    <n v="0"/>
    <n v="0"/>
    <n v="5000000000"/>
    <e v="#N/A"/>
    <e v="#N/A"/>
    <n v="0"/>
    <n v="0"/>
    <n v="0"/>
    <n v="0"/>
    <n v="0"/>
    <n v="0"/>
    <m/>
    <n v="0"/>
    <x v="1"/>
    <x v="0"/>
    <x v="0"/>
  </r>
  <r>
    <s v="BAC TIEN PHONG"/>
    <s v="BIDV - THANH XUAN"/>
    <s v="812012016683"/>
    <x v="2"/>
    <s v="VND"/>
    <e v="#N/A"/>
    <e v="#N/A"/>
    <n v="0"/>
    <n v="0"/>
    <n v="0"/>
    <n v="0"/>
    <n v="0"/>
    <e v="#N/A"/>
    <e v="#N/A"/>
    <n v="0"/>
    <n v="0"/>
    <n v="0"/>
    <n v="0"/>
    <n v="0"/>
    <n v="0"/>
    <m/>
    <n v="0"/>
    <x v="1"/>
    <x v="0"/>
    <x v="0"/>
  </r>
  <r>
    <s v="BAC TIEN PHONG"/>
    <s v="BIDV - THANH XUAN"/>
    <s v="816012016730"/>
    <x v="2"/>
    <s v="VND"/>
    <e v="#N/A"/>
    <e v="#N/A"/>
    <n v="3000000000"/>
    <n v="0"/>
    <n v="0"/>
    <n v="0"/>
    <n v="3000000000"/>
    <e v="#N/A"/>
    <e v="#N/A"/>
    <n v="0"/>
    <n v="0"/>
    <n v="0"/>
    <n v="0"/>
    <n v="0"/>
    <n v="0"/>
    <m/>
    <n v="0"/>
    <x v="1"/>
    <x v="0"/>
    <x v="0"/>
  </r>
  <r>
    <s v="NDV PROJECT CO"/>
    <s v="BIDV - THANH XUAN"/>
    <s v="817011915630"/>
    <x v="2"/>
    <s v="VND"/>
    <e v="#N/A"/>
    <e v="#N/A"/>
    <n v="11000000000"/>
    <n v="0"/>
    <n v="0"/>
    <n v="0"/>
    <n v="11000000000"/>
    <e v="#N/A"/>
    <e v="#N/A"/>
    <n v="0"/>
    <n v="0"/>
    <n v="0"/>
    <n v="0"/>
    <n v="0"/>
    <n v="0"/>
    <m/>
    <n v="0"/>
    <x v="1"/>
    <x v="0"/>
    <x v="0"/>
  </r>
  <r>
    <s v="THUAN THANH 3B"/>
    <s v="VIETCOMBANK - BA DINH"/>
    <s v="1059595470"/>
    <x v="2"/>
    <s v="VND"/>
    <e v="#N/A"/>
    <e v="#N/A"/>
    <n v="12000000000"/>
    <n v="0"/>
    <n v="0"/>
    <n v="0"/>
    <n v="12000000000"/>
    <e v="#N/A"/>
    <e v="#N/A"/>
    <n v="0"/>
    <n v="0"/>
    <n v="0"/>
    <n v="0"/>
    <n v="0"/>
    <n v="0"/>
    <m/>
    <n v="0"/>
    <x v="1"/>
    <x v="1"/>
    <x v="1"/>
  </r>
  <r>
    <s v="THUAN THANH 3B"/>
    <s v="VIETCOMBANK - BA DINH"/>
    <s v="1059594525"/>
    <x v="2"/>
    <s v="VND"/>
    <e v="#N/A"/>
    <e v="#N/A"/>
    <n v="1500000000"/>
    <n v="0"/>
    <n v="0"/>
    <n v="0"/>
    <n v="1500000000"/>
    <e v="#N/A"/>
    <e v="#N/A"/>
    <n v="0"/>
    <n v="0"/>
    <n v="0"/>
    <n v="0"/>
    <n v="0"/>
    <n v="0"/>
    <m/>
    <n v="0"/>
    <x v="1"/>
    <x v="1"/>
    <x v="1"/>
  </r>
  <r>
    <s v="BWID LOGISTICS TAN UYEN"/>
    <s v="VIETCOMBANK - BA DINH"/>
    <s v="1059629680"/>
    <x v="2"/>
    <s v="VND"/>
    <e v="#N/A"/>
    <e v="#N/A"/>
    <n v="3000000000"/>
    <n v="0"/>
    <n v="0"/>
    <n v="0"/>
    <n v="3000000000"/>
    <e v="#N/A"/>
    <e v="#N/A"/>
    <n v="0"/>
    <n v="0"/>
    <n v="0"/>
    <n v="0"/>
    <n v="0"/>
    <n v="0"/>
    <m/>
    <n v="0"/>
    <x v="1"/>
    <x v="1"/>
    <x v="1"/>
  </r>
  <r>
    <s v="BW SUPLLY CHAIN CITY"/>
    <s v="VIETCOMBANK - HCM"/>
    <s v="1059693155"/>
    <x v="2"/>
    <s v="VND"/>
    <e v="#N/A"/>
    <e v="#N/A"/>
    <n v="0"/>
    <n v="0"/>
    <n v="0"/>
    <n v="0"/>
    <n v="0"/>
    <e v="#N/A"/>
    <e v="#N/A"/>
    <n v="0"/>
    <n v="0"/>
    <n v="0"/>
    <n v="0"/>
    <n v="0"/>
    <n v="0"/>
    <m/>
    <n v="0"/>
    <x v="1"/>
    <x v="1"/>
    <x v="2"/>
  </r>
  <r>
    <s v="BW DONG HAI"/>
    <s v="BIDV - THANH XUAN"/>
    <s v="815012078776"/>
    <x v="2"/>
    <s v="VND"/>
    <e v="#N/A"/>
    <e v="#N/A"/>
    <n v="8000000000"/>
    <n v="0"/>
    <n v="0"/>
    <n v="0"/>
    <n v="8000000000"/>
    <e v="#N/A"/>
    <e v="#N/A"/>
    <n v="0"/>
    <n v="0"/>
    <n v="0"/>
    <n v="0"/>
    <n v="0"/>
    <n v="0"/>
    <m/>
    <n v="0"/>
    <x v="1"/>
    <x v="0"/>
    <x v="0"/>
  </r>
  <r>
    <s v="BWID HAI DUONG 3"/>
    <s v="BIDV - THANH XUAN"/>
    <s v="2221133456_1"/>
    <x v="2"/>
    <s v="VND"/>
    <e v="#N/A"/>
    <e v="#N/A"/>
    <n v="3800000000"/>
    <n v="0"/>
    <n v="0"/>
    <n v="0"/>
    <n v="3800000000"/>
    <e v="#N/A"/>
    <e v="#N/A"/>
    <n v="0"/>
    <n v="0"/>
    <n v="0"/>
    <n v="0"/>
    <n v="0"/>
    <n v="0"/>
    <m/>
    <n v="0"/>
    <x v="1"/>
    <x v="0"/>
    <x v="0"/>
  </r>
  <r>
    <s v="LE MINH XUAN 3"/>
    <s v="VIETINBANK - TPHCM"/>
    <s v="214000474710"/>
    <x v="2"/>
    <s v="VND"/>
    <e v="#N/A"/>
    <e v="#N/A"/>
    <n v="5000000000"/>
    <n v="0"/>
    <n v="0"/>
    <n v="0"/>
    <n v="5000000000"/>
    <e v="#N/A"/>
    <e v="#N/A"/>
    <n v="0"/>
    <n v="0"/>
    <n v="0"/>
    <n v="0"/>
    <n v="0"/>
    <n v="0"/>
    <m/>
    <n v="0"/>
    <x v="1"/>
    <x v="2"/>
    <x v="19"/>
  </r>
  <r>
    <s v="SONG THAN 2"/>
    <s v="VIETINBANK - TPHCM"/>
    <s v="215000474760"/>
    <x v="2"/>
    <s v="VND"/>
    <e v="#N/A"/>
    <e v="#N/A"/>
    <n v="2996854000"/>
    <n v="0"/>
    <n v="0"/>
    <n v="0"/>
    <n v="2996854000"/>
    <e v="#N/A"/>
    <e v="#N/A"/>
    <n v="0"/>
    <n v="0"/>
    <n v="0"/>
    <n v="0"/>
    <n v="0"/>
    <n v="0"/>
    <m/>
    <n v="0"/>
    <x v="1"/>
    <x v="2"/>
    <x v="19"/>
  </r>
  <r>
    <s v="XENIA 2"/>
    <s v="VIETINBANK - TIEN SON"/>
    <s v="212000474712"/>
    <x v="2"/>
    <s v="VND"/>
    <e v="#N/A"/>
    <e v="#N/A"/>
    <n v="12000000000"/>
    <n v="0"/>
    <n v="0"/>
    <n v="0"/>
    <n v="12000000000"/>
    <e v="#N/A"/>
    <e v="#N/A"/>
    <n v="0"/>
    <n v="0"/>
    <n v="0"/>
    <n v="0"/>
    <n v="0"/>
    <n v="0"/>
    <m/>
    <n v="0"/>
    <x v="1"/>
    <x v="2"/>
    <x v="3"/>
  </r>
  <r>
    <s v="XENIA 1"/>
    <s v="VIETINBANK - TIEN SON"/>
    <s v="215000474706"/>
    <x v="2"/>
    <s v="VND"/>
    <e v="#N/A"/>
    <e v="#N/A"/>
    <n v="18000000000"/>
    <n v="0"/>
    <n v="0"/>
    <n v="0"/>
    <n v="18000000000"/>
    <e v="#N/A"/>
    <e v="#N/A"/>
    <n v="0"/>
    <n v="0"/>
    <n v="0"/>
    <n v="0"/>
    <n v="0"/>
    <n v="0"/>
    <m/>
    <n v="0"/>
    <x v="1"/>
    <x v="2"/>
    <x v="3"/>
  </r>
  <r>
    <s v="BW MY PHUOC 3"/>
    <s v="Woori Bank"/>
    <s v="100700488679"/>
    <x v="0"/>
    <s v="VND"/>
    <e v="#N/A"/>
    <e v="#N/A"/>
    <n v="6301863710"/>
    <n v="35151886432"/>
    <n v="269853637"/>
    <n v="34882032795"/>
    <n v="41183896505"/>
    <e v="#N/A"/>
    <e v="#N/A"/>
    <n v="0"/>
    <n v="0"/>
    <n v="0"/>
    <n v="0"/>
    <n v="0"/>
    <n v="0"/>
    <m/>
    <n v="0"/>
    <x v="1"/>
    <x v="3"/>
    <x v="7"/>
  </r>
  <r>
    <s v="BW MY PHUOC 3"/>
    <s v="Woori Bank"/>
    <s v="100700488689"/>
    <x v="0"/>
    <s v="VND"/>
    <e v="#N/A"/>
    <e v="#N/A"/>
    <n v="1641818704"/>
    <n v="0"/>
    <n v="0"/>
    <n v="0"/>
    <n v="1641818704"/>
    <e v="#N/A"/>
    <e v="#N/A"/>
    <n v="0"/>
    <n v="0"/>
    <n v="0"/>
    <n v="0"/>
    <n v="0"/>
    <n v="0"/>
    <m/>
    <n v="0"/>
    <x v="1"/>
    <x v="3"/>
    <x v="7"/>
  </r>
  <r>
    <s v="BW MY PHUOC 3"/>
    <s v="Woori Bank"/>
    <s v="100700488698 "/>
    <x v="0"/>
    <s v="VND"/>
    <e v="#N/A"/>
    <e v="#N/A"/>
    <n v="163016"/>
    <n v="0"/>
    <n v="0"/>
    <n v="0"/>
    <n v="163016"/>
    <e v="#N/A"/>
    <e v="#N/A"/>
    <n v="0"/>
    <n v="0"/>
    <n v="0"/>
    <n v="0"/>
    <n v="0"/>
    <n v="0"/>
    <m/>
    <n v="0"/>
    <x v="1"/>
    <x v="3"/>
    <x v="7"/>
  </r>
  <r>
    <s v="BW MY PHUOC 3"/>
    <s v="Woori Bank"/>
    <s v="100700488704"/>
    <x v="0"/>
    <s v="VND"/>
    <e v="#N/A"/>
    <e v="#N/A"/>
    <n v="169676501"/>
    <n v="0"/>
    <n v="0"/>
    <n v="0"/>
    <n v="169676501"/>
    <e v="#N/A"/>
    <e v="#N/A"/>
    <n v="0"/>
    <n v="0"/>
    <n v="0"/>
    <n v="0"/>
    <n v="0"/>
    <n v="0"/>
    <m/>
    <n v="0"/>
    <x v="1"/>
    <x v="3"/>
    <x v="7"/>
  </r>
  <r>
    <s v="BW MY PHUOC 3"/>
    <s v="Woori Bank"/>
    <s v="200700045738"/>
    <x v="2"/>
    <s v="VND"/>
    <e v="#N/A"/>
    <e v="#N/A"/>
    <n v="0"/>
    <n v="0"/>
    <n v="0"/>
    <n v="0"/>
    <n v="0"/>
    <e v="#N/A"/>
    <e v="#N/A"/>
    <n v="0"/>
    <n v="0"/>
    <n v="0"/>
    <n v="0"/>
    <n v="0"/>
    <n v="0"/>
    <m/>
    <n v="0"/>
    <x v="1"/>
    <x v="3"/>
    <x v="7"/>
  </r>
  <r>
    <s v="BW MY PHUOC 3"/>
    <s v="Woori Bank"/>
    <s v="200700045749"/>
    <x v="2"/>
    <s v="VND"/>
    <e v="#N/A"/>
    <e v="#N/A"/>
    <n v="17000000000"/>
    <n v="0"/>
    <n v="0"/>
    <n v="0"/>
    <n v="17000000000"/>
    <e v="#N/A"/>
    <e v="#N/A"/>
    <n v="0"/>
    <n v="0"/>
    <n v="0"/>
    <n v="0"/>
    <n v="0"/>
    <n v="0"/>
    <m/>
    <n v="0"/>
    <x v="1"/>
    <x v="3"/>
    <x v="7"/>
  </r>
  <r>
    <s v="THUAN THANH 3B"/>
    <s v="VIETCOMBANK - BA DINH"/>
    <s v="1059960714"/>
    <x v="2"/>
    <s v="VND"/>
    <e v="#N/A"/>
    <e v="#N/A"/>
    <n v="6000000000"/>
    <n v="0"/>
    <n v="0"/>
    <n v="0"/>
    <n v="6000000000"/>
    <e v="#N/A"/>
    <e v="#N/A"/>
    <n v="0"/>
    <n v="0"/>
    <n v="0"/>
    <n v="0"/>
    <n v="0"/>
    <n v="0"/>
    <m/>
    <n v="0"/>
    <x v="1"/>
    <x v="1"/>
    <x v="1"/>
  </r>
  <r>
    <s v="BWID THOI HOA 2"/>
    <s v="KBank - HCM"/>
    <s v="409000003554"/>
    <x v="2"/>
    <s v="VND"/>
    <e v="#N/A"/>
    <e v="#N/A"/>
    <n v="12000000000"/>
    <n v="0"/>
    <n v="0"/>
    <n v="0"/>
    <n v="12000000000"/>
    <e v="#N/A"/>
    <e v="#N/A"/>
    <n v="0"/>
    <n v="0"/>
    <n v="0"/>
    <n v="0"/>
    <n v="0"/>
    <n v="0"/>
    <m/>
    <n v="0"/>
    <x v="1"/>
    <x v="3"/>
    <x v="7"/>
  </r>
  <r>
    <s v="SAO HOA"/>
    <s v="SINOPAC"/>
    <s v="07003600016676"/>
    <x v="2"/>
    <s v="VND"/>
    <e v="#N/A"/>
    <e v="#N/A"/>
    <n v="0"/>
    <n v="0"/>
    <n v="0"/>
    <n v="0"/>
    <n v="0"/>
    <e v="#N/A"/>
    <e v="#N/A"/>
    <n v="0"/>
    <n v="0"/>
    <n v="0"/>
    <n v="0"/>
    <n v="0"/>
    <n v="0"/>
    <m/>
    <n v="0"/>
    <x v="2"/>
    <x v="8"/>
    <x v="12"/>
  </r>
  <r>
    <s v="BW BAU BANG 01"/>
    <s v="VIETINBANK - BINH DUONG"/>
    <s v="213000477118"/>
    <x v="2"/>
    <s v="VND"/>
    <e v="#N/A"/>
    <e v="#N/A"/>
    <n v="15000000000"/>
    <n v="0"/>
    <n v="0"/>
    <n v="0"/>
    <n v="15000000000"/>
    <e v="#N/A"/>
    <e v="#N/A"/>
    <n v="0"/>
    <n v="0"/>
    <n v="0"/>
    <n v="0"/>
    <n v="0"/>
    <n v="0"/>
    <m/>
    <n v="0"/>
    <x v="1"/>
    <x v="2"/>
    <x v="4"/>
  </r>
  <r>
    <s v="VINA PARTNERS INVESTMENT"/>
    <s v="VIETINBANK - CN1"/>
    <s v="213000477420"/>
    <x v="2"/>
    <s v="VND"/>
    <e v="#N/A"/>
    <e v="#N/A"/>
    <n v="5000000000"/>
    <n v="0"/>
    <n v="0"/>
    <n v="0"/>
    <n v="5000000000"/>
    <e v="#N/A"/>
    <e v="#N/A"/>
    <n v="0"/>
    <n v="0"/>
    <n v="0"/>
    <n v="0"/>
    <n v="0"/>
    <n v="0"/>
    <m/>
    <n v="0"/>
    <x v="1"/>
    <x v="2"/>
    <x v="6"/>
  </r>
  <r>
    <s v="BWID DONG AN LID"/>
    <s v="VIETINBANK - DONG SAI GON"/>
    <s v="211000477040"/>
    <x v="2"/>
    <s v="VND"/>
    <e v="#N/A"/>
    <e v="#N/A"/>
    <n v="6000000000"/>
    <n v="0"/>
    <n v="0"/>
    <n v="0"/>
    <n v="6000000000"/>
    <e v="#N/A"/>
    <e v="#N/A"/>
    <n v="0"/>
    <n v="0"/>
    <n v="0"/>
    <n v="0"/>
    <n v="0"/>
    <n v="0"/>
    <m/>
    <n v="0"/>
    <x v="1"/>
    <x v="2"/>
    <x v="5"/>
  </r>
  <r>
    <s v="BAU BANG 6"/>
    <s v="VIETINBANK - BINH DUONG"/>
    <s v="218000476932"/>
    <x v="2"/>
    <s v="VND"/>
    <e v="#N/A"/>
    <e v="#N/A"/>
    <n v="28000000000"/>
    <n v="0"/>
    <n v="0"/>
    <n v="0"/>
    <n v="28000000000"/>
    <e v="#N/A"/>
    <e v="#N/A"/>
    <n v="0"/>
    <n v="0"/>
    <n v="0"/>
    <n v="0"/>
    <n v="0"/>
    <n v="0"/>
    <m/>
    <n v="0"/>
    <x v="1"/>
    <x v="2"/>
    <x v="4"/>
  </r>
  <r>
    <s v="WINLOCK 2A"/>
    <s v="VIETINBANK - TIEN SON"/>
    <s v="217000477657"/>
    <x v="2"/>
    <s v="VND"/>
    <e v="#N/A"/>
    <e v="#N/A"/>
    <n v="16000000000"/>
    <n v="0"/>
    <n v="0"/>
    <n v="0"/>
    <n v="16000000000"/>
    <e v="#N/A"/>
    <e v="#N/A"/>
    <n v="0"/>
    <n v="0"/>
    <n v="0"/>
    <n v="0"/>
    <n v="0"/>
    <n v="0"/>
    <m/>
    <n v="0"/>
    <x v="1"/>
    <x v="2"/>
    <x v="3"/>
  </r>
  <r>
    <s v="WINLOCK 2A"/>
    <s v="VIETINBANK - TIEN SON"/>
    <s v="211000477707"/>
    <x v="2"/>
    <s v="VND"/>
    <e v="#N/A"/>
    <e v="#N/A"/>
    <n v="15000000000"/>
    <n v="0"/>
    <n v="0"/>
    <n v="0"/>
    <n v="15000000000"/>
    <e v="#N/A"/>
    <e v="#N/A"/>
    <n v="0"/>
    <n v="0"/>
    <n v="0"/>
    <n v="0"/>
    <n v="0"/>
    <n v="0"/>
    <m/>
    <n v="0"/>
    <x v="1"/>
    <x v="2"/>
    <x v="3"/>
  </r>
  <r>
    <s v="WINLOCK 2A"/>
    <s v="VIETINBANK - TIEN SON"/>
    <s v="213000477636"/>
    <x v="2"/>
    <s v="VND"/>
    <e v="#N/A"/>
    <e v="#N/A"/>
    <n v="18000000000"/>
    <n v="0"/>
    <n v="0"/>
    <n v="0"/>
    <n v="18000000000"/>
    <e v="#N/A"/>
    <e v="#N/A"/>
    <n v="0"/>
    <n v="0"/>
    <n v="0"/>
    <n v="0"/>
    <n v="0"/>
    <n v="0"/>
    <m/>
    <n v="0"/>
    <x v="1"/>
    <x v="2"/>
    <x v="3"/>
  </r>
  <r>
    <s v="BWID HAI PHONG"/>
    <s v="VIETINBANK - TIEN SON"/>
    <s v="218000477274"/>
    <x v="2"/>
    <s v="VND"/>
    <e v="#N/A"/>
    <e v="#N/A"/>
    <n v="3000000000"/>
    <n v="0"/>
    <n v="0"/>
    <n v="0"/>
    <n v="3000000000"/>
    <e v="#N/A"/>
    <e v="#N/A"/>
    <n v="0"/>
    <n v="0"/>
    <n v="0"/>
    <n v="0"/>
    <n v="0"/>
    <n v="0"/>
    <m/>
    <n v="0"/>
    <x v="1"/>
    <x v="2"/>
    <x v="3"/>
  </r>
  <r>
    <s v="XENIA 1"/>
    <s v="VIETINBANK - TIEN SON"/>
    <s v="212000477706"/>
    <x v="2"/>
    <s v="VND"/>
    <e v="#N/A"/>
    <e v="#N/A"/>
    <n v="3000000000"/>
    <n v="0"/>
    <n v="0"/>
    <n v="0"/>
    <n v="3000000000"/>
    <e v="#N/A"/>
    <e v="#N/A"/>
    <n v="0"/>
    <n v="0"/>
    <n v="0"/>
    <n v="0"/>
    <n v="0"/>
    <n v="0"/>
    <m/>
    <n v="0"/>
    <x v="1"/>
    <x v="2"/>
    <x v="3"/>
  </r>
  <r>
    <s v="BWID HAI DUONG 2"/>
    <s v="VIETINBANK - TIEN SON"/>
    <s v="217000475922"/>
    <x v="2"/>
    <s v="VND"/>
    <e v="#N/A"/>
    <e v="#N/A"/>
    <n v="3000000000"/>
    <n v="0"/>
    <n v="0"/>
    <n v="0"/>
    <n v="3000000000"/>
    <e v="#N/A"/>
    <e v="#N/A"/>
    <n v="0"/>
    <n v="0"/>
    <n v="0"/>
    <n v="0"/>
    <n v="0"/>
    <n v="0"/>
    <m/>
    <n v="0"/>
    <x v="1"/>
    <x v="2"/>
    <x v="3"/>
  </r>
  <r>
    <s v="TAN DONG HIEP B ELECTRON"/>
    <s v="VIETINBANK - TPHCM"/>
    <s v="212000477049"/>
    <x v="2"/>
    <s v="VND"/>
    <e v="#N/A"/>
    <e v="#N/A"/>
    <n v="5000000000"/>
    <n v="0"/>
    <n v="0"/>
    <n v="0"/>
    <n v="5000000000"/>
    <e v="#N/A"/>
    <e v="#N/A"/>
    <n v="0"/>
    <n v="0"/>
    <n v="0"/>
    <n v="0"/>
    <n v="0"/>
    <n v="0"/>
    <m/>
    <n v="0"/>
    <x v="1"/>
    <x v="2"/>
    <x v="19"/>
  </r>
  <r>
    <s v="GREAT KINGDOM NT 2"/>
    <s v="VIETINBANK - CN1"/>
    <s v="214000477429"/>
    <x v="2"/>
    <s v="VND"/>
    <e v="#N/A"/>
    <e v="#N/A"/>
    <n v="4000000000"/>
    <n v="0"/>
    <n v="0"/>
    <n v="0"/>
    <n v="4000000000"/>
    <e v="#N/A"/>
    <e v="#N/A"/>
    <n v="0"/>
    <n v="0"/>
    <n v="0"/>
    <n v="0"/>
    <n v="0"/>
    <n v="0"/>
    <m/>
    <n v="0"/>
    <x v="1"/>
    <x v="2"/>
    <x v="6"/>
  </r>
  <r>
    <s v="BW MY PHUOC 3"/>
    <s v="VIETINBANK - BINH DUONG"/>
    <s v="217000477684"/>
    <x v="2"/>
    <s v="VND"/>
    <e v="#N/A"/>
    <e v="#N/A"/>
    <n v="0"/>
    <n v="0"/>
    <n v="0"/>
    <n v="0"/>
    <n v="0"/>
    <e v="#N/A"/>
    <e v="#N/A"/>
    <n v="0"/>
    <n v="0"/>
    <n v="0"/>
    <n v="0"/>
    <n v="0"/>
    <n v="0"/>
    <m/>
    <n v="0"/>
    <x v="1"/>
    <x v="2"/>
    <x v="4"/>
  </r>
  <r>
    <s v="BW MY PHUOC 3"/>
    <s v="VIETINBANK - BINH DUONG"/>
    <s v="219000477694"/>
    <x v="2"/>
    <s v="VND"/>
    <e v="#N/A"/>
    <e v="#N/A"/>
    <n v="0"/>
    <n v="0"/>
    <n v="0"/>
    <n v="0"/>
    <n v="0"/>
    <e v="#N/A"/>
    <e v="#N/A"/>
    <n v="0"/>
    <n v="0"/>
    <n v="0"/>
    <n v="0"/>
    <n v="0"/>
    <n v="0"/>
    <m/>
    <n v="0"/>
    <x v="1"/>
    <x v="2"/>
    <x v="4"/>
  </r>
  <r>
    <s v="BWID HAI DUONG"/>
    <s v="VIETINBANK - TIEN SON"/>
    <s v="215000476783"/>
    <x v="2"/>
    <s v="VND"/>
    <e v="#N/A"/>
    <e v="#N/A"/>
    <n v="4000000000"/>
    <n v="0"/>
    <n v="0"/>
    <n v="0"/>
    <n v="4000000000"/>
    <e v="#N/A"/>
    <e v="#N/A"/>
    <n v="0"/>
    <n v="0"/>
    <n v="0"/>
    <n v="0"/>
    <n v="0"/>
    <n v="0"/>
    <m/>
    <n v="0"/>
    <x v="1"/>
    <x v="2"/>
    <x v="3"/>
  </r>
  <r>
    <s v="KIM TRUC DN"/>
    <s v="BIDV - NAM SAI GON"/>
    <s v="810012443160"/>
    <x v="2"/>
    <s v="VND"/>
    <e v="#N/A"/>
    <e v="#N/A"/>
    <n v="4700000000"/>
    <n v="0"/>
    <n v="0"/>
    <n v="0"/>
    <n v="4700000000"/>
    <e v="#N/A"/>
    <e v="#N/A"/>
    <n v="0"/>
    <n v="0"/>
    <n v="0"/>
    <n v="0"/>
    <n v="0"/>
    <n v="0"/>
    <m/>
    <n v="0"/>
    <x v="1"/>
    <x v="0"/>
    <x v="14"/>
  </r>
  <r>
    <s v="KIM TRUC DN"/>
    <s v="BIDV - NAM SAI GON"/>
    <s v="810012443158"/>
    <x v="2"/>
    <s v="VND"/>
    <e v="#N/A"/>
    <e v="#N/A"/>
    <n v="5300000000"/>
    <n v="0"/>
    <n v="0"/>
    <n v="0"/>
    <n v="5300000000"/>
    <e v="#N/A"/>
    <e v="#N/A"/>
    <n v="0"/>
    <n v="0"/>
    <n v="0"/>
    <n v="0"/>
    <n v="0"/>
    <n v="0"/>
    <m/>
    <n v="0"/>
    <x v="1"/>
    <x v="0"/>
    <x v="14"/>
  </r>
  <r>
    <s v="BW DONG HAI"/>
    <s v="BIDV - NAM SAI GON"/>
    <s v="819012425984"/>
    <x v="2"/>
    <s v="VND"/>
    <e v="#N/A"/>
    <e v="#N/A"/>
    <n v="8000000000"/>
    <n v="0"/>
    <n v="0"/>
    <n v="0"/>
    <n v="8000000000"/>
    <e v="#N/A"/>
    <e v="#N/A"/>
    <n v="0"/>
    <n v="0"/>
    <n v="0"/>
    <n v="0"/>
    <n v="0"/>
    <n v="0"/>
    <m/>
    <n v="0"/>
    <x v="1"/>
    <x v="0"/>
    <x v="14"/>
  </r>
  <r>
    <s v="SAO HOA"/>
    <s v="TECHCOMBANK"/>
    <s v="26082025/TGKH/TCB-SHTQ"/>
    <x v="2"/>
    <s v="VND"/>
    <e v="#N/A"/>
    <e v="#N/A"/>
    <n v="50000000000"/>
    <n v="0"/>
    <n v="0"/>
    <n v="0"/>
    <n v="50000000000"/>
    <e v="#N/A"/>
    <e v="#N/A"/>
    <n v="0"/>
    <n v="0"/>
    <n v="0"/>
    <n v="0"/>
    <n v="0"/>
    <n v="0"/>
    <m/>
    <n v="0"/>
    <x v="2"/>
    <x v="5"/>
    <x v="9"/>
  </r>
  <r>
    <s v="SAO HOA"/>
    <s v="BIDV - THANH XUAN"/>
    <s v="819012442942"/>
    <x v="2"/>
    <s v="VND"/>
    <e v="#N/A"/>
    <e v="#N/A"/>
    <n v="0"/>
    <n v="0"/>
    <n v="0"/>
    <n v="0"/>
    <n v="0"/>
    <e v="#N/A"/>
    <e v="#N/A"/>
    <n v="0"/>
    <n v="0"/>
    <n v="0"/>
    <n v="0"/>
    <n v="0"/>
    <n v="0"/>
    <m/>
    <n v="0"/>
    <x v="2"/>
    <x v="0"/>
    <x v="0"/>
  </r>
  <r>
    <s v="BAC TIEN PHONG"/>
    <s v="BIDV - THANH XUAN"/>
    <s v="810012732615"/>
    <x v="2"/>
    <s v="VND"/>
    <e v="#N/A"/>
    <e v="#N/A"/>
    <n v="3000000000"/>
    <n v="0"/>
    <n v="0"/>
    <n v="0"/>
    <n v="3000000000"/>
    <e v="#N/A"/>
    <e v="#N/A"/>
    <n v="0"/>
    <n v="0"/>
    <n v="0"/>
    <n v="0"/>
    <n v="0"/>
    <n v="0"/>
    <m/>
    <n v="0"/>
    <x v="1"/>
    <x v="0"/>
    <x v="0"/>
  </r>
  <r>
    <s v="BWID HAI DUONG"/>
    <s v="VIETINBANK - TIEN SON"/>
    <s v="218000479423"/>
    <x v="2"/>
    <s v="VND"/>
    <e v="#N/A"/>
    <e v="#N/A"/>
    <n v="9000000000"/>
    <n v="0"/>
    <n v="0"/>
    <n v="0"/>
    <n v="9000000000"/>
    <e v="#N/A"/>
    <e v="#N/A"/>
    <n v="0"/>
    <n v="0"/>
    <n v="0"/>
    <n v="0"/>
    <n v="0"/>
    <n v="0"/>
    <m/>
    <n v="0"/>
    <x v="1"/>
    <x v="2"/>
    <x v="3"/>
  </r>
  <r>
    <s v="MP3 SOLAR POWER"/>
    <s v="VIETINBANK - DONG SAI GON"/>
    <s v="219000479829"/>
    <x v="2"/>
    <s v="VND"/>
    <e v="#N/A"/>
    <e v="#N/A"/>
    <n v="1500000000"/>
    <n v="0"/>
    <n v="0"/>
    <n v="0"/>
    <n v="1500000000"/>
    <e v="#N/A"/>
    <e v="#N/A"/>
    <n v="0"/>
    <n v="0"/>
    <n v="0"/>
    <n v="0"/>
    <n v="0"/>
    <n v="0"/>
    <m/>
    <n v="0"/>
    <x v="1"/>
    <x v="2"/>
    <x v="5"/>
  </r>
  <r>
    <s v="TPT1 SOLAR POWER"/>
    <s v="VIETINBANK - DONG SAI GON"/>
    <s v="215000479808"/>
    <x v="2"/>
    <s v="VND"/>
    <e v="#N/A"/>
    <e v="#N/A"/>
    <n v="1000000000"/>
    <n v="0"/>
    <n v="0"/>
    <n v="0"/>
    <n v="1000000000"/>
    <e v="#N/A"/>
    <e v="#N/A"/>
    <n v="0"/>
    <n v="0"/>
    <n v="0"/>
    <n v="0"/>
    <n v="0"/>
    <n v="0"/>
    <m/>
    <n v="0"/>
    <x v="1"/>
    <x v="2"/>
    <x v="5"/>
  </r>
  <r>
    <s v="BW HAI AN"/>
    <s v="BIDV - THANH XUAN"/>
    <s v="810012732609"/>
    <x v="2"/>
    <s v="VND"/>
    <e v="#N/A"/>
    <e v="#N/A"/>
    <n v="7000000000"/>
    <n v="0"/>
    <n v="0"/>
    <n v="0"/>
    <n v="7000000000"/>
    <e v="#N/A"/>
    <e v="#N/A"/>
    <n v="0"/>
    <n v="0"/>
    <n v="0"/>
    <n v="0"/>
    <n v="0"/>
    <n v="0"/>
    <m/>
    <n v="0"/>
    <x v="1"/>
    <x v="0"/>
    <x v="0"/>
  </r>
  <r>
    <s v="GREAT KINGDOM NT 2"/>
    <s v="VIETINBANK - CN1"/>
    <s v="212000479853"/>
    <x v="2"/>
    <s v="VND"/>
    <e v="#N/A"/>
    <e v="#N/A"/>
    <n v="5000000000"/>
    <n v="0"/>
    <n v="0"/>
    <n v="0"/>
    <n v="5000000000"/>
    <e v="#N/A"/>
    <e v="#N/A"/>
    <n v="0"/>
    <n v="0"/>
    <n v="0"/>
    <n v="0"/>
    <n v="0"/>
    <n v="0"/>
    <m/>
    <n v="0"/>
    <x v="1"/>
    <x v="2"/>
    <x v="6"/>
  </r>
  <r>
    <s v="BWID THOI HOA"/>
    <s v="VIETCOMBANK - HCM"/>
    <s v="1060370761"/>
    <x v="2"/>
    <s v="VND"/>
    <e v="#N/A"/>
    <e v="#N/A"/>
    <n v="24000000000"/>
    <n v="0"/>
    <n v="0"/>
    <n v="0"/>
    <n v="24000000000"/>
    <e v="#N/A"/>
    <e v="#N/A"/>
    <n v="0"/>
    <n v="0"/>
    <n v="0"/>
    <n v="0"/>
    <n v="0"/>
    <n v="0"/>
    <m/>
    <n v="0"/>
    <x v="1"/>
    <x v="1"/>
    <x v="2"/>
  </r>
  <r>
    <s v="THUAN DAO"/>
    <s v="VIETINBANK - TPHCM"/>
    <s v="213000479703"/>
    <x v="2"/>
    <s v="VND"/>
    <e v="#N/A"/>
    <e v="#N/A"/>
    <n v="19000000000"/>
    <n v="0"/>
    <n v="0"/>
    <n v="0"/>
    <n v="19000000000"/>
    <e v="#N/A"/>
    <e v="#N/A"/>
    <n v="0"/>
    <n v="0"/>
    <n v="0"/>
    <n v="0"/>
    <n v="0"/>
    <n v="0"/>
    <m/>
    <n v="0"/>
    <x v="1"/>
    <x v="2"/>
    <x v="19"/>
  </r>
  <r>
    <s v="BWID LOGISTICS TAN UYEN"/>
    <s v="VIETCOMBANK - BA DINH"/>
    <s v="1060462381"/>
    <x v="2"/>
    <s v="VND"/>
    <e v="#N/A"/>
    <e v="#N/A"/>
    <n v="3000000000"/>
    <n v="0"/>
    <n v="0"/>
    <n v="0"/>
    <n v="3000000000"/>
    <e v="#N/A"/>
    <e v="#N/A"/>
    <n v="0"/>
    <n v="0"/>
    <n v="0"/>
    <n v="0"/>
    <n v="0"/>
    <n v="0"/>
    <m/>
    <n v="0"/>
    <x v="1"/>
    <x v="1"/>
    <x v="1"/>
  </r>
  <r>
    <s v="BWID HAI DUONG 2"/>
    <s v="VIETINBANK - TIEN SON"/>
    <s v="210000482202"/>
    <x v="2"/>
    <s v="VND"/>
    <e v="#N/A"/>
    <e v="#N/A"/>
    <n v="3000000000"/>
    <n v="0"/>
    <n v="0"/>
    <n v="0"/>
    <n v="3000000000"/>
    <e v="#N/A"/>
    <e v="#N/A"/>
    <n v="0"/>
    <n v="0"/>
    <n v="0"/>
    <n v="0"/>
    <n v="0"/>
    <n v="0"/>
    <m/>
    <n v="0"/>
    <x v="1"/>
    <x v="2"/>
    <x v="3"/>
  </r>
  <r>
    <s v="LE MINH XUAN 3"/>
    <s v="VIETINBANK - TPHCM"/>
    <s v="216000479740"/>
    <x v="2"/>
    <s v="VND"/>
    <e v="#N/A"/>
    <e v="#N/A"/>
    <n v="5000000000"/>
    <n v="0"/>
    <n v="0"/>
    <n v="0"/>
    <n v="5000000000"/>
    <e v="#N/A"/>
    <e v="#N/A"/>
    <n v="0"/>
    <n v="0"/>
    <n v="0"/>
    <n v="0"/>
    <n v="0"/>
    <n v="0"/>
    <m/>
    <n v="0"/>
    <x v="1"/>
    <x v="2"/>
    <x v="19"/>
  </r>
  <r>
    <s v="BWID Tan Phu Trung"/>
    <s v="VIETINBANK - TIEN SON"/>
    <s v="212000480349"/>
    <x v="2"/>
    <s v="VND"/>
    <e v="#N/A"/>
    <e v="#N/A"/>
    <n v="6000000000"/>
    <n v="0"/>
    <n v="0"/>
    <n v="0"/>
    <n v="6000000000"/>
    <e v="#N/A"/>
    <e v="#N/A"/>
    <n v="0"/>
    <n v="0"/>
    <n v="0"/>
    <n v="0"/>
    <n v="0"/>
    <n v="0"/>
    <m/>
    <n v="0"/>
    <x v="1"/>
    <x v="2"/>
    <x v="3"/>
  </r>
  <r>
    <s v="BW BAU BANG 01"/>
    <s v="VIETINBANK - BINH DUONG"/>
    <s v="212000481580"/>
    <x v="2"/>
    <s v="VND"/>
    <e v="#N/A"/>
    <e v="#N/A"/>
    <n v="85000000000"/>
    <n v="0"/>
    <n v="0"/>
    <n v="0"/>
    <n v="85000000000"/>
    <e v="#N/A"/>
    <e v="#N/A"/>
    <n v="0"/>
    <n v="0"/>
    <n v="0"/>
    <n v="0"/>
    <n v="0"/>
    <n v="0"/>
    <m/>
    <n v="0"/>
    <x v="1"/>
    <x v="2"/>
    <x v="4"/>
  </r>
  <r>
    <s v="THUAN THANH 3B"/>
    <s v="VIETCOMBANK - BA DINH"/>
    <n v="1060932216"/>
    <x v="2"/>
    <s v="VND"/>
    <e v="#N/A"/>
    <e v="#N/A"/>
    <n v="3500000000"/>
    <n v="0"/>
    <n v="0"/>
    <n v="0"/>
    <n v="3500000000"/>
    <e v="#N/A"/>
    <e v="#N/A"/>
    <n v="0"/>
    <n v="0"/>
    <n v="0"/>
    <n v="0"/>
    <n v="0"/>
    <n v="0"/>
    <m/>
    <n v="0"/>
    <x v="1"/>
    <x v="1"/>
    <x v="1"/>
  </r>
  <r>
    <s v="BAU BANG 6"/>
    <s v="VIETINBANK - BINH DUONG"/>
    <s v="213000480580"/>
    <x v="2"/>
    <s v="VND"/>
    <e v="#N/A"/>
    <e v="#N/A"/>
    <n v="8000000000"/>
    <n v="0"/>
    <n v="0"/>
    <n v="0"/>
    <n v="8000000000"/>
    <e v="#N/A"/>
    <e v="#N/A"/>
    <n v="0"/>
    <n v="0"/>
    <n v="0"/>
    <n v="0"/>
    <n v="0"/>
    <n v="0"/>
    <m/>
    <n v="0"/>
    <x v="1"/>
    <x v="2"/>
    <x v="4"/>
  </r>
  <r>
    <s v="THUAN THANH 3B"/>
    <s v="VIETCOMBANK - BA DINH"/>
    <n v="1060934439"/>
    <x v="2"/>
    <s v="VND"/>
    <e v="#N/A"/>
    <e v="#N/A"/>
    <n v="1000000000"/>
    <n v="0"/>
    <n v="0"/>
    <n v="0"/>
    <n v="1000000000"/>
    <e v="#N/A"/>
    <e v="#N/A"/>
    <n v="0"/>
    <n v="0"/>
    <n v="0"/>
    <n v="0"/>
    <n v="0"/>
    <n v="0"/>
    <m/>
    <n v="0"/>
    <x v="1"/>
    <x v="1"/>
    <x v="1"/>
  </r>
  <r>
    <s v="SAO HOA"/>
    <s v="VIETCOMBANK - HCM"/>
    <s v="1060911024"/>
    <x v="2"/>
    <s v="VND"/>
    <e v="#N/A"/>
    <e v="#N/A"/>
    <n v="950000000000"/>
    <n v="0"/>
    <n v="0"/>
    <n v="0"/>
    <n v="950000000000"/>
    <e v="#N/A"/>
    <e v="#N/A"/>
    <n v="0"/>
    <n v="0"/>
    <n v="0"/>
    <n v="0"/>
    <n v="0"/>
    <n v="0"/>
    <m/>
    <n v="0"/>
    <x v="2"/>
    <x v="1"/>
    <x v="2"/>
  </r>
  <r>
    <s v="SAO HOA"/>
    <s v="SINOPAC"/>
    <s v="07003600017007"/>
    <x v="2"/>
    <s v="VND"/>
    <e v="#N/A"/>
    <e v="#N/A"/>
    <n v="50000000000"/>
    <n v="0"/>
    <n v="0"/>
    <n v="0"/>
    <n v="50000000000"/>
    <e v="#N/A"/>
    <e v="#N/A"/>
    <n v="0"/>
    <n v="0"/>
    <n v="0"/>
    <n v="0"/>
    <n v="0"/>
    <n v="0"/>
    <m/>
    <n v="0"/>
    <x v="2"/>
    <x v="8"/>
    <x v="12"/>
  </r>
  <r>
    <s v="SAO HOA"/>
    <s v="BIDV - THANH XUAN"/>
    <s v="815012941675"/>
    <x v="2"/>
    <s v="VND"/>
    <e v="#N/A"/>
    <e v="#N/A"/>
    <n v="50000000000"/>
    <n v="0"/>
    <n v="0"/>
    <n v="0"/>
    <n v="50000000000"/>
    <e v="#N/A"/>
    <e v="#N/A"/>
    <n v="0"/>
    <n v="0"/>
    <n v="0"/>
    <n v="0"/>
    <n v="0"/>
    <n v="0"/>
    <m/>
    <n v="0"/>
    <x v="2"/>
    <x v="0"/>
    <x v="0"/>
  </r>
  <r>
    <s v="KIM TRUC DN"/>
    <s v="BIDV - NAM SAI GON"/>
    <s v="810012832027"/>
    <x v="2"/>
    <s v="VND"/>
    <e v="#N/A"/>
    <e v="#N/A"/>
    <n v="32000000000"/>
    <n v="0"/>
    <n v="0"/>
    <n v="0"/>
    <n v="32000000000"/>
    <e v="#N/A"/>
    <e v="#N/A"/>
    <n v="0"/>
    <n v="0"/>
    <n v="0"/>
    <n v="0"/>
    <n v="0"/>
    <n v="0"/>
    <m/>
    <n v="0"/>
    <x v="1"/>
    <x v="0"/>
    <x v="14"/>
  </r>
  <r>
    <s v="KIM TRUC DN"/>
    <s v="BIDV - NAM SAI GON"/>
    <s v="814012998525"/>
    <x v="2"/>
    <s v="VND"/>
    <e v="#N/A"/>
    <e v="#N/A"/>
    <n v="10000000000"/>
    <n v="0"/>
    <n v="0"/>
    <n v="0"/>
    <n v="10000000000"/>
    <e v="#N/A"/>
    <e v="#N/A"/>
    <n v="0"/>
    <n v="0"/>
    <n v="0"/>
    <n v="0"/>
    <n v="0"/>
    <n v="0"/>
    <m/>
    <n v="0"/>
    <x v="1"/>
    <x v="0"/>
    <x v="14"/>
  </r>
  <r>
    <s v="SONG THAN 2"/>
    <s v="VIETINBANK - TPHCM"/>
    <s v="215000482210"/>
    <x v="2"/>
    <s v="VND"/>
    <e v="#N/A"/>
    <e v="#N/A"/>
    <n v="4000000000"/>
    <n v="0"/>
    <n v="0"/>
    <n v="0"/>
    <n v="4000000000"/>
    <e v="#N/A"/>
    <e v="#N/A"/>
    <n v="0"/>
    <n v="0"/>
    <n v="0"/>
    <n v="0"/>
    <n v="0"/>
    <n v="0"/>
    <m/>
    <n v="0"/>
    <x v="1"/>
    <x v="2"/>
    <x v="19"/>
  </r>
  <r>
    <s v="THUAN DAO"/>
    <s v="VIETINBANK - TPHCM"/>
    <s v="214000479702"/>
    <x v="2"/>
    <s v="VND"/>
    <e v="#N/A"/>
    <e v="#N/A"/>
    <n v="3000000000"/>
    <n v="0"/>
    <n v="0"/>
    <n v="0"/>
    <n v="3000000000"/>
    <e v="#N/A"/>
    <e v="#N/A"/>
    <n v="0"/>
    <n v="0"/>
    <n v="0"/>
    <n v="0"/>
    <n v="0"/>
    <n v="0"/>
    <m/>
    <n v="0"/>
    <x v="1"/>
    <x v="2"/>
    <x v="19"/>
  </r>
  <r>
    <s v="BW NAM DINH VU"/>
    <s v="VIETINBANK - BINH DUONG"/>
    <s v="116632406789"/>
    <x v="0"/>
    <s v="VND"/>
    <e v="#N/A"/>
    <e v="#N/A"/>
    <n v="962929364"/>
    <n v="6092475209"/>
    <n v="916300"/>
    <n v="6091558909"/>
    <n v="7054488273"/>
    <e v="#N/A"/>
    <e v="#N/A"/>
    <n v="0"/>
    <n v="0"/>
    <n v="0"/>
    <n v="0"/>
    <n v="0"/>
    <n v="0"/>
    <m/>
    <n v="0"/>
    <x v="1"/>
    <x v="2"/>
    <x v="4"/>
  </r>
  <r>
    <s v="LONG BINH"/>
    <s v="VIETCOMBANK - HCM"/>
    <n v="1060629524"/>
    <x v="0"/>
    <s v="VND"/>
    <e v="#N/A"/>
    <e v="#N/A"/>
    <n v="11000000000"/>
    <n v="1002496100"/>
    <n v="11098762785"/>
    <n v="-10096266685"/>
    <n v="903733315"/>
    <e v="#N/A"/>
    <e v="#N/A"/>
    <n v="0"/>
    <n v="0"/>
    <n v="0"/>
    <n v="0"/>
    <n v="0"/>
    <n v="0"/>
    <m/>
    <n v="0"/>
    <x v="1"/>
    <x v="1"/>
    <x v="2"/>
  </r>
  <r>
    <s v="SAO HOA"/>
    <s v="VIB - HOI SO"/>
    <s v="882300925401"/>
    <x v="2"/>
    <s v="VND"/>
    <e v="#N/A"/>
    <e v="#N/A"/>
    <n v="170000000000"/>
    <n v="0"/>
    <n v="0"/>
    <n v="0"/>
    <n v="170000000000"/>
    <e v="#N/A"/>
    <e v="#N/A"/>
    <n v="0"/>
    <n v="0"/>
    <n v="0"/>
    <n v="0"/>
    <n v="0"/>
    <n v="0"/>
    <m/>
    <n v="0"/>
    <x v="2"/>
    <x v="4"/>
    <x v="8"/>
  </r>
  <r>
    <s v="SAO HOA"/>
    <s v="VIETINBANK - BINH DUONG"/>
    <s v="217000483459"/>
    <x v="2"/>
    <s v="VND"/>
    <e v="#N/A"/>
    <e v="#N/A"/>
    <n v="0"/>
    <n v="182000000000"/>
    <n v="0"/>
    <n v="182000000000"/>
    <n v="182000000000"/>
    <e v="#N/A"/>
    <e v="#N/A"/>
    <n v="0"/>
    <n v="0"/>
    <n v="0"/>
    <n v="0"/>
    <n v="0"/>
    <n v="0"/>
    <m/>
    <n v="0"/>
    <x v="2"/>
    <x v="2"/>
    <x v="4"/>
  </r>
  <r>
    <s v="LONG BINH"/>
    <s v="VIETCOMBANK - HCM"/>
    <s v="1060983972"/>
    <x v="2"/>
    <s v="VND"/>
    <e v="#N/A"/>
    <e v="#N/A"/>
    <n v="0"/>
    <n v="9500000000"/>
    <n v="0"/>
    <n v="9500000000"/>
    <n v="9500000000"/>
    <e v="#N/A"/>
    <e v="#N/A"/>
    <n v="0"/>
    <n v="0"/>
    <n v="0"/>
    <n v="0"/>
    <n v="0"/>
    <n v="0"/>
    <m/>
    <n v="0"/>
    <x v="1"/>
    <x v="1"/>
    <x v="2"/>
  </r>
  <r>
    <s v="BW SAI GON"/>
    <s v="SINOPAC"/>
    <s v="07003600017043"/>
    <x v="2"/>
    <s v="VND"/>
    <e v="#N/A"/>
    <e v="#N/A"/>
    <n v="0"/>
    <n v="5500000000"/>
    <n v="0"/>
    <n v="5500000000"/>
    <n v="5500000000"/>
    <e v="#N/A"/>
    <e v="#N/A"/>
    <n v="0"/>
    <n v="0"/>
    <n v="0"/>
    <n v="0"/>
    <n v="0"/>
    <n v="0"/>
    <m/>
    <n v="0"/>
    <x v="1"/>
    <x v="8"/>
    <x v="12"/>
  </r>
  <r>
    <s v="GREAT KINGDOM NT 2"/>
    <s v="VIETINBANK - CN1"/>
    <s v="217000475770"/>
    <x v="2"/>
    <s v="VND"/>
    <e v="#N/A"/>
    <e v="#N/A"/>
    <n v="6000000000"/>
    <n v="0"/>
    <n v="0"/>
    <n v="0"/>
    <n v="6000000000"/>
    <e v="#N/A"/>
    <e v="#N/A"/>
    <n v="0"/>
    <n v="0"/>
    <n v="0"/>
    <n v="0"/>
    <n v="0"/>
    <n v="0"/>
    <m/>
    <n v="0"/>
    <x v="1"/>
    <x v="2"/>
    <x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s v="BAC TIEN PHONG"/>
    <s v="BIDV - THANH XUAN"/>
    <s v="811004151855"/>
    <s v="Saving Account"/>
    <s v="VND"/>
    <n v="6000000000"/>
    <n v="0"/>
    <x v="0"/>
    <m/>
    <m/>
    <d v="2025-10-19T00:00:00"/>
    <x v="0"/>
    <x v="0"/>
    <x v="0"/>
    <s v="BIDV - THANH XUAN"/>
    <m/>
    <m/>
    <m/>
    <s v="W3Oct25"/>
    <n v="6"/>
    <s v="Due in Oct"/>
    <n v="3"/>
    <n v="3"/>
    <n v="0"/>
    <n v="4.3999999999999997E-2"/>
    <n v="0"/>
  </r>
  <r>
    <s v="BAC TIEN PHONG"/>
    <s v="BIDV - THANH XUAN"/>
    <s v="815004616762"/>
    <s v="Saving Account"/>
    <s v="VND"/>
    <n v="5000000000"/>
    <n v="0"/>
    <x v="1"/>
    <m/>
    <m/>
    <d v="2025-11-16T00:00:00"/>
    <x v="1"/>
    <x v="0"/>
    <x v="0"/>
    <s v="BIDV - THANH XUAN"/>
    <m/>
    <m/>
    <m/>
    <s v="W3Nov25"/>
    <n v="5"/>
    <s v="Next 1 month"/>
    <n v="6"/>
    <n v="6"/>
    <n v="0"/>
    <n v="4.4999999999999998E-2"/>
    <n v="0"/>
  </r>
  <r>
    <s v="BAU BANG 3"/>
    <s v="VIETINBANK - BINH DUONG"/>
    <s v="215000354566"/>
    <s v="Saving Account"/>
    <s v="VND"/>
    <n v="500000000"/>
    <n v="0"/>
    <x v="1"/>
    <m/>
    <m/>
    <d v="2026-02-22T00:00:00"/>
    <x v="1"/>
    <x v="0"/>
    <x v="1"/>
    <s v="VIETINBANK - BINH DUONG"/>
    <m/>
    <s v="optimize cash avaliable from capital contribution at holdco"/>
    <m/>
    <s v="W4Feb26"/>
    <n v="0.5"/>
    <s v="Next 4 months"/>
    <n v="6"/>
    <n v="6"/>
    <n v="0"/>
    <n v="4.4999999999999998E-2"/>
    <n v="0"/>
  </r>
  <r>
    <s v="BW DINH VU"/>
    <s v="BIDV - THANH XUAN"/>
    <s v="22210001511344"/>
    <s v="Saving Account"/>
    <s v="VND"/>
    <n v="5000000000"/>
    <n v="0"/>
    <x v="0"/>
    <n v="0"/>
    <d v="2022-06-22T00:00:00"/>
    <d v="2025-12-22T00:00:00"/>
    <x v="1"/>
    <x v="0"/>
    <x v="0"/>
    <s v="BIDV - THANH XUAN"/>
    <m/>
    <m/>
    <m/>
    <s v="W3Dec25"/>
    <n v="5"/>
    <s v="Next 2 months"/>
    <n v="3"/>
    <n v="3"/>
    <n v="0"/>
    <n v="4.4999999999999998E-2"/>
    <n v="0"/>
  </r>
  <r>
    <s v="BW DONG HAI"/>
    <s v="BIDV - THANH XUAN"/>
    <s v="802221617093"/>
    <s v="Saving Account"/>
    <s v="VND"/>
    <n v="4800000000"/>
    <n v="0"/>
    <x v="0"/>
    <m/>
    <m/>
    <d v="2025-11-22T00:00:00"/>
    <x v="1"/>
    <x v="0"/>
    <x v="0"/>
    <s v="BIDV - THANH XUAN"/>
    <m/>
    <s v="x"/>
    <m/>
    <s v="W3Nov25"/>
    <n v="4.8"/>
    <s v="Next 1 month"/>
    <n v="3"/>
    <n v="3"/>
    <n v="0"/>
    <n v="4.4999999999999998E-2"/>
    <n v="0"/>
  </r>
  <r>
    <s v="BW HAI AN"/>
    <s v="BIDV - THANH XUAN"/>
    <s v="22210001486901"/>
    <s v="Saving Account"/>
    <s v="VND"/>
    <n v="2000000000"/>
    <n v="0"/>
    <x v="0"/>
    <m/>
    <m/>
    <d v="2025-10-18T00:00:00"/>
    <x v="0"/>
    <x v="0"/>
    <x v="0"/>
    <s v="BIDV - THANH XUAN"/>
    <m/>
    <m/>
    <m/>
    <s v="W2Oct25"/>
    <n v="2"/>
    <s v="Due in Oct"/>
    <n v="3"/>
    <n v="3"/>
    <n v="0"/>
    <n v="4.3999999999999997E-2"/>
    <n v="0"/>
  </r>
  <r>
    <s v="BW NAM DINH VU"/>
    <s v="BIDV - LONG BIEN"/>
    <s v="812004848361"/>
    <s v="Saving Account"/>
    <s v="VND"/>
    <n v="9000000000"/>
    <n v="0"/>
    <x v="0"/>
    <m/>
    <d v="2024-09-24T00:00:00"/>
    <d v="2025-12-24T00:00:00"/>
    <x v="1"/>
    <x v="0"/>
    <x v="0"/>
    <s v="BIDV - LONG BIEN"/>
    <m/>
    <m/>
    <m/>
    <s v="W3Dec25"/>
    <n v="9"/>
    <s v="Next 2 months"/>
    <n v="3"/>
    <n v="3"/>
    <n v="0"/>
    <n v="4.4999999999999998E-2"/>
    <n v="0"/>
  </r>
  <r>
    <s v="BW NAM HAI"/>
    <s v="VIETCOMBANK - BA DINH"/>
    <s v="1044607568"/>
    <s v="Saving Account"/>
    <s v="VND"/>
    <n v="8000000000"/>
    <n v="0"/>
    <x v="0"/>
    <m/>
    <m/>
    <d v="2025-11-06T00:00:00"/>
    <x v="1"/>
    <x v="0"/>
    <x v="2"/>
    <s v="VIETCOMBANK - BA DINH"/>
    <m/>
    <m/>
    <m/>
    <s v="W1Nov25"/>
    <n v="8"/>
    <s v="Next 1 month"/>
    <n v="3"/>
    <n v="3"/>
    <n v="0"/>
    <n v="4.4999999999999998E-2"/>
    <n v="0"/>
  </r>
  <r>
    <s v="BW PHU NGHIA"/>
    <s v="BIDV - THANH XUAN"/>
    <s v="817001485788"/>
    <s v="Saving Account"/>
    <s v="VND"/>
    <n v="2000000000"/>
    <n v="0"/>
    <x v="2"/>
    <n v="0"/>
    <d v="2023-11-29T00:00:00"/>
    <d v="2025-11-29T00:00:00"/>
    <x v="2"/>
    <x v="0"/>
    <x v="0"/>
    <s v="BIDV - THANH XUAN"/>
    <m/>
    <m/>
    <m/>
    <s v="W4Nov25"/>
    <n v="2"/>
    <s v="Next 1 month"/>
    <n v="1"/>
    <n v="1"/>
    <n v="0"/>
    <n v="4.2999999999999997E-2"/>
    <n v="0"/>
  </r>
  <r>
    <s v="BW SAI GON"/>
    <s v="SINOPAC"/>
    <s v="07003600013122"/>
    <s v="Saving Account"/>
    <s v="VND"/>
    <n v="5633098111"/>
    <n v="0"/>
    <x v="3"/>
    <m/>
    <m/>
    <d v="2026-01-22T00:00:00"/>
    <x v="3"/>
    <x v="0"/>
    <x v="3"/>
    <s v="SINOPAC"/>
    <m/>
    <m/>
    <m/>
    <s v="W4Jan25"/>
    <n v="5.6330981109999998"/>
    <s v="Next 3 months"/>
    <m/>
    <m/>
    <m/>
    <m/>
    <m/>
  </r>
  <r>
    <s v="BW THU DAU MOT"/>
    <s v="VIETINBANK - TIEN SON"/>
    <s v="214000353638"/>
    <s v="Saving Account"/>
    <s v="VND"/>
    <n v="400000000"/>
    <n v="0"/>
    <x v="1"/>
    <m/>
    <m/>
    <d v="2026-02-16T00:00:00"/>
    <x v="1"/>
    <x v="0"/>
    <x v="1"/>
    <s v="VIETINBANK - TIEN SON"/>
    <m/>
    <s v="optimize cash avaliable from capital contribution at holdco"/>
    <m/>
    <s v="W3Feb26"/>
    <n v="0.4"/>
    <s v="Next 4 months"/>
    <n v="6"/>
    <n v="6"/>
    <n v="0"/>
    <n v="4.4999999999999998E-2"/>
    <n v="0"/>
  </r>
  <r>
    <s v="BWID BINH DUONG"/>
    <s v="VIETCOMBANK - HCM"/>
    <s v="001015733500"/>
    <s v="Saving Account"/>
    <s v="VND"/>
    <n v="100000000"/>
    <n v="0"/>
    <x v="2"/>
    <n v="0"/>
    <d v="2020-08-10T00:00:00"/>
    <d v="2025-11-10T00:00:00"/>
    <x v="4"/>
    <x v="1"/>
    <x v="2"/>
    <s v="VIETCOMBANK - HCM"/>
    <m/>
    <s v="for credit card's guarantee"/>
    <m/>
    <s v="W2Nov25"/>
    <n v="0.1"/>
    <s v="Next 1 month"/>
    <n v="1"/>
    <n v="1"/>
    <n v="0"/>
    <n v="1.4999999999999999E-2"/>
    <n v="0"/>
  </r>
  <r>
    <s v="BWID BINH DUONG"/>
    <s v="VIETCOMBANK - HCM"/>
    <s v="001017165869"/>
    <s v="Saving Account"/>
    <s v="VND"/>
    <n v="100000000"/>
    <n v="0"/>
    <x v="3"/>
    <m/>
    <m/>
    <d v="2025-10-24T00:00:00"/>
    <x v="5"/>
    <x v="1"/>
    <x v="2"/>
    <s v="VIETCOMBANK - HCM"/>
    <m/>
    <s v="for credit card's guarantee"/>
    <m/>
    <s v="W3Oct25"/>
    <n v="0.1"/>
    <s v="Due in Oct"/>
    <n v="1"/>
    <n v="1"/>
    <n v="0"/>
    <n v="4.1000000000000002E-2"/>
    <n v="0"/>
  </r>
  <r>
    <s v="BWID HAI DUONG 2"/>
    <s v="VIETINBANK - TIEN SON"/>
    <s v="216000394097"/>
    <s v="Saving Account"/>
    <s v="VND"/>
    <n v="7000000000"/>
    <n v="0"/>
    <x v="1"/>
    <m/>
    <m/>
    <d v="2025-10-26T00:00:00"/>
    <x v="0"/>
    <x v="0"/>
    <x v="1"/>
    <s v="VIETINBANK - TIEN SON"/>
    <m/>
    <m/>
    <m/>
    <s v="W4Oct25"/>
    <n v="7"/>
    <s v="Due in Oct"/>
    <n v="6"/>
    <n v="6"/>
    <n v="0"/>
    <n v="4.4000000000000004E-2"/>
    <n v="0"/>
  </r>
  <r>
    <s v="BWID HAI DUONG 3"/>
    <s v="BIDV - THANH XUAN"/>
    <s v="22210001614890"/>
    <s v="Saving Account"/>
    <s v="VND"/>
    <n v="2500000000"/>
    <n v="0"/>
    <x v="1"/>
    <m/>
    <m/>
    <d v="2026-02-11T00:00:00"/>
    <x v="6"/>
    <x v="0"/>
    <x v="0"/>
    <s v="BIDV - THANH XUAN"/>
    <m/>
    <m/>
    <m/>
    <s v="W2Feb26"/>
    <n v="2.5"/>
    <s v="Next 4 months"/>
    <n v="6"/>
    <n v="6"/>
    <n v="0"/>
    <n v="4.8000000000000001E-2"/>
    <n v="0"/>
  </r>
  <r>
    <s v="BWID NHON TRACH"/>
    <s v="VIETCOMBANK - HCM"/>
    <s v="001030251199"/>
    <s v="Saving Account"/>
    <s v="VND"/>
    <n v="1128000000"/>
    <n v="0"/>
    <x v="3"/>
    <m/>
    <m/>
    <d v="2026-08-04T00:00:00"/>
    <x v="5"/>
    <x v="0"/>
    <x v="2"/>
    <s v="VIETCOMBANK - HCM"/>
    <m/>
    <s v="for deposit of electricity agreement"/>
    <m/>
    <s v="W1Aug26"/>
    <n v="1.1279999999999999"/>
    <s v="Next 10 months"/>
    <n v="12"/>
    <n v="12"/>
    <n v="0"/>
    <n v="4.1000000000000002E-2"/>
    <n v="0"/>
  </r>
  <r>
    <s v="GIA TAN"/>
    <s v="VIETINBANK - TIEN SON"/>
    <s v="216000353636"/>
    <s v="Saving Account"/>
    <s v="VND"/>
    <n v="50000000"/>
    <n v="0"/>
    <x v="1"/>
    <m/>
    <m/>
    <d v="2026-02-16T00:00:00"/>
    <x v="1"/>
    <x v="0"/>
    <x v="1"/>
    <s v="VIETINBANK - TIEN SON"/>
    <m/>
    <s v="optimize cash avaliable from capital contribution at holdco"/>
    <m/>
    <s v="W3Feb26"/>
    <n v="0.05"/>
    <s v="Next 4 months"/>
    <n v="6"/>
    <n v="6"/>
    <n v="0"/>
    <n v="4.4999999999999998E-2"/>
    <n v="0"/>
  </r>
  <r>
    <s v="GREAT KINGDOM NT 2"/>
    <s v="VIETINBANK - CN1"/>
    <s v="216000283949"/>
    <s v="Saving Account"/>
    <s v="VND"/>
    <n v="2883354342"/>
    <n v="0"/>
    <x v="3"/>
    <m/>
    <m/>
    <d v="2026-07-28T00:00:00"/>
    <x v="7"/>
    <x v="0"/>
    <x v="1"/>
    <s v="VIETINBANK - CN1"/>
    <m/>
    <s v="for deposit of electricity agreement"/>
    <m/>
    <s v="W4Jul26"/>
    <n v="2.8833543420000001"/>
    <s v="Next 9 months"/>
    <n v="12"/>
    <n v="12"/>
    <n v="0"/>
    <n v="4.2000000000000003E-2"/>
    <n v="0"/>
  </r>
  <r>
    <s v="HOLDCO N4A"/>
    <s v="VIETINBANK - TIEN SON"/>
    <s v="119635596888_1"/>
    <s v="Saving Account"/>
    <s v="VND"/>
    <n v="900000000"/>
    <n v="0"/>
    <x v="0"/>
    <m/>
    <m/>
    <d v="2025-11-22T00:00:00"/>
    <x v="1"/>
    <x v="0"/>
    <x v="1"/>
    <s v="VIETINBANK - TIEN SON"/>
    <m/>
    <s v="optimize cash avaliable from capital contribution at holdco"/>
    <m/>
    <s v="W3Nov25"/>
    <n v="0.9"/>
    <s v="Next 1 month"/>
    <n v="3"/>
    <n v="3"/>
    <n v="0"/>
    <n v="4.4999999999999998E-2"/>
    <n v="0"/>
  </r>
  <r>
    <s v="HOLDCO N4B"/>
    <s v="VIETINBANK - TIEN SON"/>
    <s v="112617216688_1"/>
    <s v="Saving Account"/>
    <s v="VND"/>
    <n v="900000000"/>
    <n v="0"/>
    <x v="0"/>
    <m/>
    <m/>
    <d v="2025-11-22T00:00:00"/>
    <x v="1"/>
    <x v="0"/>
    <x v="1"/>
    <s v="VIETINBANK - TIEN SON"/>
    <m/>
    <s v="optimize cash avaliable from capital contribution at holdco"/>
    <m/>
    <s v="W3Nov25"/>
    <n v="0.9"/>
    <s v="Next 1 month"/>
    <n v="3"/>
    <n v="3"/>
    <n v="0"/>
    <n v="4.4999999999999998E-2"/>
    <n v="0"/>
  </r>
  <r>
    <s v="HOLDCO N4C"/>
    <s v="VIETINBANK - TIEN SON"/>
    <s v="110630158666_1"/>
    <s v="Saving Account"/>
    <s v="VND"/>
    <n v="900000000"/>
    <n v="0"/>
    <x v="0"/>
    <m/>
    <m/>
    <d v="2025-11-22T00:00:00"/>
    <x v="1"/>
    <x v="0"/>
    <x v="1"/>
    <s v="VIETINBANK - TIEN SON"/>
    <m/>
    <s v="optimize cash avaliable from capital contribution at holdco"/>
    <m/>
    <s v="W3Nov25"/>
    <n v="0.9"/>
    <s v="Next 1 month"/>
    <n v="3"/>
    <n v="3"/>
    <n v="0"/>
    <n v="4.4999999999999998E-2"/>
    <n v="0"/>
  </r>
  <r>
    <s v="HOLDCO N4D"/>
    <s v="VIETINBANK - TIEN SON"/>
    <s v="110623508666_1"/>
    <s v="Saving Account"/>
    <s v="VND"/>
    <n v="900000000"/>
    <n v="0"/>
    <x v="0"/>
    <m/>
    <m/>
    <d v="2025-11-22T00:00:00"/>
    <x v="1"/>
    <x v="0"/>
    <x v="1"/>
    <s v="VIETINBANK - TIEN SON"/>
    <m/>
    <s v="optimize cash avaliable from capital contribution at holdco"/>
    <m/>
    <s v="W3Nov25"/>
    <n v="0.9"/>
    <s v="Next 1 month"/>
    <n v="3"/>
    <n v="3"/>
    <n v="0"/>
    <n v="4.4999999999999998E-2"/>
    <n v="0"/>
  </r>
  <r>
    <s v="HOLDCO N4E"/>
    <s v="VIETINBANK - TIEN SON"/>
    <s v="117606776688_1"/>
    <s v="Saving Account"/>
    <s v="VND"/>
    <n v="900000000"/>
    <n v="0"/>
    <x v="0"/>
    <m/>
    <m/>
    <d v="2025-11-22T00:00:00"/>
    <x v="1"/>
    <x v="0"/>
    <x v="1"/>
    <s v="VIETINBANK - TIEN SON"/>
    <m/>
    <s v="optimize cash avaliable from capital contribution at holdco"/>
    <m/>
    <s v="W3Nov25"/>
    <n v="0.9"/>
    <s v="Next 1 month"/>
    <n v="3"/>
    <n v="3"/>
    <n v="0"/>
    <n v="4.4999999999999998E-2"/>
    <n v="0"/>
  </r>
  <r>
    <s v="HOLDCO4F"/>
    <s v="VIETINBANK - TIEN SON"/>
    <s v="218000353634"/>
    <s v="Saving Account"/>
    <s v="VND"/>
    <n v="50000000"/>
    <n v="0"/>
    <x v="1"/>
    <m/>
    <m/>
    <d v="2026-02-16T00:00:00"/>
    <x v="1"/>
    <x v="0"/>
    <x v="1"/>
    <s v="VIETINBANK - TIEN SON"/>
    <m/>
    <s v="optimize cash avaliable from capital contribution at holdco"/>
    <m/>
    <s v="W3Feb26"/>
    <n v="0.05"/>
    <s v="Next 4 months"/>
    <n v="6"/>
    <n v="6"/>
    <n v="0"/>
    <n v="4.4999999999999998E-2"/>
    <n v="0"/>
  </r>
  <r>
    <s v="HOLDCO4G"/>
    <s v="VIETINBANK - TIEN SON"/>
    <s v="215000353637"/>
    <s v="Saving Account"/>
    <s v="VND"/>
    <n v="50000000"/>
    <n v="0"/>
    <x v="1"/>
    <m/>
    <m/>
    <d v="2026-02-16T00:00:00"/>
    <x v="1"/>
    <x v="0"/>
    <x v="1"/>
    <s v="VIETINBANK - TIEN SON"/>
    <m/>
    <s v="optimize cash avaliable from capital contribution at holdco"/>
    <m/>
    <s v="W3Feb26"/>
    <n v="0.05"/>
    <s v="Next 4 months"/>
    <n v="6"/>
    <n v="6"/>
    <n v="0"/>
    <n v="4.4999999999999998E-2"/>
    <n v="0"/>
  </r>
  <r>
    <s v="HOLDCO4H"/>
    <s v="VIETINBANK - TIEN SON"/>
    <s v="216000353624"/>
    <s v="Saving Account"/>
    <s v="VND"/>
    <n v="50000000"/>
    <n v="0"/>
    <x v="1"/>
    <m/>
    <m/>
    <d v="2026-02-16T00:00:00"/>
    <x v="1"/>
    <x v="0"/>
    <x v="1"/>
    <s v="VIETINBANK - TIEN SON"/>
    <m/>
    <s v="optimize cash avaliable from capital contribution at holdco"/>
    <m/>
    <s v="W3Feb26"/>
    <n v="0.05"/>
    <s v="Next 4 months"/>
    <n v="6"/>
    <n v="6"/>
    <n v="0"/>
    <n v="4.4999999999999998E-2"/>
    <n v="0"/>
  </r>
  <r>
    <s v="HOLDCO4I"/>
    <s v="VIETINBANK - TIEN SON"/>
    <s v="211000353644"/>
    <s v="Saving Account"/>
    <s v="VND"/>
    <n v="50000000"/>
    <n v="0"/>
    <x v="1"/>
    <m/>
    <m/>
    <d v="2026-02-16T00:00:00"/>
    <x v="1"/>
    <x v="0"/>
    <x v="1"/>
    <s v="VIETINBANK - TIEN SON"/>
    <m/>
    <s v="optimize cash avaliable from capital contribution at holdco"/>
    <m/>
    <s v="W3Feb26"/>
    <n v="0.05"/>
    <s v="Next 4 months"/>
    <n v="6"/>
    <n v="6"/>
    <n v="0"/>
    <n v="4.4999999999999998E-2"/>
    <n v="0"/>
  </r>
  <r>
    <s v="HOLDCO4J"/>
    <s v="VIETINBANK - TIEN SON"/>
    <s v="219000353646"/>
    <s v="Saving Account"/>
    <s v="VND"/>
    <n v="50000000"/>
    <n v="0"/>
    <x v="1"/>
    <m/>
    <m/>
    <d v="2026-02-16T00:00:00"/>
    <x v="1"/>
    <x v="0"/>
    <x v="1"/>
    <s v="VIETINBANK - TIEN SON"/>
    <m/>
    <s v="optimize cash avaliable from capital contribution at holdco"/>
    <m/>
    <s v="W3Feb26"/>
    <n v="0.05"/>
    <s v="Next 4 months"/>
    <n v="6"/>
    <n v="6"/>
    <n v="0"/>
    <n v="4.4999999999999998E-2"/>
    <n v="0"/>
  </r>
  <r>
    <s v="HOLDCO4K"/>
    <s v="BIDV - THANH XUAN"/>
    <s v="802221617039"/>
    <s v="Saving Account"/>
    <s v="VND"/>
    <n v="900000000"/>
    <n v="0"/>
    <x v="1"/>
    <m/>
    <m/>
    <d v="2026-02-22T00:00:00"/>
    <x v="7"/>
    <x v="0"/>
    <x v="0"/>
    <s v="BIDV - THANH XUAN"/>
    <m/>
    <s v="optimize cash avaliable from capital contribution at holdco"/>
    <m/>
    <s v="W4Feb26"/>
    <n v="0.9"/>
    <s v="Next 4 months"/>
    <n v="6"/>
    <n v="6"/>
    <n v="0"/>
    <n v="4.2000000000000003E-2"/>
    <n v="0"/>
  </r>
  <r>
    <s v="HOLDCO4M"/>
    <s v="BIDV - THANH XUAN"/>
    <s v="802221617057"/>
    <s v="Saving Account"/>
    <s v="VND"/>
    <n v="900000000"/>
    <n v="0"/>
    <x v="1"/>
    <m/>
    <m/>
    <d v="2026-02-22T00:00:00"/>
    <x v="7"/>
    <x v="0"/>
    <x v="0"/>
    <s v="BIDV - THANH XUAN"/>
    <m/>
    <s v="optimize cash avaliable from capital contribution at holdco"/>
    <m/>
    <s v="W4Feb26"/>
    <n v="0.9"/>
    <s v="Next 4 months"/>
    <n v="6"/>
    <n v="6"/>
    <n v="0"/>
    <n v="4.2000000000000003E-2"/>
    <n v="0"/>
  </r>
  <r>
    <s v="HOLDCO4N"/>
    <s v="BIDV - BEN NGHE"/>
    <s v="801380277427"/>
    <s v="Saving Account"/>
    <s v="VND"/>
    <n v="900000000"/>
    <n v="0"/>
    <x v="1"/>
    <m/>
    <m/>
    <d v="2026-02-22T00:00:00"/>
    <x v="8"/>
    <x v="0"/>
    <x v="0"/>
    <s v="BIDV - BEN NGHE"/>
    <m/>
    <s v="optimize cash avaliable from capital contribution at holdco"/>
    <m/>
    <s v="W4Feb26"/>
    <n v="0.9"/>
    <s v="Next 4 months"/>
    <n v="6"/>
    <n v="6"/>
    <n v="0"/>
    <n v="2.9000000000000001E-2"/>
    <n v="0"/>
  </r>
  <r>
    <s v="HOLDCO4O"/>
    <s v="BIDV - BEN NGHE"/>
    <s v="801380277445"/>
    <s v="Saving Account"/>
    <s v="VND"/>
    <n v="900000000"/>
    <n v="0"/>
    <x v="1"/>
    <m/>
    <m/>
    <d v="2026-02-22T00:00:00"/>
    <x v="8"/>
    <x v="0"/>
    <x v="0"/>
    <s v="BIDV - BEN NGHE"/>
    <m/>
    <s v="optimize cash avaliable from capital contribution at holdco"/>
    <m/>
    <s v="W4Feb26"/>
    <n v="0.9"/>
    <s v="Next 4 months"/>
    <n v="6"/>
    <n v="6"/>
    <n v="0"/>
    <n v="2.9000000000000001E-2"/>
    <n v="0"/>
  </r>
  <r>
    <s v="HOLDCO4P"/>
    <s v="BIDV - BEN NGHE"/>
    <s v="801380277436"/>
    <s v="Saving Account"/>
    <s v="VND"/>
    <n v="900000000"/>
    <n v="0"/>
    <x v="1"/>
    <m/>
    <m/>
    <d v="2026-02-22T00:00:00"/>
    <x v="8"/>
    <x v="0"/>
    <x v="0"/>
    <s v="BIDV - BEN NGHE"/>
    <m/>
    <s v="optimize cash avaliable from capital contribution at holdco"/>
    <m/>
    <s v="W4Feb26"/>
    <n v="0.9"/>
    <s v="Next 4 months"/>
    <n v="6"/>
    <n v="6"/>
    <n v="0"/>
    <n v="2.9000000000000001E-2"/>
    <n v="0"/>
  </r>
  <r>
    <s v="HOLDCO4Q"/>
    <s v="VIETINBANK - TIEN SON"/>
    <s v="213000353642"/>
    <s v="Saving Account"/>
    <s v="VND"/>
    <n v="80000000"/>
    <n v="0"/>
    <x v="1"/>
    <m/>
    <m/>
    <d v="2026-02-16T00:00:00"/>
    <x v="1"/>
    <x v="0"/>
    <x v="1"/>
    <s v="VIETINBANK - TIEN SON"/>
    <m/>
    <s v="optimize cash avaliable from capital contribution at holdco"/>
    <m/>
    <s v="W3Feb26"/>
    <n v="0.08"/>
    <s v="Next 4 months"/>
    <n v="6"/>
    <n v="6"/>
    <n v="0"/>
    <n v="4.4999999999999998E-2"/>
    <n v="0"/>
  </r>
  <r>
    <s v="HOLDCO4R"/>
    <s v="VIETINBANK - TIEN SON"/>
    <s v="215000353640"/>
    <s v="Saving Account"/>
    <s v="VND"/>
    <n v="80000000"/>
    <n v="0"/>
    <x v="1"/>
    <m/>
    <m/>
    <d v="2026-02-16T00:00:00"/>
    <x v="1"/>
    <x v="0"/>
    <x v="1"/>
    <s v="VIETINBANK - TIEN SON"/>
    <m/>
    <s v="optimize cash avaliable from capital contribution at holdco"/>
    <m/>
    <s v="W3Feb26"/>
    <n v="0.08"/>
    <s v="Next 4 months"/>
    <n v="6"/>
    <n v="6"/>
    <n v="0"/>
    <n v="4.4999999999999998E-2"/>
    <n v="0"/>
  </r>
  <r>
    <s v="HOLDCO4S"/>
    <s v="VIETINBANK - TIEN SON"/>
    <s v="210000353620"/>
    <s v="Saving Account"/>
    <s v="VND"/>
    <n v="80000000"/>
    <n v="0"/>
    <x v="1"/>
    <m/>
    <m/>
    <d v="2026-02-16T00:00:00"/>
    <x v="1"/>
    <x v="0"/>
    <x v="1"/>
    <s v="VIETINBANK - TIEN SON"/>
    <m/>
    <s v="optimize cash avaliable from capital contribution at holdco"/>
    <m/>
    <s v="W3Feb26"/>
    <n v="0.08"/>
    <s v="Next 4 months"/>
    <n v="6"/>
    <n v="6"/>
    <n v="0"/>
    <n v="4.4999999999999998E-2"/>
    <n v="0"/>
  </r>
  <r>
    <s v="HOLDCO4T"/>
    <s v="VIETINBANK - TIEN SON"/>
    <s v="210000353618"/>
    <s v="Saving Account"/>
    <s v="VND"/>
    <n v="80000000"/>
    <n v="0"/>
    <x v="1"/>
    <m/>
    <m/>
    <d v="2026-02-16T00:00:00"/>
    <x v="1"/>
    <x v="0"/>
    <x v="1"/>
    <s v="VIETINBANK - TIEN SON"/>
    <m/>
    <s v="optimize cash avaliable from capital contribution at holdco"/>
    <m/>
    <s v="W3Feb26"/>
    <n v="0.08"/>
    <s v="Next 4 months"/>
    <n v="6"/>
    <n v="6"/>
    <n v="0"/>
    <n v="4.4999999999999998E-2"/>
    <n v="0"/>
  </r>
  <r>
    <s v="HOLDCO4U"/>
    <s v="VIETINBANK - TIEN SON"/>
    <s v="217000353623"/>
    <s v="Saving Account"/>
    <s v="VND"/>
    <n v="80000000"/>
    <n v="0"/>
    <x v="1"/>
    <m/>
    <m/>
    <d v="2026-02-16T00:00:00"/>
    <x v="1"/>
    <x v="0"/>
    <x v="1"/>
    <s v="VIETINBANK - TIEN SON"/>
    <m/>
    <s v="optimize cash avaliable from capital contribution at holdco"/>
    <m/>
    <s v="W3Feb26"/>
    <n v="0.08"/>
    <s v="Next 4 months"/>
    <n v="6"/>
    <n v="6"/>
    <n v="0"/>
    <n v="4.4999999999999998E-2"/>
    <n v="0"/>
  </r>
  <r>
    <s v="HOLDCO4W"/>
    <s v="VIETINBANK - TIEN SON"/>
    <s v="211000353617"/>
    <s v="Saving Account"/>
    <s v="VND"/>
    <n v="900000000"/>
    <n v="0"/>
    <x v="1"/>
    <m/>
    <m/>
    <d v="2026-02-16T00:00:00"/>
    <x v="1"/>
    <x v="0"/>
    <x v="1"/>
    <s v="VIETINBANK - TIEN SON"/>
    <m/>
    <s v="optimize cash avaliable from capital contribution at holdco"/>
    <m/>
    <s v="W3Feb26"/>
    <n v="0.9"/>
    <s v="Next 4 months"/>
    <n v="6"/>
    <n v="6"/>
    <n v="0"/>
    <n v="4.4999999999999998E-2"/>
    <n v="0"/>
  </r>
  <r>
    <s v="HOLDCO4Z"/>
    <s v="VIETINBANK - TIEN SON"/>
    <s v="214000353626"/>
    <s v="Saving Account"/>
    <s v="VND"/>
    <n v="900000000"/>
    <n v="0"/>
    <x v="1"/>
    <m/>
    <m/>
    <d v="2026-02-16T00:00:00"/>
    <x v="1"/>
    <x v="0"/>
    <x v="1"/>
    <s v="VIETINBANK - TIEN SON"/>
    <m/>
    <s v="optimize cash avaliable from capital contribution at holdco"/>
    <m/>
    <s v="W3Feb26"/>
    <n v="0.9"/>
    <s v="Next 4 months"/>
    <n v="6"/>
    <n v="6"/>
    <n v="0"/>
    <n v="4.4999999999999998E-2"/>
    <n v="0"/>
  </r>
  <r>
    <s v="HOLDCO5F"/>
    <s v="VIETINBANK - TIEN SON"/>
    <s v="212000353628"/>
    <s v="Saving Account"/>
    <s v="VND"/>
    <n v="600000000"/>
    <n v="0"/>
    <x v="1"/>
    <m/>
    <m/>
    <d v="2026-02-16T00:00:00"/>
    <x v="1"/>
    <x v="0"/>
    <x v="1"/>
    <s v="VIETINBANK - TIEN SON"/>
    <m/>
    <s v="optimize cash avaliable from capital contribution at holdco"/>
    <m/>
    <s v="W3Feb26"/>
    <n v="0.6"/>
    <s v="Next 4 months"/>
    <n v="6"/>
    <n v="6"/>
    <n v="0"/>
    <n v="4.4999999999999998E-2"/>
    <n v="0"/>
  </r>
  <r>
    <s v="HOLDCO5G"/>
    <s v="VIETINBANK - TIEN SON"/>
    <s v="212000353616"/>
    <s v="Saving Account"/>
    <s v="VND"/>
    <n v="800000000"/>
    <n v="0"/>
    <x v="1"/>
    <m/>
    <m/>
    <d v="2026-02-16T00:00:00"/>
    <x v="1"/>
    <x v="0"/>
    <x v="1"/>
    <s v="VIETINBANK - TIEN SON"/>
    <m/>
    <s v="optimize cash avaliable from capital contribution at holdco"/>
    <m/>
    <s v="W3Feb26"/>
    <n v="0.8"/>
    <s v="Next 4 months"/>
    <n v="6"/>
    <n v="6"/>
    <n v="0"/>
    <n v="4.4999999999999998E-2"/>
    <n v="0"/>
  </r>
  <r>
    <s v="HOLDCO5H"/>
    <s v="VIETINBANK - TIEN SON"/>
    <s v="212000353643"/>
    <s v="Saving Account"/>
    <s v="VND"/>
    <n v="800000000"/>
    <n v="0"/>
    <x v="1"/>
    <m/>
    <m/>
    <d v="2026-02-16T00:00:00"/>
    <x v="1"/>
    <x v="0"/>
    <x v="1"/>
    <s v="VIETINBANK - TIEN SON"/>
    <m/>
    <s v="optimize cash avaliable from capital contribution at holdco"/>
    <m/>
    <s v="W3Feb26"/>
    <n v="0.8"/>
    <s v="Next 4 months"/>
    <n v="6"/>
    <n v="6"/>
    <n v="0"/>
    <n v="4.4999999999999998E-2"/>
    <n v="0"/>
  </r>
  <r>
    <s v="HOLDCO5I"/>
    <s v="VIETINBANK - TIEN SON"/>
    <s v="217000353635"/>
    <s v="Saving Account"/>
    <s v="VND"/>
    <n v="800000000"/>
    <n v="0"/>
    <x v="1"/>
    <m/>
    <m/>
    <d v="2026-02-16T00:00:00"/>
    <x v="1"/>
    <x v="0"/>
    <x v="1"/>
    <s v="VIETINBANK - TIEN SON"/>
    <m/>
    <s v="optimize cash avaliable from capital contribution at holdco"/>
    <m/>
    <s v="W3Feb26"/>
    <n v="0.8"/>
    <s v="Next 4 months"/>
    <n v="6"/>
    <n v="6"/>
    <n v="0"/>
    <n v="4.4999999999999998E-2"/>
    <n v="0"/>
  </r>
  <r>
    <s v="HOLDCO5J"/>
    <s v="VIETINBANK - TIEN SON"/>
    <s v="210000353645"/>
    <s v="Saving Account"/>
    <s v="VND"/>
    <n v="800000000"/>
    <n v="0"/>
    <x v="1"/>
    <m/>
    <m/>
    <d v="2026-02-16T00:00:00"/>
    <x v="1"/>
    <x v="0"/>
    <x v="1"/>
    <s v="VIETINBANK - TIEN SON"/>
    <m/>
    <s v="optimize cash avaliable from capital contribution at holdco"/>
    <m/>
    <s v="W3Feb26"/>
    <n v="0.8"/>
    <s v="Next 4 months"/>
    <n v="6"/>
    <n v="6"/>
    <n v="0"/>
    <n v="4.4999999999999998E-2"/>
    <n v="0"/>
  </r>
  <r>
    <s v="HOLDCO5K"/>
    <s v="BIDV - THANH XUAN"/>
    <s v="802221617084"/>
    <s v="Saving Account"/>
    <s v="VND"/>
    <n v="800000000"/>
    <n v="0"/>
    <x v="1"/>
    <m/>
    <m/>
    <d v="2026-02-22T00:00:00"/>
    <x v="7"/>
    <x v="0"/>
    <x v="0"/>
    <s v="BIDV - THANH XUAN"/>
    <m/>
    <s v="optimize cash avaliable from capital contribution at holdco"/>
    <m/>
    <s v="W4Feb26"/>
    <n v="0.8"/>
    <s v="Next 4 months"/>
    <n v="6"/>
    <n v="6"/>
    <n v="0"/>
    <n v="4.2000000000000003E-2"/>
    <n v="0"/>
  </r>
  <r>
    <s v="HOLDCO5M"/>
    <s v="BIDV - THANH XUAN"/>
    <s v="802221617075"/>
    <s v="Saving Account"/>
    <s v="VND"/>
    <n v="800000000"/>
    <n v="0"/>
    <x v="1"/>
    <m/>
    <m/>
    <d v="2026-02-22T00:00:00"/>
    <x v="7"/>
    <x v="0"/>
    <x v="0"/>
    <s v="BIDV - THANH XUAN"/>
    <m/>
    <s v="optimize cash avaliable from capital contribution at holdco"/>
    <m/>
    <s v="W4Feb26"/>
    <n v="0.8"/>
    <s v="Next 4 months"/>
    <n v="6"/>
    <n v="6"/>
    <n v="0"/>
    <n v="4.2000000000000003E-2"/>
    <n v="0"/>
  </r>
  <r>
    <s v="HOLDCO5Q"/>
    <s v="VIETINBANK - TIEN SON"/>
    <s v="213000353615"/>
    <s v="Saving Account"/>
    <s v="VND"/>
    <n v="800000000"/>
    <n v="0"/>
    <x v="1"/>
    <m/>
    <m/>
    <d v="2026-02-16T00:00:00"/>
    <x v="1"/>
    <x v="0"/>
    <x v="1"/>
    <s v="VIETINBANK - TIEN SON"/>
    <m/>
    <s v="optimize cash avaliable from capital contribution at holdco"/>
    <m/>
    <s v="W3Feb26"/>
    <n v="0.8"/>
    <s v="Next 4 months"/>
    <n v="6"/>
    <n v="6"/>
    <n v="0"/>
    <n v="4.4999999999999998E-2"/>
    <n v="0"/>
  </r>
  <r>
    <s v="HOLDCO5R"/>
    <s v="VIETINBANK - TIEN SON"/>
    <s v="219000353621"/>
    <s v="Saving Account"/>
    <s v="VND"/>
    <n v="800000000"/>
    <n v="0"/>
    <x v="1"/>
    <m/>
    <m/>
    <d v="2026-02-16T00:00:00"/>
    <x v="1"/>
    <x v="0"/>
    <x v="1"/>
    <s v="VIETINBANK - TIEN SON"/>
    <m/>
    <s v="optimize cash avaliable from capital contribution at holdco"/>
    <m/>
    <s v="W3Feb26"/>
    <n v="0.8"/>
    <s v="Next 4 months"/>
    <n v="6"/>
    <n v="6"/>
    <n v="0"/>
    <n v="4.4999999999999998E-2"/>
    <n v="0"/>
  </r>
  <r>
    <s v="HOLDCO5S"/>
    <s v="VIETINBANK - TIEN SON"/>
    <s v="219000353619"/>
    <s v="Saving Account"/>
    <s v="VND"/>
    <n v="800000000"/>
    <n v="0"/>
    <x v="1"/>
    <m/>
    <m/>
    <d v="2026-02-16T00:00:00"/>
    <x v="1"/>
    <x v="0"/>
    <x v="1"/>
    <s v="VIETINBANK - TIEN SON"/>
    <m/>
    <s v="optimize cash avaliable from capital contribution at holdco"/>
    <m/>
    <s v="W3Feb26"/>
    <n v="0.8"/>
    <s v="Next 4 months"/>
    <n v="6"/>
    <n v="6"/>
    <n v="0"/>
    <n v="4.4999999999999998E-2"/>
    <n v="0"/>
  </r>
  <r>
    <s v="HOLDCO5T"/>
    <s v="VIETINBANK - TIEN SON"/>
    <s v="215000353613"/>
    <s v="Saving Account"/>
    <s v="VND"/>
    <n v="800000000"/>
    <n v="0"/>
    <x v="1"/>
    <m/>
    <m/>
    <d v="2026-02-16T00:00:00"/>
    <x v="1"/>
    <x v="0"/>
    <x v="1"/>
    <s v="VIETINBANK - TIEN SON"/>
    <m/>
    <s v="optimize cash avaliable from capital contribution at holdco"/>
    <m/>
    <s v="W3Feb26"/>
    <n v="0.8"/>
    <s v="Next 4 months"/>
    <n v="6"/>
    <n v="6"/>
    <n v="0"/>
    <n v="4.4999999999999998E-2"/>
    <n v="0"/>
  </r>
  <r>
    <s v="HOLDCO5U"/>
    <s v="VIETINBANK - TIEN SON"/>
    <s v="212000353630"/>
    <s v="Saving Account"/>
    <s v="VND"/>
    <n v="800000000"/>
    <n v="0"/>
    <x v="1"/>
    <m/>
    <m/>
    <d v="2026-02-16T00:00:00"/>
    <x v="1"/>
    <x v="0"/>
    <x v="1"/>
    <s v="VIETINBANK - TIEN SON"/>
    <m/>
    <s v="optimize cash avaliable from capital contribution at holdco"/>
    <m/>
    <s v="W3Feb26"/>
    <n v="0.8"/>
    <s v="Next 4 months"/>
    <n v="6"/>
    <n v="6"/>
    <n v="0"/>
    <n v="4.4999999999999998E-2"/>
    <n v="0"/>
  </r>
  <r>
    <s v="KIM TRUC DN"/>
    <s v="BIDV - NAM SAI GON"/>
    <s v="13210001603661"/>
    <s v="Saving Account"/>
    <s v="VND"/>
    <n v="1418000000"/>
    <n v="0"/>
    <x v="3"/>
    <m/>
    <m/>
    <d v="2025-10-27T00:00:00"/>
    <x v="7"/>
    <x v="0"/>
    <x v="0"/>
    <s v="BIDV - NAM SAI GON"/>
    <m/>
    <m/>
    <m/>
    <s v="W4Oct25"/>
    <n v="1.4179999999999999"/>
    <s v="Due in Oct"/>
    <n v="12"/>
    <n v="12"/>
    <n v="0"/>
    <n v="4.2000000000000003E-2"/>
    <n v="0"/>
  </r>
  <r>
    <s v="LONG BINH"/>
    <s v="VIETINBANK - CN1"/>
    <s v="212000281605"/>
    <s v="Saving Account"/>
    <s v="VND"/>
    <n v="1738000000"/>
    <n v="0"/>
    <x v="3"/>
    <m/>
    <m/>
    <d v="2026-07-11T00:00:00"/>
    <x v="7"/>
    <x v="0"/>
    <x v="1"/>
    <s v="VIETINBANK - CN1"/>
    <m/>
    <s v="for optimal cashflow purpose"/>
    <m/>
    <s v="W1Jul26"/>
    <n v="1.738"/>
    <s v="Next 9 months"/>
    <n v="12"/>
    <n v="12"/>
    <n v="0"/>
    <n v="4.2000000000000003E-2"/>
    <n v="0"/>
  </r>
  <r>
    <s v="QV2 HOLDCO"/>
    <s v="BIDV - THANH XUAN"/>
    <s v="8670003775_1"/>
    <s v="Saving Account"/>
    <s v="VND"/>
    <n v="1000000000"/>
    <n v="0"/>
    <x v="0"/>
    <m/>
    <m/>
    <d v="2025-11-16T00:00:00"/>
    <x v="1"/>
    <x v="0"/>
    <x v="0"/>
    <s v="BIDV - THANH XUAN"/>
    <m/>
    <s v="optimize cash avaliable from capital contribution at holdco"/>
    <m/>
    <s v="W3Nov25"/>
    <n v="1"/>
    <s v="Next 1 month"/>
    <n v="3"/>
    <n v="3"/>
    <n v="0"/>
    <n v="4.4999999999999998E-2"/>
    <n v="0"/>
  </r>
  <r>
    <s v="SG LOGISTICS"/>
    <s v="VIETINBANK - TIEN SON"/>
    <s v="213000353639"/>
    <s v="Saving Account"/>
    <s v="VND"/>
    <n v="50000000"/>
    <n v="0"/>
    <x v="1"/>
    <m/>
    <m/>
    <d v="2026-02-16T00:00:00"/>
    <x v="1"/>
    <x v="0"/>
    <x v="1"/>
    <s v="VIETINBANK - TIEN SON"/>
    <m/>
    <s v="optimize cash avaliable from capital contribution at holdco"/>
    <m/>
    <s v="W3Feb26"/>
    <n v="0.05"/>
    <s v="Next 4 months"/>
    <n v="6"/>
    <n v="6"/>
    <n v="0"/>
    <n v="4.4999999999999998E-2"/>
    <n v="0"/>
  </r>
  <r>
    <s v="SPV4A"/>
    <s v="VIETINBANK - TIEN SON"/>
    <s v="219000353633"/>
    <s v="Saving Account"/>
    <s v="VND"/>
    <n v="50000000"/>
    <n v="0"/>
    <x v="1"/>
    <m/>
    <m/>
    <d v="2026-02-16T00:00:00"/>
    <x v="1"/>
    <x v="0"/>
    <x v="1"/>
    <s v="VIETINBANK - TIEN SON"/>
    <m/>
    <s v="optimize cash avaliable from capital contribution at holdco"/>
    <m/>
    <s v="W3Feb26"/>
    <n v="0.05"/>
    <s v="Next 4 months"/>
    <n v="6"/>
    <n v="6"/>
    <n v="0"/>
    <n v="4.4999999999999998E-2"/>
    <n v="0"/>
  </r>
  <r>
    <s v="SPV4B"/>
    <s v="VIETINBANK - TIEN SON"/>
    <s v="218000353622"/>
    <s v="Saving Account"/>
    <s v="VND"/>
    <n v="80000000"/>
    <n v="0"/>
    <x v="1"/>
    <m/>
    <m/>
    <d v="2026-02-16T00:00:00"/>
    <x v="1"/>
    <x v="0"/>
    <x v="1"/>
    <s v="VIETINBANK - TIEN SON"/>
    <m/>
    <s v="optimize cash avaliable from capital contribution at holdco"/>
    <m/>
    <s v="W3Feb26"/>
    <n v="0.08"/>
    <s v="Next 4 months"/>
    <n v="6"/>
    <n v="6"/>
    <n v="0"/>
    <n v="4.4999999999999998E-2"/>
    <n v="0"/>
  </r>
  <r>
    <s v="SPV4C"/>
    <s v="VIETINBANK - TIEN SON"/>
    <s v="211000353629"/>
    <s v="Saving Account"/>
    <s v="VND"/>
    <n v="50000000"/>
    <n v="0"/>
    <x v="1"/>
    <m/>
    <m/>
    <d v="2026-02-16T00:00:00"/>
    <x v="1"/>
    <x v="0"/>
    <x v="1"/>
    <s v="VIETINBANK - TIEN SON"/>
    <m/>
    <s v="optimize cash avaliable from capital contribution at holdco"/>
    <m/>
    <s v="W3Feb26"/>
    <n v="0.05"/>
    <s v="Next 4 months"/>
    <n v="6"/>
    <n v="6"/>
    <n v="0"/>
    <n v="4.4999999999999998E-2"/>
    <n v="0"/>
  </r>
  <r>
    <s v="SPV5A"/>
    <s v="VIETINBANK - TIEN SON"/>
    <s v="211000353631"/>
    <s v="Saving Account"/>
    <s v="VND"/>
    <n v="80000000"/>
    <n v="0"/>
    <x v="1"/>
    <m/>
    <m/>
    <d v="2026-02-16T00:00:00"/>
    <x v="1"/>
    <x v="0"/>
    <x v="1"/>
    <s v="VIETINBANK - TIEN SON"/>
    <m/>
    <s v="optimize cash avaliable from capital contribution at holdco"/>
    <m/>
    <s v="W3Feb26"/>
    <n v="0.08"/>
    <s v="Next 4 months"/>
    <n v="6"/>
    <n v="6"/>
    <n v="0"/>
    <n v="4.4999999999999998E-2"/>
    <n v="0"/>
  </r>
  <r>
    <s v="SPV5A"/>
    <s v="VIETINBANK - TIEN SON"/>
    <s v="216000354578"/>
    <s v="Saving Account"/>
    <s v="VND"/>
    <n v="720000000"/>
    <n v="0"/>
    <x v="1"/>
    <m/>
    <m/>
    <d v="2026-02-16T00:00:00"/>
    <x v="1"/>
    <x v="0"/>
    <x v="1"/>
    <s v="VIETINBANK - TIEN SON"/>
    <m/>
    <s v="optimize cash avaliable from capital contribution at holdco"/>
    <m/>
    <s v="W3Feb26"/>
    <n v="0.72"/>
    <s v="Next 4 months"/>
    <n v="6"/>
    <n v="6"/>
    <n v="0"/>
    <n v="4.4999999999999998E-2"/>
    <n v="0"/>
  </r>
  <r>
    <s v="SPV5C"/>
    <s v="VIETINBANK - TIEN SON"/>
    <s v="218000353647"/>
    <s v="Saving Account"/>
    <s v="VND"/>
    <n v="800000000"/>
    <n v="0"/>
    <x v="1"/>
    <m/>
    <m/>
    <d v="2026-02-16T00:00:00"/>
    <x v="1"/>
    <x v="0"/>
    <x v="1"/>
    <s v="VIETINBANK - TIEN SON"/>
    <m/>
    <s v="optimize cash avaliable from capital contribution at holdco"/>
    <m/>
    <s v="W3Feb26"/>
    <n v="0.8"/>
    <s v="Next 4 months"/>
    <n v="6"/>
    <n v="6"/>
    <n v="0"/>
    <n v="4.4999999999999998E-2"/>
    <n v="0"/>
  </r>
  <r>
    <s v="VINA PARTNERS INVESTMENT"/>
    <s v="VIETINBANK - CN1"/>
    <s v="216000297782"/>
    <s v="Saving Account"/>
    <s v="VND"/>
    <n v="2900000000"/>
    <n v="0"/>
    <x v="3"/>
    <m/>
    <m/>
    <d v="2025-10-17T00:00:00"/>
    <x v="7"/>
    <x v="0"/>
    <x v="1"/>
    <s v="VIETINBANK - CN1"/>
    <m/>
    <m/>
    <m/>
    <s v="W2Oct25"/>
    <n v="2.9"/>
    <s v="Due in Oct"/>
    <n v="12"/>
    <n v="12"/>
    <n v="0"/>
    <n v="4.2000000000000003E-2"/>
    <n v="0"/>
  </r>
  <r>
    <s v="WPJV 1"/>
    <s v="VIETINBANK - TIEN SON"/>
    <s v="214000300615"/>
    <s v="Saving Account"/>
    <s v="VND"/>
    <n v="5001182467"/>
    <n v="0"/>
    <x v="2"/>
    <n v="0"/>
    <d v="2022-11-01T00:00:00"/>
    <d v="2025-11-01T00:00:00"/>
    <x v="1"/>
    <x v="0"/>
    <x v="1"/>
    <s v="VIETINBANK - TIEN SON"/>
    <m/>
    <m/>
    <m/>
    <s v="W0Nov25"/>
    <n v="5.0011824669999996"/>
    <s v="Next 1 month"/>
    <n v="1"/>
    <n v="1"/>
    <n v="0"/>
    <n v="4.4999999999999998E-2"/>
    <n v="0"/>
  </r>
  <r>
    <s v="WPJV 2A"/>
    <s v="VIETINBANK - TPHCM"/>
    <s v="1110029497081"/>
    <s v="Saving Account"/>
    <s v="VND"/>
    <n v="450000000"/>
    <n v="0"/>
    <x v="1"/>
    <m/>
    <m/>
    <d v="2026-04-04T00:00:00"/>
    <x v="8"/>
    <x v="0"/>
    <x v="1"/>
    <s v="VIETINBANK - TPHCM"/>
    <m/>
    <m/>
    <m/>
    <s v="W0Apr26"/>
    <n v="0.45"/>
    <s v="Next 6 months"/>
    <n v="6"/>
    <n v="6"/>
    <n v="0"/>
    <n v="2.9000000000000001E-2"/>
    <n v="0"/>
  </r>
  <r>
    <s v="WPJV 2B"/>
    <s v="VIETINBANK - TPHCM"/>
    <s v="1130029498671"/>
    <s v="Saving Account"/>
    <s v="VND"/>
    <n v="450000000"/>
    <n v="0"/>
    <x v="1"/>
    <m/>
    <m/>
    <d v="2026-04-04T00:00:00"/>
    <x v="8"/>
    <x v="0"/>
    <x v="1"/>
    <s v="VIETINBANK - TPHCM"/>
    <m/>
    <m/>
    <m/>
    <s v="W0Apr26"/>
    <n v="0.45"/>
    <s v="Next 6 months"/>
    <n v="6"/>
    <n v="6"/>
    <n v="0"/>
    <n v="2.9000000000000001E-2"/>
    <n v="0"/>
  </r>
  <r>
    <s v="BWID DONG AN LID"/>
    <s v="VIETINBANK - DONG SAI GON"/>
    <s v="212000407382"/>
    <s v="Saving Account"/>
    <s v="VND"/>
    <n v="10000000000"/>
    <n v="0"/>
    <x v="2"/>
    <n v="0"/>
    <d v="2024-07-26T00:00:00"/>
    <d v="2025-10-26T00:00:00"/>
    <x v="2"/>
    <x v="0"/>
    <x v="1"/>
    <s v="VIETINBANK - DONG SAI GON"/>
    <m/>
    <m/>
    <m/>
    <s v="W4Oct25"/>
    <n v="10"/>
    <s v="Due in Oct"/>
    <n v="1"/>
    <n v="1"/>
    <n v="0"/>
    <n v="4.2999999999999997E-2"/>
    <n v="0"/>
  </r>
  <r>
    <s v="BW HAI AN"/>
    <s v="BIDV - THANH XUAN"/>
    <s v="817005836420"/>
    <s v="Saving Account"/>
    <s v="VND"/>
    <n v="9000000000"/>
    <n v="0"/>
    <x v="2"/>
    <n v="0"/>
    <d v="2024-07-30T00:00:00"/>
    <d v="2025-10-28T00:00:00"/>
    <x v="2"/>
    <x v="0"/>
    <x v="0"/>
    <s v="BIDV - THANH XUAN"/>
    <m/>
    <m/>
    <m/>
    <s v="W4Oct25"/>
    <n v="9"/>
    <s v="Due in Oct"/>
    <n v="1"/>
    <n v="1"/>
    <n v="0"/>
    <n v="4.2999999999999997E-2"/>
    <n v="0"/>
  </r>
  <r>
    <s v="BAC TIEN PHONG"/>
    <s v="BIDV - THANH XUAN"/>
    <s v="812006016470"/>
    <s v="Saving Account"/>
    <s v="VND"/>
    <n v="13000000000"/>
    <n v="0"/>
    <x v="2"/>
    <n v="0"/>
    <m/>
    <d v="2025-11-09T00:00:00"/>
    <x v="1"/>
    <x v="0"/>
    <x v="0"/>
    <s v="BIDV - THANH XUAN"/>
    <m/>
    <m/>
    <m/>
    <s v="W2Nov25"/>
    <n v="13"/>
    <s v="Next 1 month"/>
    <n v="1"/>
    <n v="1"/>
    <n v="0"/>
    <n v="4.4999999999999998E-2"/>
    <n v="0"/>
  </r>
  <r>
    <s v="BAC TIEN PHONG"/>
    <s v="BIDV - THANH XUAN"/>
    <s v="814006107925"/>
    <s v="Saving Account"/>
    <s v="VND"/>
    <n v="8000000000"/>
    <n v="0"/>
    <x v="2"/>
    <n v="0"/>
    <m/>
    <d v="2025-11-14T00:00:00"/>
    <x v="1"/>
    <x v="0"/>
    <x v="0"/>
    <s v="BIDV - THANH XUAN"/>
    <m/>
    <m/>
    <m/>
    <s v="W2Nov25"/>
    <n v="8"/>
    <s v="Next 1 month"/>
    <n v="1"/>
    <n v="1"/>
    <n v="0"/>
    <n v="4.4999999999999998E-2"/>
    <n v="0"/>
  </r>
  <r>
    <s v="BWID HAI DUONG 3"/>
    <s v="BIDV - THANH XUAN"/>
    <s v="810005865740"/>
    <s v="Saving Account"/>
    <s v="VND"/>
    <n v="24500000000"/>
    <n v="0"/>
    <x v="2"/>
    <n v="0"/>
    <m/>
    <d v="2025-11-01T00:00:00"/>
    <x v="1"/>
    <x v="0"/>
    <x v="0"/>
    <s v="BIDV - THANH XUAN"/>
    <m/>
    <m/>
    <m/>
    <s v="W0Nov25"/>
    <n v="24.5"/>
    <s v="Next 1 month"/>
    <n v="1"/>
    <n v="1"/>
    <n v="0"/>
    <n v="4.4999999999999998E-2"/>
    <n v="0"/>
  </r>
  <r>
    <s v="NDV PROJECT CO"/>
    <s v="BIDV - THANH XUAN"/>
    <s v="815006820776"/>
    <s v="Saving Account"/>
    <s v="VND"/>
    <n v="4815000000"/>
    <m/>
    <x v="0"/>
    <m/>
    <m/>
    <d v="2026-01-07T00:00:00"/>
    <x v="1"/>
    <x v="0"/>
    <x v="0"/>
    <s v="BIDV - THANH XUAN"/>
    <m/>
    <m/>
    <m/>
    <s v="W-51Jan26"/>
    <n v="4.8150000000000004"/>
    <s v="Next 3 months"/>
    <n v="3"/>
    <n v="3"/>
    <n v="0"/>
    <n v="4.4999999999999998E-2"/>
    <n v="0"/>
  </r>
  <r>
    <s v="THUAN THANH 3B"/>
    <s v="VIETCOMBANK - BA DINH"/>
    <s v="1050537961"/>
    <s v="Saving Account"/>
    <s v="VND"/>
    <n v="4000000000"/>
    <m/>
    <x v="2"/>
    <m/>
    <m/>
    <d v="2025-10-17T00:00:00"/>
    <x v="2"/>
    <x v="0"/>
    <x v="2"/>
    <s v="VIETCOMBANK - BA DINH"/>
    <m/>
    <m/>
    <m/>
    <s v="W2Oct25"/>
    <n v="4"/>
    <s v="Due in Oct"/>
    <n v="1"/>
    <n v="1"/>
    <n v="0"/>
    <n v="4.2999999999999997E-2"/>
    <n v="0"/>
  </r>
  <r>
    <s v="BW HAI AN"/>
    <s v="BIDV - THANH XUAN"/>
    <s v="817007296714"/>
    <s v="Saving Account"/>
    <s v="VND"/>
    <n v="5000000000"/>
    <m/>
    <x v="2"/>
    <m/>
    <m/>
    <d v="2025-10-28T00:00:00"/>
    <x v="2"/>
    <x v="0"/>
    <x v="0"/>
    <s v="BIDV - THANH XUAN"/>
    <m/>
    <m/>
    <m/>
    <s v="W4Oct25"/>
    <n v="5"/>
    <s v="Due in Oct"/>
    <n v="1"/>
    <n v="1"/>
    <n v="0"/>
    <n v="4.2999999999999997E-2"/>
    <n v="0"/>
  </r>
  <r>
    <s v="BW DINH VU"/>
    <s v="BIDV - THANH XUAN"/>
    <s v="817007280651"/>
    <s v="Saving Account"/>
    <s v="VND"/>
    <n v="4000000000"/>
    <m/>
    <x v="0"/>
    <m/>
    <m/>
    <d v="2025-10-29T00:00:00"/>
    <x v="1"/>
    <x v="0"/>
    <x v="0"/>
    <s v="BIDV - THANH XUAN"/>
    <m/>
    <m/>
    <m/>
    <s v="W4Oct25"/>
    <n v="4"/>
    <s v="Due in Oct"/>
    <n v="3"/>
    <n v="3"/>
    <n v="0"/>
    <n v="4.4999999999999998E-2"/>
    <n v="0"/>
  </r>
  <r>
    <s v="BWID HAI DUONG 3"/>
    <s v="BIDV - THANH XUAN"/>
    <s v="814007295493"/>
    <s v="Saving Account"/>
    <s v="VND"/>
    <n v="10500000000"/>
    <m/>
    <x v="0"/>
    <m/>
    <m/>
    <d v="2025-10-30T00:00:00"/>
    <x v="1"/>
    <x v="0"/>
    <x v="0"/>
    <s v="BIDV - THANH XUAN"/>
    <m/>
    <m/>
    <m/>
    <s v="W4Oct25"/>
    <n v="10.5"/>
    <s v="Due in Oct"/>
    <n v="3"/>
    <n v="3"/>
    <n v="0"/>
    <n v="4.4999999999999998E-2"/>
    <n v="0"/>
  </r>
  <r>
    <s v="TAY NAM A"/>
    <s v="KBank - HCM"/>
    <s v="400000001828"/>
    <s v="Saving Account"/>
    <s v="VND"/>
    <n v="1700000000"/>
    <m/>
    <x v="0"/>
    <m/>
    <m/>
    <d v="2025-11-01T00:00:00"/>
    <x v="9"/>
    <x v="0"/>
    <x v="4"/>
    <s v="KBank - HCM"/>
    <m/>
    <m/>
    <m/>
    <s v="W0Nov25"/>
    <n v="1.7"/>
    <s v="Next 1 month"/>
    <m/>
    <m/>
    <m/>
    <m/>
    <m/>
  </r>
  <r>
    <s v="BW DONG HAI"/>
    <s v="BIDV - THANH XUAN"/>
    <s v="816007779759"/>
    <s v="Saving Account"/>
    <s v="VND"/>
    <n v="4000000000"/>
    <m/>
    <x v="0"/>
    <m/>
    <m/>
    <d v="2025-11-28T00:00:00"/>
    <x v="1"/>
    <x v="0"/>
    <x v="0"/>
    <s v="BIDV - THANH XUAN"/>
    <m/>
    <m/>
    <m/>
    <s v="W4Nov25"/>
    <n v="4"/>
    <s v="Next 1 month"/>
    <n v="3"/>
    <n v="3"/>
    <n v="0"/>
    <n v="4.4999999999999998E-2"/>
    <n v="0"/>
  </r>
  <r>
    <s v="BW PHU NGHIA"/>
    <s v="BIDV - THANH XUAN"/>
    <s v="819007660245"/>
    <s v="Saving Account"/>
    <s v="VND"/>
    <n v="4000000000"/>
    <m/>
    <x v="2"/>
    <m/>
    <m/>
    <d v="2025-10-21T00:00:00"/>
    <x v="2"/>
    <x v="0"/>
    <x v="0"/>
    <s v="BIDV - THANH XUAN"/>
    <m/>
    <m/>
    <m/>
    <s v="W3Oct25"/>
    <n v="4"/>
    <s v="Due in Oct"/>
    <n v="1"/>
    <n v="1"/>
    <n v="0"/>
    <n v="4.2999999999999997E-2"/>
    <n v="0"/>
  </r>
  <r>
    <s v="BW NAM HAI"/>
    <s v="VIETCOMBANK - BA DINH"/>
    <s v="1052530076"/>
    <s v="Saving Account"/>
    <s v="VND"/>
    <n v="7000000000"/>
    <m/>
    <x v="2"/>
    <m/>
    <m/>
    <d v="2025-10-29T00:00:00"/>
    <x v="1"/>
    <x v="0"/>
    <x v="2"/>
    <s v="VIETCOMBANK - BA DINH"/>
    <m/>
    <m/>
    <m/>
    <s v="W4Oct25"/>
    <n v="7"/>
    <s v="Due in Oct"/>
    <n v="1"/>
    <n v="1"/>
    <n v="0"/>
    <n v="4.4999999999999998E-2"/>
    <n v="0"/>
  </r>
  <r>
    <s v="BW SAI GON"/>
    <s v="SINOPAC"/>
    <s v="07003600015026"/>
    <s v="Saving Account"/>
    <s v="VND"/>
    <n v="20000000000"/>
    <m/>
    <x v="0"/>
    <m/>
    <m/>
    <d v="2025-11-21T00:00:00"/>
    <x v="1"/>
    <x v="0"/>
    <x v="3"/>
    <s v="SINOPAC"/>
    <m/>
    <m/>
    <m/>
    <s v="W3Nov25"/>
    <n v="20"/>
    <s v="Next 1 month"/>
    <m/>
    <m/>
    <m/>
    <m/>
    <m/>
  </r>
  <r>
    <s v="SUPPLY CHAIN 2A"/>
    <s v="VIB - HOI SO"/>
    <s v="045681644_1"/>
    <s v="Saving Account"/>
    <s v="VND"/>
    <n v="2600000000"/>
    <m/>
    <x v="1"/>
    <m/>
    <m/>
    <d v="2025-12-02T00:00:00"/>
    <x v="10"/>
    <x v="0"/>
    <x v="5"/>
    <s v="VIB - HOI SO"/>
    <m/>
    <m/>
    <m/>
    <s v="W0Dec25"/>
    <n v="2.6"/>
    <s v="Next 2 months"/>
    <m/>
    <m/>
    <m/>
    <m/>
    <m/>
  </r>
  <r>
    <s v="NSHL LLC"/>
    <s v="BIDV - THANH XUAN"/>
    <s v="2225179735_1"/>
    <s v="Saving Account"/>
    <s v="VND"/>
    <n v="7400000000"/>
    <m/>
    <x v="2"/>
    <m/>
    <m/>
    <d v="2025-10-20T00:00:00"/>
    <x v="2"/>
    <x v="0"/>
    <x v="0"/>
    <s v="BIDV - THANH XUAN"/>
    <m/>
    <m/>
    <m/>
    <s v="W3Oct25"/>
    <n v="7.4"/>
    <s v="Due in Oct"/>
    <n v="1"/>
    <n v="1"/>
    <n v="0"/>
    <n v="4.2999999999999997E-2"/>
    <n v="0"/>
  </r>
  <r>
    <s v="BWID BAC NINH"/>
    <s v="VIETINBANK - TIEN SON"/>
    <s v="217000439330"/>
    <s v="Saving Account"/>
    <s v="VND"/>
    <n v="2500000000"/>
    <m/>
    <x v="2"/>
    <n v="0"/>
    <d v="2025-01-21T00:00:00"/>
    <d v="2025-10-21T00:00:00"/>
    <x v="2"/>
    <x v="0"/>
    <x v="1"/>
    <s v="VIETINBANK - TIEN SON"/>
    <m/>
    <m/>
    <m/>
    <s v="W3Oct25"/>
    <n v="2.5"/>
    <s v="Due in Oct"/>
    <n v="1"/>
    <n v="1"/>
    <n v="0"/>
    <n v="4.2999999999999997E-2"/>
    <n v="0"/>
  </r>
  <r>
    <s v="XENIA 1"/>
    <s v="VIETINBANK - TIEN SON"/>
    <s v="116646026868_1"/>
    <s v="Saving Account"/>
    <s v="VND"/>
    <n v="78000000000"/>
    <m/>
    <x v="2"/>
    <m/>
    <m/>
    <d v="2025-10-22T00:00:00"/>
    <x v="2"/>
    <x v="0"/>
    <x v="1"/>
    <s v="VIETINBANK - TIEN SON"/>
    <m/>
    <m/>
    <m/>
    <s v="W3Oct25"/>
    <n v="78"/>
    <s v="Due in Oct"/>
    <n v="1"/>
    <n v="1"/>
    <n v="0"/>
    <n v="4.2999999999999997E-2"/>
    <n v="0"/>
  </r>
  <r>
    <s v="WPJV 3"/>
    <s v="VIETINBANK - TIEN SON"/>
    <s v="218000439339"/>
    <s v="Saving Account"/>
    <s v="VND"/>
    <n v="50000000"/>
    <m/>
    <x v="2"/>
    <m/>
    <m/>
    <d v="2025-10-22T00:00:00"/>
    <x v="2"/>
    <x v="0"/>
    <x v="1"/>
    <s v="VIETINBANK - TIEN SON"/>
    <m/>
    <m/>
    <m/>
    <s v="W3Oct25"/>
    <n v="0.05"/>
    <s v="Due in Oct"/>
    <n v="1"/>
    <n v="1"/>
    <n v="0"/>
    <n v="4.2999999999999997E-2"/>
    <n v="0"/>
  </r>
  <r>
    <s v="BAC TIEN PHONG"/>
    <s v="BIDV - THANH XUAN"/>
    <s v="813008725727"/>
    <s v="Saving Account"/>
    <s v="VND"/>
    <n v="2000000000"/>
    <m/>
    <x v="0"/>
    <m/>
    <m/>
    <d v="2025-10-22T00:00:00"/>
    <x v="0"/>
    <x v="0"/>
    <x v="0"/>
    <s v="BIDV - THANH XUAN"/>
    <m/>
    <m/>
    <m/>
    <s v="W3Oct25"/>
    <n v="2"/>
    <s v="Due in Oct"/>
    <n v="3"/>
    <n v="3"/>
    <n v="0"/>
    <n v="4.3999999999999997E-2"/>
    <n v="0"/>
  </r>
  <r>
    <s v="BWID HAI DUONG 3"/>
    <s v="BIDV - THANH XUAN"/>
    <s v="815008719852"/>
    <s v="Saving Account"/>
    <s v="VND"/>
    <n v="9000000000"/>
    <m/>
    <x v="0"/>
    <m/>
    <m/>
    <d v="2025-10-22T00:00:00"/>
    <x v="0"/>
    <x v="0"/>
    <x v="0"/>
    <s v="BIDV - THANH XUAN"/>
    <m/>
    <m/>
    <m/>
    <s v="W3Oct25"/>
    <n v="9"/>
    <s v="Due in Oct"/>
    <n v="3"/>
    <n v="3"/>
    <n v="0"/>
    <n v="4.3999999999999997E-2"/>
    <n v="0"/>
  </r>
  <r>
    <s v="BWID LOGISTICS TAN UYEN"/>
    <s v="VIETCOMBANK - BA DINH"/>
    <s v="001054485764"/>
    <s v="Saving Account"/>
    <s v="VND"/>
    <n v="5000000000"/>
    <m/>
    <x v="4"/>
    <m/>
    <m/>
    <d v="2025-12-11T00:00:00"/>
    <x v="1"/>
    <x v="0"/>
    <x v="2"/>
    <s v="VIETCOMBANK - BA DINH"/>
    <m/>
    <m/>
    <m/>
    <s v="W1Dec25"/>
    <n v="5"/>
    <s v="Next 2 months"/>
    <n v="2"/>
    <n v="2"/>
    <n v="0"/>
    <n v="4.4999999999999998E-2"/>
    <n v="0"/>
  </r>
  <r>
    <s v="BW DONG HAI"/>
    <s v="BIDV - THANH XUAN"/>
    <s v="817009465564"/>
    <s v="Saving Account"/>
    <s v="VND"/>
    <n v="13000000000"/>
    <m/>
    <x v="0"/>
    <m/>
    <m/>
    <d v="2025-11-28T00:00:00"/>
    <x v="1"/>
    <x v="0"/>
    <x v="0"/>
    <s v="BIDV - THANH XUAN"/>
    <m/>
    <m/>
    <m/>
    <s v="W4Nov25"/>
    <n v="13"/>
    <s v="Next 1 month"/>
    <n v="3"/>
    <n v="3"/>
    <n v="0"/>
    <n v="4.4999999999999998E-2"/>
    <n v="0"/>
  </r>
  <r>
    <s v="KIM TRUC DN"/>
    <s v="BIDV - NAM SAI GON"/>
    <s v="819009338065"/>
    <s v="Saving Account"/>
    <s v="VND"/>
    <n v="1460000000"/>
    <m/>
    <x v="3"/>
    <m/>
    <m/>
    <d v="2026-02-21T00:00:00"/>
    <x v="11"/>
    <x v="0"/>
    <x v="0"/>
    <s v="BIDV - NAM SAI GON"/>
    <m/>
    <m/>
    <m/>
    <s v="W3Feb26"/>
    <n v="1.46"/>
    <s v="Next 4 months"/>
    <n v="12"/>
    <n v="12"/>
    <n v="0"/>
    <n v="5.1999999999999998E-2"/>
    <n v="0"/>
  </r>
  <r>
    <s v="XENIA 2"/>
    <s v="VIETINBANK - TIEN SON"/>
    <s v="118625469999_1"/>
    <s v="Saving Account"/>
    <s v="VND"/>
    <n v="3000000000"/>
    <m/>
    <x v="2"/>
    <m/>
    <m/>
    <d v="2025-10-25T00:00:00"/>
    <x v="2"/>
    <x v="0"/>
    <x v="1"/>
    <s v="VIETINBANK - TIEN SON"/>
    <m/>
    <m/>
    <m/>
    <s v="W3Oct25"/>
    <n v="3"/>
    <s v="Due in Oct"/>
    <n v="1"/>
    <n v="1"/>
    <n v="0"/>
    <n v="4.2999999999999997E-2"/>
    <n v="0"/>
  </r>
  <r>
    <s v="XENIA 2"/>
    <s v="VIETINBANK - TIEN SON"/>
    <s v="118625469999_2"/>
    <s v="Saving Account"/>
    <s v="VND"/>
    <n v="7000000000"/>
    <m/>
    <x v="2"/>
    <m/>
    <m/>
    <d v="2025-10-25T00:00:00"/>
    <x v="2"/>
    <x v="0"/>
    <x v="1"/>
    <s v="VIETINBANK - TIEN SON"/>
    <m/>
    <m/>
    <m/>
    <s v="W3Oct25"/>
    <n v="7"/>
    <s v="Due in Oct"/>
    <n v="1"/>
    <n v="1"/>
    <n v="0"/>
    <n v="4.2999999999999997E-2"/>
    <n v="0"/>
  </r>
  <r>
    <s v="KIM TRUC DN"/>
    <s v="BIDV - NAM SAI GON"/>
    <s v="813009581655"/>
    <s v="Saving Account"/>
    <s v="VND"/>
    <n v="6000000000"/>
    <m/>
    <x v="2"/>
    <n v="0"/>
    <d v="2025-03-06T00:00:00"/>
    <d v="2025-11-06T00:00:00"/>
    <x v="2"/>
    <x v="0"/>
    <x v="0"/>
    <s v="BIDV - NAM SAI GON"/>
    <m/>
    <m/>
    <m/>
    <s v="W1Nov25"/>
    <n v="6"/>
    <s v="Next 1 month"/>
    <n v="1"/>
    <n v="1"/>
    <n v="0"/>
    <n v="4.2999999999999997E-2"/>
    <n v="0"/>
  </r>
  <r>
    <s v="BWID Tan Phu Trung"/>
    <s v="VIETINBANK - TIEN SON"/>
    <s v="215000449171"/>
    <s v="Saving Account"/>
    <s v="VND"/>
    <n v="8000000000"/>
    <m/>
    <x v="2"/>
    <n v="0"/>
    <d v="2025-03-20T00:00:00"/>
    <d v="2025-10-20T00:00:00"/>
    <x v="2"/>
    <x v="0"/>
    <x v="1"/>
    <s v="VIETINBANK - TIEN SON"/>
    <m/>
    <m/>
    <m/>
    <s v="W3Oct25"/>
    <n v="8"/>
    <s v="Due in Oct"/>
    <n v="1"/>
    <n v="1"/>
    <n v="0"/>
    <n v="4.2999999999999997E-2"/>
    <n v="0"/>
  </r>
  <r>
    <s v="BW NAM DINH VU"/>
    <s v="BIDV - LONG BIEN"/>
    <s v="815009921777"/>
    <s v="Saving Account"/>
    <s v="VND"/>
    <n v="12000000000"/>
    <m/>
    <x v="0"/>
    <n v="0"/>
    <d v="2025-03-25T00:00:00"/>
    <d v="2025-12-25T00:00:00"/>
    <x v="1"/>
    <x v="0"/>
    <x v="0"/>
    <s v="BIDV - LONG BIEN"/>
    <m/>
    <m/>
    <m/>
    <s v="W3Dec25"/>
    <n v="12"/>
    <s v="Next 2 months"/>
    <n v="3"/>
    <n v="3"/>
    <n v="0"/>
    <n v="4.4999999999999998E-2"/>
    <n v="0"/>
  </r>
  <r>
    <s v="WINLOCK 2A"/>
    <s v="VIETINBANK - TIEN SON"/>
    <s v="215000450023"/>
    <s v="Saving Account"/>
    <s v="VND"/>
    <n v="2647867968"/>
    <m/>
    <x v="5"/>
    <n v="0"/>
    <d v="2025-03-25T00:00:00"/>
    <d v="2026-04-25T00:00:00"/>
    <x v="12"/>
    <x v="0"/>
    <x v="1"/>
    <s v="VIETINBANK - TIEN SON"/>
    <m/>
    <m/>
    <m/>
    <s v="W3Apr26"/>
    <n v="2.6478679679999999"/>
    <s v="Next 6 months"/>
    <n v="13"/>
    <n v="13"/>
    <n v="0"/>
    <n v="4.7E-2"/>
    <n v="0"/>
  </r>
  <r>
    <s v="WINLOCK 2A"/>
    <s v="VIETINBANK - TIEN SON"/>
    <s v="217000450019"/>
    <s v="Saving Account"/>
    <s v="VND"/>
    <n v="3277700640"/>
    <m/>
    <x v="5"/>
    <n v="0"/>
    <d v="2025-03-25T00:00:00"/>
    <d v="2026-04-25T00:00:00"/>
    <x v="12"/>
    <x v="0"/>
    <x v="1"/>
    <s v="VIETINBANK - TIEN SON"/>
    <m/>
    <m/>
    <m/>
    <s v="W3Apr26"/>
    <n v="3.2777006399999999"/>
    <s v="Next 6 months"/>
    <n v="13"/>
    <n v="13"/>
    <n v="0"/>
    <n v="4.7E-2"/>
    <n v="0"/>
  </r>
  <r>
    <s v="BWID HAI DUONG"/>
    <s v="VIETINBANK - TIEN SON"/>
    <s v="216000453618"/>
    <s v="Saving Account"/>
    <s v="VND"/>
    <n v="16000000000"/>
    <m/>
    <x v="2"/>
    <m/>
    <m/>
    <d v="2025-11-15T00:00:00"/>
    <x v="1"/>
    <x v="0"/>
    <x v="1"/>
    <s v="VIETINBANK - TIEN SON"/>
    <m/>
    <m/>
    <m/>
    <s v="W2Nov25"/>
    <n v="16"/>
    <s v="Next 1 month"/>
    <n v="1"/>
    <n v="1"/>
    <n v="0"/>
    <n v="4.4999999999999998E-2"/>
    <n v="0"/>
  </r>
  <r>
    <s v="BCI JSC"/>
    <s v="VIETINBANK - TIEN SON"/>
    <s v="218000455204"/>
    <s v="Saving Account"/>
    <s v="VND"/>
    <n v="3000000000"/>
    <m/>
    <x v="2"/>
    <m/>
    <m/>
    <d v="2025-10-24T00:00:00"/>
    <x v="2"/>
    <x v="0"/>
    <x v="1"/>
    <s v="VIETINBANK - TIEN SON"/>
    <m/>
    <m/>
    <m/>
    <s v="W3Oct25"/>
    <n v="3"/>
    <s v="Due in Oct"/>
    <n v="1"/>
    <n v="1"/>
    <n v="0"/>
    <n v="4.2999999999999997E-2"/>
    <n v="0"/>
  </r>
  <r>
    <s v="LONG BINH"/>
    <s v="VIETINBANK - CN1"/>
    <s v="214000454333"/>
    <s v="Saving Account"/>
    <s v="VND"/>
    <n v="25000000000"/>
    <m/>
    <x v="0"/>
    <m/>
    <m/>
    <d v="2025-10-18T00:00:00"/>
    <x v="2"/>
    <x v="0"/>
    <x v="1"/>
    <s v="VIETINBANK - CN1"/>
    <m/>
    <m/>
    <m/>
    <s v="W2Oct25"/>
    <n v="25"/>
    <s v="Due in Oct"/>
    <n v="3"/>
    <n v="3"/>
    <n v="0"/>
    <n v="4.2999999999999997E-2"/>
    <n v="0"/>
  </r>
  <r>
    <s v="BWID HAI DUONG"/>
    <s v="VIETINBANK - TIEN SON"/>
    <s v="211000455526"/>
    <s v="Saving Account"/>
    <s v="VND"/>
    <n v="8000000000"/>
    <m/>
    <x v="0"/>
    <m/>
    <m/>
    <d v="2025-10-25T00:00:00"/>
    <x v="1"/>
    <x v="0"/>
    <x v="1"/>
    <s v="VIETINBANK - TIEN SON"/>
    <m/>
    <m/>
    <m/>
    <s v="W3Oct25"/>
    <n v="8"/>
    <s v="Due in Oct"/>
    <n v="3"/>
    <n v="3"/>
    <n v="0"/>
    <n v="4.4999999999999998E-2"/>
    <n v="0"/>
  </r>
  <r>
    <s v="DEEP C 2B"/>
    <s v="VIETINBANK - TPHCM"/>
    <s v="117002972458_1"/>
    <s v="Saving Account"/>
    <s v="VND"/>
    <n v="9000000000"/>
    <m/>
    <x v="0"/>
    <m/>
    <m/>
    <d v="2025-10-18T00:00:00"/>
    <x v="2"/>
    <x v="0"/>
    <x v="1"/>
    <s v="VIETINBANK - TPHCM"/>
    <m/>
    <m/>
    <m/>
    <s v="W2Oct25"/>
    <n v="9"/>
    <s v="Due in Oct"/>
    <n v="3"/>
    <n v="3"/>
    <n v="0"/>
    <n v="4.2999999999999997E-2"/>
    <n v="0"/>
  </r>
  <r>
    <s v="BWID BAC NINH"/>
    <s v="VIETINBANK - TIEN SON"/>
    <s v="217000456229"/>
    <s v="Saving Account"/>
    <s v="VND"/>
    <n v="4000000000"/>
    <m/>
    <x v="2"/>
    <m/>
    <m/>
    <d v="2025-10-29T00:00:00"/>
    <x v="2"/>
    <x v="0"/>
    <x v="1"/>
    <s v="VIETINBANK - TIEN SON"/>
    <m/>
    <m/>
    <m/>
    <s v="W4Oct25"/>
    <n v="4"/>
    <s v="Due in Oct"/>
    <n v="1"/>
    <n v="1"/>
    <n v="0"/>
    <n v="4.2999999999999997E-2"/>
    <n v="0"/>
  </r>
  <r>
    <s v="KIM TRUC DN"/>
    <s v="BIDV - NAM SAI GON"/>
    <s v="813010526699"/>
    <s v="Saving Account"/>
    <s v="VND"/>
    <n v="4000000000"/>
    <m/>
    <x v="2"/>
    <m/>
    <m/>
    <d v="2025-10-29T00:00:00"/>
    <x v="2"/>
    <x v="0"/>
    <x v="0"/>
    <s v="BIDV - NAM SAI GON"/>
    <m/>
    <m/>
    <m/>
    <s v="W4Oct25"/>
    <n v="4"/>
    <s v="Due in Oct"/>
    <n v="1"/>
    <n v="1"/>
    <n v="0"/>
    <n v="4.2999999999999997E-2"/>
    <n v="0"/>
  </r>
  <r>
    <s v="BW DINH VU"/>
    <s v="BIDV - THANH XUAN"/>
    <s v="814010344089"/>
    <s v="Saving Account"/>
    <s v="VND"/>
    <n v="11000000000"/>
    <m/>
    <x v="0"/>
    <m/>
    <m/>
    <d v="2025-10-17T00:00:00"/>
    <x v="0"/>
    <x v="0"/>
    <x v="0"/>
    <s v="BIDV - THANH XUAN"/>
    <m/>
    <m/>
    <m/>
    <s v="W2Oct25"/>
    <n v="11"/>
    <s v="Due in Oct"/>
    <n v="3"/>
    <n v="3"/>
    <n v="0"/>
    <n v="4.3999999999999997E-2"/>
    <n v="0"/>
  </r>
  <r>
    <s v="BAC TIEN PHONG"/>
    <s v="BIDV - THANH XUAN"/>
    <s v="816010442989"/>
    <s v="Saving Account"/>
    <s v="VND"/>
    <n v="5000000000"/>
    <m/>
    <x v="0"/>
    <m/>
    <m/>
    <d v="2025-10-24T00:00:00"/>
    <x v="1"/>
    <x v="0"/>
    <x v="0"/>
    <s v="BIDV - THANH XUAN"/>
    <m/>
    <m/>
    <m/>
    <s v="W3Oct25"/>
    <n v="5"/>
    <s v="Due in Oct"/>
    <n v="3"/>
    <n v="3"/>
    <n v="0"/>
    <n v="4.4999999999999998E-2"/>
    <n v="0"/>
  </r>
  <r>
    <s v="BWID HAI DUONG 3"/>
    <s v="BIDV - THANH XUAN"/>
    <s v="817010522526"/>
    <s v="Saving Account"/>
    <s v="VND"/>
    <n v="8000000000"/>
    <m/>
    <x v="6"/>
    <m/>
    <m/>
    <d v="2025-11-29T00:00:00"/>
    <x v="9"/>
    <x v="0"/>
    <x v="0"/>
    <s v="BIDV - THANH XUAN"/>
    <m/>
    <m/>
    <m/>
    <s v="W4Nov25"/>
    <n v="8"/>
    <s v="Next 1 month"/>
    <n v="7"/>
    <n v="7"/>
    <n v="0"/>
    <n v="4.5999999999999999E-2"/>
    <n v="0"/>
  </r>
  <r>
    <s v="BWID HAI DUONG 3"/>
    <s v="BIDV - THANH XUAN"/>
    <s v="814010522556"/>
    <s v="Saving Account"/>
    <s v="VND"/>
    <n v="12000000000"/>
    <m/>
    <x v="1"/>
    <m/>
    <m/>
    <d v="2025-10-29T00:00:00"/>
    <x v="9"/>
    <x v="0"/>
    <x v="0"/>
    <s v="BIDV - THANH XUAN"/>
    <m/>
    <m/>
    <m/>
    <s v="W4Oct25"/>
    <n v="12"/>
    <s v="Due in Oct"/>
    <n v="6"/>
    <n v="6"/>
    <n v="0"/>
    <n v="4.5999999999999999E-2"/>
    <n v="0"/>
  </r>
  <r>
    <s v="THUAN THANH 3B"/>
    <s v="VIETCOMBANK - BA DINH"/>
    <s v="1056718477"/>
    <s v="Saving Account"/>
    <s v="VND"/>
    <n v="8000000000"/>
    <m/>
    <x v="0"/>
    <m/>
    <m/>
    <d v="2025-10-29T00:00:00"/>
    <x v="1"/>
    <x v="0"/>
    <x v="2"/>
    <s v="VIETCOMBANK - BA DINH"/>
    <m/>
    <m/>
    <m/>
    <s v="W4Oct25"/>
    <n v="8"/>
    <s v="Due in Oct"/>
    <n v="3"/>
    <n v="3"/>
    <n v="0"/>
    <n v="4.4999999999999998E-2"/>
    <n v="0"/>
  </r>
  <r>
    <s v="THUAN THANH 3B"/>
    <s v="VIETCOMBANK - BA DINH"/>
    <s v="1056403522"/>
    <s v="Saving Account"/>
    <s v="VND"/>
    <n v="11000000000"/>
    <m/>
    <x v="1"/>
    <m/>
    <m/>
    <d v="2025-10-24T00:00:00"/>
    <x v="6"/>
    <x v="0"/>
    <x v="2"/>
    <s v="VIETCOMBANK - BA DINH"/>
    <m/>
    <m/>
    <m/>
    <s v="W3Oct25"/>
    <n v="11"/>
    <s v="Due in Oct"/>
    <n v="6"/>
    <n v="6"/>
    <n v="0"/>
    <n v="4.8000000000000001E-2"/>
    <n v="0"/>
  </r>
  <r>
    <s v="SPV5B"/>
    <s v="VIETINBANK - TIEN SON"/>
    <s v="215000457654"/>
    <s v="Saving Account"/>
    <s v="VND"/>
    <n v="4000000000"/>
    <m/>
    <x v="1"/>
    <m/>
    <m/>
    <d v="2025-11-09T00:00:00"/>
    <x v="0"/>
    <x v="0"/>
    <x v="1"/>
    <s v="VIETINBANK - TIEN SON"/>
    <m/>
    <m/>
    <m/>
    <s v="W2Nov25"/>
    <n v="4"/>
    <s v="Next 1 month"/>
    <n v="6"/>
    <n v="6"/>
    <n v="0"/>
    <n v="4.4000000000000004E-2"/>
    <n v="0"/>
  </r>
  <r>
    <s v="SONG THAN 2"/>
    <s v="VIETINBANK - TPHCM"/>
    <s v="111002975027_2"/>
    <s v="Saving Account"/>
    <s v="VND"/>
    <n v="9000000000"/>
    <m/>
    <x v="7"/>
    <m/>
    <m/>
    <d v="2025-10-25T00:00:00"/>
    <x v="7"/>
    <x v="0"/>
    <x v="1"/>
    <s v="VIETINBANK - TPHCM"/>
    <m/>
    <m/>
    <m/>
    <s v="W3Oct25"/>
    <n v="9"/>
    <s v="Due in Oct"/>
    <n v="5"/>
    <n v="5"/>
    <n v="0"/>
    <n v="4.2000000000000003E-2"/>
    <n v="0"/>
  </r>
  <r>
    <s v="BWID HAI DUONG 3"/>
    <s v="BIDV - THANH XUAN"/>
    <s v="815010593339"/>
    <s v="Saving Account"/>
    <s v="VND"/>
    <n v="7000000000"/>
    <m/>
    <x v="1"/>
    <m/>
    <m/>
    <d v="2025-11-15T00:00:00"/>
    <x v="9"/>
    <x v="0"/>
    <x v="0"/>
    <s v="BIDV - THANH XUAN"/>
    <m/>
    <m/>
    <m/>
    <s v="W2Nov25"/>
    <n v="7"/>
    <s v="Next 1 month"/>
    <n v="6"/>
    <n v="6"/>
    <n v="0"/>
    <n v="4.5999999999999999E-2"/>
    <n v="0"/>
  </r>
  <r>
    <s v="BW NAM HAI"/>
    <s v="VIETCOMBANK - BA DINH"/>
    <s v="1057115518"/>
    <s v="Saving Account"/>
    <s v="VND"/>
    <n v="3000000000"/>
    <m/>
    <x v="2"/>
    <m/>
    <m/>
    <d v="2025-11-14T00:00:00"/>
    <x v="1"/>
    <x v="0"/>
    <x v="2"/>
    <s v="VIETCOMBANK - BA DINH"/>
    <m/>
    <m/>
    <m/>
    <s v="W2Nov25"/>
    <n v="3"/>
    <s v="Next 1 month"/>
    <n v="1"/>
    <n v="1"/>
    <n v="0"/>
    <n v="4.4999999999999998E-2"/>
    <n v="0"/>
  </r>
  <r>
    <s v="BWID BINH DUONG"/>
    <s v="SINOPAC"/>
    <s v="07003600016049"/>
    <s v="Saving Account"/>
    <s v="VND"/>
    <n v="30000000000"/>
    <m/>
    <x v="0"/>
    <m/>
    <m/>
    <d v="2025-11-05T00:00:00"/>
    <x v="1"/>
    <x v="1"/>
    <x v="3"/>
    <s v="SINOPAC"/>
    <m/>
    <m/>
    <m/>
    <s v="W1Nov25"/>
    <n v="30"/>
    <s v="Next 1 month"/>
    <m/>
    <m/>
    <m/>
    <m/>
    <m/>
  </r>
  <r>
    <s v="BWID HAI DUONG 3"/>
    <s v="BIDV - THANH XUAN"/>
    <s v="814010881733"/>
    <s v="Saving Account"/>
    <s v="VND"/>
    <n v="1300000000"/>
    <m/>
    <x v="1"/>
    <m/>
    <m/>
    <d v="2025-11-20T00:00:00"/>
    <x v="1"/>
    <x v="0"/>
    <x v="0"/>
    <s v="BIDV - THANH XUAN"/>
    <m/>
    <m/>
    <m/>
    <s v="W3Nov25"/>
    <n v="1.3"/>
    <s v="Next 1 month"/>
    <n v="6"/>
    <n v="6"/>
    <n v="0"/>
    <n v="4.4999999999999998E-2"/>
    <n v="0"/>
  </r>
  <r>
    <s v="BWID HAI DUONG 3"/>
    <s v="BIDV - THANH XUAN"/>
    <s v="811010881907"/>
    <s v="Saving Account"/>
    <s v="VND"/>
    <n v="100000000"/>
    <m/>
    <x v="1"/>
    <m/>
    <m/>
    <d v="2025-12-01T00:00:00"/>
    <x v="1"/>
    <x v="0"/>
    <x v="0"/>
    <s v="BIDV - THANH XUAN"/>
    <m/>
    <m/>
    <m/>
    <s v="W0Dec25"/>
    <n v="0.1"/>
    <s v="Next 2 months"/>
    <n v="6"/>
    <n v="6"/>
    <n v="0"/>
    <n v="4.4999999999999998E-2"/>
    <n v="0"/>
  </r>
  <r>
    <s v="BW PHU NGHIA"/>
    <s v="BIDV - THANH XUAN"/>
    <s v="817010925175"/>
    <s v="Saving Account"/>
    <s v="VND"/>
    <n v="2000000000"/>
    <m/>
    <x v="2"/>
    <m/>
    <m/>
    <d v="2025-10-23T00:00:00"/>
    <x v="2"/>
    <x v="0"/>
    <x v="0"/>
    <s v="BIDV - THANH XUAN"/>
    <m/>
    <m/>
    <m/>
    <s v="W3Oct25"/>
    <n v="2"/>
    <s v="Due in Oct"/>
    <n v="1"/>
    <n v="1"/>
    <n v="0"/>
    <n v="4.2999999999999997E-2"/>
    <n v="0"/>
  </r>
  <r>
    <s v="BW PHU NGHIA"/>
    <s v="BIDV - THANH XUAN"/>
    <s v="817010925218"/>
    <s v="Saving Account"/>
    <s v="VND"/>
    <n v="2000000000"/>
    <m/>
    <x v="6"/>
    <m/>
    <m/>
    <d v="2025-12-23T00:00:00"/>
    <x v="1"/>
    <x v="0"/>
    <x v="0"/>
    <s v="BIDV - THANH XUAN"/>
    <m/>
    <m/>
    <m/>
    <s v="W3Dec25"/>
    <n v="2"/>
    <s v="Next 2 months"/>
    <n v="7"/>
    <n v="7"/>
    <n v="0"/>
    <n v="4.4999999999999998E-2"/>
    <n v="0"/>
  </r>
  <r>
    <s v="BWID Tan Phu Trung"/>
    <s v="VIETINBANK - TIEN SON"/>
    <s v="211000461752"/>
    <s v="Saving Account"/>
    <s v="VND"/>
    <n v="13000000000"/>
    <m/>
    <x v="2"/>
    <m/>
    <m/>
    <d v="2025-11-02T00:00:00"/>
    <x v="1"/>
    <x v="0"/>
    <x v="1"/>
    <s v="VIETINBANK - TIEN SON"/>
    <m/>
    <m/>
    <m/>
    <s v="W1Nov25"/>
    <n v="13"/>
    <s v="Next 1 month"/>
    <n v="1"/>
    <n v="1"/>
    <n v="0"/>
    <n v="4.4999999999999998E-2"/>
    <n v="0"/>
  </r>
  <r>
    <s v="THUAN THANH 3B"/>
    <s v="VIETCOMBANK - BA DINH"/>
    <s v="1057670538"/>
    <s v="Saving Account"/>
    <s v="VND"/>
    <n v="4000000000"/>
    <m/>
    <x v="8"/>
    <m/>
    <m/>
    <d v="2025-11-03T00:00:00"/>
    <x v="1"/>
    <x v="0"/>
    <x v="2"/>
    <s v="VIETCOMBANK - BA DINH"/>
    <m/>
    <m/>
    <m/>
    <s v="W1Nov25"/>
    <n v="4"/>
    <s v="Next 1 month"/>
    <n v="4"/>
    <n v="4"/>
    <n v="0"/>
    <n v="4.4999999999999998E-2"/>
    <n v="0"/>
  </r>
  <r>
    <s v="THUAN THANH 3B"/>
    <s v="VIETCOMBANK - BA DINH"/>
    <s v="1057669253"/>
    <s v="Saving Account"/>
    <s v="VND"/>
    <n v="14000000000"/>
    <m/>
    <x v="2"/>
    <m/>
    <m/>
    <d v="2025-11-06T00:00:00"/>
    <x v="1"/>
    <x v="0"/>
    <x v="2"/>
    <s v="VIETCOMBANK - BA DINH"/>
    <m/>
    <m/>
    <m/>
    <s v="W1Nov25"/>
    <n v="14"/>
    <s v="Next 1 month"/>
    <n v="1"/>
    <n v="1"/>
    <n v="0"/>
    <n v="4.4999999999999998E-2"/>
    <n v="0"/>
  </r>
  <r>
    <s v="THUAN THANH 3B"/>
    <s v="VIETCOMBANK - BA DINH"/>
    <s v="1057667032"/>
    <s v="Saving Account"/>
    <s v="VND"/>
    <n v="3500000000"/>
    <m/>
    <x v="0"/>
    <m/>
    <m/>
    <d v="2025-12-04T00:00:00"/>
    <x v="1"/>
    <x v="0"/>
    <x v="2"/>
    <s v="VIETCOMBANK - BA DINH"/>
    <m/>
    <m/>
    <m/>
    <s v="W0Dec25"/>
    <n v="3.5"/>
    <s v="Next 2 months"/>
    <n v="3"/>
    <n v="3"/>
    <n v="0"/>
    <n v="4.4999999999999998E-2"/>
    <n v="0"/>
  </r>
  <r>
    <s v="BW NAM DINH VU"/>
    <s v="BIDV - LONG BIEN"/>
    <s v="813011516527"/>
    <s v="Saving Account"/>
    <s v="VND"/>
    <n v="6000000000"/>
    <m/>
    <x v="2"/>
    <m/>
    <m/>
    <d v="2025-10-27T00:00:00"/>
    <x v="2"/>
    <x v="0"/>
    <x v="0"/>
    <s v="BIDV - LONG BIEN"/>
    <m/>
    <m/>
    <m/>
    <s v="W4Oct25"/>
    <n v="6"/>
    <s v="Due in Oct"/>
    <n v="1"/>
    <n v="1"/>
    <n v="0"/>
    <n v="4.2999999999999997E-2"/>
    <n v="0"/>
  </r>
  <r>
    <s v="YEN PHONG"/>
    <s v="VIETINBANK - TIEN SON"/>
    <s v="215000465973"/>
    <s v="Saving Account"/>
    <s v="VND"/>
    <n v="3000000000"/>
    <m/>
    <x v="2"/>
    <m/>
    <m/>
    <d v="2025-10-24T00:00:00"/>
    <x v="2"/>
    <x v="0"/>
    <x v="1"/>
    <s v="VIETINBANK - TIEN SON"/>
    <m/>
    <m/>
    <m/>
    <s v="W3Oct25"/>
    <n v="3"/>
    <s v="Due in Oct"/>
    <n v="1"/>
    <n v="1"/>
    <n v="0"/>
    <n v="4.2999999999999997E-2"/>
    <n v="0"/>
  </r>
  <r>
    <s v="BWID Tan Phu Trung"/>
    <s v="VIETINBANK - TIEN SON"/>
    <s v="219000465302"/>
    <s v="Saving Account"/>
    <s v="VND"/>
    <n v="5000000000"/>
    <m/>
    <x v="2"/>
    <m/>
    <m/>
    <d v="2025-10-20T00:00:00"/>
    <x v="2"/>
    <x v="0"/>
    <x v="1"/>
    <s v="VIETINBANK - TIEN SON"/>
    <m/>
    <m/>
    <m/>
    <s v="W3Oct25"/>
    <n v="5"/>
    <s v="Due in Oct"/>
    <n v="1"/>
    <n v="1"/>
    <n v="0"/>
    <n v="4.2999999999999997E-2"/>
    <n v="0"/>
  </r>
  <r>
    <s v="BAC TIEN PHONG"/>
    <s v="BIDV - THANH XUAN"/>
    <s v="812011512003"/>
    <s v="Saving Account"/>
    <s v="VND"/>
    <n v="3000000000"/>
    <m/>
    <x v="0"/>
    <m/>
    <m/>
    <d v="2025-12-27T00:00:00"/>
    <x v="1"/>
    <x v="0"/>
    <x v="0"/>
    <s v="BIDV - THANH XUAN"/>
    <m/>
    <m/>
    <m/>
    <s v="W3Dec25"/>
    <n v="3"/>
    <s v="Next 2 months"/>
    <n v="3"/>
    <n v="3"/>
    <n v="0"/>
    <n v="4.4999999999999998E-2"/>
    <n v="0"/>
  </r>
  <r>
    <s v="TAN DONG HIEP B ELECTRON"/>
    <s v="VIETINBANK - TPHCM"/>
    <s v="214000465182"/>
    <s v="Saving Account"/>
    <s v="VND"/>
    <n v="5000000000"/>
    <m/>
    <x v="2"/>
    <m/>
    <m/>
    <d v="2025-10-20T00:00:00"/>
    <x v="2"/>
    <x v="0"/>
    <x v="1"/>
    <s v="VIETINBANK - TPHCM"/>
    <m/>
    <m/>
    <m/>
    <s v="W3Oct25"/>
    <n v="5"/>
    <s v="Due in Oct"/>
    <n v="1"/>
    <n v="1"/>
    <n v="0"/>
    <n v="4.2999999999999997E-2"/>
    <n v="0"/>
  </r>
  <r>
    <s v="NDV PROJECT CO"/>
    <s v="BIDV - THANH XUAN"/>
    <s v="814011478864"/>
    <s v="Saving Account"/>
    <s v="VND"/>
    <n v="3000000000"/>
    <m/>
    <x v="2"/>
    <m/>
    <m/>
    <d v="2025-10-25T00:00:00"/>
    <x v="2"/>
    <x v="0"/>
    <x v="0"/>
    <s v="BIDV - THANH XUAN"/>
    <m/>
    <m/>
    <m/>
    <s v="W3Oct25"/>
    <n v="3"/>
    <s v="Due in Oct"/>
    <n v="1"/>
    <n v="1"/>
    <n v="0"/>
    <n v="4.2999999999999997E-2"/>
    <n v="0"/>
  </r>
  <r>
    <s v="BW SAI GON"/>
    <s v="SINOPAC"/>
    <s v="07003600016293"/>
    <s v="Saving Account"/>
    <s v="VND"/>
    <n v="11000000000"/>
    <m/>
    <x v="2"/>
    <m/>
    <m/>
    <d v="2025-11-04T00:00:00"/>
    <x v="13"/>
    <x v="0"/>
    <x v="3"/>
    <s v="SINOPAC"/>
    <m/>
    <m/>
    <m/>
    <s v="W1Nov25"/>
    <n v="11"/>
    <s v="Next 1 month"/>
    <m/>
    <m/>
    <m/>
    <m/>
    <m/>
  </r>
  <r>
    <s v="BW THU DAU MOT"/>
    <s v="VIETINBANK - TIEN SON"/>
    <s v="210000467772"/>
    <s v="Saving Account"/>
    <s v="VND"/>
    <n v="100000000"/>
    <m/>
    <x v="1"/>
    <m/>
    <m/>
    <d v="2026-01-01T00:00:00"/>
    <x v="1"/>
    <x v="0"/>
    <x v="1"/>
    <s v="VIETINBANK - TIEN SON"/>
    <m/>
    <m/>
    <m/>
    <s v="W-52Jan26"/>
    <n v="0.1"/>
    <s v="Next 3 months"/>
    <n v="6"/>
    <n v="6"/>
    <n v="0"/>
    <n v="4.4999999999999998E-2"/>
    <n v="0"/>
  </r>
  <r>
    <s v="HOLDCO N4A"/>
    <s v="VIETINBANK - TIEN SON"/>
    <s v="216000467736"/>
    <s v="Saving Account"/>
    <s v="VND"/>
    <n v="100000000"/>
    <m/>
    <x v="1"/>
    <m/>
    <m/>
    <d v="2026-01-01T00:00:00"/>
    <x v="1"/>
    <x v="0"/>
    <x v="1"/>
    <s v="VIETINBANK - TIEN SON"/>
    <m/>
    <m/>
    <m/>
    <s v="W-52Jan26"/>
    <n v="0.1"/>
    <s v="Next 3 months"/>
    <n v="6"/>
    <n v="6"/>
    <n v="0"/>
    <n v="4.4999999999999998E-2"/>
    <n v="0"/>
  </r>
  <r>
    <s v="HOLDCO N4B"/>
    <s v="VIETINBANK - TIEN SON"/>
    <s v="217000467748"/>
    <s v="Saving Account"/>
    <s v="VND"/>
    <n v="100000000"/>
    <m/>
    <x v="1"/>
    <m/>
    <m/>
    <d v="2026-01-01T00:00:00"/>
    <x v="1"/>
    <x v="0"/>
    <x v="1"/>
    <s v="VIETINBANK - TIEN SON"/>
    <m/>
    <m/>
    <m/>
    <s v="W-52Jan26"/>
    <n v="0.1"/>
    <s v="Next 3 months"/>
    <n v="6"/>
    <n v="6"/>
    <n v="0"/>
    <n v="4.4999999999999998E-2"/>
    <n v="0"/>
  </r>
  <r>
    <s v="HOLDCO N4D"/>
    <s v="VIETINBANK - TIEN SON"/>
    <s v="218000467734"/>
    <s v="Saving Account"/>
    <s v="VND"/>
    <n v="100000000"/>
    <m/>
    <x v="1"/>
    <m/>
    <m/>
    <d v="2026-01-01T00:00:00"/>
    <x v="1"/>
    <x v="0"/>
    <x v="1"/>
    <s v="VIETINBANK - TIEN SON"/>
    <m/>
    <m/>
    <m/>
    <s v="W-52Jan26"/>
    <n v="0.1"/>
    <s v="Next 3 months"/>
    <n v="6"/>
    <n v="6"/>
    <n v="0"/>
    <n v="4.4999999999999998E-2"/>
    <n v="0"/>
  </r>
  <r>
    <s v="HOLDCO N4E"/>
    <s v="VIETINBANK - TIEN SON"/>
    <s v="214000467753"/>
    <s v="Saving Account"/>
    <s v="VND"/>
    <n v="100000000"/>
    <m/>
    <x v="1"/>
    <m/>
    <m/>
    <d v="2026-01-01T00:00:00"/>
    <x v="1"/>
    <x v="0"/>
    <x v="1"/>
    <s v="VIETINBANK - TIEN SON"/>
    <m/>
    <m/>
    <m/>
    <s v="W-52Jan26"/>
    <n v="0.1"/>
    <s v="Next 3 months"/>
    <n v="6"/>
    <n v="6"/>
    <n v="0"/>
    <n v="4.4999999999999998E-2"/>
    <n v="0"/>
  </r>
  <r>
    <s v="HOLDCO4X"/>
    <s v="VIETINBANK - TIEN SON"/>
    <s v="215000467764"/>
    <s v="Saving Account"/>
    <s v="VND"/>
    <n v="800000000"/>
    <m/>
    <x v="1"/>
    <m/>
    <m/>
    <d v="2026-01-01T00:00:00"/>
    <x v="1"/>
    <x v="0"/>
    <x v="1"/>
    <s v="VIETINBANK - TIEN SON"/>
    <m/>
    <m/>
    <m/>
    <s v="W-52Jan26"/>
    <n v="0.8"/>
    <s v="Next 3 months"/>
    <n v="6"/>
    <n v="6"/>
    <n v="0"/>
    <n v="4.4999999999999998E-2"/>
    <n v="0"/>
  </r>
  <r>
    <s v="HOLDCO S4E"/>
    <s v="VIETINBANK - TIEN SON"/>
    <s v="219000467758"/>
    <s v="Saving Account"/>
    <s v="VND"/>
    <n v="900000000"/>
    <m/>
    <x v="1"/>
    <m/>
    <m/>
    <d v="2026-01-01T00:00:00"/>
    <x v="1"/>
    <x v="0"/>
    <x v="1"/>
    <s v="VIETINBANK - TIEN SON"/>
    <m/>
    <m/>
    <m/>
    <s v="W-52Jan26"/>
    <n v="0.9"/>
    <s v="Next 3 months"/>
    <n v="6"/>
    <n v="6"/>
    <n v="0"/>
    <n v="4.4999999999999998E-2"/>
    <n v="0"/>
  </r>
  <r>
    <s v="HOLDCO S5A"/>
    <s v="VIETINBANK - TIEN SON"/>
    <s v="214000467765"/>
    <s v="Saving Account"/>
    <s v="VND"/>
    <n v="800000000"/>
    <m/>
    <x v="1"/>
    <m/>
    <m/>
    <d v="2026-01-01T00:00:00"/>
    <x v="1"/>
    <x v="0"/>
    <x v="1"/>
    <s v="VIETINBANK - TIEN SON"/>
    <m/>
    <m/>
    <m/>
    <s v="W-52Jan26"/>
    <n v="0.8"/>
    <s v="Next 3 months"/>
    <n v="6"/>
    <n v="6"/>
    <n v="0"/>
    <n v="4.4999999999999998E-2"/>
    <n v="0"/>
  </r>
  <r>
    <s v="HOLDCO S5B"/>
    <s v="VIETINBANK - TIEN SON"/>
    <s v="213000467754"/>
    <s v="Saving Account"/>
    <s v="VND"/>
    <n v="850000000"/>
    <m/>
    <x v="1"/>
    <m/>
    <m/>
    <d v="2026-01-01T00:00:00"/>
    <x v="1"/>
    <x v="0"/>
    <x v="1"/>
    <s v="VIETINBANK - TIEN SON"/>
    <m/>
    <m/>
    <m/>
    <s v="W-52Jan26"/>
    <n v="0.85"/>
    <s v="Next 3 months"/>
    <n v="6"/>
    <n v="6"/>
    <n v="0"/>
    <n v="4.4999999999999998E-2"/>
    <n v="0"/>
  </r>
  <r>
    <s v="HOLDCO4W"/>
    <s v="VIETINBANK - TIEN SON"/>
    <s v="216000467749"/>
    <s v="Saving Account"/>
    <s v="VND"/>
    <n v="100000000"/>
    <m/>
    <x v="1"/>
    <m/>
    <m/>
    <d v="2026-01-01T00:00:00"/>
    <x v="1"/>
    <x v="0"/>
    <x v="1"/>
    <s v="VIETINBANK - TIEN SON"/>
    <m/>
    <m/>
    <m/>
    <s v="W-52Jan26"/>
    <n v="0.1"/>
    <s v="Next 3 months"/>
    <n v="6"/>
    <n v="6"/>
    <n v="0"/>
    <n v="4.4999999999999998E-2"/>
    <n v="0"/>
  </r>
  <r>
    <s v="HOLDCO5G"/>
    <s v="VIETINBANK - TIEN SON"/>
    <s v="212000467770"/>
    <s v="Saving Account"/>
    <s v="VND"/>
    <n v="100000000"/>
    <m/>
    <x v="1"/>
    <m/>
    <m/>
    <d v="2026-01-01T00:00:00"/>
    <x v="1"/>
    <x v="0"/>
    <x v="1"/>
    <s v="VIETINBANK - TIEN SON"/>
    <m/>
    <m/>
    <m/>
    <s v="W-52Jan26"/>
    <n v="0.1"/>
    <s v="Next 3 months"/>
    <n v="6"/>
    <n v="6"/>
    <n v="0"/>
    <n v="4.4999999999999998E-2"/>
    <n v="0"/>
  </r>
  <r>
    <s v="HOLDCO5H"/>
    <s v="VIETINBANK - TIEN SON"/>
    <s v="215000467740"/>
    <s v="Saving Account"/>
    <s v="VND"/>
    <n v="90000000"/>
    <m/>
    <x v="1"/>
    <m/>
    <m/>
    <d v="2026-01-01T00:00:00"/>
    <x v="1"/>
    <x v="0"/>
    <x v="1"/>
    <s v="VIETINBANK - TIEN SON"/>
    <m/>
    <m/>
    <m/>
    <s v="W-52Jan26"/>
    <n v="0.09"/>
    <s v="Next 3 months"/>
    <n v="6"/>
    <n v="6"/>
    <n v="0"/>
    <n v="4.4999999999999998E-2"/>
    <n v="0"/>
  </r>
  <r>
    <s v="HOLDCO5I"/>
    <s v="VIETINBANK - TIEN SON"/>
    <s v="211000467771"/>
    <s v="Saving Account"/>
    <s v="VND"/>
    <n v="100000000"/>
    <m/>
    <x v="1"/>
    <m/>
    <m/>
    <d v="2026-01-01T00:00:00"/>
    <x v="1"/>
    <x v="0"/>
    <x v="1"/>
    <s v="VIETINBANK - TIEN SON"/>
    <m/>
    <m/>
    <m/>
    <s v="W-52Jan26"/>
    <n v="0.1"/>
    <s v="Next 3 months"/>
    <n v="6"/>
    <n v="6"/>
    <n v="0"/>
    <n v="4.4999999999999998E-2"/>
    <n v="0"/>
  </r>
  <r>
    <s v="HOLDCO5R"/>
    <s v="VIETINBANK - TIEN SON"/>
    <s v="218000467786"/>
    <s v="Saving Account"/>
    <s v="VND"/>
    <n v="300000000"/>
    <m/>
    <x v="1"/>
    <m/>
    <m/>
    <d v="2026-01-01T00:00:00"/>
    <x v="1"/>
    <x v="0"/>
    <x v="1"/>
    <s v="VIETINBANK - TIEN SON"/>
    <m/>
    <m/>
    <m/>
    <s v="W-52Jan26"/>
    <n v="0.3"/>
    <s v="Next 3 months"/>
    <n v="6"/>
    <n v="6"/>
    <n v="0"/>
    <n v="4.4999999999999998E-2"/>
    <n v="0"/>
  </r>
  <r>
    <s v="HOLDCO5T"/>
    <s v="VIETINBANK - TIEN SON"/>
    <s v="210000467732"/>
    <s v="Saving Account"/>
    <s v="VND"/>
    <n v="100000000"/>
    <m/>
    <x v="1"/>
    <m/>
    <m/>
    <d v="2026-01-01T00:00:00"/>
    <x v="1"/>
    <x v="0"/>
    <x v="1"/>
    <s v="VIETINBANK - TIEN SON"/>
    <m/>
    <m/>
    <m/>
    <s v="W-52Jan26"/>
    <n v="0.1"/>
    <s v="Next 3 months"/>
    <n v="6"/>
    <n v="6"/>
    <n v="0"/>
    <n v="4.4999999999999998E-2"/>
    <n v="0"/>
  </r>
  <r>
    <s v="HOLDCO5U"/>
    <s v="VIETINBANK - TIEN SON"/>
    <s v="213000467766"/>
    <s v="Saving Account"/>
    <s v="VND"/>
    <n v="100000000"/>
    <m/>
    <x v="1"/>
    <m/>
    <m/>
    <d v="2026-01-01T00:00:00"/>
    <x v="1"/>
    <x v="0"/>
    <x v="1"/>
    <s v="VIETINBANK - TIEN SON"/>
    <m/>
    <m/>
    <m/>
    <s v="W-52Jan26"/>
    <n v="0.1"/>
    <s v="Next 3 months"/>
    <n v="6"/>
    <n v="6"/>
    <n v="0"/>
    <n v="4.4999999999999998E-2"/>
    <n v="0"/>
  </r>
  <r>
    <s v="IRE CONSULTANCY &amp; MANAGEMENT"/>
    <s v="VIETINBANK - TIEN SON"/>
    <s v="212000467767"/>
    <s v="Saving Account"/>
    <s v="VND"/>
    <n v="1500000000"/>
    <m/>
    <x v="1"/>
    <m/>
    <m/>
    <d v="2026-01-01T00:00:00"/>
    <x v="1"/>
    <x v="0"/>
    <x v="1"/>
    <s v="VIETINBANK - TIEN SON"/>
    <m/>
    <m/>
    <m/>
    <s v="W-52Jan26"/>
    <n v="1.5"/>
    <s v="Next 3 months"/>
    <n v="6"/>
    <n v="6"/>
    <n v="0"/>
    <n v="4.4999999999999998E-2"/>
    <n v="0"/>
  </r>
  <r>
    <s v="SPV5A"/>
    <s v="VIETINBANK - TIEN SON"/>
    <s v="211000467744"/>
    <s v="Saving Account"/>
    <s v="VND"/>
    <n v="100000000"/>
    <m/>
    <x v="1"/>
    <m/>
    <m/>
    <d v="2026-01-01T00:00:00"/>
    <x v="1"/>
    <x v="0"/>
    <x v="1"/>
    <s v="VIETINBANK - TIEN SON"/>
    <m/>
    <m/>
    <m/>
    <s v="W-52Jan26"/>
    <n v="0.1"/>
    <s v="Next 3 months"/>
    <n v="6"/>
    <n v="6"/>
    <n v="0"/>
    <n v="4.4999999999999998E-2"/>
    <n v="0"/>
  </r>
  <r>
    <s v="WPJV 1"/>
    <s v="VIETINBANK - TIEN SON"/>
    <s v="216000467751"/>
    <s v="Saving Account"/>
    <s v="VND"/>
    <n v="300000000"/>
    <m/>
    <x v="1"/>
    <m/>
    <m/>
    <d v="2026-01-01T00:00:00"/>
    <x v="1"/>
    <x v="0"/>
    <x v="1"/>
    <s v="VIETINBANK - TIEN SON"/>
    <m/>
    <m/>
    <m/>
    <s v="W-52Jan26"/>
    <n v="0.3"/>
    <s v="Next 3 months"/>
    <n v="6"/>
    <n v="6"/>
    <n v="0"/>
    <n v="4.4999999999999998E-2"/>
    <n v="0"/>
  </r>
  <r>
    <s v="WPJV 2"/>
    <s v="VIETINBANK - TIEN SON"/>
    <s v="215000467752"/>
    <s v="Saving Account"/>
    <s v="VND"/>
    <n v="100000000"/>
    <m/>
    <x v="1"/>
    <m/>
    <m/>
    <d v="2026-01-01T00:00:00"/>
    <x v="1"/>
    <x v="0"/>
    <x v="1"/>
    <s v="VIETINBANK - TIEN SON"/>
    <m/>
    <m/>
    <m/>
    <s v="W-52Jan26"/>
    <n v="0.1"/>
    <s v="Next 3 months"/>
    <n v="6"/>
    <n v="6"/>
    <n v="0"/>
    <n v="4.4999999999999998E-2"/>
    <n v="0"/>
  </r>
  <r>
    <s v="PHUOC LOI"/>
    <s v="VIETINBANK - TIEN SON"/>
    <s v="211000467756"/>
    <s v="Saving Account"/>
    <s v="VND"/>
    <n v="100000000"/>
    <m/>
    <x v="1"/>
    <m/>
    <m/>
    <d v="2026-01-01T00:00:00"/>
    <x v="1"/>
    <x v="0"/>
    <x v="1"/>
    <s v="VIETINBANK - TIEN SON"/>
    <m/>
    <m/>
    <m/>
    <s v="W-52Jan26"/>
    <n v="0.1"/>
    <s v="Next 3 months"/>
    <n v="6"/>
    <n v="6"/>
    <n v="0"/>
    <n v="4.4999999999999998E-2"/>
    <n v="0"/>
  </r>
  <r>
    <s v="SPV4D"/>
    <s v="VIETINBANK - TIEN SON"/>
    <s v="212000467743"/>
    <s v="Saving Account"/>
    <s v="VND"/>
    <n v="780000000"/>
    <m/>
    <x v="1"/>
    <m/>
    <m/>
    <d v="2026-01-01T00:00:00"/>
    <x v="1"/>
    <x v="0"/>
    <x v="1"/>
    <s v="VIETINBANK - TIEN SON"/>
    <m/>
    <m/>
    <m/>
    <s v="W-52Jan26"/>
    <n v="0.78"/>
    <s v="Next 3 months"/>
    <n v="6"/>
    <n v="6"/>
    <n v="0"/>
    <n v="4.4999999999999998E-2"/>
    <n v="0"/>
  </r>
  <r>
    <s v="SPV4E"/>
    <s v="VIETINBANK - TIEN SON"/>
    <s v="218000467747"/>
    <s v="Saving Account"/>
    <s v="VND"/>
    <n v="400000000"/>
    <m/>
    <x v="1"/>
    <m/>
    <m/>
    <d v="2026-01-01T00:00:00"/>
    <x v="1"/>
    <x v="0"/>
    <x v="1"/>
    <s v="VIETINBANK - TIEN SON"/>
    <m/>
    <m/>
    <m/>
    <s v="W-52Jan26"/>
    <n v="0.4"/>
    <s v="Next 3 months"/>
    <n v="6"/>
    <n v="6"/>
    <n v="0"/>
    <n v="4.4999999999999998E-2"/>
    <n v="0"/>
  </r>
  <r>
    <s v="HOLDCO4K"/>
    <s v="BIDV - THANH XUAN"/>
    <s v="819011575835"/>
    <s v="Saving Account"/>
    <s v="VND"/>
    <n v="120000000"/>
    <m/>
    <x v="1"/>
    <m/>
    <m/>
    <d v="2026-01-01T00:00:00"/>
    <x v="7"/>
    <x v="0"/>
    <x v="0"/>
    <s v="BIDV - THANH XUAN"/>
    <m/>
    <m/>
    <m/>
    <s v="W-52Jan26"/>
    <n v="0.12"/>
    <s v="Next 3 months"/>
    <n v="6"/>
    <n v="6"/>
    <n v="0"/>
    <n v="4.2000000000000003E-2"/>
    <n v="0"/>
  </r>
  <r>
    <s v="HOLDCO4M"/>
    <s v="BIDV - THANH XUAN"/>
    <s v="810011575877"/>
    <s v="Saving Account"/>
    <s v="VND"/>
    <n v="130000000"/>
    <m/>
    <x v="1"/>
    <m/>
    <m/>
    <d v="2026-01-01T00:00:00"/>
    <x v="7"/>
    <x v="0"/>
    <x v="0"/>
    <s v="BIDV - THANH XUAN"/>
    <m/>
    <m/>
    <m/>
    <s v="W-52Jan26"/>
    <n v="0.13"/>
    <s v="Next 3 months"/>
    <n v="6"/>
    <n v="6"/>
    <n v="0"/>
    <n v="4.2000000000000003E-2"/>
    <n v="0"/>
  </r>
  <r>
    <s v="HOLDCO5K"/>
    <s v="BIDV - THANH XUAN"/>
    <s v="813011576023"/>
    <s v="Saving Account"/>
    <s v="VND"/>
    <n v="120000000"/>
    <m/>
    <x v="1"/>
    <m/>
    <m/>
    <d v="2026-01-01T00:00:00"/>
    <x v="7"/>
    <x v="0"/>
    <x v="0"/>
    <s v="BIDV - THANH XUAN"/>
    <m/>
    <m/>
    <m/>
    <s v="W-52Jan26"/>
    <n v="0.12"/>
    <s v="Next 3 months"/>
    <n v="6"/>
    <n v="6"/>
    <n v="0"/>
    <n v="4.2000000000000003E-2"/>
    <n v="0"/>
  </r>
  <r>
    <s v="HOLDCO5M"/>
    <s v="BIDV - THANH XUAN"/>
    <s v="812011576219"/>
    <s v="Saving Account"/>
    <s v="VND"/>
    <n v="110000000"/>
    <m/>
    <x v="1"/>
    <m/>
    <m/>
    <d v="2026-01-01T00:00:00"/>
    <x v="7"/>
    <x v="0"/>
    <x v="0"/>
    <s v="BIDV - THANH XUAN"/>
    <m/>
    <m/>
    <m/>
    <s v="W-52Jan26"/>
    <n v="0.11"/>
    <s v="Next 3 months"/>
    <n v="6"/>
    <n v="6"/>
    <n v="0"/>
    <n v="4.2000000000000003E-2"/>
    <n v="0"/>
  </r>
  <r>
    <s v="HOLDCO4N"/>
    <s v="BIDV - THANH XUAN"/>
    <s v="817011576227"/>
    <s v="Saving Account"/>
    <s v="VND"/>
    <n v="100000000"/>
    <m/>
    <x v="1"/>
    <m/>
    <m/>
    <d v="2026-01-01T00:00:00"/>
    <x v="7"/>
    <x v="0"/>
    <x v="0"/>
    <s v="BIDV - THANH XUAN"/>
    <m/>
    <m/>
    <m/>
    <s v="W-52Jan26"/>
    <n v="0.1"/>
    <s v="Next 3 months"/>
    <n v="6"/>
    <n v="6"/>
    <n v="0"/>
    <n v="4.2000000000000003E-2"/>
    <n v="0"/>
  </r>
  <r>
    <s v="HOLDCO4O"/>
    <s v="BIDV - THANH XUAN"/>
    <s v="813011576209"/>
    <s v="Saving Account"/>
    <s v="VND"/>
    <n v="100000000"/>
    <m/>
    <x v="1"/>
    <m/>
    <m/>
    <d v="2026-01-01T00:00:00"/>
    <x v="7"/>
    <x v="0"/>
    <x v="0"/>
    <s v="BIDV - THANH XUAN"/>
    <m/>
    <m/>
    <m/>
    <s v="W-52Jan26"/>
    <n v="0.1"/>
    <s v="Next 3 months"/>
    <n v="6"/>
    <n v="6"/>
    <n v="0"/>
    <n v="4.2000000000000003E-2"/>
    <n v="0"/>
  </r>
  <r>
    <s v="HOLDCO4P"/>
    <s v="BIDV - THANH XUAN"/>
    <s v="819011576036"/>
    <s v="Saving Account"/>
    <s v="VND"/>
    <n v="120000000"/>
    <m/>
    <x v="1"/>
    <m/>
    <m/>
    <d v="2026-01-01T00:00:00"/>
    <x v="7"/>
    <x v="0"/>
    <x v="0"/>
    <s v="BIDV - THANH XUAN"/>
    <m/>
    <m/>
    <m/>
    <s v="W-52Jan26"/>
    <n v="0.12"/>
    <s v="Next 3 months"/>
    <n v="6"/>
    <n v="6"/>
    <n v="0"/>
    <n v="4.2000000000000003E-2"/>
    <n v="0"/>
  </r>
  <r>
    <s v="NSHL HOLDCO"/>
    <s v="BIDV - THANH XUAN"/>
    <s v="811011575867"/>
    <s v="Saving Account"/>
    <s v="VND"/>
    <n v="200000000"/>
    <m/>
    <x v="1"/>
    <m/>
    <m/>
    <d v="2026-01-01T00:00:00"/>
    <x v="7"/>
    <x v="0"/>
    <x v="0"/>
    <s v="BIDV - THANH XUAN"/>
    <m/>
    <m/>
    <m/>
    <s v="W-52Jan26"/>
    <n v="0.2"/>
    <s v="Next 3 months"/>
    <n v="6"/>
    <n v="6"/>
    <n v="0"/>
    <n v="4.2000000000000003E-2"/>
    <n v="0"/>
  </r>
  <r>
    <s v="YEN PHONG PROJECT CO"/>
    <s v="BIDV - THANH XUAN"/>
    <s v="810011408638"/>
    <s v="Saving Account"/>
    <s v="VND"/>
    <n v="2000000000"/>
    <m/>
    <x v="2"/>
    <m/>
    <m/>
    <d v="2025-10-20T00:00:00"/>
    <x v="2"/>
    <x v="0"/>
    <x v="0"/>
    <s v="BIDV - THANH XUAN"/>
    <m/>
    <m/>
    <m/>
    <s v="W3Oct25"/>
    <n v="2"/>
    <s v="Due in Oct"/>
    <n v="1"/>
    <n v="1"/>
    <n v="0"/>
    <n v="4.2999999999999997E-2"/>
    <n v="0"/>
  </r>
  <r>
    <s v="BCI JSC"/>
    <s v="VIETINBANK - TIEN SON"/>
    <s v="211000470526"/>
    <s v="Saving Account"/>
    <s v="VND"/>
    <n v="6000000000"/>
    <m/>
    <x v="2"/>
    <m/>
    <m/>
    <d v="2025-10-18T00:00:00"/>
    <x v="2"/>
    <x v="0"/>
    <x v="1"/>
    <s v="VIETINBANK - TIEN SON"/>
    <m/>
    <m/>
    <m/>
    <s v="W2Oct25"/>
    <n v="6"/>
    <s v="Due in Oct"/>
    <n v="1"/>
    <n v="1"/>
    <n v="0"/>
    <n v="4.2999999999999997E-2"/>
    <n v="0"/>
  </r>
  <r>
    <s v="BWID HAI DUONG 2"/>
    <s v="VIETINBANK - TIEN SON"/>
    <s v="214000471713"/>
    <s v="Saving Account"/>
    <s v="VND"/>
    <n v="16000000000"/>
    <m/>
    <x v="2"/>
    <m/>
    <m/>
    <d v="2025-10-25T00:00:00"/>
    <x v="2"/>
    <x v="0"/>
    <x v="1"/>
    <s v="VIETINBANK - TIEN SON"/>
    <m/>
    <m/>
    <m/>
    <s v="W3Oct25"/>
    <n v="16"/>
    <s v="Due in Oct"/>
    <n v="1"/>
    <n v="1"/>
    <n v="0"/>
    <n v="4.2999999999999997E-2"/>
    <n v="0"/>
  </r>
  <r>
    <s v="BWID HAI DUONG"/>
    <s v="VIETINBANK - TIEN SON"/>
    <s v="210000471950"/>
    <s v="Saving Account"/>
    <s v="VND"/>
    <n v="9000000000"/>
    <m/>
    <x v="2"/>
    <m/>
    <m/>
    <d v="2025-10-28T00:00:00"/>
    <x v="2"/>
    <x v="0"/>
    <x v="1"/>
    <s v="VIETINBANK - TIEN SON"/>
    <m/>
    <m/>
    <m/>
    <s v="W4Oct25"/>
    <n v="9"/>
    <s v="Due in Oct"/>
    <n v="1"/>
    <n v="1"/>
    <n v="0"/>
    <n v="4.2999999999999997E-2"/>
    <n v="0"/>
  </r>
  <r>
    <s v="TAN DONG HIEP B ELECTRON"/>
    <s v="VIETINBANK - TPHCM"/>
    <s v="217000471856"/>
    <s v="Saving Account"/>
    <s v="VND"/>
    <n v="15000000000"/>
    <m/>
    <x v="2"/>
    <m/>
    <m/>
    <d v="2025-10-28T00:00:00"/>
    <x v="2"/>
    <x v="0"/>
    <x v="1"/>
    <s v="VIETINBANK - TPHCM"/>
    <m/>
    <m/>
    <m/>
    <s v="W4Oct25"/>
    <n v="15"/>
    <s v="Due in Oct"/>
    <n v="1"/>
    <n v="1"/>
    <n v="0"/>
    <n v="4.2999999999999997E-2"/>
    <n v="0"/>
  </r>
  <r>
    <s v="VINA PARTNERS INVESTMENT"/>
    <s v="VIETINBANK - CN1"/>
    <s v="211000472739"/>
    <s v="Saving Account"/>
    <s v="VND"/>
    <n v="6000000000"/>
    <m/>
    <x v="4"/>
    <m/>
    <m/>
    <d v="2025-10-24T00:00:00"/>
    <x v="2"/>
    <x v="0"/>
    <x v="1"/>
    <s v="VIETINBANK - CN1"/>
    <m/>
    <m/>
    <m/>
    <s v="W3Oct25"/>
    <n v="6"/>
    <s v="Due in Oct"/>
    <n v="2"/>
    <n v="2"/>
    <n v="0"/>
    <n v="4.2999999999999997E-2"/>
    <n v="0"/>
  </r>
  <r>
    <s v="BWID HAI DUONG 2"/>
    <s v="VIETINBANK - TIEN SON"/>
    <s v="215000471724"/>
    <s v="Saving Account"/>
    <s v="VND"/>
    <n v="8000000000"/>
    <m/>
    <x v="0"/>
    <m/>
    <m/>
    <d v="2025-10-27T00:00:00"/>
    <x v="1"/>
    <x v="0"/>
    <x v="1"/>
    <s v="VIETINBANK - TIEN SON"/>
    <m/>
    <m/>
    <m/>
    <s v="W4Oct25"/>
    <n v="8"/>
    <s v="Due in Oct"/>
    <n v="3"/>
    <n v="3"/>
    <n v="0"/>
    <n v="4.4999999999999998E-2"/>
    <n v="0"/>
  </r>
  <r>
    <s v="NASTEC JSC"/>
    <s v="VIETINBANK - TIEN SON"/>
    <s v="218000472157"/>
    <s v="Saving Account"/>
    <s v="VND"/>
    <n v="39400000000"/>
    <m/>
    <x v="0"/>
    <m/>
    <m/>
    <d v="2025-10-29T00:00:00"/>
    <x v="1"/>
    <x v="0"/>
    <x v="1"/>
    <s v="VIETINBANK - TIEN SON"/>
    <m/>
    <m/>
    <m/>
    <s v="W4Oct25"/>
    <n v="39.4"/>
    <s v="Due in Oct"/>
    <n v="3"/>
    <n v="3"/>
    <n v="0"/>
    <n v="4.4999999999999998E-2"/>
    <n v="0"/>
  </r>
  <r>
    <s v="XENIA 2"/>
    <s v="VIETINBANK - TIEN SON"/>
    <s v="218000472281"/>
    <s v="Saving Account"/>
    <s v="VND"/>
    <n v="22000000000"/>
    <m/>
    <x v="2"/>
    <m/>
    <m/>
    <d v="2025-10-30T00:00:00"/>
    <x v="2"/>
    <x v="0"/>
    <x v="1"/>
    <s v="VIETINBANK - TIEN SON"/>
    <m/>
    <m/>
    <m/>
    <s v="W4Oct25"/>
    <n v="22"/>
    <s v="Due in Oct"/>
    <n v="1"/>
    <n v="1"/>
    <n v="0"/>
    <n v="4.2999999999999997E-2"/>
    <n v="0"/>
  </r>
  <r>
    <s v="XENIA 2"/>
    <s v="VIETINBANK - TIEN SON"/>
    <s v="212000472275"/>
    <s v="Saving Account"/>
    <s v="VND"/>
    <n v="8000000000"/>
    <m/>
    <x v="4"/>
    <m/>
    <m/>
    <d v="2025-10-27T00:00:00"/>
    <x v="2"/>
    <x v="0"/>
    <x v="1"/>
    <s v="VIETINBANK - TIEN SON"/>
    <m/>
    <m/>
    <m/>
    <s v="W4Oct25"/>
    <n v="8"/>
    <s v="Due in Oct"/>
    <n v="2"/>
    <n v="2"/>
    <n v="0"/>
    <n v="4.2999999999999997E-2"/>
    <n v="0"/>
  </r>
  <r>
    <s v="THUAN THANH 3B"/>
    <s v="VIETCOMBANK - BA DINH"/>
    <s v="1059244184"/>
    <s v="Saving Account"/>
    <s v="VND"/>
    <n v="3000000000"/>
    <m/>
    <x v="0"/>
    <m/>
    <m/>
    <d v="2025-10-31T00:00:00"/>
    <x v="1"/>
    <x v="0"/>
    <x v="2"/>
    <s v="VIETCOMBANK - BA DINH"/>
    <m/>
    <m/>
    <m/>
    <s v="W0Nov25"/>
    <n v="3"/>
    <s v="Due in Oct"/>
    <n v="3"/>
    <n v="3"/>
    <n v="0"/>
    <n v="4.4999999999999998E-2"/>
    <n v="0"/>
  </r>
  <r>
    <s v="THUAN THANH 3B"/>
    <s v="VIETCOMBANK - BA DINH"/>
    <s v="1059244935"/>
    <s v="Saving Account"/>
    <s v="VND"/>
    <n v="6500000000"/>
    <m/>
    <x v="0"/>
    <m/>
    <m/>
    <d v="2025-10-31T00:00:00"/>
    <x v="1"/>
    <x v="0"/>
    <x v="2"/>
    <s v="VIETCOMBANK - BA DINH"/>
    <m/>
    <m/>
    <m/>
    <s v="W0Nov25"/>
    <n v="6.5"/>
    <s v="Due in Oct"/>
    <n v="3"/>
    <n v="3"/>
    <n v="0"/>
    <n v="4.4999999999999998E-2"/>
    <n v="0"/>
  </r>
  <r>
    <s v="BW NAM HAI"/>
    <s v="VIETCOMBANK - BA DINH"/>
    <s v="1059096950"/>
    <s v="Saving Account"/>
    <s v="VND"/>
    <n v="2300000000"/>
    <m/>
    <x v="2"/>
    <m/>
    <m/>
    <d v="2025-10-27T00:00:00"/>
    <x v="1"/>
    <x v="0"/>
    <x v="2"/>
    <s v="VIETCOMBANK - BA DINH"/>
    <m/>
    <m/>
    <m/>
    <s v="W4Oct25"/>
    <n v="2.2999999999999998"/>
    <s v="Due in Oct"/>
    <n v="1"/>
    <n v="1"/>
    <n v="0"/>
    <n v="4.4999999999999998E-2"/>
    <n v="0"/>
  </r>
  <r>
    <s v="BWID TAN DONG HIEP"/>
    <s v="SINOPAC"/>
    <s v="07003600016505"/>
    <s v="Saving Account"/>
    <s v="VND"/>
    <n v="20000000000"/>
    <m/>
    <x v="0"/>
    <m/>
    <m/>
    <d v="2025-10-30T00:00:00"/>
    <x v="5"/>
    <x v="0"/>
    <x v="3"/>
    <s v="SINOPAC"/>
    <m/>
    <m/>
    <m/>
    <s v="W4Oct25"/>
    <n v="20"/>
    <s v="Due in Oct"/>
    <m/>
    <m/>
    <m/>
    <m/>
    <m/>
  </r>
  <r>
    <s v="BWID HAI DUONG 3"/>
    <s v="BIDV - THANH XUAN"/>
    <s v="812011994043"/>
    <s v="Saving Account"/>
    <s v="VND"/>
    <n v="18000000000"/>
    <m/>
    <x v="0"/>
    <m/>
    <m/>
    <d v="2025-10-29T00:00:00"/>
    <x v="1"/>
    <x v="0"/>
    <x v="0"/>
    <s v="BIDV - THANH XUAN"/>
    <m/>
    <m/>
    <m/>
    <s v="W4Oct25"/>
    <n v="18"/>
    <s v="Due in Oct"/>
    <n v="3"/>
    <n v="3"/>
    <n v="0"/>
    <n v="4.4999999999999998E-2"/>
    <n v="0"/>
  </r>
  <r>
    <s v="BAC TIEN PHONG"/>
    <s v="BIDV - THANH XUAN"/>
    <s v="810012016093"/>
    <s v="Saving Account"/>
    <s v="VND"/>
    <n v="5000000000"/>
    <m/>
    <x v="8"/>
    <m/>
    <m/>
    <d v="2025-12-25T00:00:00"/>
    <x v="1"/>
    <x v="0"/>
    <x v="0"/>
    <s v="BIDV - THANH XUAN"/>
    <m/>
    <m/>
    <m/>
    <s v="W3Dec25"/>
    <n v="5"/>
    <s v="Next 2 months"/>
    <n v="4"/>
    <n v="4"/>
    <n v="0"/>
    <n v="4.4999999999999998E-2"/>
    <n v="0"/>
  </r>
  <r>
    <s v="BAC TIEN PHONG"/>
    <s v="BIDV - THANH XUAN"/>
    <s v="816012016730"/>
    <s v="Saving Account"/>
    <s v="VND"/>
    <n v="3000000000"/>
    <m/>
    <x v="0"/>
    <m/>
    <m/>
    <d v="2025-10-31T00:00:00"/>
    <x v="1"/>
    <x v="0"/>
    <x v="0"/>
    <s v="BIDV - THANH XUAN"/>
    <m/>
    <m/>
    <m/>
    <s v="W0Nov25"/>
    <n v="3"/>
    <s v="Due in Oct"/>
    <n v="3"/>
    <n v="3"/>
    <n v="0"/>
    <n v="4.4999999999999998E-2"/>
    <n v="0"/>
  </r>
  <r>
    <s v="NDV PROJECT CO"/>
    <s v="BIDV - THANH XUAN"/>
    <s v="817011915630"/>
    <s v="Saving Account"/>
    <s v="VND"/>
    <n v="11000000000"/>
    <m/>
    <x v="0"/>
    <m/>
    <m/>
    <d v="2025-10-23T00:00:00"/>
    <x v="1"/>
    <x v="0"/>
    <x v="0"/>
    <s v="BIDV - THANH XUAN"/>
    <m/>
    <m/>
    <m/>
    <s v="W3Oct25"/>
    <n v="11"/>
    <s v="Due in Oct"/>
    <n v="3"/>
    <n v="3"/>
    <n v="0"/>
    <n v="4.4999999999999998E-2"/>
    <n v="0"/>
  </r>
  <r>
    <s v="THUAN THANH 3B"/>
    <s v="VIETCOMBANK - BA DINH"/>
    <s v="1059595470"/>
    <s v="Saving Account"/>
    <s v="VND"/>
    <n v="12000000000"/>
    <m/>
    <x v="0"/>
    <m/>
    <m/>
    <d v="2025-11-12T00:00:00"/>
    <x v="1"/>
    <x v="0"/>
    <x v="2"/>
    <s v="VIETCOMBANK - BA DINH"/>
    <m/>
    <m/>
    <m/>
    <s v="W2Nov25"/>
    <n v="12"/>
    <s v="Next 1 month"/>
    <n v="3"/>
    <n v="3"/>
    <n v="0"/>
    <n v="4.4999999999999998E-2"/>
    <n v="0"/>
  </r>
  <r>
    <s v="THUAN THANH 3B"/>
    <s v="VIETCOMBANK - BA DINH"/>
    <s v="1059594525"/>
    <s v="Saving Account"/>
    <s v="VND"/>
    <n v="1500000000"/>
    <m/>
    <x v="0"/>
    <m/>
    <m/>
    <d v="2025-11-12T00:00:00"/>
    <x v="1"/>
    <x v="0"/>
    <x v="2"/>
    <s v="VIETCOMBANK - BA DINH"/>
    <m/>
    <m/>
    <m/>
    <s v="W2Nov25"/>
    <n v="1.5"/>
    <s v="Next 1 month"/>
    <n v="3"/>
    <n v="3"/>
    <n v="0"/>
    <n v="4.4999999999999998E-2"/>
    <n v="0"/>
  </r>
  <r>
    <s v="BWID LOGISTICS TAN UYEN"/>
    <s v="VIETCOMBANK - BA DINH"/>
    <s v="1059629680"/>
    <s v="Saving Account"/>
    <s v="VND"/>
    <n v="3000000000"/>
    <m/>
    <x v="4"/>
    <m/>
    <m/>
    <d v="2025-12-13T00:00:00"/>
    <x v="2"/>
    <x v="0"/>
    <x v="2"/>
    <s v="VIETCOMBANK - BA DINH"/>
    <m/>
    <m/>
    <m/>
    <s v="W1Dec25"/>
    <n v="3"/>
    <s v="Next 2 months"/>
    <n v="2"/>
    <n v="2"/>
    <n v="0"/>
    <n v="4.2999999999999997E-2"/>
    <n v="0"/>
  </r>
  <r>
    <s v="BW DONG HAI"/>
    <s v="BIDV - THANH XUAN"/>
    <s v="815012078776"/>
    <s v="Saving Account"/>
    <s v="VND"/>
    <n v="8000000000"/>
    <m/>
    <x v="2"/>
    <m/>
    <m/>
    <d v="2025-11-04T00:00:00"/>
    <x v="1"/>
    <x v="0"/>
    <x v="0"/>
    <s v="BIDV - THANH XUAN"/>
    <m/>
    <m/>
    <m/>
    <s v="W1Nov25"/>
    <n v="8"/>
    <s v="Next 1 month"/>
    <n v="1"/>
    <n v="1"/>
    <n v="0"/>
    <n v="4.4999999999999998E-2"/>
    <n v="0"/>
  </r>
  <r>
    <s v="BWID HAI DUONG 3"/>
    <s v="BIDV - THANH XUAN"/>
    <s v="2221133456_1"/>
    <s v="Saving Account"/>
    <s v="VND"/>
    <n v="3800000000"/>
    <m/>
    <x v="0"/>
    <m/>
    <m/>
    <d v="2025-11-12T00:00:00"/>
    <x v="1"/>
    <x v="0"/>
    <x v="0"/>
    <s v="BIDV - THANH XUAN"/>
    <m/>
    <m/>
    <m/>
    <s v="W2Nov25"/>
    <n v="3.8"/>
    <s v="Next 1 month"/>
    <n v="3"/>
    <n v="3"/>
    <n v="0"/>
    <n v="4.4999999999999998E-2"/>
    <n v="0"/>
  </r>
  <r>
    <s v="LE MINH XUAN 3"/>
    <s v="VIETINBANK - TPHCM"/>
    <s v="214000474710"/>
    <s v="Saving Account"/>
    <s v="VND"/>
    <n v="5000000000"/>
    <m/>
    <x v="4"/>
    <m/>
    <m/>
    <d v="2025-10-25T00:00:00"/>
    <x v="2"/>
    <x v="0"/>
    <x v="1"/>
    <s v="VIETINBANK - TPHCM"/>
    <m/>
    <m/>
    <m/>
    <s v="W3Oct25"/>
    <n v="5"/>
    <s v="Due in Oct"/>
    <n v="2"/>
    <n v="2"/>
    <n v="0"/>
    <n v="4.2999999999999997E-2"/>
    <n v="0"/>
  </r>
  <r>
    <s v="SONG THAN 2"/>
    <s v="VIETINBANK - TPHCM"/>
    <s v="215000474760"/>
    <s v="Saving Account"/>
    <s v="VND"/>
    <n v="2996854000"/>
    <m/>
    <x v="4"/>
    <m/>
    <m/>
    <d v="2025-10-25T00:00:00"/>
    <x v="2"/>
    <x v="0"/>
    <x v="1"/>
    <s v="VIETINBANK - TPHCM"/>
    <m/>
    <m/>
    <m/>
    <s v="W3Oct25"/>
    <n v="2.9968539999999999"/>
    <s v="Due in Oct"/>
    <n v="2"/>
    <n v="2"/>
    <n v="0"/>
    <n v="4.2999999999999997E-2"/>
    <n v="0"/>
  </r>
  <r>
    <s v="XENIA 2"/>
    <s v="VIETINBANK - TIEN SON"/>
    <s v="212000474712"/>
    <s v="Saving Account"/>
    <s v="VND"/>
    <n v="12000000000"/>
    <m/>
    <x v="2"/>
    <m/>
    <m/>
    <d v="2025-11-13T00:00:00"/>
    <x v="1"/>
    <x v="0"/>
    <x v="1"/>
    <s v="VIETINBANK - TIEN SON"/>
    <m/>
    <m/>
    <m/>
    <s v="W2Nov25"/>
    <n v="12"/>
    <s v="Next 1 month"/>
    <n v="1"/>
    <n v="1"/>
    <n v="0"/>
    <n v="4.4999999999999998E-2"/>
    <n v="0"/>
  </r>
  <r>
    <s v="XENIA 1"/>
    <s v="VIETINBANK - TIEN SON"/>
    <s v="215000474706"/>
    <s v="Saving Account"/>
    <s v="VND"/>
    <n v="18000000000"/>
    <m/>
    <x v="2"/>
    <m/>
    <m/>
    <d v="2025-11-13T00:00:00"/>
    <x v="1"/>
    <x v="0"/>
    <x v="1"/>
    <s v="VIETINBANK - TIEN SON"/>
    <m/>
    <m/>
    <m/>
    <s v="W2Nov25"/>
    <n v="18"/>
    <s v="Next 1 month"/>
    <n v="1"/>
    <n v="1"/>
    <n v="0"/>
    <n v="4.4999999999999998E-2"/>
    <n v="0"/>
  </r>
  <r>
    <s v="BW MY PHUOC 3"/>
    <s v="Woori Bank"/>
    <s v="200700045749"/>
    <s v="Saving Account"/>
    <s v="VND"/>
    <n v="17000000000"/>
    <m/>
    <x v="2"/>
    <m/>
    <m/>
    <d v="2025-10-22T00:00:00"/>
    <x v="5"/>
    <x v="0"/>
    <x v="6"/>
    <s v="Woori Bank"/>
    <m/>
    <m/>
    <m/>
    <s v="W3Oct25"/>
    <n v="17"/>
    <s v="Due in Oct"/>
    <m/>
    <m/>
    <m/>
    <m/>
    <m/>
  </r>
  <r>
    <s v="BWID Tan Phu Trung"/>
    <s v="KEB Hana - HCM"/>
    <s v="00870004610_1"/>
    <s v="Saving Account"/>
    <s v="VND"/>
    <n v="4000000000"/>
    <m/>
    <x v="2"/>
    <m/>
    <m/>
    <d v="2025-11-03T00:00:00"/>
    <x v="14"/>
    <x v="0"/>
    <x v="7"/>
    <s v="KEB Hana - HCM"/>
    <m/>
    <m/>
    <m/>
    <s v="W1Nov25"/>
    <n v="4"/>
    <s v="Next 1 month"/>
    <m/>
    <m/>
    <m/>
    <m/>
    <m/>
  </r>
  <r>
    <s v="THUAN THANH 3B"/>
    <s v="VIETCOMBANK - BA DINH"/>
    <s v="1059960714"/>
    <s v="Saving Account"/>
    <s v="VND"/>
    <n v="6000000000"/>
    <m/>
    <x v="7"/>
    <m/>
    <m/>
    <d v="2026-01-26T00:00:00"/>
    <x v="1"/>
    <x v="0"/>
    <x v="2"/>
    <s v="VIETCOMBANK - BA DINH"/>
    <m/>
    <m/>
    <m/>
    <s v="W-48Jan26"/>
    <n v="6"/>
    <s v="Next 3 months"/>
    <n v="5"/>
    <n v="5"/>
    <n v="0"/>
    <n v="4.4999999999999998E-2"/>
    <n v="0"/>
  </r>
  <r>
    <s v="BWID THOI HOA 2"/>
    <s v="KBank - HCM"/>
    <s v="409000003554"/>
    <s v="Saving Account"/>
    <s v="VND"/>
    <n v="12000000000"/>
    <m/>
    <x v="0"/>
    <m/>
    <m/>
    <d v="2025-11-18T00:00:00"/>
    <x v="9"/>
    <x v="0"/>
    <x v="4"/>
    <s v="KBank - HCM"/>
    <m/>
    <m/>
    <m/>
    <s v="W3Nov25"/>
    <n v="12"/>
    <s v="Next 1 month"/>
    <m/>
    <m/>
    <m/>
    <m/>
    <m/>
  </r>
  <r>
    <s v="BW BAU BANG 01"/>
    <s v="VIETINBANK - BINH DUONG"/>
    <s v="213000477118"/>
    <s v="Saving Account"/>
    <s v="VND"/>
    <n v="15000000000"/>
    <m/>
    <x v="4"/>
    <m/>
    <m/>
    <d v="2025-10-27T00:00:00"/>
    <x v="2"/>
    <x v="0"/>
    <x v="1"/>
    <s v="VIETINBANK - BINH DUONG"/>
    <m/>
    <m/>
    <m/>
    <s v="W4Oct25"/>
    <n v="15"/>
    <s v="Due in Oct"/>
    <n v="2"/>
    <n v="2"/>
    <n v="0"/>
    <n v="4.2999999999999997E-2"/>
    <n v="0"/>
  </r>
  <r>
    <s v="GREAT KINGDOM NT 2"/>
    <s v="VIETINBANK - CN1"/>
    <s v="217000475770"/>
    <s v="Saving Account"/>
    <s v="VND"/>
    <n v="6000000000"/>
    <m/>
    <x v="4"/>
    <m/>
    <m/>
    <d v="2025-10-24T00:00:00"/>
    <x v="2"/>
    <x v="0"/>
    <x v="1"/>
    <s v="VIETINBANK - CN1"/>
    <m/>
    <m/>
    <m/>
    <s v="W3Oct25"/>
    <n v="6"/>
    <s v="Due in Oct"/>
    <n v="2"/>
    <n v="2"/>
    <n v="0"/>
    <n v="4.2999999999999997E-2"/>
    <n v="0"/>
  </r>
  <r>
    <s v="GREAT KINGDOM NT 2"/>
    <s v="VIETINBANK - CN1"/>
    <s v="214000477429"/>
    <s v="Saving Account"/>
    <s v="VND"/>
    <n v="4000000000"/>
    <m/>
    <x v="4"/>
    <m/>
    <m/>
    <d v="2025-10-27T00:00:00"/>
    <x v="2"/>
    <x v="0"/>
    <x v="1"/>
    <s v="VIETINBANK - CN1"/>
    <m/>
    <m/>
    <m/>
    <s v="W4Oct25"/>
    <n v="4"/>
    <s v="Due in Oct"/>
    <n v="2"/>
    <n v="2"/>
    <n v="0"/>
    <n v="4.2999999999999997E-2"/>
    <n v="0"/>
  </r>
  <r>
    <s v="VINA PARTNERS INVESTMENT"/>
    <s v="VIETINBANK - CN1"/>
    <s v="213000477420"/>
    <s v="Saving Account"/>
    <s v="VND"/>
    <n v="5000000000"/>
    <m/>
    <x v="4"/>
    <m/>
    <m/>
    <d v="2025-10-27T00:00:00"/>
    <x v="2"/>
    <x v="0"/>
    <x v="1"/>
    <s v="VIETINBANK - CN1"/>
    <m/>
    <m/>
    <m/>
    <s v="W4Oct25"/>
    <n v="5"/>
    <s v="Due in Oct"/>
    <n v="2"/>
    <n v="2"/>
    <n v="0"/>
    <n v="4.2999999999999997E-2"/>
    <n v="0"/>
  </r>
  <r>
    <s v="BWID DONG AN LID"/>
    <s v="VIETINBANK - DONG SAI GON"/>
    <s v="211000477040"/>
    <s v="Saving Account"/>
    <s v="VND"/>
    <n v="6000000000"/>
    <m/>
    <x v="8"/>
    <m/>
    <m/>
    <d v="2025-12-25T00:00:00"/>
    <x v="1"/>
    <x v="0"/>
    <x v="1"/>
    <s v="VIETINBANK - DONG SAI GON"/>
    <m/>
    <m/>
    <m/>
    <s v="W3Dec25"/>
    <n v="6"/>
    <s v="Next 2 months"/>
    <n v="4"/>
    <n v="4"/>
    <n v="0"/>
    <n v="4.4999999999999998E-2"/>
    <n v="0"/>
  </r>
  <r>
    <s v="BAU BANG 6"/>
    <s v="VIETINBANK - BINH DUONG"/>
    <s v="218000476932"/>
    <s v="Saving Account"/>
    <s v="VND"/>
    <n v="28000000000"/>
    <m/>
    <x v="4"/>
    <m/>
    <m/>
    <d v="2025-10-27T00:00:00"/>
    <x v="2"/>
    <x v="0"/>
    <x v="1"/>
    <s v="VIETINBANK - BINH DUONG"/>
    <m/>
    <m/>
    <m/>
    <s v="W4Oct25"/>
    <n v="28"/>
    <s v="Due in Oct"/>
    <n v="2"/>
    <n v="2"/>
    <n v="0"/>
    <n v="4.2999999999999997E-2"/>
    <n v="0"/>
  </r>
  <r>
    <s v="WINLOCK 2A"/>
    <s v="VIETINBANK - TIEN SON"/>
    <s v="217000477657"/>
    <s v="Saving Account"/>
    <s v="VND"/>
    <n v="16000000000"/>
    <m/>
    <x v="2"/>
    <m/>
    <m/>
    <d v="2025-10-29T00:00:00"/>
    <x v="2"/>
    <x v="0"/>
    <x v="1"/>
    <s v="VIETINBANK - TIEN SON"/>
    <m/>
    <m/>
    <m/>
    <s v="W4Oct25"/>
    <n v="16"/>
    <s v="Due in Oct"/>
    <n v="1"/>
    <n v="1"/>
    <n v="0"/>
    <n v="4.2999999999999997E-2"/>
    <n v="0"/>
  </r>
  <r>
    <s v="WINLOCK 2A"/>
    <s v="VIETINBANK - TIEN SON"/>
    <s v="211000477707"/>
    <s v="Saving Account"/>
    <s v="VND"/>
    <n v="15000000000"/>
    <m/>
    <x v="2"/>
    <m/>
    <m/>
    <d v="2025-10-29T00:00:00"/>
    <x v="2"/>
    <x v="0"/>
    <x v="1"/>
    <s v="VIETINBANK - TIEN SON"/>
    <m/>
    <m/>
    <m/>
    <s v="W4Oct25"/>
    <n v="15"/>
    <s v="Due in Oct"/>
    <n v="1"/>
    <n v="1"/>
    <n v="0"/>
    <n v="4.2999999999999997E-2"/>
    <n v="0"/>
  </r>
  <r>
    <s v="WINLOCK 2A"/>
    <s v="VIETINBANK - TIEN SON"/>
    <s v="213000477636"/>
    <s v="Saving Account"/>
    <s v="VND"/>
    <n v="18000000000"/>
    <m/>
    <x v="2"/>
    <m/>
    <m/>
    <d v="2025-10-27T00:00:00"/>
    <x v="2"/>
    <x v="0"/>
    <x v="1"/>
    <s v="VIETINBANK - TIEN SON"/>
    <m/>
    <m/>
    <m/>
    <s v="W4Oct25"/>
    <n v="18"/>
    <s v="Due in Oct"/>
    <n v="1"/>
    <n v="1"/>
    <n v="0"/>
    <n v="4.2999999999999997E-2"/>
    <n v="0"/>
  </r>
  <r>
    <s v="BWID HAI PHONG"/>
    <s v="VIETINBANK - TIEN SON"/>
    <s v="218000477274"/>
    <s v="Saving Account"/>
    <s v="VND"/>
    <n v="3000000000"/>
    <m/>
    <x v="4"/>
    <m/>
    <m/>
    <d v="2025-10-27T00:00:00"/>
    <x v="2"/>
    <x v="0"/>
    <x v="1"/>
    <s v="VIETINBANK - TIEN SON"/>
    <m/>
    <m/>
    <m/>
    <s v="W4Oct25"/>
    <n v="3"/>
    <s v="Due in Oct"/>
    <n v="2"/>
    <n v="2"/>
    <n v="0"/>
    <n v="4.2999999999999997E-2"/>
    <n v="0"/>
  </r>
  <r>
    <s v="XENIA 1"/>
    <s v="VIETINBANK - TIEN SON"/>
    <s v="212000477706"/>
    <s v="Saving Account"/>
    <s v="VND"/>
    <n v="3000000000"/>
    <m/>
    <x v="2"/>
    <m/>
    <m/>
    <d v="2025-10-27T00:00:00"/>
    <x v="2"/>
    <x v="0"/>
    <x v="1"/>
    <s v="VIETINBANK - TIEN SON"/>
    <m/>
    <m/>
    <m/>
    <s v="W4Oct25"/>
    <n v="3"/>
    <s v="Due in Oct"/>
    <n v="1"/>
    <n v="1"/>
    <n v="0"/>
    <n v="4.2999999999999997E-2"/>
    <n v="0"/>
  </r>
  <r>
    <s v="BWID HAI DUONG 2"/>
    <s v="VIETINBANK - TIEN SON"/>
    <s v="217000475922"/>
    <s v="Saving Account"/>
    <s v="VND"/>
    <n v="3000000000"/>
    <m/>
    <x v="4"/>
    <m/>
    <m/>
    <d v="2025-10-27T00:00:00"/>
    <x v="2"/>
    <x v="0"/>
    <x v="1"/>
    <s v="VIETINBANK - TIEN SON"/>
    <m/>
    <m/>
    <m/>
    <s v="W4Oct25"/>
    <n v="3"/>
    <s v="Due in Oct"/>
    <n v="2"/>
    <n v="2"/>
    <n v="0"/>
    <n v="4.2999999999999997E-2"/>
    <n v="0"/>
  </r>
  <r>
    <s v="TAN DONG HIEP B ELECTRON"/>
    <s v="VIETINBANK - TPHCM"/>
    <s v="212000477049"/>
    <s v="Saving Account"/>
    <s v="VND"/>
    <n v="5000000000"/>
    <m/>
    <x v="4"/>
    <m/>
    <m/>
    <d v="2025-10-27T00:00:00"/>
    <x v="2"/>
    <x v="0"/>
    <x v="1"/>
    <s v="VIETINBANK - TPHCM"/>
    <m/>
    <m/>
    <m/>
    <s v="W4Oct25"/>
    <n v="5"/>
    <s v="Due in Oct"/>
    <n v="2"/>
    <n v="2"/>
    <n v="0"/>
    <n v="4.2999999999999997E-2"/>
    <n v="0"/>
  </r>
  <r>
    <s v="BWID HAI DUONG"/>
    <s v="VIETINBANK - TIEN SON"/>
    <s v="215000476783"/>
    <s v="Saving Account"/>
    <s v="VND"/>
    <n v="4000000000"/>
    <m/>
    <x v="4"/>
    <m/>
    <m/>
    <d v="2025-10-25T00:00:00"/>
    <x v="2"/>
    <x v="0"/>
    <x v="1"/>
    <s v="VIETINBANK - TIEN SON"/>
    <m/>
    <m/>
    <m/>
    <s v="W3Oct25"/>
    <n v="4"/>
    <s v="Due in Oct"/>
    <n v="2"/>
    <n v="2"/>
    <n v="0"/>
    <n v="4.2999999999999997E-2"/>
    <n v="0"/>
  </r>
  <r>
    <s v="KIM TRUC DN"/>
    <s v="BIDV - NAM SAI GON"/>
    <s v="810012443160"/>
    <s v="Saving Account"/>
    <s v="VND"/>
    <n v="4700000000"/>
    <m/>
    <x v="8"/>
    <m/>
    <m/>
    <d v="2025-12-25T00:00:00"/>
    <x v="1"/>
    <x v="0"/>
    <x v="0"/>
    <s v="BIDV - NAM SAI GON"/>
    <m/>
    <m/>
    <m/>
    <s v="W3Dec25"/>
    <n v="4.7"/>
    <s v="Next 2 months"/>
    <n v="4"/>
    <n v="4"/>
    <n v="0"/>
    <n v="4.4999999999999998E-2"/>
    <n v="0"/>
  </r>
  <r>
    <s v="KIM TRUC DN"/>
    <s v="BIDV - NAM SAI GON"/>
    <s v="810012443158"/>
    <s v="Saving Account"/>
    <s v="VND"/>
    <n v="5300000000"/>
    <m/>
    <x v="0"/>
    <m/>
    <m/>
    <d v="2025-11-25T00:00:00"/>
    <x v="1"/>
    <x v="0"/>
    <x v="0"/>
    <s v="BIDV - NAM SAI GON"/>
    <m/>
    <m/>
    <m/>
    <s v="W4Nov25"/>
    <n v="5.3"/>
    <s v="Next 1 month"/>
    <n v="3"/>
    <n v="3"/>
    <n v="0"/>
    <n v="4.4999999999999998E-2"/>
    <n v="0"/>
  </r>
  <r>
    <s v="SAO HOA"/>
    <s v="TECHCOMBANK"/>
    <s v="26082025/TGKH/TCB-SHTQ"/>
    <s v="Saving Account"/>
    <s v="VND"/>
    <n v="50000000000"/>
    <m/>
    <x v="2"/>
    <m/>
    <m/>
    <d v="2025-10-26T00:00:00"/>
    <x v="14"/>
    <x v="2"/>
    <x v="8"/>
    <s v="TECHCOMBANK"/>
    <m/>
    <m/>
    <m/>
    <s v="W4Oct25"/>
    <n v="50"/>
    <s v="Due in Oct"/>
    <m/>
    <m/>
    <m/>
    <m/>
    <m/>
  </r>
  <r>
    <s v="BW DONG HAI"/>
    <s v="BIDV - NAM SAI GON"/>
    <s v="819012425984"/>
    <s v="Saving Account"/>
    <s v="VND"/>
    <n v="8000000000"/>
    <m/>
    <x v="0"/>
    <m/>
    <m/>
    <d v="2025-11-25T00:00:00"/>
    <x v="1"/>
    <x v="0"/>
    <x v="0"/>
    <s v="BIDV - NAM SAI GON"/>
    <m/>
    <m/>
    <m/>
    <s v="W4Nov25"/>
    <n v="8"/>
    <s v="Next 1 month"/>
    <n v="3"/>
    <n v="3"/>
    <n v="0"/>
    <n v="4.4999999999999998E-2"/>
    <n v="0"/>
  </r>
  <r>
    <s v="BW HAI AN"/>
    <s v="BIDV - THANH XUAN"/>
    <s v="810012732609"/>
    <s v="Saving Account"/>
    <s v="VND"/>
    <n v="7000000000"/>
    <m/>
    <x v="4"/>
    <m/>
    <m/>
    <d v="2025-11-26T00:00:00"/>
    <x v="2"/>
    <x v="0"/>
    <x v="0"/>
    <s v="BIDV - THANH XUAN"/>
    <m/>
    <m/>
    <m/>
    <s v="W4Nov25"/>
    <n v="7"/>
    <s v="Next 1 month"/>
    <n v="2"/>
    <n v="2"/>
    <n v="0"/>
    <n v="4.2999999999999997E-2"/>
    <n v="0"/>
  </r>
  <r>
    <s v="BAC TIEN PHONG"/>
    <s v="BIDV - THANH XUAN"/>
    <s v="810012732615"/>
    <s v="Saving Account"/>
    <s v="VND"/>
    <n v="3000000000"/>
    <m/>
    <x v="2"/>
    <m/>
    <m/>
    <d v="2025-11-12T00:00:00"/>
    <x v="1"/>
    <x v="0"/>
    <x v="0"/>
    <s v="BIDV - THANH XUAN"/>
    <m/>
    <m/>
    <m/>
    <s v="W2Nov25"/>
    <n v="3"/>
    <s v="Next 1 month"/>
    <n v="1"/>
    <n v="1"/>
    <n v="0"/>
    <n v="4.4999999999999998E-2"/>
    <n v="0"/>
  </r>
  <r>
    <s v="GREAT KINGDOM NT 2"/>
    <s v="VIETINBANK - CN1"/>
    <s v="212000479853"/>
    <s v="Saving Account"/>
    <s v="VND"/>
    <n v="5000000000"/>
    <m/>
    <x v="2"/>
    <m/>
    <m/>
    <d v="2025-10-27T00:00:00"/>
    <x v="2"/>
    <x v="0"/>
    <x v="1"/>
    <s v="VIETINBANK - CN1"/>
    <m/>
    <m/>
    <m/>
    <s v="W4Oct25"/>
    <n v="5"/>
    <s v="Due in Oct"/>
    <n v="1"/>
    <n v="1"/>
    <n v="0"/>
    <n v="4.2999999999999997E-2"/>
    <n v="0"/>
  </r>
  <r>
    <s v="BWID HAI DUONG"/>
    <s v="VIETINBANK - TIEN SON"/>
    <s v="218000479423"/>
    <s v="Saving Account"/>
    <s v="VND"/>
    <n v="9000000000"/>
    <m/>
    <x v="2"/>
    <m/>
    <m/>
    <d v="2025-10-25T00:00:00"/>
    <x v="2"/>
    <x v="0"/>
    <x v="1"/>
    <s v="VIETINBANK - TIEN SON"/>
    <m/>
    <m/>
    <m/>
    <s v="W3Oct25"/>
    <n v="9"/>
    <s v="Due in Oct"/>
    <n v="1"/>
    <n v="1"/>
    <n v="0"/>
    <n v="4.2999999999999997E-2"/>
    <n v="0"/>
  </r>
  <r>
    <s v="MP3 SOLAR POWER"/>
    <s v="VIETINBANK - DONG SAI GON"/>
    <s v="219000479829"/>
    <s v="Saving Account"/>
    <s v="VND"/>
    <n v="1500000000"/>
    <m/>
    <x v="0"/>
    <m/>
    <m/>
    <d v="2025-12-12T00:00:00"/>
    <x v="1"/>
    <x v="0"/>
    <x v="1"/>
    <s v="VIETINBANK - DONG SAI GON"/>
    <m/>
    <m/>
    <m/>
    <s v="W1Dec25"/>
    <n v="1.5"/>
    <s v="Next 2 months"/>
    <n v="3"/>
    <n v="3"/>
    <n v="0"/>
    <n v="4.4999999999999998E-2"/>
    <n v="0"/>
  </r>
  <r>
    <s v="TPT1 SOLAR POWER"/>
    <s v="VIETINBANK - DONG SAI GON"/>
    <s v="215000479808"/>
    <s v="Saving Account"/>
    <s v="VND"/>
    <n v="1000000000"/>
    <m/>
    <x v="0"/>
    <m/>
    <m/>
    <d v="2025-12-12T00:00:00"/>
    <x v="1"/>
    <x v="0"/>
    <x v="1"/>
    <s v="VIETINBANK - DONG SAI GON"/>
    <m/>
    <m/>
    <m/>
    <s v="W1Dec25"/>
    <n v="1"/>
    <s v="Next 2 months"/>
    <n v="3"/>
    <n v="3"/>
    <n v="0"/>
    <n v="4.4999999999999998E-2"/>
    <n v="0"/>
  </r>
  <r>
    <s v="THUAN DAO"/>
    <s v="VIETINBANK - TPHCM"/>
    <s v="214000479702"/>
    <s v="Saving Account"/>
    <s v="VND"/>
    <n v="3000000000"/>
    <m/>
    <x v="2"/>
    <m/>
    <m/>
    <d v="2025-11-12T00:00:00"/>
    <x v="1"/>
    <x v="0"/>
    <x v="1"/>
    <s v="VIETINBANK - TPHCM"/>
    <m/>
    <m/>
    <m/>
    <s v="W2Nov25"/>
    <n v="3"/>
    <s v="Next 1 month"/>
    <n v="1"/>
    <n v="1"/>
    <n v="0"/>
    <n v="4.4999999999999998E-2"/>
    <n v="0"/>
  </r>
  <r>
    <s v="THUAN DAO"/>
    <s v="VIETINBANK - TPHCM"/>
    <s v="213000479703"/>
    <s v="Saving Account"/>
    <s v="VND"/>
    <n v="19000000000"/>
    <m/>
    <x v="2"/>
    <m/>
    <m/>
    <d v="2025-10-27T00:00:00"/>
    <x v="2"/>
    <x v="0"/>
    <x v="1"/>
    <s v="VIETINBANK - TPHCM"/>
    <m/>
    <m/>
    <m/>
    <s v="W4Oct25"/>
    <n v="19"/>
    <s v="Due in Oct"/>
    <n v="1"/>
    <n v="1"/>
    <n v="0"/>
    <n v="4.2999999999999997E-2"/>
    <n v="0"/>
  </r>
  <r>
    <s v="LE MINH XUAN 3"/>
    <s v="VIETINBANK - TPHCM"/>
    <s v="216000479740"/>
    <s v="Saving Account"/>
    <s v="VND"/>
    <n v="5000000000"/>
    <m/>
    <x v="2"/>
    <m/>
    <m/>
    <d v="2025-10-27T00:00:00"/>
    <x v="2"/>
    <x v="0"/>
    <x v="1"/>
    <s v="VIETINBANK - TPHCM"/>
    <m/>
    <m/>
    <m/>
    <s v="W4Oct25"/>
    <n v="5"/>
    <s v="Due in Oct"/>
    <n v="1"/>
    <n v="1"/>
    <n v="0"/>
    <n v="4.2999999999999997E-2"/>
    <n v="0"/>
  </r>
  <r>
    <s v="BWID LOGISTICS TAN UYEN"/>
    <s v="VIETCOMBANK - BA DINH"/>
    <s v="1060462381"/>
    <s v="Saving Account"/>
    <s v="VND"/>
    <n v="3000000000"/>
    <m/>
    <x v="2"/>
    <m/>
    <m/>
    <d v="2025-11-12T00:00:00"/>
    <x v="2"/>
    <x v="0"/>
    <x v="2"/>
    <s v="VIETCOMBANK - BA DINH"/>
    <m/>
    <m/>
    <m/>
    <s v="W2Nov25"/>
    <n v="3"/>
    <s v="Next 1 month"/>
    <n v="1"/>
    <n v="1"/>
    <n v="0"/>
    <n v="4.2999999999999997E-2"/>
    <n v="0"/>
  </r>
  <r>
    <s v="BWID THOI HOA"/>
    <s v="VIETCOMBANK - HCM"/>
    <s v="1060370761"/>
    <s v="Saving Account"/>
    <s v="VND"/>
    <n v="24000000000"/>
    <m/>
    <x v="0"/>
    <m/>
    <m/>
    <d v="2025-12-10T00:00:00"/>
    <x v="1"/>
    <x v="0"/>
    <x v="2"/>
    <s v="VIETCOMBANK - HCM"/>
    <m/>
    <m/>
    <m/>
    <s v="W1Dec25"/>
    <n v="24"/>
    <s v="Next 2 months"/>
    <n v="3"/>
    <n v="3"/>
    <n v="0"/>
    <n v="4.4999999999999998E-2"/>
    <n v="0"/>
  </r>
  <r>
    <s v="BW BAU BANG 01"/>
    <s v="VIETINBANK - BINH DUONG"/>
    <s v="212000481580"/>
    <s v="Saving Account"/>
    <s v="VND"/>
    <n v="85000000000"/>
    <m/>
    <x v="2"/>
    <m/>
    <m/>
    <d v="2025-10-23T00:00:00"/>
    <x v="2"/>
    <x v="0"/>
    <x v="1"/>
    <s v="VIETINBANK - BINH DUONG"/>
    <m/>
    <m/>
    <m/>
    <s v="W3Oct25"/>
    <n v="85"/>
    <s v="Due in Oct"/>
    <n v="1"/>
    <n v="1"/>
    <n v="0"/>
    <n v="4.2999999999999997E-2"/>
    <n v="0"/>
  </r>
  <r>
    <s v="BAU BANG 6"/>
    <s v="VIETINBANK - BINH DUONG"/>
    <s v="213000480580"/>
    <s v="Saving Account"/>
    <s v="VND"/>
    <n v="8000000000"/>
    <m/>
    <x v="2"/>
    <m/>
    <m/>
    <d v="2025-10-27T00:00:00"/>
    <x v="2"/>
    <x v="0"/>
    <x v="1"/>
    <s v="VIETINBANK - BINH DUONG"/>
    <m/>
    <m/>
    <m/>
    <s v="W4Oct25"/>
    <n v="8"/>
    <s v="Due in Oct"/>
    <n v="1"/>
    <n v="1"/>
    <n v="0"/>
    <n v="4.2999999999999997E-2"/>
    <n v="0"/>
  </r>
  <r>
    <s v="BWID Tan Phu Trung"/>
    <s v="VIETINBANK - TIEN SON"/>
    <s v="212000480349"/>
    <s v="Saving Account"/>
    <s v="VND"/>
    <n v="6000000000"/>
    <m/>
    <x v="4"/>
    <m/>
    <m/>
    <d v="2025-12-05T00:00:00"/>
    <x v="2"/>
    <x v="0"/>
    <x v="1"/>
    <s v="VIETINBANK - TIEN SON"/>
    <m/>
    <m/>
    <m/>
    <s v="W0Dec25"/>
    <n v="6"/>
    <s v="Next 2 months"/>
    <n v="2"/>
    <n v="2"/>
    <n v="0"/>
    <n v="4.2999999999999997E-2"/>
    <n v="0"/>
  </r>
  <r>
    <s v="BWID HAI DUONG 2"/>
    <s v="VIETINBANK - TIEN SON"/>
    <s v="210000482202"/>
    <s v="Saving Account"/>
    <s v="VND"/>
    <n v="3000000000"/>
    <m/>
    <x v="2"/>
    <m/>
    <m/>
    <d v="2025-10-27T00:00:00"/>
    <x v="2"/>
    <x v="0"/>
    <x v="1"/>
    <s v="VIETINBANK - TIEN SON"/>
    <m/>
    <m/>
    <m/>
    <s v="W4Oct25"/>
    <n v="3"/>
    <s v="Due in Oct"/>
    <n v="1"/>
    <n v="1"/>
    <n v="0"/>
    <n v="4.2999999999999997E-2"/>
    <n v="0"/>
  </r>
  <r>
    <s v="SONG THAN 2"/>
    <s v="VIETINBANK - TPHCM"/>
    <s v="215000482210"/>
    <s v="Saving Account"/>
    <s v="VND"/>
    <n v="4000000000"/>
    <m/>
    <x v="0"/>
    <m/>
    <m/>
    <d v="2025-12-26T00:00:00"/>
    <x v="1"/>
    <x v="0"/>
    <x v="1"/>
    <s v="VIETINBANK - TPHCM"/>
    <m/>
    <m/>
    <m/>
    <s v="W3Dec25"/>
    <n v="4"/>
    <s v="Next 2 months"/>
    <n v="3"/>
    <n v="3"/>
    <n v="0"/>
    <n v="4.4999999999999998E-2"/>
    <n v="0"/>
  </r>
  <r>
    <s v="KIM TRUC DN"/>
    <s v="BIDV - NAM SAI GON"/>
    <s v="810012832027"/>
    <s v="Saving Account"/>
    <s v="VND"/>
    <n v="32000000000"/>
    <m/>
    <x v="2"/>
    <m/>
    <m/>
    <d v="2025-10-28T00:00:00"/>
    <x v="2"/>
    <x v="0"/>
    <x v="0"/>
    <s v="BIDV - NAM SAI GON"/>
    <m/>
    <m/>
    <m/>
    <s v="W4Oct25"/>
    <n v="32"/>
    <s v="Due in Oct"/>
    <n v="1"/>
    <n v="1"/>
    <n v="0"/>
    <n v="4.2999999999999997E-2"/>
    <n v="0"/>
  </r>
  <r>
    <s v="KIM TRUC DN"/>
    <s v="BIDV - NAM SAI GON"/>
    <s v="814012998525"/>
    <s v="Saving Account"/>
    <s v="VND"/>
    <n v="10000000000"/>
    <m/>
    <x v="2"/>
    <m/>
    <m/>
    <d v="2025-10-30T00:00:00"/>
    <x v="2"/>
    <x v="0"/>
    <x v="0"/>
    <s v="BIDV - NAM SAI GON"/>
    <m/>
    <m/>
    <m/>
    <s v="W4Oct25"/>
    <n v="10"/>
    <s v="Due in Oct"/>
    <n v="1"/>
    <n v="1"/>
    <n v="0"/>
    <n v="4.2999999999999997E-2"/>
    <n v="0"/>
  </r>
  <r>
    <s v="SAO HOA"/>
    <s v="BIDV - THANH XUAN"/>
    <s v="815012941675"/>
    <s v="Saving Account"/>
    <s v="VND"/>
    <n v="50000000000"/>
    <m/>
    <x v="2"/>
    <m/>
    <m/>
    <d v="2025-10-26T00:00:00"/>
    <x v="2"/>
    <x v="2"/>
    <x v="0"/>
    <s v="BIDV - THANH XUAN"/>
    <m/>
    <m/>
    <m/>
    <s v="W4Oct25"/>
    <n v="50"/>
    <s v="Due in Oct"/>
    <n v="1"/>
    <n v="1"/>
    <n v="0"/>
    <n v="4.2999999999999997E-2"/>
    <n v="0"/>
  </r>
  <r>
    <s v="SAO HOA"/>
    <s v="SINOPAC"/>
    <s v="07003600017007"/>
    <s v="Saving Account"/>
    <s v="VND"/>
    <n v="50000000000"/>
    <m/>
    <x v="2"/>
    <m/>
    <m/>
    <d v="2025-10-27T00:00:00"/>
    <x v="2"/>
    <x v="2"/>
    <x v="3"/>
    <s v="SINOPAC"/>
    <m/>
    <m/>
    <m/>
    <s v="W4Oct25"/>
    <n v="50"/>
    <s v="Due in Oct"/>
    <m/>
    <m/>
    <m/>
    <m/>
    <m/>
  </r>
  <r>
    <s v="SAO HOA"/>
    <s v="VIETCOMBANK - HCM"/>
    <s v="1060911024"/>
    <s v="Saving Account"/>
    <s v="VND"/>
    <n v="950000000000"/>
    <m/>
    <x v="2"/>
    <m/>
    <m/>
    <d v="2025-10-29T00:00:00"/>
    <x v="2"/>
    <x v="2"/>
    <x v="2"/>
    <s v="VIETCOMBANK - HCM"/>
    <m/>
    <m/>
    <m/>
    <s v="W4Oct25"/>
    <n v="950"/>
    <s v="Due in Oct"/>
    <n v="1"/>
    <n v="1"/>
    <n v="0"/>
    <n v="4.2999999999999997E-2"/>
    <n v="0"/>
  </r>
  <r>
    <s v="THUAN THANH 3B"/>
    <s v="VIETCOMBANK - BA DINH"/>
    <n v="1060932216"/>
    <s v="Saving Account"/>
    <s v="VND"/>
    <n v="3500000000"/>
    <m/>
    <x v="2"/>
    <m/>
    <m/>
    <d v="2025-10-30T00:00:00"/>
    <x v="1"/>
    <x v="0"/>
    <x v="2"/>
    <s v="VIETCOMBANK - BA DINH"/>
    <m/>
    <m/>
    <m/>
    <s v="W4Oct25"/>
    <n v="3.5"/>
    <s v="Due in Oct"/>
    <n v="1"/>
    <n v="1"/>
    <n v="0"/>
    <n v="4.4999999999999998E-2"/>
    <n v="0"/>
  </r>
  <r>
    <s v="THUAN THANH 3B"/>
    <s v="VIETCOMBANK - BA DINH"/>
    <n v="1060934439"/>
    <s v="Saving Account"/>
    <s v="VND"/>
    <n v="1000000000"/>
    <m/>
    <x v="2"/>
    <m/>
    <m/>
    <d v="2025-10-30T00:00:00"/>
    <x v="1"/>
    <x v="0"/>
    <x v="2"/>
    <s v="VIETCOMBANK - BA DINH"/>
    <m/>
    <m/>
    <m/>
    <s v="W4Oct25"/>
    <n v="1"/>
    <s v="Due in Oct"/>
    <n v="1"/>
    <n v="1"/>
    <n v="0"/>
    <n v="4.4999999999999998E-2"/>
    <n v="0"/>
  </r>
  <r>
    <s v="SAO HOA"/>
    <s v="VIB - HOI SO"/>
    <s v="882300925401"/>
    <s v="Saving Account"/>
    <s v="VND"/>
    <n v="170000000000"/>
    <m/>
    <x v="1"/>
    <m/>
    <m/>
    <d v="2026-03-30T00:00:00"/>
    <x v="15"/>
    <x v="2"/>
    <x v="5"/>
    <s v="VIB - HOI SO"/>
    <m/>
    <m/>
    <m/>
    <s v="W4Mar26"/>
    <n v="170"/>
    <s v="Next 5 months"/>
    <m/>
    <m/>
    <m/>
    <m/>
    <m/>
  </r>
  <r>
    <s v="SAO HOA"/>
    <s v="VIETINBANK - BINH DUONG"/>
    <s v="217000483459"/>
    <s v="Saving Account"/>
    <s v="VND"/>
    <n v="182000000000"/>
    <m/>
    <x v="2"/>
    <m/>
    <m/>
    <d v="2025-11-01T00:00:00"/>
    <x v="1"/>
    <x v="2"/>
    <x v="1"/>
    <s v="VIETINBANK - BINH DUONG"/>
    <m/>
    <m/>
    <m/>
    <s v="W0Nov25"/>
    <n v="182"/>
    <s v="Next 1 month"/>
    <n v="1"/>
    <n v="1"/>
    <n v="0"/>
    <n v="4.4999999999999998E-2"/>
    <n v="0"/>
  </r>
  <r>
    <s v="BW SAI GON"/>
    <s v="SINOPAC"/>
    <s v="07003600017043"/>
    <s v="Saving Account"/>
    <s v="VND"/>
    <n v="5500000000"/>
    <m/>
    <x v="2"/>
    <m/>
    <m/>
    <d v="2025-11-01T00:00:00"/>
    <x v="13"/>
    <x v="0"/>
    <x v="3"/>
    <s v="SINOPAC"/>
    <m/>
    <m/>
    <m/>
    <s v="W0Nov25"/>
    <n v="5.5"/>
    <s v="Next 1 month"/>
    <m/>
    <m/>
    <m/>
    <m/>
    <m/>
  </r>
  <r>
    <s v="BWID THOI HOA"/>
    <s v="VIETCOMBANK - HCM"/>
    <s v="1060986491"/>
    <s v="Saving Account"/>
    <s v="VND"/>
    <n v="5000000000"/>
    <m/>
    <x v="2"/>
    <m/>
    <m/>
    <d v="2025-11-03T00:00:00"/>
    <x v="1"/>
    <x v="0"/>
    <x v="2"/>
    <s v="VIETCOMBANK - HCM"/>
    <m/>
    <m/>
    <m/>
    <s v="W1Nov25"/>
    <n v="5"/>
    <s v="Next 1 month"/>
    <n v="1"/>
    <n v="1"/>
    <n v="0"/>
    <n v="4.4999999999999998E-2"/>
    <n v="0"/>
  </r>
  <r>
    <s v="LONG BINH"/>
    <s v="VIETCOMBANK - HCM"/>
    <s v="1060983972"/>
    <s v="Saving Account"/>
    <s v="VND"/>
    <n v="9500000000"/>
    <m/>
    <x v="4"/>
    <m/>
    <m/>
    <d v="2025-12-26T00:00:00"/>
    <x v="1"/>
    <x v="0"/>
    <x v="2"/>
    <s v="VIETCOMBANK - HCM"/>
    <m/>
    <m/>
    <m/>
    <s v="W3Dec25"/>
    <n v="9.5"/>
    <s v="Next 2 months"/>
    <n v="2"/>
    <n v="2"/>
    <n v="0"/>
    <n v="4.4999999999999998E-2"/>
    <n v="0"/>
  </r>
  <r>
    <s v="BW NAM HAI"/>
    <s v="VIETCOMBANK - BA DINH"/>
    <s v="1055968026"/>
    <s v="Saving Account"/>
    <s v="VND"/>
    <n v="5000000000"/>
    <m/>
    <x v="2"/>
    <m/>
    <m/>
    <d v="2025-11-03T00:00:00"/>
    <x v="1"/>
    <x v="0"/>
    <x v="2"/>
    <s v="VIETCOMBANK - BA DINH"/>
    <m/>
    <m/>
    <m/>
    <s v="W1Nov25"/>
    <n v="5"/>
    <s v="Next 1 month"/>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n v="1"/>
    <s v="BWD"/>
    <n v="15014439232.199999"/>
    <s v="VND"/>
    <n v="15014439232.199999"/>
    <s v="Receipt from tenants (etsimated from invoice issued)"/>
    <s v="W2Jun25"/>
    <s v="Rental income"/>
    <x v="0"/>
    <x v="0"/>
    <x v="0"/>
  </r>
  <r>
    <n v="2"/>
    <s v="BWD"/>
    <n v="10009626154.800001"/>
    <s v="VND"/>
    <n v="10009626154.800001"/>
    <s v="Receipt from tenants (etsimated from invoice issued)"/>
    <s v="W4Jun25"/>
    <s v="Rental income"/>
    <x v="0"/>
    <x v="0"/>
    <x v="0"/>
  </r>
  <r>
    <n v="3"/>
    <s v="Subsidiaries"/>
    <n v="170310462075"/>
    <s v="VND"/>
    <n v="170310462075"/>
    <s v="Receipt from tenants (etsimated from invoice issued)"/>
    <s v="W1Jun25"/>
    <s v="Rental income"/>
    <x v="0"/>
    <x v="0"/>
    <x v="1"/>
  </r>
  <r>
    <n v="4"/>
    <s v="Subsidiaries"/>
    <n v="102186277245"/>
    <s v="VND"/>
    <n v="102186277245"/>
    <s v="Receipt from tenants (etsimated from invoice issued)"/>
    <s v="W3Jun25"/>
    <s v="Rental income"/>
    <x v="0"/>
    <x v="0"/>
    <x v="1"/>
  </r>
  <r>
    <n v="5"/>
    <s v="Subsidiaries"/>
    <n v="68124184830"/>
    <s v="VND"/>
    <n v="68124184830"/>
    <s v="Receipt from tenants (etsimated from invoice issued)"/>
    <s v="W4Jun25"/>
    <s v="Rental income"/>
    <x v="0"/>
    <x v="0"/>
    <x v="1"/>
  </r>
  <r>
    <n v="6"/>
    <s v="VC3"/>
    <n v="1006875000000"/>
    <s v="VND"/>
    <n v="1006875000000"/>
    <s v="MP4_ refinancing for MP4 (A3) project"/>
    <s v="W3Jun25"/>
    <s v="Refinancing"/>
    <x v="1"/>
    <x v="0"/>
    <x v="2"/>
  </r>
  <r>
    <n v="7"/>
    <s v="DAL"/>
    <n v="10700000000"/>
    <s v="VND"/>
    <n v="10700000000"/>
    <s v="VAT refund"/>
    <s v="W2Jun25"/>
    <s v="VAT refund"/>
    <x v="2"/>
    <x v="0"/>
    <x v="1"/>
  </r>
  <r>
    <n v="8"/>
    <s v="VC3"/>
    <n v="17400000000"/>
    <s v="VND"/>
    <n v="17400000000"/>
    <s v="Refinance VSIP Nghe An"/>
    <s v="W1Jun25"/>
    <s v="Refinancing"/>
    <x v="1"/>
    <x v="0"/>
    <x v="2"/>
  </r>
  <r>
    <n v="9"/>
    <m/>
    <m/>
    <m/>
    <m/>
    <m/>
    <m/>
    <m/>
    <x v="3"/>
    <x v="1"/>
    <x v="3"/>
  </r>
  <r>
    <n v="10"/>
    <m/>
    <m/>
    <m/>
    <m/>
    <m/>
    <m/>
    <m/>
    <x v="3"/>
    <x v="1"/>
    <x v="3"/>
  </r>
  <r>
    <n v="11"/>
    <m/>
    <m/>
    <m/>
    <m/>
    <m/>
    <m/>
    <m/>
    <x v="3"/>
    <x v="1"/>
    <x v="3"/>
  </r>
  <r>
    <n v="12"/>
    <m/>
    <m/>
    <m/>
    <m/>
    <m/>
    <m/>
    <m/>
    <x v="3"/>
    <x v="1"/>
    <x v="3"/>
  </r>
  <r>
    <n v="13"/>
    <m/>
    <m/>
    <m/>
    <n v="0"/>
    <m/>
    <m/>
    <m/>
    <x v="4"/>
    <x v="1"/>
    <x v="4"/>
  </r>
  <r>
    <n v="14"/>
    <m/>
    <m/>
    <m/>
    <n v="0"/>
    <m/>
    <m/>
    <m/>
    <x v="4"/>
    <x v="1"/>
    <x v="4"/>
  </r>
  <r>
    <n v="15"/>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3"/>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r>
    <m/>
    <m/>
    <m/>
    <m/>
    <n v="0"/>
    <m/>
    <m/>
    <m/>
    <x v="4"/>
    <x v="1"/>
    <x v="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S5B"/>
    <n v="77364438293"/>
    <s v="VND"/>
    <n v="77364438293"/>
    <s v="S5B_last share payment for Tan Hiep deal _ CP meet"/>
    <x v="0"/>
    <s v="Deal payment"/>
    <x v="0"/>
    <x v="0"/>
    <x v="0"/>
    <x v="0"/>
    <m/>
    <m/>
    <s v=""/>
    <s v=""/>
    <m/>
    <s v=""/>
    <s v=""/>
  </r>
  <r>
    <n v="2"/>
    <s v="S5B"/>
    <n v="25535371711"/>
    <s v="VND"/>
    <n v="25535371711"/>
    <s v="Broker fee for Tan Hiep deal"/>
    <x v="1"/>
    <s v="Deal payment"/>
    <x v="0"/>
    <x v="0"/>
    <x v="0"/>
    <x v="0"/>
    <m/>
    <m/>
    <m/>
    <m/>
    <m/>
    <m/>
    <m/>
  </r>
  <r>
    <n v="3"/>
    <s v="VC3"/>
    <n v="1130200.8"/>
    <s v="USD"/>
    <n v="29385220800"/>
    <s v="New Corp Loan fee_Interest expenses_18 Jun 25"/>
    <x v="0"/>
    <s v="Loan interest"/>
    <x v="1"/>
    <x v="0"/>
    <x v="1"/>
    <x v="0"/>
    <m/>
    <m/>
    <s v=""/>
    <s v=""/>
    <m/>
    <s v=""/>
    <s v=""/>
  </r>
  <r>
    <n v="4"/>
    <s v="VC3"/>
    <n v="1322305.8999999999"/>
    <s v="USD"/>
    <n v="34379953400"/>
    <s v="New Corp Loan fee_Commitment fee (30 Jun 25)"/>
    <x v="1"/>
    <s v="Other payments"/>
    <x v="2"/>
    <x v="0"/>
    <x v="1"/>
    <x v="0"/>
    <m/>
    <m/>
    <m/>
    <m/>
    <m/>
    <m/>
    <m/>
  </r>
  <r>
    <n v="5"/>
    <s v="VC3"/>
    <n v="1600000000"/>
    <s v="VND"/>
    <n v="1600000000"/>
    <s v="PIT payment - employee"/>
    <x v="1"/>
    <s v="Tax payment"/>
    <x v="2"/>
    <x v="0"/>
    <x v="1"/>
    <x v="0"/>
    <m/>
    <m/>
    <m/>
    <m/>
    <m/>
    <m/>
    <m/>
  </r>
  <r>
    <n v="6"/>
    <s v="VC3"/>
    <n v="3000000000"/>
    <s v="VND"/>
    <n v="3000000000"/>
    <s v="FCT payment"/>
    <x v="1"/>
    <s v="Tax payment"/>
    <x v="2"/>
    <x v="0"/>
    <x v="1"/>
    <x v="0"/>
    <m/>
    <m/>
    <m/>
    <m/>
    <m/>
    <m/>
    <m/>
  </r>
  <r>
    <n v="7"/>
    <s v="VC3"/>
    <n v="13000000000"/>
    <s v="VND"/>
    <n v="13000000000"/>
    <s v="Sao Hoa_Operating and salary expenses"/>
    <x v="1"/>
    <s v="Salary expense"/>
    <x v="2"/>
    <x v="0"/>
    <x v="1"/>
    <x v="0"/>
    <m/>
    <m/>
    <m/>
    <m/>
    <m/>
    <m/>
    <m/>
  </r>
  <r>
    <n v="8"/>
    <s v="SCC"/>
    <n v="15000000000"/>
    <s v="VND"/>
    <n v="15000000000"/>
    <s v="Payment for bank loan principal of Jun 2025 (downstream part)"/>
    <x v="0"/>
    <s v="Loan payment"/>
    <x v="3"/>
    <x v="0"/>
    <x v="0"/>
    <x v="0"/>
    <m/>
    <m/>
    <m/>
    <m/>
    <m/>
    <m/>
    <m/>
  </r>
  <r>
    <n v="9"/>
    <s v="VC3"/>
    <n v="194000"/>
    <s v="USD"/>
    <n v="5044000000"/>
    <s v="New Corp Loan fee_Coordination fee  (upsize)_3days from SBV approval"/>
    <x v="2"/>
    <s v="Professional service fee"/>
    <x v="2"/>
    <x v="0"/>
    <x v="1"/>
    <x v="0"/>
    <m/>
    <m/>
    <m/>
    <m/>
    <m/>
    <m/>
    <m/>
  </r>
  <r>
    <n v="10"/>
    <s v="VC3"/>
    <n v="30000"/>
    <s v="USD"/>
    <n v="780000000"/>
    <s v="New Corp Loan fee_Legal fee (upsize)"/>
    <x v="1"/>
    <s v="Professional service fee"/>
    <x v="2"/>
    <x v="0"/>
    <x v="1"/>
    <x v="0"/>
    <m/>
    <m/>
    <s v=""/>
    <s v=""/>
    <m/>
    <s v=""/>
    <s v=""/>
  </r>
  <r>
    <n v="11"/>
    <s v="VC3"/>
    <n v="320000"/>
    <s v="USD"/>
    <n v="8320000000"/>
    <s v="Marketing service fee_Leasing activities_Q2.2025"/>
    <x v="1"/>
    <s v="S&amp;M expense"/>
    <x v="2"/>
    <x v="0"/>
    <x v="1"/>
    <x v="0"/>
    <m/>
    <m/>
    <s v=""/>
    <s v=""/>
    <m/>
    <s v=""/>
    <s v=""/>
  </r>
  <r>
    <n v="11"/>
    <s v="DVC"/>
    <n v="14494847932"/>
    <s v="VND"/>
    <n v="14494847932"/>
    <s v="DVC_Megaspace_IPC 05"/>
    <x v="2"/>
    <s v="Construction expense"/>
    <x v="4"/>
    <x v="0"/>
    <x v="0"/>
    <x v="0"/>
    <m/>
    <m/>
    <s v=""/>
    <s v=""/>
    <m/>
    <s v=""/>
    <s v=""/>
  </r>
  <r>
    <n v="12"/>
    <s v="DC2"/>
    <n v="3521291100"/>
    <s v="VND"/>
    <n v="3521291100"/>
    <s v="Connection fee of power contract_(will be deducted in IPC payment later)"/>
    <x v="3"/>
    <s v="Construction expense"/>
    <x v="4"/>
    <x v="0"/>
    <x v="0"/>
    <x v="0"/>
    <m/>
    <m/>
    <s v=""/>
    <s v=""/>
    <m/>
    <s v=""/>
    <s v=""/>
  </r>
  <r>
    <n v="13"/>
    <s v="TCS"/>
    <n v="3000000000"/>
    <s v="VND"/>
    <n v="3000000000"/>
    <s v="Reserve for operating + construction expense"/>
    <x v="3"/>
    <s v="Construction expense"/>
    <x v="4"/>
    <x v="0"/>
    <x v="0"/>
    <x v="0"/>
    <m/>
    <m/>
    <s v=""/>
    <s v=""/>
    <m/>
    <s v=""/>
    <s v=""/>
  </r>
  <r>
    <n v="14"/>
    <s v="DAL"/>
    <n v="4500000000"/>
    <s v="VND"/>
    <n v="4500000000"/>
    <s v="DAL_GLC_Payment for construction cost_IPC9"/>
    <x v="3"/>
    <s v="Construction expense"/>
    <x v="4"/>
    <x v="0"/>
    <x v="0"/>
    <x v="0"/>
    <m/>
    <m/>
    <s v=""/>
    <s v=""/>
    <m/>
    <s v=""/>
    <s v=""/>
  </r>
  <r>
    <n v="15"/>
    <s v="DAL"/>
    <n v="3000000000"/>
    <s v="VND"/>
    <n v="3000000000"/>
    <s v="DAL_GLC_Payment for construction cost_IPC10"/>
    <x v="0"/>
    <s v="Construction expense"/>
    <x v="4"/>
    <x v="0"/>
    <x v="0"/>
    <x v="0"/>
    <m/>
    <m/>
    <s v=""/>
    <s v=""/>
    <m/>
    <s v=""/>
    <s v=""/>
  </r>
  <r>
    <n v="16"/>
    <s v="BTD"/>
    <n v="11000000000"/>
    <s v="VND"/>
    <n v="11000000000"/>
    <s v="NEWTECONS_IPC.09 - PR.10"/>
    <x v="0"/>
    <s v="Construction expense"/>
    <x v="4"/>
    <x v="0"/>
    <x v="0"/>
    <x v="0"/>
    <m/>
    <m/>
    <s v=""/>
    <s v=""/>
    <m/>
    <s v=""/>
    <s v=""/>
  </r>
  <r>
    <n v="17"/>
    <s v="BMP"/>
    <n v="4000000000"/>
    <s v="VND"/>
    <n v="4000000000"/>
    <s v="Permit and design service"/>
    <x v="1"/>
    <s v="Construction expense"/>
    <x v="4"/>
    <x v="0"/>
    <x v="0"/>
    <x v="0"/>
    <m/>
    <m/>
    <s v=""/>
    <s v=""/>
    <m/>
    <s v=""/>
    <s v=""/>
  </r>
  <r>
    <n v="18"/>
    <s v="VC3"/>
    <n v="13000000000"/>
    <s v="VND"/>
    <n v="13000000000"/>
    <s v="Sao Hoa_Operating and salary expenses"/>
    <x v="4"/>
    <s v="Salary expense"/>
    <x v="2"/>
    <x v="0"/>
    <x v="1"/>
    <x v="0"/>
    <m/>
    <m/>
    <s v=""/>
    <s v=""/>
    <m/>
    <s v=""/>
    <s v=""/>
  </r>
  <r>
    <n v="19"/>
    <s v="N4C"/>
    <n v="68440238639"/>
    <s v="VND"/>
    <n v="68440238639"/>
    <s v="NASTEC_ 13.5ha in VSIP Bac Ninh II_ 20% pmt up on LLA signing (15 days)"/>
    <x v="4"/>
    <s v="Land lease price payment"/>
    <x v="5"/>
    <x v="0"/>
    <x v="0"/>
    <x v="0"/>
    <m/>
    <m/>
    <s v=""/>
    <s v=""/>
    <m/>
    <s v=""/>
    <s v=""/>
  </r>
  <r>
    <n v="20"/>
    <s v="BB5"/>
    <n v="9000000000"/>
    <s v="VND"/>
    <n v="9000000000"/>
    <s v="Payment for Earth work_IPC.01 (GLC) &amp; Design work"/>
    <x v="4"/>
    <s v="Construction expense"/>
    <x v="4"/>
    <x v="0"/>
    <x v="0"/>
    <x v="0"/>
    <m/>
    <m/>
    <s v=""/>
    <s v=""/>
    <m/>
    <s v=""/>
    <s v=""/>
  </r>
  <r>
    <n v="21"/>
    <s v="THA"/>
    <n v="5000000000"/>
    <s v="VND"/>
    <n v="5000000000"/>
    <s v="Bank interest in May 2025"/>
    <x v="4"/>
    <s v="Loan interest"/>
    <x v="1"/>
    <x v="0"/>
    <x v="0"/>
    <x v="0"/>
    <m/>
    <m/>
    <s v=""/>
    <s v=""/>
    <m/>
    <s v=""/>
    <s v=""/>
  </r>
  <r>
    <n v="22"/>
    <s v="KTR"/>
    <n v="4500000000"/>
    <s v="VND"/>
    <n v="4500000000"/>
    <s v="Payment for bank interest_BIDV"/>
    <x v="0"/>
    <s v="Loan interest"/>
    <x v="1"/>
    <x v="0"/>
    <x v="1"/>
    <x v="1"/>
    <m/>
    <m/>
    <s v=""/>
    <s v=""/>
    <m/>
    <s v=""/>
    <s v=""/>
  </r>
  <r>
    <n v="23"/>
    <s v="BBN"/>
    <n v="5000000000"/>
    <s v="VND"/>
    <n v="5000000000"/>
    <s v="Bank loan interest &amp; principal"/>
    <x v="0"/>
    <s v="Loan payment"/>
    <x v="3"/>
    <x v="0"/>
    <x v="1"/>
    <x v="1"/>
    <m/>
    <m/>
    <s v=""/>
    <s v=""/>
    <m/>
    <s v=""/>
    <s v=""/>
  </r>
  <r>
    <n v="24"/>
    <s v="BHP"/>
    <n v="1684427628"/>
    <s v="VND"/>
    <n v="1684427628"/>
    <s v="Reinstallment fee after typhoon"/>
    <x v="0"/>
    <s v="Operating expense"/>
    <x v="2"/>
    <x v="0"/>
    <x v="1"/>
    <x v="1"/>
    <m/>
    <m/>
    <s v=""/>
    <s v=""/>
    <m/>
    <s v=""/>
    <s v=""/>
  </r>
  <r>
    <n v="25"/>
    <s v="BNH"/>
    <n v="1317431115"/>
    <s v="VND"/>
    <n v="1317431115"/>
    <s v="Reinstallment fee after typhoon"/>
    <x v="0"/>
    <s v="Operating expense"/>
    <x v="2"/>
    <x v="0"/>
    <x v="1"/>
    <x v="1"/>
    <m/>
    <m/>
    <s v=""/>
    <s v=""/>
    <m/>
    <s v=""/>
    <s v=""/>
  </r>
  <r>
    <n v="26"/>
    <s v="XA1"/>
    <n v="5663996490"/>
    <s v="VND"/>
    <n v="5663996490"/>
    <s v="HBC - Final account"/>
    <x v="3"/>
    <s v="Construction expense"/>
    <x v="4"/>
    <x v="0"/>
    <x v="1"/>
    <x v="1"/>
    <m/>
    <m/>
    <s v=""/>
    <s v=""/>
    <m/>
    <s v=""/>
    <s v=""/>
  </r>
  <r>
    <n v="27"/>
    <s v="BHP"/>
    <n v="17475513110"/>
    <s v="VND"/>
    <n v="17475513110"/>
    <s v="Payment for Cash sweep to VTB Tien Son"/>
    <x v="3"/>
    <s v="Loan payment"/>
    <x v="3"/>
    <x v="0"/>
    <x v="1"/>
    <x v="1"/>
    <m/>
    <m/>
    <s v=""/>
    <s v=""/>
    <m/>
    <s v=""/>
    <s v=""/>
  </r>
  <r>
    <n v="28"/>
    <s v="NDV"/>
    <n v="2500000000"/>
    <s v="VND"/>
    <n v="2500000000"/>
    <s v="Payment for  Vu Hoang + Kansai (WWT plan + Reinstatement Works)"/>
    <x v="2"/>
    <s v="Operating expense"/>
    <x v="2"/>
    <x v="0"/>
    <x v="1"/>
    <x v="1"/>
    <m/>
    <m/>
    <s v=""/>
    <s v=""/>
    <m/>
    <s v=""/>
    <s v=""/>
  </r>
  <r>
    <n v="29"/>
    <s v="BNH"/>
    <n v="3044902453"/>
    <s v="VND"/>
    <n v="3044902453"/>
    <s v="BNH CN10-01_Payment for broker fee"/>
    <x v="0"/>
    <s v="Operating expense"/>
    <x v="2"/>
    <x v="0"/>
    <x v="1"/>
    <x v="1"/>
    <m/>
    <m/>
    <s v=""/>
    <s v=""/>
    <m/>
    <s v=""/>
    <s v=""/>
  </r>
  <r>
    <n v="30"/>
    <s v="BWD"/>
    <n v="7287714767"/>
    <s v="VND"/>
    <n v="7287714767"/>
    <s v="Bank loan and interest on 25/05/2024"/>
    <x v="0"/>
    <s v="Loan interest"/>
    <x v="1"/>
    <x v="0"/>
    <x v="1"/>
    <x v="2"/>
    <m/>
    <m/>
    <s v=""/>
    <s v=""/>
    <m/>
    <s v=""/>
    <s v=""/>
  </r>
  <r>
    <n v="31"/>
    <s v="DAL"/>
    <n v="8300000000"/>
    <s v="VND"/>
    <n v="8300000000"/>
    <s v="Bank loan principal and loan interest "/>
    <x v="1"/>
    <s v="Loan interest"/>
    <x v="1"/>
    <x v="0"/>
    <x v="1"/>
    <x v="1"/>
    <m/>
    <m/>
    <s v=""/>
    <s v=""/>
    <m/>
    <s v=""/>
    <s v=""/>
  </r>
  <r>
    <n v="32"/>
    <s v="BWP"/>
    <n v="3000000000"/>
    <s v="VND"/>
    <n v="3000000000"/>
    <s v="Bank loan and interest on 25/06/2024"/>
    <x v="1"/>
    <s v="Loan interest"/>
    <x v="1"/>
    <x v="0"/>
    <x v="1"/>
    <x v="1"/>
    <m/>
    <m/>
    <s v=""/>
    <s v=""/>
    <m/>
    <s v=""/>
    <s v=""/>
  </r>
  <r>
    <n v="33"/>
    <s v="SCC"/>
    <n v="11501082192"/>
    <s v="VND"/>
    <n v="11501082192"/>
    <s v="Bank loan and interest on 25/07/2024 (available equity part)"/>
    <x v="0"/>
    <s v="Loan interest"/>
    <x v="1"/>
    <x v="0"/>
    <x v="1"/>
    <x v="1"/>
    <m/>
    <m/>
    <s v=""/>
    <s v=""/>
    <m/>
    <s v=""/>
    <s v=""/>
  </r>
  <r>
    <n v="34"/>
    <s v="BWD"/>
    <n v="7287714767"/>
    <s v="VND"/>
    <n v="7287714767"/>
    <s v="Bank loan interest"/>
    <x v="0"/>
    <s v="Loan interest"/>
    <x v="1"/>
    <x v="0"/>
    <x v="1"/>
    <x v="2"/>
    <m/>
    <m/>
    <s v=""/>
    <s v=""/>
    <m/>
    <s v=""/>
    <s v=""/>
  </r>
  <r>
    <n v="35"/>
    <s v="N4C"/>
    <n v="25701650000"/>
    <s v="VND"/>
    <n v="25701650000"/>
    <s v="2nd payment of SPA for deal VSIP BN2 13.5ha"/>
    <x v="3"/>
    <s v="Deal payment"/>
    <x v="0"/>
    <x v="0"/>
    <x v="1"/>
    <x v="1"/>
    <m/>
    <m/>
    <s v=""/>
    <s v=""/>
    <m/>
    <s v=""/>
    <s v=""/>
  </r>
  <r>
    <n v="36"/>
    <s v="BTD"/>
    <n v="44000000000"/>
    <s v="VND"/>
    <n v="44000000000"/>
    <s v="NEWTECONS_IPC.09 - PR.10"/>
    <x v="0"/>
    <s v="Construction expense"/>
    <x v="4"/>
    <x v="0"/>
    <x v="2"/>
    <x v="1"/>
    <m/>
    <m/>
    <s v=""/>
    <s v=""/>
    <m/>
    <s v=""/>
    <s v=""/>
  </r>
  <r>
    <n v="37"/>
    <s v="KTR"/>
    <n v="19200000000"/>
    <s v="VND"/>
    <n v="19200000000"/>
    <s v="CHR - FUJI - IPC.08 - 10th payment  (70%)"/>
    <x v="2"/>
    <s v="Construction expense"/>
    <x v="4"/>
    <x v="0"/>
    <x v="2"/>
    <x v="1"/>
    <m/>
    <m/>
    <s v=""/>
    <s v=""/>
    <m/>
    <s v=""/>
    <s v=""/>
  </r>
  <r>
    <n v="38"/>
    <s v="KTR"/>
    <n v="19200000000"/>
    <s v="VND"/>
    <n v="19200000000"/>
    <s v="CHR - FUJI - IPC.09 - 11th payment  (70%)"/>
    <x v="2"/>
    <s v="Construction expense"/>
    <x v="4"/>
    <x v="0"/>
    <x v="2"/>
    <x v="1"/>
    <m/>
    <m/>
    <s v=""/>
    <s v=""/>
    <m/>
    <s v=""/>
    <s v=""/>
  </r>
  <r>
    <n v="39"/>
    <s v="KTR"/>
    <n v="9000000000"/>
    <s v="VND"/>
    <n v="9000000000"/>
    <s v="CHR - FUJI - After acceptance certificate - 10th payment  (70%)"/>
    <x v="2"/>
    <s v="Construction expense"/>
    <x v="4"/>
    <x v="0"/>
    <x v="2"/>
    <x v="1"/>
    <m/>
    <m/>
    <s v=""/>
    <s v=""/>
    <m/>
    <s v=""/>
    <s v=""/>
  </r>
  <r>
    <n v="40"/>
    <s v="KTR"/>
    <n v="11600000000"/>
    <s v="VND"/>
    <n v="11600000000"/>
    <s v="CHR - TIALOC - After warranty bond - 10th payment  (70%)"/>
    <x v="2"/>
    <s v="Construction expense"/>
    <x v="4"/>
    <x v="0"/>
    <x v="2"/>
    <x v="1"/>
    <m/>
    <m/>
    <s v=""/>
    <s v=""/>
    <m/>
    <s v=""/>
    <s v=""/>
  </r>
  <r>
    <n v="41"/>
    <s v="PAE"/>
    <n v="45126569534"/>
    <s v="VND"/>
    <n v="45126569534"/>
    <s v="Contract to Uc Phat - PR.06 IPC.05"/>
    <x v="1"/>
    <s v="Construction expense"/>
    <x v="4"/>
    <x v="0"/>
    <x v="2"/>
    <x v="1"/>
    <m/>
    <m/>
    <s v=""/>
    <s v=""/>
    <m/>
    <s v=""/>
    <s v=""/>
  </r>
  <r>
    <n v="42"/>
    <s v="DAL"/>
    <n v="5500000000"/>
    <s v="VND"/>
    <n v="5500000000"/>
    <s v="DAL_GLC_Payment for construction cost_IPC10"/>
    <x v="0"/>
    <s v="Construction expense"/>
    <x v="4"/>
    <x v="0"/>
    <x v="2"/>
    <x v="1"/>
    <m/>
    <m/>
    <s v=""/>
    <s v=""/>
    <m/>
    <s v=""/>
    <s v=""/>
  </r>
  <r>
    <n v="43"/>
    <s v="DTP"/>
    <n v="2000000000"/>
    <s v="VND"/>
    <n v="2000000000"/>
    <s v="Bank loan and interest on 13/07/2024"/>
    <x v="0"/>
    <s v="Loan interest"/>
    <x v="1"/>
    <x v="0"/>
    <x v="2"/>
    <x v="1"/>
    <m/>
    <m/>
    <s v=""/>
    <s v=""/>
    <m/>
    <s v=""/>
    <s v=""/>
  </r>
  <r>
    <n v="44"/>
    <s v="JYP"/>
    <n v="4000000000"/>
    <s v="VND"/>
    <n v="4000000000"/>
    <s v="Payment for bank interest"/>
    <x v="1"/>
    <s v="Loan interest"/>
    <x v="1"/>
    <x v="0"/>
    <x v="2"/>
    <x v="1"/>
    <m/>
    <m/>
    <s v=""/>
    <s v=""/>
    <m/>
    <s v=""/>
    <s v=""/>
  </r>
  <r>
    <n v="45"/>
    <s v="JYP"/>
    <n v="68500000000"/>
    <s v="VND"/>
    <n v="68500000000"/>
    <s v="Construction payment_IPC8"/>
    <x v="0"/>
    <s v="Construction expense"/>
    <x v="4"/>
    <x v="0"/>
    <x v="2"/>
    <x v="1"/>
    <m/>
    <m/>
    <s v=""/>
    <s v=""/>
    <m/>
    <s v=""/>
    <s v=""/>
  </r>
  <r>
    <n v="46"/>
    <s v="XA1"/>
    <n v="32000000000"/>
    <s v="VND"/>
    <n v="32000000000"/>
    <s v="HBC -Construction payment_ Final account"/>
    <x v="3"/>
    <s v="Construction expense"/>
    <x v="4"/>
    <x v="0"/>
    <x v="2"/>
    <x v="1"/>
    <m/>
    <m/>
    <s v=""/>
    <s v=""/>
    <m/>
    <s v=""/>
    <s v=""/>
  </r>
  <r>
    <n v="47"/>
    <s v="PNA"/>
    <n v="49000000000"/>
    <s v="VND"/>
    <n v="49000000000"/>
    <s v="Construction payment _IPC 6"/>
    <x v="2"/>
    <s v="Construction expense"/>
    <x v="4"/>
    <x v="0"/>
    <x v="2"/>
    <x v="1"/>
    <m/>
    <m/>
    <s v=""/>
    <s v=""/>
    <m/>
    <s v=""/>
    <s v=""/>
  </r>
  <r>
    <n v="48"/>
    <s v="KTR"/>
    <n v="36241269492"/>
    <s v="VND"/>
    <n v="36241269492"/>
    <s v="Construction payment _IPC 6"/>
    <x v="0"/>
    <s v="Construction expense"/>
    <x v="4"/>
    <x v="0"/>
    <x v="2"/>
    <x v="1"/>
    <m/>
    <m/>
    <s v=""/>
    <s v=""/>
    <m/>
    <s v=""/>
    <s v=""/>
  </r>
  <r>
    <n v="49"/>
    <s v="BTD"/>
    <n v="85764550692"/>
    <s v="VND"/>
    <n v="85764550692"/>
    <s v="Construction payment _IPC 8"/>
    <x v="2"/>
    <s v="Construction expense"/>
    <x v="4"/>
    <x v="0"/>
    <x v="2"/>
    <x v="1"/>
    <m/>
    <m/>
    <s v=""/>
    <s v=""/>
    <m/>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28C46E-612B-4D81-B13C-2A3D45CDBAF0}"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01:D115" firstHeaderRow="1" firstDataRow="2" firstDataCol="1" rowPageCount="1" colPageCount="1"/>
  <pivotFields count="26">
    <pivotField showAll="0"/>
    <pivotField showAll="0"/>
    <pivotField showAll="0"/>
    <pivotField showAll="0"/>
    <pivotField showAll="0"/>
    <pivotField dataField="1" showAll="0"/>
    <pivotField showAll="0"/>
    <pivotField axis="axisCol" showAll="0">
      <items count="12">
        <item x="2"/>
        <item x="0"/>
        <item x="3"/>
        <item x="1"/>
        <item x="4"/>
        <item x="8"/>
        <item m="1" x="10"/>
        <item m="1" x="9"/>
        <item x="6"/>
        <item x="7"/>
        <item x="5"/>
        <item t="default"/>
      </items>
    </pivotField>
    <pivotField showAll="0"/>
    <pivotField showAll="0"/>
    <pivotField showAll="0"/>
    <pivotField axis="axisRow" numFmtId="10" showAll="0">
      <items count="65">
        <item m="1" x="37"/>
        <item x="9"/>
        <item x="12"/>
        <item x="11"/>
        <item m="1" x="45"/>
        <item m="1" x="62"/>
        <item m="1" x="56"/>
        <item m="1" x="61"/>
        <item m="1" x="57"/>
        <item m="1" x="63"/>
        <item m="1" x="38"/>
        <item x="2"/>
        <item x="14"/>
        <item m="1" x="54"/>
        <item x="5"/>
        <item m="1" x="60"/>
        <item m="1" x="19"/>
        <item m="1" x="51"/>
        <item m="1" x="35"/>
        <item m="1" x="58"/>
        <item m="1" x="52"/>
        <item m="1" x="44"/>
        <item m="1" x="55"/>
        <item m="1" x="20"/>
        <item m="1" x="53"/>
        <item x="1"/>
        <item m="1" x="48"/>
        <item m="1" x="49"/>
        <item x="6"/>
        <item m="1" x="25"/>
        <item m="1" x="22"/>
        <item x="3"/>
        <item m="1" x="59"/>
        <item m="1" x="31"/>
        <item m="1" x="30"/>
        <item x="8"/>
        <item m="1" x="23"/>
        <item x="7"/>
        <item m="1" x="29"/>
        <item m="1" x="40"/>
        <item m="1" x="36"/>
        <item m="1" x="50"/>
        <item m="1" x="42"/>
        <item m="1" x="39"/>
        <item m="1" x="18"/>
        <item m="1" x="41"/>
        <item m="1" x="34"/>
        <item m="1" x="43"/>
        <item m="1" x="46"/>
        <item m="1" x="47"/>
        <item x="4"/>
        <item m="1" x="28"/>
        <item m="1" x="17"/>
        <item m="1" x="24"/>
        <item x="13"/>
        <item m="1" x="27"/>
        <item x="0"/>
        <item m="1" x="32"/>
        <item m="1" x="26"/>
        <item m="1" x="33"/>
        <item m="1" x="21"/>
        <item x="10"/>
        <item m="1" x="16"/>
        <item x="15"/>
        <item t="default"/>
      </items>
    </pivotField>
    <pivotField axis="axisPage" multipleItemSelectionAllowed="1" showAll="0">
      <items count="4">
        <item h="1" x="1"/>
        <item h="1" x="0"/>
        <item x="2"/>
        <item t="default"/>
      </items>
    </pivotField>
    <pivotField axis="axisRow" showAll="0">
      <items count="17">
        <item x="0"/>
        <item m="1" x="9"/>
        <item x="2"/>
        <item x="1"/>
        <item x="3"/>
        <item x="5"/>
        <item m="1" x="10"/>
        <item x="8"/>
        <item m="1" x="15"/>
        <item m="1" x="13"/>
        <item m="1" x="14"/>
        <item m="1" x="11"/>
        <item x="4"/>
        <item m="1" x="12"/>
        <item x="7"/>
        <item x="6"/>
        <item t="default"/>
      </items>
    </pivotField>
    <pivotField showAll="0"/>
    <pivotField showAll="0"/>
    <pivotField showAll="0"/>
    <pivotField showAll="0"/>
    <pivotField showAll="0"/>
    <pivotField numFmtId="193" showAll="0"/>
    <pivotField showAll="0"/>
    <pivotField showAll="0"/>
    <pivotField showAll="0"/>
    <pivotField showAll="0"/>
    <pivotField showAll="0"/>
    <pivotField showAll="0"/>
  </pivotFields>
  <rowFields count="2">
    <field x="13"/>
    <field x="11"/>
  </rowFields>
  <rowItems count="13">
    <i>
      <x/>
    </i>
    <i r="1">
      <x v="11"/>
    </i>
    <i>
      <x v="2"/>
    </i>
    <i r="1">
      <x v="11"/>
    </i>
    <i>
      <x v="3"/>
    </i>
    <i r="1">
      <x v="25"/>
    </i>
    <i>
      <x v="4"/>
    </i>
    <i r="1">
      <x v="11"/>
    </i>
    <i>
      <x v="5"/>
    </i>
    <i r="1">
      <x v="63"/>
    </i>
    <i>
      <x v="7"/>
    </i>
    <i r="1">
      <x v="12"/>
    </i>
    <i t="grand">
      <x/>
    </i>
  </rowItems>
  <colFields count="1">
    <field x="7"/>
  </colFields>
  <colItems count="3">
    <i>
      <x/>
    </i>
    <i>
      <x v="3"/>
    </i>
    <i t="grand">
      <x/>
    </i>
  </colItems>
  <pageFields count="1">
    <pageField fld="12" hier="-1"/>
  </pageFields>
  <dataFields count="1">
    <dataField name="Sum of CLOSING BALANCE _x000a_(VND)" fld="5" baseField="0" baseItem="0"/>
  </dataFields>
  <formats count="13">
    <format dxfId="273">
      <pivotArea dataOnly="0" labelOnly="1" fieldPosition="0">
        <references count="1">
          <reference field="11" count="7">
            <x v="1"/>
            <x v="2"/>
            <x v="3"/>
            <x v="4"/>
            <x v="5"/>
            <x v="6"/>
            <x v="7"/>
          </reference>
        </references>
      </pivotArea>
    </format>
    <format dxfId="272">
      <pivotArea outline="0" collapsedLevelsAreSubtotals="1" fieldPosition="0"/>
    </format>
    <format dxfId="271">
      <pivotArea dataOnly="0" labelOnly="1" fieldPosition="0">
        <references count="1">
          <reference field="13" count="2">
            <x v="2"/>
            <x v="3"/>
          </reference>
        </references>
      </pivotArea>
    </format>
    <format dxfId="270">
      <pivotArea dataOnly="0" labelOnly="1" fieldPosition="0">
        <references count="2">
          <reference field="11" count="1">
            <x v="11"/>
          </reference>
          <reference field="13" count="1" selected="0">
            <x v="0"/>
          </reference>
        </references>
      </pivotArea>
    </format>
    <format dxfId="269">
      <pivotArea dataOnly="0" labelOnly="1" fieldPosition="0">
        <references count="2">
          <reference field="11" count="1">
            <x v="12"/>
          </reference>
          <reference field="13" count="1" selected="0">
            <x v="1"/>
          </reference>
        </references>
      </pivotArea>
    </format>
    <format dxfId="268">
      <pivotArea dataOnly="0" labelOnly="1" fieldPosition="0">
        <references count="2">
          <reference field="11" count="4">
            <x v="1"/>
            <x v="2"/>
            <x v="3"/>
            <x v="11"/>
          </reference>
          <reference field="13" count="1" selected="0">
            <x v="2"/>
          </reference>
        </references>
      </pivotArea>
    </format>
    <format dxfId="267">
      <pivotArea dataOnly="0" labelOnly="1" fieldPosition="0">
        <references count="2">
          <reference field="11" count="2">
            <x v="6"/>
            <x v="11"/>
          </reference>
          <reference field="13" count="1" selected="0">
            <x v="3"/>
          </reference>
        </references>
      </pivotArea>
    </format>
    <format dxfId="266">
      <pivotArea dataOnly="0" labelOnly="1" fieldPosition="0">
        <references count="1">
          <reference field="13" count="4">
            <x v="2"/>
            <x v="3"/>
            <x v="6"/>
            <x v="8"/>
          </reference>
        </references>
      </pivotArea>
    </format>
    <format dxfId="265">
      <pivotArea dataOnly="0" labelOnly="1" fieldPosition="0">
        <references count="2">
          <reference field="11" count="1">
            <x v="3"/>
          </reference>
          <reference field="13" count="1" selected="0">
            <x v="2"/>
          </reference>
        </references>
      </pivotArea>
    </format>
    <format dxfId="264">
      <pivotArea dataOnly="0" labelOnly="1" fieldPosition="0">
        <references count="2">
          <reference field="11" count="1">
            <x v="12"/>
          </reference>
          <reference field="13" count="1" selected="0">
            <x v="3"/>
          </reference>
        </references>
      </pivotArea>
    </format>
    <format dxfId="263">
      <pivotArea dataOnly="0" labelOnly="1" fieldPosition="0">
        <references count="2">
          <reference field="11" count="1">
            <x v="8"/>
          </reference>
          <reference field="13" count="1" selected="0">
            <x v="6"/>
          </reference>
        </references>
      </pivotArea>
    </format>
    <format dxfId="262">
      <pivotArea dataOnly="0" labelOnly="1" fieldPosition="0">
        <references count="2">
          <reference field="11" count="1">
            <x v="8"/>
          </reference>
          <reference field="13" count="1" selected="0">
            <x v="8"/>
          </reference>
        </references>
      </pivotArea>
    </format>
    <format dxfId="261">
      <pivotArea dataOnly="0" labelOnly="1" outline="0" fieldPosition="0">
        <references count="1">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B6BCF4-DB0F-450C-BA6E-98C32D921B05}"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30:K166" firstHeaderRow="1" firstDataRow="2" firstDataCol="1" rowPageCount="1" colPageCount="1"/>
  <pivotFields count="26">
    <pivotField showAll="0"/>
    <pivotField showAll="0"/>
    <pivotField showAll="0"/>
    <pivotField showAll="0"/>
    <pivotField showAll="0"/>
    <pivotField dataField="1" showAll="0"/>
    <pivotField showAll="0"/>
    <pivotField axis="axisCol" showAll="0" sortType="ascending">
      <items count="12">
        <item x="2"/>
        <item x="3"/>
        <item x="5"/>
        <item x="4"/>
        <item x="0"/>
        <item x="8"/>
        <item x="7"/>
        <item x="1"/>
        <item x="6"/>
        <item m="1" x="9"/>
        <item m="1" x="10"/>
        <item t="default"/>
      </items>
    </pivotField>
    <pivotField showAll="0"/>
    <pivotField showAll="0"/>
    <pivotField showAll="0"/>
    <pivotField axis="axisRow" numFmtId="10" showAll="0">
      <items count="65">
        <item m="1" x="37"/>
        <item x="9"/>
        <item x="12"/>
        <item x="11"/>
        <item m="1" x="45"/>
        <item m="1" x="62"/>
        <item m="1" x="56"/>
        <item m="1" x="61"/>
        <item m="1" x="57"/>
        <item m="1" x="63"/>
        <item m="1" x="38"/>
        <item x="2"/>
        <item x="14"/>
        <item m="1" x="54"/>
        <item x="5"/>
        <item m="1" x="60"/>
        <item m="1" x="19"/>
        <item m="1" x="51"/>
        <item m="1" x="35"/>
        <item m="1" x="58"/>
        <item m="1" x="52"/>
        <item m="1" x="44"/>
        <item m="1" x="55"/>
        <item m="1" x="20"/>
        <item m="1" x="53"/>
        <item x="1"/>
        <item m="1" x="48"/>
        <item m="1" x="49"/>
        <item x="6"/>
        <item m="1" x="25"/>
        <item m="1" x="22"/>
        <item x="3"/>
        <item m="1" x="59"/>
        <item m="1" x="31"/>
        <item m="1" x="30"/>
        <item x="8"/>
        <item m="1" x="23"/>
        <item x="7"/>
        <item m="1" x="29"/>
        <item m="1" x="40"/>
        <item m="1" x="36"/>
        <item m="1" x="50"/>
        <item m="1" x="42"/>
        <item m="1" x="39"/>
        <item m="1" x="18"/>
        <item m="1" x="41"/>
        <item m="1" x="34"/>
        <item m="1" x="43"/>
        <item m="1" x="46"/>
        <item m="1" x="47"/>
        <item x="4"/>
        <item m="1" x="28"/>
        <item m="1" x="17"/>
        <item m="1" x="24"/>
        <item x="13"/>
        <item m="1" x="27"/>
        <item x="0"/>
        <item m="1" x="32"/>
        <item m="1" x="26"/>
        <item m="1" x="33"/>
        <item m="1" x="21"/>
        <item x="10"/>
        <item m="1" x="16"/>
        <item x="15"/>
        <item t="default"/>
      </items>
    </pivotField>
    <pivotField axis="axisPage" multipleItemSelectionAllowed="1" showAll="0">
      <items count="4">
        <item h="1" x="1"/>
        <item x="0"/>
        <item h="1" x="2"/>
        <item t="default"/>
      </items>
    </pivotField>
    <pivotField axis="axisRow" showAll="0">
      <items count="17">
        <item x="0"/>
        <item m="1" x="9"/>
        <item x="2"/>
        <item x="1"/>
        <item x="3"/>
        <item x="5"/>
        <item m="1" x="10"/>
        <item x="8"/>
        <item m="1" x="15"/>
        <item m="1" x="13"/>
        <item m="1" x="14"/>
        <item m="1" x="11"/>
        <item x="4"/>
        <item m="1" x="12"/>
        <item x="7"/>
        <item x="6"/>
        <item t="default"/>
      </items>
    </pivotField>
    <pivotField showAll="0"/>
    <pivotField showAll="0"/>
    <pivotField showAll="0"/>
    <pivotField showAll="0"/>
    <pivotField showAll="0"/>
    <pivotField numFmtId="193" showAll="0"/>
    <pivotField showAll="0"/>
    <pivotField showAll="0"/>
    <pivotField showAll="0"/>
    <pivotField showAll="0"/>
    <pivotField showAll="0"/>
    <pivotField showAll="0"/>
  </pivotFields>
  <rowFields count="2">
    <field x="13"/>
    <field x="11"/>
  </rowFields>
  <rowItems count="35">
    <i>
      <x/>
    </i>
    <i r="1">
      <x v="1"/>
    </i>
    <i r="1">
      <x v="3"/>
    </i>
    <i r="1">
      <x v="11"/>
    </i>
    <i r="1">
      <x v="25"/>
    </i>
    <i r="1">
      <x v="28"/>
    </i>
    <i r="1">
      <x v="35"/>
    </i>
    <i r="1">
      <x v="37"/>
    </i>
    <i r="1">
      <x v="56"/>
    </i>
    <i>
      <x v="2"/>
    </i>
    <i r="1">
      <x v="11"/>
    </i>
    <i r="1">
      <x v="14"/>
    </i>
    <i r="1">
      <x v="25"/>
    </i>
    <i r="1">
      <x v="28"/>
    </i>
    <i>
      <x v="3"/>
    </i>
    <i r="1">
      <x v="2"/>
    </i>
    <i r="1">
      <x v="11"/>
    </i>
    <i r="1">
      <x v="25"/>
    </i>
    <i r="1">
      <x v="35"/>
    </i>
    <i r="1">
      <x v="37"/>
    </i>
    <i r="1">
      <x v="56"/>
    </i>
    <i>
      <x v="4"/>
    </i>
    <i r="1">
      <x v="14"/>
    </i>
    <i r="1">
      <x v="25"/>
    </i>
    <i r="1">
      <x v="31"/>
    </i>
    <i r="1">
      <x v="54"/>
    </i>
    <i>
      <x v="5"/>
    </i>
    <i r="1">
      <x v="61"/>
    </i>
    <i>
      <x v="12"/>
    </i>
    <i r="1">
      <x v="1"/>
    </i>
    <i>
      <x v="14"/>
    </i>
    <i r="1">
      <x v="12"/>
    </i>
    <i>
      <x v="15"/>
    </i>
    <i r="1">
      <x v="14"/>
    </i>
    <i t="grand">
      <x/>
    </i>
  </rowItems>
  <colFields count="1">
    <field x="7"/>
  </colFields>
  <colItems count="10">
    <i>
      <x/>
    </i>
    <i>
      <x v="1"/>
    </i>
    <i>
      <x v="2"/>
    </i>
    <i>
      <x v="3"/>
    </i>
    <i>
      <x v="4"/>
    </i>
    <i>
      <x v="5"/>
    </i>
    <i>
      <x v="6"/>
    </i>
    <i>
      <x v="7"/>
    </i>
    <i>
      <x v="8"/>
    </i>
    <i t="grand">
      <x/>
    </i>
  </colItems>
  <pageFields count="1">
    <pageField fld="12" hier="-1"/>
  </pageFields>
  <dataFields count="1">
    <dataField name="Sum of CLOSING BALANCE _x000a_(VND)" fld="5" baseField="0" baseItem="0"/>
  </dataFields>
  <formats count="25">
    <format dxfId="298">
      <pivotArea dataOnly="0" labelOnly="1" fieldPosition="0">
        <references count="1">
          <reference field="11" count="7">
            <x v="1"/>
            <x v="2"/>
            <x v="3"/>
            <x v="4"/>
            <x v="5"/>
            <x v="6"/>
            <x v="7"/>
          </reference>
        </references>
      </pivotArea>
    </format>
    <format dxfId="297">
      <pivotArea outline="0" collapsedLevelsAreSubtotals="1" fieldPosition="0"/>
    </format>
    <format dxfId="296">
      <pivotArea dataOnly="0" fieldPosition="0">
        <references count="2">
          <reference field="11" count="1">
            <x v="8"/>
          </reference>
          <reference field="13" count="1" selected="0">
            <x v="3"/>
          </reference>
        </references>
      </pivotArea>
    </format>
    <format dxfId="295">
      <pivotArea collapsedLevelsAreSubtotals="1" fieldPosition="0">
        <references count="2">
          <reference field="11" count="1">
            <x v="8"/>
          </reference>
          <reference field="13" count="1" selected="0">
            <x v="3"/>
          </reference>
        </references>
      </pivotArea>
    </format>
    <format dxfId="294">
      <pivotArea dataOnly="0" labelOnly="1" fieldPosition="0">
        <references count="2">
          <reference field="11" count="2">
            <x v="6"/>
            <x v="7"/>
          </reference>
          <reference field="13" count="1" selected="0">
            <x v="0"/>
          </reference>
        </references>
      </pivotArea>
    </format>
    <format dxfId="293">
      <pivotArea dataOnly="0" labelOnly="1" fieldPosition="0">
        <references count="2">
          <reference field="11" count="3">
            <x v="2"/>
            <x v="6"/>
            <x v="8"/>
          </reference>
          <reference field="13" count="1" selected="0">
            <x v="2"/>
          </reference>
        </references>
      </pivotArea>
    </format>
    <format dxfId="292">
      <pivotArea dataOnly="0" labelOnly="1" fieldPosition="0">
        <references count="2">
          <reference field="11" count="6">
            <x v="3"/>
            <x v="4"/>
            <x v="5"/>
            <x v="6"/>
            <x v="8"/>
            <x v="9"/>
          </reference>
          <reference field="13" count="1" selected="0">
            <x v="3"/>
          </reference>
        </references>
      </pivotArea>
    </format>
    <format dxfId="291">
      <pivotArea dataOnly="0" labelOnly="1" fieldPosition="0">
        <references count="2">
          <reference field="11" count="1">
            <x v="6"/>
          </reference>
          <reference field="13" count="1" selected="0">
            <x v="4"/>
          </reference>
        </references>
      </pivotArea>
    </format>
    <format dxfId="290">
      <pivotArea dataOnly="0" labelOnly="1" fieldPosition="0">
        <references count="2">
          <reference field="11" count="5">
            <x v="3"/>
            <x v="5"/>
            <x v="6"/>
            <x v="8"/>
            <x v="9"/>
          </reference>
          <reference field="13" count="1" selected="0">
            <x v="3"/>
          </reference>
        </references>
      </pivotArea>
    </format>
    <format dxfId="289">
      <pivotArea dataOnly="0" labelOnly="1" fieldPosition="0">
        <references count="1">
          <reference field="13" count="0"/>
        </references>
      </pivotArea>
    </format>
    <format dxfId="288">
      <pivotArea dataOnly="0" labelOnly="1" fieldPosition="0">
        <references count="2">
          <reference field="11" count="3">
            <x v="6"/>
            <x v="7"/>
            <x v="10"/>
          </reference>
          <reference field="13" count="1" selected="0">
            <x v="0"/>
          </reference>
        </references>
      </pivotArea>
    </format>
    <format dxfId="287">
      <pivotArea dataOnly="0" labelOnly="1" fieldPosition="0">
        <references count="2">
          <reference field="11" count="3">
            <x v="2"/>
            <x v="8"/>
            <x v="9"/>
          </reference>
          <reference field="13" count="1" selected="0">
            <x v="2"/>
          </reference>
        </references>
      </pivotArea>
    </format>
    <format dxfId="286">
      <pivotArea dataOnly="0" labelOnly="1" fieldPosition="0">
        <references count="2">
          <reference field="11" count="7">
            <x v="2"/>
            <x v="3"/>
            <x v="5"/>
            <x v="6"/>
            <x v="9"/>
            <x v="10"/>
            <x v="11"/>
          </reference>
          <reference field="13" count="1" selected="0">
            <x v="3"/>
          </reference>
        </references>
      </pivotArea>
    </format>
    <format dxfId="285">
      <pivotArea dataOnly="0" labelOnly="1" fieldPosition="0">
        <references count="2">
          <reference field="11" count="6">
            <x v="2"/>
            <x v="8"/>
            <x v="9"/>
            <x v="11"/>
            <x v="15"/>
            <x v="16"/>
          </reference>
          <reference field="13" count="1" selected="0">
            <x v="2"/>
          </reference>
        </references>
      </pivotArea>
    </format>
    <format dxfId="284">
      <pivotArea dataOnly="0" labelOnly="1" fieldPosition="0">
        <references count="2">
          <reference field="11" count="1">
            <x v="8"/>
          </reference>
          <reference field="13" count="1" selected="0">
            <x v="6"/>
          </reference>
        </references>
      </pivotArea>
    </format>
    <format dxfId="283">
      <pivotArea dataOnly="0" labelOnly="1" fieldPosition="0">
        <references count="1">
          <reference field="13" count="7">
            <x v="1"/>
            <x v="2"/>
            <x v="3"/>
            <x v="4"/>
            <x v="5"/>
            <x v="6"/>
            <x v="7"/>
          </reference>
        </references>
      </pivotArea>
    </format>
    <format dxfId="282">
      <pivotArea dataOnly="0" labelOnly="1" fieldPosition="0">
        <references count="2">
          <reference field="11" count="7">
            <x v="2"/>
            <x v="3"/>
            <x v="7"/>
            <x v="10"/>
            <x v="11"/>
            <x v="12"/>
            <x v="14"/>
          </reference>
          <reference field="13" count="1" selected="0">
            <x v="0"/>
          </reference>
        </references>
      </pivotArea>
    </format>
    <format dxfId="281">
      <pivotArea dataOnly="0" labelOnly="1" fieldPosition="0">
        <references count="2">
          <reference field="11" count="1">
            <x v="12"/>
          </reference>
          <reference field="13" count="1" selected="0">
            <x v="1"/>
          </reference>
        </references>
      </pivotArea>
    </format>
    <format dxfId="280">
      <pivotArea dataOnly="0" labelOnly="1" fieldPosition="0">
        <references count="2">
          <reference field="11" count="6">
            <x v="3"/>
            <x v="8"/>
            <x v="9"/>
            <x v="11"/>
            <x v="15"/>
            <x v="16"/>
          </reference>
          <reference field="13" count="1" selected="0">
            <x v="2"/>
          </reference>
        </references>
      </pivotArea>
    </format>
    <format dxfId="279">
      <pivotArea dataOnly="0" labelOnly="1" fieldPosition="0">
        <references count="2">
          <reference field="11" count="9">
            <x v="2"/>
            <x v="3"/>
            <x v="4"/>
            <x v="5"/>
            <x v="9"/>
            <x v="10"/>
            <x v="11"/>
            <x v="12"/>
            <x v="14"/>
          </reference>
          <reference field="13" count="1" selected="0">
            <x v="3"/>
          </reference>
        </references>
      </pivotArea>
    </format>
    <format dxfId="278">
      <pivotArea dataOnly="0" labelOnly="1" fieldPosition="0">
        <references count="2">
          <reference field="11" count="1">
            <x v="16"/>
          </reference>
          <reference field="13" count="1" selected="0">
            <x v="4"/>
          </reference>
        </references>
      </pivotArea>
    </format>
    <format dxfId="277">
      <pivotArea dataOnly="0" labelOnly="1" fieldPosition="0">
        <references count="2">
          <reference field="11" count="2">
            <x v="6"/>
            <x v="12"/>
          </reference>
          <reference field="13" count="1" selected="0">
            <x v="5"/>
          </reference>
        </references>
      </pivotArea>
    </format>
    <format dxfId="276">
      <pivotArea dataOnly="0" labelOnly="1" fieldPosition="0">
        <references count="2">
          <reference field="11" count="1">
            <x v="8"/>
          </reference>
          <reference field="13" count="1" selected="0">
            <x v="6"/>
          </reference>
        </references>
      </pivotArea>
    </format>
    <format dxfId="275">
      <pivotArea dataOnly="0" labelOnly="1" fieldPosition="0">
        <references count="2">
          <reference field="11" count="2">
            <x v="13"/>
            <x v="17"/>
          </reference>
          <reference field="13" count="1" selected="0">
            <x v="7"/>
          </reference>
        </references>
      </pivotArea>
    </format>
    <format dxfId="274">
      <pivotArea dataOnly="0" labelOnly="1" outline="0" fieldPosition="0">
        <references count="1">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AE2D5A-7DFE-4819-9EE2-6B9CF6BC3A70}" name="PivotTable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6:E53" firstHeaderRow="1" firstDataRow="2" firstDataCol="1" rowPageCount="1" colPageCount="1"/>
  <pivotFields count="26">
    <pivotField showAll="0"/>
    <pivotField showAll="0"/>
    <pivotField showAll="0"/>
    <pivotField showAll="0"/>
    <pivotField showAll="0"/>
    <pivotField dataField="1" showAll="0"/>
    <pivotField showAll="0"/>
    <pivotField axis="axisCol" showAll="0" sortType="ascending">
      <items count="12">
        <item x="2"/>
        <item x="3"/>
        <item x="5"/>
        <item x="4"/>
        <item x="0"/>
        <item x="8"/>
        <item x="7"/>
        <item x="1"/>
        <item x="6"/>
        <item m="1" x="9"/>
        <item m="1" x="10"/>
        <item t="default"/>
      </items>
    </pivotField>
    <pivotField showAll="0"/>
    <pivotField showAll="0"/>
    <pivotField showAll="0"/>
    <pivotField axis="axisRow" numFmtId="10" showAll="0">
      <items count="65">
        <item m="1" x="37"/>
        <item x="9"/>
        <item x="12"/>
        <item x="11"/>
        <item m="1" x="45"/>
        <item m="1" x="62"/>
        <item m="1" x="56"/>
        <item m="1" x="61"/>
        <item m="1" x="57"/>
        <item m="1" x="63"/>
        <item m="1" x="38"/>
        <item x="2"/>
        <item x="14"/>
        <item m="1" x="54"/>
        <item x="5"/>
        <item m="1" x="60"/>
        <item m="1" x="19"/>
        <item m="1" x="51"/>
        <item m="1" x="35"/>
        <item m="1" x="58"/>
        <item m="1" x="52"/>
        <item m="1" x="44"/>
        <item m="1" x="55"/>
        <item m="1" x="20"/>
        <item m="1" x="53"/>
        <item x="1"/>
        <item m="1" x="48"/>
        <item m="1" x="49"/>
        <item x="6"/>
        <item m="1" x="25"/>
        <item m="1" x="22"/>
        <item x="3"/>
        <item m="1" x="59"/>
        <item m="1" x="31"/>
        <item m="1" x="30"/>
        <item x="8"/>
        <item m="1" x="23"/>
        <item x="7"/>
        <item m="1" x="29"/>
        <item m="1" x="40"/>
        <item m="1" x="36"/>
        <item m="1" x="50"/>
        <item m="1" x="42"/>
        <item m="1" x="39"/>
        <item m="1" x="18"/>
        <item m="1" x="41"/>
        <item m="1" x="34"/>
        <item m="1" x="43"/>
        <item m="1" x="46"/>
        <item m="1" x="47"/>
        <item x="4"/>
        <item m="1" x="28"/>
        <item m="1" x="17"/>
        <item m="1" x="24"/>
        <item x="13"/>
        <item m="1" x="27"/>
        <item x="0"/>
        <item m="1" x="32"/>
        <item m="1" x="26"/>
        <item m="1" x="33"/>
        <item m="1" x="21"/>
        <item x="10"/>
        <item m="1" x="16"/>
        <item x="15"/>
        <item t="default"/>
      </items>
    </pivotField>
    <pivotField axis="axisPage" multipleItemSelectionAllowed="1" showAll="0">
      <items count="4">
        <item x="1"/>
        <item h="1" x="0"/>
        <item h="1" x="2"/>
        <item t="default"/>
      </items>
    </pivotField>
    <pivotField axis="axisRow" showAll="0">
      <items count="17">
        <item x="0"/>
        <item m="1" x="9"/>
        <item x="2"/>
        <item x="1"/>
        <item x="3"/>
        <item x="5"/>
        <item m="1" x="10"/>
        <item x="8"/>
        <item m="1" x="15"/>
        <item m="1" x="13"/>
        <item m="1" x="14"/>
        <item m="1" x="11"/>
        <item x="4"/>
        <item m="1" x="12"/>
        <item x="7"/>
        <item x="6"/>
        <item t="default"/>
      </items>
    </pivotField>
    <pivotField showAll="0"/>
    <pivotField showAll="0"/>
    <pivotField showAll="0"/>
    <pivotField showAll="0"/>
    <pivotField showAll="0"/>
    <pivotField numFmtId="193" showAll="0"/>
    <pivotField showAll="0"/>
    <pivotField showAll="0"/>
    <pivotField showAll="0"/>
    <pivotField showAll="0"/>
    <pivotField showAll="0"/>
    <pivotField showAll="0"/>
  </pivotFields>
  <rowFields count="2">
    <field x="13"/>
    <field x="11"/>
  </rowFields>
  <rowItems count="6">
    <i>
      <x v="2"/>
    </i>
    <i r="1">
      <x v="14"/>
    </i>
    <i r="1">
      <x v="50"/>
    </i>
    <i>
      <x v="4"/>
    </i>
    <i r="1">
      <x v="25"/>
    </i>
    <i t="grand">
      <x/>
    </i>
  </rowItems>
  <colFields count="1">
    <field x="7"/>
  </colFields>
  <colItems count="4">
    <i>
      <x/>
    </i>
    <i>
      <x v="1"/>
    </i>
    <i>
      <x v="4"/>
    </i>
    <i t="grand">
      <x/>
    </i>
  </colItems>
  <pageFields count="1">
    <pageField fld="12" hier="-1"/>
  </pageFields>
  <dataFields count="1">
    <dataField name="Sum of CLOSING BALANCE _x000a_(VND)" fld="5" baseField="0" baseItem="0"/>
  </dataFields>
  <formats count="13">
    <format dxfId="311">
      <pivotArea dataOnly="0" labelOnly="1" fieldPosition="0">
        <references count="1">
          <reference field="11" count="7">
            <x v="1"/>
            <x v="2"/>
            <x v="3"/>
            <x v="4"/>
            <x v="5"/>
            <x v="6"/>
            <x v="7"/>
          </reference>
        </references>
      </pivotArea>
    </format>
    <format dxfId="310">
      <pivotArea outline="0" collapsedLevelsAreSubtotals="1" fieldPosition="0"/>
    </format>
    <format dxfId="309">
      <pivotArea dataOnly="0" labelOnly="1" fieldPosition="0">
        <references count="1">
          <reference field="13" count="2">
            <x v="2"/>
            <x v="3"/>
          </reference>
        </references>
      </pivotArea>
    </format>
    <format dxfId="308">
      <pivotArea dataOnly="0" labelOnly="1" fieldPosition="0">
        <references count="2">
          <reference field="11" count="1">
            <x v="11"/>
          </reference>
          <reference field="13" count="1" selected="0">
            <x v="0"/>
          </reference>
        </references>
      </pivotArea>
    </format>
    <format dxfId="307">
      <pivotArea dataOnly="0" labelOnly="1" fieldPosition="0">
        <references count="2">
          <reference field="11" count="1">
            <x v="12"/>
          </reference>
          <reference field="13" count="1" selected="0">
            <x v="1"/>
          </reference>
        </references>
      </pivotArea>
    </format>
    <format dxfId="306">
      <pivotArea dataOnly="0" labelOnly="1" fieldPosition="0">
        <references count="2">
          <reference field="11" count="4">
            <x v="1"/>
            <x v="2"/>
            <x v="3"/>
            <x v="11"/>
          </reference>
          <reference field="13" count="1" selected="0">
            <x v="2"/>
          </reference>
        </references>
      </pivotArea>
    </format>
    <format dxfId="305">
      <pivotArea dataOnly="0" labelOnly="1" fieldPosition="0">
        <references count="2">
          <reference field="11" count="2">
            <x v="6"/>
            <x v="11"/>
          </reference>
          <reference field="13" count="1" selected="0">
            <x v="3"/>
          </reference>
        </references>
      </pivotArea>
    </format>
    <format dxfId="304">
      <pivotArea dataOnly="0" labelOnly="1" fieldPosition="0">
        <references count="1">
          <reference field="13" count="4">
            <x v="2"/>
            <x v="3"/>
            <x v="6"/>
            <x v="8"/>
          </reference>
        </references>
      </pivotArea>
    </format>
    <format dxfId="303">
      <pivotArea dataOnly="0" labelOnly="1" fieldPosition="0">
        <references count="2">
          <reference field="11" count="1">
            <x v="3"/>
          </reference>
          <reference field="13" count="1" selected="0">
            <x v="2"/>
          </reference>
        </references>
      </pivotArea>
    </format>
    <format dxfId="302">
      <pivotArea dataOnly="0" labelOnly="1" fieldPosition="0">
        <references count="2">
          <reference field="11" count="1">
            <x v="12"/>
          </reference>
          <reference field="13" count="1" selected="0">
            <x v="3"/>
          </reference>
        </references>
      </pivotArea>
    </format>
    <format dxfId="301">
      <pivotArea dataOnly="0" labelOnly="1" fieldPosition="0">
        <references count="2">
          <reference field="11" count="1">
            <x v="8"/>
          </reference>
          <reference field="13" count="1" selected="0">
            <x v="6"/>
          </reference>
        </references>
      </pivotArea>
    </format>
    <format dxfId="300">
      <pivotArea dataOnly="0" labelOnly="1" fieldPosition="0">
        <references count="2">
          <reference field="11" count="1">
            <x v="8"/>
          </reference>
          <reference field="13" count="1" selected="0">
            <x v="8"/>
          </reference>
        </references>
      </pivotArea>
    </format>
    <format dxfId="299">
      <pivotArea dataOnly="0" labelOnly="1" outline="0" fieldPosition="0">
        <references count="1">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76F1F2-2D65-424C-A265-B4228CCBF55A}" name="PivotTable5"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73:K214" firstHeaderRow="1" firstDataRow="2" firstDataCol="1" rowPageCount="1" colPageCount="1"/>
  <pivotFields count="26">
    <pivotField showAll="0"/>
    <pivotField showAll="0"/>
    <pivotField showAll="0"/>
    <pivotField showAll="0"/>
    <pivotField showAll="0"/>
    <pivotField dataField="1" showAll="0"/>
    <pivotField showAll="0"/>
    <pivotField axis="axisCol" showAll="0">
      <items count="12">
        <item x="2"/>
        <item x="0"/>
        <item x="1"/>
        <item x="3"/>
        <item x="4"/>
        <item x="8"/>
        <item m="1" x="10"/>
        <item m="1" x="9"/>
        <item x="6"/>
        <item x="7"/>
        <item x="5"/>
        <item t="default"/>
      </items>
    </pivotField>
    <pivotField showAll="0"/>
    <pivotField showAll="0"/>
    <pivotField showAll="0"/>
    <pivotField axis="axisRow" numFmtId="10" showAll="0">
      <items count="65">
        <item m="1" x="37"/>
        <item x="9"/>
        <item x="12"/>
        <item x="11"/>
        <item m="1" x="45"/>
        <item m="1" x="62"/>
        <item m="1" x="56"/>
        <item m="1" x="61"/>
        <item m="1" x="57"/>
        <item m="1" x="63"/>
        <item m="1" x="38"/>
        <item x="2"/>
        <item x="14"/>
        <item m="1" x="54"/>
        <item x="5"/>
        <item m="1" x="60"/>
        <item m="1" x="19"/>
        <item m="1" x="51"/>
        <item m="1" x="35"/>
        <item m="1" x="58"/>
        <item m="1" x="52"/>
        <item m="1" x="44"/>
        <item m="1" x="55"/>
        <item m="1" x="20"/>
        <item m="1" x="53"/>
        <item x="1"/>
        <item m="1" x="48"/>
        <item m="1" x="49"/>
        <item x="6"/>
        <item m="1" x="25"/>
        <item m="1" x="22"/>
        <item x="3"/>
        <item m="1" x="59"/>
        <item m="1" x="31"/>
        <item m="1" x="30"/>
        <item x="8"/>
        <item m="1" x="23"/>
        <item x="7"/>
        <item m="1" x="29"/>
        <item m="1" x="40"/>
        <item m="1" x="36"/>
        <item m="1" x="50"/>
        <item m="1" x="42"/>
        <item m="1" x="39"/>
        <item m="1" x="18"/>
        <item m="1" x="41"/>
        <item m="1" x="34"/>
        <item m="1" x="43"/>
        <item m="1" x="46"/>
        <item m="1" x="47"/>
        <item x="4"/>
        <item m="1" x="28"/>
        <item m="1" x="17"/>
        <item m="1" x="24"/>
        <item x="13"/>
        <item m="1" x="27"/>
        <item x="0"/>
        <item m="1" x="32"/>
        <item m="1" x="26"/>
        <item m="1" x="33"/>
        <item m="1" x="21"/>
        <item x="10"/>
        <item m="1" x="16"/>
        <item x="15"/>
        <item t="default"/>
      </items>
    </pivotField>
    <pivotField axis="axisPage" multipleItemSelectionAllowed="1" showAll="0">
      <items count="4">
        <item x="1"/>
        <item x="0"/>
        <item x="2"/>
        <item t="default"/>
      </items>
    </pivotField>
    <pivotField axis="axisRow" showAll="0">
      <items count="17">
        <item x="0"/>
        <item m="1" x="9"/>
        <item x="2"/>
        <item x="1"/>
        <item x="3"/>
        <item x="5"/>
        <item m="1" x="10"/>
        <item x="8"/>
        <item m="1" x="15"/>
        <item m="1" x="13"/>
        <item m="1" x="14"/>
        <item m="1" x="11"/>
        <item x="4"/>
        <item m="1" x="12"/>
        <item x="7"/>
        <item x="6"/>
        <item t="default"/>
      </items>
    </pivotField>
    <pivotField showAll="0"/>
    <pivotField showAll="0"/>
    <pivotField showAll="0"/>
    <pivotField showAll="0"/>
    <pivotField showAll="0"/>
    <pivotField numFmtId="193" showAll="0"/>
    <pivotField showAll="0"/>
    <pivotField showAll="0"/>
    <pivotField showAll="0"/>
    <pivotField showAll="0"/>
    <pivotField showAll="0"/>
    <pivotField showAll="0"/>
  </pivotFields>
  <rowFields count="2">
    <field x="13"/>
    <field x="11"/>
  </rowFields>
  <rowItems count="40">
    <i>
      <x/>
    </i>
    <i r="1">
      <x v="1"/>
    </i>
    <i r="1">
      <x v="3"/>
    </i>
    <i r="1">
      <x v="11"/>
    </i>
    <i r="1">
      <x v="25"/>
    </i>
    <i r="1">
      <x v="28"/>
    </i>
    <i r="1">
      <x v="35"/>
    </i>
    <i r="1">
      <x v="37"/>
    </i>
    <i r="1">
      <x v="56"/>
    </i>
    <i>
      <x v="2"/>
    </i>
    <i r="1">
      <x v="11"/>
    </i>
    <i r="1">
      <x v="14"/>
    </i>
    <i r="1">
      <x v="25"/>
    </i>
    <i r="1">
      <x v="28"/>
    </i>
    <i r="1">
      <x v="50"/>
    </i>
    <i>
      <x v="3"/>
    </i>
    <i r="1">
      <x v="2"/>
    </i>
    <i r="1">
      <x v="11"/>
    </i>
    <i r="1">
      <x v="25"/>
    </i>
    <i r="1">
      <x v="35"/>
    </i>
    <i r="1">
      <x v="37"/>
    </i>
    <i r="1">
      <x v="56"/>
    </i>
    <i>
      <x v="4"/>
    </i>
    <i r="1">
      <x v="11"/>
    </i>
    <i r="1">
      <x v="14"/>
    </i>
    <i r="1">
      <x v="25"/>
    </i>
    <i r="1">
      <x v="31"/>
    </i>
    <i r="1">
      <x v="54"/>
    </i>
    <i>
      <x v="5"/>
    </i>
    <i r="1">
      <x v="61"/>
    </i>
    <i r="1">
      <x v="63"/>
    </i>
    <i>
      <x v="7"/>
    </i>
    <i r="1">
      <x v="12"/>
    </i>
    <i>
      <x v="12"/>
    </i>
    <i r="1">
      <x v="1"/>
    </i>
    <i>
      <x v="14"/>
    </i>
    <i r="1">
      <x v="12"/>
    </i>
    <i>
      <x v="15"/>
    </i>
    <i r="1">
      <x v="14"/>
    </i>
    <i t="grand">
      <x/>
    </i>
  </rowItems>
  <colFields count="1">
    <field x="7"/>
  </colFields>
  <colItems count="10">
    <i>
      <x/>
    </i>
    <i>
      <x v="1"/>
    </i>
    <i>
      <x v="2"/>
    </i>
    <i>
      <x v="3"/>
    </i>
    <i>
      <x v="4"/>
    </i>
    <i>
      <x v="5"/>
    </i>
    <i>
      <x v="8"/>
    </i>
    <i>
      <x v="9"/>
    </i>
    <i>
      <x v="10"/>
    </i>
    <i t="grand">
      <x/>
    </i>
  </colItems>
  <pageFields count="1">
    <pageField fld="12" hier="-1"/>
  </pageFields>
  <dataFields count="1">
    <dataField name="Sum of CLOSING BALANCE _x000a_(VND)" fld="5" baseField="0" baseItem="0"/>
  </dataFields>
  <formats count="24">
    <format dxfId="335">
      <pivotArea dataOnly="0" labelOnly="1" fieldPosition="0">
        <references count="1">
          <reference field="11" count="7">
            <x v="1"/>
            <x v="2"/>
            <x v="3"/>
            <x v="4"/>
            <x v="5"/>
            <x v="6"/>
            <x v="7"/>
          </reference>
        </references>
      </pivotArea>
    </format>
    <format dxfId="334">
      <pivotArea outline="0" collapsedLevelsAreSubtotals="1" fieldPosition="0"/>
    </format>
    <format dxfId="333">
      <pivotArea dataOnly="0" labelOnly="1" fieldPosition="0">
        <references count="2">
          <reference field="11" count="2">
            <x v="6"/>
            <x v="7"/>
          </reference>
          <reference field="13" count="1" selected="0">
            <x v="0"/>
          </reference>
        </references>
      </pivotArea>
    </format>
    <format dxfId="332">
      <pivotArea dataOnly="0" labelOnly="1" fieldPosition="0">
        <references count="2">
          <reference field="11" count="5">
            <x v="1"/>
            <x v="2"/>
            <x v="3"/>
            <x v="6"/>
            <x v="8"/>
          </reference>
          <reference field="13" count="1" selected="0">
            <x v="2"/>
          </reference>
        </references>
      </pivotArea>
    </format>
    <format dxfId="331">
      <pivotArea dataOnly="0" labelOnly="1" fieldPosition="0">
        <references count="2">
          <reference field="11" count="6">
            <x v="3"/>
            <x v="4"/>
            <x v="5"/>
            <x v="6"/>
            <x v="8"/>
            <x v="9"/>
          </reference>
          <reference field="13" count="1" selected="0">
            <x v="3"/>
          </reference>
        </references>
      </pivotArea>
    </format>
    <format dxfId="330">
      <pivotArea dataOnly="0" labelOnly="1" fieldPosition="0">
        <references count="2">
          <reference field="11" count="1">
            <x v="6"/>
          </reference>
          <reference field="13" count="1" selected="0">
            <x v="4"/>
          </reference>
        </references>
      </pivotArea>
    </format>
    <format dxfId="329">
      <pivotArea dataOnly="0" labelOnly="1" fieldPosition="0">
        <references count="2">
          <reference field="11" count="4">
            <x v="6"/>
            <x v="7"/>
            <x v="10"/>
            <x v="11"/>
          </reference>
          <reference field="13" count="1" selected="0">
            <x v="0"/>
          </reference>
        </references>
      </pivotArea>
    </format>
    <format dxfId="328">
      <pivotArea dataOnly="0" labelOnly="1" fieldPosition="0">
        <references count="1">
          <reference field="13" count="5">
            <x v="1"/>
            <x v="2"/>
            <x v="3"/>
            <x v="4"/>
            <x v="5"/>
          </reference>
        </references>
      </pivotArea>
    </format>
    <format dxfId="327">
      <pivotArea dataOnly="0" labelOnly="1" fieldPosition="0">
        <references count="2">
          <reference field="11" count="1">
            <x v="12"/>
          </reference>
          <reference field="13" count="1" selected="0">
            <x v="1"/>
          </reference>
        </references>
      </pivotArea>
    </format>
    <format dxfId="326">
      <pivotArea dataOnly="0" labelOnly="1" fieldPosition="0">
        <references count="2">
          <reference field="11" count="6">
            <x v="1"/>
            <x v="2"/>
            <x v="3"/>
            <x v="8"/>
            <x v="9"/>
            <x v="11"/>
          </reference>
          <reference field="13" count="1" selected="0">
            <x v="2"/>
          </reference>
        </references>
      </pivotArea>
    </format>
    <format dxfId="325">
      <pivotArea dataOnly="0" labelOnly="1" fieldPosition="0">
        <references count="2">
          <reference field="11" count="8">
            <x v="2"/>
            <x v="3"/>
            <x v="4"/>
            <x v="5"/>
            <x v="6"/>
            <x v="9"/>
            <x v="10"/>
            <x v="11"/>
          </reference>
          <reference field="13" count="1" selected="0">
            <x v="3"/>
          </reference>
        </references>
      </pivotArea>
    </format>
    <format dxfId="324">
      <pivotArea dataOnly="0" labelOnly="1" fieldPosition="0">
        <references count="2">
          <reference field="11" count="7">
            <x v="2"/>
            <x v="3"/>
            <x v="8"/>
            <x v="9"/>
            <x v="11"/>
            <x v="15"/>
            <x v="16"/>
          </reference>
          <reference field="13" count="1" selected="0">
            <x v="2"/>
          </reference>
        </references>
      </pivotArea>
    </format>
    <format dxfId="323">
      <pivotArea dataOnly="0" labelOnly="1" fieldPosition="0">
        <references count="2">
          <reference field="11" count="9">
            <x v="2"/>
            <x v="3"/>
            <x v="4"/>
            <x v="5"/>
            <x v="6"/>
            <x v="9"/>
            <x v="10"/>
            <x v="11"/>
            <x v="14"/>
          </reference>
          <reference field="13" count="1" selected="0">
            <x v="3"/>
          </reference>
        </references>
      </pivotArea>
    </format>
    <format dxfId="322">
      <pivotArea dataOnly="0" labelOnly="1" fieldPosition="0">
        <references count="2">
          <reference field="11" count="1">
            <x v="8"/>
          </reference>
          <reference field="13" count="1" selected="0">
            <x v="6"/>
          </reference>
        </references>
      </pivotArea>
    </format>
    <format dxfId="321">
      <pivotArea dataOnly="0" labelOnly="1" fieldPosition="0">
        <references count="1">
          <reference field="13" count="8">
            <x v="1"/>
            <x v="2"/>
            <x v="3"/>
            <x v="4"/>
            <x v="5"/>
            <x v="6"/>
            <x v="7"/>
            <x v="8"/>
          </reference>
        </references>
      </pivotArea>
    </format>
    <format dxfId="320">
      <pivotArea dataOnly="0" labelOnly="1" fieldPosition="0">
        <references count="2">
          <reference field="11" count="7">
            <x v="2"/>
            <x v="3"/>
            <x v="7"/>
            <x v="10"/>
            <x v="11"/>
            <x v="12"/>
            <x v="14"/>
          </reference>
          <reference field="13" count="1" selected="0">
            <x v="0"/>
          </reference>
        </references>
      </pivotArea>
    </format>
    <format dxfId="319">
      <pivotArea dataOnly="0" labelOnly="1" fieldPosition="0">
        <references count="2">
          <reference field="11" count="1">
            <x v="12"/>
          </reference>
          <reference field="13" count="1" selected="0">
            <x v="1"/>
          </reference>
        </references>
      </pivotArea>
    </format>
    <format dxfId="318">
      <pivotArea dataOnly="0" labelOnly="1" fieldPosition="0">
        <references count="2">
          <reference field="11" count="6">
            <x v="3"/>
            <x v="8"/>
            <x v="9"/>
            <x v="11"/>
            <x v="15"/>
            <x v="16"/>
          </reference>
          <reference field="13" count="1" selected="0">
            <x v="2"/>
          </reference>
        </references>
      </pivotArea>
    </format>
    <format dxfId="317">
      <pivotArea dataOnly="0" labelOnly="1" fieldPosition="0">
        <references count="2">
          <reference field="11" count="9">
            <x v="2"/>
            <x v="3"/>
            <x v="4"/>
            <x v="5"/>
            <x v="9"/>
            <x v="10"/>
            <x v="11"/>
            <x v="12"/>
            <x v="14"/>
          </reference>
          <reference field="13" count="1" selected="0">
            <x v="3"/>
          </reference>
        </references>
      </pivotArea>
    </format>
    <format dxfId="316">
      <pivotArea dataOnly="0" labelOnly="1" fieldPosition="0">
        <references count="2">
          <reference field="11" count="1">
            <x v="16"/>
          </reference>
          <reference field="13" count="1" selected="0">
            <x v="4"/>
          </reference>
        </references>
      </pivotArea>
    </format>
    <format dxfId="315">
      <pivotArea dataOnly="0" labelOnly="1" fieldPosition="0">
        <references count="2">
          <reference field="11" count="2">
            <x v="6"/>
            <x v="12"/>
          </reference>
          <reference field="13" count="1" selected="0">
            <x v="5"/>
          </reference>
        </references>
      </pivotArea>
    </format>
    <format dxfId="314">
      <pivotArea dataOnly="0" labelOnly="1" fieldPosition="0">
        <references count="2">
          <reference field="11" count="2">
            <x v="8"/>
            <x v="12"/>
          </reference>
          <reference field="13" count="1" selected="0">
            <x v="6"/>
          </reference>
        </references>
      </pivotArea>
    </format>
    <format dxfId="313">
      <pivotArea dataOnly="0" labelOnly="1" fieldPosition="0">
        <references count="2">
          <reference field="11" count="2">
            <x v="13"/>
            <x v="17"/>
          </reference>
          <reference field="13" count="1" selected="0">
            <x v="7"/>
          </reference>
        </references>
      </pivotArea>
    </format>
    <format dxfId="312">
      <pivotArea dataOnly="0" labelOnly="1" fieldPosition="0">
        <references count="2">
          <reference field="11" count="1">
            <x v="8"/>
          </reference>
          <reference field="13"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DE0043-1DBE-4487-869F-57E285213C69}"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81:E129" firstHeaderRow="1" firstDataRow="2" firstDataCol="1"/>
  <pivotFields count="25">
    <pivotField showAll="0"/>
    <pivotField showAll="0"/>
    <pivotField showAll="0"/>
    <pivotField axis="axisRow" showAll="0">
      <items count="9">
        <item x="1"/>
        <item x="0"/>
        <item h="1" x="5"/>
        <item x="3"/>
        <item x="4"/>
        <item x="2"/>
        <item h="1" m="1" x="7"/>
        <item h="1" m="1" x="6"/>
        <item t="default"/>
      </items>
    </pivotField>
    <pivotField showAll="0"/>
    <pivotField showAll="0"/>
    <pivotField numFmtId="166" showAll="0"/>
    <pivotField numFmtId="166" showAll="0"/>
    <pivotField numFmtId="166" showAll="0"/>
    <pivotField numFmtId="166" showAll="0"/>
    <pivotField numFmtId="166" showAll="0"/>
    <pivotField showAll="0"/>
    <pivotField showAll="0"/>
    <pivotField showAll="0"/>
    <pivotField showAll="0"/>
    <pivotField showAll="0"/>
    <pivotField showAll="0"/>
    <pivotField showAll="0"/>
    <pivotField showAll="0"/>
    <pivotField dataField="1" numFmtId="166" showAll="0"/>
    <pivotField showAll="0"/>
    <pivotField numFmtId="166" showAll="0"/>
    <pivotField axis="axisCol" showAll="0">
      <items count="6">
        <item x="0"/>
        <item x="2"/>
        <item x="1"/>
        <item h="1" m="1" x="4"/>
        <item h="1" m="1" x="3"/>
        <item t="default"/>
      </items>
    </pivotField>
    <pivotField axis="axisRow" showAll="0">
      <items count="17">
        <item x="0"/>
        <item x="9"/>
        <item x="6"/>
        <item x="3"/>
        <item x="1"/>
        <item x="4"/>
        <item x="2"/>
        <item m="1" x="13"/>
        <item m="1" x="14"/>
        <item x="8"/>
        <item m="1" x="15"/>
        <item x="12"/>
        <item x="5"/>
        <item x="7"/>
        <item x="10"/>
        <item x="11"/>
        <item t="default"/>
      </items>
    </pivotField>
    <pivotField showAll="0"/>
  </pivotFields>
  <rowFields count="2">
    <field x="23"/>
    <field x="3"/>
  </rowFields>
  <rowItems count="47">
    <i>
      <x/>
    </i>
    <i r="1">
      <x/>
    </i>
    <i r="1">
      <x v="1"/>
    </i>
    <i r="1">
      <x v="3"/>
    </i>
    <i r="1">
      <x v="5"/>
    </i>
    <i>
      <x v="1"/>
    </i>
    <i r="1">
      <x v="1"/>
    </i>
    <i>
      <x v="2"/>
    </i>
    <i r="1">
      <x v="1"/>
    </i>
    <i r="1">
      <x v="5"/>
    </i>
    <i>
      <x v="3"/>
    </i>
    <i r="1">
      <x v="1"/>
    </i>
    <i r="1">
      <x v="5"/>
    </i>
    <i>
      <x v="4"/>
    </i>
    <i r="1">
      <x/>
    </i>
    <i r="1">
      <x v="1"/>
    </i>
    <i r="1">
      <x v="5"/>
    </i>
    <i>
      <x v="5"/>
    </i>
    <i r="1">
      <x v="1"/>
    </i>
    <i r="1">
      <x v="5"/>
    </i>
    <i>
      <x v="6"/>
    </i>
    <i r="1">
      <x/>
    </i>
    <i r="1">
      <x v="1"/>
    </i>
    <i r="1">
      <x v="3"/>
    </i>
    <i r="1">
      <x v="5"/>
    </i>
    <i>
      <x v="9"/>
    </i>
    <i r="1">
      <x v="1"/>
    </i>
    <i r="1">
      <x v="3"/>
    </i>
    <i r="1">
      <x v="4"/>
    </i>
    <i r="1">
      <x v="5"/>
    </i>
    <i>
      <x v="11"/>
    </i>
    <i r="1">
      <x/>
    </i>
    <i r="1">
      <x v="1"/>
    </i>
    <i>
      <x v="12"/>
    </i>
    <i r="1">
      <x v="1"/>
    </i>
    <i r="1">
      <x v="5"/>
    </i>
    <i>
      <x v="13"/>
    </i>
    <i r="1">
      <x v="1"/>
    </i>
    <i>
      <x v="14"/>
    </i>
    <i r="1">
      <x/>
    </i>
    <i r="1">
      <x v="1"/>
    </i>
    <i r="1">
      <x v="3"/>
    </i>
    <i r="1">
      <x v="4"/>
    </i>
    <i>
      <x v="15"/>
    </i>
    <i r="1">
      <x v="1"/>
    </i>
    <i r="1">
      <x v="5"/>
    </i>
    <i t="grand">
      <x/>
    </i>
  </rowItems>
  <colFields count="1">
    <field x="22"/>
  </colFields>
  <colItems count="4">
    <i>
      <x/>
    </i>
    <i>
      <x v="1"/>
    </i>
    <i>
      <x v="2"/>
    </i>
    <i t="grand">
      <x/>
    </i>
  </colItems>
  <dataFields count="1">
    <dataField name="Sum of CLOSING BALANCE (USD)" fld="19" baseField="0" baseItem="0" numFmtId="166"/>
  </dataFields>
  <formats count="1">
    <format dxfId="2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8FE555-4D7A-4EDF-BC82-197EAE780A6F}"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1:E56" firstHeaderRow="1" firstDataRow="2" firstDataCol="1" rowPageCount="1" colPageCount="1"/>
  <pivotFields count="25">
    <pivotField showAll="0"/>
    <pivotField showAll="0"/>
    <pivotField showAll="0"/>
    <pivotField axis="axisPage" multipleItemSelectionAllowed="1" showAll="0">
      <items count="9">
        <item x="1"/>
        <item x="0"/>
        <item h="1" x="5"/>
        <item x="3"/>
        <item x="4"/>
        <item x="2"/>
        <item h="1" m="1" x="7"/>
        <item h="1" m="1" x="6"/>
        <item t="default"/>
      </items>
    </pivotField>
    <pivotField showAll="0"/>
    <pivotField showAll="0"/>
    <pivotField numFmtId="166" showAll="0"/>
    <pivotField numFmtId="166" showAll="0"/>
    <pivotField numFmtId="166" showAll="0"/>
    <pivotField numFmtId="166" showAll="0"/>
    <pivotField numFmtId="166" showAll="0"/>
    <pivotField showAll="0"/>
    <pivotField showAll="0"/>
    <pivotField showAll="0"/>
    <pivotField showAll="0"/>
    <pivotField showAll="0"/>
    <pivotField showAll="0"/>
    <pivotField showAll="0"/>
    <pivotField showAll="0"/>
    <pivotField dataField="1" numFmtId="166" showAll="0"/>
    <pivotField showAll="0"/>
    <pivotField numFmtId="166" showAll="0"/>
    <pivotField axis="axisCol" showAll="0">
      <items count="6">
        <item x="0"/>
        <item x="2"/>
        <item x="1"/>
        <item h="1" m="1" x="4"/>
        <item h="1" m="1" x="3"/>
        <item t="default"/>
      </items>
    </pivotField>
    <pivotField axis="axisRow" showAll="0">
      <items count="17">
        <item x="0"/>
        <item x="9"/>
        <item x="6"/>
        <item x="3"/>
        <item x="1"/>
        <item x="4"/>
        <item x="2"/>
        <item m="1" x="13"/>
        <item m="1" x="14"/>
        <item x="8"/>
        <item m="1" x="15"/>
        <item x="12"/>
        <item x="5"/>
        <item x="7"/>
        <item x="10"/>
        <item x="11"/>
        <item t="default"/>
      </items>
    </pivotField>
    <pivotField showAll="0"/>
  </pivotFields>
  <rowFields count="1">
    <field x="23"/>
  </rowFields>
  <rowItems count="14">
    <i>
      <x/>
    </i>
    <i>
      <x v="1"/>
    </i>
    <i>
      <x v="2"/>
    </i>
    <i>
      <x v="3"/>
    </i>
    <i>
      <x v="4"/>
    </i>
    <i>
      <x v="5"/>
    </i>
    <i>
      <x v="6"/>
    </i>
    <i>
      <x v="9"/>
    </i>
    <i>
      <x v="11"/>
    </i>
    <i>
      <x v="12"/>
    </i>
    <i>
      <x v="13"/>
    </i>
    <i>
      <x v="14"/>
    </i>
    <i>
      <x v="15"/>
    </i>
    <i t="grand">
      <x/>
    </i>
  </rowItems>
  <colFields count="1">
    <field x="22"/>
  </colFields>
  <colItems count="4">
    <i>
      <x/>
    </i>
    <i>
      <x v="1"/>
    </i>
    <i>
      <x v="2"/>
    </i>
    <i t="grand">
      <x/>
    </i>
  </colItems>
  <pageFields count="1">
    <pageField fld="3" hier="-1"/>
  </pageFields>
  <dataFields count="1">
    <dataField name="Sum of CLOSING BALANCE (USD)" fld="19" baseField="0" baseItem="0" numFmtId="166"/>
  </dataFields>
  <formats count="1">
    <format dxfId="2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E6CEA6-5651-4B03-B732-BD32AE68DEEF}"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98:E224" firstHeaderRow="1" firstDataRow="2" firstDataCol="1" rowPageCount="1" colPageCount="1"/>
  <pivotFields count="25">
    <pivotField showAll="0"/>
    <pivotField showAll="0"/>
    <pivotField showAll="0"/>
    <pivotField axis="axisPage" showAll="0">
      <items count="9">
        <item x="1"/>
        <item x="0"/>
        <item x="5"/>
        <item x="3"/>
        <item x="4"/>
        <item x="2"/>
        <item m="1" x="7"/>
        <item m="1" x="6"/>
        <item t="default"/>
      </items>
    </pivotField>
    <pivotField showAll="0"/>
    <pivotField showAll="0"/>
    <pivotField numFmtId="166" showAll="0"/>
    <pivotField showAll="0"/>
    <pivotField showAll="0"/>
    <pivotField showAll="0"/>
    <pivotField numFmtId="166" showAll="0"/>
    <pivotField dataField="1" showAll="0"/>
    <pivotField showAll="0"/>
    <pivotField showAll="0"/>
    <pivotField showAll="0"/>
    <pivotField showAll="0"/>
    <pivotField showAll="0"/>
    <pivotField showAll="0"/>
    <pivotField showAll="0"/>
    <pivotField showAll="0"/>
    <pivotField showAll="0"/>
    <pivotField numFmtId="166" showAll="0"/>
    <pivotField axis="axisCol" showAll="0">
      <items count="6">
        <item x="0"/>
        <item x="2"/>
        <item x="1"/>
        <item h="1" m="1" x="4"/>
        <item h="1" m="1" x="3"/>
        <item t="default"/>
      </items>
    </pivotField>
    <pivotField showAll="0"/>
    <pivotField axis="axisRow" showAll="0">
      <items count="30">
        <item x="3"/>
        <item x="4"/>
        <item x="5"/>
        <item x="6"/>
        <item x="2"/>
        <item x="1"/>
        <item x="13"/>
        <item x="14"/>
        <item x="0"/>
        <item x="10"/>
        <item x="15"/>
        <item x="8"/>
        <item x="12"/>
        <item x="7"/>
        <item m="1" x="28"/>
        <item m="1" x="24"/>
        <item x="20"/>
        <item x="9"/>
        <item x="11"/>
        <item x="16"/>
        <item m="1" x="25"/>
        <item m="1" x="26"/>
        <item m="1" x="27"/>
        <item x="17"/>
        <item x="18"/>
        <item x="19"/>
        <item x="21"/>
        <item x="22"/>
        <item x="23"/>
        <item t="default"/>
      </items>
    </pivotField>
  </pivotFields>
  <rowFields count="1">
    <field x="24"/>
  </rowFields>
  <rowItems count="25">
    <i>
      <x/>
    </i>
    <i>
      <x v="1"/>
    </i>
    <i>
      <x v="2"/>
    </i>
    <i>
      <x v="3"/>
    </i>
    <i>
      <x v="4"/>
    </i>
    <i>
      <x v="5"/>
    </i>
    <i>
      <x v="6"/>
    </i>
    <i>
      <x v="7"/>
    </i>
    <i>
      <x v="8"/>
    </i>
    <i>
      <x v="9"/>
    </i>
    <i>
      <x v="10"/>
    </i>
    <i>
      <x v="11"/>
    </i>
    <i>
      <x v="12"/>
    </i>
    <i>
      <x v="13"/>
    </i>
    <i>
      <x v="16"/>
    </i>
    <i>
      <x v="17"/>
    </i>
    <i>
      <x v="18"/>
    </i>
    <i>
      <x v="19"/>
    </i>
    <i>
      <x v="23"/>
    </i>
    <i>
      <x v="24"/>
    </i>
    <i>
      <x v="25"/>
    </i>
    <i>
      <x v="26"/>
    </i>
    <i>
      <x v="27"/>
    </i>
    <i>
      <x v="28"/>
    </i>
    <i t="grand">
      <x/>
    </i>
  </rowItems>
  <colFields count="1">
    <field x="22"/>
  </colFields>
  <colItems count="4">
    <i>
      <x/>
    </i>
    <i>
      <x v="1"/>
    </i>
    <i>
      <x v="2"/>
    </i>
    <i t="grand">
      <x/>
    </i>
  </colItems>
  <pageFields count="1">
    <pageField fld="3" hier="-1"/>
  </pageFields>
  <dataFields count="1">
    <dataField name="Sum of CLOSING BALANCE (VND)2" fld="11" baseField="0" baseItem="0"/>
  </dataFields>
  <formats count="1">
    <format dxfId="2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5273EE-CD58-4F36-8951-FEB7F84A3807}"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E29" firstHeaderRow="1" firstDataRow="2" firstDataCol="1" rowPageCount="1" colPageCount="1"/>
  <pivotFields count="25">
    <pivotField showAll="0"/>
    <pivotField showAll="0"/>
    <pivotField showAll="0"/>
    <pivotField axis="axisPage" showAll="0">
      <items count="9">
        <item x="1"/>
        <item x="0"/>
        <item x="5"/>
        <item x="3"/>
        <item x="4"/>
        <item x="2"/>
        <item m="1" x="7"/>
        <item m="1" x="6"/>
        <item t="default"/>
      </items>
    </pivotField>
    <pivotField showAll="0"/>
    <pivotField showAll="0"/>
    <pivotField numFmtId="166" showAll="0"/>
    <pivotField showAll="0"/>
    <pivotField showAll="0"/>
    <pivotField showAll="0"/>
    <pivotField numFmtId="166" showAll="0"/>
    <pivotField showAll="0"/>
    <pivotField showAll="0"/>
    <pivotField showAll="0"/>
    <pivotField showAll="0"/>
    <pivotField showAll="0"/>
    <pivotField showAll="0"/>
    <pivotField showAll="0"/>
    <pivotField showAll="0"/>
    <pivotField dataField="1" showAll="0"/>
    <pivotField showAll="0"/>
    <pivotField numFmtId="166" showAll="0"/>
    <pivotField axis="axisCol" showAll="0">
      <items count="6">
        <item x="0"/>
        <item x="2"/>
        <item x="1"/>
        <item m="1" x="4"/>
        <item m="1" x="3"/>
        <item t="default"/>
      </items>
    </pivotField>
    <pivotField showAll="0"/>
    <pivotField axis="axisRow" showAll="0">
      <items count="30">
        <item x="3"/>
        <item x="4"/>
        <item x="5"/>
        <item x="6"/>
        <item x="2"/>
        <item x="1"/>
        <item x="13"/>
        <item x="14"/>
        <item x="0"/>
        <item x="10"/>
        <item x="15"/>
        <item x="8"/>
        <item x="12"/>
        <item x="7"/>
        <item m="1" x="28"/>
        <item m="1" x="24"/>
        <item x="20"/>
        <item x="9"/>
        <item x="11"/>
        <item x="16"/>
        <item m="1" x="25"/>
        <item m="1" x="26"/>
        <item m="1" x="27"/>
        <item x="17"/>
        <item x="18"/>
        <item x="19"/>
        <item x="21"/>
        <item x="22"/>
        <item x="23"/>
        <item t="default"/>
      </items>
    </pivotField>
  </pivotFields>
  <rowFields count="1">
    <field x="24"/>
  </rowFields>
  <rowItems count="25">
    <i>
      <x/>
    </i>
    <i>
      <x v="1"/>
    </i>
    <i>
      <x v="2"/>
    </i>
    <i>
      <x v="3"/>
    </i>
    <i>
      <x v="4"/>
    </i>
    <i>
      <x v="5"/>
    </i>
    <i>
      <x v="6"/>
    </i>
    <i>
      <x v="7"/>
    </i>
    <i>
      <x v="8"/>
    </i>
    <i>
      <x v="9"/>
    </i>
    <i>
      <x v="10"/>
    </i>
    <i>
      <x v="11"/>
    </i>
    <i>
      <x v="12"/>
    </i>
    <i>
      <x v="13"/>
    </i>
    <i>
      <x v="16"/>
    </i>
    <i>
      <x v="17"/>
    </i>
    <i>
      <x v="18"/>
    </i>
    <i>
      <x v="19"/>
    </i>
    <i>
      <x v="23"/>
    </i>
    <i>
      <x v="24"/>
    </i>
    <i>
      <x v="25"/>
    </i>
    <i>
      <x v="26"/>
    </i>
    <i>
      <x v="27"/>
    </i>
    <i>
      <x v="28"/>
    </i>
    <i t="grand">
      <x/>
    </i>
  </rowItems>
  <colFields count="1">
    <field x="22"/>
  </colFields>
  <colItems count="4">
    <i>
      <x/>
    </i>
    <i>
      <x v="1"/>
    </i>
    <i>
      <x v="2"/>
    </i>
    <i t="grand">
      <x/>
    </i>
  </colItems>
  <pageFields count="1">
    <pageField fld="3" hier="-1"/>
  </pageFields>
  <dataFields count="1">
    <dataField name="Sum of CLOSING BALANCE (USD)" fld="19" baseField="0" baseItem="0"/>
  </dataFields>
  <formats count="13">
    <format dxfId="244">
      <pivotArea outline="0" collapsedLevelsAreSubtotals="1" fieldPosition="0"/>
    </format>
    <format dxfId="243">
      <pivotArea dataOnly="0" labelOnly="1" outline="0" fieldPosition="0">
        <references count="2">
          <reference field="4294967294" count="1">
            <x v="0"/>
          </reference>
          <reference field="22" count="1" selected="0">
            <x v="0"/>
          </reference>
        </references>
      </pivotArea>
    </format>
    <format dxfId="242">
      <pivotArea dataOnly="0" labelOnly="1" outline="0" fieldPosition="0">
        <references count="2">
          <reference field="4294967294" count="1">
            <x v="0"/>
          </reference>
          <reference field="22" count="1" selected="0">
            <x v="1"/>
          </reference>
        </references>
      </pivotArea>
    </format>
    <format dxfId="241">
      <pivotArea dataOnly="0" labelOnly="1" outline="0" fieldPosition="0">
        <references count="2">
          <reference field="4294967294" count="1">
            <x v="0"/>
          </reference>
          <reference field="22" count="1" selected="0">
            <x v="2"/>
          </reference>
        </references>
      </pivotArea>
    </format>
    <format dxfId="240">
      <pivotArea dataOnly="0" labelOnly="1" outline="0" fieldPosition="0">
        <references count="2">
          <reference field="4294967294" count="1">
            <x v="0"/>
          </reference>
          <reference field="22" count="1" selected="0">
            <x v="0"/>
          </reference>
        </references>
      </pivotArea>
    </format>
    <format dxfId="239">
      <pivotArea dataOnly="0" labelOnly="1" outline="0" fieldPosition="0">
        <references count="2">
          <reference field="4294967294" count="1">
            <x v="0"/>
          </reference>
          <reference field="22" count="1" selected="0">
            <x v="1"/>
          </reference>
        </references>
      </pivotArea>
    </format>
    <format dxfId="238">
      <pivotArea dataOnly="0" labelOnly="1" outline="0" fieldPosition="0">
        <references count="2">
          <reference field="4294967294" count="1">
            <x v="0"/>
          </reference>
          <reference field="22" count="1" selected="0">
            <x v="2"/>
          </reference>
        </references>
      </pivotArea>
    </format>
    <format dxfId="237">
      <pivotArea dataOnly="0" labelOnly="1" outline="0" fieldPosition="0">
        <references count="2">
          <reference field="4294967294" count="1">
            <x v="0"/>
          </reference>
          <reference field="22" count="1" selected="0">
            <x v="0"/>
          </reference>
        </references>
      </pivotArea>
    </format>
    <format dxfId="236">
      <pivotArea dataOnly="0" labelOnly="1" outline="0" fieldPosition="0">
        <references count="2">
          <reference field="4294967294" count="1">
            <x v="0"/>
          </reference>
          <reference field="22" count="1" selected="0">
            <x v="1"/>
          </reference>
        </references>
      </pivotArea>
    </format>
    <format dxfId="235">
      <pivotArea dataOnly="0" labelOnly="1" outline="0" fieldPosition="0">
        <references count="2">
          <reference field="4294967294" count="1">
            <x v="0"/>
          </reference>
          <reference field="22" count="1" selected="0">
            <x v="2"/>
          </reference>
        </references>
      </pivotArea>
    </format>
    <format dxfId="234">
      <pivotArea field="22" dataOnly="0" labelOnly="1" grandCol="1" outline="0" axis="axisCol" fieldPosition="0">
        <references count="1">
          <reference field="4294967294" count="1" selected="0">
            <x v="0"/>
          </reference>
        </references>
      </pivotArea>
    </format>
    <format dxfId="233">
      <pivotArea field="22" dataOnly="0" labelOnly="1" grandCol="1" outline="0" axis="axisCol" fieldPosition="0">
        <references count="1">
          <reference field="4294967294" count="1" selected="0">
            <x v="0"/>
          </reference>
        </references>
      </pivotArea>
    </format>
    <format dxfId="232">
      <pivotArea field="22" dataOnly="0" labelOnly="1" grandCol="1" outline="0" axis="axisCol"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999AEE-1E95-49E0-A8F0-389448D4EE88}"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84:E363" firstHeaderRow="1" firstDataRow="2" firstDataCol="1"/>
  <pivotFields count="25">
    <pivotField showAll="0"/>
    <pivotField showAll="0"/>
    <pivotField showAll="0"/>
    <pivotField axis="axisRow" showAll="0">
      <items count="9">
        <item x="1"/>
        <item x="0"/>
        <item x="5"/>
        <item x="3"/>
        <item x="4"/>
        <item x="2"/>
        <item m="1" x="7"/>
        <item m="1" x="6"/>
        <item t="default"/>
      </items>
    </pivotField>
    <pivotField showAll="0"/>
    <pivotField showAll="0"/>
    <pivotField numFmtId="166" showAll="0"/>
    <pivotField showAll="0"/>
    <pivotField showAll="0"/>
    <pivotField showAll="0"/>
    <pivotField numFmtId="166" showAll="0"/>
    <pivotField dataField="1" showAll="0"/>
    <pivotField showAll="0"/>
    <pivotField showAll="0"/>
    <pivotField showAll="0"/>
    <pivotField showAll="0"/>
    <pivotField showAll="0"/>
    <pivotField showAll="0"/>
    <pivotField showAll="0"/>
    <pivotField showAll="0"/>
    <pivotField showAll="0"/>
    <pivotField numFmtId="166" showAll="0"/>
    <pivotField axis="axisCol" showAll="0">
      <items count="6">
        <item x="0"/>
        <item x="2"/>
        <item x="1"/>
        <item h="1" m="1" x="4"/>
        <item h="1" m="1" x="3"/>
        <item t="default"/>
      </items>
    </pivotField>
    <pivotField showAll="0"/>
    <pivotField axis="axisRow" showAll="0">
      <items count="30">
        <item x="3"/>
        <item x="4"/>
        <item x="5"/>
        <item x="6"/>
        <item x="2"/>
        <item x="1"/>
        <item x="13"/>
        <item x="14"/>
        <item x="0"/>
        <item x="10"/>
        <item x="15"/>
        <item x="8"/>
        <item x="12"/>
        <item x="7"/>
        <item m="1" x="28"/>
        <item m="1" x="24"/>
        <item x="20"/>
        <item x="9"/>
        <item x="11"/>
        <item x="16"/>
        <item m="1" x="25"/>
        <item m="1" x="26"/>
        <item m="1" x="27"/>
        <item x="17"/>
        <item x="18"/>
        <item x="19"/>
        <item x="21"/>
        <item x="22"/>
        <item x="23"/>
        <item t="default"/>
      </items>
    </pivotField>
  </pivotFields>
  <rowFields count="2">
    <field x="24"/>
    <field x="3"/>
  </rowFields>
  <rowItems count="78">
    <i>
      <x/>
    </i>
    <i r="1">
      <x/>
    </i>
    <i r="1">
      <x v="1"/>
    </i>
    <i r="1">
      <x v="2"/>
    </i>
    <i r="1">
      <x v="5"/>
    </i>
    <i>
      <x v="1"/>
    </i>
    <i r="1">
      <x v="1"/>
    </i>
    <i r="1">
      <x v="5"/>
    </i>
    <i>
      <x v="2"/>
    </i>
    <i r="1">
      <x v="1"/>
    </i>
    <i r="1">
      <x v="5"/>
    </i>
    <i>
      <x v="3"/>
    </i>
    <i r="1">
      <x v="1"/>
    </i>
    <i r="1">
      <x v="3"/>
    </i>
    <i r="1">
      <x v="5"/>
    </i>
    <i>
      <x v="4"/>
    </i>
    <i r="1">
      <x/>
    </i>
    <i r="1">
      <x v="1"/>
    </i>
    <i r="1">
      <x v="5"/>
    </i>
    <i>
      <x v="5"/>
    </i>
    <i r="1">
      <x v="1"/>
    </i>
    <i r="1">
      <x v="5"/>
    </i>
    <i>
      <x v="6"/>
    </i>
    <i r="1">
      <x v="1"/>
    </i>
    <i r="1">
      <x v="5"/>
    </i>
    <i>
      <x v="7"/>
    </i>
    <i r="1">
      <x v="1"/>
    </i>
    <i r="1">
      <x v="5"/>
    </i>
    <i>
      <x v="8"/>
    </i>
    <i r="1">
      <x/>
    </i>
    <i r="1">
      <x v="1"/>
    </i>
    <i r="1">
      <x v="3"/>
    </i>
    <i r="1">
      <x v="5"/>
    </i>
    <i>
      <x v="9"/>
    </i>
    <i r="1">
      <x v="1"/>
    </i>
    <i r="1">
      <x v="5"/>
    </i>
    <i>
      <x v="10"/>
    </i>
    <i r="1">
      <x v="1"/>
    </i>
    <i>
      <x v="11"/>
    </i>
    <i r="1">
      <x v="1"/>
    </i>
    <i r="1">
      <x v="5"/>
    </i>
    <i>
      <x v="12"/>
    </i>
    <i r="1">
      <x v="1"/>
    </i>
    <i r="1">
      <x v="3"/>
    </i>
    <i r="1">
      <x v="4"/>
    </i>
    <i r="1">
      <x v="5"/>
    </i>
    <i>
      <x v="13"/>
    </i>
    <i r="1">
      <x v="1"/>
    </i>
    <i r="1">
      <x v="5"/>
    </i>
    <i>
      <x v="16"/>
    </i>
    <i r="1">
      <x/>
    </i>
    <i r="1">
      <x v="1"/>
    </i>
    <i r="1">
      <x v="2"/>
    </i>
    <i>
      <x v="17"/>
    </i>
    <i r="1">
      <x v="1"/>
    </i>
    <i r="1">
      <x v="5"/>
    </i>
    <i>
      <x v="18"/>
    </i>
    <i r="1">
      <x v="1"/>
    </i>
    <i>
      <x v="19"/>
    </i>
    <i r="1">
      <x v="1"/>
    </i>
    <i>
      <x v="23"/>
    </i>
    <i r="1">
      <x/>
    </i>
    <i r="1">
      <x v="1"/>
    </i>
    <i r="1">
      <x v="3"/>
    </i>
    <i r="1">
      <x v="4"/>
    </i>
    <i>
      <x v="24"/>
    </i>
    <i r="1">
      <x v="1"/>
    </i>
    <i r="1">
      <x v="5"/>
    </i>
    <i>
      <x v="25"/>
    </i>
    <i r="1">
      <x v="1"/>
    </i>
    <i r="1">
      <x v="5"/>
    </i>
    <i>
      <x v="26"/>
    </i>
    <i r="1">
      <x v="1"/>
    </i>
    <i>
      <x v="27"/>
    </i>
    <i r="1">
      <x v="1"/>
    </i>
    <i>
      <x v="28"/>
    </i>
    <i r="1">
      <x v="1"/>
    </i>
    <i t="grand">
      <x/>
    </i>
  </rowItems>
  <colFields count="1">
    <field x="22"/>
  </colFields>
  <colItems count="4">
    <i>
      <x/>
    </i>
    <i>
      <x v="1"/>
    </i>
    <i>
      <x v="2"/>
    </i>
    <i t="grand">
      <x/>
    </i>
  </colItems>
  <dataFields count="1">
    <dataField name="Sum of CLOSING BALANCE (VND)2" fld="11" baseField="0" baseItem="0"/>
  </dataFields>
  <formats count="1">
    <format dxfId="2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F8F590-317C-48F9-9A9C-539E42BB6605}"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1:E140" firstHeaderRow="1" firstDataRow="2" firstDataCol="1"/>
  <pivotFields count="25">
    <pivotField showAll="0"/>
    <pivotField showAll="0"/>
    <pivotField showAll="0"/>
    <pivotField axis="axisRow" showAll="0">
      <items count="9">
        <item x="1"/>
        <item x="0"/>
        <item x="5"/>
        <item x="3"/>
        <item x="4"/>
        <item x="2"/>
        <item m="1" x="7"/>
        <item m="1" x="6"/>
        <item t="default"/>
      </items>
    </pivotField>
    <pivotField showAll="0"/>
    <pivotField showAll="0"/>
    <pivotField numFmtId="166" showAll="0"/>
    <pivotField showAll="0"/>
    <pivotField showAll="0"/>
    <pivotField showAll="0"/>
    <pivotField numFmtId="166" showAll="0"/>
    <pivotField showAll="0"/>
    <pivotField showAll="0"/>
    <pivotField showAll="0"/>
    <pivotField showAll="0"/>
    <pivotField showAll="0"/>
    <pivotField showAll="0"/>
    <pivotField showAll="0"/>
    <pivotField showAll="0"/>
    <pivotField dataField="1" showAll="0"/>
    <pivotField showAll="0"/>
    <pivotField numFmtId="166" showAll="0"/>
    <pivotField axis="axisCol" showAll="0">
      <items count="6">
        <item x="0"/>
        <item x="2"/>
        <item x="1"/>
        <item h="1" m="1" x="4"/>
        <item h="1" m="1" x="3"/>
        <item t="default"/>
      </items>
    </pivotField>
    <pivotField showAll="0"/>
    <pivotField axis="axisRow" showAll="0">
      <items count="30">
        <item x="3"/>
        <item x="4"/>
        <item x="5"/>
        <item x="6"/>
        <item x="2"/>
        <item x="1"/>
        <item x="13"/>
        <item x="14"/>
        <item x="0"/>
        <item x="10"/>
        <item x="15"/>
        <item x="8"/>
        <item x="12"/>
        <item x="7"/>
        <item m="1" x="28"/>
        <item m="1" x="24"/>
        <item x="20"/>
        <item x="9"/>
        <item x="11"/>
        <item x="16"/>
        <item m="1" x="25"/>
        <item m="1" x="26"/>
        <item m="1" x="27"/>
        <item x="17"/>
        <item x="18"/>
        <item x="19"/>
        <item x="21"/>
        <item x="22"/>
        <item x="23"/>
        <item t="default"/>
      </items>
    </pivotField>
  </pivotFields>
  <rowFields count="2">
    <field x="24"/>
    <field x="3"/>
  </rowFields>
  <rowItems count="78">
    <i>
      <x/>
    </i>
    <i r="1">
      <x/>
    </i>
    <i r="1">
      <x v="1"/>
    </i>
    <i r="1">
      <x v="2"/>
    </i>
    <i r="1">
      <x v="5"/>
    </i>
    <i>
      <x v="1"/>
    </i>
    <i r="1">
      <x v="1"/>
    </i>
    <i r="1">
      <x v="5"/>
    </i>
    <i>
      <x v="2"/>
    </i>
    <i r="1">
      <x v="1"/>
    </i>
    <i r="1">
      <x v="5"/>
    </i>
    <i>
      <x v="3"/>
    </i>
    <i r="1">
      <x v="1"/>
    </i>
    <i r="1">
      <x v="3"/>
    </i>
    <i r="1">
      <x v="5"/>
    </i>
    <i>
      <x v="4"/>
    </i>
    <i r="1">
      <x/>
    </i>
    <i r="1">
      <x v="1"/>
    </i>
    <i r="1">
      <x v="5"/>
    </i>
    <i>
      <x v="5"/>
    </i>
    <i r="1">
      <x v="1"/>
    </i>
    <i r="1">
      <x v="5"/>
    </i>
    <i>
      <x v="6"/>
    </i>
    <i r="1">
      <x v="1"/>
    </i>
    <i r="1">
      <x v="5"/>
    </i>
    <i>
      <x v="7"/>
    </i>
    <i r="1">
      <x v="1"/>
    </i>
    <i r="1">
      <x v="5"/>
    </i>
    <i>
      <x v="8"/>
    </i>
    <i r="1">
      <x/>
    </i>
    <i r="1">
      <x v="1"/>
    </i>
    <i r="1">
      <x v="3"/>
    </i>
    <i r="1">
      <x v="5"/>
    </i>
    <i>
      <x v="9"/>
    </i>
    <i r="1">
      <x v="1"/>
    </i>
    <i r="1">
      <x v="5"/>
    </i>
    <i>
      <x v="10"/>
    </i>
    <i r="1">
      <x v="1"/>
    </i>
    <i>
      <x v="11"/>
    </i>
    <i r="1">
      <x v="1"/>
    </i>
    <i r="1">
      <x v="5"/>
    </i>
    <i>
      <x v="12"/>
    </i>
    <i r="1">
      <x v="1"/>
    </i>
    <i r="1">
      <x v="3"/>
    </i>
    <i r="1">
      <x v="4"/>
    </i>
    <i r="1">
      <x v="5"/>
    </i>
    <i>
      <x v="13"/>
    </i>
    <i r="1">
      <x v="1"/>
    </i>
    <i r="1">
      <x v="5"/>
    </i>
    <i>
      <x v="16"/>
    </i>
    <i r="1">
      <x/>
    </i>
    <i r="1">
      <x v="1"/>
    </i>
    <i r="1">
      <x v="2"/>
    </i>
    <i>
      <x v="17"/>
    </i>
    <i r="1">
      <x v="1"/>
    </i>
    <i r="1">
      <x v="5"/>
    </i>
    <i>
      <x v="18"/>
    </i>
    <i r="1">
      <x v="1"/>
    </i>
    <i>
      <x v="19"/>
    </i>
    <i r="1">
      <x v="1"/>
    </i>
    <i>
      <x v="23"/>
    </i>
    <i r="1">
      <x/>
    </i>
    <i r="1">
      <x v="1"/>
    </i>
    <i r="1">
      <x v="3"/>
    </i>
    <i r="1">
      <x v="4"/>
    </i>
    <i>
      <x v="24"/>
    </i>
    <i r="1">
      <x v="1"/>
    </i>
    <i r="1">
      <x v="5"/>
    </i>
    <i>
      <x v="25"/>
    </i>
    <i r="1">
      <x v="1"/>
    </i>
    <i r="1">
      <x v="5"/>
    </i>
    <i>
      <x v="26"/>
    </i>
    <i r="1">
      <x v="1"/>
    </i>
    <i>
      <x v="27"/>
    </i>
    <i r="1">
      <x v="1"/>
    </i>
    <i>
      <x v="28"/>
    </i>
    <i r="1">
      <x v="1"/>
    </i>
    <i t="grand">
      <x/>
    </i>
  </rowItems>
  <colFields count="1">
    <field x="22"/>
  </colFields>
  <colItems count="4">
    <i>
      <x/>
    </i>
    <i>
      <x v="1"/>
    </i>
    <i>
      <x v="2"/>
    </i>
    <i t="grand">
      <x/>
    </i>
  </colItems>
  <dataFields count="1">
    <dataField name="Sum of CLOSING BALANCE (USD)" fld="19" baseField="0" baseItem="0"/>
  </dataFields>
  <formats count="13">
    <format dxfId="258">
      <pivotArea outline="0" collapsedLevelsAreSubtotals="1" fieldPosition="0"/>
    </format>
    <format dxfId="257">
      <pivotArea dataOnly="0" labelOnly="1" outline="0" fieldPosition="0">
        <references count="2">
          <reference field="4294967294" count="1">
            <x v="0"/>
          </reference>
          <reference field="22" count="1" selected="0">
            <x v="0"/>
          </reference>
        </references>
      </pivotArea>
    </format>
    <format dxfId="256">
      <pivotArea dataOnly="0" labelOnly="1" outline="0" fieldPosition="0">
        <references count="2">
          <reference field="4294967294" count="1">
            <x v="0"/>
          </reference>
          <reference field="22" count="1" selected="0">
            <x v="1"/>
          </reference>
        </references>
      </pivotArea>
    </format>
    <format dxfId="255">
      <pivotArea dataOnly="0" labelOnly="1" outline="0" fieldPosition="0">
        <references count="2">
          <reference field="4294967294" count="1">
            <x v="0"/>
          </reference>
          <reference field="22" count="1" selected="0">
            <x v="2"/>
          </reference>
        </references>
      </pivotArea>
    </format>
    <format dxfId="254">
      <pivotArea dataOnly="0" labelOnly="1" outline="0" fieldPosition="0">
        <references count="2">
          <reference field="4294967294" count="1">
            <x v="0"/>
          </reference>
          <reference field="22" count="1" selected="0">
            <x v="0"/>
          </reference>
        </references>
      </pivotArea>
    </format>
    <format dxfId="253">
      <pivotArea dataOnly="0" labelOnly="1" outline="0" fieldPosition="0">
        <references count="2">
          <reference field="4294967294" count="1">
            <x v="0"/>
          </reference>
          <reference field="22" count="1" selected="0">
            <x v="1"/>
          </reference>
        </references>
      </pivotArea>
    </format>
    <format dxfId="252">
      <pivotArea dataOnly="0" labelOnly="1" outline="0" fieldPosition="0">
        <references count="2">
          <reference field="4294967294" count="1">
            <x v="0"/>
          </reference>
          <reference field="22" count="1" selected="0">
            <x v="2"/>
          </reference>
        </references>
      </pivotArea>
    </format>
    <format dxfId="251">
      <pivotArea dataOnly="0" labelOnly="1" outline="0" fieldPosition="0">
        <references count="2">
          <reference field="4294967294" count="1">
            <x v="0"/>
          </reference>
          <reference field="22" count="1" selected="0">
            <x v="0"/>
          </reference>
        </references>
      </pivotArea>
    </format>
    <format dxfId="250">
      <pivotArea dataOnly="0" labelOnly="1" outline="0" fieldPosition="0">
        <references count="2">
          <reference field="4294967294" count="1">
            <x v="0"/>
          </reference>
          <reference field="22" count="1" selected="0">
            <x v="1"/>
          </reference>
        </references>
      </pivotArea>
    </format>
    <format dxfId="249">
      <pivotArea dataOnly="0" labelOnly="1" outline="0" fieldPosition="0">
        <references count="2">
          <reference field="4294967294" count="1">
            <x v="0"/>
          </reference>
          <reference field="22" count="1" selected="0">
            <x v="2"/>
          </reference>
        </references>
      </pivotArea>
    </format>
    <format dxfId="248">
      <pivotArea field="22" dataOnly="0" labelOnly="1" grandCol="1" outline="0" axis="axisCol" fieldPosition="0">
        <references count="1">
          <reference field="4294967294" count="1" selected="0">
            <x v="0"/>
          </reference>
        </references>
      </pivotArea>
    </format>
    <format dxfId="247">
      <pivotArea field="22" dataOnly="0" labelOnly="1" grandCol="1" outline="0" axis="axisCol" fieldPosition="0">
        <references count="1">
          <reference field="4294967294" count="1" selected="0">
            <x v="0"/>
          </reference>
        </references>
      </pivotArea>
    </format>
    <format dxfId="246">
      <pivotArea field="22" dataOnly="0" labelOnly="1" grandCol="1" outline="0" axis="axisCol"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04DEFB-F221-4F90-9402-8D928E8707B5}"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35:Y43" firstHeaderRow="1" firstDataRow="1" firstDataCol="1" rowPageCount="1" colPageCount="1"/>
  <pivotFields count="11">
    <pivotField showAll="0"/>
    <pivotField showAll="0"/>
    <pivotField dataField="1" showAll="0"/>
    <pivotField showAll="0"/>
    <pivotField numFmtId="166" showAll="0"/>
    <pivotField showAll="0"/>
    <pivotField showAll="0"/>
    <pivotField showAll="0"/>
    <pivotField axis="axisRow" showAll="0">
      <items count="10">
        <item x="4"/>
        <item x="3"/>
        <item m="1" x="8"/>
        <item m="1" x="6"/>
        <item x="2"/>
        <item m="1" x="7"/>
        <item x="1"/>
        <item x="0"/>
        <item m="1" x="5"/>
        <item t="default"/>
      </items>
    </pivotField>
    <pivotField axis="axisPage" multipleItemSelectionAllowed="1" showAll="0">
      <items count="4">
        <item h="1" m="1" x="2"/>
        <item x="0"/>
        <item h="1" x="1"/>
        <item t="default"/>
      </items>
    </pivotField>
    <pivotField axis="axisRow" showAll="0">
      <items count="6">
        <item x="1"/>
        <item x="2"/>
        <item x="3"/>
        <item x="4"/>
        <item x="0"/>
        <item t="default"/>
      </items>
    </pivotField>
  </pivotFields>
  <rowFields count="2">
    <field x="10"/>
    <field x="8"/>
  </rowFields>
  <rowItems count="8">
    <i>
      <x/>
    </i>
    <i r="1">
      <x v="4"/>
    </i>
    <i r="1">
      <x v="7"/>
    </i>
    <i>
      <x v="1"/>
    </i>
    <i r="1">
      <x v="6"/>
    </i>
    <i>
      <x v="4"/>
    </i>
    <i r="1">
      <x v="7"/>
    </i>
    <i t="grand">
      <x/>
    </i>
  </rowItems>
  <colItems count="1">
    <i/>
  </colItems>
  <pageFields count="1">
    <pageField fld="9" hier="-1"/>
  </pageFields>
  <dataFields count="1">
    <dataField name="Sum of Billed Amount" fld="2" baseField="10" baseItem="0" numFmtId="3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C3C011-292B-468A-8C05-DDF2E7192CAE}" name="PivotTable3"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8:G75" firstHeaderRow="1" firstDataRow="2" firstDataCol="1" rowPageCount="2" colPageCount="1"/>
  <pivotFields count="19">
    <pivotField showAll="0"/>
    <pivotField showAll="0"/>
    <pivotField showAll="0"/>
    <pivotField showAll="0"/>
    <pivotField dataField="1" numFmtId="166" showAll="0"/>
    <pivotField showAll="0"/>
    <pivotField axis="axisCol" showAll="0">
      <items count="105">
        <item m="1" x="83"/>
        <item m="1" x="98"/>
        <item m="1" x="91"/>
        <item m="1" x="79"/>
        <item m="1" x="93"/>
        <item m="1" x="10"/>
        <item m="1" x="101"/>
        <item m="1" x="87"/>
        <item m="1" x="78"/>
        <item m="1" x="103"/>
        <item m="1" x="90"/>
        <item m="1" x="89"/>
        <item m="1" x="95"/>
        <item m="1" x="81"/>
        <item m="1" x="84"/>
        <item m="1" x="99"/>
        <item m="1" x="102"/>
        <item m="1" x="88"/>
        <item m="1" x="80"/>
        <item m="1" x="92"/>
        <item m="1" x="77"/>
        <item m="1" x="94"/>
        <item m="1" x="82"/>
        <item m="1" x="100"/>
        <item m="1" x="97"/>
        <item m="1" x="86"/>
        <item m="1" x="96"/>
        <item m="1" x="85"/>
        <item m="1" x="76"/>
        <item m="1" x="74"/>
        <item m="1" x="75"/>
        <item m="1" x="73"/>
        <item m="1" x="72"/>
        <item m="1" x="68"/>
        <item m="1" x="70"/>
        <item m="1" x="71"/>
        <item m="1" x="64"/>
        <item m="1" x="69"/>
        <item m="1" x="65"/>
        <item m="1" x="66"/>
        <item m="1" x="67"/>
        <item m="1" x="59"/>
        <item m="1" x="60"/>
        <item m="1" x="61"/>
        <item m="1" x="62"/>
        <item m="1" x="63"/>
        <item m="1" x="56"/>
        <item m="1" x="57"/>
        <item m="1" x="58"/>
        <item m="1" x="54"/>
        <item m="1" x="51"/>
        <item m="1" x="52"/>
        <item m="1" x="53"/>
        <item m="1" x="55"/>
        <item m="1" x="48"/>
        <item m="1" x="49"/>
        <item m="1" x="50"/>
        <item m="1" x="46"/>
        <item m="1" x="47"/>
        <item m="1" x="44"/>
        <item m="1" x="45"/>
        <item m="1" x="43"/>
        <item m="1" x="41"/>
        <item m="1" x="42"/>
        <item m="1" x="38"/>
        <item m="1" x="40"/>
        <item m="1" x="39"/>
        <item m="1" x="35"/>
        <item m="1" x="36"/>
        <item m="1" x="37"/>
        <item m="1" x="33"/>
        <item m="1" x="34"/>
        <item m="1" x="30"/>
        <item m="1" x="31"/>
        <item m="1" x="29"/>
        <item m="1" x="25"/>
        <item m="1" x="32"/>
        <item m="1" x="26"/>
        <item m="1" x="27"/>
        <item m="1" x="28"/>
        <item m="1" x="20"/>
        <item m="1" x="21"/>
        <item m="1" x="22"/>
        <item m="1" x="23"/>
        <item m="1" x="24"/>
        <item m="1" x="17"/>
        <item m="1" x="18"/>
        <item m="1" x="19"/>
        <item m="1" x="16"/>
        <item m="1" x="15"/>
        <item m="1" x="12"/>
        <item m="1" x="11"/>
        <item m="1" x="6"/>
        <item m="1" x="13"/>
        <item m="1" x="14"/>
        <item m="1" x="5"/>
        <item m="1" x="7"/>
        <item m="1" x="8"/>
        <item m="1" x="9"/>
        <item x="0"/>
        <item x="1"/>
        <item x="2"/>
        <item x="3"/>
        <item x="4"/>
        <item t="default"/>
      </items>
    </pivotField>
    <pivotField showAll="0"/>
    <pivotField axis="axisRow" showAll="0">
      <items count="11">
        <item m="1" x="8"/>
        <item x="2"/>
        <item x="5"/>
        <item x="4"/>
        <item m="1" x="6"/>
        <item x="1"/>
        <item x="3"/>
        <item m="1" x="9"/>
        <item x="0"/>
        <item m="1" x="7"/>
        <item t="default"/>
      </items>
    </pivotField>
    <pivotField axis="axisPage" multipleItemSelectionAllowed="1" showAll="0">
      <items count="4">
        <item x="0"/>
        <item h="1" m="1" x="1"/>
        <item h="1" m="1" x="2"/>
        <item t="default"/>
      </items>
    </pivotField>
    <pivotField axis="axisPage" multipleItemSelectionAllowed="1" showAll="0">
      <items count="6">
        <item h="1" x="2"/>
        <item x="1"/>
        <item x="0"/>
        <item h="1" m="1" x="3"/>
        <item h="1" m="1" x="4"/>
        <item t="default"/>
      </items>
    </pivotField>
    <pivotField axis="axisRow" showAll="0">
      <items count="6">
        <item x="1"/>
        <item x="0"/>
        <item h="1" m="1" x="3"/>
        <item x="2"/>
        <item h="1" m="1" x="4"/>
        <item t="default"/>
      </items>
    </pivotField>
    <pivotField showAll="0"/>
    <pivotField showAll="0"/>
    <pivotField showAll="0"/>
    <pivotField showAll="0"/>
    <pivotField showAll="0"/>
    <pivotField showAll="0"/>
    <pivotField showAll="0"/>
  </pivotFields>
  <rowFields count="2">
    <field x="11"/>
    <field x="8"/>
  </rowFields>
  <rowItems count="16">
    <i>
      <x/>
    </i>
    <i r="1">
      <x v="1"/>
    </i>
    <i r="1">
      <x v="3"/>
    </i>
    <i r="1">
      <x v="5"/>
    </i>
    <i r="1">
      <x v="6"/>
    </i>
    <i r="1">
      <x v="8"/>
    </i>
    <i>
      <x v="1"/>
    </i>
    <i r="1">
      <x v="1"/>
    </i>
    <i r="1">
      <x v="2"/>
    </i>
    <i r="1">
      <x v="3"/>
    </i>
    <i r="1">
      <x v="5"/>
    </i>
    <i r="1">
      <x v="6"/>
    </i>
    <i r="1">
      <x v="8"/>
    </i>
    <i>
      <x v="3"/>
    </i>
    <i r="1">
      <x v="5"/>
    </i>
    <i t="grand">
      <x/>
    </i>
  </rowItems>
  <colFields count="1">
    <field x="6"/>
  </colFields>
  <colItems count="6">
    <i>
      <x v="99"/>
    </i>
    <i>
      <x v="100"/>
    </i>
    <i>
      <x v="101"/>
    </i>
    <i>
      <x v="102"/>
    </i>
    <i>
      <x v="103"/>
    </i>
    <i t="grand">
      <x/>
    </i>
  </colItems>
  <pageFields count="2">
    <pageField fld="9" hier="-1"/>
    <pageField fld="10" hier="-1"/>
  </pageFields>
  <dataFields count="1">
    <dataField name="Sum of VND equivalent" fld="4" baseField="8" baseItem="0" numFmtId="3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5542DC7-EE1F-4B66-BB81-BEF8A7C6F90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6:Y12" firstHeaderRow="1" firstDataRow="1" firstDataCol="1" rowPageCount="1" colPageCount="1"/>
  <pivotFields count="11">
    <pivotField showAll="0"/>
    <pivotField showAll="0"/>
    <pivotField dataField="1" showAll="0"/>
    <pivotField showAll="0"/>
    <pivotField numFmtId="166" showAll="0"/>
    <pivotField showAll="0"/>
    <pivotField showAll="0"/>
    <pivotField showAll="0"/>
    <pivotField axis="axisRow" showAll="0">
      <items count="10">
        <item x="4"/>
        <item x="3"/>
        <item m="1" x="8"/>
        <item m="1" x="6"/>
        <item x="2"/>
        <item m="1" x="7"/>
        <item x="1"/>
        <item x="0"/>
        <item m="1" x="5"/>
        <item t="default"/>
      </items>
    </pivotField>
    <pivotField axis="axisPage" multipleItemSelectionAllowed="1" showAll="0">
      <items count="4">
        <item h="1" m="1" x="2"/>
        <item x="0"/>
        <item h="1" x="1"/>
        <item t="default"/>
      </items>
    </pivotField>
    <pivotField axis="axisRow" showAll="0">
      <items count="6">
        <item x="1"/>
        <item x="2"/>
        <item h="1" x="3"/>
        <item h="1" x="4"/>
        <item h="1" x="0"/>
        <item t="default"/>
      </items>
    </pivotField>
  </pivotFields>
  <rowFields count="2">
    <field x="10"/>
    <field x="8"/>
  </rowFields>
  <rowItems count="6">
    <i>
      <x/>
    </i>
    <i r="1">
      <x v="4"/>
    </i>
    <i r="1">
      <x v="7"/>
    </i>
    <i>
      <x v="1"/>
    </i>
    <i r="1">
      <x v="6"/>
    </i>
    <i t="grand">
      <x/>
    </i>
  </rowItems>
  <colItems count="1">
    <i/>
  </colItems>
  <pageFields count="1">
    <pageField fld="9" hier="-1"/>
  </pageFields>
  <dataFields count="1">
    <dataField name="Sum of Billed Amount" fld="2" baseField="8" baseItem="4" numFmtId="3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54FA564-3873-4C65-84EE-25B41A604B45}" name="PivotTable2"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5:G52" firstHeaderRow="1" firstDataRow="2" firstDataCol="1" rowPageCount="2" colPageCount="1"/>
  <pivotFields count="19">
    <pivotField showAll="0"/>
    <pivotField showAll="0"/>
    <pivotField showAll="0"/>
    <pivotField showAll="0"/>
    <pivotField dataField="1" numFmtId="166" showAll="0"/>
    <pivotField showAll="0"/>
    <pivotField axis="axisCol" showAll="0">
      <items count="105">
        <item m="1" x="83"/>
        <item m="1" x="98"/>
        <item m="1" x="91"/>
        <item m="1" x="79"/>
        <item m="1" x="93"/>
        <item m="1" x="10"/>
        <item m="1" x="101"/>
        <item m="1" x="87"/>
        <item m="1" x="78"/>
        <item m="1" x="103"/>
        <item m="1" x="90"/>
        <item m="1" x="89"/>
        <item m="1" x="95"/>
        <item m="1" x="81"/>
        <item m="1" x="84"/>
        <item m="1" x="99"/>
        <item m="1" x="102"/>
        <item m="1" x="88"/>
        <item m="1" x="80"/>
        <item m="1" x="92"/>
        <item m="1" x="77"/>
        <item m="1" x="94"/>
        <item m="1" x="82"/>
        <item m="1" x="100"/>
        <item m="1" x="97"/>
        <item m="1" x="86"/>
        <item m="1" x="96"/>
        <item m="1" x="85"/>
        <item m="1" x="76"/>
        <item m="1" x="74"/>
        <item m="1" x="75"/>
        <item m="1" x="73"/>
        <item m="1" x="72"/>
        <item m="1" x="68"/>
        <item m="1" x="70"/>
        <item m="1" x="71"/>
        <item m="1" x="64"/>
        <item m="1" x="69"/>
        <item m="1" x="65"/>
        <item m="1" x="66"/>
        <item m="1" x="67"/>
        <item m="1" x="59"/>
        <item m="1" x="60"/>
        <item m="1" x="61"/>
        <item m="1" x="62"/>
        <item m="1" x="63"/>
        <item m="1" x="56"/>
        <item m="1" x="57"/>
        <item m="1" x="58"/>
        <item m="1" x="54"/>
        <item m="1" x="51"/>
        <item m="1" x="52"/>
        <item m="1" x="53"/>
        <item m="1" x="55"/>
        <item m="1" x="48"/>
        <item m="1" x="49"/>
        <item m="1" x="50"/>
        <item m="1" x="46"/>
        <item m="1" x="47"/>
        <item m="1" x="44"/>
        <item m="1" x="45"/>
        <item m="1" x="43"/>
        <item m="1" x="41"/>
        <item m="1" x="42"/>
        <item m="1" x="38"/>
        <item m="1" x="40"/>
        <item m="1" x="39"/>
        <item m="1" x="35"/>
        <item m="1" x="36"/>
        <item m="1" x="37"/>
        <item m="1" x="33"/>
        <item m="1" x="34"/>
        <item m="1" x="30"/>
        <item m="1" x="31"/>
        <item m="1" x="29"/>
        <item m="1" x="25"/>
        <item m="1" x="32"/>
        <item m="1" x="26"/>
        <item m="1" x="27"/>
        <item m="1" x="28"/>
        <item m="1" x="20"/>
        <item m="1" x="21"/>
        <item m="1" x="22"/>
        <item m="1" x="23"/>
        <item m="1" x="24"/>
        <item m="1" x="17"/>
        <item m="1" x="18"/>
        <item m="1" x="19"/>
        <item m="1" x="16"/>
        <item m="1" x="15"/>
        <item m="1" x="12"/>
        <item m="1" x="11"/>
        <item m="1" x="6"/>
        <item m="1" x="13"/>
        <item m="1" x="14"/>
        <item m="1" x="5"/>
        <item m="1" x="7"/>
        <item m="1" x="8"/>
        <item m="1" x="9"/>
        <item x="0"/>
        <item x="1"/>
        <item x="2"/>
        <item x="3"/>
        <item x="4"/>
        <item t="default"/>
      </items>
    </pivotField>
    <pivotField showAll="0"/>
    <pivotField axis="axisRow" showAll="0">
      <items count="11">
        <item m="1" x="8"/>
        <item x="2"/>
        <item x="5"/>
        <item x="4"/>
        <item m="1" x="6"/>
        <item x="1"/>
        <item x="3"/>
        <item m="1" x="9"/>
        <item x="0"/>
        <item m="1" x="7"/>
        <item t="default"/>
      </items>
    </pivotField>
    <pivotField axis="axisPage" multipleItemSelectionAllowed="1" showAll="0">
      <items count="4">
        <item x="0"/>
        <item h="1" m="1" x="1"/>
        <item h="1" m="1" x="2"/>
        <item t="default"/>
      </items>
    </pivotField>
    <pivotField axis="axisPage" multipleItemSelectionAllowed="1" showAll="0">
      <items count="6">
        <item h="1" x="2"/>
        <item x="1"/>
        <item x="0"/>
        <item h="1" m="1" x="3"/>
        <item h="1" m="1" x="4"/>
        <item t="default"/>
      </items>
    </pivotField>
    <pivotField axis="axisRow" showAll="0">
      <items count="6">
        <item x="1"/>
        <item x="0"/>
        <item h="1" m="1" x="3"/>
        <item x="2"/>
        <item h="1" m="1" x="4"/>
        <item t="default"/>
      </items>
    </pivotField>
    <pivotField showAll="0"/>
    <pivotField showAll="0"/>
    <pivotField showAll="0"/>
    <pivotField showAll="0"/>
    <pivotField showAll="0"/>
    <pivotField showAll="0"/>
    <pivotField showAll="0"/>
  </pivotFields>
  <rowFields count="2">
    <field x="11"/>
    <field x="8"/>
  </rowFields>
  <rowItems count="16">
    <i>
      <x/>
    </i>
    <i r="1">
      <x v="1"/>
    </i>
    <i r="1">
      <x v="3"/>
    </i>
    <i r="1">
      <x v="5"/>
    </i>
    <i r="1">
      <x v="6"/>
    </i>
    <i r="1">
      <x v="8"/>
    </i>
    <i>
      <x v="1"/>
    </i>
    <i r="1">
      <x v="1"/>
    </i>
    <i r="1">
      <x v="2"/>
    </i>
    <i r="1">
      <x v="3"/>
    </i>
    <i r="1">
      <x v="5"/>
    </i>
    <i r="1">
      <x v="6"/>
    </i>
    <i r="1">
      <x v="8"/>
    </i>
    <i>
      <x v="3"/>
    </i>
    <i r="1">
      <x v="5"/>
    </i>
    <i t="grand">
      <x/>
    </i>
  </rowItems>
  <colFields count="1">
    <field x="6"/>
  </colFields>
  <colItems count="6">
    <i>
      <x v="99"/>
    </i>
    <i>
      <x v="100"/>
    </i>
    <i>
      <x v="101"/>
    </i>
    <i>
      <x v="102"/>
    </i>
    <i>
      <x v="103"/>
    </i>
    <i t="grand">
      <x/>
    </i>
  </colItems>
  <pageFields count="2">
    <pageField fld="9" hier="-1"/>
    <pageField fld="10" hier="-1"/>
  </pageFields>
  <dataFields count="1">
    <dataField name="Sum of VND equivalent" fld="4" baseField="8" baseItem="0" numFmtId="3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14869F-209B-4E0F-A51D-2B9F47C47BAE}" name="PivotTable1"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G24" firstHeaderRow="1" firstDataRow="2" firstDataCol="1" rowPageCount="2" colPageCount="1"/>
  <pivotFields count="19">
    <pivotField showAll="0"/>
    <pivotField showAll="0"/>
    <pivotField showAll="0"/>
    <pivotField showAll="0"/>
    <pivotField dataField="1" numFmtId="166" showAll="0"/>
    <pivotField showAll="0"/>
    <pivotField axis="axisCol" showAll="0">
      <items count="105">
        <item m="1" x="83"/>
        <item m="1" x="98"/>
        <item m="1" x="91"/>
        <item m="1" x="79"/>
        <item m="1" x="93"/>
        <item m="1" x="10"/>
        <item m="1" x="101"/>
        <item m="1" x="87"/>
        <item m="1" x="78"/>
        <item m="1" x="103"/>
        <item m="1" x="90"/>
        <item m="1" x="89"/>
        <item m="1" x="95"/>
        <item m="1" x="81"/>
        <item m="1" x="84"/>
        <item m="1" x="99"/>
        <item m="1" x="102"/>
        <item m="1" x="88"/>
        <item m="1" x="80"/>
        <item m="1" x="92"/>
        <item m="1" x="77"/>
        <item m="1" x="94"/>
        <item m="1" x="82"/>
        <item m="1" x="100"/>
        <item m="1" x="97"/>
        <item m="1" x="86"/>
        <item m="1" x="96"/>
        <item m="1" x="85"/>
        <item m="1" x="76"/>
        <item m="1" x="74"/>
        <item m="1" x="75"/>
        <item m="1" x="73"/>
        <item m="1" x="72"/>
        <item m="1" x="68"/>
        <item m="1" x="70"/>
        <item m="1" x="71"/>
        <item m="1" x="64"/>
        <item m="1" x="69"/>
        <item m="1" x="65"/>
        <item m="1" x="66"/>
        <item m="1" x="67"/>
        <item m="1" x="59"/>
        <item m="1" x="60"/>
        <item m="1" x="61"/>
        <item m="1" x="62"/>
        <item m="1" x="63"/>
        <item m="1" x="56"/>
        <item m="1" x="57"/>
        <item m="1" x="58"/>
        <item m="1" x="54"/>
        <item m="1" x="51"/>
        <item m="1" x="52"/>
        <item m="1" x="53"/>
        <item m="1" x="55"/>
        <item m="1" x="48"/>
        <item m="1" x="49"/>
        <item m="1" x="50"/>
        <item m="1" x="46"/>
        <item m="1" x="47"/>
        <item m="1" x="44"/>
        <item m="1" x="45"/>
        <item m="1" x="43"/>
        <item m="1" x="41"/>
        <item m="1" x="42"/>
        <item m="1" x="38"/>
        <item m="1" x="40"/>
        <item m="1" x="39"/>
        <item m="1" x="35"/>
        <item m="1" x="36"/>
        <item m="1" x="37"/>
        <item m="1" x="33"/>
        <item m="1" x="34"/>
        <item m="1" x="30"/>
        <item m="1" x="31"/>
        <item m="1" x="29"/>
        <item m="1" x="25"/>
        <item m="1" x="32"/>
        <item m="1" x="26"/>
        <item m="1" x="27"/>
        <item m="1" x="28"/>
        <item m="1" x="20"/>
        <item m="1" x="21"/>
        <item m="1" x="22"/>
        <item m="1" x="23"/>
        <item m="1" x="24"/>
        <item m="1" x="17"/>
        <item m="1" x="18"/>
        <item m="1" x="19"/>
        <item m="1" x="16"/>
        <item m="1" x="15"/>
        <item m="1" x="12"/>
        <item m="1" x="11"/>
        <item m="1" x="6"/>
        <item m="1" x="13"/>
        <item m="1" x="14"/>
        <item m="1" x="5"/>
        <item m="1" x="7"/>
        <item m="1" x="8"/>
        <item m="1" x="9"/>
        <item x="0"/>
        <item x="1"/>
        <item x="2"/>
        <item x="3"/>
        <item x="4"/>
        <item t="default"/>
      </items>
    </pivotField>
    <pivotField showAll="0"/>
    <pivotField axis="axisRow" showAll="0">
      <items count="11">
        <item m="1" x="8"/>
        <item x="2"/>
        <item x="5"/>
        <item x="4"/>
        <item m="1" x="6"/>
        <item x="1"/>
        <item x="3"/>
        <item m="1" x="9"/>
        <item x="0"/>
        <item m="1" x="7"/>
        <item t="default"/>
      </items>
    </pivotField>
    <pivotField axis="axisPage" multipleItemSelectionAllowed="1" showAll="0">
      <items count="4">
        <item x="0"/>
        <item h="1" m="1" x="1"/>
        <item h="1" m="1" x="2"/>
        <item t="default"/>
      </items>
    </pivotField>
    <pivotField axis="axisPage" multipleItemSelectionAllowed="1" showAll="0">
      <items count="6">
        <item h="1" x="2"/>
        <item x="1"/>
        <item x="0"/>
        <item h="1" m="1" x="3"/>
        <item h="1" m="1" x="4"/>
        <item t="default"/>
      </items>
    </pivotField>
    <pivotField axis="axisRow" showAll="0">
      <items count="6">
        <item x="1"/>
        <item x="0"/>
        <item h="1" m="1" x="3"/>
        <item x="2"/>
        <item h="1" m="1" x="4"/>
        <item t="default"/>
      </items>
    </pivotField>
    <pivotField showAll="0"/>
    <pivotField showAll="0"/>
    <pivotField showAll="0"/>
    <pivotField showAll="0"/>
    <pivotField showAll="0"/>
    <pivotField showAll="0"/>
    <pivotField showAll="0"/>
  </pivotFields>
  <rowFields count="2">
    <field x="11"/>
    <field x="8"/>
  </rowFields>
  <rowItems count="16">
    <i>
      <x/>
    </i>
    <i r="1">
      <x v="1"/>
    </i>
    <i r="1">
      <x v="3"/>
    </i>
    <i r="1">
      <x v="5"/>
    </i>
    <i r="1">
      <x v="6"/>
    </i>
    <i r="1">
      <x v="8"/>
    </i>
    <i>
      <x v="1"/>
    </i>
    <i r="1">
      <x v="1"/>
    </i>
    <i r="1">
      <x v="2"/>
    </i>
    <i r="1">
      <x v="3"/>
    </i>
    <i r="1">
      <x v="5"/>
    </i>
    <i r="1">
      <x v="6"/>
    </i>
    <i r="1">
      <x v="8"/>
    </i>
    <i>
      <x v="3"/>
    </i>
    <i r="1">
      <x v="5"/>
    </i>
    <i t="grand">
      <x/>
    </i>
  </rowItems>
  <colFields count="1">
    <field x="6"/>
  </colFields>
  <colItems count="6">
    <i>
      <x v="99"/>
    </i>
    <i>
      <x v="100"/>
    </i>
    <i>
      <x v="101"/>
    </i>
    <i>
      <x v="102"/>
    </i>
    <i>
      <x v="103"/>
    </i>
    <i t="grand">
      <x/>
    </i>
  </colItems>
  <pageFields count="2">
    <pageField fld="9" hier="-1"/>
    <pageField fld="10" hier="-1"/>
  </pageFields>
  <dataFields count="1">
    <dataField name="Sum of VND equivalent" fld="4" baseField="8" baseItem="0" numFmtId="3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781EED4-E2DF-4A68-9481-A96D2D679224}"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58:Y64" firstHeaderRow="1" firstDataRow="1" firstDataCol="1" rowPageCount="1" colPageCount="1"/>
  <pivotFields count="11">
    <pivotField showAll="0"/>
    <pivotField showAll="0"/>
    <pivotField dataField="1" showAll="0"/>
    <pivotField showAll="0"/>
    <pivotField numFmtId="166" showAll="0"/>
    <pivotField showAll="0"/>
    <pivotField showAll="0"/>
    <pivotField showAll="0"/>
    <pivotField axis="axisRow" showAll="0">
      <items count="10">
        <item x="4"/>
        <item x="3"/>
        <item m="1" x="8"/>
        <item m="1" x="6"/>
        <item x="2"/>
        <item m="1" x="7"/>
        <item x="1"/>
        <item x="0"/>
        <item m="1" x="5"/>
        <item t="default"/>
      </items>
    </pivotField>
    <pivotField axis="axisPage" multipleItemSelectionAllowed="1" showAll="0">
      <items count="4">
        <item h="1" m="1" x="2"/>
        <item x="0"/>
        <item h="1" x="1"/>
        <item t="default"/>
      </items>
    </pivotField>
    <pivotField axis="axisRow" showAll="0">
      <items count="6">
        <item x="1"/>
        <item x="2"/>
        <item h="1" x="3"/>
        <item h="1" x="4"/>
        <item h="1" x="0"/>
        <item t="default"/>
      </items>
    </pivotField>
  </pivotFields>
  <rowFields count="2">
    <field x="10"/>
    <field x="8"/>
  </rowFields>
  <rowItems count="6">
    <i>
      <x/>
    </i>
    <i r="1">
      <x v="4"/>
    </i>
    <i r="1">
      <x v="7"/>
    </i>
    <i>
      <x v="1"/>
    </i>
    <i r="1">
      <x v="6"/>
    </i>
    <i t="grand">
      <x/>
    </i>
  </rowItems>
  <colItems count="1">
    <i/>
  </colItems>
  <pageFields count="1">
    <pageField fld="9" hier="-1"/>
  </pageFields>
  <dataFields count="1">
    <dataField name="Sum of Billed Amount" fld="2" baseField="10" baseItem="0" numFmtId="3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B520F0A-8B82-4692-90BA-DEDD0C6D0379}" name="PivotTable1" cacheId="0" applyNumberFormats="0" applyBorderFormats="0" applyFontFormats="0" applyPatternFormats="0" applyAlignmentFormats="0" applyWidthHeightFormats="1" dataCaption="Values" errorCaption="0" showError="1" missingCaption="0" updatedVersion="8" minRefreshableVersion="3" useAutoFormatting="1" itemPrintTitles="1" createdVersion="8" indent="0" outline="1" outlineData="1" multipleFieldFilters="0" chartFormat="7">
  <location ref="B3:C7" firstHeaderRow="1" firstDataRow="1" firstDataCol="1" rowPageCount="1" colPageCount="1"/>
  <pivotFields count="19">
    <pivotField showAll="0"/>
    <pivotField showAll="0"/>
    <pivotField showAll="0"/>
    <pivotField showAll="0"/>
    <pivotField showAll="0"/>
    <pivotField showAll="0"/>
    <pivotField showAll="0"/>
    <pivotField axis="axisPage" multipleItemSelectionAllowed="1" showAll="0">
      <items count="16">
        <item x="0"/>
        <item x="1"/>
        <item x="7"/>
        <item m="1" x="11"/>
        <item x="2"/>
        <item x="5"/>
        <item x="4"/>
        <item x="3"/>
        <item m="1" x="8"/>
        <item m="1" x="10"/>
        <item m="1" x="9"/>
        <item m="1" x="13"/>
        <item m="1" x="12"/>
        <item m="1" x="14"/>
        <item x="6"/>
        <item t="default"/>
      </items>
    </pivotField>
    <pivotField numFmtId="14" showAll="0"/>
    <pivotField numFmtId="10" showAll="0"/>
    <pivotField axis="axisRow">
      <items count="6">
        <item x="0"/>
        <item x="2"/>
        <item x="1"/>
        <item h="1" m="1" x="4"/>
        <item h="1" m="1" x="3"/>
        <item t="default"/>
      </items>
    </pivotField>
    <pivotField showAll="0"/>
    <pivotField showAll="0"/>
    <pivotField numFmtId="10" showAll="0"/>
    <pivotField showAll="0"/>
    <pivotField showAll="0"/>
    <pivotField showAll="0"/>
    <pivotField dataField="1" numFmtId="193" showAll="0"/>
    <pivotField showAll="0"/>
  </pivotFields>
  <rowFields count="1">
    <field x="10"/>
  </rowFields>
  <rowItems count="4">
    <i>
      <x/>
    </i>
    <i>
      <x v="1"/>
    </i>
    <i>
      <x v="2"/>
    </i>
    <i t="grand">
      <x/>
    </i>
  </rowItems>
  <colItems count="1">
    <i/>
  </colItems>
  <pageFields count="1">
    <pageField fld="7" hier="-1"/>
  </pageFields>
  <dataFields count="1">
    <dataField name="Sum of VNDbn" fld="17" baseField="0" baseItem="0" numFmtId="193"/>
  </dataFields>
  <chartFormats count="1">
    <chartFormat chart="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3BF4354-2494-40A6-AF99-BB71DCEBE1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V19" firstHeaderRow="1" firstDataRow="2" firstDataCol="1" rowPageCount="1" colPageCount="1"/>
  <pivotFields count="19">
    <pivotField axis="axisRow" showAll="0">
      <items count="92">
        <item x="23"/>
        <item x="6"/>
        <item x="4"/>
        <item x="7"/>
        <item x="8"/>
        <item x="29"/>
        <item x="15"/>
        <item x="9"/>
        <item x="0"/>
        <item x="1"/>
        <item x="2"/>
        <item x="5"/>
        <item x="3"/>
        <item x="12"/>
        <item x="13"/>
        <item x="35"/>
        <item x="36"/>
        <item x="14"/>
        <item x="16"/>
        <item x="10"/>
        <item x="84"/>
        <item x="17"/>
        <item x="11"/>
        <item x="26"/>
        <item x="18"/>
        <item x="27"/>
        <item x="24"/>
        <item x="28"/>
        <item x="19"/>
        <item x="20"/>
        <item x="21"/>
        <item x="22"/>
        <item x="25"/>
        <item x="31"/>
        <item x="37"/>
        <item x="39"/>
        <item m="1" x="90"/>
        <item x="30"/>
        <item x="38"/>
        <item x="52"/>
        <item x="50"/>
        <item x="53"/>
        <item x="51"/>
        <item x="32"/>
        <item x="54"/>
        <item x="55"/>
        <item x="56"/>
        <item x="57"/>
        <item x="58"/>
        <item x="59"/>
        <item x="60"/>
        <item x="61"/>
        <item x="62"/>
        <item x="63"/>
        <item x="64"/>
        <item x="65"/>
        <item x="66"/>
        <item x="67"/>
        <item x="68"/>
        <item x="69"/>
        <item x="70"/>
        <item x="71"/>
        <item x="72"/>
        <item x="73"/>
        <item x="74"/>
        <item x="75"/>
        <item x="76"/>
        <item x="77"/>
        <item x="78"/>
        <item x="79"/>
        <item x="80"/>
        <item x="81"/>
        <item x="82"/>
        <item x="83"/>
        <item m="1" x="88"/>
        <item m="1" x="89"/>
        <item x="33"/>
        <item x="34"/>
        <item x="40"/>
        <item x="41"/>
        <item x="42"/>
        <item x="43"/>
        <item x="44"/>
        <item x="45"/>
        <item x="46"/>
        <item x="47"/>
        <item x="48"/>
        <item x="49"/>
        <item x="85"/>
        <item x="86"/>
        <item x="87"/>
        <item t="default"/>
      </items>
    </pivotField>
    <pivotField showAll="0"/>
    <pivotField showAll="0"/>
    <pivotField showAll="0"/>
    <pivotField showAll="0"/>
    <pivotField showAll="0"/>
    <pivotField showAll="0"/>
    <pivotField showAll="0"/>
    <pivotField axis="axisCol" numFmtId="14" showAll="0">
      <items count="132">
        <item m="1" x="90"/>
        <item m="1" x="116"/>
        <item m="1" x="102"/>
        <item m="1" x="115"/>
        <item m="1" x="101"/>
        <item m="1" x="89"/>
        <item m="1" x="114"/>
        <item m="1" x="100"/>
        <item m="1" x="113"/>
        <item m="1" x="128"/>
        <item m="1" x="98"/>
        <item m="1" x="87"/>
        <item m="1" x="126"/>
        <item m="1" x="111"/>
        <item m="1" x="96"/>
        <item m="1" x="109"/>
        <item m="1" x="94"/>
        <item m="1" x="123"/>
        <item m="1" x="112"/>
        <item m="1" x="124"/>
        <item m="1" x="85"/>
        <item m="1" x="84"/>
        <item m="1" x="105"/>
        <item m="1" x="103"/>
        <item m="1" x="117"/>
        <item m="1" x="106"/>
        <item m="1" x="121"/>
        <item m="1" x="119"/>
        <item m="1" x="104"/>
        <item m="1" x="130"/>
        <item m="1" x="70"/>
        <item m="1" x="76"/>
        <item m="1" x="74"/>
        <item m="1" x="75"/>
        <item m="1" x="71"/>
        <item x="13"/>
        <item x="27"/>
        <item x="4"/>
        <item x="29"/>
        <item x="12"/>
        <item x="24"/>
        <item x="28"/>
        <item x="22"/>
        <item x="1"/>
        <item x="30"/>
        <item x="20"/>
        <item m="1" x="86"/>
        <item m="1" x="110"/>
        <item m="1" x="125"/>
        <item m="1" x="127"/>
        <item x="21"/>
        <item m="1" x="108"/>
        <item m="1" x="99"/>
        <item m="1" x="92"/>
        <item x="39"/>
        <item m="1" x="97"/>
        <item m="1" x="107"/>
        <item x="32"/>
        <item x="37"/>
        <item x="36"/>
        <item m="1" x="95"/>
        <item m="1" x="88"/>
        <item m="1" x="122"/>
        <item x="26"/>
        <item x="40"/>
        <item x="41"/>
        <item m="1" x="120"/>
        <item m="1" x="129"/>
        <item m="1" x="82"/>
        <item m="1" x="73"/>
        <item x="6"/>
        <item x="7"/>
        <item x="5"/>
        <item m="1" x="79"/>
        <item x="42"/>
        <item x="43"/>
        <item m="1" x="91"/>
        <item m="1" x="81"/>
        <item x="15"/>
        <item m="1" x="83"/>
        <item x="19"/>
        <item m="1" x="118"/>
        <item x="35"/>
        <item m="1" x="93"/>
        <item x="18"/>
        <item m="1" x="72"/>
        <item x="8"/>
        <item x="14"/>
        <item m="1" x="77"/>
        <item m="1" x="78"/>
        <item x="44"/>
        <item x="45"/>
        <item x="46"/>
        <item m="1" x="67"/>
        <item x="2"/>
        <item x="3"/>
        <item x="9"/>
        <item x="10"/>
        <item x="11"/>
        <item x="49"/>
        <item x="17"/>
        <item m="1" x="68"/>
        <item m="1" x="69"/>
        <item m="1" x="80"/>
        <item x="47"/>
        <item x="48"/>
        <item x="50"/>
        <item x="51"/>
        <item x="16"/>
        <item x="25"/>
        <item x="31"/>
        <item x="33"/>
        <item x="52"/>
        <item x="53"/>
        <item x="54"/>
        <item x="55"/>
        <item x="56"/>
        <item x="57"/>
        <item x="58"/>
        <item x="59"/>
        <item x="60"/>
        <item x="61"/>
        <item x="62"/>
        <item x="0"/>
        <item x="23"/>
        <item x="34"/>
        <item x="38"/>
        <item x="63"/>
        <item x="64"/>
        <item x="65"/>
        <item x="66"/>
        <item t="default"/>
      </items>
    </pivotField>
    <pivotField numFmtId="10" showAll="0"/>
    <pivotField axis="axisPage" multipleItemSelectionAllowed="1" showAll="0">
      <items count="6">
        <item x="0"/>
        <item h="1" x="1"/>
        <item x="2"/>
        <item m="1" x="4"/>
        <item h="1" m="1" x="3"/>
        <item t="default"/>
      </items>
    </pivotField>
    <pivotField axis="axisRow" showAll="0">
      <items count="16">
        <item x="2"/>
        <item x="3"/>
        <item m="1" x="13"/>
        <item m="1" x="14"/>
        <item x="10"/>
        <item x="0"/>
        <item x="8"/>
        <item x="1"/>
        <item m="1" x="12"/>
        <item m="1" x="11"/>
        <item x="5"/>
        <item x="7"/>
        <item x="4"/>
        <item x="6"/>
        <item x="9"/>
        <item t="default"/>
      </items>
    </pivotField>
    <pivotField showAll="0"/>
    <pivotField numFmtId="10" showAll="0"/>
    <pivotField showAll="0"/>
    <pivotField showAll="0"/>
    <pivotField showAll="0"/>
    <pivotField numFmtId="193" showAll="0"/>
    <pivotField showAll="0"/>
  </pivotFields>
  <rowFields count="2">
    <field x="0"/>
    <field x="11"/>
  </rowFields>
  <rowItems count="14">
    <i>
      <x v="8"/>
    </i>
    <i r="1">
      <x/>
    </i>
    <i r="1">
      <x v="5"/>
    </i>
    <i r="1">
      <x v="7"/>
    </i>
    <i r="1">
      <x v="10"/>
    </i>
    <i r="1">
      <x v="11"/>
    </i>
    <i r="1">
      <x v="12"/>
    </i>
    <i r="1">
      <x v="13"/>
    </i>
    <i r="1">
      <x v="14"/>
    </i>
    <i>
      <x v="23"/>
    </i>
    <i r="1">
      <x v="5"/>
    </i>
    <i r="1">
      <x v="7"/>
    </i>
    <i r="1">
      <x v="10"/>
    </i>
    <i t="grand">
      <x/>
    </i>
  </rowItems>
  <colFields count="1">
    <field x="8"/>
  </colFields>
  <colItems count="21">
    <i>
      <x v="35"/>
    </i>
    <i>
      <x v="36"/>
    </i>
    <i>
      <x v="39"/>
    </i>
    <i>
      <x v="41"/>
    </i>
    <i>
      <x v="43"/>
    </i>
    <i>
      <x v="63"/>
    </i>
    <i>
      <x v="71"/>
    </i>
    <i>
      <x v="72"/>
    </i>
    <i>
      <x v="82"/>
    </i>
    <i>
      <x v="84"/>
    </i>
    <i>
      <x v="94"/>
    </i>
    <i>
      <x v="95"/>
    </i>
    <i>
      <x v="99"/>
    </i>
    <i>
      <x v="110"/>
    </i>
    <i>
      <x v="115"/>
    </i>
    <i>
      <x v="118"/>
    </i>
    <i>
      <x v="120"/>
    </i>
    <i>
      <x v="123"/>
    </i>
    <i>
      <x v="127"/>
    </i>
    <i>
      <x v="128"/>
    </i>
    <i t="grand">
      <x/>
    </i>
  </colItems>
  <pageFields count="1">
    <pageField fld="10" hier="-1"/>
  </pageFields>
  <formats count="2">
    <format dxfId="48">
      <pivotArea dataOnly="0" labelOnly="1" fieldPosition="0">
        <references count="2">
          <reference field="0" count="1" selected="0">
            <x v="8"/>
          </reference>
          <reference field="11" count="1">
            <x v="0"/>
          </reference>
        </references>
      </pivotArea>
    </format>
    <format dxfId="47">
      <pivotArea dataOnly="0" labelOnly="1" fieldPosition="0">
        <references count="2">
          <reference field="0" count="1" selected="0">
            <x v="8"/>
          </reference>
          <reference field="1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3493D6F-C4BE-4827-9955-E1395202019A}" name="Table18" displayName="Table18" ref="A3:Y5" totalsRowShown="0">
  <autoFilter ref="A3:Y5" xr:uid="{83493D6F-C4BE-4827-9955-E1395202019A}"/>
  <tableColumns count="25">
    <tableColumn id="1" xr3:uid="{D94066CC-5E12-4EEB-97B9-8082D7B90A98}" name="ENTITY"/>
    <tableColumn id="2" xr3:uid="{A4CB036D-DFF8-4921-9908-F6044D946DA5}" name="BRANCH"/>
    <tableColumn id="3" xr3:uid="{50D2F033-F737-4C59-BE2E-C515AD5B5DBB}" name="ACCOUNT NUMBER"/>
    <tableColumn id="4" xr3:uid="{9661F21C-3D64-4506-9DF1-A791F65179C7}" name="ACCOUNT TYPE"/>
    <tableColumn id="5" xr3:uid="{A08E915A-B3D4-46BA-839B-6D169CE09A9C}" name="CURRENCY"/>
    <tableColumn id="6" xr3:uid="{94AAEE38-21A1-4A7B-B9EB-4CE977859EC1}" name="OB_BS (VND)"/>
    <tableColumn id="7" xr3:uid="{8366C795-F606-4514-908C-AACE8B47AF2F}" name="Dif"/>
    <tableColumn id="8" xr3:uid="{C683D993-3D1C-412E-B863-76648BB63786}" name="OPENING BALANCE (VND)"/>
    <tableColumn id="9" xr3:uid="{712E1529-CBCC-4B21-A1ED-95B9832C56C2}" name="CASH IN - CREDIT (VND)"/>
    <tableColumn id="10" xr3:uid="{49325EC3-C7C5-4111-B185-6A8DEF979650}" name="CASH OUT - DEBIT (VND)"/>
    <tableColumn id="11" xr3:uid="{36460EA6-7D87-4F7C-AB2D-BC6254F4ED62}" name="NET AMOUNT (VND)"/>
    <tableColumn id="12" xr3:uid="{746E3440-CD6D-4136-A8BE-5ACB7F82692C}" name="CLOSING BALANCE (VND)2"/>
    <tableColumn id="13" xr3:uid="{41C254EF-B215-4788-A74E-673B9ECC3CC5}" name="CB_BS (VND)"/>
    <tableColumn id="14" xr3:uid="{82C6959A-39F8-4A96-A6BA-E8B139AA4EEA}" name="Dif2"/>
    <tableColumn id="15" xr3:uid="{31281737-3CBD-4E38-B3E1-5F231B786662}" name="OB_BS (USD)"/>
    <tableColumn id="16" xr3:uid="{B5F0E46E-D7F1-4B6C-8AFC-33A5612FCCE7}" name="Dif3"/>
    <tableColumn id="17" xr3:uid="{F3EA36FA-BC98-46F3-9B0A-71664B8DE70B}" name="OPENING BALANCE (USD)"/>
    <tableColumn id="18" xr3:uid="{D8E397E2-B40B-43B6-BF68-FA470D5EF502}" name="CASH IN - CREDIT (USD)"/>
    <tableColumn id="19" xr3:uid="{F961EE5E-417C-4827-AB92-BFE67FE50620}" name="CASH OUT - DEBIT (USD)"/>
    <tableColumn id="20" xr3:uid="{2BEDF59E-67BB-416F-A944-AA8A11AD7DBC}" name="CLOSING BALANCE (USD)"/>
    <tableColumn id="21" xr3:uid="{3ED685B4-BD66-45D7-807C-EDE45CF0964D}" name="CB_BS (USD)"/>
    <tableColumn id="22" xr3:uid="{9FB9EB88-99EB-48D1-A541-F6533DA38566}" name="Dif4"/>
    <tableColumn id="23" xr3:uid="{13C725BC-69E4-488C-9D57-FDD58DC32ECE}" name="NAME"/>
    <tableColumn id="24" xr3:uid="{B98F3081-2B6B-49C0-89A0-09CB061E72EC}" name="Bank_1"/>
    <tableColumn id="25" xr3:uid="{92DDE2F9-F2A3-4715-8A87-F7E008DAD31E}" name="Ba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D89D2E0-7674-4C02-A7A3-D882C72DB3BF}" name="Table9" displayName="Table9" ref="A14:S64" totalsRowShown="0" headerRowDxfId="230" dataDxfId="229" tableBorderDxfId="228">
  <autoFilter ref="A14:S64" xr:uid="{7D89D2E0-7674-4C02-A7A3-D882C72DB3BF}"/>
  <tableColumns count="19">
    <tableColumn id="1" xr3:uid="{D169F96F-418E-4683-A6BC-EBAC29567824}" name="No.1" dataDxfId="227"/>
    <tableColumn id="2" xr3:uid="{74271FDE-EE42-4078-B0EC-0C393FDE1EF6}" name="Entity" dataDxfId="226"/>
    <tableColumn id="3" xr3:uid="{7EA8B2CE-B583-4663-8E02-9A8AA6BCE87A}" name="Billed Amount" dataDxfId="225" dataCellStyle="Comma"/>
    <tableColumn id="4" xr3:uid="{5FDC0AB6-455A-4292-BCB1-DD4C804488D1}" name="Denoted _x000a_Currency" dataDxfId="224"/>
    <tableColumn id="5" xr3:uid="{F148CDEF-16B4-4DBE-BD7C-02F048C911D8}" name="VND equivalent" dataDxfId="223" dataCellStyle="Comma">
      <calculatedColumnFormula>IF(D15="VND",C15,C15*Fx_rate)</calculatedColumnFormula>
    </tableColumn>
    <tableColumn id="6" xr3:uid="{D3586DB0-124B-46D2-B1A3-CC4D21601A55}" name="Description" dataDxfId="222" dataCellStyle="Comma 3"/>
    <tableColumn id="7" xr3:uid="{D91A4269-FAD7-4DAC-A49A-E3F24E2ADA7C}" name="Expected date of payment" dataDxfId="221"/>
    <tableColumn id="8" xr3:uid="{B3BA4E9F-F8DE-47EE-8982-7DED8CB8B159}" name="Sub_type" dataDxfId="220"/>
    <tableColumn id="19" xr3:uid="{07152EFF-9154-409E-9D7B-F5AEE1DC03A4}" name="Type" dataDxfId="219">
      <calculatedColumnFormula array="1">IF(ISBLANK(Table9[[#This Row],[Sub_type]]),"",_xlfn.XLOOKUP(Table9[[#This Row],[Sub_type]],Table5[[#All],[Key payment - receipt]],Table5[[#All],[Category]],"recheck",0))</calculatedColumnFormula>
    </tableColumn>
    <tableColumn id="9" xr3:uid="{AADBF56D-C07F-4FD2-8596-34F44918AFFC}" name="Status" dataDxfId="218"/>
    <tableColumn id="10" xr3:uid="{A373110D-6D26-4B0F-A2DC-247EADC90386}" name="Source" dataDxfId="217"/>
    <tableColumn id="11" xr3:uid="{96BB7319-0882-465C-8290-66E4D321E2D4}" name="Transfer from" dataDxfId="216"/>
    <tableColumn id="12" xr3:uid="{749CDEB5-C52F-453C-81CB-712D74764303}" name="Urgent" dataDxfId="215"/>
    <tableColumn id="13" xr3:uid="{DD29D6CF-69A3-4E4F-BD16-39B59D343FC8}" name="Transfer Account" dataDxfId="214"/>
    <tableColumn id="14" xr3:uid="{0087F0CE-E940-48A2-AEB5-41EAA39BD641}" name="Transfer Entity" dataDxfId="213">
      <calculatedColumnFormula>IF($N15="","",_xlfn.XLOOKUP($N15,Acc_Char!$B$2:$B$515,Acc_Char!$C$2:$C$515,"recheck",0))</calculatedColumnFormula>
    </tableColumn>
    <tableColumn id="15" xr3:uid="{E9A87E7B-883E-44CF-803D-FF53449EF7C4}" name="Transfer Branch" dataDxfId="212">
      <calculatedColumnFormula>IF($N15="","",_xlfn.XLOOKUP($N15,Acc_Char!$B$2:$B$515,Acc_Char!$I$2:$I$515,"recheck",0))</calculatedColumnFormula>
    </tableColumn>
    <tableColumn id="16" xr3:uid="{7F9595D9-0022-453B-A202-200D85DFF854}" name="Receiving Account" dataDxfId="211"/>
    <tableColumn id="17" xr3:uid="{79522D12-56F0-4A19-9A45-0DEC9706A399}" name="Receiving Entity" dataDxfId="210">
      <calculatedColumnFormula>IF($Q15="","",_xlfn.XLOOKUP($Q15,Acc_Char!$B$2:$B$515,Acc_Char!$C$2:$C$515,"out of group",0))</calculatedColumnFormula>
    </tableColumn>
    <tableColumn id="18" xr3:uid="{CDC83C7E-CB1D-4848-8645-180B0D062A3C}" name="Receiving Branch" dataDxfId="209">
      <calculatedColumnFormula>IF($Q15="","",_xlfn.XLOOKUP($Q15,Acc_Char!$B$2:$B$515,Acc_Char!$I$2:$I$515,"out of group",0))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6A8C736-F4A6-4DB3-9C30-0600A0CD8C8B}" name="Table10" displayName="Table10" ref="W14:AG84" totalsRowShown="0" headerRowDxfId="208" dataDxfId="206" headerRowBorderDxfId="207" tableBorderDxfId="205" totalsRowBorderDxfId="204">
  <autoFilter ref="W14:AG84" xr:uid="{26A8C736-F4A6-4DB3-9C30-0600A0CD8C8B}"/>
  <tableColumns count="11">
    <tableColumn id="1" xr3:uid="{979BBE28-589D-4336-B4D5-1E3425572783}" name="No.1" dataDxfId="203"/>
    <tableColumn id="2" xr3:uid="{F6D8FA2F-E3A2-456A-B2DF-85EA63F45A68}" name="Entity" dataDxfId="202"/>
    <tableColumn id="3" xr3:uid="{B12DF116-406E-48DA-ADEC-24722C52515D}" name="Billed Amount" dataDxfId="201" dataCellStyle="Comma 3"/>
    <tableColumn id="4" xr3:uid="{34554E44-6127-4615-BA27-ADF6B4CC1C8A}" name="Denoted _x000a_Currency" dataDxfId="200"/>
    <tableColumn id="5" xr3:uid="{FE0F87A9-212D-4483-BDA4-BA1DFE59D7BC}" name="VND equivalent" dataDxfId="199" dataCellStyle="Comma">
      <calculatedColumnFormula>IF(Z15="VND",Y15,Y15*Fx_rate)</calculatedColumnFormula>
    </tableColumn>
    <tableColumn id="6" xr3:uid="{43CCC149-5E8F-4C8D-803F-1EEEF70110AF}" name="Description" dataDxfId="198" dataCellStyle="Comma 3"/>
    <tableColumn id="7" xr3:uid="{09D0D37A-51C8-413E-A287-1C0E7EAA1309}" name="Expected date of receipt" dataDxfId="197"/>
    <tableColumn id="8" xr3:uid="{63F05644-B5DD-4423-A0D0-3EA451CA85CD}" name="Sub_Type" dataDxfId="196"/>
    <tableColumn id="17" xr3:uid="{1A3744D4-C1DB-4115-867A-A03D953EEBC8}" name="Type" dataDxfId="195"/>
    <tableColumn id="9" xr3:uid="{2E2C35AA-87EA-405C-AEBE-417BD5E13D9D}" name="Status" dataDxfId="194"/>
    <tableColumn id="10" xr3:uid="{C41A3BB5-4ECF-4A55-AD7C-52111E363703}" name="Transfer to" dataDxfId="193">
      <calculatedColumnFormula array="1">IF(ISBLANK(Table10[[#This Row],[Entity]]),"",_xlfn.XLOOKUP(Table10[[#This Row],[Entity]],Table1[[#All],[Abb.]],Table1[[#All],[Name]],"recheck",0))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16E9B2-BC68-4688-A570-42EE00D465E5}" name="Table16" displayName="Table16" ref="AK14:AV27" totalsRowShown="0" headerRowDxfId="192" headerRowBorderDxfId="191" tableBorderDxfId="190" totalsRowBorderDxfId="189">
  <autoFilter ref="AK14:AV27" xr:uid="{2216E9B2-BC68-4688-A570-42EE00D465E5}"/>
  <tableColumns count="12">
    <tableColumn id="1" xr3:uid="{E596B352-2C26-466A-8DF7-CBBF982D1A75}" name="No.1" dataDxfId="188">
      <calculatedColumnFormula>AK14+1</calculatedColumnFormula>
    </tableColumn>
    <tableColumn id="2" xr3:uid="{30F3D60B-BAD3-4D50-8DB3-ED02EBD085D4}" name="Entity" dataDxfId="187"/>
    <tableColumn id="12" xr3:uid="{BF4704CA-0443-4451-8C4C-754C6725B55D}" name="Transfer from2" dataDxfId="186">
      <calculatedColumnFormula array="1">IF(ISBLANK(Table16[[#This Row],[Entity]]),"",_xlfn.XLOOKUP(Table16[[#This Row],[Entity]],Table1[[#All],[Abb.]],Table1[[#All],[Name]],"recheck",0))</calculatedColumnFormula>
    </tableColumn>
    <tableColumn id="3" xr3:uid="{0A287413-2B95-4231-8385-2F485699DE59}" name="Billed Amount" dataDxfId="185" dataCellStyle="Comma 3"/>
    <tableColumn id="4" xr3:uid="{835492AF-C954-4112-A392-03165B945773}" name="Denoted _x000a_Currency" dataDxfId="184"/>
    <tableColumn id="5" xr3:uid="{A6567A14-265F-49DB-9585-87387FC4CCDB}" name="VND equivalent" dataDxfId="183" dataCellStyle="Comma">
      <calculatedColumnFormula>IF(AO15="VND",AN15,AN15*Fx_rate)</calculatedColumnFormula>
    </tableColumn>
    <tableColumn id="6" xr3:uid="{C08E708F-F029-4374-9925-6968AB4CAC69}" name="Description" dataDxfId="182" dataCellStyle="Comma 3"/>
    <tableColumn id="7" xr3:uid="{979713BD-C8A5-4151-B7A6-34E6DAFADD92}" name="Expected date of transfer" dataDxfId="181"/>
    <tableColumn id="8" xr3:uid="{F96C0DD6-1D1A-46CE-BD57-43DBEECEF597}" name="Sub_Type" dataDxfId="180"/>
    <tableColumn id="9" xr3:uid="{605AB1E3-DBFE-4E4E-8D7C-D5EC0FDD562E}" name="Type" dataDxfId="179">
      <calculatedColumnFormula array="1">IF(ISBLANK(Table16[[#This Row],[Sub_Type]]),"",_xlfn.XLOOKUP(Table16[[#This Row],[Sub_Type]],Table5[[#All],[Key payment - receipt]],Table5[[#All],[Category]],"recheck",0))</calculatedColumnFormula>
    </tableColumn>
    <tableColumn id="10" xr3:uid="{BFE014C1-0348-4D26-AFB6-180599613952}" name="Status" dataDxfId="178"/>
    <tableColumn id="11" xr3:uid="{C2C782CC-A94B-473A-A97C-D9176D281903}" name="Transfer to" dataDxfId="177">
      <calculatedColumnFormula array="1">IF(ISBLANK(Table10[[#This Row],[Entity]]),"",_xlfn.XLOOKUP(Table10[[#This Row],[Entity]],Table1[[#All],[Abb.]],Table1[[#All],[Name]],"recheck",0))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1DDD3D0-3381-44C2-BF39-DABEA42882BB}" name="Table11" displayName="Table11" ref="A3:Y919" totalsRowShown="0" headerRowDxfId="176" dataDxfId="175" tableBorderDxfId="174">
  <autoFilter ref="A3:Y919" xr:uid="{E1DDD3D0-3381-44C2-BF39-DABEA42882BB}"/>
  <tableColumns count="25">
    <tableColumn id="1" xr3:uid="{6369E69A-524F-435D-813E-1490C8F5C155}" name="ENTITY" dataDxfId="173"/>
    <tableColumn id="2" xr3:uid="{4D405D30-6D86-41B6-BA8B-C4364486079F}" name="BRANCH" dataDxfId="172">
      <calculatedColumnFormula>VLOOKUP('Cash Balance'!$C4,Table2[#All],MATCH('Cash Balance'!B$3,Acc_Char!$B$1:$I$1,0),0)</calculatedColumnFormula>
    </tableColumn>
    <tableColumn id="3" xr3:uid="{A91F2E4A-99E0-408C-A784-E5F08AEB763D}" name="ACCOUNT NUMBER" dataDxfId="171"/>
    <tableColumn id="4" xr3:uid="{FBC2768B-17FA-4D6F-97D6-E16619457CAA}" name="ACCOUNT TYPE" dataDxfId="170">
      <calculatedColumnFormula>VLOOKUP('Cash Balance'!$C4,Table2[#All],MATCH('Cash Balance'!D$3,Acc_Char!$B$1:$I$1,0),0)</calculatedColumnFormula>
    </tableColumn>
    <tableColumn id="5" xr3:uid="{68451607-3652-45D2-8814-92C5F5793EE8}" name="CURRENCY" dataDxfId="169">
      <calculatedColumnFormula>VLOOKUP('Cash Balance'!$C4,Table2[#All],MATCH('Cash Balance'!E$3,Acc_Char!$B$1:$I$1,0),0)</calculatedColumnFormula>
    </tableColumn>
    <tableColumn id="18" xr3:uid="{5FAFD051-96C5-4449-86B0-5FAD4D18923B}" name="OB_BS (VND)" dataDxfId="168" dataCellStyle="Comma">
      <calculatedColumnFormula>VLOOKUP(C4,'Cash balance (BS)'!A:C,3,)</calculatedColumnFormula>
    </tableColumn>
    <tableColumn id="17" xr3:uid="{A5645A35-BCF7-4350-8D37-4A72B2A4CB08}" name="Dif" dataDxfId="167">
      <calculatedColumnFormula>F4-H4</calculatedColumnFormula>
    </tableColumn>
    <tableColumn id="6" xr3:uid="{5743F57A-5144-4291-8454-15FE160570D7}" name="OPENING BALANCE (VND)" dataDxfId="166" dataCellStyle="Comma">
      <calculatedColumnFormula>SUMIFS('Cash balance (Prior period)'!F:F,'Cash balance (Prior period)'!C:C,Table11[[#This Row],[ACCOUNT NUMBER]],'Cash balance (Prior period)'!E:E,Table11[[#This Row],[CURRENCY]])</calculatedColumnFormula>
    </tableColumn>
    <tableColumn id="7" xr3:uid="{7A39319F-9EC3-4566-9F20-F3531DCAC081}" name="CASH IN - CREDIT (VND)" dataDxfId="165" dataCellStyle="Comma">
      <calculatedColumnFormula>SUMIFS(Movement!$F$4:$F$2136,Movement!$M$4:$M$2136,"VND",Movement!$C$4:$C$2136,Table11[[#This Row],[ACCOUNT NUMBER]],Movement!$J$4:$J$2136,Table11[[#This Row],[ENTITY]],Movement!$O$4:$O$2136,'Cash Balance'!$A$2)</calculatedColumnFormula>
    </tableColumn>
    <tableColumn id="8" xr3:uid="{76057D2B-2CCC-40E3-925F-B83BABB69170}" name="CASH OUT - DEBIT (VND)" dataDxfId="164" dataCellStyle="Comma">
      <calculatedColumnFormula>SUMIFS(Movement!$G$4:$G$2136,Movement!$M$4:$M$2136,"VND",Movement!$C$4:$C$2136,Table11[[#This Row],[ACCOUNT NUMBER]],Movement!$J$4:$J$2136,Table11[[#This Row],[ENTITY]],Movement!$O$4:$O$2136,'Cash Balance'!$A$2)</calculatedColumnFormula>
    </tableColumn>
    <tableColumn id="25" xr3:uid="{356F2E5C-9DEF-445A-A6E6-6499D46C77BF}" name="NET AMOUNT (VND)" dataDxfId="163" dataCellStyle="Comma">
      <calculatedColumnFormula>Table11[[#This Row],[CASH IN - CREDIT (VND)]]-Table11[[#This Row],[CASH OUT - DEBIT (VND)]]</calculatedColumnFormula>
    </tableColumn>
    <tableColumn id="9" xr3:uid="{EC7EF4F5-1D1F-4C30-8565-C556988775BB}" name="CLOSING BALANCE (VND)2" dataDxfId="162" dataCellStyle="Comma">
      <calculatedColumnFormula>H4+I4-J4</calculatedColumnFormula>
    </tableColumn>
    <tableColumn id="22" xr3:uid="{D77DE640-247A-49E1-996C-BC2EAA29631B}" name="CB_BS (VND)" dataDxfId="161" dataCellStyle="Comma">
      <calculatedColumnFormula>VLOOKUP(C4,'Cash balance (BS)'!A:D,4,)</calculatedColumnFormula>
    </tableColumn>
    <tableColumn id="21" xr3:uid="{DBDE121D-534C-4FC1-BB18-600B279B3933}" name="Dif2" dataDxfId="160" dataCellStyle="Comma">
      <calculatedColumnFormula>Table11[[#This Row],[CLOSING BALANCE (VND)2]]-Table11[[#This Row],[CB_BS (VND)]]</calculatedColumnFormula>
    </tableColumn>
    <tableColumn id="20" xr3:uid="{0CC67D7B-0CA6-4B63-9B04-7F09E326FF1B}" name="OB_BS (USD)" dataDxfId="159" dataCellStyle="Comma"/>
    <tableColumn id="19" xr3:uid="{7953206E-3508-4946-AD61-36A585FDB6BB}" name="Dif3" dataDxfId="158" dataCellStyle="Comma">
      <calculatedColumnFormula>O4-Q4</calculatedColumnFormula>
    </tableColumn>
    <tableColumn id="10" xr3:uid="{4BB472B7-F61C-411D-BE06-6D9BBE8B21F3}" name="OPENING BALANCE (USD)" dataDxfId="157" dataCellStyle="Comma">
      <calculatedColumnFormula>SUMIFS('Cash balance (Prior period)'!G:G,'Cash balance (Prior period)'!C:C,Table11[[#This Row],[ACCOUNT NUMBER]],'Cash balance (Prior period)'!E:E,Table11[[#This Row],[CURRENCY]])</calculatedColumnFormula>
    </tableColumn>
    <tableColumn id="11" xr3:uid="{26C7A077-4082-4BF4-929A-A1F3182092FF}" name="CASH IN - CREDIT (USD)" dataDxfId="156" dataCellStyle="Comma">
      <calculatedColumnFormula>SUMIFS(Movement!$F$4:$F$2136,Movement!$M$4:$M$2136,"USD",Movement!$C$4:$C$2136,Table11[[#This Row],[ACCOUNT NUMBER]],Movement!$J$4:$J$2136,Table11[[#This Row],[ENTITY]],Movement!$O$4:$O$2136,'Cash Balance'!$A$2)</calculatedColumnFormula>
    </tableColumn>
    <tableColumn id="12" xr3:uid="{84D77474-9E9D-411E-B20B-54357EFD1FFA}" name="CASH OUT - DEBIT (USD)" dataDxfId="155" dataCellStyle="Comma">
      <calculatedColumnFormula>SUMIFS(Movement!$G$4:$G$2136,Movement!$M$4:$M$2136,"USD",Movement!$C$4:$C$2136,Table11[[#This Row],[ACCOUNT NUMBER]],Movement!$J$4:$J$2136,Table11[[#This Row],[ENTITY]],Movement!$O$4:$O$2136,'Cash Balance'!$A$2)</calculatedColumnFormula>
    </tableColumn>
    <tableColumn id="13" xr3:uid="{51588968-F740-4187-8AA6-4D0AF3A6AB47}" name="CLOSING BALANCE (USD)" dataDxfId="154" dataCellStyle="Comma">
      <calculatedColumnFormula>Q4+R4-S4</calculatedColumnFormula>
    </tableColumn>
    <tableColumn id="24" xr3:uid="{91DE179E-EED8-40CF-9C61-D2E83AA488AD}" name="CB_BS (USD)" dataDxfId="153" dataCellStyle="Comma"/>
    <tableColumn id="23" xr3:uid="{EF479109-4E9F-494D-958C-D5F20E2CCF41}" name="Dif4" dataDxfId="152" dataCellStyle="Comma">
      <calculatedColumnFormula>Table11[[#This Row],[CLOSING BALANCE (USD)]]-Table11[[#This Row],[CB_BS (USD)]]</calculatedColumnFormula>
    </tableColumn>
    <tableColumn id="14" xr3:uid="{218D01FD-AC38-41DA-9CF7-4063103672A2}" name="NAME" dataDxfId="151">
      <calculatedColumnFormula>VLOOKUP('Cash Balance'!$C4,Table2[#All],MATCH('Cash Balance'!W$3,Acc_Char!$B$1:$I$1,0),0)</calculatedColumnFormula>
    </tableColumn>
    <tableColumn id="15" xr3:uid="{14AD710C-869B-4AC2-94D3-D21BC312507B}" name="Bank_1" dataDxfId="150"/>
    <tableColumn id="16" xr3:uid="{2075AE36-708D-4087-843E-2F045E1454A2}" name="Bank" dataDxfId="14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2BA4885-A4AD-4942-94C2-C6AE8A8763B2}" name="Table1218" displayName="Table1218" ref="A3:AC259" totalsRowShown="0" headerRowDxfId="148" dataDxfId="146" headerRowBorderDxfId="147" tableBorderDxfId="145" totalsRowBorderDxfId="144">
  <autoFilter ref="A3:AC259" xr:uid="{52BA4885-A4AD-4942-94C2-C6AE8A8763B2}"/>
  <tableColumns count="29">
    <tableColumn id="1" xr3:uid="{C1456187-D71C-4C36-BD40-7768DECD2C29}" name="ENTITY" dataDxfId="143">
      <calculatedColumnFormula>IFERROR(VLOOKUP($C4,Table2[#All],3,0),0)</calculatedColumnFormula>
    </tableColumn>
    <tableColumn id="2" xr3:uid="{2944A46B-C112-4880-80C3-93E905B96A0F}" name="BRANCH" dataDxfId="142">
      <calculatedColumnFormula>_xlfn.XLOOKUP(Table1218[[#This Row],[ACCOUNT NUMBER]],Table2[Account No.],Table2[BRANCH],"recheck",0)</calculatedColumnFormula>
    </tableColumn>
    <tableColumn id="3" xr3:uid="{61D38A3F-7827-4405-810D-629C8488B7D4}" name="ACCOUNT NUMBER" dataDxfId="141"/>
    <tableColumn id="4" xr3:uid="{2B181933-F9EC-41A9-A472-B19D0C2A1078}" name="ACCOUNT TYPE" dataDxfId="140">
      <calculatedColumnFormula>_xlfn.XLOOKUP(Table1218[[#This Row],[ACCOUNT NUMBER]],Table2[Account No.],Table2[ACCOUNT TYPE],"recheck",0)</calculatedColumnFormula>
    </tableColumn>
    <tableColumn id="5" xr3:uid="{FC75BD13-D2A6-491B-9662-F291EEF557F9}" name="CURRENCY" dataDxfId="139"/>
    <tableColumn id="6" xr3:uid="{63942813-6B5A-497D-BBBF-24AD05F6AC89}" name="CLOSING BALANCE _x000a_(VND)" dataDxfId="138" dataCellStyle="Comma"/>
    <tableColumn id="7" xr3:uid="{6F2FC6C3-F58F-4E11-9CC8-C327768648A8}" name="CLOSING BALANCE_x000a_(USD)" dataDxfId="137" dataCellStyle="Comma"/>
    <tableColumn id="8" xr3:uid="{C6027860-F907-453F-A174-56740BABE144}" name="Term (months)" dataDxfId="136"/>
    <tableColumn id="21" xr3:uid="{738A28F4-0D9E-4272-B482-2972C535E311}" name="Term (days)" dataDxfId="135"/>
    <tableColumn id="20" xr3:uid="{6444C484-E6E2-4A43-8FC3-CED03F4CA6A9}" name="Opening date" dataDxfId="134"/>
    <tableColumn id="9" xr3:uid="{5A397E91-B8FE-4CFA-A606-E12377840EB7}" name="Maturity date" dataDxfId="133"/>
    <tableColumn id="10" xr3:uid="{C0C2463E-473D-4BFD-BFA7-A083026EA4B6}" name="Interest rate" dataDxfId="132"/>
    <tableColumn id="11" xr3:uid="{D089E7BE-8DA0-4BBC-8833-DC42BD64EF00}" name="NAME" dataDxfId="131">
      <calculatedColumnFormula>VLOOKUP($A4,Table1[[#All],[Entities]:[Name]],MATCH(M$3,Table1[[#Headers],[Entities]:[Name]],0),0)</calculatedColumnFormula>
    </tableColumn>
    <tableColumn id="12" xr3:uid="{79C5CF1A-8E48-4DD0-B243-AE25220DD064}" name="Bank_1" dataDxfId="130">
      <calculatedColumnFormula>IFERROR(VLOOKUP(IFERROR(MID($O4,1,FIND("-",$O4)-2),O4),Table3[#All],2,0),0)</calculatedColumnFormula>
    </tableColumn>
    <tableColumn id="13" xr3:uid="{5DF49301-5F6A-41DC-B284-45C56E0E1F3C}" name="Bank" dataDxfId="129">
      <calculatedColumnFormula>B4</calculatedColumnFormula>
    </tableColumn>
    <tableColumn id="14" xr3:uid="{338731DE-EA9D-4100-9ABD-8FDBF82EE441}" name="Column1" dataDxfId="128"/>
    <tableColumn id="15" xr3:uid="{DD658B10-16AE-4FC9-A330-7DA2DC3A3A44}" name="Remark" dataDxfId="127"/>
    <tableColumn id="16" xr3:uid="{57E59610-02A6-4E70-A558-26162F51EB00}" name="Stablized Asset" dataDxfId="126"/>
    <tableColumn id="17" xr3:uid="{AE4DAF55-64F7-40FD-9A30-F793C6A598E0}" name="Week" dataDxfId="125">
      <calculatedColumnFormula>IF(ISBLANK(Table1218[[#This Row],[Maturity date]]),"","W"&amp;MIN(WEEKNUM($K4+1,2)-WEEKNUM(EOMONTH($K4+1,-1)),4)&amp;TEXT($K4+1,"mmmyy"))</calculatedColumnFormula>
    </tableColumn>
    <tableColumn id="18" xr3:uid="{0564AD53-0489-4ECA-BD08-7D9DD96489F2}" name="VNDbn" dataDxfId="124" dataCellStyle="Comma">
      <calculatedColumnFormula>Table1218[[#This Row],[CLOSING BALANCE 
(VND)]]/1000000000</calculatedColumnFormula>
    </tableColumn>
    <tableColumn id="19" xr3:uid="{961FBBE8-BBC1-4800-AB44-99AEBB87555A}" name="To maturity date" dataDxfId="123" dataCellStyle="Comma">
      <calculatedColumnFormula>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calculatedColumnFormula>
    </tableColumn>
    <tableColumn id="23" xr3:uid="{A92C5E29-85A6-4C07-884D-488BEA7C4144}" name="Column3" dataDxfId="122" dataCellStyle="Comma"/>
    <tableColumn id="22" xr3:uid="{6651F179-6538-4AB8-BE5E-026DADCAB7C0}" name="Per bank statement" dataDxfId="121"/>
    <tableColumn id="24" xr3:uid="{9E336128-8042-4074-BE4C-CFB8BD468225}" name="Difference" dataDxfId="120"/>
    <tableColumn id="25" xr3:uid="{FD6139FD-FD37-41F6-91E1-79146506C6A3}" name="Per bank statement2" dataDxfId="119"/>
    <tableColumn id="26" xr3:uid="{5CB65EA3-DAFF-48D1-A02A-A9E6D4735BF2}" name="Interest Difference" dataDxfId="118" dataCellStyle="Comma"/>
    <tableColumn id="27" xr3:uid="{851A3983-1251-40D5-ADE9-E20E6BB1BEAF}" name="Column2" dataDxfId="117"/>
    <tableColumn id="28" xr3:uid="{EA881D3F-C2E3-4D3C-B68D-08C84D8D9ABF}" name="Column22" dataDxfId="116"/>
    <tableColumn id="29" xr3:uid="{241C1DEA-2746-4610-ABA2-F8EEC3F22BB6}" name="Column23" dataDxfId="11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BC7A7E-06DC-4018-BAAA-A39D311BD4B4}" name="Table2" displayName="Table2" ref="B1:I1757" totalsRowShown="0" headerRowDxfId="114" dataDxfId="113" tableBorderDxfId="112">
  <autoFilter ref="B1:I1757" xr:uid="{FEBC7A7E-06DC-4018-BAAA-A39D311BD4B4}"/>
  <tableColumns count="8">
    <tableColumn id="1" xr3:uid="{B68306B2-B1AD-4589-B2DB-C651FCB10466}" name="Account No." dataDxfId="111"/>
    <tableColumn id="2" xr3:uid="{34D79BAB-5E0A-417D-94BE-C1F91860CD48}" name="CODE" dataDxfId="110"/>
    <tableColumn id="3" xr3:uid="{96CE6D5E-BFC9-4746-B6C6-E7FC02D92882}" name="ENTITY" dataDxfId="109"/>
    <tableColumn id="4" xr3:uid="{62CB39A6-CCE9-4776-9185-E5468A1F396A}" name="BRANCH" dataDxfId="108"/>
    <tableColumn id="5" xr3:uid="{3AE7F057-A399-4964-A1F4-9B013FD7490D}" name="CURRENCY" dataDxfId="107"/>
    <tableColumn id="6" xr3:uid="{6461CB9E-370F-4EDE-9A69-D96D9E35530D}" name="ACCOUNT TYPE" dataDxfId="106"/>
    <tableColumn id="7" xr3:uid="{2B5716F0-4B73-4579-A50F-53DB54600F85}" name="NAME" dataDxfId="105"/>
    <tableColumn id="8" xr3:uid="{734CDB76-7FD1-4ABF-AEDF-CD479D8FBE8C}" name="Bank" dataDxfId="10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CA6F6D-866C-4CF0-9B7E-CB6E81DACD22}" name="Table1" displayName="Table1" ref="A3:C151" totalsRowShown="0" headerRowDxfId="103">
  <autoFilter ref="A3:C151" xr:uid="{27CA6F6D-866C-4CF0-9B7E-CB6E81DACD22}"/>
  <tableColumns count="3">
    <tableColumn id="1" xr3:uid="{39607580-4EEB-4593-9726-424E8501E842}" name="Abb."/>
    <tableColumn id="2" xr3:uid="{2538A695-7821-481A-9D70-843B5511B7AF}" name="Entities"/>
    <tableColumn id="3" xr3:uid="{269484C3-2975-4119-B7FE-4C8123414DC1}" name="Nam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447CB1-BBC2-4CD7-A923-453D9E7120AF}" name="Table3" displayName="Table3" ref="G3:H21" totalsRowShown="0" headerRowDxfId="102" dataDxfId="101">
  <autoFilter ref="G3:H21" xr:uid="{85447CB1-BBC2-4CD7-A923-453D9E7120AF}"/>
  <tableColumns count="2">
    <tableColumn id="1" xr3:uid="{83612C60-1540-4222-B633-392B4AFEA4A0}" name="Bank" dataDxfId="100"/>
    <tableColumn id="2" xr3:uid="{18D5693F-2DD4-4D25-8A7D-B7A7CC706CFE}" name="Abb." dataDxfId="9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B0CB1B-FCBD-450D-BDBD-9CE1DBB7389B}" name="Table4" displayName="Table4" ref="L3:M51" totalsRowShown="0" headerRowDxfId="98" dataDxfId="97">
  <autoFilter ref="L3:M51" xr:uid="{FDB0CB1B-FCBD-450D-BDBD-9CE1DBB7389B}"/>
  <tableColumns count="2">
    <tableColumn id="1" xr3:uid="{0A85AEE1-43D2-42F9-B64E-C026DE70BE5E}" name="Branch" dataDxfId="96"/>
    <tableColumn id="2" xr3:uid="{A0BD34C7-E998-4B87-9507-A307AAAF02DC}" name="Bank" dataDxfId="9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EA71BC9-22AA-411D-8376-E1F463B160A5}" name="Table5" displayName="Table5" ref="Q3:S49" totalsRowShown="0" headerRowDxfId="94" tableBorderDxfId="93">
  <autoFilter ref="Q3:S49" xr:uid="{6EA71BC9-22AA-411D-8376-E1F463B160A5}"/>
  <tableColumns count="3">
    <tableColumn id="1" xr3:uid="{A123190D-7364-4124-A1DA-349022CF5BE4}" name="Key payment - receipt" dataDxfId="92"/>
    <tableColumn id="2" xr3:uid="{A658A77D-8FB1-4108-9574-5B534691FC20}" name="Category" dataDxfId="91"/>
    <tableColumn id="3" xr3:uid="{178C4788-918D-4044-A9E2-4ED9E89216D2}" name="Type" dataDxfId="9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B5D643-FB13-467D-9088-C1884B3A301F}" name="Table6" displayName="Table6" ref="W3:AA279" totalsRowShown="0" headerRowDxfId="89" dataDxfId="88">
  <autoFilter ref="W3:AA279" xr:uid="{14B5D643-FB13-467D-9088-C1884B3A301F}"/>
  <tableColumns count="5">
    <tableColumn id="1" xr3:uid="{9A302E38-0EA4-43AC-B3EC-135E8DAD5EA2}" name="Customer code" dataDxfId="87"/>
    <tableColumn id="2" xr3:uid="{A0B3E300-FAB6-4FC8-8B76-F6F7E9BD184C}" name="Customer Name" dataDxfId="86"/>
    <tableColumn id="3" xr3:uid="{9979658F-5151-44DF-B6E3-16576CC67F8C}" name="Project Site" dataDxfId="85"/>
    <tableColumn id="4" xr3:uid="{3418BC45-9621-4A01-AE69-EF8FEDCB86FC}" name="Abb." dataDxfId="84"/>
    <tableColumn id="5" xr3:uid="{4BE8D284-26D9-477C-8878-924F6C95798E}" name="Entities" dataDxfId="83">
      <calculatedColumnFormula>VLOOKUP(Table6[[#This Row],[Abb.]],Table1[],2,0)</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252C60-86C6-402B-B665-9366C3198F87}" name="Table7" displayName="Table7" ref="AE3:AG11" totalsRowShown="0" headerRowDxfId="82" dataDxfId="81">
  <autoFilter ref="AE3:AG11" xr:uid="{6C252C60-86C6-402B-B665-9366C3198F87}"/>
  <tableColumns count="3">
    <tableColumn id="1" xr3:uid="{001CFBFA-A6FB-4BC2-A6B7-42AFA6882FB5}" name="Overdue" dataDxfId="80"/>
    <tableColumn id="3" xr3:uid="{F34A9E63-4260-4E99-8351-0B6574B73491}" name="Type" dataDxfId="79"/>
    <tableColumn id="2" xr3:uid="{47CB10A4-5CE7-4F09-B688-F9A0910E871F}" name="Provision" dataDxfId="78"/>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39B15EC-12F7-4800-ABA9-16296889F6D1}" name="Table_VTB" displayName="Table_VTB" ref="A1:E1383" totalsRowShown="0">
  <autoFilter ref="A1:E1383" xr:uid="{A39B15EC-12F7-4800-ABA9-16296889F6D1}"/>
  <tableColumns count="5">
    <tableColumn id="8" xr3:uid="{A24D6787-7F92-410A-9426-4CD64FCE6C0E}" name="ACC NO" dataDxfId="77"/>
    <tableColumn id="1" xr3:uid="{3B3A1068-3FD3-4692-91AC-8C13CD64E3FA}" name="CURRENCY" dataDxfId="76" dataCellStyle="Comma"/>
    <tableColumn id="2" xr3:uid="{4A0A8EB6-B41F-4F3A-AC3A-5902BB367716}" name="BOP" dataDxfId="75" dataCellStyle="Comma"/>
    <tableColumn id="3" xr3:uid="{C19A04D4-36B0-4940-A25B-80640BE375A2}" name="EOP" dataDxfId="74" dataCellStyle="Comma"/>
    <tableColumn id="4" xr3:uid="{97131362-9C74-4BF9-A311-2362F608826B}" name="BANK NAME"/>
  </tableColumns>
  <tableStyleInfo name="TableStyleMedium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2D32640-247F-4A05-9213-4FDBB7454789}" name="Table8" displayName="Table8" ref="A1:P129" totalsRowShown="0">
  <autoFilter ref="A1:P129" xr:uid="{C2D32640-247F-4A05-9213-4FDBB7454789}"/>
  <tableColumns count="16">
    <tableColumn id="1" xr3:uid="{C85D5A38-D321-4B4B-BCDA-1DC275836567}" name="ENTITY"/>
    <tableColumn id="2" xr3:uid="{623A9605-8665-43BF-AF7D-6FEFD429DDB7}" name="BRANCH"/>
    <tableColumn id="3" xr3:uid="{03B39C3A-37AF-43EA-8F3F-05740BEDCBC4}" name="ACCOUNT NUMBER"/>
    <tableColumn id="4" xr3:uid="{C6FEF6C0-3CC8-4E7A-B5D4-CF297EFA7CC8}" name="ACCOUNT TYPE"/>
    <tableColumn id="5" xr3:uid="{6B4275C0-8F93-4E46-83B4-2A8189BCACDB}" name="CURRENCY"/>
    <tableColumn id="6" xr3:uid="{3BE2EAF2-B404-4280-837F-431F27FFC463}" name="OPENING BALANCE (VND)"/>
    <tableColumn id="7" xr3:uid="{FED897D2-84B6-4E17-9D1A-528A291715E8}" name="CASH IN - CREDIT (VND)"/>
    <tableColumn id="8" xr3:uid="{F464F2CA-D584-436C-A0C3-40B502E15887}" name="CASH OUT - DEBIT (VND)"/>
    <tableColumn id="9" xr3:uid="{8DEAABA4-6405-454B-9AAD-A3E56FC035D1}" name="CLOSING BALANCE (VND)"/>
    <tableColumn id="10" xr3:uid="{2BB3081C-E95C-4C44-919C-2496C812BCBD}" name="OPENING BALANCE (USD)"/>
    <tableColumn id="11" xr3:uid="{29220809-3294-4716-907F-490091F2281E}" name="CASH IN - CREDIT (USD)"/>
    <tableColumn id="12" xr3:uid="{761221D6-2ECD-420C-BA97-2DFAB864E2B9}" name="CASH OUT - DEBIT (USD)"/>
    <tableColumn id="13" xr3:uid="{BF2ED560-9528-42BE-871B-CE526FC09966}" name="CLOSING BALANCE (USD)"/>
    <tableColumn id="14" xr3:uid="{EA98B732-F809-48CC-A745-0735334A3FEF}" name="NAME"/>
    <tableColumn id="15" xr3:uid="{490E2C99-9D87-44BE-A3EF-06ACE42439B8}" name="Bank_1"/>
    <tableColumn id="16" xr3:uid="{C6EABFD2-966E-407E-9478-E70DE529D535}" name="Bank"/>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C04DD2F-27C5-42D4-B72C-C038DB6C8877}" name="Table15" displayName="Table15" ref="A1:P129" totalsRowShown="0">
  <autoFilter ref="A1:P129" xr:uid="{5C04DD2F-27C5-42D4-B72C-C038DB6C8877}"/>
  <tableColumns count="16">
    <tableColumn id="1" xr3:uid="{F3082F6F-553B-4E26-B513-82B02EE4D2E4}" name="ENTITY"/>
    <tableColumn id="2" xr3:uid="{30F03A0C-0763-4E3A-BDD8-76D1144A8960}" name="BRANCH"/>
    <tableColumn id="3" xr3:uid="{9E692CFE-2259-4186-AF66-815F5E762FEA}" name="ACCOUNT NUMBER"/>
    <tableColumn id="4" xr3:uid="{FE36EEDB-D9EC-447F-9022-5A425ECFC381}" name="ACCOUNT TYPE"/>
    <tableColumn id="5" xr3:uid="{8CD12120-3EE3-48FC-8C2F-4E1CB7C99C7E}" name="CURRENCY"/>
    <tableColumn id="6" xr3:uid="{240BDF01-0295-4CFB-B003-71A74DA71912}" name="OPENING BALANCE (VND)"/>
    <tableColumn id="7" xr3:uid="{89B8F447-769B-424E-BA59-E9F1AAEACB18}" name="CASH IN - CREDIT (VND)"/>
    <tableColumn id="8" xr3:uid="{3D2629C3-D217-4407-BF1E-68110B669D3C}" name="CASH OUT - DEBIT (VND)"/>
    <tableColumn id="9" xr3:uid="{DFD2E590-AB12-444F-A254-ADA8778CE2B3}" name="CLOSING BALANCE (VND)"/>
    <tableColumn id="10" xr3:uid="{0DF0872C-9B2C-4BC8-BEA4-E1CE69BA9088}" name="OPENING BALANCE (USD)"/>
    <tableColumn id="11" xr3:uid="{6FD01D91-C75C-4650-A4DB-12B4B01F9DE1}" name="CASH IN - CREDIT (USD)"/>
    <tableColumn id="12" xr3:uid="{8C9FB811-E32F-43A2-81ED-85CE1420B6FD}" name="CASH OUT - DEBIT (USD)"/>
    <tableColumn id="13" xr3:uid="{3C6EB5DC-7F54-4A48-8640-C1059532D054}" name="CLOSING BALANCE (USD)"/>
    <tableColumn id="14" xr3:uid="{7AE60EE6-1F4B-494F-8DF9-EB641EAC285E}" name="NAME"/>
    <tableColumn id="15" xr3:uid="{543DA0C4-1137-479D-AE0A-AC0CE2E711D2}" name="Bank_1"/>
    <tableColumn id="16" xr3:uid="{7A7E0EC5-7B6B-48F6-9F1C-EEA24A44182A}" name="Bank"/>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491E4B-8FED-42C2-9F7D-EFA90B6B5B59}" name="Table13" displayName="Table13" ref="A136:K216" totalsRowShown="0" headerRowDxfId="73" tableBorderDxfId="72">
  <autoFilter ref="A136:K216" xr:uid="{2B491E4B-8FED-42C2-9F7D-EFA90B6B5B59}"/>
  <tableColumns count="11">
    <tableColumn id="1" xr3:uid="{AFA6564F-4986-4E89-9187-F3FB7991D207}" name="No." dataDxfId="71"/>
    <tableColumn id="2" xr3:uid="{745F04FF-9B35-418B-A0F9-99D2A6570CA1}" name="Transfer Account" dataDxfId="70"/>
    <tableColumn id="11" xr3:uid="{E09B6693-6209-4D59-BB2B-D1F8F53CAB42}" name="Column1" dataDxfId="69"/>
    <tableColumn id="3" xr3:uid="{8922C5F2-39E8-4C80-8898-A6018CE7AB9C}" name="Transfer Entity" dataDxfId="68">
      <calculatedColumnFormula>IF($B137="","",_xlfn.XLOOKUP($B137,Acc_Char!$B$2:$B$515,Acc_Char!$C$2:$C$515,"recheck",0))</calculatedColumnFormula>
    </tableColumn>
    <tableColumn id="4" xr3:uid="{31B55714-6546-4070-A004-C4CF59E10A16}" name="Transfer Branch" dataDxfId="67">
      <calculatedColumnFormula>IF($B137="","",_xlfn.XLOOKUP($B137,Acc_Char!$B$2:$B$515,Acc_Char!$I$2:$I$515,"recheck",0))</calculatedColumnFormula>
    </tableColumn>
    <tableColumn id="10" xr3:uid="{C5B38B50-0308-41F4-91F8-4438A497AE17}" name="Name" dataDxfId="66" dataCellStyle="Comma 3">
      <calculatedColumnFormula>IF($B137="","",_xlfn.XLOOKUP(Table13[[#This Row],[Transfer Account]],Acc_Char!$B$2:$B$515,Acc_Char!$H$1,"rechek",0))</calculatedColumnFormula>
    </tableColumn>
    <tableColumn id="5" xr3:uid="{D5DD88C5-3CF6-49CB-9D63-926676CC4C84}" name="Receiving Account" dataDxfId="65"/>
    <tableColumn id="6" xr3:uid="{24DDEE6F-933D-49D9-B8AD-E5B13E02C8C7}" name="Name Receiving" dataDxfId="64">
      <calculatedColumnFormula>IF($G137="","",_xlfn.XLOOKUP($G137,Acc_Char!$B$1,Acc_Char!$H$1,"out of group",0))</calculatedColumnFormula>
    </tableColumn>
    <tableColumn id="7" xr3:uid="{EB0DD685-6463-430B-8CBE-2D5F95A19B08}" name="Receiving Branch" dataDxfId="63">
      <calculatedColumnFormula>IF($G137="","",_xlfn.XLOOKUP($G137,Acc_Char!$B$2:$B$515,Acc_Char!$I$2:$I$515,"out of group",0))</calculatedColumnFormula>
    </tableColumn>
    <tableColumn id="8" xr3:uid="{68EB76F9-B6B6-4B50-8145-2DFE965D2791}" name="Amount" dataDxfId="62" dataCellStyle="Comma 3"/>
    <tableColumn id="9" xr3:uid="{6BBEBE4F-84CF-40EA-AF7C-D87E00720028}" name="Remark" dataDxfId="61" dataCellStyle="Comma 3"/>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824904C-94F8-47A0-A689-2C27BF801DCF}" name="Table1315" displayName="Table1315" ref="N136:W216" totalsRowShown="0" headerRowDxfId="60" tableBorderDxfId="59">
  <autoFilter ref="N136:W216" xr:uid="{6824904C-94F8-47A0-A689-2C27BF801DCF}"/>
  <tableColumns count="10">
    <tableColumn id="1" xr3:uid="{903A3F86-F0B9-4253-8679-73BF3D827B1A}" name="No." dataDxfId="58"/>
    <tableColumn id="2" xr3:uid="{637047E1-C9E5-4D8C-B9B3-1D2C549C7705}" name="Transfer Account" dataDxfId="57"/>
    <tableColumn id="3" xr3:uid="{D9521C87-39CD-467F-B23D-223CF363C43D}" name="Transfer Entity" dataDxfId="56">
      <calculatedColumnFormula>IF($B137="","",_xlfn.XLOOKUP($B137,Acc_Char!$B$2:$B$515,Acc_Char!$C$2:$C$515,"recheck",0))</calculatedColumnFormula>
    </tableColumn>
    <tableColumn id="4" xr3:uid="{9E819D15-4BF3-4533-882F-0040CA8A3A16}" name="Transfer Branch" dataDxfId="55">
      <calculatedColumnFormula>IF($B137="","",_xlfn.XLOOKUP($B137,Acc_Char!$B$2:$B$515,Acc_Char!$I$2:$I$515,"recheck",0))</calculatedColumnFormula>
    </tableColumn>
    <tableColumn id="10" xr3:uid="{8F1B30AB-423C-4AD4-A268-747B521BEA54}" name="Name" dataDxfId="54" dataCellStyle="Comma 3">
      <calculatedColumnFormula>IF($B137="","",_xlfn.XLOOKUP(Table1315[[#This Row],[Transfer Account]],Acc_Char!$B$2:$B$515,Acc_Char!$H$1,"rechek",0))</calculatedColumnFormula>
    </tableColumn>
    <tableColumn id="5" xr3:uid="{D0D2CF8F-C245-499D-9183-873DAB056B94}" name="Receiving Account" dataDxfId="53"/>
    <tableColumn id="6" xr3:uid="{ABDA7F0F-4A7B-42EC-86B4-EB71CEA0F313}" name="Name Receiving" dataDxfId="52">
      <calculatedColumnFormula>IF($G137="","",_xlfn.XLOOKUP($G137,Acc_Char!$B$1,Acc_Char!$H$1,"out of group",0))</calculatedColumnFormula>
    </tableColumn>
    <tableColumn id="7" xr3:uid="{C3422449-7972-485B-9BD7-6D1AD332A1F8}" name="Receiving Branch" dataDxfId="51">
      <calculatedColumnFormula>IF($G137="","",_xlfn.XLOOKUP($G137,Acc_Char!$B$2:$B$515,Acc_Char!$I$2:$I$515,"out of group",0))</calculatedColumnFormula>
    </tableColumn>
    <tableColumn id="8" xr3:uid="{3CE43BF3-4A7E-4D2A-A65C-A1F6B4890CD8}" name="Amount" dataDxfId="50" dataCellStyle="Comma 3"/>
    <tableColumn id="9" xr3:uid="{9F448AD0-E587-435C-B328-874AE984CF8C}" name="Remark" dataDxfId="49" dataCellStyle="Comma 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solidFill>
            <a:srgbClr val="FF0000"/>
          </a:solidFill>
        </a:ln>
      </a:spPr>
      <a:bodyPr spcFirstLastPara="0" vert="horz" wrap="square" lIns="40909" tIns="40909" rIns="40909" bIns="40909" numCol="1" spcCol="1270" anchor="ctr" anchorCtr="0">
        <a:noAutofit/>
      </a:bodyPr>
      <a:lstStyle>
        <a:defPPr marL="0" indent="0" algn="ctr" defTabSz="400050">
          <a:lnSpc>
            <a:spcPct val="90000"/>
          </a:lnSpc>
          <a:spcBef>
            <a:spcPct val="0"/>
          </a:spcBef>
          <a:spcAft>
            <a:spcPct val="35000"/>
          </a:spcAft>
          <a:buNone/>
          <a:defRPr sz="900" b="0" kern="1200" cap="none" spc="0">
            <a:ln w="0"/>
            <a:effectLst>
              <a:outerShdw blurRad="38100" dist="19050" dir="2700000" algn="tl" rotWithShape="0">
                <a:schemeClr val="dk1">
                  <a:alpha val="40000"/>
                </a:schemeClr>
              </a:outerShdw>
            </a:effectLst>
          </a:defRPr>
        </a:defPPr>
      </a:lstStyle>
      <a:style>
        <a:lnRef idx="2">
          <a:scrgbClr r="0" g="0" b="0"/>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 dT="2025-10-24T09:07:40.05" personId="{F92FC0F8-0CE5-48FC-A97D-89F3E06F8EB1}" id="{4C6B4BAF-B5D2-4CBE-B9B8-1B3FE2D137EA}">
    <text>@Nhat, Nguyen Van Viet (Intern-Accounting)  check STK nhe Nhật</text>
    <mentions>
      <mention mentionpersonId="{94F1F7A9-4100-4B5A-A6C5-F180D4AD37C2}" mentionId="{8FCB6485-88FC-4114-B34E-197C9F441A84}" startIndex="0" length="42"/>
    </mentions>
  </threadedComment>
  <threadedComment ref="C51" dT="2025-10-24T09:14:17.67" personId="{F92FC0F8-0CE5-48FC-A97D-89F3E06F8EB1}" id="{2DFA6AB0-3817-4B41-B791-A7B3F53F7281}">
    <text>@Nhat, Nguyen Van Viet (Intern-Accounting) check stk e nha</text>
    <mentions>
      <mention mentionpersonId="{94F1F7A9-4100-4B5A-A6C5-F180D4AD37C2}" mentionId="{D0E89749-50B4-475B-83F0-098B9B4DD349}" startIndex="0" length="42"/>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4.bin"/><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rinterSettings" Target="../printerSettings/printerSettings6.bin"/><Relationship Id="rId4"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7.bin"/><Relationship Id="rId4"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2.vml"/><Relationship Id="rId1" Type="http://schemas.openxmlformats.org/officeDocument/2006/relationships/printerSettings" Target="../printerSettings/printerSettings9.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9.xml"/><Relationship Id="rId7" Type="http://schemas.openxmlformats.org/officeDocument/2006/relationships/table" Target="../tables/table13.xml"/><Relationship Id="rId2" Type="http://schemas.openxmlformats.org/officeDocument/2006/relationships/table" Target="../tables/table8.xml"/><Relationship Id="rId1" Type="http://schemas.openxmlformats.org/officeDocument/2006/relationships/printerSettings" Target="../printerSettings/printerSettings12.bin"/><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openxmlformats.org/officeDocument/2006/relationships/printerSettings" Target="../printerSettings/printerSettings15.bin"/><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17.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8.xml"/><Relationship Id="rId1" Type="http://schemas.openxmlformats.org/officeDocument/2006/relationships/printerSettings" Target="../printerSettings/printerSettings17.bin"/><Relationship Id="rId4" Type="http://schemas.openxmlformats.org/officeDocument/2006/relationships/table" Target="../tables/table18.xm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2CF5E-F45D-4360-B1C0-4228CA0A9249}">
  <sheetPr>
    <tabColor rgb="FFC00000"/>
  </sheetPr>
  <dimension ref="A3:V119"/>
  <sheetViews>
    <sheetView showGridLines="0" zoomScaleNormal="100" workbookViewId="0">
      <selection activeCell="X2" activeCellId="1" sqref="Q62 X2"/>
    </sheetView>
  </sheetViews>
  <sheetFormatPr defaultColWidth="8.5546875" defaultRowHeight="13.2"/>
  <cols>
    <col min="1" max="1" width="1.44140625" style="129" customWidth="1"/>
    <col min="2" max="2" width="24.77734375" style="129" customWidth="1"/>
    <col min="3" max="5" width="12.5546875" style="497" hidden="1" customWidth="1"/>
    <col min="6" max="6" width="14.5546875" style="497" customWidth="1"/>
    <col min="7" max="9" width="12.5546875" style="498" hidden="1" customWidth="1"/>
    <col min="10" max="10" width="14" style="498" customWidth="1"/>
    <col min="11" max="13" width="12.44140625" style="498" hidden="1" customWidth="1"/>
    <col min="14" max="14" width="13.21875" style="129" customWidth="1"/>
    <col min="15" max="15" width="14.44140625" style="499" bestFit="1" customWidth="1"/>
    <col min="16" max="16" width="13.5546875" style="499" bestFit="1" customWidth="1"/>
    <col min="17" max="17" width="6.44140625" style="500" bestFit="1" customWidth="1"/>
    <col min="18" max="18" width="7.5546875" style="500" customWidth="1"/>
    <col min="19" max="19" width="13.44140625" style="129" bestFit="1" customWidth="1"/>
    <col min="20" max="16384" width="8.5546875" style="129"/>
  </cols>
  <sheetData>
    <row r="3" spans="2:18">
      <c r="G3" s="497"/>
      <c r="H3" s="497"/>
      <c r="I3" s="497"/>
      <c r="J3" s="497"/>
    </row>
    <row r="4" spans="2:18">
      <c r="B4" s="496" t="s">
        <v>0</v>
      </c>
    </row>
    <row r="5" spans="2:18">
      <c r="B5" s="501" t="s">
        <v>1</v>
      </c>
    </row>
    <row r="6" spans="2:18">
      <c r="B6" s="501" t="s">
        <v>2</v>
      </c>
      <c r="E6" s="502"/>
      <c r="F6" s="502"/>
    </row>
    <row r="7" spans="2:18">
      <c r="B7" s="503" t="s">
        <v>3</v>
      </c>
      <c r="F7" s="504">
        <f>F89-F106</f>
        <v>0</v>
      </c>
    </row>
    <row r="8" spans="2:18" s="510" customFormat="1" ht="27" hidden="1" customHeight="1" thickBot="1">
      <c r="B8" s="505"/>
      <c r="C8" s="1420" t="s">
        <v>4</v>
      </c>
      <c r="D8" s="1421"/>
      <c r="E8" s="1421"/>
      <c r="F8" s="506"/>
      <c r="G8" s="1422" t="s">
        <v>5</v>
      </c>
      <c r="H8" s="1422"/>
      <c r="I8" s="1422"/>
      <c r="J8" s="507"/>
      <c r="K8" s="1423" t="s">
        <v>6</v>
      </c>
      <c r="L8" s="1423"/>
      <c r="M8" s="1423"/>
      <c r="N8" s="508" t="s">
        <v>7</v>
      </c>
      <c r="O8" s="509"/>
      <c r="P8" s="509"/>
      <c r="Q8" s="383"/>
      <c r="R8" s="383"/>
    </row>
    <row r="9" spans="2:18" s="46" customFormat="1" ht="14.1" hidden="1" customHeight="1">
      <c r="B9" s="511"/>
      <c r="C9" s="512" t="s">
        <v>8</v>
      </c>
      <c r="D9" s="512" t="s">
        <v>9</v>
      </c>
      <c r="E9" s="513" t="s">
        <v>10</v>
      </c>
      <c r="F9" s="514"/>
      <c r="G9" s="512" t="s">
        <v>8</v>
      </c>
      <c r="H9" s="512" t="s">
        <v>11</v>
      </c>
      <c r="I9" s="513" t="s">
        <v>10</v>
      </c>
      <c r="J9" s="514"/>
      <c r="K9" s="512" t="s">
        <v>8</v>
      </c>
      <c r="L9" s="515" t="s">
        <v>11</v>
      </c>
      <c r="M9" s="514" t="s">
        <v>10</v>
      </c>
      <c r="N9" s="516"/>
      <c r="O9" s="517"/>
      <c r="P9" s="517"/>
      <c r="Q9" s="383"/>
      <c r="R9" s="383"/>
    </row>
    <row r="10" spans="2:18" s="46" customFormat="1" ht="26.4" hidden="1">
      <c r="B10" s="518"/>
      <c r="C10" s="519" t="s">
        <v>12</v>
      </c>
      <c r="D10" s="519" t="s">
        <v>12</v>
      </c>
      <c r="E10" s="520" t="s">
        <v>12</v>
      </c>
      <c r="F10" s="521"/>
      <c r="G10" s="519" t="s">
        <v>12</v>
      </c>
      <c r="H10" s="521" t="s">
        <v>12</v>
      </c>
      <c r="I10" s="521" t="s">
        <v>12</v>
      </c>
      <c r="J10" s="521"/>
      <c r="K10" s="522" t="s">
        <v>12</v>
      </c>
      <c r="L10" s="521" t="s">
        <v>12</v>
      </c>
      <c r="M10" s="521" t="s">
        <v>12</v>
      </c>
      <c r="N10" s="523"/>
      <c r="O10" s="517"/>
      <c r="P10" s="517"/>
      <c r="Q10" s="383"/>
      <c r="R10" s="383"/>
    </row>
    <row r="11" spans="2:18" s="46" customFormat="1" hidden="1">
      <c r="B11" s="524" t="s">
        <v>13</v>
      </c>
      <c r="C11" s="519"/>
      <c r="D11" s="519"/>
      <c r="E11" s="520"/>
      <c r="F11" s="521"/>
      <c r="G11" s="519"/>
      <c r="H11" s="521"/>
      <c r="I11" s="521"/>
      <c r="J11" s="521"/>
      <c r="K11" s="522"/>
      <c r="L11" s="521"/>
      <c r="M11" s="521"/>
      <c r="N11" s="523"/>
      <c r="O11" s="517"/>
      <c r="P11" s="517"/>
      <c r="Q11" s="383"/>
      <c r="R11" s="383"/>
    </row>
    <row r="12" spans="2:18" s="46" customFormat="1" ht="17.100000000000001" hidden="1" customHeight="1">
      <c r="B12" s="524" t="s">
        <v>14</v>
      </c>
      <c r="C12" s="525" t="e">
        <v>#REF!</v>
      </c>
      <c r="D12" s="525" t="e">
        <v>#REF!</v>
      </c>
      <c r="E12" s="526" t="e">
        <v>#REF!</v>
      </c>
      <c r="F12" s="527"/>
      <c r="G12" s="528">
        <v>795.97526542826711</v>
      </c>
      <c r="H12" s="528">
        <v>0.41238946999999998</v>
      </c>
      <c r="I12" s="526">
        <v>495.65173789597998</v>
      </c>
      <c r="J12" s="527"/>
      <c r="K12" s="529" t="e">
        <f t="shared" ref="K12:M13" si="0">C12-G12</f>
        <v>#REF!</v>
      </c>
      <c r="L12" s="530" t="e">
        <f t="shared" si="0"/>
        <v>#REF!</v>
      </c>
      <c r="M12" s="530" t="e">
        <f t="shared" si="0"/>
        <v>#REF!</v>
      </c>
      <c r="N12" s="516"/>
      <c r="O12" s="517"/>
      <c r="P12" s="517"/>
      <c r="Q12" s="383"/>
      <c r="R12" s="383"/>
    </row>
    <row r="13" spans="2:18" s="46" customFormat="1" ht="17.100000000000001" hidden="1" customHeight="1">
      <c r="B13" s="524" t="s">
        <v>15</v>
      </c>
      <c r="C13" s="525">
        <f>SUM(C14:C15)</f>
        <v>22.066934606</v>
      </c>
      <c r="D13" s="525">
        <f t="shared" ref="D13:E13" si="1">SUM(D14:D15)</f>
        <v>2.2534909089999999</v>
      </c>
      <c r="E13" s="526">
        <f t="shared" si="1"/>
        <v>114.066098819</v>
      </c>
      <c r="F13" s="527"/>
      <c r="G13" s="528">
        <v>1.198646382</v>
      </c>
      <c r="H13" s="528">
        <v>110.503</v>
      </c>
      <c r="I13" s="526">
        <v>524.29885450999996</v>
      </c>
      <c r="J13" s="527"/>
      <c r="K13" s="531">
        <f t="shared" si="0"/>
        <v>20.868288224</v>
      </c>
      <c r="L13" s="530">
        <f t="shared" si="0"/>
        <v>-108.24950909099999</v>
      </c>
      <c r="M13" s="530">
        <f t="shared" si="0"/>
        <v>-410.23275569099997</v>
      </c>
      <c r="N13" s="516"/>
      <c r="O13" s="517"/>
      <c r="P13" s="517"/>
      <c r="Q13" s="383"/>
      <c r="R13" s="383"/>
    </row>
    <row r="14" spans="2:18" s="46" customFormat="1" ht="17.100000000000001" hidden="1" customHeight="1">
      <c r="B14" s="532" t="s">
        <v>16</v>
      </c>
      <c r="C14" s="533">
        <v>22.066934606</v>
      </c>
      <c r="D14" s="533">
        <v>2.2534909089999999</v>
      </c>
      <c r="E14" s="534">
        <v>40.771098819000002</v>
      </c>
      <c r="F14" s="535"/>
      <c r="G14" s="536">
        <v>1.198646382</v>
      </c>
      <c r="H14" s="536">
        <v>0</v>
      </c>
      <c r="I14" s="534">
        <v>3.53265523</v>
      </c>
      <c r="J14" s="535"/>
      <c r="K14" s="537"/>
      <c r="L14" s="535"/>
      <c r="M14" s="535"/>
      <c r="N14" s="516"/>
      <c r="O14" s="517"/>
      <c r="P14" s="517"/>
      <c r="Q14" s="383"/>
      <c r="R14" s="383"/>
    </row>
    <row r="15" spans="2:18" s="46" customFormat="1" ht="17.100000000000001" hidden="1" customHeight="1">
      <c r="B15" s="532" t="s">
        <v>17</v>
      </c>
      <c r="C15" s="533">
        <v>0</v>
      </c>
      <c r="D15" s="533">
        <v>0</v>
      </c>
      <c r="E15" s="534">
        <v>73.295000000000002</v>
      </c>
      <c r="F15" s="535"/>
      <c r="G15" s="536">
        <v>0</v>
      </c>
      <c r="H15" s="536">
        <v>110.503</v>
      </c>
      <c r="I15" s="534">
        <v>520.76619927999991</v>
      </c>
      <c r="J15" s="535"/>
      <c r="K15" s="537"/>
      <c r="L15" s="535"/>
      <c r="M15" s="535"/>
      <c r="N15" s="516"/>
      <c r="O15" s="517"/>
      <c r="P15" s="517"/>
      <c r="Q15" s="383"/>
      <c r="R15" s="383"/>
    </row>
    <row r="16" spans="2:18" s="46" customFormat="1" ht="17.100000000000001" hidden="1" customHeight="1">
      <c r="B16" s="532" t="s">
        <v>18</v>
      </c>
      <c r="C16" s="533"/>
      <c r="D16" s="533"/>
      <c r="E16" s="534"/>
      <c r="F16" s="535"/>
      <c r="G16" s="536"/>
      <c r="H16" s="536"/>
      <c r="I16" s="534"/>
      <c r="J16" s="535"/>
      <c r="K16" s="537"/>
      <c r="L16" s="535"/>
      <c r="M16" s="535"/>
      <c r="N16" s="516"/>
      <c r="O16" s="517"/>
      <c r="P16" s="517"/>
      <c r="Q16" s="383"/>
      <c r="R16" s="383"/>
    </row>
    <row r="17" spans="2:18" s="46" customFormat="1" ht="12.6" hidden="1" customHeight="1">
      <c r="B17" s="524"/>
      <c r="C17" s="525"/>
      <c r="D17" s="525"/>
      <c r="E17" s="526"/>
      <c r="F17" s="527"/>
      <c r="G17" s="528"/>
      <c r="H17" s="528"/>
      <c r="I17" s="526"/>
      <c r="J17" s="527"/>
      <c r="K17" s="529"/>
      <c r="L17" s="527"/>
      <c r="M17" s="527"/>
      <c r="N17" s="516"/>
      <c r="O17" s="517"/>
      <c r="P17" s="517"/>
      <c r="Q17" s="383"/>
      <c r="R17" s="383"/>
    </row>
    <row r="18" spans="2:18" s="46" customFormat="1" ht="17.100000000000001" hidden="1" customHeight="1">
      <c r="B18" s="524" t="s">
        <v>19</v>
      </c>
      <c r="C18" s="525">
        <f>SUM(C19:C23)</f>
        <v>38.055947651999986</v>
      </c>
      <c r="D18" s="525">
        <f t="shared" ref="D18" si="2">SUM(D19:D23)</f>
        <v>60.957728371999991</v>
      </c>
      <c r="E18" s="526">
        <f>SUM(E19:E23)</f>
        <v>132.88481276799999</v>
      </c>
      <c r="F18" s="527"/>
      <c r="G18" s="528">
        <v>111.56870797100009</v>
      </c>
      <c r="H18" s="528">
        <v>110.4041998</v>
      </c>
      <c r="I18" s="526">
        <v>518.58906231699996</v>
      </c>
      <c r="J18" s="527"/>
      <c r="K18" s="531">
        <f>C18-G18</f>
        <v>-73.512760319000108</v>
      </c>
      <c r="L18" s="530">
        <f>D18-H18</f>
        <v>-49.446471428000009</v>
      </c>
      <c r="M18" s="530">
        <f>E18-I18</f>
        <v>-385.704249549</v>
      </c>
      <c r="N18" s="516"/>
      <c r="O18" s="517"/>
      <c r="P18" s="517"/>
      <c r="Q18" s="383"/>
      <c r="R18" s="383"/>
    </row>
    <row r="19" spans="2:18" s="46" customFormat="1" hidden="1">
      <c r="B19" s="518" t="s">
        <v>20</v>
      </c>
      <c r="C19" s="533">
        <v>0</v>
      </c>
      <c r="D19" s="533">
        <v>0</v>
      </c>
      <c r="E19" s="534">
        <v>0.44709495599999999</v>
      </c>
      <c r="F19" s="535"/>
      <c r="G19" s="536">
        <v>0</v>
      </c>
      <c r="H19" s="536">
        <v>0</v>
      </c>
      <c r="I19" s="534">
        <v>105.3866682</v>
      </c>
      <c r="J19" s="535"/>
      <c r="K19" s="538"/>
      <c r="L19" s="539"/>
      <c r="M19" s="539"/>
      <c r="N19" s="516"/>
      <c r="O19" s="517"/>
      <c r="P19" s="517"/>
      <c r="Q19" s="383"/>
      <c r="R19" s="383"/>
    </row>
    <row r="20" spans="2:18" s="46" customFormat="1" hidden="1">
      <c r="B20" s="518" t="s">
        <v>21</v>
      </c>
      <c r="C20" s="533">
        <v>0</v>
      </c>
      <c r="D20" s="533">
        <v>0</v>
      </c>
      <c r="E20" s="534">
        <v>0</v>
      </c>
      <c r="F20" s="535"/>
      <c r="G20" s="536">
        <v>0</v>
      </c>
      <c r="H20" s="536">
        <v>0</v>
      </c>
      <c r="I20" s="534">
        <v>0</v>
      </c>
      <c r="J20" s="535"/>
      <c r="K20" s="538"/>
      <c r="L20" s="539"/>
      <c r="M20" s="539"/>
      <c r="N20" s="516"/>
      <c r="O20" s="517"/>
      <c r="P20" s="517"/>
      <c r="Q20" s="383"/>
      <c r="R20" s="383"/>
    </row>
    <row r="21" spans="2:18" s="46" customFormat="1" hidden="1">
      <c r="B21" s="518" t="s">
        <v>22</v>
      </c>
      <c r="C21" s="533">
        <v>0</v>
      </c>
      <c r="D21" s="533">
        <v>0</v>
      </c>
      <c r="E21" s="534">
        <v>36.599596394000002</v>
      </c>
      <c r="F21" s="535"/>
      <c r="G21" s="536">
        <v>0</v>
      </c>
      <c r="H21" s="536">
        <v>0</v>
      </c>
      <c r="I21" s="534">
        <v>2.6932628799999998</v>
      </c>
      <c r="J21" s="535"/>
      <c r="K21" s="538"/>
      <c r="L21" s="539"/>
      <c r="M21" s="539"/>
      <c r="O21" s="517"/>
      <c r="P21" s="517"/>
      <c r="Q21" s="383"/>
      <c r="R21" s="383"/>
    </row>
    <row r="22" spans="2:18" s="46" customFormat="1" hidden="1">
      <c r="B22" s="518" t="s">
        <v>23</v>
      </c>
      <c r="C22" s="533">
        <v>38.055947651999986</v>
      </c>
      <c r="D22" s="533">
        <v>21.210228371999989</v>
      </c>
      <c r="E22" s="534">
        <v>62.290621417999986</v>
      </c>
      <c r="F22" s="535"/>
      <c r="G22" s="536">
        <v>1.0657079710000943</v>
      </c>
      <c r="H22" s="536">
        <v>4.1997999999949798E-3</v>
      </c>
      <c r="I22" s="534">
        <v>0.14293195699997341</v>
      </c>
      <c r="J22" s="535"/>
      <c r="K22" s="538"/>
      <c r="L22" s="539"/>
      <c r="M22" s="539"/>
      <c r="O22" s="517"/>
      <c r="P22" s="517"/>
      <c r="Q22" s="383"/>
      <c r="R22" s="383"/>
    </row>
    <row r="23" spans="2:18" s="46" customFormat="1" hidden="1">
      <c r="B23" s="518" t="s">
        <v>17</v>
      </c>
      <c r="C23" s="533">
        <v>0</v>
      </c>
      <c r="D23" s="533">
        <v>39.747500000000002</v>
      </c>
      <c r="E23" s="534">
        <v>33.547499999999999</v>
      </c>
      <c r="F23" s="535"/>
      <c r="G23" s="536">
        <v>110.503</v>
      </c>
      <c r="H23" s="536">
        <v>110.4</v>
      </c>
      <c r="I23" s="534">
        <v>410.36619927999993</v>
      </c>
      <c r="J23" s="535"/>
      <c r="K23" s="538"/>
      <c r="L23" s="539"/>
      <c r="M23" s="539"/>
      <c r="O23" s="517"/>
      <c r="P23" s="517"/>
      <c r="Q23" s="383"/>
      <c r="R23" s="383"/>
    </row>
    <row r="24" spans="2:18" s="46" customFormat="1" hidden="1">
      <c r="B24" s="518"/>
      <c r="C24" s="539"/>
      <c r="D24" s="539"/>
      <c r="E24" s="540"/>
      <c r="F24" s="539"/>
      <c r="G24" s="539"/>
      <c r="H24" s="539"/>
      <c r="I24" s="540"/>
      <c r="J24" s="539"/>
      <c r="K24" s="538"/>
      <c r="L24" s="539"/>
      <c r="M24" s="539"/>
      <c r="O24" s="517"/>
      <c r="P24" s="517"/>
      <c r="Q24" s="383"/>
      <c r="R24" s="383"/>
    </row>
    <row r="25" spans="2:18" s="46" customFormat="1" ht="17.100000000000001" hidden="1" customHeight="1" thickBot="1">
      <c r="B25" s="541" t="s">
        <v>24</v>
      </c>
      <c r="C25" s="542" t="e">
        <v>#REF!</v>
      </c>
      <c r="D25" s="542" t="e">
        <v>#REF!</v>
      </c>
      <c r="E25" s="543" t="e">
        <v>#REF!</v>
      </c>
      <c r="F25" s="544"/>
      <c r="G25" s="544">
        <v>795.97526542826711</v>
      </c>
      <c r="H25" s="544">
        <v>0.41238946999999998</v>
      </c>
      <c r="I25" s="543">
        <v>495.65173789597998</v>
      </c>
      <c r="J25" s="545"/>
      <c r="K25" s="546" t="e">
        <f>C25-G25</f>
        <v>#REF!</v>
      </c>
      <c r="L25" s="545" t="e">
        <f>D25-H25</f>
        <v>#REF!</v>
      </c>
      <c r="M25" s="545" t="e">
        <f>E25-I25</f>
        <v>#REF!</v>
      </c>
      <c r="N25" s="516"/>
      <c r="O25" s="517"/>
      <c r="P25" s="517"/>
      <c r="Q25" s="383"/>
      <c r="R25" s="383"/>
    </row>
    <row r="26" spans="2:18" s="46" customFormat="1" hidden="1">
      <c r="B26" s="547"/>
      <c r="C26" s="548"/>
      <c r="D26" s="548"/>
      <c r="E26" s="549"/>
      <c r="F26" s="550"/>
      <c r="G26" s="550"/>
      <c r="H26" s="550"/>
      <c r="I26" s="551"/>
      <c r="J26" s="548"/>
      <c r="K26" s="552"/>
      <c r="L26" s="553"/>
      <c r="M26" s="554"/>
      <c r="N26" s="516"/>
      <c r="O26" s="517"/>
      <c r="P26" s="517"/>
      <c r="Q26" s="383"/>
      <c r="R26" s="383"/>
    </row>
    <row r="27" spans="2:18" s="46" customFormat="1" ht="16.350000000000001" hidden="1" customHeight="1">
      <c r="B27" s="524" t="s">
        <v>25</v>
      </c>
      <c r="C27" s="1424"/>
      <c r="D27" s="1425"/>
      <c r="E27" s="1426"/>
      <c r="F27" s="555"/>
      <c r="G27" s="556"/>
      <c r="H27" s="550"/>
      <c r="I27" s="551"/>
      <c r="J27" s="548"/>
      <c r="K27" s="556"/>
      <c r="L27" s="550"/>
      <c r="M27" s="548"/>
      <c r="N27" s="516"/>
      <c r="O27" s="517"/>
      <c r="P27" s="517"/>
      <c r="Q27" s="383"/>
      <c r="R27" s="383"/>
    </row>
    <row r="28" spans="2:18" s="46" customFormat="1" hidden="1">
      <c r="B28" s="547" t="s">
        <v>14</v>
      </c>
      <c r="C28" s="525" t="e">
        <f>C25</f>
        <v>#REF!</v>
      </c>
      <c r="D28" s="525" t="e">
        <f>D25</f>
        <v>#REF!</v>
      </c>
      <c r="E28" s="526" t="e">
        <f>E25</f>
        <v>#REF!</v>
      </c>
      <c r="F28" s="527"/>
      <c r="G28" s="525">
        <v>685.60520383926701</v>
      </c>
      <c r="H28" s="525">
        <v>0.51118967000000004</v>
      </c>
      <c r="I28" s="526">
        <v>502.62213233178022</v>
      </c>
      <c r="J28" s="527"/>
      <c r="K28" s="556" t="e">
        <f t="shared" ref="K28:M36" si="3">C28-G28</f>
        <v>#REF!</v>
      </c>
      <c r="L28" s="550" t="e">
        <f t="shared" si="3"/>
        <v>#REF!</v>
      </c>
      <c r="M28" s="550" t="e">
        <f t="shared" si="3"/>
        <v>#REF!</v>
      </c>
      <c r="N28" s="516"/>
      <c r="O28" s="517"/>
      <c r="P28" s="517"/>
      <c r="Q28" s="383"/>
      <c r="R28" s="383"/>
    </row>
    <row r="29" spans="2:18" s="561" customFormat="1" hidden="1">
      <c r="B29" s="557" t="s">
        <v>15</v>
      </c>
      <c r="C29" s="525" t="e">
        <f>SUM(C30:C31)</f>
        <v>#REF!</v>
      </c>
      <c r="D29" s="525" t="e">
        <f t="shared" ref="D29:E29" si="4">SUM(D30:D31)</f>
        <v>#REF!</v>
      </c>
      <c r="E29" s="526" t="e">
        <f t="shared" si="4"/>
        <v>#REF!</v>
      </c>
      <c r="F29" s="527"/>
      <c r="G29" s="525">
        <v>31.608490824</v>
      </c>
      <c r="H29" s="525">
        <v>0</v>
      </c>
      <c r="I29" s="526">
        <v>1.12738732</v>
      </c>
      <c r="J29" s="527"/>
      <c r="K29" s="556" t="e">
        <f t="shared" si="3"/>
        <v>#REF!</v>
      </c>
      <c r="L29" s="550" t="e">
        <f t="shared" si="3"/>
        <v>#REF!</v>
      </c>
      <c r="M29" s="550" t="e">
        <f t="shared" si="3"/>
        <v>#REF!</v>
      </c>
      <c r="N29" s="558"/>
      <c r="O29" s="559"/>
      <c r="P29" s="559"/>
      <c r="Q29" s="560"/>
      <c r="R29" s="560"/>
    </row>
    <row r="30" spans="2:18" s="46" customFormat="1" hidden="1">
      <c r="B30" s="562" t="s">
        <v>26</v>
      </c>
      <c r="C30" s="533" t="e">
        <v>#REF!</v>
      </c>
      <c r="D30" s="533" t="e">
        <v>#REF!</v>
      </c>
      <c r="E30" s="534" t="e">
        <v>#REF!</v>
      </c>
      <c r="F30" s="535"/>
      <c r="G30" s="533">
        <v>24.470490823999999</v>
      </c>
      <c r="H30" s="533">
        <v>0</v>
      </c>
      <c r="I30" s="534">
        <v>1.12738732</v>
      </c>
      <c r="J30" s="535"/>
      <c r="K30" s="556" t="e">
        <f t="shared" si="3"/>
        <v>#REF!</v>
      </c>
      <c r="L30" s="550" t="e">
        <f t="shared" si="3"/>
        <v>#REF!</v>
      </c>
      <c r="M30" s="550" t="e">
        <f t="shared" si="3"/>
        <v>#REF!</v>
      </c>
      <c r="N30" s="516"/>
      <c r="O30" s="517"/>
      <c r="P30" s="517"/>
      <c r="Q30" s="383"/>
      <c r="R30" s="383"/>
    </row>
    <row r="31" spans="2:18" s="46" customFormat="1" hidden="1">
      <c r="B31" s="562" t="s">
        <v>27</v>
      </c>
      <c r="C31" s="533" t="e">
        <v>#REF!</v>
      </c>
      <c r="D31" s="533">
        <v>0</v>
      </c>
      <c r="E31" s="534">
        <v>0</v>
      </c>
      <c r="F31" s="535"/>
      <c r="G31" s="533">
        <v>7.1379999999999999</v>
      </c>
      <c r="H31" s="533">
        <v>0</v>
      </c>
      <c r="I31" s="534">
        <v>0</v>
      </c>
      <c r="J31" s="535"/>
      <c r="K31" s="556" t="e">
        <f t="shared" si="3"/>
        <v>#REF!</v>
      </c>
      <c r="L31" s="550">
        <f t="shared" si="3"/>
        <v>0</v>
      </c>
      <c r="M31" s="550">
        <f t="shared" si="3"/>
        <v>0</v>
      </c>
      <c r="N31" s="516"/>
      <c r="O31" s="517"/>
      <c r="P31" s="517"/>
      <c r="Q31" s="383"/>
      <c r="R31" s="383"/>
    </row>
    <row r="32" spans="2:18" s="46" customFormat="1" hidden="1">
      <c r="B32" s="562" t="s">
        <v>28</v>
      </c>
      <c r="C32" s="533"/>
      <c r="D32" s="533"/>
      <c r="E32" s="534"/>
      <c r="F32" s="535"/>
      <c r="G32" s="533"/>
      <c r="H32" s="533"/>
      <c r="I32" s="534"/>
      <c r="J32" s="535"/>
      <c r="K32" s="556">
        <f t="shared" si="3"/>
        <v>0</v>
      </c>
      <c r="L32" s="550">
        <f t="shared" si="3"/>
        <v>0</v>
      </c>
      <c r="M32" s="550">
        <f t="shared" si="3"/>
        <v>0</v>
      </c>
      <c r="N32" s="516"/>
      <c r="O32" s="517"/>
      <c r="P32" s="517"/>
      <c r="Q32" s="383"/>
      <c r="R32" s="383"/>
    </row>
    <row r="33" spans="1:19" s="561" customFormat="1" hidden="1">
      <c r="B33" s="563" t="s">
        <v>29</v>
      </c>
      <c r="C33" s="525" t="e">
        <f>C35</f>
        <v>#REF!</v>
      </c>
      <c r="D33" s="525">
        <f t="shared" ref="D33:E33" si="5">D35</f>
        <v>0</v>
      </c>
      <c r="E33" s="526" t="e">
        <f t="shared" si="5"/>
        <v>#REF!</v>
      </c>
      <c r="F33" s="527"/>
      <c r="G33" s="525">
        <v>125.5286249824</v>
      </c>
      <c r="H33" s="525">
        <v>0</v>
      </c>
      <c r="I33" s="526">
        <v>175.64444700000001</v>
      </c>
      <c r="J33" s="527"/>
      <c r="K33" s="556" t="e">
        <f t="shared" si="3"/>
        <v>#REF!</v>
      </c>
      <c r="L33" s="550">
        <f t="shared" si="3"/>
        <v>0</v>
      </c>
      <c r="M33" s="550" t="e">
        <f t="shared" si="3"/>
        <v>#REF!</v>
      </c>
      <c r="N33" s="558"/>
      <c r="O33" s="559"/>
      <c r="P33" s="559"/>
      <c r="Q33" s="560"/>
      <c r="R33" s="560"/>
    </row>
    <row r="34" spans="1:19" s="46" customFormat="1" hidden="1">
      <c r="B34" s="562" t="s">
        <v>30</v>
      </c>
      <c r="C34" s="533"/>
      <c r="D34" s="533"/>
      <c r="E34" s="534"/>
      <c r="F34" s="535"/>
      <c r="G34" s="533"/>
      <c r="H34" s="533"/>
      <c r="I34" s="534"/>
      <c r="J34" s="535"/>
      <c r="K34" s="556">
        <f t="shared" si="3"/>
        <v>0</v>
      </c>
      <c r="L34" s="550">
        <f t="shared" si="3"/>
        <v>0</v>
      </c>
      <c r="M34" s="550">
        <f t="shared" si="3"/>
        <v>0</v>
      </c>
      <c r="N34" s="516"/>
      <c r="O34" s="517"/>
      <c r="P34" s="517"/>
      <c r="Q34" s="383"/>
      <c r="R34" s="383"/>
    </row>
    <row r="35" spans="1:19" s="46" customFormat="1" hidden="1">
      <c r="B35" s="562" t="s">
        <v>31</v>
      </c>
      <c r="C35" s="533" t="e">
        <v>#REF!</v>
      </c>
      <c r="D35" s="533">
        <v>0</v>
      </c>
      <c r="E35" s="534" t="e">
        <v>#REF!</v>
      </c>
      <c r="F35" s="535"/>
      <c r="G35" s="533">
        <v>125.5286249824</v>
      </c>
      <c r="H35" s="533">
        <v>0</v>
      </c>
      <c r="I35" s="534">
        <v>175.64444700000001</v>
      </c>
      <c r="J35" s="535"/>
      <c r="K35" s="556" t="e">
        <f t="shared" si="3"/>
        <v>#REF!</v>
      </c>
      <c r="L35" s="550">
        <f t="shared" si="3"/>
        <v>0</v>
      </c>
      <c r="M35" s="550" t="e">
        <f t="shared" si="3"/>
        <v>#REF!</v>
      </c>
      <c r="N35" s="516"/>
      <c r="O35" s="517"/>
      <c r="P35" s="517"/>
      <c r="Q35" s="383"/>
      <c r="R35" s="383"/>
    </row>
    <row r="36" spans="1:19" s="46" customFormat="1" ht="13.8" hidden="1" thickBot="1">
      <c r="B36" s="564" t="s">
        <v>32</v>
      </c>
      <c r="C36" s="565" t="e">
        <f>C28+C29-C33</f>
        <v>#REF!</v>
      </c>
      <c r="D36" s="565" t="e">
        <f t="shared" ref="D36:E36" si="6">D28+D29-D33</f>
        <v>#REF!</v>
      </c>
      <c r="E36" s="566" t="e">
        <f t="shared" si="6"/>
        <v>#REF!</v>
      </c>
      <c r="F36" s="567"/>
      <c r="G36" s="565">
        <v>591.68506968086695</v>
      </c>
      <c r="H36" s="565">
        <v>0.51118967000000004</v>
      </c>
      <c r="I36" s="566">
        <v>328.10507265178023</v>
      </c>
      <c r="J36" s="567"/>
      <c r="K36" s="568" t="e">
        <f t="shared" si="3"/>
        <v>#REF!</v>
      </c>
      <c r="L36" s="569" t="e">
        <f t="shared" si="3"/>
        <v>#REF!</v>
      </c>
      <c r="M36" s="569" t="e">
        <f t="shared" si="3"/>
        <v>#REF!</v>
      </c>
      <c r="N36" s="516"/>
      <c r="O36" s="517"/>
      <c r="P36" s="517"/>
      <c r="Q36" s="383"/>
      <c r="R36" s="383"/>
    </row>
    <row r="37" spans="1:19" hidden="1">
      <c r="I37" s="497"/>
      <c r="J37" s="497"/>
    </row>
    <row r="38" spans="1:19" s="459" customFormat="1" ht="11.85" customHeight="1">
      <c r="A38" s="29"/>
      <c r="C38" s="504"/>
      <c r="D38" s="504"/>
      <c r="E38" s="504"/>
      <c r="F38" s="500"/>
      <c r="G38" s="500"/>
      <c r="H38" s="570"/>
      <c r="I38" s="571"/>
      <c r="J38" s="571"/>
      <c r="K38" s="571"/>
      <c r="L38" s="571"/>
      <c r="M38" s="571"/>
      <c r="O38" s="570"/>
      <c r="P38" s="570"/>
      <c r="Q38" s="500"/>
      <c r="R38" s="500"/>
    </row>
    <row r="39" spans="1:19" ht="24" customHeight="1" thickBot="1">
      <c r="B39" s="505"/>
      <c r="C39" s="1420" t="s">
        <v>33</v>
      </c>
      <c r="D39" s="1420"/>
      <c r="E39" s="1420"/>
      <c r="F39" s="1420"/>
      <c r="G39" s="1420" t="s">
        <v>34</v>
      </c>
      <c r="H39" s="1420"/>
      <c r="I39" s="1420"/>
      <c r="J39" s="1420"/>
      <c r="K39" s="1423" t="s">
        <v>35</v>
      </c>
      <c r="L39" s="1423"/>
      <c r="M39" s="1423"/>
      <c r="N39" s="1423"/>
    </row>
    <row r="40" spans="1:19">
      <c r="B40" s="572"/>
      <c r="C40" s="512" t="s">
        <v>8</v>
      </c>
      <c r="D40" s="512" t="s">
        <v>9</v>
      </c>
      <c r="E40" s="514" t="s">
        <v>10</v>
      </c>
      <c r="F40" s="573" t="s">
        <v>36</v>
      </c>
      <c r="G40" s="574" t="s">
        <v>8</v>
      </c>
      <c r="H40" s="512" t="s">
        <v>9</v>
      </c>
      <c r="I40" s="514" t="s">
        <v>10</v>
      </c>
      <c r="J40" s="573" t="s">
        <v>36</v>
      </c>
      <c r="K40" s="512" t="s">
        <v>8</v>
      </c>
      <c r="L40" s="512" t="s">
        <v>9</v>
      </c>
      <c r="M40" s="514" t="s">
        <v>10</v>
      </c>
      <c r="N40" s="513" t="s">
        <v>36</v>
      </c>
      <c r="O40" s="129"/>
      <c r="P40" s="129"/>
    </row>
    <row r="41" spans="1:19" ht="26.4">
      <c r="B41" s="575"/>
      <c r="C41" s="576" t="s">
        <v>37</v>
      </c>
      <c r="D41" s="576" t="s">
        <v>37</v>
      </c>
      <c r="E41" s="577" t="s">
        <v>37</v>
      </c>
      <c r="F41" s="578" t="s">
        <v>37</v>
      </c>
      <c r="G41" s="579" t="s">
        <v>37</v>
      </c>
      <c r="H41" s="577" t="s">
        <v>37</v>
      </c>
      <c r="I41" s="577" t="s">
        <v>37</v>
      </c>
      <c r="J41" s="578" t="s">
        <v>37</v>
      </c>
      <c r="K41" s="577" t="s">
        <v>37</v>
      </c>
      <c r="L41" s="577" t="s">
        <v>37</v>
      </c>
      <c r="M41" s="577" t="s">
        <v>37</v>
      </c>
      <c r="N41" s="580" t="s">
        <v>37</v>
      </c>
    </row>
    <row r="42" spans="1:19">
      <c r="B42" s="581" t="s">
        <v>13</v>
      </c>
      <c r="C42" s="582"/>
      <c r="D42" s="582"/>
      <c r="E42" s="583"/>
      <c r="F42" s="584"/>
      <c r="G42" s="583"/>
      <c r="H42" s="583"/>
      <c r="I42" s="583"/>
      <c r="J42" s="584"/>
      <c r="K42" s="583"/>
      <c r="L42" s="583"/>
      <c r="M42" s="583"/>
      <c r="N42" s="585"/>
    </row>
    <row r="43" spans="1:19">
      <c r="B43" s="575" t="s">
        <v>14</v>
      </c>
      <c r="C43" s="586">
        <f>G77-C110</f>
        <v>6.9899193897456708</v>
      </c>
      <c r="D43" s="586">
        <f>H77-D110</f>
        <v>9.7598303237960629</v>
      </c>
      <c r="E43" s="587">
        <f>I77-E110</f>
        <v>68.245747074283287</v>
      </c>
      <c r="F43" s="588">
        <f>SUM(C43:E43)</f>
        <v>84.995496787825019</v>
      </c>
      <c r="G43" s="587">
        <v>6.9991763044764408</v>
      </c>
      <c r="H43" s="589">
        <v>8.30597553168068</v>
      </c>
      <c r="I43" s="587">
        <v>76.972389863206345</v>
      </c>
      <c r="J43" s="588">
        <v>92.277541699363468</v>
      </c>
      <c r="K43" s="587"/>
      <c r="L43" s="587"/>
      <c r="M43" s="587"/>
      <c r="N43" s="590"/>
      <c r="O43" s="570">
        <f>F43+F75-Summary!E77</f>
        <v>-49.525551961324922</v>
      </c>
      <c r="P43" s="800"/>
      <c r="Q43" s="801"/>
      <c r="R43" s="801"/>
      <c r="S43" s="800"/>
    </row>
    <row r="44" spans="1:19">
      <c r="B44" s="575"/>
      <c r="C44" s="586"/>
      <c r="D44" s="586"/>
      <c r="E44" s="587"/>
      <c r="F44" s="588"/>
      <c r="G44" s="587"/>
      <c r="H44" s="587"/>
      <c r="I44" s="587"/>
      <c r="J44" s="588"/>
      <c r="K44" s="587"/>
      <c r="L44" s="587"/>
      <c r="M44" s="587"/>
      <c r="N44" s="590"/>
      <c r="P44" s="802"/>
      <c r="Q44" s="802"/>
      <c r="R44" s="802"/>
      <c r="S44" s="802"/>
    </row>
    <row r="45" spans="1:19" hidden="1">
      <c r="B45" s="591" t="s">
        <v>15</v>
      </c>
      <c r="C45" s="592">
        <f t="shared" ref="C45:F45" si="7">SUM(C47:C59)</f>
        <v>2.3013678372492836</v>
      </c>
      <c r="D45" s="592">
        <f t="shared" si="7"/>
        <v>52.043071305176696</v>
      </c>
      <c r="E45" s="592">
        <f>SUM(E47:E59)</f>
        <v>18.40677260337154</v>
      </c>
      <c r="F45" s="593">
        <f t="shared" si="7"/>
        <v>72.751211745797519</v>
      </c>
      <c r="G45" s="592">
        <v>2.6427602653076923</v>
      </c>
      <c r="H45" s="592">
        <v>7.6943170733846147</v>
      </c>
      <c r="I45" s="592">
        <v>46.043401714807693</v>
      </c>
      <c r="J45" s="593">
        <v>56.380479053499997</v>
      </c>
      <c r="K45" s="594">
        <f>C45-G45</f>
        <v>-0.34139242805840864</v>
      </c>
      <c r="L45" s="594">
        <f t="shared" ref="L45:N77" si="8">D45-H45</f>
        <v>44.348754231792078</v>
      </c>
      <c r="M45" s="594">
        <f t="shared" si="8"/>
        <v>-27.636629111436154</v>
      </c>
      <c r="N45" s="595">
        <f t="shared" si="8"/>
        <v>16.370732692297523</v>
      </c>
      <c r="S45" s="499"/>
    </row>
    <row r="46" spans="1:19">
      <c r="B46" s="591" t="s">
        <v>38</v>
      </c>
      <c r="C46" s="592">
        <f>C45-C49-C53-C54</f>
        <v>9.1042269340975146E-3</v>
      </c>
      <c r="D46" s="592">
        <f t="shared" ref="D46" si="9">D45-D49-D53-D54</f>
        <v>0.24872250376313332</v>
      </c>
      <c r="E46" s="592">
        <f>E45-E49-E53-E54</f>
        <v>12.413848039283669</v>
      </c>
      <c r="F46" s="592">
        <f>F45-F49-F53-F54</f>
        <v>12.671674769980896</v>
      </c>
      <c r="G46" s="592">
        <v>0.33506795761538477</v>
      </c>
      <c r="H46" s="592">
        <v>1.0776303769230999E-2</v>
      </c>
      <c r="I46" s="592">
        <v>10.591503959269232</v>
      </c>
      <c r="J46" s="593">
        <v>10.937348220653845</v>
      </c>
      <c r="K46" s="594">
        <f>C46-G46</f>
        <v>-0.32596373068128726</v>
      </c>
      <c r="L46" s="594">
        <f>D46-H46</f>
        <v>0.23794619999390232</v>
      </c>
      <c r="M46" s="594">
        <f t="shared" si="8"/>
        <v>1.822344080014437</v>
      </c>
      <c r="N46" s="595">
        <f t="shared" si="8"/>
        <v>1.7343265493270508</v>
      </c>
      <c r="S46" s="499"/>
    </row>
    <row r="47" spans="1:19" s="596" customFormat="1">
      <c r="B47" s="597" t="s">
        <v>39</v>
      </c>
      <c r="C47" s="586">
        <f>IFERROR(VLOOKUP($B47,Summary!$A$80:$D$94,2,0),0)</f>
        <v>0</v>
      </c>
      <c r="D47" s="586">
        <f>IFERROR(VLOOKUP($B47,Summary!$A$80:$D$94,3,0),0)</f>
        <v>0.23338631816618913</v>
      </c>
      <c r="E47" s="586">
        <f>IFERROR(VLOOKUP($B47,Summary!$A$80:$D$94,4,0),0)</f>
        <v>12.252735965463229</v>
      </c>
      <c r="F47" s="599">
        <f t="shared" ref="F47:F59" si="10">SUM(C47:E47)</f>
        <v>12.486122283629419</v>
      </c>
      <c r="G47" s="586">
        <v>0.32124667396153844</v>
      </c>
      <c r="H47" s="586">
        <v>0</v>
      </c>
      <c r="I47" s="586">
        <v>10.44686509526923</v>
      </c>
      <c r="J47" s="599">
        <v>10.768111769230767</v>
      </c>
      <c r="K47" s="589">
        <f t="shared" ref="K47:K77" si="11">C47-G47</f>
        <v>-0.32124667396153844</v>
      </c>
      <c r="L47" s="589">
        <f t="shared" si="8"/>
        <v>0.23338631816618913</v>
      </c>
      <c r="M47" s="589">
        <f t="shared" si="8"/>
        <v>1.8058708701939992</v>
      </c>
      <c r="N47" s="600">
        <f t="shared" si="8"/>
        <v>1.7180105143986513</v>
      </c>
      <c r="O47" s="601"/>
      <c r="P47" s="499"/>
      <c r="Q47" s="602"/>
      <c r="R47" s="602"/>
    </row>
    <row r="48" spans="1:19" s="596" customFormat="1" hidden="1">
      <c r="B48" s="597" t="s">
        <v>40</v>
      </c>
      <c r="C48" s="586">
        <f>IFERROR(VLOOKUP($B48,Summary!$A$80:$D$94,2,0),0)</f>
        <v>0</v>
      </c>
      <c r="D48" s="586">
        <f>IFERROR(VLOOKUP($B48,Summary!$A$80:$D$94,3,0),0)</f>
        <v>0</v>
      </c>
      <c r="E48" s="586">
        <f>IFERROR(VLOOKUP($B48,Summary!$A$80:$D$94,4,0),0)</f>
        <v>0</v>
      </c>
      <c r="F48" s="599">
        <f t="shared" si="10"/>
        <v>0</v>
      </c>
      <c r="G48" s="586">
        <v>0</v>
      </c>
      <c r="H48" s="586">
        <v>0</v>
      </c>
      <c r="I48" s="586">
        <v>0</v>
      </c>
      <c r="J48" s="599">
        <v>0</v>
      </c>
      <c r="K48" s="589">
        <f t="shared" si="11"/>
        <v>0</v>
      </c>
      <c r="L48" s="589">
        <f t="shared" si="8"/>
        <v>0</v>
      </c>
      <c r="M48" s="589">
        <f t="shared" si="8"/>
        <v>0</v>
      </c>
      <c r="N48" s="600">
        <f t="shared" si="8"/>
        <v>0</v>
      </c>
      <c r="O48" s="601"/>
      <c r="P48" s="499"/>
      <c r="Q48" s="602"/>
      <c r="R48" s="602"/>
    </row>
    <row r="49" spans="2:18" s="596" customFormat="1" hidden="1">
      <c r="B49" s="597" t="s">
        <v>41</v>
      </c>
      <c r="C49" s="586">
        <f>IFERROR(VLOOKUP($B49,Summary!$A$80:$D$94,2,0),0)</f>
        <v>2.2922636103151861</v>
      </c>
      <c r="D49" s="586">
        <f>IFERROR(VLOOKUP($B49,Summary!$A$80:$D$94,3,0),0)</f>
        <v>51.794348801413562</v>
      </c>
      <c r="E49" s="586">
        <f>IFERROR(VLOOKUP($B49,Summary!$A$80:$D$94,4,0),0)</f>
        <v>5.9929245640878701</v>
      </c>
      <c r="F49" s="599">
        <f t="shared" si="10"/>
        <v>60.079536975816623</v>
      </c>
      <c r="G49" s="586">
        <v>2.3076923076923075</v>
      </c>
      <c r="H49" s="586">
        <v>7.6835407696153837</v>
      </c>
      <c r="I49" s="586">
        <v>35.451897755538461</v>
      </c>
      <c r="J49" s="599">
        <v>45.443130832846151</v>
      </c>
      <c r="K49" s="589">
        <f t="shared" si="11"/>
        <v>-1.5428697377121381E-2</v>
      </c>
      <c r="L49" s="589">
        <f t="shared" si="8"/>
        <v>44.110808031798179</v>
      </c>
      <c r="M49" s="589">
        <f t="shared" si="8"/>
        <v>-29.458973191450589</v>
      </c>
      <c r="N49" s="600">
        <f t="shared" si="8"/>
        <v>14.636406142970472</v>
      </c>
      <c r="O49" s="601"/>
      <c r="P49" s="499"/>
      <c r="Q49" s="602"/>
      <c r="R49" s="602"/>
    </row>
    <row r="50" spans="2:18" s="596" customFormat="1" hidden="1">
      <c r="B50" s="597" t="s">
        <v>42</v>
      </c>
      <c r="C50" s="586">
        <f>IFERROR(VLOOKUP($B50,Summary!$A$80:$D$94,2,0),0)</f>
        <v>0</v>
      </c>
      <c r="D50" s="586">
        <f>IFERROR(VLOOKUP($B50,Summary!$A$80:$D$94,3,0),0)</f>
        <v>0</v>
      </c>
      <c r="E50" s="586">
        <f>IFERROR(VLOOKUP($B50,Summary!$A$80:$D$94,4,0),0)</f>
        <v>0</v>
      </c>
      <c r="F50" s="599">
        <f t="shared" si="10"/>
        <v>0</v>
      </c>
      <c r="G50" s="586">
        <v>0</v>
      </c>
      <c r="H50" s="586">
        <v>0</v>
      </c>
      <c r="I50" s="586">
        <v>0</v>
      </c>
      <c r="J50" s="599">
        <v>0</v>
      </c>
      <c r="K50" s="589">
        <f t="shared" si="11"/>
        <v>0</v>
      </c>
      <c r="L50" s="589">
        <f t="shared" si="8"/>
        <v>0</v>
      </c>
      <c r="M50" s="589">
        <f t="shared" si="8"/>
        <v>0</v>
      </c>
      <c r="N50" s="600">
        <f t="shared" si="8"/>
        <v>0</v>
      </c>
      <c r="O50" s="601"/>
      <c r="P50" s="499"/>
      <c r="Q50" s="602"/>
      <c r="R50" s="602"/>
    </row>
    <row r="51" spans="2:18" s="596" customFormat="1" hidden="1">
      <c r="B51" s="597" t="s">
        <v>43</v>
      </c>
      <c r="C51" s="586">
        <f>IFERROR(VLOOKUP($B51,Summary!$A$80:$D$94,2,0),0)</f>
        <v>0</v>
      </c>
      <c r="D51" s="586">
        <f>IFERROR(VLOOKUP($B51,Summary!$A$80:$D$94,3,0),0)</f>
        <v>0</v>
      </c>
      <c r="E51" s="586">
        <f>IFERROR(VLOOKUP($B51,Summary!$A$80:$D$94,4,0),0)</f>
        <v>0</v>
      </c>
      <c r="F51" s="599">
        <f t="shared" ref="F51" si="12">SUM(C51:E51)</f>
        <v>0</v>
      </c>
      <c r="G51" s="586">
        <v>0</v>
      </c>
      <c r="H51" s="586">
        <v>0</v>
      </c>
      <c r="I51" s="586">
        <v>0</v>
      </c>
      <c r="J51" s="599">
        <v>0</v>
      </c>
      <c r="K51" s="589">
        <f t="shared" si="11"/>
        <v>0</v>
      </c>
      <c r="L51" s="589">
        <f t="shared" si="8"/>
        <v>0</v>
      </c>
      <c r="M51" s="589">
        <f t="shared" si="8"/>
        <v>0</v>
      </c>
      <c r="N51" s="600">
        <f t="shared" si="8"/>
        <v>0</v>
      </c>
      <c r="O51" s="601"/>
      <c r="P51" s="499"/>
      <c r="Q51" s="602"/>
      <c r="R51" s="602"/>
    </row>
    <row r="52" spans="2:18" s="596" customFormat="1">
      <c r="B52" s="597" t="s">
        <v>44</v>
      </c>
      <c r="C52" s="586">
        <f>IFERROR(VLOOKUP($B52,Summary!$A$80:$D$94,2,0),0)</f>
        <v>9.1042269340974209E-3</v>
      </c>
      <c r="D52" s="586">
        <f>IFERROR(VLOOKUP($B52,Summary!$A$80:$D$94,3,0),0)</f>
        <v>1.5336185596943649E-2</v>
      </c>
      <c r="E52" s="586">
        <f>IFERROR(VLOOKUP($B52,Summary!$A$80:$D$94,4,0),0)</f>
        <v>0.16111207382043935</v>
      </c>
      <c r="F52" s="599">
        <f t="shared" si="10"/>
        <v>0.18555248635148042</v>
      </c>
      <c r="G52" s="586">
        <v>1.3821283653846154E-2</v>
      </c>
      <c r="H52" s="586">
        <v>1.0776303769230769E-2</v>
      </c>
      <c r="I52" s="586">
        <v>0.14463886400000001</v>
      </c>
      <c r="J52" s="599">
        <v>0.16923645142307692</v>
      </c>
      <c r="K52" s="589">
        <f t="shared" si="11"/>
        <v>-4.7170567197487336E-3</v>
      </c>
      <c r="L52" s="589">
        <f t="shared" si="8"/>
        <v>4.5598818277128809E-3</v>
      </c>
      <c r="M52" s="589">
        <f t="shared" si="8"/>
        <v>1.6473209820439344E-2</v>
      </c>
      <c r="N52" s="600">
        <f t="shared" si="8"/>
        <v>1.63160349284035E-2</v>
      </c>
      <c r="O52" s="601"/>
      <c r="P52" s="499"/>
      <c r="Q52" s="602"/>
      <c r="R52" s="602"/>
    </row>
    <row r="53" spans="2:18" s="596" customFormat="1" hidden="1">
      <c r="B53" s="597" t="s">
        <v>45</v>
      </c>
      <c r="C53" s="586">
        <f>IFERROR(VLOOKUP($B53,Summary!$A$80:$D$94,2,0),0)</f>
        <v>0</v>
      </c>
      <c r="D53" s="586">
        <f>IFERROR(VLOOKUP($B53,Summary!$A$80:$D$94,3,0),0)</f>
        <v>0</v>
      </c>
      <c r="E53" s="586">
        <f>IFERROR(VLOOKUP($B53,Summary!$A$80:$D$94,4,0),0)</f>
        <v>0</v>
      </c>
      <c r="F53" s="599">
        <f t="shared" ref="F53" si="13">SUM(C53:E53)</f>
        <v>0</v>
      </c>
      <c r="G53" s="586">
        <v>0</v>
      </c>
      <c r="H53" s="586">
        <v>0</v>
      </c>
      <c r="I53" s="586">
        <v>0</v>
      </c>
      <c r="J53" s="599">
        <v>0</v>
      </c>
      <c r="K53" s="589">
        <f t="shared" si="11"/>
        <v>0</v>
      </c>
      <c r="L53" s="589">
        <f t="shared" si="8"/>
        <v>0</v>
      </c>
      <c r="M53" s="589">
        <f t="shared" si="8"/>
        <v>0</v>
      </c>
      <c r="N53" s="600">
        <f t="shared" si="8"/>
        <v>0</v>
      </c>
      <c r="O53" s="601"/>
      <c r="P53" s="847"/>
      <c r="Q53" s="602"/>
      <c r="R53" s="602"/>
    </row>
    <row r="54" spans="2:18" s="596" customFormat="1" hidden="1">
      <c r="B54" s="575" t="s">
        <v>46</v>
      </c>
      <c r="C54" s="586">
        <f>IFERROR(VLOOKUP($B54,Summary!$A$80:$D$94,2,0),0)</f>
        <v>0</v>
      </c>
      <c r="D54" s="586">
        <f>IFERROR(VLOOKUP($B54,Summary!$A$80:$D$94,3,0),0)</f>
        <v>0</v>
      </c>
      <c r="E54" s="586">
        <f>IFERROR(VLOOKUP($B54,Summary!$A$80:$D$94,4,0),0)</f>
        <v>0</v>
      </c>
      <c r="F54" s="599">
        <f t="shared" ref="F54" si="14">SUM(C54:E54)</f>
        <v>0</v>
      </c>
      <c r="G54" s="586">
        <v>0</v>
      </c>
      <c r="H54" s="586">
        <v>0</v>
      </c>
      <c r="I54" s="586">
        <v>0</v>
      </c>
      <c r="J54" s="599">
        <v>0</v>
      </c>
      <c r="K54" s="589">
        <f t="shared" ref="K54" si="15">C54-G54</f>
        <v>0</v>
      </c>
      <c r="L54" s="589">
        <f t="shared" ref="L54" si="16">D54-H54</f>
        <v>0</v>
      </c>
      <c r="M54" s="589">
        <f t="shared" ref="M54" si="17">E54-I54</f>
        <v>0</v>
      </c>
      <c r="N54" s="600">
        <f t="shared" ref="N54" si="18">F54-J54</f>
        <v>0</v>
      </c>
      <c r="O54" s="601"/>
      <c r="P54" s="499"/>
      <c r="Q54" s="602"/>
      <c r="R54" s="602"/>
    </row>
    <row r="55" spans="2:18" s="596" customFormat="1" hidden="1">
      <c r="B55" s="597" t="s">
        <v>47</v>
      </c>
      <c r="C55" s="586">
        <f>IFERROR(VLOOKUP($B55,Summary!$A$80:$D$94,2,0),0)</f>
        <v>0</v>
      </c>
      <c r="D55" s="586">
        <f>IFERROR(VLOOKUP($B55,Summary!$A$80:$D$94,3,0),0)</f>
        <v>0</v>
      </c>
      <c r="E55" s="586">
        <f>IFERROR(VLOOKUP($B55,Summary!$A$80:$D$94,4,0),0)</f>
        <v>0</v>
      </c>
      <c r="F55" s="599">
        <f>SUM(C55:E55)</f>
        <v>0</v>
      </c>
      <c r="G55" s="586">
        <v>0</v>
      </c>
      <c r="H55" s="586">
        <v>0</v>
      </c>
      <c r="I55" s="586">
        <v>0</v>
      </c>
      <c r="J55" s="599">
        <v>0</v>
      </c>
      <c r="K55" s="589">
        <f t="shared" si="11"/>
        <v>0</v>
      </c>
      <c r="L55" s="589">
        <f t="shared" si="8"/>
        <v>0</v>
      </c>
      <c r="M55" s="589">
        <f t="shared" si="8"/>
        <v>0</v>
      </c>
      <c r="N55" s="600">
        <f t="shared" si="8"/>
        <v>0</v>
      </c>
      <c r="O55" s="601"/>
      <c r="P55" s="499"/>
      <c r="Q55" s="602"/>
      <c r="R55" s="602"/>
    </row>
    <row r="56" spans="2:18" s="596" customFormat="1" hidden="1">
      <c r="B56" s="597" t="s">
        <v>48</v>
      </c>
      <c r="C56" s="586">
        <f>IFERROR(VLOOKUP($B56,Summary!$A$80:$D$94,2,0),0)</f>
        <v>0</v>
      </c>
      <c r="D56" s="586">
        <f>IFERROR(VLOOKUP($B56,Summary!$A$80:$D$94,3,0),0)</f>
        <v>0</v>
      </c>
      <c r="E56" s="586">
        <f>IFERROR(VLOOKUP($B56,Summary!$A$80:$D$94,4,0),0)</f>
        <v>0</v>
      </c>
      <c r="F56" s="884">
        <f t="shared" si="10"/>
        <v>0</v>
      </c>
      <c r="G56" s="586">
        <v>0</v>
      </c>
      <c r="H56" s="586">
        <v>0</v>
      </c>
      <c r="I56" s="586">
        <v>0</v>
      </c>
      <c r="J56" s="599">
        <v>0</v>
      </c>
      <c r="K56" s="589">
        <f t="shared" si="11"/>
        <v>0</v>
      </c>
      <c r="L56" s="589">
        <f t="shared" si="8"/>
        <v>0</v>
      </c>
      <c r="M56" s="589">
        <f t="shared" si="8"/>
        <v>0</v>
      </c>
      <c r="N56" s="600">
        <f t="shared" si="8"/>
        <v>0</v>
      </c>
      <c r="O56" s="601"/>
      <c r="P56" s="499"/>
      <c r="Q56" s="602"/>
      <c r="R56" s="602"/>
    </row>
    <row r="57" spans="2:18" s="596" customFormat="1" hidden="1">
      <c r="B57" s="597" t="s">
        <v>49</v>
      </c>
      <c r="C57" s="586">
        <f>IFERROR(VLOOKUP($B57,Summary!$A$80:$D$94,2,0),0)</f>
        <v>0</v>
      </c>
      <c r="D57" s="586">
        <f>IFERROR(VLOOKUP($B57,Summary!$A$80:$D$94,3,0),0)</f>
        <v>0</v>
      </c>
      <c r="E57" s="586">
        <f>IFERROR(VLOOKUP($B57,Summary!$A$80:$D$94,4,0),0)</f>
        <v>0</v>
      </c>
      <c r="F57" s="599">
        <f t="shared" ref="F57" si="19">SUM(C57:E57)</f>
        <v>0</v>
      </c>
      <c r="G57" s="586">
        <v>0</v>
      </c>
      <c r="H57" s="586">
        <v>0</v>
      </c>
      <c r="I57" s="586">
        <v>0</v>
      </c>
      <c r="J57" s="599">
        <v>0</v>
      </c>
      <c r="K57" s="589">
        <f t="shared" si="11"/>
        <v>0</v>
      </c>
      <c r="L57" s="589">
        <f t="shared" si="8"/>
        <v>0</v>
      </c>
      <c r="M57" s="589">
        <f t="shared" si="8"/>
        <v>0</v>
      </c>
      <c r="N57" s="600">
        <f t="shared" si="8"/>
        <v>0</v>
      </c>
      <c r="O57" s="601"/>
      <c r="P57" s="499"/>
      <c r="Q57" s="602"/>
      <c r="R57" s="602"/>
    </row>
    <row r="58" spans="2:18" s="596" customFormat="1" hidden="1">
      <c r="B58" s="597" t="s">
        <v>18</v>
      </c>
      <c r="C58" s="586">
        <f>IFERROR(VLOOKUP($B58,Summary!$A$80:$D$94,2,0),0)</f>
        <v>0</v>
      </c>
      <c r="D58" s="586">
        <f>IFERROR(VLOOKUP($B58,Summary!$A$80:$D$94,3,0),0)</f>
        <v>0</v>
      </c>
      <c r="E58" s="586">
        <f>IFERROR(VLOOKUP($B58,Summary!$A$80:$D$94,4,0),0)</f>
        <v>0</v>
      </c>
      <c r="F58" s="599">
        <f t="shared" ref="F58" si="20">SUM(C58:E58)</f>
        <v>0</v>
      </c>
      <c r="G58" s="586">
        <v>0</v>
      </c>
      <c r="H58" s="586">
        <v>0</v>
      </c>
      <c r="I58" s="586">
        <v>0</v>
      </c>
      <c r="J58" s="599">
        <v>0</v>
      </c>
      <c r="K58" s="589">
        <f t="shared" ref="K58" si="21">C58-G58</f>
        <v>0</v>
      </c>
      <c r="L58" s="589">
        <f t="shared" ref="L58" si="22">D58-H58</f>
        <v>0</v>
      </c>
      <c r="M58" s="589">
        <f t="shared" ref="M58" si="23">E58-I58</f>
        <v>0</v>
      </c>
      <c r="N58" s="600">
        <f t="shared" ref="N58" si="24">F58-J58</f>
        <v>0</v>
      </c>
      <c r="O58" s="601"/>
      <c r="P58" s="499"/>
      <c r="Q58" s="499"/>
      <c r="R58" s="800"/>
    </row>
    <row r="59" spans="2:18" s="596" customFormat="1" hidden="1">
      <c r="B59" s="597" t="s">
        <v>50</v>
      </c>
      <c r="C59" s="586">
        <f>IFERROR(VLOOKUP($B59,Summary!$A$80:$D$94,2,0),0)</f>
        <v>0</v>
      </c>
      <c r="D59" s="586">
        <f>IFERROR(VLOOKUP($B59,Summary!$A$80:$D$94,3,0),0)</f>
        <v>0</v>
      </c>
      <c r="E59" s="586">
        <f>IFERROR(VLOOKUP($B59,Summary!$A$80:$D$94,4,0),0)</f>
        <v>0</v>
      </c>
      <c r="F59" s="599">
        <f t="shared" si="10"/>
        <v>0</v>
      </c>
      <c r="G59" s="586">
        <v>0</v>
      </c>
      <c r="H59" s="586">
        <v>0</v>
      </c>
      <c r="I59" s="586">
        <v>0</v>
      </c>
      <c r="J59" s="599">
        <v>0</v>
      </c>
      <c r="K59" s="589">
        <f t="shared" si="11"/>
        <v>0</v>
      </c>
      <c r="L59" s="589">
        <f t="shared" si="8"/>
        <v>0</v>
      </c>
      <c r="M59" s="589">
        <f t="shared" si="8"/>
        <v>0</v>
      </c>
      <c r="N59" s="600">
        <f t="shared" si="8"/>
        <v>0</v>
      </c>
      <c r="O59" s="601"/>
      <c r="P59" s="499"/>
      <c r="Q59" s="602"/>
      <c r="R59" s="602"/>
    </row>
    <row r="60" spans="2:18" s="596" customFormat="1">
      <c r="B60" s="603"/>
      <c r="C60" s="604"/>
      <c r="D60" s="604"/>
      <c r="E60" s="605"/>
      <c r="F60" s="606"/>
      <c r="G60" s="605"/>
      <c r="H60" s="605"/>
      <c r="I60" s="605"/>
      <c r="J60" s="606"/>
      <c r="K60" s="605">
        <f t="shared" si="11"/>
        <v>0</v>
      </c>
      <c r="L60" s="605">
        <f t="shared" si="8"/>
        <v>0</v>
      </c>
      <c r="M60" s="605">
        <f t="shared" si="8"/>
        <v>0</v>
      </c>
      <c r="N60" s="607"/>
      <c r="O60" s="601"/>
      <c r="P60" s="499"/>
      <c r="Q60" s="602"/>
      <c r="R60" s="602"/>
    </row>
    <row r="61" spans="2:18" s="596" customFormat="1" hidden="1">
      <c r="B61" s="603" t="s">
        <v>19</v>
      </c>
      <c r="C61" s="604">
        <f>SUM(C63:C73)</f>
        <v>2.3351174225405922</v>
      </c>
      <c r="D61" s="604">
        <f t="shared" ref="D61" si="25">SUM(D63:D73)</f>
        <v>33.506280601833808</v>
      </c>
      <c r="E61" s="605">
        <f>SUM(E63:E73)</f>
        <v>9.2846846043553004</v>
      </c>
      <c r="F61" s="606">
        <f>SUM(F63:F73)</f>
        <v>45.126082628729705</v>
      </c>
      <c r="G61" s="604">
        <v>2.6520171800384613</v>
      </c>
      <c r="H61" s="604">
        <v>6.240462281269231</v>
      </c>
      <c r="I61" s="605">
        <v>54.770044503730766</v>
      </c>
      <c r="J61" s="606">
        <v>63.66252396503846</v>
      </c>
      <c r="K61" s="605">
        <f t="shared" si="11"/>
        <v>-0.31689975749786914</v>
      </c>
      <c r="L61" s="605">
        <f t="shared" si="8"/>
        <v>27.265818320564577</v>
      </c>
      <c r="M61" s="605">
        <f t="shared" si="8"/>
        <v>-45.485359899375467</v>
      </c>
      <c r="N61" s="607">
        <f t="shared" si="8"/>
        <v>-18.536441336308755</v>
      </c>
      <c r="O61" s="601"/>
      <c r="P61" s="499"/>
      <c r="Q61" s="602"/>
      <c r="R61" s="602"/>
    </row>
    <row r="62" spans="2:18" s="596" customFormat="1">
      <c r="B62" s="603" t="s">
        <v>51</v>
      </c>
      <c r="C62" s="604">
        <f>C61-C69-C73-C70</f>
        <v>4.2853812225406074E-2</v>
      </c>
      <c r="D62" s="604">
        <f t="shared" ref="D62:E62" si="26">D61-D69-D73-D70</f>
        <v>0.14358121906398935</v>
      </c>
      <c r="E62" s="604">
        <f t="shared" si="26"/>
        <v>7.7827467247755484</v>
      </c>
      <c r="F62" s="604">
        <f>F61-F69-F73-F70</f>
        <v>7.9691817560649483</v>
      </c>
      <c r="G62" s="604">
        <v>0.34432487234615383</v>
      </c>
      <c r="H62" s="604">
        <v>0.84315458896153839</v>
      </c>
      <c r="I62" s="605">
        <v>17.031913670884613</v>
      </c>
      <c r="J62" s="606">
        <v>18.219393132192309</v>
      </c>
      <c r="K62" s="605">
        <f t="shared" si="11"/>
        <v>-0.30147106012074776</v>
      </c>
      <c r="L62" s="605">
        <f t="shared" si="8"/>
        <v>-0.69957336989754904</v>
      </c>
      <c r="M62" s="605">
        <f t="shared" si="8"/>
        <v>-9.2491669461090638</v>
      </c>
      <c r="N62" s="607">
        <f t="shared" si="8"/>
        <v>-10.250211376127361</v>
      </c>
      <c r="O62" s="601"/>
      <c r="P62" s="499"/>
      <c r="Q62" s="602"/>
      <c r="R62" s="602"/>
    </row>
    <row r="63" spans="2:18" s="596" customFormat="1">
      <c r="B63" s="597" t="s">
        <v>52</v>
      </c>
      <c r="C63" s="586">
        <f>-IFERROR(VLOOKUP($B63,Summary!$A$95:$D$104,2,0),0)</f>
        <v>0</v>
      </c>
      <c r="D63" s="586">
        <f>-IFERROR(VLOOKUP($B63,Summary!$A$95:$D$104,3,0),0)</f>
        <v>0</v>
      </c>
      <c r="E63" s="586">
        <f>-IFERROR(VLOOKUP($B63,Summary!$A$95:$D$104,4,0),0)</f>
        <v>0</v>
      </c>
      <c r="F63" s="599">
        <f t="shared" ref="F63:F73" si="27">SUM(C63:E63)</f>
        <v>0</v>
      </c>
      <c r="G63" s="586">
        <v>0</v>
      </c>
      <c r="H63" s="586">
        <v>0</v>
      </c>
      <c r="I63" s="586">
        <v>0.57191903365384611</v>
      </c>
      <c r="J63" s="599">
        <v>0.57191903365384611</v>
      </c>
      <c r="K63" s="589">
        <f t="shared" si="11"/>
        <v>0</v>
      </c>
      <c r="L63" s="589">
        <f t="shared" si="8"/>
        <v>0</v>
      </c>
      <c r="M63" s="589">
        <f t="shared" si="8"/>
        <v>-0.57191903365384611</v>
      </c>
      <c r="N63" s="600">
        <f t="shared" si="8"/>
        <v>-0.57191903365384611</v>
      </c>
      <c r="O63" s="601"/>
      <c r="P63" s="499"/>
      <c r="Q63" s="602"/>
      <c r="R63" s="602"/>
    </row>
    <row r="64" spans="2:18" s="596" customFormat="1">
      <c r="B64" s="597" t="s">
        <v>21</v>
      </c>
      <c r="C64" s="586">
        <f>-IFERROR(VLOOKUP($B64,Summary!$A$95:$D$104,2,0),0)</f>
        <v>0</v>
      </c>
      <c r="D64" s="586">
        <f>-IFERROR(VLOOKUP($B64,Summary!$A$95:$D$104,3,0),0)</f>
        <v>0</v>
      </c>
      <c r="E64" s="586">
        <f>-IFERROR(VLOOKUP($B64,Summary!$A$95:$D$104,4,0),0)</f>
        <v>0</v>
      </c>
      <c r="F64" s="599">
        <f t="shared" si="27"/>
        <v>0</v>
      </c>
      <c r="G64" s="586">
        <v>0</v>
      </c>
      <c r="H64" s="586">
        <v>0</v>
      </c>
      <c r="I64" s="586">
        <v>0</v>
      </c>
      <c r="J64" s="599">
        <v>0</v>
      </c>
      <c r="K64" s="589">
        <f t="shared" si="11"/>
        <v>0</v>
      </c>
      <c r="L64" s="589">
        <f t="shared" si="8"/>
        <v>0</v>
      </c>
      <c r="M64" s="589">
        <f t="shared" si="8"/>
        <v>0</v>
      </c>
      <c r="N64" s="600">
        <f t="shared" si="8"/>
        <v>0</v>
      </c>
      <c r="O64" s="601"/>
      <c r="P64" s="499"/>
      <c r="Q64" s="602"/>
      <c r="R64" s="602"/>
    </row>
    <row r="65" spans="2:22" ht="11.1" customHeight="1">
      <c r="B65" s="575" t="s">
        <v>22</v>
      </c>
      <c r="C65" s="586">
        <f>-IFERROR(VLOOKUP($B65,Summary!$A$95:$D$104,2,0),0)</f>
        <v>0</v>
      </c>
      <c r="D65" s="586">
        <f>-IFERROR(VLOOKUP($B65,Summary!$A$95:$D$104,3,0),0)</f>
        <v>0</v>
      </c>
      <c r="E65" s="586">
        <f>-IFERROR(VLOOKUP($B65,Summary!$A$95:$D$104,4,0),0)</f>
        <v>4.813588368252149</v>
      </c>
      <c r="F65" s="599">
        <f t="shared" si="27"/>
        <v>4.813588368252149</v>
      </c>
      <c r="G65" s="586">
        <v>0</v>
      </c>
      <c r="H65" s="586">
        <v>0</v>
      </c>
      <c r="I65" s="586">
        <v>0.27192800630769232</v>
      </c>
      <c r="J65" s="599">
        <v>0.27192800630769232</v>
      </c>
      <c r="K65" s="587">
        <f t="shared" si="11"/>
        <v>0</v>
      </c>
      <c r="L65" s="587">
        <f t="shared" si="8"/>
        <v>0</v>
      </c>
      <c r="M65" s="587">
        <f t="shared" si="8"/>
        <v>4.5416603619444569</v>
      </c>
      <c r="N65" s="590">
        <f t="shared" si="8"/>
        <v>4.5416603619444569</v>
      </c>
    </row>
    <row r="66" spans="2:22">
      <c r="B66" s="575" t="s">
        <v>53</v>
      </c>
      <c r="C66" s="586">
        <f>-IFERROR(VLOOKUP($B66,Summary!$A$95:$D$104,2,0),0)</f>
        <v>4.2853812225405921E-2</v>
      </c>
      <c r="D66" s="586">
        <f>-IFERROR(VLOOKUP($B66,Summary!$A$95:$D$104,3,0),0)</f>
        <v>0.14358121906399238</v>
      </c>
      <c r="E66" s="586">
        <f>-IFERROR(VLOOKUP($B66,Summary!$A$95:$D$104,4,0),0)</f>
        <v>2.896552950678128</v>
      </c>
      <c r="F66" s="599">
        <f t="shared" si="27"/>
        <v>3.0829879819675261</v>
      </c>
      <c r="G66" s="586">
        <v>6.0281801692307693E-2</v>
      </c>
      <c r="H66" s="586">
        <v>0.8431545889615385</v>
      </c>
      <c r="I66" s="586">
        <v>2.6554315853461534</v>
      </c>
      <c r="J66" s="599">
        <v>3.5588679759999997</v>
      </c>
      <c r="K66" s="587">
        <f t="shared" si="11"/>
        <v>-1.7427989466901772E-2</v>
      </c>
      <c r="L66" s="587">
        <f t="shared" si="8"/>
        <v>-0.69957336989754615</v>
      </c>
      <c r="M66" s="587">
        <f t="shared" si="8"/>
        <v>0.24112136533197459</v>
      </c>
      <c r="N66" s="590">
        <f t="shared" si="8"/>
        <v>-0.47587999403247361</v>
      </c>
    </row>
    <row r="67" spans="2:22">
      <c r="B67" s="575" t="s">
        <v>54</v>
      </c>
      <c r="C67" s="586">
        <f>-IFERROR(VLOOKUP($B67,Summary!$A$95:$D$104,2,0),0)</f>
        <v>0</v>
      </c>
      <c r="D67" s="586">
        <f>-IFERROR(VLOOKUP($B67,Summary!$A$95:$D$104,3,0),0)</f>
        <v>0</v>
      </c>
      <c r="E67" s="586">
        <f>-IFERROR(VLOOKUP($B67,Summary!$A$95:$D$104,4,0),0)</f>
        <v>7.2605405845272211E-2</v>
      </c>
      <c r="F67" s="599">
        <f t="shared" ref="F67:F68" si="28">SUM(C67:E67)</f>
        <v>7.2605405845272211E-2</v>
      </c>
      <c r="G67" s="586">
        <v>0</v>
      </c>
      <c r="H67" s="586">
        <v>0</v>
      </c>
      <c r="I67" s="586">
        <v>0.36661538461538462</v>
      </c>
      <c r="J67" s="599">
        <v>0.36661538461538462</v>
      </c>
      <c r="K67" s="587">
        <f t="shared" ref="K67:K68" si="29">C67-G67</f>
        <v>0</v>
      </c>
      <c r="L67" s="587">
        <f t="shared" ref="L67:L68" si="30">D67-H67</f>
        <v>0</v>
      </c>
      <c r="M67" s="587">
        <f t="shared" ref="M67:M68" si="31">E67-I67</f>
        <v>-0.29400997877011242</v>
      </c>
      <c r="N67" s="590">
        <f t="shared" ref="N67:N68" si="32">F67-J67</f>
        <v>-0.29400997877011242</v>
      </c>
    </row>
    <row r="68" spans="2:22">
      <c r="B68" s="575" t="s">
        <v>55</v>
      </c>
      <c r="C68" s="586">
        <f>-IFERROR(VLOOKUP($B68,Summary!$A$95:$D$104,2,0),0)</f>
        <v>0</v>
      </c>
      <c r="D68" s="586">
        <f>-IFERROR(VLOOKUP($B68,Summary!$A$95:$D$104,3,0),0)</f>
        <v>0</v>
      </c>
      <c r="E68" s="586">
        <f>-IFERROR(VLOOKUP($B68,Summary!$A$95:$D$104,4,0),0)</f>
        <v>0</v>
      </c>
      <c r="F68" s="599">
        <f t="shared" si="28"/>
        <v>0</v>
      </c>
      <c r="G68" s="586">
        <v>0.28404307065384615</v>
      </c>
      <c r="H68" s="586">
        <v>0</v>
      </c>
      <c r="I68" s="586">
        <v>13.166019660961538</v>
      </c>
      <c r="J68" s="599">
        <v>13.450062731615384</v>
      </c>
      <c r="K68" s="587">
        <f t="shared" si="29"/>
        <v>-0.28404307065384615</v>
      </c>
      <c r="L68" s="587">
        <f t="shared" si="30"/>
        <v>0</v>
      </c>
      <c r="M68" s="587">
        <f t="shared" si="31"/>
        <v>-13.166019660961538</v>
      </c>
      <c r="N68" s="590">
        <f t="shared" si="32"/>
        <v>-13.450062731615384</v>
      </c>
      <c r="S68" s="497"/>
    </row>
    <row r="69" spans="2:22" hidden="1">
      <c r="B69" s="597" t="s">
        <v>56</v>
      </c>
      <c r="C69" s="586">
        <f>-IFERROR(VLOOKUP($B69,Summary!$A$95:$D$104,2,0),0)</f>
        <v>0</v>
      </c>
      <c r="D69" s="586">
        <f>-IFERROR(VLOOKUP($B69,Summary!$A$95:$D$104,3,0),0)</f>
        <v>0</v>
      </c>
      <c r="E69" s="586">
        <f>-IFERROR(VLOOKUP($B69,Summary!$A$95:$D$104,4,0),0)</f>
        <v>0</v>
      </c>
      <c r="F69" s="599">
        <f t="shared" ref="F69" si="33">SUM(C69:E69)</f>
        <v>0</v>
      </c>
      <c r="G69" s="586">
        <v>0</v>
      </c>
      <c r="H69" s="586">
        <v>0</v>
      </c>
      <c r="I69" s="586">
        <v>0</v>
      </c>
      <c r="J69" s="599">
        <v>0</v>
      </c>
      <c r="K69" s="587">
        <f t="shared" si="11"/>
        <v>0</v>
      </c>
      <c r="L69" s="587">
        <f t="shared" si="8"/>
        <v>0</v>
      </c>
      <c r="M69" s="587">
        <f t="shared" si="8"/>
        <v>0</v>
      </c>
      <c r="N69" s="590">
        <f t="shared" si="8"/>
        <v>0</v>
      </c>
    </row>
    <row r="70" spans="2:22" hidden="1">
      <c r="B70" s="575" t="s">
        <v>57</v>
      </c>
      <c r="C70" s="586">
        <f>-IFERROR(VLOOKUP($B70,Summary!$A$95:$D$104,2,0),0)</f>
        <v>0</v>
      </c>
      <c r="D70" s="586">
        <f>-IFERROR(VLOOKUP($B70,Summary!$A$95:$D$104,3,0),0)</f>
        <v>0</v>
      </c>
      <c r="E70" s="586">
        <f>-IFERROR(VLOOKUP($B70,Summary!$A$95:$D$104,4,0),0)</f>
        <v>0</v>
      </c>
      <c r="F70" s="599">
        <f t="shared" ref="F70" si="34">SUM(C70:E70)</f>
        <v>0</v>
      </c>
      <c r="G70" s="586">
        <v>0</v>
      </c>
      <c r="H70" s="586">
        <v>0</v>
      </c>
      <c r="I70" s="586">
        <v>0</v>
      </c>
      <c r="J70" s="599">
        <v>0</v>
      </c>
      <c r="K70" s="587">
        <f t="shared" ref="K70" si="35">C70-G70</f>
        <v>0</v>
      </c>
      <c r="L70" s="587">
        <f t="shared" ref="L70" si="36">D70-H70</f>
        <v>0</v>
      </c>
      <c r="M70" s="587">
        <f t="shared" ref="M70" si="37">E70-I70</f>
        <v>0</v>
      </c>
      <c r="N70" s="590">
        <f t="shared" ref="N70" si="38">F70-J70</f>
        <v>0</v>
      </c>
    </row>
    <row r="71" spans="2:22" hidden="1">
      <c r="B71" s="575" t="s">
        <v>47</v>
      </c>
      <c r="C71" s="586">
        <f>-IFERROR(VLOOKUP($B71,Summary!$A$95:$D$104,2,0),0)</f>
        <v>0</v>
      </c>
      <c r="D71" s="586">
        <f>-IFERROR(VLOOKUP($B71,Summary!$A$95:$D$104,3,0),0)</f>
        <v>0</v>
      </c>
      <c r="E71" s="586">
        <f>-IFERROR(VLOOKUP($B71,Summary!$A$95:$D$104,4,0),0)</f>
        <v>0</v>
      </c>
      <c r="F71" s="599">
        <f t="shared" si="27"/>
        <v>0</v>
      </c>
      <c r="G71" s="586">
        <v>0</v>
      </c>
      <c r="H71" s="586">
        <v>0</v>
      </c>
      <c r="I71" s="586">
        <v>0</v>
      </c>
      <c r="J71" s="599">
        <v>0</v>
      </c>
      <c r="K71" s="587">
        <f t="shared" si="11"/>
        <v>0</v>
      </c>
      <c r="L71" s="587">
        <f t="shared" si="8"/>
        <v>0</v>
      </c>
      <c r="M71" s="587">
        <f t="shared" si="8"/>
        <v>0</v>
      </c>
      <c r="N71" s="590">
        <f t="shared" si="8"/>
        <v>0</v>
      </c>
    </row>
    <row r="72" spans="2:22" hidden="1">
      <c r="B72" s="575" t="s">
        <v>58</v>
      </c>
      <c r="C72" s="586">
        <f>-IFERROR(VLOOKUP($B72,Summary!$A$95:$D$106,2,0),0)</f>
        <v>0</v>
      </c>
      <c r="D72" s="586">
        <f>-IFERROR(VLOOKUP($B72,Summary!$A$95:$D$106,3,0),0)</f>
        <v>0</v>
      </c>
      <c r="E72" s="586">
        <f>-IFERROR(VLOOKUP($B72,Summary!$A$95:$D$106,4,0),0)</f>
        <v>0</v>
      </c>
      <c r="F72" s="599">
        <f t="shared" ref="F72" si="39">SUM(C72:E72)</f>
        <v>0</v>
      </c>
      <c r="G72" s="586">
        <v>0</v>
      </c>
      <c r="H72" s="586">
        <v>0</v>
      </c>
      <c r="I72" s="586">
        <v>0</v>
      </c>
      <c r="J72" s="599">
        <v>0</v>
      </c>
      <c r="K72" s="587">
        <f t="shared" si="11"/>
        <v>0</v>
      </c>
      <c r="L72" s="587">
        <f t="shared" si="8"/>
        <v>0</v>
      </c>
      <c r="M72" s="587">
        <f t="shared" si="8"/>
        <v>0</v>
      </c>
      <c r="N72" s="590">
        <f t="shared" si="8"/>
        <v>0</v>
      </c>
    </row>
    <row r="73" spans="2:22" hidden="1">
      <c r="B73" s="575" t="s">
        <v>59</v>
      </c>
      <c r="C73" s="586">
        <f>-IFERROR(VLOOKUP($B73,Summary!$A$95:$D$104,2,0),0)</f>
        <v>2.2922636103151861</v>
      </c>
      <c r="D73" s="586">
        <f>-IFERROR(VLOOKUP($B73,Summary!$A$95:$D$104,3,0),0)</f>
        <v>33.362699382769819</v>
      </c>
      <c r="E73" s="586">
        <f>-IFERROR(VLOOKUP($B73,Summary!$A$95:$D$104,4,0),0)</f>
        <v>1.5019378795797518</v>
      </c>
      <c r="F73" s="599">
        <f t="shared" si="27"/>
        <v>37.156900872664757</v>
      </c>
      <c r="G73" s="586">
        <v>2.3076923076923075</v>
      </c>
      <c r="H73" s="586">
        <v>5.3973076923076926</v>
      </c>
      <c r="I73" s="586">
        <v>37.738130832846153</v>
      </c>
      <c r="J73" s="599">
        <v>45.443130832846151</v>
      </c>
      <c r="K73" s="587">
        <f t="shared" si="11"/>
        <v>-1.5428697377121381E-2</v>
      </c>
      <c r="L73" s="587">
        <f t="shared" si="8"/>
        <v>27.965391690462127</v>
      </c>
      <c r="M73" s="587">
        <f t="shared" si="8"/>
        <v>-36.236192953266404</v>
      </c>
      <c r="N73" s="590">
        <f t="shared" si="8"/>
        <v>-8.2862299601813945</v>
      </c>
      <c r="S73" s="497"/>
    </row>
    <row r="74" spans="2:22" hidden="1">
      <c r="B74" s="575"/>
      <c r="C74" s="586"/>
      <c r="D74" s="586"/>
      <c r="E74" s="586"/>
      <c r="F74" s="599"/>
      <c r="G74" s="586"/>
      <c r="H74" s="586"/>
      <c r="I74" s="586"/>
      <c r="J74" s="599"/>
      <c r="K74" s="587"/>
      <c r="L74" s="587"/>
      <c r="M74" s="587"/>
      <c r="N74" s="590"/>
      <c r="S74" s="497"/>
    </row>
    <row r="75" spans="2:22" hidden="1">
      <c r="B75" s="575" t="s">
        <v>60</v>
      </c>
      <c r="C75" s="586"/>
      <c r="D75" s="586"/>
      <c r="E75" s="586"/>
      <c r="F75" s="599"/>
      <c r="G75" s="586"/>
      <c r="H75" s="586"/>
      <c r="I75" s="586"/>
      <c r="J75" s="599"/>
      <c r="K75" s="587">
        <f t="shared" ref="K75" si="40">C75-G75</f>
        <v>0</v>
      </c>
      <c r="L75" s="587">
        <f t="shared" ref="L75" si="41">D75-H75</f>
        <v>0</v>
      </c>
      <c r="M75" s="587">
        <f t="shared" ref="M75" si="42">E75-I75</f>
        <v>0</v>
      </c>
      <c r="N75" s="590">
        <f t="shared" ref="N75" si="43">F75-J75</f>
        <v>0</v>
      </c>
      <c r="S75" s="497"/>
    </row>
    <row r="76" spans="2:22" ht="13.8" thickBot="1">
      <c r="B76" s="575"/>
      <c r="C76" s="598"/>
      <c r="D76" s="598"/>
      <c r="E76" s="589"/>
      <c r="F76" s="599"/>
      <c r="G76" s="587"/>
      <c r="H76" s="587"/>
      <c r="I76" s="587"/>
      <c r="J76" s="599"/>
      <c r="K76" s="587">
        <f t="shared" si="11"/>
        <v>0</v>
      </c>
      <c r="L76" s="587">
        <f t="shared" si="8"/>
        <v>0</v>
      </c>
      <c r="M76" s="587">
        <f t="shared" si="8"/>
        <v>0</v>
      </c>
      <c r="N76" s="590"/>
    </row>
    <row r="77" spans="2:22" ht="13.8" thickBot="1">
      <c r="B77" s="608" t="s">
        <v>24</v>
      </c>
      <c r="C77" s="609">
        <f>C43+C45-C61+C75</f>
        <v>6.9561698044543627</v>
      </c>
      <c r="D77" s="609">
        <f t="shared" ref="D77:F77" si="44">D43+D45-D61+D75</f>
        <v>28.296621027138954</v>
      </c>
      <c r="E77" s="609">
        <f t="shared" si="44"/>
        <v>77.367835073299517</v>
      </c>
      <c r="F77" s="609">
        <f t="shared" si="44"/>
        <v>112.62062590489285</v>
      </c>
      <c r="G77" s="609">
        <v>6.9899193897456708</v>
      </c>
      <c r="H77" s="609">
        <v>9.7598303237960629</v>
      </c>
      <c r="I77" s="610">
        <v>68.245747074283287</v>
      </c>
      <c r="J77" s="611">
        <v>84.995496787825019</v>
      </c>
      <c r="K77" s="609">
        <f t="shared" si="11"/>
        <v>-3.3749585291308115E-2</v>
      </c>
      <c r="L77" s="609">
        <f t="shared" si="8"/>
        <v>18.536790703342891</v>
      </c>
      <c r="M77" s="610">
        <f t="shared" si="8"/>
        <v>9.1220879990162302</v>
      </c>
      <c r="N77" s="612">
        <f t="shared" si="8"/>
        <v>27.625129117067829</v>
      </c>
      <c r="O77" s="570">
        <f>F77-Summary!E107</f>
        <v>-49.525551961324908</v>
      </c>
      <c r="S77" s="497"/>
    </row>
    <row r="78" spans="2:22" hidden="1">
      <c r="B78" s="591"/>
      <c r="C78" s="592"/>
      <c r="D78" s="592"/>
      <c r="E78" s="594"/>
      <c r="F78" s="593"/>
      <c r="G78" s="613"/>
      <c r="H78" s="594"/>
      <c r="I78" s="594"/>
      <c r="J78" s="595"/>
      <c r="K78" s="594"/>
      <c r="L78" s="594"/>
      <c r="M78" s="594"/>
      <c r="N78" s="595"/>
      <c r="P78" s="800"/>
      <c r="Q78" s="800"/>
      <c r="R78" s="800"/>
      <c r="S78" s="800"/>
    </row>
    <row r="79" spans="2:22" ht="13.8" hidden="1" thickBot="1">
      <c r="B79" s="591" t="s">
        <v>61</v>
      </c>
      <c r="C79" s="592"/>
      <c r="D79" s="592"/>
      <c r="E79" s="594"/>
      <c r="F79" s="593"/>
      <c r="G79" s="613"/>
      <c r="H79" s="594"/>
      <c r="I79" s="594"/>
      <c r="J79" s="595"/>
      <c r="K79" s="587"/>
      <c r="L79" s="587"/>
      <c r="M79" s="587"/>
      <c r="N79" s="590"/>
      <c r="S79" s="497"/>
    </row>
    <row r="80" spans="2:22" ht="13.8" hidden="1" thickBot="1">
      <c r="B80" s="608" t="s">
        <v>62</v>
      </c>
      <c r="C80" s="609">
        <f>C77-C79</f>
        <v>6.9561698044543627</v>
      </c>
      <c r="D80" s="609">
        <f t="shared" ref="D80:F80" si="45">D77-D79</f>
        <v>28.296621027138954</v>
      </c>
      <c r="E80" s="610">
        <f t="shared" si="45"/>
        <v>77.367835073299517</v>
      </c>
      <c r="F80" s="611">
        <f t="shared" si="45"/>
        <v>112.62062590489285</v>
      </c>
      <c r="G80" s="609">
        <v>6.9991763044764408</v>
      </c>
      <c r="H80" s="609">
        <v>8.30597553168068</v>
      </c>
      <c r="I80" s="610">
        <v>76.972389863206345</v>
      </c>
      <c r="J80" s="611">
        <v>92.277541699363439</v>
      </c>
      <c r="K80" s="609"/>
      <c r="L80" s="609"/>
      <c r="M80" s="610"/>
      <c r="N80" s="612"/>
      <c r="S80" s="497"/>
      <c r="T80" s="497"/>
      <c r="U80" s="497"/>
      <c r="V80" s="497"/>
    </row>
    <row r="81" spans="1:22">
      <c r="B81" s="591"/>
      <c r="C81" s="592"/>
      <c r="D81" s="592"/>
      <c r="E81" s="594"/>
      <c r="F81" s="593"/>
      <c r="G81" s="613"/>
      <c r="H81" s="594"/>
      <c r="I81" s="594"/>
      <c r="J81" s="595"/>
      <c r="K81" s="594"/>
      <c r="L81" s="594"/>
      <c r="M81" s="594"/>
      <c r="N81" s="595"/>
      <c r="P81" s="800"/>
      <c r="S81" s="497"/>
      <c r="T81" s="497"/>
      <c r="U81" s="497"/>
      <c r="V81" s="497"/>
    </row>
    <row r="82" spans="1:22">
      <c r="B82" s="591"/>
      <c r="C82" s="592"/>
      <c r="D82" s="592"/>
      <c r="E82" s="594"/>
      <c r="F82" s="593"/>
      <c r="G82" s="613"/>
      <c r="H82" s="594"/>
      <c r="I82" s="594"/>
      <c r="J82" s="595"/>
      <c r="K82" s="594"/>
      <c r="L82" s="594"/>
      <c r="M82" s="594"/>
      <c r="N82" s="595"/>
    </row>
    <row r="83" spans="1:22" ht="26.4">
      <c r="B83" s="614" t="s">
        <v>63</v>
      </c>
      <c r="C83" s="592"/>
      <c r="D83" s="592"/>
      <c r="E83" s="594"/>
      <c r="F83" s="593"/>
      <c r="G83" s="613"/>
      <c r="H83" s="594"/>
      <c r="I83" s="594"/>
      <c r="J83" s="595"/>
      <c r="K83" s="594"/>
      <c r="L83" s="594"/>
      <c r="M83" s="594"/>
      <c r="N83" s="595"/>
    </row>
    <row r="84" spans="1:22">
      <c r="B84" s="575" t="s">
        <v>14</v>
      </c>
      <c r="C84" s="586">
        <f>C80</f>
        <v>6.9561698044543627</v>
      </c>
      <c r="D84" s="586">
        <f>D80</f>
        <v>28.296621027138954</v>
      </c>
      <c r="E84" s="587">
        <f>E80</f>
        <v>77.367835073299517</v>
      </c>
      <c r="F84" s="588">
        <f>SUM(C84:E84)</f>
        <v>112.62062590489283</v>
      </c>
      <c r="G84" s="586"/>
      <c r="H84" s="586"/>
      <c r="I84" s="587"/>
      <c r="J84" s="590"/>
      <c r="K84" s="587"/>
      <c r="L84" s="587"/>
      <c r="M84" s="587"/>
      <c r="N84" s="590"/>
    </row>
    <row r="85" spans="1:22">
      <c r="B85" s="575"/>
      <c r="C85" s="586"/>
      <c r="D85" s="586"/>
      <c r="E85" s="587"/>
      <c r="F85" s="588"/>
      <c r="G85" s="587"/>
      <c r="H85" s="587"/>
      <c r="I85" s="587"/>
      <c r="J85" s="590"/>
      <c r="K85" s="587"/>
      <c r="L85" s="587"/>
      <c r="M85" s="587"/>
      <c r="N85" s="590"/>
    </row>
    <row r="86" spans="1:22">
      <c r="B86" s="591" t="s">
        <v>15</v>
      </c>
      <c r="C86" s="592">
        <f>SUM(C87:C96)-C89</f>
        <v>0.95602924114613175</v>
      </c>
      <c r="D86" s="592">
        <f t="shared" ref="D86" si="46">SUM(D87:D96)-D89</f>
        <v>39.131805157593121</v>
      </c>
      <c r="E86" s="594">
        <f>SUM(E87:E96)-E89</f>
        <v>13.422002832855778</v>
      </c>
      <c r="F86" s="593">
        <f>SUM(F87:F96)-F89</f>
        <v>53.509837231595036</v>
      </c>
      <c r="G86" s="592"/>
      <c r="H86" s="592"/>
      <c r="I86" s="594"/>
      <c r="J86" s="595"/>
      <c r="K86" s="594"/>
      <c r="L86" s="594"/>
      <c r="M86" s="594"/>
      <c r="N86" s="595"/>
      <c r="O86" s="570" t="b">
        <f>Summary!E210=F86</f>
        <v>1</v>
      </c>
      <c r="P86" s="570">
        <f>Summary!E209-F86</f>
        <v>0</v>
      </c>
      <c r="Q86" s="500">
        <f>P86-'Cash Planning'!AQ13/10^6</f>
        <v>0</v>
      </c>
    </row>
    <row r="87" spans="1:22">
      <c r="B87" s="575" t="s">
        <v>39</v>
      </c>
      <c r="C87" s="586">
        <f>IFERROR(VLOOKUP($B87,Summary!$A$211:$D$235,2,0),0)</f>
        <v>0.95602924114613175</v>
      </c>
      <c r="D87" s="586">
        <f>IFERROR(VLOOKUP($B87,Summary!$A$211:$D$235,3,0),0)</f>
        <v>0</v>
      </c>
      <c r="E87" s="586">
        <f>IFERROR(VLOOKUP($B87,Summary!$A$211:$D$235,4,0),0)</f>
        <v>13.01321582234957</v>
      </c>
      <c r="F87" s="588">
        <f>SUM(C87:E87)</f>
        <v>13.969245063495702</v>
      </c>
      <c r="G87" s="587"/>
      <c r="H87" s="587"/>
      <c r="I87" s="587"/>
      <c r="J87" s="590"/>
      <c r="K87" s="587"/>
      <c r="L87" s="587"/>
      <c r="M87" s="587"/>
      <c r="N87" s="590"/>
    </row>
    <row r="88" spans="1:22" s="499" customFormat="1" hidden="1">
      <c r="A88" s="129"/>
      <c r="B88" s="575" t="s">
        <v>40</v>
      </c>
      <c r="C88" s="586">
        <f>IFERROR(VLOOKUP($B88,Summary!$A$211:$D$235,2,0),0)</f>
        <v>0</v>
      </c>
      <c r="D88" s="586">
        <f>IFERROR(VLOOKUP($B88,Summary!$A$211:$D$235,3,0),0)</f>
        <v>0</v>
      </c>
      <c r="E88" s="586">
        <f>IFERROR(VLOOKUP($B88,Summary!$A$211:$D$235,4,0),0)</f>
        <v>0</v>
      </c>
      <c r="F88" s="588">
        <f>SUM(C88:E88)</f>
        <v>0</v>
      </c>
      <c r="G88" s="587"/>
      <c r="H88" s="587"/>
      <c r="I88" s="587"/>
      <c r="J88" s="590"/>
      <c r="K88" s="587"/>
      <c r="L88" s="587"/>
      <c r="M88" s="587"/>
      <c r="N88" s="590"/>
      <c r="P88" s="570"/>
      <c r="Q88" s="500"/>
      <c r="R88" s="500"/>
      <c r="S88" s="129"/>
      <c r="T88" s="129"/>
      <c r="U88" s="129"/>
      <c r="V88" s="129"/>
    </row>
    <row r="89" spans="1:22" s="499" customFormat="1" hidden="1">
      <c r="A89" s="129"/>
      <c r="B89" s="575" t="s">
        <v>64</v>
      </c>
      <c r="C89" s="586">
        <f>IFERROR(VLOOKUP($B89,Summary!$A$211:$D$235,2,0),0)</f>
        <v>0</v>
      </c>
      <c r="D89" s="586">
        <f>IFERROR(VLOOKUP($B89,Summary!$A$211:$D$235,3,0),0)</f>
        <v>0</v>
      </c>
      <c r="E89" s="586">
        <f>IFERROR(VLOOKUP($B89,Summary!$A$211:$D$235,4,0),0)</f>
        <v>0</v>
      </c>
      <c r="F89" s="588">
        <f t="shared" ref="F89:F96" si="47">SUM(C89:E89)</f>
        <v>0</v>
      </c>
      <c r="G89" s="587"/>
      <c r="H89" s="587"/>
      <c r="I89" s="587"/>
      <c r="J89" s="590"/>
      <c r="K89" s="587"/>
      <c r="L89" s="587"/>
      <c r="M89" s="587"/>
      <c r="N89" s="590"/>
      <c r="P89" s="570"/>
      <c r="Q89" s="500"/>
      <c r="R89" s="500"/>
      <c r="S89" s="129"/>
      <c r="T89" s="129"/>
      <c r="U89" s="129"/>
      <c r="V89" s="129"/>
    </row>
    <row r="90" spans="1:22" s="499" customFormat="1" ht="11.1" customHeight="1">
      <c r="A90" s="129"/>
      <c r="B90" s="575" t="s">
        <v>42</v>
      </c>
      <c r="C90" s="586">
        <f>IFERROR(VLOOKUP($B90,Summary!$A$211:$D$235,2,0),0)</f>
        <v>0</v>
      </c>
      <c r="D90" s="586">
        <f>IFERROR(VLOOKUP($B90,Summary!$A$211:$D$235,3,0),0)</f>
        <v>39.131805157593121</v>
      </c>
      <c r="E90" s="586">
        <f>IFERROR(VLOOKUP($B90,Summary!$A$211:$D$235,4,0),0)</f>
        <v>0</v>
      </c>
      <c r="F90" s="588">
        <f t="shared" si="47"/>
        <v>39.131805157593121</v>
      </c>
      <c r="G90" s="587"/>
      <c r="H90" s="587"/>
      <c r="I90" s="587"/>
      <c r="J90" s="590"/>
      <c r="K90" s="587"/>
      <c r="L90" s="587"/>
      <c r="M90" s="587"/>
      <c r="N90" s="590"/>
      <c r="P90" s="570"/>
      <c r="Q90" s="500"/>
      <c r="R90" s="500"/>
      <c r="S90" s="129"/>
      <c r="T90" s="129"/>
      <c r="U90" s="129"/>
      <c r="V90" s="129"/>
    </row>
    <row r="91" spans="1:22" s="499" customFormat="1" ht="11.1" hidden="1" customHeight="1">
      <c r="A91" s="129"/>
      <c r="B91" s="575" t="s">
        <v>50</v>
      </c>
      <c r="C91" s="586">
        <f>IFERROR(VLOOKUP($B91,Summary!$A$211:$D$235,2,0),0)</f>
        <v>0</v>
      </c>
      <c r="D91" s="586">
        <f>IFERROR(VLOOKUP($B91,Summary!$A$211:$D$235,3,0),0)</f>
        <v>0</v>
      </c>
      <c r="E91" s="586">
        <f>IFERROR(VLOOKUP($B91,Summary!$A$211:$D$235,4,0),0)</f>
        <v>0</v>
      </c>
      <c r="F91" s="588">
        <f t="shared" ref="F91" si="48">SUM(C91:E91)</f>
        <v>0</v>
      </c>
      <c r="G91" s="587"/>
      <c r="H91" s="587"/>
      <c r="I91" s="587"/>
      <c r="J91" s="590"/>
      <c r="K91" s="587"/>
      <c r="L91" s="587"/>
      <c r="M91" s="587"/>
      <c r="N91" s="590"/>
      <c r="P91" s="570"/>
      <c r="Q91" s="500"/>
      <c r="R91" s="500"/>
      <c r="S91" s="129"/>
      <c r="T91" s="129"/>
      <c r="U91" s="129"/>
      <c r="V91" s="129"/>
    </row>
    <row r="92" spans="1:22" s="499" customFormat="1" hidden="1">
      <c r="A92" s="129"/>
      <c r="B92" s="575" t="s">
        <v>18</v>
      </c>
      <c r="C92" s="586">
        <f>IFERROR(VLOOKUP($B92,Summary!$A$211:$D$235,2,0),0)</f>
        <v>0</v>
      </c>
      <c r="D92" s="586">
        <f>IFERROR(VLOOKUP($B92,Summary!$A$211:$D$235,3,0),0)</f>
        <v>0</v>
      </c>
      <c r="E92" s="586">
        <f>IFERROR(VLOOKUP($B92,Summary!$A$211:$D$235,4,0),0)</f>
        <v>0</v>
      </c>
      <c r="F92" s="588">
        <f t="shared" si="47"/>
        <v>0</v>
      </c>
      <c r="G92" s="587"/>
      <c r="H92" s="587"/>
      <c r="I92" s="587"/>
      <c r="J92" s="590"/>
      <c r="K92" s="587"/>
      <c r="L92" s="587"/>
      <c r="M92" s="587"/>
      <c r="N92" s="590"/>
      <c r="P92" s="570"/>
      <c r="Q92" s="500"/>
      <c r="R92" s="500"/>
      <c r="S92" s="129"/>
      <c r="T92" s="129"/>
      <c r="U92" s="129"/>
      <c r="V92" s="129"/>
    </row>
    <row r="93" spans="1:22" s="499" customFormat="1">
      <c r="A93" s="129"/>
      <c r="B93" s="575" t="s">
        <v>43</v>
      </c>
      <c r="C93" s="586">
        <f>IFERROR(VLOOKUP($B93,Summary!$A$211:$D$235,2,0),0)</f>
        <v>0</v>
      </c>
      <c r="D93" s="586">
        <f>IFERROR(VLOOKUP($B93,Summary!$A$211:$D$235,3,0),0)</f>
        <v>0</v>
      </c>
      <c r="E93" s="586">
        <f>IFERROR(VLOOKUP($B93,Summary!$A$211:$D$235,4,0),0)</f>
        <v>0.40878701050620825</v>
      </c>
      <c r="F93" s="588">
        <f t="shared" si="47"/>
        <v>0.40878701050620825</v>
      </c>
      <c r="G93" s="587"/>
      <c r="H93" s="587"/>
      <c r="I93" s="587"/>
      <c r="J93" s="590"/>
      <c r="K93" s="587"/>
      <c r="L93" s="587"/>
      <c r="M93" s="587"/>
      <c r="N93" s="590"/>
      <c r="P93" s="570"/>
      <c r="Q93" s="500"/>
      <c r="R93" s="500"/>
      <c r="S93" s="129"/>
      <c r="T93" s="129"/>
      <c r="U93" s="129"/>
      <c r="V93" s="129"/>
    </row>
    <row r="94" spans="1:22" s="499" customFormat="1" hidden="1">
      <c r="A94" s="129"/>
      <c r="B94" s="575" t="s">
        <v>65</v>
      </c>
      <c r="C94" s="586">
        <f>IFERROR(VLOOKUP($B94,Summary!$A$211:$D$235,2,0),0)</f>
        <v>0</v>
      </c>
      <c r="D94" s="586">
        <f>IFERROR(VLOOKUP($B94,Summary!$A$211:$D$235,3,0),0)</f>
        <v>0</v>
      </c>
      <c r="E94" s="586">
        <f>IFERROR(VLOOKUP($B94,Summary!$A$211:$D$235,4,0),0)</f>
        <v>0</v>
      </c>
      <c r="F94" s="588">
        <f t="shared" si="47"/>
        <v>0</v>
      </c>
      <c r="G94" s="587"/>
      <c r="H94" s="587"/>
      <c r="I94" s="587"/>
      <c r="J94" s="590"/>
      <c r="K94" s="587"/>
      <c r="L94" s="587"/>
      <c r="M94" s="587"/>
      <c r="N94" s="590"/>
      <c r="P94" s="570"/>
      <c r="Q94" s="500"/>
      <c r="R94" s="500"/>
      <c r="S94" s="129"/>
      <c r="T94" s="129"/>
      <c r="U94" s="129"/>
      <c r="V94" s="129"/>
    </row>
    <row r="95" spans="1:22" s="499" customFormat="1" hidden="1">
      <c r="A95" s="129"/>
      <c r="B95" s="575" t="s">
        <v>66</v>
      </c>
      <c r="C95" s="586">
        <f>IFERROR(VLOOKUP($B95,Summary!$A$211:$D$235,2,0),0)</f>
        <v>0</v>
      </c>
      <c r="D95" s="586">
        <f>IFERROR(VLOOKUP($B95,Summary!$A$211:$D$235,3,0),0)</f>
        <v>0</v>
      </c>
      <c r="E95" s="586">
        <f>IFERROR(VLOOKUP($B95,Summary!$A$211:$D$235,4,0),0)</f>
        <v>0</v>
      </c>
      <c r="F95" s="588">
        <f t="shared" si="47"/>
        <v>0</v>
      </c>
      <c r="G95" s="587"/>
      <c r="H95" s="587"/>
      <c r="I95" s="587"/>
      <c r="J95" s="590"/>
      <c r="K95" s="587"/>
      <c r="L95" s="587"/>
      <c r="M95" s="587"/>
      <c r="N95" s="590"/>
      <c r="P95" s="570"/>
      <c r="Q95" s="500"/>
      <c r="R95" s="500"/>
      <c r="S95" s="129"/>
      <c r="T95" s="129"/>
      <c r="U95" s="129"/>
      <c r="V95" s="129"/>
    </row>
    <row r="96" spans="1:22" s="499" customFormat="1" hidden="1">
      <c r="A96" s="129"/>
      <c r="B96" s="575" t="s">
        <v>47</v>
      </c>
      <c r="C96" s="586">
        <f>IFERROR(VLOOKUP($B96,Summary!$A$211:$D$235,2,0),0)</f>
        <v>0</v>
      </c>
      <c r="D96" s="586">
        <f>IFERROR(VLOOKUP($B96,Summary!$A$211:$D$235,3,0),0)</f>
        <v>0</v>
      </c>
      <c r="E96" s="586">
        <f>IFERROR(VLOOKUP($B96,Summary!$A$211:$D$235,4,0),0)</f>
        <v>0</v>
      </c>
      <c r="F96" s="588">
        <f t="shared" si="47"/>
        <v>0</v>
      </c>
      <c r="G96" s="587"/>
      <c r="H96" s="587"/>
      <c r="I96" s="587"/>
      <c r="J96" s="590"/>
      <c r="K96" s="587"/>
      <c r="L96" s="587"/>
      <c r="M96" s="587"/>
      <c r="N96" s="590"/>
      <c r="P96" s="570"/>
      <c r="Q96" s="500"/>
      <c r="R96" s="500"/>
      <c r="S96" s="129"/>
      <c r="T96" s="129"/>
      <c r="U96" s="129"/>
      <c r="V96" s="129"/>
    </row>
    <row r="97" spans="1:22" s="499" customFormat="1">
      <c r="A97" s="129"/>
      <c r="B97" s="575"/>
      <c r="C97" s="586"/>
      <c r="D97" s="586"/>
      <c r="E97" s="615"/>
      <c r="F97" s="588"/>
      <c r="G97" s="587"/>
      <c r="H97" s="587"/>
      <c r="I97" s="587"/>
      <c r="J97" s="590"/>
      <c r="K97" s="587"/>
      <c r="L97" s="587"/>
      <c r="M97" s="587"/>
      <c r="N97" s="590"/>
      <c r="P97" s="570"/>
      <c r="Q97" s="500"/>
      <c r="R97" s="500"/>
      <c r="S97" s="129"/>
      <c r="T97" s="129"/>
      <c r="U97" s="129"/>
      <c r="V97" s="129"/>
    </row>
    <row r="98" spans="1:22" s="499" customFormat="1">
      <c r="A98" s="129"/>
      <c r="B98" s="591" t="s">
        <v>19</v>
      </c>
      <c r="C98" s="592">
        <f>SUM(C99:C106)-C105-C106</f>
        <v>0.5568454454250239</v>
      </c>
      <c r="D98" s="592">
        <f>SUM(D99:D106)-D105-D106</f>
        <v>13.481938893887298</v>
      </c>
      <c r="E98" s="592">
        <f t="shared" ref="E98" si="49">SUM(E99:E106)-E105-E106</f>
        <v>3.4265139632473733</v>
      </c>
      <c r="F98" s="593">
        <f>SUM(F99:F106)-F105-F106</f>
        <v>17.465298302559695</v>
      </c>
      <c r="G98" s="592"/>
      <c r="H98" s="592"/>
      <c r="I98" s="594"/>
      <c r="J98" s="595"/>
      <c r="K98" s="594"/>
      <c r="L98" s="594"/>
      <c r="M98" s="594"/>
      <c r="N98" s="595"/>
      <c r="O98" s="570" t="b">
        <f>-Summary!E225=F98</f>
        <v>1</v>
      </c>
      <c r="P98" s="570">
        <f>-Summary!E224-F98</f>
        <v>0</v>
      </c>
      <c r="Q98" s="500">
        <f>P98-'Cash Planning'!AQ13/10^6</f>
        <v>0</v>
      </c>
      <c r="R98" s="500"/>
      <c r="S98" s="129"/>
      <c r="T98" s="129"/>
      <c r="U98" s="129"/>
      <c r="V98" s="129"/>
    </row>
    <row r="99" spans="1:22" s="499" customFormat="1">
      <c r="A99" s="129"/>
      <c r="B99" s="575" t="s">
        <v>52</v>
      </c>
      <c r="C99" s="586">
        <f>-IFERROR(VLOOKUP($B99,Summary!$A$211:$D$235,2,0),0)</f>
        <v>0</v>
      </c>
      <c r="D99" s="586">
        <f>-IFERROR(VLOOKUP($B99,Summary!$A$211:$D$235,3,0),0)</f>
        <v>2.614717808557784</v>
      </c>
      <c r="E99" s="586">
        <f>-IFERROR(VLOOKUP($B99,Summary!$A$211:$D$235,4,0),0)</f>
        <v>0</v>
      </c>
      <c r="F99" s="588">
        <f t="shared" ref="F99:F106" si="50">SUM(C99:E99)</f>
        <v>2.614717808557784</v>
      </c>
      <c r="G99" s="587"/>
      <c r="H99" s="587"/>
      <c r="I99" s="587"/>
      <c r="J99" s="590"/>
      <c r="K99" s="587"/>
      <c r="L99" s="587"/>
      <c r="M99" s="587"/>
      <c r="N99" s="590"/>
      <c r="O99" s="570"/>
      <c r="Q99" s="500"/>
      <c r="R99" s="500"/>
      <c r="S99" s="129"/>
      <c r="T99" s="129"/>
      <c r="U99" s="129"/>
      <c r="V99" s="129"/>
    </row>
    <row r="100" spans="1:22" s="499" customFormat="1">
      <c r="A100" s="129"/>
      <c r="B100" s="575" t="s">
        <v>21</v>
      </c>
      <c r="C100" s="586">
        <f>-IFERROR(VLOOKUP($B100,Summary!$A$211:$D$235,2,0),0)</f>
        <v>0</v>
      </c>
      <c r="D100" s="586">
        <f>-IFERROR(VLOOKUP($B100,Summary!$A$211:$D$235,3,0),0)</f>
        <v>3.9312248330085962</v>
      </c>
      <c r="E100" s="586">
        <f>-IFERROR(VLOOKUP($B100,Summary!$A$211:$D$235,4,0),0)</f>
        <v>0.98191595033428847</v>
      </c>
      <c r="F100" s="588">
        <f t="shared" si="50"/>
        <v>4.9131407833428842</v>
      </c>
      <c r="G100" s="587"/>
      <c r="H100" s="587"/>
      <c r="I100" s="587"/>
      <c r="J100" s="590"/>
      <c r="K100" s="587"/>
      <c r="L100" s="587"/>
      <c r="M100" s="587"/>
      <c r="N100" s="590"/>
      <c r="O100" s="570"/>
      <c r="Q100" s="500"/>
      <c r="R100" s="500"/>
      <c r="S100" s="129"/>
      <c r="T100" s="129"/>
      <c r="U100" s="129"/>
      <c r="V100" s="129"/>
    </row>
    <row r="101" spans="1:22" s="499" customFormat="1">
      <c r="A101" s="129"/>
      <c r="B101" s="575" t="s">
        <v>22</v>
      </c>
      <c r="C101" s="586">
        <f>-IFERROR(VLOOKUP($B101,Summary!$A$211:$D$235,2,0),0)</f>
        <v>0</v>
      </c>
      <c r="D101" s="586">
        <f>-IFERROR(VLOOKUP($B101,Summary!$A$211:$D$235,3,0),0)</f>
        <v>2.00634724095511</v>
      </c>
      <c r="E101" s="586">
        <f>-IFERROR(VLOOKUP($B101,Summary!$A$211:$D$235,4,0),0)</f>
        <v>0.2163895507163324</v>
      </c>
      <c r="F101" s="588">
        <f t="shared" si="50"/>
        <v>2.2227367916714424</v>
      </c>
      <c r="G101" s="587"/>
      <c r="H101" s="587"/>
      <c r="I101" s="587"/>
      <c r="J101" s="590"/>
      <c r="K101" s="587"/>
      <c r="L101" s="587"/>
      <c r="M101" s="587"/>
      <c r="N101" s="590"/>
      <c r="O101" s="570"/>
      <c r="Q101" s="500"/>
      <c r="R101" s="500"/>
      <c r="S101" s="129"/>
      <c r="T101" s="129"/>
      <c r="U101" s="129"/>
      <c r="V101" s="129"/>
    </row>
    <row r="102" spans="1:22" s="499" customFormat="1">
      <c r="A102" s="129"/>
      <c r="B102" s="575" t="s">
        <v>53</v>
      </c>
      <c r="C102" s="586">
        <f>-IFERROR(VLOOKUP($B102,Summary!$A$211:$D$235,2,0),0)</f>
        <v>0</v>
      </c>
      <c r="D102" s="586">
        <f>-IFERROR(VLOOKUP($B102,Summary!$A$211:$D$235,3,0),0)</f>
        <v>3.0353603412607453</v>
      </c>
      <c r="E102" s="586">
        <f>-IFERROR(VLOOKUP($B102,Summary!$A$211:$D$235,4,0),0)</f>
        <v>0.32652382792741164</v>
      </c>
      <c r="F102" s="588">
        <f t="shared" si="50"/>
        <v>3.3618841691881567</v>
      </c>
      <c r="G102" s="587"/>
      <c r="H102" s="587"/>
      <c r="I102" s="587"/>
      <c r="J102" s="590"/>
      <c r="K102" s="587"/>
      <c r="L102" s="587"/>
      <c r="M102" s="587"/>
      <c r="N102" s="590"/>
      <c r="Q102" s="500"/>
      <c r="R102" s="500"/>
      <c r="S102" s="129"/>
      <c r="T102" s="129"/>
      <c r="U102" s="129"/>
      <c r="V102" s="129"/>
    </row>
    <row r="103" spans="1:22" s="499" customFormat="1">
      <c r="A103" s="129"/>
      <c r="B103" s="575" t="s">
        <v>54</v>
      </c>
      <c r="C103" s="586">
        <f>-IFERROR(VLOOKUP($B103,Summary!$A$211:$D$235,2,0),0)</f>
        <v>0</v>
      </c>
      <c r="D103" s="586">
        <f>-IFERROR(VLOOKUP($B103,Summary!$A$211:$D$235,3,0),0)</f>
        <v>0.57306590257879664</v>
      </c>
      <c r="E103" s="586">
        <f>-IFERROR(VLOOKUP($B103,Summary!$A$211:$D$235,4,0),0)</f>
        <v>0.85866334708691505</v>
      </c>
      <c r="F103" s="588">
        <f t="shared" ref="F103:F104" si="51">SUM(C103:E103)</f>
        <v>1.4317292496657117</v>
      </c>
      <c r="G103" s="587"/>
      <c r="H103" s="587"/>
      <c r="I103" s="587"/>
      <c r="J103" s="590"/>
      <c r="K103" s="587"/>
      <c r="L103" s="587"/>
      <c r="M103" s="587"/>
      <c r="N103" s="590"/>
      <c r="Q103" s="500"/>
      <c r="R103" s="500"/>
      <c r="S103" s="497"/>
      <c r="T103" s="129"/>
      <c r="U103" s="129"/>
      <c r="V103" s="129"/>
    </row>
    <row r="104" spans="1:22" s="499" customFormat="1">
      <c r="A104" s="129"/>
      <c r="B104" s="575" t="s">
        <v>55</v>
      </c>
      <c r="C104" s="586">
        <f>-IFERROR(VLOOKUP($B104,Summary!$A$211:$D$235,2,0),0)</f>
        <v>0.5568454454250239</v>
      </c>
      <c r="D104" s="586">
        <f>-IFERROR(VLOOKUP($B104,Summary!$A$211:$D$235,3,0),0)</f>
        <v>1.3212227675262656</v>
      </c>
      <c r="E104" s="586">
        <f>-IFERROR(VLOOKUP($B104,Summary!$A$211:$D$235,4,0),0)</f>
        <v>1.043021287182426</v>
      </c>
      <c r="F104" s="588">
        <f t="shared" si="51"/>
        <v>2.9210895001337152</v>
      </c>
      <c r="G104" s="587"/>
      <c r="H104" s="587"/>
      <c r="I104" s="587"/>
      <c r="J104" s="590"/>
      <c r="K104" s="587"/>
      <c r="L104" s="587"/>
      <c r="M104" s="587"/>
      <c r="N104" s="590"/>
      <c r="Q104" s="500"/>
      <c r="R104" s="500"/>
      <c r="S104" s="129"/>
      <c r="T104" s="129"/>
      <c r="U104" s="129"/>
      <c r="V104" s="129"/>
    </row>
    <row r="105" spans="1:22" s="499" customFormat="1" hidden="1">
      <c r="A105" s="129"/>
      <c r="B105" s="575" t="s">
        <v>47</v>
      </c>
      <c r="C105" s="586">
        <f>-IFERROR(VLOOKUP($B105,Summary!$A$211:$D$235,2,0),0)</f>
        <v>0</v>
      </c>
      <c r="D105" s="586">
        <f>-IFERROR(VLOOKUP($B105,Summary!$A$211:$D$235,3,0),0)</f>
        <v>0</v>
      </c>
      <c r="E105" s="586">
        <f>-IFERROR(VLOOKUP($B105,Summary!$A$211:$D$235,4,0),0)</f>
        <v>0</v>
      </c>
      <c r="F105" s="588">
        <f t="shared" si="50"/>
        <v>0</v>
      </c>
      <c r="G105" s="587"/>
      <c r="H105" s="587"/>
      <c r="I105" s="587"/>
      <c r="J105" s="590"/>
      <c r="K105" s="587"/>
      <c r="L105" s="587"/>
      <c r="M105" s="587"/>
      <c r="N105" s="590"/>
      <c r="Q105" s="500"/>
      <c r="R105" s="500"/>
      <c r="S105" s="129"/>
      <c r="T105" s="129"/>
      <c r="U105" s="129"/>
      <c r="V105" s="129"/>
    </row>
    <row r="106" spans="1:22" s="499" customFormat="1" hidden="1">
      <c r="A106" s="129"/>
      <c r="B106" s="575" t="s">
        <v>64</v>
      </c>
      <c r="C106" s="586">
        <f>-Summary!B234</f>
        <v>0</v>
      </c>
      <c r="D106" s="586">
        <f>-Summary!C234</f>
        <v>0</v>
      </c>
      <c r="E106" s="586">
        <f>-Summary!D234</f>
        <v>0</v>
      </c>
      <c r="F106" s="588">
        <f t="shared" si="50"/>
        <v>0</v>
      </c>
      <c r="G106" s="587"/>
      <c r="H106" s="587"/>
      <c r="I106" s="587"/>
      <c r="J106" s="590"/>
      <c r="K106" s="587"/>
      <c r="L106" s="587"/>
      <c r="M106" s="587"/>
      <c r="N106" s="590"/>
      <c r="Q106" s="500"/>
      <c r="R106" s="500"/>
      <c r="S106" s="129"/>
      <c r="T106" s="129"/>
      <c r="U106" s="129"/>
      <c r="V106" s="129"/>
    </row>
    <row r="107" spans="1:22">
      <c r="B107" s="575"/>
      <c r="C107" s="586"/>
      <c r="D107" s="586"/>
      <c r="E107" s="587"/>
      <c r="F107" s="588"/>
      <c r="G107" s="587"/>
      <c r="H107" s="587"/>
      <c r="I107" s="587"/>
      <c r="J107" s="590"/>
      <c r="K107" s="587"/>
      <c r="L107" s="587"/>
      <c r="M107" s="587"/>
      <c r="N107" s="590"/>
    </row>
    <row r="108" spans="1:22" s="623" customFormat="1" ht="13.8" thickBot="1">
      <c r="B108" s="616" t="s">
        <v>32</v>
      </c>
      <c r="C108" s="617">
        <f>C84+C86-C98</f>
        <v>7.3553536001754702</v>
      </c>
      <c r="D108" s="617">
        <f>D84+D86-D98</f>
        <v>53.946487290844779</v>
      </c>
      <c r="E108" s="618">
        <f>E84+E86-E98</f>
        <v>87.363323942907925</v>
      </c>
      <c r="F108" s="619">
        <f>F84+F86-F98</f>
        <v>148.66516483392817</v>
      </c>
      <c r="G108" s="620"/>
      <c r="H108" s="618"/>
      <c r="I108" s="618"/>
      <c r="J108" s="621"/>
      <c r="K108" s="618"/>
      <c r="L108" s="618"/>
      <c r="M108" s="618"/>
      <c r="N108" s="621"/>
      <c r="O108" s="622"/>
      <c r="P108" s="499"/>
      <c r="Q108" s="500"/>
      <c r="R108" s="500"/>
    </row>
    <row r="110" spans="1:22" s="459" customFormat="1">
      <c r="C110" s="896"/>
      <c r="D110" s="896"/>
      <c r="E110" s="896"/>
      <c r="F110" s="897"/>
      <c r="G110" s="898"/>
      <c r="H110" s="571"/>
      <c r="I110" s="571"/>
      <c r="J110" s="571"/>
      <c r="K110" s="571"/>
      <c r="L110" s="571"/>
      <c r="M110" s="571"/>
      <c r="O110" s="898"/>
      <c r="P110" s="898"/>
      <c r="Q110" s="899"/>
      <c r="R110" s="899"/>
    </row>
    <row r="111" spans="1:22" s="459" customFormat="1">
      <c r="C111" s="504"/>
      <c r="D111" s="504"/>
      <c r="F111" s="900"/>
      <c r="G111" s="571"/>
      <c r="H111" s="571"/>
      <c r="I111" s="571"/>
      <c r="J111" s="571"/>
      <c r="K111" s="571"/>
      <c r="L111" s="571"/>
      <c r="M111" s="571"/>
      <c r="O111" s="898"/>
      <c r="P111" s="898"/>
      <c r="Q111" s="899"/>
      <c r="R111" s="899"/>
    </row>
    <row r="112" spans="1:22" ht="14.4">
      <c r="B112"/>
      <c r="F112" s="504"/>
      <c r="O112" s="901"/>
      <c r="P112" s="901"/>
      <c r="Q112" s="899"/>
      <c r="R112" s="899"/>
    </row>
    <row r="113" spans="15:18">
      <c r="O113" s="901"/>
      <c r="P113" s="901"/>
      <c r="Q113" s="899"/>
      <c r="R113" s="899"/>
    </row>
    <row r="114" spans="15:18">
      <c r="O114" s="901"/>
      <c r="P114" s="901"/>
      <c r="Q114" s="899"/>
      <c r="R114" s="899"/>
    </row>
    <row r="115" spans="15:18">
      <c r="O115" s="901"/>
      <c r="P115" s="901"/>
      <c r="Q115" s="899"/>
      <c r="R115" s="899"/>
    </row>
    <row r="116" spans="15:18">
      <c r="O116" s="901"/>
      <c r="P116" s="901"/>
      <c r="Q116" s="899"/>
      <c r="R116" s="899"/>
    </row>
    <row r="117" spans="15:18">
      <c r="O117" s="901"/>
      <c r="P117" s="901"/>
      <c r="Q117" s="899"/>
      <c r="R117" s="899"/>
    </row>
    <row r="118" spans="15:18">
      <c r="O118" s="901"/>
      <c r="P118" s="901"/>
      <c r="Q118" s="899"/>
      <c r="R118" s="899"/>
    </row>
    <row r="119" spans="15:18">
      <c r="O119" s="901"/>
      <c r="P119" s="901"/>
      <c r="Q119" s="899"/>
      <c r="R119" s="899"/>
    </row>
  </sheetData>
  <mergeCells count="7">
    <mergeCell ref="C8:E8"/>
    <mergeCell ref="G8:I8"/>
    <mergeCell ref="K8:M8"/>
    <mergeCell ref="C27:E27"/>
    <mergeCell ref="C39:F39"/>
    <mergeCell ref="G39:J39"/>
    <mergeCell ref="K39:N39"/>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6135E-94A2-4428-A4CA-BCC3E82BBE26}">
  <sheetPr codeName="Sheet12">
    <tabColor theme="7" tint="0.59999389629810485"/>
  </sheetPr>
  <dimension ref="A1:Z220"/>
  <sheetViews>
    <sheetView showGridLines="0" zoomScale="85" zoomScaleNormal="85" workbookViewId="0">
      <pane xSplit="3" ySplit="3" topLeftCell="D133" activePane="bottomRight" state="frozen"/>
      <selection pane="topRight" activeCell="L159" sqref="L159"/>
      <selection pane="bottomLeft" activeCell="L159" sqref="L159"/>
      <selection pane="bottomRight" activeCell="D148" sqref="D148"/>
    </sheetView>
  </sheetViews>
  <sheetFormatPr defaultColWidth="8.5546875" defaultRowHeight="14.4"/>
  <cols>
    <col min="1" max="1" width="7.44140625" bestFit="1" customWidth="1"/>
    <col min="2" max="2" width="7.5546875" customWidth="1"/>
    <col min="3" max="3" width="29.21875" bestFit="1" customWidth="1"/>
    <col min="4" max="4" width="23.77734375" bestFit="1" customWidth="1"/>
    <col min="5" max="5" width="24.21875" bestFit="1" customWidth="1"/>
    <col min="6" max="6" width="25.44140625" bestFit="1" customWidth="1"/>
    <col min="7" max="7" width="11.44140625" bestFit="1" customWidth="1"/>
    <col min="8" max="8" width="14" customWidth="1"/>
    <col min="9" max="9" width="17.5546875" customWidth="1"/>
    <col min="10" max="10" width="11.5546875" customWidth="1"/>
    <col min="11" max="11" width="13.5546875" customWidth="1"/>
    <col min="12" max="12" width="13.44140625" customWidth="1"/>
    <col min="13" max="13" width="11.5546875" customWidth="1"/>
    <col min="14" max="14" width="18.5546875" bestFit="1" customWidth="1"/>
    <col min="15" max="15" width="10.5546875" customWidth="1"/>
    <col min="16" max="16" width="11.5546875" customWidth="1"/>
    <col min="17" max="17" width="16.5546875" customWidth="1"/>
    <col min="18" max="18" width="14.44140625" customWidth="1"/>
    <col min="19" max="19" width="15.5546875" customWidth="1"/>
    <col min="20" max="20" width="14.44140625" customWidth="1"/>
    <col min="21" max="21" width="18" customWidth="1"/>
    <col min="23" max="23" width="13.5546875" customWidth="1"/>
    <col min="24" max="24" width="16.5546875" customWidth="1"/>
  </cols>
  <sheetData>
    <row r="1" spans="2:21" s="3" customFormat="1">
      <c r="C1" s="26">
        <f>Fx_rate</f>
        <v>26175</v>
      </c>
      <c r="D1" s="153" t="s">
        <v>8</v>
      </c>
      <c r="E1" s="147" t="s">
        <v>8</v>
      </c>
      <c r="F1" s="152" t="s">
        <v>8</v>
      </c>
      <c r="G1" s="150" t="s">
        <v>67</v>
      </c>
      <c r="H1" s="148" t="s">
        <v>67</v>
      </c>
      <c r="I1" s="151" t="s">
        <v>67</v>
      </c>
      <c r="J1" s="151" t="s">
        <v>67</v>
      </c>
      <c r="K1" s="154" t="s">
        <v>10</v>
      </c>
      <c r="L1" s="149" t="s">
        <v>10</v>
      </c>
      <c r="M1" s="154" t="s">
        <v>10</v>
      </c>
      <c r="N1" s="1432" t="s">
        <v>68</v>
      </c>
      <c r="O1" s="1432"/>
      <c r="P1" s="1432"/>
      <c r="Q1" s="38"/>
      <c r="R1" s="39"/>
      <c r="S1" s="39"/>
    </row>
    <row r="2" spans="2:21" s="27" customFormat="1" ht="22.5" customHeight="1">
      <c r="C2" s="1437" t="s">
        <v>69</v>
      </c>
      <c r="D2" s="1427" t="s">
        <v>70</v>
      </c>
      <c r="E2" s="1427" t="s">
        <v>71</v>
      </c>
      <c r="F2" s="1427" t="s">
        <v>72</v>
      </c>
      <c r="G2" s="1434" t="s">
        <v>73</v>
      </c>
      <c r="H2" s="1434" t="s">
        <v>74</v>
      </c>
      <c r="I2" s="1435" t="s">
        <v>75</v>
      </c>
      <c r="J2" s="1434" t="s">
        <v>76</v>
      </c>
      <c r="K2" s="1429" t="s">
        <v>77</v>
      </c>
      <c r="L2" s="1429" t="s">
        <v>78</v>
      </c>
      <c r="M2" s="1429" t="s">
        <v>79</v>
      </c>
      <c r="N2" s="1430" t="s">
        <v>80</v>
      </c>
      <c r="O2" s="1430" t="s">
        <v>81</v>
      </c>
      <c r="P2" s="1430" t="s">
        <v>36</v>
      </c>
      <c r="Q2" s="1431" t="s">
        <v>82</v>
      </c>
      <c r="R2" s="1428" t="s">
        <v>83</v>
      </c>
      <c r="S2" s="1428" t="s">
        <v>84</v>
      </c>
    </row>
    <row r="3" spans="2:21" s="27" customFormat="1">
      <c r="C3" s="1437"/>
      <c r="D3" s="1427"/>
      <c r="E3" s="1427"/>
      <c r="F3" s="1427"/>
      <c r="G3" s="1434"/>
      <c r="H3" s="1434"/>
      <c r="I3" s="1435"/>
      <c r="J3" s="1434"/>
      <c r="K3" s="1429"/>
      <c r="L3" s="1429"/>
      <c r="M3" s="1429"/>
      <c r="N3" s="1430"/>
      <c r="O3" s="1430"/>
      <c r="P3" s="1430"/>
      <c r="Q3" s="1431"/>
      <c r="R3" s="1428"/>
      <c r="S3" s="1428" t="s">
        <v>84</v>
      </c>
    </row>
    <row r="4" spans="2:21" s="3" customFormat="1">
      <c r="C4" s="21" t="s">
        <v>85</v>
      </c>
      <c r="D4" s="9">
        <f>SUMIFS('Cash Balance'!$L$4:$L$920,'Cash Balance'!$Y$4:$Y$920,'&gt;&gt;Chart'!$C4,'Cash Balance'!$W$4:$W$920,'&gt;&gt;Chart'!D$1)/1000000000</f>
        <v>2.9039514999999998E-2</v>
      </c>
      <c r="E4" s="9">
        <f>SUMIFS('Cash Balance'!$T$4:$T$920,'Cash Balance'!$Y$4:$Y$920,'&gt;&gt;Chart'!$C4,'Cash Balance'!$W$4:$W$920,'&gt;&gt;Chart'!E$1)/1000000</f>
        <v>2.0000000000000001E-4</v>
      </c>
      <c r="F4" s="9" cm="1">
        <f t="array" ref="F4">D4*1000/Fx+E4</f>
        <v>1.3094370582617E-3</v>
      </c>
      <c r="G4" s="10">
        <f>SUMIFS('Cash Balance'!$L$4:$L$920,'Cash Balance'!$Y$4:$Y$920,'&gt;&gt;Chart'!$C4,'Cash Balance'!$W$4:$W$920,'&gt;&gt;Chart'!G$1)/1000000000</f>
        <v>261.656972354</v>
      </c>
      <c r="H4" s="10">
        <f>SUMIFS('Cash Balance'!$T$4:$T$920,'Cash Balance'!$Y$4:$Y$920,'&gt;&gt;Chart'!$C4,'Cash Balance'!$W$4:$W$920,'&gt;&gt;Chart'!H$1)/1000000</f>
        <v>4.3852999999999996E-4</v>
      </c>
      <c r="I4" s="10">
        <f t="shared" ref="I4:I17" si="0">G4/Fx*1000+H4</f>
        <v>9.9968844652053495</v>
      </c>
      <c r="J4" s="10">
        <f t="shared" ref="J4:J17" si="1">G4+H4*Fx/1000</f>
        <v>261.66845087675</v>
      </c>
      <c r="K4" s="8">
        <f>SUMIFS('Cash Balance'!$L$4:$L$920,'Cash Balance'!$Y$4:$Y$920,'&gt;&gt;Chart'!$C4,'Cash Balance'!$W$4:$W$920,'&gt;&gt;Chart'!K$1)/1000000000</f>
        <v>538.68454193399998</v>
      </c>
      <c r="L4" s="8">
        <f>SUMIFS('Cash Balance'!$T$4:$T$920,'Cash Balance'!$Y$4:$Y$920,'&gt;&gt;Chart'!$C4,'Cash Balance'!$W$4:$W$920,'&gt;&gt;Chart'!L$1)/1000000</f>
        <v>3.0673310000000002E-2</v>
      </c>
      <c r="M4" s="8">
        <f t="shared" ref="M4:M17" si="2">K4*1000/Fx+L4</f>
        <v>20.610789525243554</v>
      </c>
      <c r="N4" s="11">
        <f>D4+G4+K4</f>
        <v>800.37055380300001</v>
      </c>
      <c r="O4" s="11">
        <f>E4+H4+L4</f>
        <v>3.1311840000000001E-2</v>
      </c>
      <c r="P4" s="11">
        <f>N4*1000/Fx+O4</f>
        <v>30.608983427507166</v>
      </c>
      <c r="Q4" s="40" t="e">
        <f>SUMIFS(#REF!,#REF!,'&gt;&gt;Chart'!C4)</f>
        <v>#REF!</v>
      </c>
      <c r="R4" s="40" t="e">
        <f>SUMIFS(#REF!,#REF!,'&gt;&gt;Chart'!C4)</f>
        <v>#REF!</v>
      </c>
      <c r="S4" s="117" t="e">
        <f t="shared" ref="S4:S15" si="3">Q4/$Q$18</f>
        <v>#REF!</v>
      </c>
      <c r="T4" s="23"/>
      <c r="U4" s="58"/>
    </row>
    <row r="5" spans="2:21" s="3" customFormat="1">
      <c r="C5" s="21" t="s">
        <v>86</v>
      </c>
      <c r="D5" s="9">
        <f>SUMIFS('Cash Balance'!$L$4:$L$920,'Cash Balance'!$Y$4:$Y$920,'&gt;&gt;Chart'!$C5,'Cash Balance'!$W$4:$W$920,'&gt;&gt;Chart'!D$1)/1000000000</f>
        <v>9.0867500000000004E-2</v>
      </c>
      <c r="E5" s="9">
        <f>SUMIFS('Cash Balance'!$T$4:$T$920,'Cash Balance'!$Y$4:$Y$920,'&gt;&gt;Chart'!$C5,'Cash Balance'!$W$4:$W$920,'&gt;&gt;Chart'!E$1)/1000000</f>
        <v>7.4833000000000007E-4</v>
      </c>
      <c r="F5" s="9">
        <f t="shared" ref="F5:F17" si="4">D5*1000/Fx+E5</f>
        <v>4.2198677268385863E-3</v>
      </c>
      <c r="G5" s="10">
        <f>SUMIFS('Cash Balance'!$L$4:$L$920,'Cash Balance'!$Y$4:$Y$920,'&gt;&gt;Chart'!$C5,'Cash Balance'!$W$4:$W$920,'&gt;&gt;Chart'!G$1)/1000000000</f>
        <v>0.172543116</v>
      </c>
      <c r="H5" s="10">
        <f>SUMIFS('Cash Balance'!$T$4:$T$920,'Cash Balance'!$Y$4:$Y$920,'&gt;&gt;Chart'!$C5,'Cash Balance'!$W$4:$W$920,'&gt;&gt;Chart'!H$1)/1000000</f>
        <v>5.4175999999999996E-4</v>
      </c>
      <c r="I5" s="10">
        <f t="shared" si="0"/>
        <v>7.1336651002865317E-3</v>
      </c>
      <c r="J5" s="10">
        <f t="shared" si="1"/>
        <v>0.186723684</v>
      </c>
      <c r="K5" s="8">
        <f>SUMIFS('Cash Balance'!$L$4:$L$920,'Cash Balance'!$Y$4:$Y$920,'&gt;&gt;Chart'!$C5,'Cash Balance'!$W$4:$W$920,'&gt;&gt;Chart'!K$1)/1000000000</f>
        <v>58.610552689000002</v>
      </c>
      <c r="L5" s="8">
        <f>SUMIFS('Cash Balance'!$T$4:$T$920,'Cash Balance'!$Y$4:$Y$920,'&gt;&gt;Chart'!$C5,'Cash Balance'!$W$4:$W$920,'&gt;&gt;Chart'!L$1)/1000000</f>
        <v>0</v>
      </c>
      <c r="M5" s="8">
        <f t="shared" si="2"/>
        <v>2.2391806184909266</v>
      </c>
      <c r="N5" s="11">
        <f t="shared" ref="N5:N17" si="5">D5+G5+K5</f>
        <v>58.873963305000004</v>
      </c>
      <c r="O5" s="11">
        <f t="shared" ref="O5:O17" si="6">E5+H5+L5</f>
        <v>1.29009E-3</v>
      </c>
      <c r="P5" s="11">
        <f t="shared" ref="P5:P14" si="7">N5*1000/Fx+O5</f>
        <v>2.2505341513180515</v>
      </c>
      <c r="Q5" s="40" t="e">
        <f>SUMIFS(#REF!,#REF!,'&gt;&gt;Chart'!C5)</f>
        <v>#REF!</v>
      </c>
      <c r="R5" s="40" t="e">
        <f>SUMIFS(#REF!,#REF!,'&gt;&gt;Chart'!C5)</f>
        <v>#REF!</v>
      </c>
      <c r="S5" s="117" t="e">
        <f t="shared" si="3"/>
        <v>#REF!</v>
      </c>
      <c r="T5" s="23"/>
    </row>
    <row r="6" spans="2:21" s="3" customFormat="1">
      <c r="C6" s="21" t="s">
        <v>87</v>
      </c>
      <c r="D6" s="9">
        <f>SUMIFS('Cash Balance'!$L$4:$L$920,'Cash Balance'!$Y$4:$Y$920,'&gt;&gt;Chart'!$C6,'Cash Balance'!$W$4:$W$920,'&gt;&gt;Chart'!D$1)/1000000000</f>
        <v>6.9729213229999996</v>
      </c>
      <c r="E6" s="9">
        <f>SUMIFS('Cash Balance'!$T$4:$T$920,'Cash Balance'!$Y$4:$Y$920,'&gt;&gt;Chart'!$C6,'Cash Balance'!$W$4:$W$920,'&gt;&gt;Chart'!E$1)/1000000</f>
        <v>1.70392E-3</v>
      </c>
      <c r="F6" s="9">
        <f t="shared" si="4"/>
        <v>0.26810015010506211</v>
      </c>
      <c r="G6" s="10">
        <f>SUMIFS('Cash Balance'!$L$4:$L$920,'Cash Balance'!$Y$4:$Y$920,'&gt;&gt;Chart'!$C6,'Cash Balance'!$W$4:$W$920,'&gt;&gt;Chart'!G$1)/1000000000</f>
        <v>110.42779946</v>
      </c>
      <c r="H6" s="10">
        <f>SUMIFS('Cash Balance'!$T$4:$T$920,'Cash Balance'!$Y$4:$Y$920,'&gt;&gt;Chart'!$C6,'Cash Balance'!$W$4:$W$920,'&gt;&gt;Chart'!H$1)/1000000</f>
        <v>1.81222E-3</v>
      </c>
      <c r="I6" s="10">
        <f t="shared" si="0"/>
        <v>4.2206393244890155</v>
      </c>
      <c r="J6" s="10">
        <f t="shared" si="1"/>
        <v>110.4752343185</v>
      </c>
      <c r="K6" s="8">
        <f>SUMIFS('Cash Balance'!$L$4:$L$920,'Cash Balance'!$Y$4:$Y$920,'&gt;&gt;Chart'!$C6,'Cash Balance'!$W$4:$W$920,'&gt;&gt;Chart'!K$1)/1000000000</f>
        <v>427.33769770200001</v>
      </c>
      <c r="L6" s="8">
        <f>SUMIFS('Cash Balance'!$T$4:$T$920,'Cash Balance'!$Y$4:$Y$920,'&gt;&gt;Chart'!$C6,'Cash Balance'!$W$4:$W$920,'&gt;&gt;Chart'!L$1)/1000000</f>
        <v>0</v>
      </c>
      <c r="M6" s="8">
        <f t="shared" si="2"/>
        <v>16.326177562636104</v>
      </c>
      <c r="N6" s="11">
        <f t="shared" si="5"/>
        <v>544.73841848500001</v>
      </c>
      <c r="O6" s="11">
        <f t="shared" si="6"/>
        <v>3.5161400000000001E-3</v>
      </c>
      <c r="P6" s="11">
        <f t="shared" si="7"/>
        <v>20.814917037230181</v>
      </c>
      <c r="Q6" s="40" t="e">
        <f>SUMIFS(#REF!,#REF!,'&gt;&gt;Chart'!C6)</f>
        <v>#REF!</v>
      </c>
      <c r="R6" s="40" t="e">
        <f>SUMIFS(#REF!,#REF!,'&gt;&gt;Chart'!C6)</f>
        <v>#REF!</v>
      </c>
      <c r="S6" s="117" t="e">
        <f t="shared" si="3"/>
        <v>#REF!</v>
      </c>
      <c r="T6" s="23"/>
    </row>
    <row r="7" spans="2:21" s="18" customFormat="1">
      <c r="C7" s="21" t="s">
        <v>88</v>
      </c>
      <c r="D7" s="9">
        <f>SUMIFS('Cash Balance'!$L$4:$L$920,'Cash Balance'!$Y$4:$Y$920,'&gt;&gt;Chart'!$C7,'Cash Balance'!$W$4:$W$920,'&gt;&gt;Chart'!D$1)/1000000000</f>
        <v>0</v>
      </c>
      <c r="E7" s="9">
        <f>SUMIFS('Cash Balance'!$T$4:$T$920,'Cash Balance'!$Y$4:$Y$920,'&gt;&gt;Chart'!$C7,'Cash Balance'!$W$4:$W$920,'&gt;&gt;Chart'!E$1)/1000000</f>
        <v>7.6900000000000004E-4</v>
      </c>
      <c r="F7" s="9">
        <f t="shared" si="4"/>
        <v>7.6900000000000004E-4</v>
      </c>
      <c r="G7" s="10">
        <f>SUMIFS('Cash Balance'!$L$4:$L$920,'Cash Balance'!$Y$4:$Y$920,'&gt;&gt;Chart'!$C7,'Cash Balance'!$W$4:$W$920,'&gt;&gt;Chart'!G$1)/1000000000</f>
        <v>4.0954490000000001E-3</v>
      </c>
      <c r="H7" s="10">
        <f>SUMIFS('Cash Balance'!$T$4:$T$920,'Cash Balance'!$Y$4:$Y$920,'&gt;&gt;Chart'!$C7,'Cash Balance'!$W$4:$W$920,'&gt;&gt;Chart'!H$1)/1000000</f>
        <v>0</v>
      </c>
      <c r="I7" s="10">
        <f t="shared" si="0"/>
        <v>1.5646414517669533E-4</v>
      </c>
      <c r="J7" s="10">
        <f t="shared" si="1"/>
        <v>4.0954490000000001E-3</v>
      </c>
      <c r="K7" s="8">
        <f>SUMIFS('Cash Balance'!$L$4:$L$920,'Cash Balance'!$Y$4:$Y$920,'&gt;&gt;Chart'!$C7,'Cash Balance'!$W$4:$W$920,'&gt;&gt;Chart'!K$1)/1000000000</f>
        <v>105.910615882</v>
      </c>
      <c r="L7" s="8">
        <f>SUMIFS('Cash Balance'!$T$4:$T$920,'Cash Balance'!$Y$4:$Y$920,'&gt;&gt;Chart'!$C7,'Cash Balance'!$W$4:$W$920,'&gt;&gt;Chart'!L$1)/1000000</f>
        <v>0</v>
      </c>
      <c r="M7" s="8">
        <f t="shared" si="2"/>
        <v>4.0462508455396371</v>
      </c>
      <c r="N7" s="11">
        <f t="shared" si="5"/>
        <v>105.91471133100001</v>
      </c>
      <c r="O7" s="11">
        <f t="shared" si="6"/>
        <v>7.6900000000000004E-4</v>
      </c>
      <c r="P7" s="11">
        <f t="shared" si="7"/>
        <v>4.0471763096848141</v>
      </c>
      <c r="Q7" s="40" t="e">
        <f>SUMIFS(#REF!,#REF!,'&gt;&gt;Chart'!C7)</f>
        <v>#REF!</v>
      </c>
      <c r="R7" s="40" t="e">
        <f>SUMIFS(#REF!,#REF!,'&gt;&gt;Chart'!C7)</f>
        <v>#REF!</v>
      </c>
      <c r="S7" s="117" t="e">
        <f t="shared" si="3"/>
        <v>#REF!</v>
      </c>
      <c r="T7" s="23"/>
    </row>
    <row r="8" spans="2:21" s="3" customFormat="1">
      <c r="C8" s="21" t="s">
        <v>89</v>
      </c>
      <c r="D8" s="9">
        <f>SUMIFS('Cash Balance'!$L$4:$L$920,'Cash Balance'!$Y$4:$Y$920,'&gt;&gt;Chart'!$C8,'Cash Balance'!$W$4:$W$920,'&gt;&gt;Chart'!D$1)/1000000000</f>
        <v>0.42946304000000002</v>
      </c>
      <c r="E8" s="9">
        <f>SUMIFS('Cash Balance'!$T$4:$T$920,'Cash Balance'!$Y$4:$Y$920,'&gt;&gt;Chart'!$C8,'Cash Balance'!$W$4:$W$920,'&gt;&gt;Chart'!E$1)/1000000</f>
        <v>6.4268999999999991E-4</v>
      </c>
      <c r="F8" s="9">
        <f t="shared" si="4"/>
        <v>1.7050064976122256E-2</v>
      </c>
      <c r="G8" s="10">
        <f>SUMIFS('Cash Balance'!$L$4:$L$920,'Cash Balance'!$Y$4:$Y$920,'&gt;&gt;Chart'!$C8,'Cash Balance'!$W$4:$W$920,'&gt;&gt;Chart'!G$1)/1000000000</f>
        <v>2.034926215</v>
      </c>
      <c r="H8" s="10">
        <f>SUMIFS('Cash Balance'!$T$4:$T$920,'Cash Balance'!$Y$4:$Y$920,'&gt;&gt;Chart'!$C8,'Cash Balance'!$W$4:$W$920,'&gt;&gt;Chart'!H$1)/1000000</f>
        <v>6.0619999999999977E-4</v>
      </c>
      <c r="I8" s="10">
        <f t="shared" si="0"/>
        <v>7.8349321872015279E-2</v>
      </c>
      <c r="J8" s="10">
        <f t="shared" si="1"/>
        <v>2.0507935000000002</v>
      </c>
      <c r="K8" s="8">
        <f>SUMIFS('Cash Balance'!$L$4:$L$920,'Cash Balance'!$Y$4:$Y$920,'&gt;&gt;Chart'!$C8,'Cash Balance'!$W$4:$W$920,'&gt;&gt;Chart'!K$1)/1000000000</f>
        <v>119.04302484199999</v>
      </c>
      <c r="L8" s="8">
        <f>SUMIFS('Cash Balance'!$T$4:$T$920,'Cash Balance'!$Y$4:$Y$920,'&gt;&gt;Chart'!$C8,'Cash Balance'!$W$4:$W$920,'&gt;&gt;Chart'!L$1)/1000000</f>
        <v>0</v>
      </c>
      <c r="M8" s="8">
        <f t="shared" si="2"/>
        <v>4.5479665651193883</v>
      </c>
      <c r="N8" s="11">
        <f t="shared" si="5"/>
        <v>121.50741409699999</v>
      </c>
      <c r="O8" s="11">
        <f t="shared" si="6"/>
        <v>1.2488899999999997E-3</v>
      </c>
      <c r="P8" s="11">
        <f t="shared" si="7"/>
        <v>4.6433659519675263</v>
      </c>
      <c r="Q8" s="40" t="e">
        <f>SUMIFS(#REF!,#REF!,'&gt;&gt;Chart'!C8)</f>
        <v>#REF!</v>
      </c>
      <c r="R8" s="40" t="e">
        <f>SUMIFS(#REF!,#REF!,'&gt;&gt;Chart'!C8)</f>
        <v>#REF!</v>
      </c>
      <c r="S8" s="117" t="e">
        <f t="shared" si="3"/>
        <v>#REF!</v>
      </c>
      <c r="T8" s="23"/>
      <c r="U8" s="58"/>
    </row>
    <row r="9" spans="2:21" s="3" customFormat="1">
      <c r="B9" s="3" t="s">
        <v>90</v>
      </c>
      <c r="C9" s="21" t="s">
        <v>91</v>
      </c>
      <c r="D9" s="9">
        <f>SUMIFS('Cash Balance'!$L$4:$L$920,'Cash Balance'!$Y$4:$Y$920,'&gt;&gt;Chart'!$C9,'Cash Balance'!$W$4:$W$920,'&gt;&gt;Chart'!D$1)/1000000000</f>
        <v>0.282241823</v>
      </c>
      <c r="E9" s="9">
        <f>SUMIFS('Cash Balance'!$T$4:$T$920,'Cash Balance'!$Y$4:$Y$920,'&gt;&gt;Chart'!$C9,'Cash Balance'!$W$4:$W$920,'&gt;&gt;Chart'!E$1)/1000000</f>
        <v>1.0683600000000002E-3</v>
      </c>
      <c r="F9" s="9">
        <f t="shared" si="4"/>
        <v>1.1851237669531998E-2</v>
      </c>
      <c r="G9" s="10">
        <f>SUMIFS('Cash Balance'!$L$4:$L$920,'Cash Balance'!$Y$4:$Y$920,'&gt;&gt;Chart'!$C9,'Cash Balance'!$W$4:$W$920,'&gt;&gt;Chart'!G$1)/1000000000</f>
        <v>1267.8364335660001</v>
      </c>
      <c r="H9" s="10">
        <f>SUMIFS('Cash Balance'!$T$4:$T$920,'Cash Balance'!$Y$4:$Y$920,'&gt;&gt;Chart'!$C9,'Cash Balance'!$W$4:$W$920,'&gt;&gt;Chart'!H$1)/1000000</f>
        <v>9.2500000000000012E-5</v>
      </c>
      <c r="I9" s="10">
        <f t="shared" si="0"/>
        <v>48.437014508252147</v>
      </c>
      <c r="J9" s="10">
        <f t="shared" si="1"/>
        <v>1267.8388547535001</v>
      </c>
      <c r="K9" s="8">
        <f>SUMIFS('Cash Balance'!$L$4:$L$920,'Cash Balance'!$Y$4:$Y$920,'&gt;&gt;Chart'!$C9,'Cash Balance'!$W$4:$W$920,'&gt;&gt;Chart'!K$1)/1000000000</f>
        <v>171.24825416100001</v>
      </c>
      <c r="L9" s="8">
        <f>SUMIFS('Cash Balance'!$T$4:$T$920,'Cash Balance'!$Y$4:$Y$920,'&gt;&gt;Chart'!$C9,'Cash Balance'!$W$4:$W$920,'&gt;&gt;Chart'!L$1)/1000000</f>
        <v>5.5893199999999966E-3</v>
      </c>
      <c r="M9" s="8">
        <f t="shared" si="2"/>
        <v>6.5480250090544425</v>
      </c>
      <c r="N9" s="11">
        <f t="shared" si="5"/>
        <v>1439.3669295500001</v>
      </c>
      <c r="O9" s="11">
        <f t="shared" si="6"/>
        <v>6.7501799999999963E-3</v>
      </c>
      <c r="P9" s="11">
        <f t="shared" si="7"/>
        <v>54.996890754976128</v>
      </c>
      <c r="Q9" s="40" t="e">
        <f>SUMIFS(#REF!,#REF!,'&gt;&gt;Chart'!C9)</f>
        <v>#REF!</v>
      </c>
      <c r="R9" s="40" t="e">
        <f>SUMIFS(#REF!,#REF!,'&gt;&gt;Chart'!C9)</f>
        <v>#REF!</v>
      </c>
      <c r="S9" s="117" t="e">
        <f t="shared" si="3"/>
        <v>#REF!</v>
      </c>
      <c r="T9" s="23"/>
    </row>
    <row r="10" spans="2:21" s="18" customFormat="1">
      <c r="C10" s="21" t="s">
        <v>92</v>
      </c>
      <c r="D10" s="9">
        <f>SUMIFS('Cash Balance'!$L$4:$L$920,'Cash Balance'!$Y$4:$Y$920,'&gt;&gt;Chart'!$C10,'Cash Balance'!$W$4:$W$920,'&gt;&gt;Chart'!D$1)/1000000000</f>
        <v>3.8060078999999997E-2</v>
      </c>
      <c r="E10" s="9">
        <f>SUMIFS('Cash Balance'!$T$4:$T$920,'Cash Balance'!$Y$4:$Y$920,'&gt;&gt;Chart'!$C10,'Cash Balance'!$W$4:$W$920,'&gt;&gt;Chart'!E$1)/1000000</f>
        <v>6.4799999999999989E-5</v>
      </c>
      <c r="F10" s="9">
        <f t="shared" si="4"/>
        <v>1.5188622349570199E-3</v>
      </c>
      <c r="G10" s="10">
        <f>SUMIFS('Cash Balance'!$L$4:$L$920,'Cash Balance'!$Y$4:$Y$920,'&gt;&gt;Chart'!$C10,'Cash Balance'!$W$4:$W$920,'&gt;&gt;Chart'!G$1)/1000000000</f>
        <v>5.452129673</v>
      </c>
      <c r="H10" s="10">
        <f>SUMIFS('Cash Balance'!$T$4:$T$920,'Cash Balance'!$Y$4:$Y$920,'&gt;&gt;Chart'!$C10,'Cash Balance'!$W$4:$W$920,'&gt;&gt;Chart'!H$1)/1000000</f>
        <v>2.1161000000000007E-4</v>
      </c>
      <c r="I10" s="10">
        <f t="shared" si="0"/>
        <v>0.20850691746895894</v>
      </c>
      <c r="J10" s="10">
        <f t="shared" si="1"/>
        <v>5.4576685647499996</v>
      </c>
      <c r="K10" s="8">
        <f>SUMIFS('Cash Balance'!$L$4:$L$920,'Cash Balance'!$Y$4:$Y$920,'&gt;&gt;Chart'!$C10,'Cash Balance'!$W$4:$W$920,'&gt;&gt;Chart'!K$1)/1000000000</f>
        <v>288.18830058700001</v>
      </c>
      <c r="L10" s="8">
        <f>SUMIFS('Cash Balance'!$T$4:$T$920,'Cash Balance'!$Y$4:$Y$920,'&gt;&gt;Chart'!$C10,'Cash Balance'!$W$4:$W$920,'&gt;&gt;Chart'!L$1)/1000000</f>
        <v>1.6149000000000003E-4</v>
      </c>
      <c r="M10" s="8">
        <f t="shared" si="2"/>
        <v>11.010220729235913</v>
      </c>
      <c r="N10" s="11">
        <f t="shared" si="5"/>
        <v>293.67849033900001</v>
      </c>
      <c r="O10" s="11">
        <f t="shared" si="6"/>
        <v>4.3790000000000007E-4</v>
      </c>
      <c r="P10" s="11">
        <f t="shared" si="7"/>
        <v>11.220246508939828</v>
      </c>
      <c r="Q10" s="40" t="e">
        <f>SUMIFS(#REF!,#REF!,'&gt;&gt;Chart'!C10)</f>
        <v>#REF!</v>
      </c>
      <c r="R10" s="40" t="e">
        <f>SUMIFS(#REF!,#REF!,'&gt;&gt;Chart'!C10)</f>
        <v>#REF!</v>
      </c>
      <c r="S10" s="117" t="e">
        <f t="shared" si="3"/>
        <v>#REF!</v>
      </c>
      <c r="T10" s="23"/>
      <c r="U10" s="59"/>
    </row>
    <row r="11" spans="2:21" s="18" customFormat="1">
      <c r="C11" s="21" t="s">
        <v>93</v>
      </c>
      <c r="D11" s="9">
        <f>SUMIFS('Cash Balance'!$L$4:$L$920,'Cash Balance'!$Y$4:$Y$920,'&gt;&gt;Chart'!$C11,'Cash Balance'!$W$4:$W$920,'&gt;&gt;Chart'!D$1)/1000000000</f>
        <v>0</v>
      </c>
      <c r="E11" s="9">
        <f>SUMIFS('Cash Balance'!$T$4:$T$920,'Cash Balance'!$Y$4:$Y$920,'&gt;&gt;Chart'!$C11,'Cash Balance'!$W$4:$W$920,'&gt;&gt;Chart'!E$1)/1000000</f>
        <v>0</v>
      </c>
      <c r="F11" s="9">
        <f t="shared" si="4"/>
        <v>0</v>
      </c>
      <c r="G11" s="10">
        <f>SUMIFS('Cash Balance'!$L$4:$L$920,'Cash Balance'!$Y$4:$Y$920,'&gt;&gt;Chart'!$C11,'Cash Balance'!$W$4:$W$920,'&gt;&gt;Chart'!G$1)/1000000000</f>
        <v>0</v>
      </c>
      <c r="H11" s="10">
        <f>SUMIFS('Cash Balance'!$T$4:$T$920,'Cash Balance'!$Y$4:$Y$920,'&gt;&gt;Chart'!$C11,'Cash Balance'!$W$4:$W$920,'&gt;&gt;Chart'!H$1)/1000000</f>
        <v>0</v>
      </c>
      <c r="I11" s="10">
        <f t="shared" si="0"/>
        <v>0</v>
      </c>
      <c r="J11" s="10">
        <f t="shared" si="1"/>
        <v>0</v>
      </c>
      <c r="K11" s="8">
        <f>SUMIFS('Cash Balance'!$L$4:$L$920,'Cash Balance'!$Y$4:$Y$920,'&gt;&gt;Chart'!$C11,'Cash Balance'!$W$4:$W$920,'&gt;&gt;Chart'!K$1)/1000000000</f>
        <v>82.158267897000002</v>
      </c>
      <c r="L11" s="8">
        <f>SUMIFS('Cash Balance'!$T$4:$T$920,'Cash Balance'!$Y$4:$Y$920,'&gt;&gt;Chart'!$C11,'Cash Balance'!$W$4:$W$920,'&gt;&gt;Chart'!L$1)/1000000</f>
        <v>0</v>
      </c>
      <c r="M11" s="8">
        <f t="shared" si="2"/>
        <v>3.1388067964469912</v>
      </c>
      <c r="N11" s="11">
        <f t="shared" si="5"/>
        <v>82.158267897000002</v>
      </c>
      <c r="O11" s="11">
        <f t="shared" si="6"/>
        <v>0</v>
      </c>
      <c r="P11" s="11">
        <f t="shared" si="7"/>
        <v>3.1388067964469912</v>
      </c>
      <c r="Q11" s="40" t="e">
        <f>SUMIFS(#REF!,#REF!,'&gt;&gt;Chart'!C11)</f>
        <v>#REF!</v>
      </c>
      <c r="R11" s="40" t="e">
        <f>SUMIFS(#REF!,#REF!,'&gt;&gt;Chart'!C11)</f>
        <v>#REF!</v>
      </c>
      <c r="S11" s="117" t="e">
        <f t="shared" si="3"/>
        <v>#REF!</v>
      </c>
      <c r="T11" s="23"/>
    </row>
    <row r="12" spans="2:21" s="18" customFormat="1">
      <c r="C12" s="21" t="s">
        <v>94</v>
      </c>
      <c r="D12" s="9">
        <f>SUMIFS('Cash Balance'!$L$4:$L$920,'Cash Balance'!$Y$4:$Y$920,'&gt;&gt;Chart'!$C12,'Cash Balance'!$W$4:$W$920,'&gt;&gt;Chart'!D$1)/1000000000</f>
        <v>0</v>
      </c>
      <c r="E12" s="9">
        <f>SUMIFS('Cash Balance'!$T$4:$T$920,'Cash Balance'!$Y$4:$Y$920,'&gt;&gt;Chart'!$C12,'Cash Balance'!$W$4:$W$920,'&gt;&gt;Chart'!E$1)/1000000</f>
        <v>0</v>
      </c>
      <c r="F12" s="9">
        <f t="shared" si="4"/>
        <v>0</v>
      </c>
      <c r="G12" s="10">
        <f>SUMIFS('Cash Balance'!$L$4:$L$920,'Cash Balance'!$Y$4:$Y$920,'&gt;&gt;Chart'!$C12,'Cash Balance'!$W$4:$W$920,'&gt;&gt;Chart'!G$1)/1000000000</f>
        <v>0</v>
      </c>
      <c r="H12" s="10">
        <f>SUMIFS('Cash Balance'!$T$4:$T$920,'Cash Balance'!$Y$4:$Y$920,'&gt;&gt;Chart'!$C12,'Cash Balance'!$W$4:$W$920,'&gt;&gt;Chart'!H$1)/1000000</f>
        <v>0</v>
      </c>
      <c r="I12" s="10">
        <f t="shared" si="0"/>
        <v>0</v>
      </c>
      <c r="J12" s="10">
        <f t="shared" si="1"/>
        <v>0</v>
      </c>
      <c r="K12" s="8">
        <f>SUMIFS('Cash Balance'!$L$4:$L$920,'Cash Balance'!$Y$4:$Y$920,'&gt;&gt;Chart'!$C12,'Cash Balance'!$W$4:$W$920,'&gt;&gt;Chart'!K$1)/1000000000</f>
        <v>0.101627896</v>
      </c>
      <c r="L12" s="8">
        <f>SUMIFS('Cash Balance'!$T$4:$T$920,'Cash Balance'!$Y$4:$Y$920,'&gt;&gt;Chart'!$C12,'Cash Balance'!$W$4:$W$920,'&gt;&gt;Chart'!L$1)/1000000</f>
        <v>1.4119999999999568E-4</v>
      </c>
      <c r="M12" s="8">
        <f t="shared" si="2"/>
        <v>4.0238321298949331E-3</v>
      </c>
      <c r="N12" s="11">
        <f t="shared" si="5"/>
        <v>0.101627896</v>
      </c>
      <c r="O12" s="11">
        <f t="shared" si="6"/>
        <v>1.4119999999999568E-4</v>
      </c>
      <c r="P12" s="11">
        <f t="shared" si="7"/>
        <v>4.0238321298949331E-3</v>
      </c>
      <c r="Q12" s="40" t="e">
        <f>SUMIFS(#REF!,#REF!,'&gt;&gt;Chart'!C12)</f>
        <v>#REF!</v>
      </c>
      <c r="R12" s="40" t="e">
        <f>SUMIFS(#REF!,#REF!,'&gt;&gt;Chart'!C12)</f>
        <v>#REF!</v>
      </c>
      <c r="S12" s="117" t="e">
        <f t="shared" si="3"/>
        <v>#REF!</v>
      </c>
      <c r="T12" s="23"/>
    </row>
    <row r="13" spans="2:21" s="3" customFormat="1">
      <c r="C13" s="22" t="s">
        <v>95</v>
      </c>
      <c r="D13" s="9">
        <f>SUMIFS('Cash Balance'!$L$4:$L$920,'Cash Balance'!$Y$4:$Y$920,'&gt;&gt;Chart'!$C13,'Cash Balance'!$W$4:$W$920,'&gt;&gt;Chart'!D$1)/1000000000</f>
        <v>6.9627514000000001E-2</v>
      </c>
      <c r="E13" s="9">
        <f>SUMIFS('Cash Balance'!$T$4:$T$920,'Cash Balance'!$Y$4:$Y$920,'&gt;&gt;Chart'!$C13,'Cash Balance'!$W$4:$W$920,'&gt;&gt;Chart'!E$1)/1000000</f>
        <v>1.4999999999999999E-4</v>
      </c>
      <c r="F13" s="9">
        <f t="shared" si="4"/>
        <v>2.8100769436485199E-3</v>
      </c>
      <c r="G13" s="10">
        <f>SUMIFS('Cash Balance'!$L$4:$L$920,'Cash Balance'!$Y$4:$Y$920,'&gt;&gt;Chart'!$C13,'Cash Balance'!$W$4:$W$920,'&gt;&gt;Chart'!G$1)/1000000000</f>
        <v>5.6483172999999998E-2</v>
      </c>
      <c r="H13" s="10">
        <f>SUMIFS('Cash Balance'!$T$4:$T$920,'Cash Balance'!$Y$4:$Y$920,'&gt;&gt;Chart'!$C13,'Cash Balance'!$W$4:$W$920,'&gt;&gt;Chart'!H$1)/1000000</f>
        <v>1E-4</v>
      </c>
      <c r="I13" s="10">
        <f t="shared" si="0"/>
        <v>2.2579053677172869E-3</v>
      </c>
      <c r="J13" s="10">
        <f t="shared" si="1"/>
        <v>5.9100672999999999E-2</v>
      </c>
      <c r="K13" s="8">
        <f>SUMIFS('Cash Balance'!$L$4:$L$920,'Cash Balance'!$Y$4:$Y$920,'&gt;&gt;Chart'!$C13,'Cash Balance'!$W$4:$W$920,'&gt;&gt;Chart'!K$1)/1000000000</f>
        <v>0.472518514</v>
      </c>
      <c r="L13" s="8">
        <f>SUMIFS('Cash Balance'!$T$4:$T$920,'Cash Balance'!$Y$4:$Y$920,'&gt;&gt;Chart'!$C13,'Cash Balance'!$W$4:$W$920,'&gt;&gt;Chart'!L$1)/1000000</f>
        <v>0</v>
      </c>
      <c r="M13" s="8">
        <f t="shared" si="2"/>
        <v>1.8052283247373447E-2</v>
      </c>
      <c r="N13" s="11">
        <f t="shared" si="5"/>
        <v>0.59862920100000006</v>
      </c>
      <c r="O13" s="11">
        <f t="shared" si="6"/>
        <v>2.5000000000000001E-4</v>
      </c>
      <c r="P13" s="11">
        <f>N13*1000/Fx+O13</f>
        <v>2.3120265558739257E-2</v>
      </c>
      <c r="Q13" s="40" t="e">
        <f>SUMIFS(#REF!,#REF!,'&gt;&gt;Chart'!C13)</f>
        <v>#REF!</v>
      </c>
      <c r="R13" s="40" t="e">
        <f>SUMIFS(#REF!,#REF!,'&gt;&gt;Chart'!C13)</f>
        <v>#REF!</v>
      </c>
      <c r="S13" s="117" t="e">
        <f t="shared" si="3"/>
        <v>#REF!</v>
      </c>
      <c r="T13" s="23"/>
    </row>
    <row r="14" spans="2:21" s="3" customFormat="1">
      <c r="C14" s="22" t="s">
        <v>96</v>
      </c>
      <c r="D14" s="9">
        <f>SUMIFS('Cash Balance'!$L$4:$L$920,'Cash Balance'!$Y$4:$Y$920,'&gt;&gt;Chart'!$C14,'Cash Balance'!$W$4:$W$920,'&gt;&gt;Chart'!D$1)/1000000000</f>
        <v>1.3672907E-2</v>
      </c>
      <c r="E14" s="9">
        <f>SUMIFS('Cash Balance'!$T$4:$T$920,'Cash Balance'!$Y$4:$Y$920,'&gt;&gt;Chart'!$C14,'Cash Balance'!$W$4:$W$920,'&gt;&gt;Chart'!E$1)/1000000</f>
        <v>5.1599999999999987E-5</v>
      </c>
      <c r="F14" s="9">
        <f t="shared" si="4"/>
        <v>5.7396511938872965E-4</v>
      </c>
      <c r="G14" s="10">
        <f>SUMIFS('Cash Balance'!$L$4:$L$920,'Cash Balance'!$Y$4:$Y$920,'&gt;&gt;Chart'!$C14,'Cash Balance'!$W$4:$W$920,'&gt;&gt;Chart'!G$1)/1000000000</f>
        <v>170.18761961499999</v>
      </c>
      <c r="H14" s="10">
        <f>SUMIFS('Cash Balance'!$T$4:$T$920,'Cash Balance'!$Y$4:$Y$920,'&gt;&gt;Chart'!$C14,'Cash Balance'!$W$4:$W$920,'&gt;&gt;Chart'!H$1)/1000000</f>
        <v>1E-4</v>
      </c>
      <c r="I14" s="10">
        <f t="shared" si="0"/>
        <v>6.5020147894937912</v>
      </c>
      <c r="J14" s="10">
        <f t="shared" si="1"/>
        <v>170.190237115</v>
      </c>
      <c r="K14" s="8">
        <f>SUMIFS('Cash Balance'!$L$4:$L$920,'Cash Balance'!$Y$4:$Y$920,'&gt;&gt;Chart'!$C14,'Cash Balance'!$W$4:$W$920,'&gt;&gt;Chart'!K$1)/1000000000</f>
        <v>4.1944988959999998</v>
      </c>
      <c r="L14" s="8">
        <f>SUMIFS('Cash Balance'!$T$4:$T$920,'Cash Balance'!$Y$4:$Y$920,'&gt;&gt;Chart'!$C14,'Cash Balance'!$W$4:$W$920,'&gt;&gt;Chart'!L$1)/1000000</f>
        <v>0</v>
      </c>
      <c r="M14" s="8">
        <f t="shared" si="2"/>
        <v>0.16024828638013372</v>
      </c>
      <c r="N14" s="11">
        <f t="shared" si="5"/>
        <v>174.39579141799999</v>
      </c>
      <c r="O14" s="11">
        <f t="shared" si="6"/>
        <v>1.516E-4</v>
      </c>
      <c r="P14" s="11">
        <f t="shared" si="7"/>
        <v>6.6628370409933133</v>
      </c>
      <c r="Q14" s="40" t="e">
        <f>SUMIFS(#REF!,#REF!,'&gt;&gt;Chart'!C14)</f>
        <v>#REF!</v>
      </c>
      <c r="R14" s="40" t="e">
        <f>SUMIFS(#REF!,#REF!,'&gt;&gt;Chart'!C14)</f>
        <v>#REF!</v>
      </c>
      <c r="S14" s="117" t="e">
        <f t="shared" si="3"/>
        <v>#REF!</v>
      </c>
      <c r="T14" s="23"/>
    </row>
    <row r="15" spans="2:21" s="18" customFormat="1">
      <c r="C15" s="22" t="s">
        <v>97</v>
      </c>
      <c r="D15" s="9">
        <f>SUMIFS('Cash Balance'!$L$4:$L$920,'Cash Balance'!$Y$4:$Y$920,'&gt;&gt;Chart'!$C15,'Cash Balance'!$W$4:$W$920,'&gt;&gt;Chart'!D$1)/1000000000</f>
        <v>0</v>
      </c>
      <c r="E15" s="9">
        <f>SUMIFS('Cash Balance'!$T$4:$T$920,'Cash Balance'!$Y$4:$Y$920,'&gt;&gt;Chart'!$C15,'Cash Balance'!$W$4:$W$920,'&gt;&gt;Chart'!E$1)/1000000</f>
        <v>0</v>
      </c>
      <c r="F15" s="55">
        <f>D15*1000/Fx+E15</f>
        <v>0</v>
      </c>
      <c r="G15" s="10">
        <f>SUMIFS('Cash Balance'!$L$4:$L$920,'Cash Balance'!$Y$4:$Y$920,'&gt;&gt;Chart'!$C15,'Cash Balance'!$W$4:$W$920,'&gt;&gt;Chart'!G$1)/1000000000</f>
        <v>7.9583039999999994E-3</v>
      </c>
      <c r="H15" s="10">
        <f>SUMIFS('Cash Balance'!$T$4:$T$920,'Cash Balance'!$Y$4:$Y$920,'&gt;&gt;Chart'!$C15,'Cash Balance'!$W$4:$W$920,'&gt;&gt;Chart'!H$1)/1000000</f>
        <v>9.0000000000000006E-5</v>
      </c>
      <c r="I15" s="10">
        <f t="shared" si="0"/>
        <v>3.9404217765042979E-4</v>
      </c>
      <c r="J15" s="10">
        <f t="shared" si="1"/>
        <v>1.0314054E-2</v>
      </c>
      <c r="K15" s="8">
        <f>SUMIFS('Cash Balance'!$L$4:$L$920,'Cash Balance'!$Y$4:$Y$920,'&gt;&gt;Chart'!$C15,'Cash Balance'!$W$4:$W$920,'&gt;&gt;Chart'!K$1)/1000000000</f>
        <v>0</v>
      </c>
      <c r="L15" s="8">
        <f>SUMIFS('Cash Balance'!$T$4:$T$920,'Cash Balance'!$Y$4:$Y$920,'&gt;&gt;Chart'!$C15,'Cash Balance'!$W$4:$W$920,'&gt;&gt;Chart'!L$1)/1000000</f>
        <v>0</v>
      </c>
      <c r="M15" s="56">
        <f>K15*1000/Fx+L15</f>
        <v>0</v>
      </c>
      <c r="N15" s="11">
        <f>D15+G15+K15</f>
        <v>7.9583039999999994E-3</v>
      </c>
      <c r="O15" s="11">
        <f>E15+H15+L15</f>
        <v>9.0000000000000006E-5</v>
      </c>
      <c r="P15" s="11">
        <f>N15*1000/Fx+O15</f>
        <v>3.9404217765042979E-4</v>
      </c>
      <c r="Q15" s="40" t="e">
        <f>SUMIFS(#REF!,#REF!,'&gt;&gt;Chart'!C15)</f>
        <v>#REF!</v>
      </c>
      <c r="R15" s="40" t="e">
        <f>SUMIFS(#REF!,#REF!,'&gt;&gt;Chart'!C15)</f>
        <v>#REF!</v>
      </c>
      <c r="S15" s="117" t="e">
        <f t="shared" si="3"/>
        <v>#REF!</v>
      </c>
      <c r="T15" s="23"/>
    </row>
    <row r="16" spans="2:21" s="18" customFormat="1">
      <c r="C16" s="22" t="s">
        <v>98</v>
      </c>
      <c r="D16" s="9">
        <f>SUMIFS('Cash Balance'!$L$4:$L$920,'Cash Balance'!$Y$4:$Y$920,'&gt;&gt;Chart'!$C16,'Cash Balance'!$W$4:$W$920,'&gt;&gt;Chart'!D$1)/1000000000</f>
        <v>30.613468682000001</v>
      </c>
      <c r="E16" s="9">
        <f>SUMIFS('Cash Balance'!$T$4:$T$920,'Cash Balance'!$Y$4:$Y$920,'&gt;&gt;Chart'!$C16,'Cash Balance'!$W$4:$W$920,'&gt;&gt;Chart'!E$1)/1000000</f>
        <v>1.3119739999999998E-2</v>
      </c>
      <c r="F16" s="55">
        <f>D16*1000/Fx+E16</f>
        <v>1.1826887440878702</v>
      </c>
      <c r="G16" s="10">
        <f>SUMIFS('Cash Balance'!$L$4:$L$920,'Cash Balance'!$Y$4:$Y$920,'&gt;&gt;Chart'!$C16,'Cash Balance'!$W$4:$W$920,'&gt;&gt;Chart'!G$1)/1000000000</f>
        <v>40.074818921000002</v>
      </c>
      <c r="H16" s="10">
        <f>SUMIFS('Cash Balance'!$T$4:$T$920,'Cash Balance'!$Y$4:$Y$920,'&gt;&gt;Chart'!$C16,'Cash Balance'!$W$4:$W$920,'&gt;&gt;Chart'!H$1)/1000000</f>
        <v>0</v>
      </c>
      <c r="I16" s="10">
        <f t="shared" ref="I16" si="8">G16/Fx*1000+H16</f>
        <v>1.5310341517096466</v>
      </c>
      <c r="J16" s="10">
        <f t="shared" ref="J16" si="9">G16+H16*Fx/1000</f>
        <v>40.074818921000002</v>
      </c>
      <c r="K16" s="8">
        <f>SUMIFS('Cash Balance'!$L$4:$L$920,'Cash Balance'!$Y$4:$Y$920,'&gt;&gt;Chart'!$C16,'Cash Balance'!$W$4:$W$920,'&gt;&gt;Chart'!K$1)/1000000000</f>
        <v>69.120992877000006</v>
      </c>
      <c r="L16" s="8">
        <f>SUMIFS('Cash Balance'!$T$4:$T$920,'Cash Balance'!$Y$4:$Y$920,'&gt;&gt;Chart'!$C16,'Cash Balance'!$W$4:$W$920,'&gt;&gt;Chart'!L$1)/1000000</f>
        <v>0</v>
      </c>
      <c r="M16" s="56">
        <f>K16*1000/Fx+L16</f>
        <v>2.6407256113467055</v>
      </c>
      <c r="N16" s="11">
        <f>D16+G16+K16</f>
        <v>139.80928048000001</v>
      </c>
      <c r="O16" s="11">
        <f>E16+H16+L16</f>
        <v>1.3119739999999998E-2</v>
      </c>
      <c r="P16" s="11">
        <f>N16*1000/Fx+O16</f>
        <v>5.3544485071442214</v>
      </c>
      <c r="Q16" s="40" t="e">
        <f>SUMIFS(#REF!,#REF!,'&gt;&gt;Chart'!C16)</f>
        <v>#REF!</v>
      </c>
      <c r="R16" s="40" t="e">
        <f>SUMIFS(#REF!,#REF!,'&gt;&gt;Chart'!C16)</f>
        <v>#REF!</v>
      </c>
      <c r="S16" s="117"/>
      <c r="T16" s="23"/>
    </row>
    <row r="17" spans="3:19" s="3" customFormat="1">
      <c r="C17" s="3" t="s">
        <v>99</v>
      </c>
      <c r="D17" s="9">
        <f>SUMIFS('Cash Balance'!$L$4:$L$920,'Cash Balance'!$Y$4:$Y$920,'&gt;&gt;Chart'!$C17,'Cash Balance'!$W$4:$W$920,'&gt;&gt;Chart'!D$1)/1000000000</f>
        <v>0.18018878499999999</v>
      </c>
      <c r="E17" s="9">
        <f>SUMIFS('Cash Balance'!$T$4:$T$920,'Cash Balance'!$Y$4:$Y$920,'&gt;&gt;Chart'!$C17,'Cash Balance'!$W$4:$W$920,'&gt;&gt;Chart'!E$1)/1000000</f>
        <v>2.9999999999999997E-8</v>
      </c>
      <c r="F17" s="9">
        <f t="shared" si="4"/>
        <v>6.8840332473734476E-3</v>
      </c>
      <c r="G17" s="10">
        <f>SUMIFS('Cash Balance'!$L$4:$L$920,'Cash Balance'!$Y$4:$Y$920,'&gt;&gt;Chart'!$C17,'Cash Balance'!$W$4:$W$920,'&gt;&gt;Chart'!G$1)/1000000000</f>
        <v>0.64734745900000001</v>
      </c>
      <c r="H17" s="10">
        <f>SUMIFS('Cash Balance'!$T$4:$T$920,'Cash Balance'!$Y$4:$Y$920,'&gt;&gt;Chart'!$C17,'Cash Balance'!$W$4:$W$920,'&gt;&gt;Chart'!H$1)/1000000</f>
        <v>0</v>
      </c>
      <c r="I17" s="10">
        <f t="shared" si="0"/>
        <v>2.4731517058261699E-2</v>
      </c>
      <c r="J17" s="10">
        <f t="shared" si="1"/>
        <v>0.64734745900000001</v>
      </c>
      <c r="K17" s="8">
        <f>SUMIFS('Cash Balance'!$L$4:$L$920,'Cash Balance'!$Y$4:$Y$920,'&gt;&gt;Chart'!$C17,'Cash Balance'!$W$4:$W$920,'&gt;&gt;Chart'!K$1)/1000000000</f>
        <v>219.91921219700001</v>
      </c>
      <c r="L17" s="8">
        <f>SUMIFS('Cash Balance'!$T$4:$T$920,'Cash Balance'!$Y$4:$Y$920,'&gt;&gt;Chart'!$C17,'Cash Balance'!$W$4:$W$920,'&gt;&gt;Chart'!L$1)/1000000</f>
        <v>0</v>
      </c>
      <c r="M17" s="8">
        <f t="shared" si="2"/>
        <v>8.4018801221394472</v>
      </c>
      <c r="N17" s="11">
        <f t="shared" si="5"/>
        <v>220.74674844099999</v>
      </c>
      <c r="O17" s="11">
        <f t="shared" si="6"/>
        <v>2.9999999999999997E-8</v>
      </c>
      <c r="P17" s="11">
        <f>N17*1000/Fx+O17</f>
        <v>8.4334956724450816</v>
      </c>
      <c r="Q17" s="40" t="e">
        <f>SUMIFS(#REF!,#REF!,'&gt;&gt;Chart'!C17)</f>
        <v>#REF!</v>
      </c>
      <c r="R17" s="40" t="e">
        <f>SUMIFS(#REF!,#REF!,'&gt;&gt;Chart'!C17)</f>
        <v>#REF!</v>
      </c>
      <c r="S17" s="117" t="e">
        <f>Q17/$Q$18</f>
        <v>#REF!</v>
      </c>
    </row>
    <row r="18" spans="3:19" s="5" customFormat="1">
      <c r="C18" s="4" t="s">
        <v>68</v>
      </c>
      <c r="D18" s="12">
        <f t="shared" ref="D18:M18" si="10">SUM(D4:D17)</f>
        <v>38.719551167999995</v>
      </c>
      <c r="E18" s="12">
        <f>SUM(E4:E17)</f>
        <v>1.8518469999999999E-2</v>
      </c>
      <c r="F18" s="12">
        <f>SUM(F4:F17)</f>
        <v>1.4977754391690545</v>
      </c>
      <c r="G18" s="13">
        <f t="shared" si="10"/>
        <v>1858.5591273050002</v>
      </c>
      <c r="H18" s="13">
        <f>SUM(H4:H17)</f>
        <v>3.9928199999999994E-3</v>
      </c>
      <c r="I18" s="13">
        <f t="shared" si="10"/>
        <v>71.009117072340004</v>
      </c>
      <c r="J18" s="28">
        <f t="shared" si="10"/>
        <v>1858.6636393685003</v>
      </c>
      <c r="K18" s="14">
        <f t="shared" si="10"/>
        <v>2084.9901060740003</v>
      </c>
      <c r="L18" s="14">
        <f t="shared" si="10"/>
        <v>3.6565319999999991E-2</v>
      </c>
      <c r="M18" s="14">
        <f t="shared" si="10"/>
        <v>79.692347787010505</v>
      </c>
      <c r="N18" s="15">
        <f>D18+G18+K18</f>
        <v>3982.2687845470005</v>
      </c>
      <c r="O18" s="15">
        <f>E18+H18+L18</f>
        <v>5.9076609999999988E-2</v>
      </c>
      <c r="P18" s="15">
        <f>N18*1000/Fx+O18</f>
        <v>152.19924029851961</v>
      </c>
      <c r="Q18" s="41" t="e">
        <f>SUM(Q4:Q17)</f>
        <v>#REF!</v>
      </c>
      <c r="R18" s="41" t="e">
        <f>SUM(R4:R17)</f>
        <v>#REF!</v>
      </c>
      <c r="S18" s="118" t="e">
        <f>Q18/$Q$18</f>
        <v>#REF!</v>
      </c>
    </row>
    <row r="19" spans="3:19" s="3" customFormat="1">
      <c r="C19"/>
      <c r="F19" s="16"/>
      <c r="H19" s="16"/>
      <c r="I19" s="19"/>
      <c r="J19" s="16"/>
      <c r="M19" s="16"/>
      <c r="P19" s="16"/>
    </row>
    <row r="20" spans="3:19">
      <c r="F20" s="6"/>
      <c r="H20" s="6"/>
      <c r="I20" s="54"/>
      <c r="J20" s="6"/>
      <c r="L20" s="6"/>
      <c r="M20" s="6"/>
      <c r="O20" s="6"/>
      <c r="P20" s="6"/>
    </row>
    <row r="21" spans="3:19" hidden="1">
      <c r="C21" t="s">
        <v>100</v>
      </c>
      <c r="D21" t="s">
        <v>101</v>
      </c>
      <c r="E21" t="s">
        <v>102</v>
      </c>
      <c r="F21" t="s">
        <v>103</v>
      </c>
      <c r="G21" t="s">
        <v>104</v>
      </c>
      <c r="I21" s="30"/>
      <c r="N21" s="6"/>
      <c r="O21" s="6"/>
    </row>
    <row r="22" spans="3:19" hidden="1">
      <c r="C22" s="17" t="s">
        <v>94</v>
      </c>
      <c r="D22" s="6">
        <v>0</v>
      </c>
      <c r="E22" s="6">
        <v>0</v>
      </c>
      <c r="F22" s="6">
        <v>1.2728541305384613</v>
      </c>
      <c r="G22" s="6">
        <v>1.2728541305384613</v>
      </c>
      <c r="I22" s="30"/>
      <c r="Q22" s="236"/>
      <c r="R22" s="236"/>
      <c r="S22" s="236"/>
    </row>
    <row r="23" spans="3:19" hidden="1">
      <c r="C23" s="17" t="s">
        <v>93</v>
      </c>
      <c r="D23" s="6">
        <v>0</v>
      </c>
      <c r="E23" s="6">
        <v>0</v>
      </c>
      <c r="F23" s="6">
        <v>3.0989018401538466</v>
      </c>
      <c r="G23" s="6">
        <v>3.0989018401538466</v>
      </c>
      <c r="I23" s="30"/>
      <c r="Q23" s="236"/>
      <c r="R23" s="236"/>
      <c r="S23" s="236"/>
    </row>
    <row r="24" spans="3:19" hidden="1">
      <c r="C24" s="17" t="s">
        <v>92</v>
      </c>
      <c r="D24" s="6">
        <v>1.5521126153846155E-3</v>
      </c>
      <c r="E24" s="6">
        <v>1.9329443518846154</v>
      </c>
      <c r="F24" s="6">
        <v>12.531194787615384</v>
      </c>
      <c r="G24" s="6">
        <v>14.465691252115386</v>
      </c>
      <c r="I24" s="30"/>
      <c r="Q24" s="236"/>
      <c r="S24" s="25"/>
    </row>
    <row r="25" spans="3:19" hidden="1">
      <c r="C25" s="17" t="s">
        <v>97</v>
      </c>
      <c r="D25" s="6">
        <v>0</v>
      </c>
      <c r="E25" s="6">
        <v>3.9601238461538463E-4</v>
      </c>
      <c r="F25" s="6">
        <v>0</v>
      </c>
      <c r="G25" s="6">
        <v>3.9601238461538463E-4</v>
      </c>
      <c r="I25" s="30"/>
    </row>
    <row r="26" spans="3:19" hidden="1">
      <c r="C26" s="17" t="s">
        <v>95</v>
      </c>
      <c r="D26" s="6">
        <v>2.8399669230769228E-3</v>
      </c>
      <c r="E26" s="6">
        <v>2.2845483076923074E-3</v>
      </c>
      <c r="F26" s="6">
        <v>5.2526565961538457E-2</v>
      </c>
      <c r="G26" s="6">
        <v>5.765108119230769E-2</v>
      </c>
      <c r="I26" s="30"/>
      <c r="N26" s="236"/>
    </row>
    <row r="27" spans="3:19" hidden="1">
      <c r="C27" s="17" t="s">
        <v>99</v>
      </c>
      <c r="D27" s="6">
        <v>6.9283001923076924E-3</v>
      </c>
      <c r="E27" s="6">
        <v>1.6659580923076924E-2</v>
      </c>
      <c r="F27" s="6">
        <v>3.3959035396153845</v>
      </c>
      <c r="G27" s="6">
        <v>3.4194914207307692</v>
      </c>
      <c r="I27" s="30"/>
    </row>
    <row r="28" spans="3:19" hidden="1">
      <c r="C28" s="17" t="s">
        <v>98</v>
      </c>
      <c r="D28" s="6">
        <v>1.1683116178846153</v>
      </c>
      <c r="E28" s="6">
        <v>1.9459680288076924</v>
      </c>
      <c r="F28" s="6">
        <v>2.8833237491153842</v>
      </c>
      <c r="G28" s="6">
        <v>5.9976033958076913</v>
      </c>
      <c r="I28" s="30"/>
    </row>
    <row r="29" spans="3:19" hidden="1">
      <c r="C29" s="17" t="s">
        <v>96</v>
      </c>
      <c r="D29" s="6">
        <v>5.8975969230769232E-4</v>
      </c>
      <c r="E29" s="6">
        <v>6.5457685908076915</v>
      </c>
      <c r="F29" s="6">
        <v>0.12115174373076923</v>
      </c>
      <c r="G29" s="6">
        <v>6.667510094230769</v>
      </c>
      <c r="I29" s="30"/>
    </row>
    <row r="30" spans="3:19" hidden="1">
      <c r="C30" s="17" t="s">
        <v>89</v>
      </c>
      <c r="D30" s="6">
        <v>1.7156796192307693E-2</v>
      </c>
      <c r="E30" s="6">
        <v>7.8774523615384617E-2</v>
      </c>
      <c r="F30" s="6">
        <v>5.2258422954230772</v>
      </c>
      <c r="G30" s="6">
        <v>5.3217736152307697</v>
      </c>
      <c r="I30" s="30"/>
    </row>
    <row r="31" spans="3:19" hidden="1">
      <c r="C31" s="17" t="s">
        <v>91</v>
      </c>
      <c r="D31" s="6">
        <v>1.1771033038461538E-2</v>
      </c>
      <c r="E31" s="6">
        <v>44.040423890346148</v>
      </c>
      <c r="F31" s="6">
        <v>3.8727379775384616</v>
      </c>
      <c r="G31" s="6">
        <v>47.924932900923089</v>
      </c>
      <c r="I31" s="30"/>
    </row>
    <row r="32" spans="3:19" hidden="1">
      <c r="C32" s="17" t="s">
        <v>87</v>
      </c>
      <c r="D32" s="6">
        <v>0.50274373519230775</v>
      </c>
      <c r="E32" s="6">
        <v>7.0234828277307688</v>
      </c>
      <c r="F32" s="6">
        <v>8.9906741681923084</v>
      </c>
      <c r="G32" s="6">
        <v>16.516900731115385</v>
      </c>
      <c r="I32" s="30"/>
    </row>
    <row r="33" spans="1:26" hidden="1">
      <c r="C33" s="17" t="s">
        <v>86</v>
      </c>
      <c r="D33" s="6">
        <v>4.2385030000000002E-3</v>
      </c>
      <c r="E33" s="6">
        <v>7.1696771923076925E-3</v>
      </c>
      <c r="F33" s="6">
        <v>3.442743260423077</v>
      </c>
      <c r="G33" s="6">
        <v>3.454151440615385</v>
      </c>
      <c r="I33" s="30"/>
    </row>
    <row r="34" spans="1:26" hidden="1">
      <c r="C34" s="17" t="s">
        <v>88</v>
      </c>
      <c r="D34" s="6">
        <v>7.6900000000000004E-4</v>
      </c>
      <c r="E34" s="6">
        <v>1.5731892307692307E-4</v>
      </c>
      <c r="F34" s="6">
        <v>1.5013387944615384</v>
      </c>
      <c r="G34" s="6">
        <v>1.5022651133846154</v>
      </c>
      <c r="I34" s="30"/>
    </row>
    <row r="35" spans="1:26" hidden="1">
      <c r="C35" s="17" t="s">
        <v>85</v>
      </c>
      <c r="D35" s="6">
        <v>1.315498E-3</v>
      </c>
      <c r="E35" s="6">
        <v>2.5876051449999995</v>
      </c>
      <c r="F35" s="6">
        <v>20.724652473038461</v>
      </c>
      <c r="G35" s="6">
        <v>23.313573116038459</v>
      </c>
      <c r="I35" s="30"/>
    </row>
    <row r="36" spans="1:26" hidden="1">
      <c r="C36" s="17" t="s">
        <v>105</v>
      </c>
      <c r="D36" s="6">
        <v>1.7182163227307692</v>
      </c>
      <c r="E36" s="6">
        <v>64.181634495923078</v>
      </c>
      <c r="F36" s="6">
        <v>67.113845325807688</v>
      </c>
      <c r="G36" s="6">
        <v>133.01369614446153</v>
      </c>
      <c r="I36" s="30"/>
    </row>
    <row r="37" spans="1:26" hidden="1">
      <c r="I37" s="30"/>
    </row>
    <row r="38" spans="1:26" hidden="1">
      <c r="I38" s="30"/>
    </row>
    <row r="39" spans="1:26" hidden="1">
      <c r="I39" s="30"/>
    </row>
    <row r="40" spans="1:26" hidden="1">
      <c r="I40" s="30"/>
    </row>
    <row r="41" spans="1:26">
      <c r="D41" s="6"/>
      <c r="E41" s="6"/>
      <c r="F41" s="6"/>
      <c r="G41" s="6"/>
      <c r="I41" s="30"/>
    </row>
    <row r="42" spans="1:26">
      <c r="D42" s="237" t="b">
        <f>ROUND(SUM(F4:F17),0)=ROUND(SUM(D45:D61),0)</f>
        <v>1</v>
      </c>
      <c r="E42" s="237" t="b">
        <f>ROUND(SUM(I4:I17),0)=ROUND(SUM(E45:E61),0)</f>
        <v>1</v>
      </c>
      <c r="F42" s="237" t="b">
        <f>ROUND(SUM(M4:M17),0)=ROUND(SUM(F45:F61),0)</f>
        <v>1</v>
      </c>
      <c r="G42" s="237" t="b">
        <f>ROUND(SUM(P4:P17),0)=ROUND(SUM(G45:G61),0)</f>
        <v>1</v>
      </c>
      <c r="H42" s="237"/>
      <c r="I42" s="237"/>
      <c r="N42" s="42"/>
      <c r="O42" s="42"/>
      <c r="P42" s="42"/>
      <c r="Q42" s="42"/>
      <c r="R42" s="42"/>
      <c r="S42" s="42"/>
      <c r="T42" s="42"/>
    </row>
    <row r="43" spans="1:26">
      <c r="D43" s="237"/>
      <c r="E43" s="237"/>
      <c r="F43" s="237"/>
      <c r="G43" s="237"/>
      <c r="H43" s="237"/>
      <c r="I43" s="237"/>
      <c r="N43" s="42"/>
      <c r="O43" s="42"/>
      <c r="P43" s="42"/>
      <c r="Q43" s="42"/>
      <c r="R43" s="42" t="s">
        <v>69</v>
      </c>
      <c r="S43" s="42"/>
      <c r="T43" s="42"/>
      <c r="Y43" s="42"/>
      <c r="Z43" s="42"/>
    </row>
    <row r="44" spans="1:26">
      <c r="C44" s="238" t="s">
        <v>69</v>
      </c>
      <c r="D44" s="238" t="s">
        <v>106</v>
      </c>
      <c r="E44" s="238" t="s">
        <v>67</v>
      </c>
      <c r="F44" s="42" t="s">
        <v>107</v>
      </c>
      <c r="G44" s="42" t="s">
        <v>36</v>
      </c>
      <c r="H44" s="238" t="s">
        <v>108</v>
      </c>
      <c r="I44" s="239"/>
      <c r="J44" s="42" t="s">
        <v>84</v>
      </c>
      <c r="K44" s="42" t="s">
        <v>109</v>
      </c>
      <c r="L44" s="42"/>
      <c r="M44" s="240"/>
      <c r="N44" s="241" t="s">
        <v>84</v>
      </c>
      <c r="O44" s="241"/>
      <c r="P44" s="241"/>
      <c r="Q44" s="241"/>
      <c r="R44" s="57" t="s">
        <v>110</v>
      </c>
      <c r="S44" s="242">
        <f>SUMIFS($G$45:$G$61,$A$45:$A$61,'&gt;&gt;Chart'!R44)/'&gt;&gt;Chart'!$P$18</f>
        <v>0.37925032222583077</v>
      </c>
      <c r="Y44" s="57"/>
      <c r="Z44" s="243"/>
    </row>
    <row r="45" spans="1:26">
      <c r="A45" t="s">
        <v>110</v>
      </c>
      <c r="B45" s="244" t="s">
        <v>111</v>
      </c>
      <c r="C45" s="245" t="s">
        <v>85</v>
      </c>
      <c r="D45" s="246">
        <f>_xlfn.XLOOKUP($C45,$C$4:$C$17,$F$4:$F$17,0,0,1)</f>
        <v>1.3094370582617E-3</v>
      </c>
      <c r="E45" s="247">
        <f>_xlfn.XLOOKUP($C45,$C$4:$C$17,$I$4:$I$17,0,0,1)</f>
        <v>9.9968844652053495</v>
      </c>
      <c r="F45" s="247">
        <f>_xlfn.XLOOKUP($C45,$C$4:$C$17,$M$4:$M$17,0,0,1)</f>
        <v>20.610789525243554</v>
      </c>
      <c r="G45" s="248">
        <f>SUM(D45:F45)</f>
        <v>30.608983427507166</v>
      </c>
      <c r="H45" s="246" t="e">
        <f t="shared" ref="H45:H61" si="11">_xlfn.XLOOKUP($C45,$C$4:$C$17,$Q$4:$Q$17,0,0,1)</f>
        <v>#REF!</v>
      </c>
      <c r="I45" s="249"/>
      <c r="J45" s="242">
        <f>G45/SUM($G$45:$G$61)</f>
        <v>0.20111127603180881</v>
      </c>
      <c r="K45" s="242">
        <f>IFERROR(H45/SUM($H$45:$H$61),0)</f>
        <v>0</v>
      </c>
      <c r="L45" s="250"/>
      <c r="M45" s="17"/>
      <c r="N45" s="251">
        <f>J45</f>
        <v>0.20111127603180881</v>
      </c>
      <c r="O45" s="241"/>
      <c r="P45" s="241"/>
      <c r="Q45" s="241"/>
      <c r="R45" s="57" t="s">
        <v>112</v>
      </c>
      <c r="S45" s="242">
        <f>SUMIFS($G$45:$G$61,$A$45:$A$61,'&gt;&gt;Chart'!R45)/'&gt;&gt;Chart'!$P$18</f>
        <v>0.39185646781131628</v>
      </c>
      <c r="Y45" s="57"/>
      <c r="Z45" s="243"/>
    </row>
    <row r="46" spans="1:26">
      <c r="A46" t="s">
        <v>110</v>
      </c>
      <c r="B46" s="244" t="s">
        <v>113</v>
      </c>
      <c r="C46" s="245" t="s">
        <v>87</v>
      </c>
      <c r="D46" s="246">
        <f t="shared" ref="D46:D59" si="12">_xlfn.XLOOKUP($C46,$C$4:$C$17,$F$4:$F$17,0,0,1)</f>
        <v>0.26810015010506211</v>
      </c>
      <c r="E46" s="247">
        <f t="shared" ref="E46:E61" si="13">_xlfn.XLOOKUP($C46,$C$4:$C$17,$I$4:$I$17,0,0,1)</f>
        <v>4.2206393244890155</v>
      </c>
      <c r="F46" s="247">
        <f t="shared" ref="F46:F61" si="14">_xlfn.XLOOKUP($C46,$C$4:$C$17,$M$4:$M$17,0,0,1)</f>
        <v>16.326177562636104</v>
      </c>
      <c r="G46" s="248">
        <f>SUM(D46:F46)</f>
        <v>20.814917037230181</v>
      </c>
      <c r="H46" s="246" t="e">
        <f t="shared" si="11"/>
        <v>#REF!</v>
      </c>
      <c r="I46" s="249"/>
      <c r="J46" s="242">
        <f>G46/SUM($G$45:$G$61)</f>
        <v>0.13676097854630781</v>
      </c>
      <c r="K46" s="242">
        <f>IFERROR(H46/SUM($H$45:$H$61),0)</f>
        <v>0</v>
      </c>
      <c r="L46" s="250"/>
      <c r="M46" s="240"/>
      <c r="N46" s="251">
        <f>J46</f>
        <v>0.13676097854630781</v>
      </c>
      <c r="O46" s="57"/>
      <c r="P46" s="57"/>
      <c r="Q46" s="57"/>
      <c r="R46" s="57" t="s">
        <v>114</v>
      </c>
      <c r="S46" s="242">
        <f>SUMIFS($G$45:$G$61,$A$45:$A$61,'&gt;&gt;Chart'!R46)/'&gt;&gt;Chart'!$P$18</f>
        <v>9.4370228848352666E-2</v>
      </c>
      <c r="Y46" s="57"/>
      <c r="Z46" s="243"/>
    </row>
    <row r="47" spans="1:26">
      <c r="A47" t="s">
        <v>110</v>
      </c>
      <c r="B47" s="244" t="s">
        <v>115</v>
      </c>
      <c r="C47" s="245" t="s">
        <v>88</v>
      </c>
      <c r="D47" s="246">
        <f>_xlfn.XLOOKUP($C47,$C$4:$C$17,$F$4:$F$17,0,0,1)</f>
        <v>7.6900000000000004E-4</v>
      </c>
      <c r="E47" s="247">
        <f t="shared" si="13"/>
        <v>1.5646414517669533E-4</v>
      </c>
      <c r="F47" s="247">
        <f t="shared" si="14"/>
        <v>4.0462508455396371</v>
      </c>
      <c r="G47" s="248">
        <f>SUM(D47:F47)</f>
        <v>4.0471763096848141</v>
      </c>
      <c r="H47" s="246" t="e">
        <f t="shared" si="11"/>
        <v>#REF!</v>
      </c>
      <c r="I47" s="249"/>
      <c r="J47" s="242">
        <f>G47/SUM($G$45:$G$61)</f>
        <v>2.6591304278173727E-2</v>
      </c>
      <c r="K47" s="242">
        <f>IFERROR(H47/SUM($H$45:$H$61),0)</f>
        <v>0</v>
      </c>
      <c r="L47" s="250"/>
      <c r="M47" s="17"/>
      <c r="N47" s="251">
        <f>J47</f>
        <v>2.6591304278173727E-2</v>
      </c>
      <c r="O47" s="57"/>
      <c r="P47" s="57"/>
      <c r="Q47" s="57"/>
      <c r="R47" s="57" t="s">
        <v>116</v>
      </c>
      <c r="S47" s="242">
        <f>SUMIFS($G$45:$G$61,$A$45:$A$61,'&gt;&gt;Chart'!R47)/'&gt;&gt;Chart'!$P$18</f>
        <v>1.5190789069243559E-4</v>
      </c>
      <c r="Y47" s="57"/>
      <c r="Z47" s="243"/>
    </row>
    <row r="48" spans="1:26">
      <c r="A48" t="s">
        <v>110</v>
      </c>
      <c r="B48" s="244" t="s">
        <v>117</v>
      </c>
      <c r="C48" s="245" t="s">
        <v>86</v>
      </c>
      <c r="D48" s="246">
        <f t="shared" si="12"/>
        <v>4.2198677268385863E-3</v>
      </c>
      <c r="E48" s="247">
        <f t="shared" si="13"/>
        <v>7.1336651002865317E-3</v>
      </c>
      <c r="F48" s="247">
        <f t="shared" si="14"/>
        <v>2.2391806184909266</v>
      </c>
      <c r="G48" s="248">
        <f>SUM(D48:F48)</f>
        <v>2.2505341513180519</v>
      </c>
      <c r="H48" s="246" t="e">
        <f t="shared" si="11"/>
        <v>#REF!</v>
      </c>
      <c r="I48" s="249"/>
      <c r="J48" s="242">
        <f>G48/SUM($G$45:$G$61)</f>
        <v>1.478676336954057E-2</v>
      </c>
      <c r="K48" s="242">
        <f>IFERROR(H48/SUM($H$45:$H$61),0)</f>
        <v>0</v>
      </c>
      <c r="L48" s="250"/>
      <c r="M48" s="240"/>
      <c r="N48" s="251">
        <f>J48</f>
        <v>1.478676336954057E-2</v>
      </c>
      <c r="O48" s="57"/>
      <c r="P48" s="57"/>
      <c r="Q48" s="57"/>
      <c r="R48" s="57" t="s">
        <v>118</v>
      </c>
      <c r="S48" s="242">
        <f>SUMIFS($G$45:$G$61,$A$45:$A$61,'&gt;&gt;Chart'!R48)/'&gt;&gt;Chart'!$P$18</f>
        <v>4.377707160643509E-2</v>
      </c>
      <c r="Y48" s="57"/>
      <c r="Z48" s="243"/>
    </row>
    <row r="49" spans="1:26" ht="16.5" customHeight="1">
      <c r="B49" s="244"/>
      <c r="C49" s="245"/>
      <c r="D49" s="246">
        <f t="shared" si="12"/>
        <v>0</v>
      </c>
      <c r="E49" s="247">
        <f t="shared" si="13"/>
        <v>0</v>
      </c>
      <c r="F49" s="247">
        <f t="shared" si="14"/>
        <v>0</v>
      </c>
      <c r="G49" s="248"/>
      <c r="H49" s="246">
        <f t="shared" si="11"/>
        <v>0</v>
      </c>
      <c r="I49" s="249"/>
      <c r="J49" s="242"/>
      <c r="K49" s="242"/>
      <c r="L49" s="246">
        <f>SUM(G45:G48)</f>
        <v>57.721610925740208</v>
      </c>
      <c r="M49" s="17"/>
      <c r="N49" s="251"/>
      <c r="O49" s="241"/>
      <c r="P49" s="241"/>
      <c r="Q49" s="241"/>
      <c r="R49" s="57" t="s">
        <v>119</v>
      </c>
      <c r="S49" s="242">
        <f>SUMIFS($G$45:$G$61,$A$45:$A$61,'&gt;&gt;Chart'!R49)/'&gt;&gt;Chart'!$P$18</f>
        <v>2.5889891229257501E-6</v>
      </c>
      <c r="Y49" s="57"/>
      <c r="Z49" s="243"/>
    </row>
    <row r="50" spans="1:26">
      <c r="A50" t="s">
        <v>112</v>
      </c>
      <c r="B50" s="244" t="s">
        <v>120</v>
      </c>
      <c r="C50" s="245" t="s">
        <v>91</v>
      </c>
      <c r="D50" s="246">
        <f t="shared" si="12"/>
        <v>1.1851237669531998E-2</v>
      </c>
      <c r="E50" s="247">
        <f t="shared" si="13"/>
        <v>48.437014508252147</v>
      </c>
      <c r="F50" s="247">
        <f t="shared" si="14"/>
        <v>6.5480250090544425</v>
      </c>
      <c r="G50" s="248">
        <f>SUM(D50:F50)</f>
        <v>54.996890754976121</v>
      </c>
      <c r="H50" s="246" t="e">
        <f t="shared" si="11"/>
        <v>#REF!</v>
      </c>
      <c r="I50" s="249"/>
      <c r="J50" s="242">
        <f>G50/SUM($G$45:$G$61)</f>
        <v>0.36134799784221444</v>
      </c>
      <c r="K50" s="242">
        <f>IFERROR(H50/SUM($H$45:$H$61),0)</f>
        <v>0</v>
      </c>
      <c r="L50" s="252"/>
      <c r="M50" s="47"/>
      <c r="N50" s="251">
        <f t="shared" ref="N50:N61" si="15">J50</f>
        <v>0.36134799784221444</v>
      </c>
      <c r="O50" s="253"/>
      <c r="P50" s="253"/>
      <c r="Q50" s="253"/>
      <c r="R50" s="57" t="s">
        <v>98</v>
      </c>
      <c r="S50" s="242">
        <f>SUMIFS($G$45:$G$61,$A$45:$A$61,'&gt;&gt;Chart'!R50)/'&gt;&gt;Chart'!$P$18</f>
        <v>3.5180520590261471E-2</v>
      </c>
      <c r="Y50" s="57"/>
      <c r="Z50" s="243"/>
    </row>
    <row r="51" spans="1:26">
      <c r="A51" t="s">
        <v>112</v>
      </c>
      <c r="B51" s="244" t="s">
        <v>121</v>
      </c>
      <c r="C51" s="245" t="str">
        <f>C8</f>
        <v>VIETCOMBANK - BA DINH</v>
      </c>
      <c r="D51" s="246">
        <f t="shared" si="12"/>
        <v>1.7050064976122256E-2</v>
      </c>
      <c r="E51" s="247">
        <f t="shared" si="13"/>
        <v>7.8349321872015279E-2</v>
      </c>
      <c r="F51" s="247">
        <f t="shared" si="14"/>
        <v>4.5479665651193883</v>
      </c>
      <c r="G51" s="248">
        <f>SUM(D51:F51)</f>
        <v>4.6433659519675263</v>
      </c>
      <c r="H51" s="246" t="e">
        <f t="shared" si="11"/>
        <v>#REF!</v>
      </c>
      <c r="I51" s="249"/>
      <c r="J51" s="242">
        <f>G51/SUM($G$45:$G$61)</f>
        <v>3.0508469969102024E-2</v>
      </c>
      <c r="K51" s="242">
        <f>IFERROR(H51/SUM($H$45:$H$61),0)</f>
        <v>0</v>
      </c>
      <c r="L51" s="252"/>
      <c r="M51" s="240"/>
      <c r="N51" s="251">
        <f t="shared" si="15"/>
        <v>3.0508469969102024E-2</v>
      </c>
      <c r="O51" s="241"/>
      <c r="P51" s="241"/>
      <c r="Q51" s="241"/>
      <c r="R51" s="57" t="s">
        <v>99</v>
      </c>
      <c r="S51" s="242">
        <f>SUMIFS($G$45:$G$61,$A$45:$A$61,'&gt;&gt;Chart'!R51)/'&gt;&gt;Chart'!$P$18</f>
        <v>5.5410892037988123E-2</v>
      </c>
      <c r="Y51" s="57"/>
      <c r="Z51" s="229"/>
    </row>
    <row r="52" spans="1:26">
      <c r="B52" s="244"/>
      <c r="C52" s="245"/>
      <c r="D52" s="246">
        <f t="shared" si="12"/>
        <v>0</v>
      </c>
      <c r="E52" s="247">
        <f t="shared" si="13"/>
        <v>0</v>
      </c>
      <c r="F52" s="247">
        <f t="shared" si="14"/>
        <v>0</v>
      </c>
      <c r="G52" s="248"/>
      <c r="H52" s="246">
        <f t="shared" si="11"/>
        <v>0</v>
      </c>
      <c r="I52" s="249"/>
      <c r="J52" s="242"/>
      <c r="K52" s="242"/>
      <c r="L52" s="246">
        <f>SUM(G50:G51)</f>
        <v>59.640256706943646</v>
      </c>
      <c r="M52" s="240"/>
      <c r="N52" s="251"/>
      <c r="O52" s="241"/>
      <c r="P52" s="241"/>
      <c r="Q52" s="241"/>
      <c r="R52" s="57"/>
      <c r="S52" s="229"/>
      <c r="Y52" s="57"/>
      <c r="Z52" s="254"/>
    </row>
    <row r="53" spans="1:26">
      <c r="A53" t="s">
        <v>114</v>
      </c>
      <c r="B53" s="244" t="s">
        <v>122</v>
      </c>
      <c r="C53" s="245" t="s">
        <v>92</v>
      </c>
      <c r="D53" s="246">
        <f t="shared" si="12"/>
        <v>1.5188622349570199E-3</v>
      </c>
      <c r="E53" s="247">
        <f t="shared" si="13"/>
        <v>0.20850691746895894</v>
      </c>
      <c r="F53" s="247">
        <f t="shared" si="14"/>
        <v>11.010220729235913</v>
      </c>
      <c r="G53" s="248">
        <f>SUM(D53:F53)</f>
        <v>11.220246508939828</v>
      </c>
      <c r="H53" s="246" t="e">
        <f t="shared" si="11"/>
        <v>#REF!</v>
      </c>
      <c r="I53" s="249"/>
      <c r="J53" s="242">
        <f>G53/SUM($G$45:$G$61)</f>
        <v>7.3720778677559329E-2</v>
      </c>
      <c r="K53" s="242">
        <f>IFERROR(H53/SUM($H$45:$H$61),0)</f>
        <v>0</v>
      </c>
      <c r="L53" s="252"/>
      <c r="M53" s="47"/>
      <c r="N53" s="251">
        <f t="shared" si="15"/>
        <v>7.3720778677559329E-2</v>
      </c>
      <c r="O53" s="241"/>
      <c r="P53" s="241"/>
      <c r="Q53" s="241"/>
      <c r="R53" s="57"/>
      <c r="S53" s="254">
        <f>SUM(S44:S51)</f>
        <v>0.99999999999999978</v>
      </c>
    </row>
    <row r="54" spans="1:26">
      <c r="A54" t="s">
        <v>114</v>
      </c>
      <c r="B54" s="244" t="s">
        <v>123</v>
      </c>
      <c r="C54" s="245" t="str">
        <f>C11</f>
        <v>BIDV - NAM SAI GON</v>
      </c>
      <c r="D54" s="246">
        <f t="shared" si="12"/>
        <v>0</v>
      </c>
      <c r="E54" s="247">
        <f t="shared" si="13"/>
        <v>0</v>
      </c>
      <c r="F54" s="247">
        <f t="shared" si="14"/>
        <v>3.1388067964469912</v>
      </c>
      <c r="G54" s="248">
        <f>SUM(D54:F54)</f>
        <v>3.1388067964469912</v>
      </c>
      <c r="H54" s="246" t="e">
        <f t="shared" si="11"/>
        <v>#REF!</v>
      </c>
      <c r="I54" s="249"/>
      <c r="J54" s="242">
        <f>G54/SUM($G$45:$G$61)</f>
        <v>2.0623012245597407E-2</v>
      </c>
      <c r="K54" s="242">
        <f>IFERROR(H54/SUM($H$45:$H$61),0)</f>
        <v>0</v>
      </c>
      <c r="L54" s="252"/>
      <c r="M54" s="240"/>
      <c r="N54" s="251">
        <f t="shared" si="15"/>
        <v>2.0623012245597407E-2</v>
      </c>
      <c r="O54" s="253"/>
      <c r="P54" s="253"/>
      <c r="Q54" s="253"/>
      <c r="R54" s="57"/>
      <c r="S54" s="229"/>
    </row>
    <row r="55" spans="1:26">
      <c r="A55" t="s">
        <v>114</v>
      </c>
      <c r="B55" s="244" t="s">
        <v>124</v>
      </c>
      <c r="C55" s="245" t="s">
        <v>94</v>
      </c>
      <c r="D55" s="246">
        <f t="shared" si="12"/>
        <v>0</v>
      </c>
      <c r="E55" s="247">
        <f t="shared" si="13"/>
        <v>0</v>
      </c>
      <c r="F55" s="247">
        <f t="shared" si="14"/>
        <v>4.0238321298949331E-3</v>
      </c>
      <c r="G55" s="248">
        <f>SUM(D55:F55)</f>
        <v>4.0238321298949331E-3</v>
      </c>
      <c r="H55" s="246" t="e">
        <f t="shared" si="11"/>
        <v>#REF!</v>
      </c>
      <c r="I55" s="249"/>
      <c r="J55" s="242">
        <f>G55/SUM($G$45:$G$61)</f>
        <v>2.6437925195964811E-5</v>
      </c>
      <c r="K55" s="242">
        <f>IFERROR(H55/SUM($H$45:$H$61),0)</f>
        <v>0</v>
      </c>
      <c r="L55" s="252"/>
      <c r="M55" s="240"/>
      <c r="N55" s="251">
        <f t="shared" si="15"/>
        <v>2.6437925195964811E-5</v>
      </c>
      <c r="O55" s="253"/>
      <c r="P55" s="253"/>
      <c r="Q55" s="253"/>
      <c r="R55" s="57"/>
      <c r="S55" s="229"/>
    </row>
    <row r="56" spans="1:26">
      <c r="B56" s="244"/>
      <c r="C56" s="245"/>
      <c r="D56" s="246">
        <f t="shared" si="12"/>
        <v>0</v>
      </c>
      <c r="E56" s="247">
        <f t="shared" si="13"/>
        <v>0</v>
      </c>
      <c r="F56" s="247">
        <f t="shared" si="14"/>
        <v>0</v>
      </c>
      <c r="G56" s="248"/>
      <c r="H56" s="246">
        <f t="shared" si="11"/>
        <v>0</v>
      </c>
      <c r="I56" s="249"/>
      <c r="J56" s="242"/>
      <c r="K56" s="242"/>
      <c r="L56" s="246">
        <f>SUM(G53:G55)</f>
        <v>14.363077137516715</v>
      </c>
      <c r="M56" s="240"/>
      <c r="N56" s="251"/>
      <c r="O56" s="253"/>
      <c r="P56" s="253"/>
      <c r="Q56" s="253"/>
      <c r="R56" s="57"/>
      <c r="S56" s="229"/>
    </row>
    <row r="57" spans="1:26">
      <c r="A57" t="s">
        <v>116</v>
      </c>
      <c r="B57" s="244" t="s">
        <v>125</v>
      </c>
      <c r="C57" s="255" t="s">
        <v>95</v>
      </c>
      <c r="D57" s="246">
        <f t="shared" si="12"/>
        <v>2.8100769436485199E-3</v>
      </c>
      <c r="E57" s="247">
        <f t="shared" si="13"/>
        <v>2.2579053677172869E-3</v>
      </c>
      <c r="F57" s="246">
        <f t="shared" si="14"/>
        <v>1.8052283247373447E-2</v>
      </c>
      <c r="G57" s="248">
        <f>SUM(D57:F57)</f>
        <v>2.3120265558739254E-2</v>
      </c>
      <c r="H57" s="246" t="e">
        <f t="shared" si="11"/>
        <v>#REF!</v>
      </c>
      <c r="I57" s="249"/>
      <c r="J57" s="242">
        <f>G57/SUM($G$45:$G$61)</f>
        <v>1.5190789069243564E-4</v>
      </c>
      <c r="K57" s="242">
        <f>IFERROR(H57/SUM($H$45:$H$61),0)</f>
        <v>0</v>
      </c>
      <c r="L57" s="252"/>
      <c r="M57" s="240"/>
      <c r="N57" s="251">
        <f t="shared" si="15"/>
        <v>1.5190789069243564E-4</v>
      </c>
      <c r="O57" s="57"/>
      <c r="P57" s="57"/>
      <c r="Q57" s="57"/>
      <c r="R57" s="57"/>
      <c r="S57" s="229"/>
    </row>
    <row r="58" spans="1:26">
      <c r="A58" t="s">
        <v>119</v>
      </c>
      <c r="B58" s="244" t="s">
        <v>126</v>
      </c>
      <c r="C58" s="255" t="s">
        <v>97</v>
      </c>
      <c r="D58" s="246">
        <f t="shared" si="12"/>
        <v>0</v>
      </c>
      <c r="E58" s="247">
        <f t="shared" si="13"/>
        <v>3.9404217765042979E-4</v>
      </c>
      <c r="F58" s="247">
        <f t="shared" si="14"/>
        <v>0</v>
      </c>
      <c r="G58" s="248">
        <f>SUM(D58:F58)</f>
        <v>3.9404217765042979E-4</v>
      </c>
      <c r="H58" s="246" t="e">
        <f t="shared" si="11"/>
        <v>#REF!</v>
      </c>
      <c r="I58" s="249"/>
      <c r="J58" s="242">
        <f>G58/SUM($G$45:$G$61)</f>
        <v>2.5889891229257514E-6</v>
      </c>
      <c r="K58" s="242">
        <f>IFERROR(H58/SUM($H$45:$H$61),0)</f>
        <v>0</v>
      </c>
      <c r="L58" s="252"/>
      <c r="M58" s="240"/>
      <c r="N58" s="251">
        <f t="shared" si="15"/>
        <v>2.5889891229257514E-6</v>
      </c>
      <c r="O58" s="57"/>
      <c r="P58" s="57"/>
      <c r="Q58" s="57"/>
      <c r="R58" s="57"/>
    </row>
    <row r="59" spans="1:26">
      <c r="A59" t="s">
        <v>118</v>
      </c>
      <c r="B59" s="244" t="s">
        <v>127</v>
      </c>
      <c r="C59" s="255" t="s">
        <v>96</v>
      </c>
      <c r="D59" s="246">
        <f t="shared" si="12"/>
        <v>5.7396511938872965E-4</v>
      </c>
      <c r="E59" s="247">
        <f t="shared" si="13"/>
        <v>6.5020147894937912</v>
      </c>
      <c r="F59" s="247">
        <f t="shared" si="14"/>
        <v>0.16024828638013372</v>
      </c>
      <c r="G59" s="248">
        <f>SUM(D59:F59)</f>
        <v>6.6628370409933142</v>
      </c>
      <c r="H59" s="246" t="e">
        <f t="shared" si="11"/>
        <v>#REF!</v>
      </c>
      <c r="I59" s="249"/>
      <c r="J59" s="242">
        <f>G59/SUM($G$45:$G$61)</f>
        <v>4.3777071606435104E-2</v>
      </c>
      <c r="K59" s="242">
        <f>IFERROR(H59/SUM($H$45:$H$61),0)</f>
        <v>0</v>
      </c>
      <c r="L59" s="252"/>
      <c r="M59" s="17"/>
      <c r="N59" s="251">
        <f t="shared" si="15"/>
        <v>4.3777071606435104E-2</v>
      </c>
      <c r="O59" s="57"/>
      <c r="P59" s="57"/>
      <c r="Q59" s="57"/>
      <c r="R59" s="57"/>
    </row>
    <row r="60" spans="1:26">
      <c r="A60" t="s">
        <v>98</v>
      </c>
      <c r="B60" s="244" t="s">
        <v>98</v>
      </c>
      <c r="C60" s="255" t="s">
        <v>98</v>
      </c>
      <c r="D60" s="246">
        <f>_xlfn.XLOOKUP($C60,$C$4:$C$17,$F$4:$F$17,0,0,1)</f>
        <v>1.1826887440878702</v>
      </c>
      <c r="E60" s="247">
        <f t="shared" si="13"/>
        <v>1.5310341517096466</v>
      </c>
      <c r="F60" s="247">
        <f t="shared" si="14"/>
        <v>2.6407256113467055</v>
      </c>
      <c r="G60" s="248">
        <f>SUM(D60:F60)</f>
        <v>5.3544485071442223</v>
      </c>
      <c r="H60" s="246" t="e">
        <f t="shared" si="11"/>
        <v>#REF!</v>
      </c>
      <c r="I60" s="249"/>
      <c r="J60" s="242">
        <f>G60/SUM($G$45:$G$61)</f>
        <v>3.5180520590261478E-2</v>
      </c>
      <c r="K60" s="242">
        <f>IFERROR(H60/SUM($H$45:$H$61),0)</f>
        <v>0</v>
      </c>
      <c r="L60" s="252"/>
      <c r="M60" s="17"/>
      <c r="N60" s="251">
        <f>J60</f>
        <v>3.5180520590261478E-2</v>
      </c>
      <c r="O60" s="57"/>
      <c r="P60" s="57"/>
      <c r="Q60" s="57"/>
      <c r="R60" s="57"/>
    </row>
    <row r="61" spans="1:26">
      <c r="A61" s="244" t="s">
        <v>99</v>
      </c>
      <c r="B61" s="244" t="s">
        <v>99</v>
      </c>
      <c r="C61" t="s">
        <v>99</v>
      </c>
      <c r="D61" s="246">
        <f>_xlfn.XLOOKUP($C61,$C$4:$C$17,$F$4:$F$17,0,0,1)</f>
        <v>6.8840332473734476E-3</v>
      </c>
      <c r="E61" s="247">
        <f t="shared" si="13"/>
        <v>2.4731517058261699E-2</v>
      </c>
      <c r="F61" s="247">
        <f t="shared" si="14"/>
        <v>8.4018801221394472</v>
      </c>
      <c r="G61" s="248">
        <f>SUM(D61:F61)</f>
        <v>8.4334956724450816</v>
      </c>
      <c r="H61" s="256" t="e">
        <f t="shared" si="11"/>
        <v>#REF!</v>
      </c>
      <c r="I61" s="257"/>
      <c r="J61" s="242">
        <f>G61/SUM($G$45:$G$61)</f>
        <v>5.5410892037988144E-2</v>
      </c>
      <c r="K61" s="242">
        <f>IFERROR(H61/SUM($H$45:$H$61),0)</f>
        <v>0</v>
      </c>
      <c r="L61" s="252"/>
      <c r="M61" s="17"/>
      <c r="N61" s="251">
        <f t="shared" si="15"/>
        <v>5.5410892037988144E-2</v>
      </c>
      <c r="O61" s="57"/>
      <c r="P61" s="57"/>
      <c r="Q61" s="57"/>
      <c r="R61" s="57"/>
    </row>
    <row r="62" spans="1:26">
      <c r="D62" s="57"/>
      <c r="E62" s="247"/>
      <c r="F62" s="247"/>
      <c r="G62" s="248"/>
      <c r="H62" s="256"/>
      <c r="I62" s="257"/>
      <c r="J62" s="242"/>
      <c r="K62" s="242"/>
      <c r="L62" s="252"/>
      <c r="M62" s="17"/>
      <c r="N62" s="57"/>
      <c r="R62" s="57"/>
    </row>
    <row r="63" spans="1:26">
      <c r="D63" s="57"/>
      <c r="E63" s="247"/>
      <c r="F63" s="247"/>
      <c r="G63" s="248"/>
      <c r="H63" s="256"/>
      <c r="I63" s="257"/>
      <c r="J63" s="242"/>
      <c r="K63" s="242"/>
      <c r="L63" s="246">
        <f>SUM(G57:G62)</f>
        <v>20.474295528319008</v>
      </c>
      <c r="M63" s="17"/>
      <c r="N63" s="258">
        <f>SUM(N45:N61)</f>
        <v>1.0000000000000002</v>
      </c>
    </row>
    <row r="64" spans="1:26">
      <c r="D64" s="57"/>
      <c r="E64" s="57"/>
      <c r="F64" s="57"/>
      <c r="G64" s="57" t="b">
        <f>SUM(G45:G61)=P18</f>
        <v>1</v>
      </c>
      <c r="H64" s="256"/>
      <c r="I64" s="257"/>
      <c r="J64" s="242"/>
      <c r="K64" s="242"/>
      <c r="L64" s="250"/>
      <c r="M64" s="17"/>
      <c r="N64" s="57"/>
    </row>
    <row r="65" spans="4:21">
      <c r="D65" s="57"/>
      <c r="E65" s="247"/>
      <c r="F65" s="247"/>
      <c r="G65" s="248"/>
      <c r="H65" s="256"/>
      <c r="I65" s="257"/>
      <c r="J65" s="242"/>
      <c r="K65" s="242"/>
    </row>
    <row r="66" spans="4:21">
      <c r="I66" s="30"/>
      <c r="N66" s="229"/>
    </row>
    <row r="67" spans="4:21">
      <c r="I67" s="30"/>
      <c r="J67" s="229"/>
    </row>
    <row r="68" spans="4:21">
      <c r="I68" s="30"/>
    </row>
    <row r="69" spans="4:21">
      <c r="I69" s="30"/>
    </row>
    <row r="70" spans="4:21">
      <c r="I70" s="30"/>
    </row>
    <row r="71" spans="4:21">
      <c r="I71" s="30"/>
    </row>
    <row r="72" spans="4:21">
      <c r="I72" s="30"/>
    </row>
    <row r="73" spans="4:21">
      <c r="I73" s="30"/>
    </row>
    <row r="74" spans="4:21">
      <c r="I74" s="30"/>
    </row>
    <row r="75" spans="4:21">
      <c r="I75" s="30"/>
    </row>
    <row r="76" spans="4:21">
      <c r="I76" s="30"/>
    </row>
    <row r="77" spans="4:21">
      <c r="I77" s="30"/>
    </row>
    <row r="78" spans="4:21">
      <c r="I78" s="30"/>
    </row>
    <row r="79" spans="4:21">
      <c r="I79" s="30"/>
      <c r="Q79" s="238"/>
    </row>
    <row r="80" spans="4:21">
      <c r="I80" s="30"/>
      <c r="Q80" s="245"/>
      <c r="R80" s="238"/>
      <c r="S80" s="238"/>
      <c r="T80" s="259"/>
      <c r="U80" s="243"/>
    </row>
    <row r="81" spans="3:21">
      <c r="I81" s="30"/>
      <c r="Q81" s="245"/>
      <c r="R81" s="246"/>
      <c r="S81" s="247"/>
      <c r="T81" s="259"/>
      <c r="U81" s="243"/>
    </row>
    <row r="82" spans="3:21">
      <c r="I82" s="30"/>
      <c r="Q82" s="245"/>
      <c r="R82" s="246"/>
      <c r="S82" s="247"/>
      <c r="T82" s="259"/>
      <c r="U82" s="243"/>
    </row>
    <row r="83" spans="3:21">
      <c r="I83" s="30"/>
      <c r="Q83" s="245"/>
      <c r="R83" s="246"/>
      <c r="S83" s="247"/>
      <c r="T83" s="259"/>
      <c r="U83" s="243"/>
    </row>
    <row r="84" spans="3:21">
      <c r="I84" s="30"/>
      <c r="Q84" s="245"/>
      <c r="R84" s="246"/>
      <c r="S84" s="247"/>
      <c r="T84" s="259"/>
      <c r="U84" s="242"/>
    </row>
    <row r="85" spans="3:21">
      <c r="I85" s="30"/>
      <c r="Q85" s="245"/>
      <c r="R85" s="246"/>
      <c r="S85" s="247"/>
      <c r="T85" s="259"/>
      <c r="U85" s="243"/>
    </row>
    <row r="86" spans="3:21">
      <c r="I86" s="30"/>
      <c r="Q86" s="245"/>
      <c r="R86" s="246"/>
      <c r="S86" s="247"/>
      <c r="T86" s="259"/>
      <c r="U86" s="243"/>
    </row>
    <row r="87" spans="3:21">
      <c r="I87" s="30"/>
      <c r="Q87" s="245"/>
      <c r="R87" s="246"/>
      <c r="S87" s="247"/>
      <c r="T87" s="259"/>
      <c r="U87" s="242"/>
    </row>
    <row r="88" spans="3:21">
      <c r="I88" s="30"/>
      <c r="Q88" s="245"/>
      <c r="R88" s="246"/>
      <c r="S88" s="247"/>
      <c r="T88" s="259"/>
      <c r="U88" s="243"/>
    </row>
    <row r="89" spans="3:21">
      <c r="I89" s="30"/>
      <c r="Q89" s="245"/>
      <c r="R89" s="246"/>
      <c r="S89" s="247"/>
      <c r="T89" s="259"/>
      <c r="U89" s="243"/>
    </row>
    <row r="90" spans="3:21">
      <c r="I90" s="30"/>
      <c r="Q90" s="245"/>
      <c r="R90" s="246"/>
      <c r="S90" s="247"/>
      <c r="T90" s="259"/>
      <c r="U90" s="243"/>
    </row>
    <row r="91" spans="3:21">
      <c r="I91" s="30"/>
      <c r="R91" s="246"/>
      <c r="S91" s="247"/>
    </row>
    <row r="92" spans="3:21" ht="15.6">
      <c r="C92" s="260"/>
      <c r="D92" s="261"/>
      <c r="E92" s="261"/>
      <c r="F92" s="261"/>
      <c r="G92" s="262"/>
      <c r="I92" s="30"/>
    </row>
    <row r="93" spans="3:21">
      <c r="I93" s="30"/>
    </row>
    <row r="94" spans="3:21">
      <c r="I94" s="30"/>
    </row>
    <row r="95" spans="3:21" hidden="1">
      <c r="I95" s="30"/>
    </row>
    <row r="96" spans="3:21" hidden="1">
      <c r="I96" s="30"/>
    </row>
    <row r="97" spans="3:14" hidden="1">
      <c r="I97" s="30"/>
    </row>
    <row r="98" spans="3:14" hidden="1">
      <c r="I98" s="30"/>
    </row>
    <row r="99" spans="3:14" hidden="1">
      <c r="I99" s="30"/>
    </row>
    <row r="100" spans="3:14" hidden="1">
      <c r="I100" s="30"/>
    </row>
    <row r="101" spans="3:14">
      <c r="I101" s="30"/>
    </row>
    <row r="102" spans="3:14" ht="15" thickBot="1">
      <c r="I102" s="30"/>
    </row>
    <row r="103" spans="3:14" ht="15.6">
      <c r="C103" s="263" t="s">
        <v>128</v>
      </c>
      <c r="D103" s="264"/>
      <c r="E103" s="265" t="s">
        <v>81</v>
      </c>
      <c r="F103" s="265" t="s">
        <v>80</v>
      </c>
      <c r="G103" s="266" t="s">
        <v>36</v>
      </c>
      <c r="I103" s="287"/>
      <c r="J103" s="292" t="s">
        <v>129</v>
      </c>
      <c r="K103" s="291" t="s">
        <v>130</v>
      </c>
    </row>
    <row r="104" spans="3:14" ht="15.6">
      <c r="C104" s="284" t="s">
        <v>8</v>
      </c>
      <c r="D104" s="267" t="s">
        <v>131</v>
      </c>
      <c r="E104" s="930">
        <f>SUMIFS('Cash Balance'!$Q$4:$Q$920,'Cash Balance'!$W$4:$W$920,'&gt;&gt;Chart'!$C104,'Cash Balance'!$E$4:$E$920,'&gt;&gt;Chart'!E$103)/1000000</f>
        <v>4.4528669999999999E-2</v>
      </c>
      <c r="F104" s="930">
        <f>SUMIFS('Cash Balance'!$H$4:$H$920,'Cash Balance'!$W$4:$W$920,'&gt;&gt;Chart'!$C104,'Cash Balance'!$E$4:$E$920,'&gt;&gt;Chart'!F$103)/1000000/Fx_rate</f>
        <v>1.4933718906590256</v>
      </c>
      <c r="G104" s="50">
        <f>SUM(E104:F104)</f>
        <v>1.5379005606590257</v>
      </c>
      <c r="H104" s="283"/>
      <c r="I104" s="288" t="s">
        <v>8</v>
      </c>
      <c r="J104" s="931">
        <f>G104/SUM($G$104,$G$106,$G$108)</f>
        <v>1.1432415781465158E-2</v>
      </c>
      <c r="K104" s="293">
        <f>G105/SUM($G$105,$G$107,$G$109)</f>
        <v>9.2765120656050845E-3</v>
      </c>
    </row>
    <row r="105" spans="3:14" ht="15.6">
      <c r="C105" s="285"/>
      <c r="D105" s="268" t="s">
        <v>132</v>
      </c>
      <c r="E105" s="930">
        <f>SUMIFS('Cash Balance'!$T$4:$T$920,'Cash Balance'!$W$4:$W$920,'&gt;&gt;Chart'!$C104,'Cash Balance'!$E$4:$E$920,'&gt;&gt;Chart'!E$103)/1000000</f>
        <v>1.9468469999999998E-2</v>
      </c>
      <c r="F105" s="930">
        <f>SUMIFS('Cash Balance'!$L$4:$L$920,'Cash Balance'!$W$4:$W$920,'&gt;&gt;Chart'!$C104,'Cash Balance'!$E$4:$E$920,'&gt;&gt;Chart'!F$103)/1000000/Fx_rate</f>
        <v>1.4846825053677173</v>
      </c>
      <c r="G105" s="50">
        <f t="shared" ref="G105:G108" si="16">SUM(E105:F105)</f>
        <v>1.5041509753677174</v>
      </c>
      <c r="H105" s="243"/>
      <c r="I105" s="289" t="s">
        <v>67</v>
      </c>
      <c r="J105" s="931">
        <f>G106/SUM($G$104,$G$106,$G$108)</f>
        <v>0.39482229116059964</v>
      </c>
      <c r="K105" s="293">
        <f>G107/SUM($G$105,$G$107,$G$109)</f>
        <v>0.44187720193395053</v>
      </c>
    </row>
    <row r="106" spans="3:14" ht="16.2" thickBot="1">
      <c r="C106" s="284" t="s">
        <v>67</v>
      </c>
      <c r="D106" s="267" t="s">
        <v>131</v>
      </c>
      <c r="E106" s="930">
        <f>SUMIFS('Cash Balance'!$Q$4:$Q$920,'Cash Balance'!$W$4:$W$920,'&gt;&gt;Chart'!$C106,'Cash Balance'!$E$4:$E$920,'&gt;&gt;Chart'!E$103)/1000000</f>
        <v>9.6312600000002246E-3</v>
      </c>
      <c r="F106" s="930">
        <f>SUMIFS('Cash Balance'!$H$4:$H$920,'Cash Balance'!$W$4:$W$920,'&gt;&gt;Chart'!$C106,'Cash Balance'!$E$4:$E$920,'&gt;&gt;Chart'!F$103)/1000000/Fx_rate</f>
        <v>53.102277416466094</v>
      </c>
      <c r="G106" s="50">
        <f t="shared" si="16"/>
        <v>53.111908676466093</v>
      </c>
      <c r="H106" s="283"/>
      <c r="I106" s="290" t="s">
        <v>10</v>
      </c>
      <c r="J106" s="294">
        <f>G108/SUM($G$104,$G$106,$G$108)</f>
        <v>0.59374529305793522</v>
      </c>
      <c r="K106" s="295">
        <f>G109/SUM($G$105,$G$107,$G$109)</f>
        <v>0.54884628600044427</v>
      </c>
    </row>
    <row r="107" spans="3:14" ht="15.6">
      <c r="C107" s="285"/>
      <c r="D107" s="269" t="s">
        <v>132</v>
      </c>
      <c r="E107" s="1245">
        <f>SUMIFS('Cash Balance'!$T$4:$T$920,'Cash Balance'!$W$4:$W$920,'&gt;&gt;Chart'!$C106,'Cash Balance'!$E$4:$E$920,'&gt;&gt;Chart'!E$103)/1000000</f>
        <v>9.6290600000002238E-3</v>
      </c>
      <c r="F107" s="1245">
        <f>SUMIFS('Cash Balance'!$L$4:$L$920,'Cash Balance'!$W$4:$W$920,'&gt;&gt;Chart'!$C106,'Cash Balance'!$E$4:$E$920,'&gt;&gt;Chart'!F$103)/1000000/Fx_rate</f>
        <v>71.63907031980898</v>
      </c>
      <c r="G107" s="231">
        <f t="shared" si="16"/>
        <v>71.648699379808974</v>
      </c>
      <c r="H107" s="243"/>
      <c r="I107" s="286"/>
      <c r="J107" s="296">
        <f>SUM(J104:J106)</f>
        <v>1</v>
      </c>
      <c r="K107" s="296">
        <f>SUM(K104:K106)</f>
        <v>0.99999999999999989</v>
      </c>
    </row>
    <row r="108" spans="3:14" ht="15.6">
      <c r="C108" s="284" t="s">
        <v>10</v>
      </c>
      <c r="D108" s="267" t="s">
        <v>131</v>
      </c>
      <c r="E108" s="930">
        <f>SUMIFS('Cash Balance'!$Q$4:$Q$920,'Cash Balance'!$W$4:$W$920,'&gt;&gt;Chart'!$C108,'Cash Balance'!$E$4:$E$920,'&gt;&gt;Chart'!E$103)/1000000</f>
        <v>3.6629909999999988E-2</v>
      </c>
      <c r="F108" s="930">
        <f>SUMIFS('Cash Balance'!$H$4:$H$920,'Cash Balance'!$W$4:$W$920,'&gt;&gt;Chart'!$C108,'Cash Balance'!$E$4:$E$920,'&gt;&gt;Chart'!F$103)/1000000/Fx_rate</f>
        <v>79.834609602024827</v>
      </c>
      <c r="G108" s="50">
        <f t="shared" si="16"/>
        <v>79.871239512024829</v>
      </c>
      <c r="H108" s="283"/>
      <c r="I108" s="243"/>
      <c r="J108" s="30"/>
    </row>
    <row r="109" spans="3:14" ht="16.2" thickBot="1">
      <c r="C109" s="327"/>
      <c r="D109" s="269" t="s">
        <v>132</v>
      </c>
      <c r="E109" s="328">
        <f>SUMIFS('Cash Balance'!$T$4:$T$920,'Cash Balance'!$W$4:$W$920,'&gt;&gt;Chart'!$C108,'Cash Balance'!$E$4:$E$920,'&gt;&gt;Chart'!E$103)/1000000</f>
        <v>3.6570059999999995E-2</v>
      </c>
      <c r="F109" s="328">
        <f>SUMIFS('Cash Balance'!$L$4:$L$920,'Cash Balance'!$W$4:$W$920,'&gt;&gt;Chart'!$C108,'Cash Balance'!$E$4:$E$920,'&gt;&gt;Chart'!F$103)/1000000/Fx_rate</f>
        <v>88.956757451041071</v>
      </c>
      <c r="G109" s="329">
        <f>SUM(E109:F109)</f>
        <v>88.993327511041073</v>
      </c>
      <c r="H109" s="243"/>
      <c r="I109" s="243"/>
      <c r="J109" s="30"/>
    </row>
    <row r="110" spans="3:14">
      <c r="C110" s="335" t="s">
        <v>36</v>
      </c>
      <c r="D110" s="337" t="s">
        <v>131</v>
      </c>
      <c r="E110" s="332">
        <f t="shared" ref="E110:G111" si="17">E104+E106+E108</f>
        <v>9.0789840000000205E-2</v>
      </c>
      <c r="F110" s="332">
        <f t="shared" si="17"/>
        <v>134.43025890914996</v>
      </c>
      <c r="G110" s="330">
        <f t="shared" si="17"/>
        <v>134.52104874914994</v>
      </c>
      <c r="H110" s="229"/>
      <c r="I110" s="229"/>
    </row>
    <row r="111" spans="3:14" ht="15" thickBot="1">
      <c r="C111" s="334"/>
      <c r="D111" s="336" t="s">
        <v>132</v>
      </c>
      <c r="E111" s="333">
        <f t="shared" si="17"/>
        <v>6.566759000000022E-2</v>
      </c>
      <c r="F111" s="333">
        <f t="shared" si="17"/>
        <v>162.08051027621775</v>
      </c>
      <c r="G111" s="331">
        <f t="shared" si="17"/>
        <v>162.14617786621778</v>
      </c>
      <c r="I111" s="30"/>
    </row>
    <row r="112" spans="3:14" ht="15.6">
      <c r="I112" s="30"/>
      <c r="L112" s="232"/>
      <c r="M112" s="232"/>
      <c r="N112" s="232"/>
    </row>
    <row r="113" spans="3:19" ht="15.6">
      <c r="C113" s="1433"/>
      <c r="D113" s="1433"/>
      <c r="E113" s="1433"/>
      <c r="F113" s="1433"/>
      <c r="G113" s="1433"/>
      <c r="H113" s="1433"/>
      <c r="I113" s="1436"/>
      <c r="J113" s="232"/>
      <c r="K113" s="232"/>
      <c r="L113" s="232"/>
      <c r="M113" s="232"/>
      <c r="N113" s="232"/>
    </row>
    <row r="114" spans="3:19" ht="15.6">
      <c r="C114" s="1433"/>
      <c r="D114" s="1433"/>
      <c r="E114" s="1433"/>
      <c r="F114" s="1433"/>
      <c r="G114" s="1433"/>
      <c r="H114" s="1433"/>
      <c r="I114" s="1436"/>
      <c r="J114" s="232"/>
      <c r="K114" s="232"/>
      <c r="L114" s="234"/>
      <c r="M114" s="234"/>
      <c r="N114" s="234"/>
    </row>
    <row r="115" spans="3:19" ht="15.6" hidden="1">
      <c r="C115" s="270"/>
      <c r="D115" s="271"/>
      <c r="E115" s="271"/>
      <c r="F115" s="272"/>
      <c r="G115" s="272"/>
      <c r="H115" s="234"/>
      <c r="I115" s="235"/>
      <c r="J115" s="234"/>
      <c r="K115" s="234"/>
      <c r="L115" s="234"/>
      <c r="M115" s="234"/>
      <c r="N115" s="234"/>
    </row>
    <row r="116" spans="3:19" ht="15.6" hidden="1">
      <c r="C116" s="273"/>
      <c r="D116" s="274"/>
      <c r="E116" s="274"/>
      <c r="F116" s="275"/>
      <c r="G116" s="275"/>
      <c r="H116" s="234"/>
      <c r="I116" s="235"/>
      <c r="J116" s="234"/>
      <c r="K116" s="234"/>
      <c r="L116" s="234"/>
      <c r="M116" s="234"/>
      <c r="N116" s="234"/>
    </row>
    <row r="117" spans="3:19" ht="15.6" hidden="1">
      <c r="C117" s="276"/>
      <c r="K117" s="234"/>
      <c r="L117" s="234"/>
      <c r="M117" s="234"/>
      <c r="N117" s="234"/>
    </row>
    <row r="118" spans="3:19" ht="15.6" hidden="1">
      <c r="C118" s="276"/>
      <c r="D118" s="277"/>
      <c r="E118" s="277"/>
      <c r="F118" s="278"/>
      <c r="G118" s="278"/>
      <c r="H118" s="234"/>
      <c r="I118" s="235"/>
      <c r="J118" s="234"/>
      <c r="K118" s="234"/>
      <c r="L118" s="234"/>
      <c r="M118" s="234"/>
      <c r="N118" s="234"/>
    </row>
    <row r="119" spans="3:19" ht="15.6" hidden="1">
      <c r="C119" s="276"/>
      <c r="D119" s="277"/>
      <c r="E119" s="277"/>
      <c r="F119" s="278"/>
      <c r="G119" s="278"/>
      <c r="H119" s="234"/>
      <c r="I119" s="235"/>
      <c r="J119" s="234"/>
      <c r="K119" s="234"/>
      <c r="L119" s="234"/>
      <c r="M119" s="234"/>
      <c r="N119" s="234"/>
    </row>
    <row r="120" spans="3:19" ht="15.6" hidden="1">
      <c r="C120" s="276"/>
      <c r="D120" s="277"/>
      <c r="E120" s="277"/>
      <c r="F120" s="278"/>
      <c r="G120" s="278"/>
      <c r="H120" s="234"/>
      <c r="I120" s="235"/>
      <c r="J120" s="234"/>
      <c r="K120" s="234"/>
      <c r="L120" s="234"/>
      <c r="M120" s="234"/>
      <c r="N120" s="234"/>
    </row>
    <row r="121" spans="3:19" ht="15.6" hidden="1">
      <c r="C121" s="276"/>
      <c r="D121" s="277"/>
      <c r="E121" s="277"/>
      <c r="F121" s="278"/>
      <c r="G121" s="278"/>
      <c r="H121" s="234"/>
      <c r="I121" s="235"/>
      <c r="J121" s="234"/>
      <c r="K121" s="234"/>
      <c r="L121" s="279"/>
      <c r="M121" s="279"/>
      <c r="N121" s="279"/>
    </row>
    <row r="122" spans="3:19" ht="15.6" hidden="1">
      <c r="C122" s="233"/>
      <c r="D122" s="280"/>
      <c r="E122" s="275"/>
      <c r="F122" s="275"/>
      <c r="G122" s="279"/>
      <c r="H122" s="279"/>
      <c r="I122" s="281"/>
      <c r="J122" s="279"/>
      <c r="K122" s="279"/>
    </row>
    <row r="123" spans="3:19" hidden="1">
      <c r="I123" s="30"/>
    </row>
    <row r="124" spans="3:19" hidden="1">
      <c r="I124" s="30"/>
    </row>
    <row r="125" spans="3:19" hidden="1">
      <c r="I125" s="30"/>
    </row>
    <row r="126" spans="3:19" hidden="1">
      <c r="I126" s="30"/>
    </row>
    <row r="127" spans="3:19" ht="17.399999999999999" hidden="1">
      <c r="I127" s="30"/>
      <c r="O127" s="282"/>
      <c r="P127" s="282"/>
      <c r="Q127" s="282"/>
    </row>
    <row r="128" spans="3:19" ht="17.399999999999999" hidden="1">
      <c r="I128" s="30"/>
      <c r="R128" s="282"/>
      <c r="S128" s="282"/>
    </row>
    <row r="129" spans="2:19" hidden="1">
      <c r="I129" s="30"/>
    </row>
    <row r="130" spans="2:19" ht="17.399999999999999" hidden="1">
      <c r="I130" s="30"/>
      <c r="M130" s="282"/>
      <c r="N130" s="282"/>
      <c r="S130" s="1"/>
    </row>
    <row r="131" spans="2:19" hidden="1">
      <c r="I131" s="30"/>
    </row>
    <row r="132" spans="2:19">
      <c r="I132" s="30"/>
      <c r="M132" s="42"/>
    </row>
    <row r="133" spans="2:19">
      <c r="I133" s="30"/>
    </row>
    <row r="134" spans="2:19">
      <c r="I134" s="30"/>
    </row>
    <row r="135" spans="2:19">
      <c r="I135" s="30"/>
    </row>
    <row r="136" spans="2:19" ht="15.6">
      <c r="C136" s="932"/>
      <c r="D136" s="933" t="s">
        <v>133</v>
      </c>
      <c r="E136" s="933" t="s">
        <v>134</v>
      </c>
      <c r="F136" s="934" t="s">
        <v>135</v>
      </c>
      <c r="G136" s="934" t="s">
        <v>136</v>
      </c>
      <c r="H136" s="935" t="s">
        <v>137</v>
      </c>
      <c r="I136" s="936" t="s">
        <v>138</v>
      </c>
      <c r="J136" s="234"/>
    </row>
    <row r="137" spans="2:19">
      <c r="B137" s="322" t="s">
        <v>139</v>
      </c>
      <c r="C137" s="932" t="s">
        <v>139</v>
      </c>
      <c r="D137" s="937">
        <f>G104+G106+G108</f>
        <v>134.52104874914994</v>
      </c>
      <c r="E137" s="938">
        <f>D137</f>
        <v>134.52104874914994</v>
      </c>
      <c r="F137" s="938">
        <f>E137</f>
        <v>134.52104874914994</v>
      </c>
      <c r="G137" s="938"/>
      <c r="H137" s="938"/>
      <c r="I137" s="938"/>
      <c r="J137" s="1"/>
    </row>
    <row r="138" spans="2:19">
      <c r="B138" s="322" t="s">
        <v>140</v>
      </c>
      <c r="C138" s="932" t="s">
        <v>39</v>
      </c>
      <c r="D138" s="939">
        <f>(SUMIFS(Movement!$H$4:$H$2133,Movement!$L$4:$L$2133,'&gt;&gt;Chart'!C138,Movement!$O$4:$O$2133,Summary!$B$4,Movement!$M$4:$M$2133,"VND"))/Fx_rate/1000000+(SUMIFS(Movement!$H$4:$H$2133,Movement!$L$4:$L$2133,'&gt;&gt;Chart'!C138,Movement!$O$4:$O$2133,Summary!$B$4,Movement!$M$4:$M$2133,"USD"))/1000000</f>
        <v>12.486122283629417</v>
      </c>
      <c r="E138" s="940">
        <f>E137+D138</f>
        <v>147.00717103277935</v>
      </c>
      <c r="F138" s="940"/>
      <c r="G138" s="939">
        <f>SUM($D$137:D137)</f>
        <v>134.52104874914994</v>
      </c>
      <c r="H138" s="939">
        <f>SUM($D$137:D138)</f>
        <v>147.00717103277935</v>
      </c>
      <c r="I138" s="940">
        <f>IF(D138&lt;0,G138,H138)</f>
        <v>147.00717103277935</v>
      </c>
    </row>
    <row r="139" spans="2:19" hidden="1">
      <c r="B139" s="322" t="s">
        <v>141</v>
      </c>
      <c r="C139" s="932" t="s">
        <v>40</v>
      </c>
      <c r="D139" s="939">
        <f>(SUMIFS(Movement!$H$4:$H$2133,Movement!$L$4:$L$2133,'&gt;&gt;Chart'!C139,Movement!$O$4:$O$2133,Summary!$B$4,Movement!$M$4:$M$2133,"VND"))/Fx_rate/1000000+(SUMIFS(Movement!$H$4:$H$2133,Movement!$L$4:$L$2133,'&gt;&gt;Chart'!C139,Movement!$O$4:$O$2133,Summary!$B$4,Movement!$M$4:$M$2133,"USD"))/1000000</f>
        <v>0</v>
      </c>
      <c r="E139" s="940">
        <f t="shared" ref="E139:E151" si="18">E138+D139</f>
        <v>147.00717103277935</v>
      </c>
      <c r="F139" s="940"/>
      <c r="G139" s="939">
        <f>SUM($D$137:D138)</f>
        <v>147.00717103277935</v>
      </c>
      <c r="H139" s="939">
        <f>SUM($D$137:D139)</f>
        <v>147.00717103277935</v>
      </c>
      <c r="I139" s="940">
        <f t="shared" ref="I139:I152" si="19">IF(D139&lt;0,G139,H139)</f>
        <v>147.00717103277935</v>
      </c>
    </row>
    <row r="140" spans="2:19" hidden="1">
      <c r="B140" s="322" t="s">
        <v>43</v>
      </c>
      <c r="C140" s="932" t="s">
        <v>43</v>
      </c>
      <c r="D140" s="939">
        <f>(SUMIFS(Movement!$H$4:$H$2133,Movement!$L$4:$L$2133,'&gt;&gt;Chart'!C140,Movement!$O$4:$O$2133,Summary!$B$4,Movement!$M$4:$M$2133,"VND"))/Fx_rate/1000000+(SUMIFS(Movement!$H$4:$H$2133,Movement!$L$4:$L$2133,'&gt;&gt;Chart'!C140,Movement!$O$4:$O$2133,Summary!$B$4,Movement!$M$4:$M$2133,"USD"))/1000000</f>
        <v>0</v>
      </c>
      <c r="E140" s="940">
        <f t="shared" si="18"/>
        <v>147.00717103277935</v>
      </c>
      <c r="F140" s="940"/>
      <c r="G140" s="939">
        <f>SUM($D$137:D139)</f>
        <v>147.00717103277935</v>
      </c>
      <c r="H140" s="939">
        <f>SUM($D$137:D140)</f>
        <v>147.00717103277935</v>
      </c>
      <c r="I140" s="940">
        <f>IF(D140&lt;0,G140,H140)</f>
        <v>147.00717103277935</v>
      </c>
    </row>
    <row r="141" spans="2:19">
      <c r="B141" s="322" t="s">
        <v>44</v>
      </c>
      <c r="C141" s="932" t="s">
        <v>44</v>
      </c>
      <c r="D141" s="939">
        <f>(SUMIFS(Movement!$H$4:$H$2133,Movement!$L$4:$L$2133,'&gt;&gt;Chart'!C141,Movement!$O$4:$O$2133,Summary!$B$4,Movement!$M$4:$M$2133,"VND"))/Fx_rate/1000000+(SUMIFS(Movement!$H$4:$H$2133,Movement!$L$4:$L$2133,'&gt;&gt;Chart'!C141,Movement!$O$4:$O$2133,Summary!$B$4,Movement!$M$4:$M$2133,"USD"))/1000000</f>
        <v>0.18555248635148042</v>
      </c>
      <c r="E141" s="940">
        <f>E140+D141</f>
        <v>147.19272351913082</v>
      </c>
      <c r="F141" s="940"/>
      <c r="G141" s="939">
        <f>SUM($D$137:D140)</f>
        <v>147.00717103277935</v>
      </c>
      <c r="H141" s="939">
        <f>SUM($D$137:D141)</f>
        <v>147.19272351913082</v>
      </c>
      <c r="I141" s="940">
        <f>IF(D141&lt;0,G141,H141)</f>
        <v>147.19272351913082</v>
      </c>
    </row>
    <row r="142" spans="2:19">
      <c r="B142" s="322" t="s">
        <v>53</v>
      </c>
      <c r="C142" s="932" t="s">
        <v>53</v>
      </c>
      <c r="D142" s="939">
        <f>(SUMIFS(Movement!$H$4:$H$2133,Movement!$L$4:$L$2133,'&gt;&gt;Chart'!C142,Movement!$O$4:$O$2133,Summary!$B$4,Movement!$M$4:$M$2133,"VND"))/Fx_rate/1000000+(SUMIFS(Movement!$H$4:$H$2133,Movement!$L$4:$L$2133,'&gt;&gt;Chart'!C142,Movement!$O$4:$O$2133,Summary!$B$4,Movement!$M$4:$M$2133,"USD"))/1000000</f>
        <v>-3.0829879819675265</v>
      </c>
      <c r="E142" s="940">
        <f t="shared" si="18"/>
        <v>144.10973553716329</v>
      </c>
      <c r="F142" s="940"/>
      <c r="G142" s="939">
        <f>SUM($D$137:D141)</f>
        <v>147.19272351913082</v>
      </c>
      <c r="H142" s="939">
        <f>SUM($D$137:D142)</f>
        <v>144.10973553716329</v>
      </c>
      <c r="I142" s="940">
        <f>IF(D142&lt;0,G142,H142)</f>
        <v>147.19272351913082</v>
      </c>
      <c r="K142" s="20"/>
    </row>
    <row r="143" spans="2:19" hidden="1">
      <c r="B143" s="322" t="s">
        <v>42</v>
      </c>
      <c r="C143" s="932" t="s">
        <v>42</v>
      </c>
      <c r="D143" s="939">
        <f>(SUMIFS(Movement!$H$4:$H$2133,Movement!$L$4:$L$2133,'&gt;&gt;Chart'!C143,Movement!$O$4:$O$2133,Summary!$B$4,Movement!$M$4:$M$2133,"VND"))/Fx_rate/1000000+(SUMIFS(Movement!$H$4:$H$2133,Movement!$L$4:$L$2133,'&gt;&gt;Chart'!C143,Movement!$O$4:$O$2133,Summary!$B$4,Movement!$M$4:$M$2133,"USD"))/1000000</f>
        <v>0</v>
      </c>
      <c r="E143" s="940">
        <f>E142+D143</f>
        <v>144.10973553716329</v>
      </c>
      <c r="F143" s="940"/>
      <c r="G143" s="939">
        <f>SUM($D$137:D142)</f>
        <v>144.10973553716329</v>
      </c>
      <c r="H143" s="939">
        <f>SUM($D$137:D143)</f>
        <v>144.10973553716329</v>
      </c>
      <c r="I143" s="940">
        <f t="shared" si="19"/>
        <v>144.10973553716329</v>
      </c>
    </row>
    <row r="144" spans="2:19" hidden="1">
      <c r="B144" s="322" t="s">
        <v>49</v>
      </c>
      <c r="C144" s="932" t="s">
        <v>49</v>
      </c>
      <c r="D144" s="939">
        <f>(SUMIFS(Movement!$H$4:$H$2133,Movement!$L$4:$L$2133,'&gt;&gt;Chart'!C144,Movement!$O$4:$O$2133,Summary!$B$4,Movement!$M$4:$M$2133,"VND"))/Fx_rate/1000000+(SUMIFS(Movement!$H$4:$H$2133,Movement!$L$4:$L$2133,'&gt;&gt;Chart'!C144,Movement!$O$4:$O$2133,Summary!$B$4,Movement!$M$4:$M$2133,"USD"))/1000000</f>
        <v>0</v>
      </c>
      <c r="E144" s="940">
        <f t="shared" si="18"/>
        <v>144.10973553716329</v>
      </c>
      <c r="F144" s="940"/>
      <c r="G144" s="939">
        <f>SUM($D$137:D143)</f>
        <v>144.10973553716329</v>
      </c>
      <c r="H144" s="939">
        <f>SUM($D$137:D144)</f>
        <v>144.10973553716329</v>
      </c>
      <c r="I144" s="940">
        <f>IF(D144&lt;0,G144,H144)</f>
        <v>144.10973553716329</v>
      </c>
      <c r="L144" s="791"/>
    </row>
    <row r="145" spans="2:9">
      <c r="B145" s="322" t="s">
        <v>54</v>
      </c>
      <c r="C145" s="932" t="s">
        <v>54</v>
      </c>
      <c r="D145" s="939">
        <f>(SUMIFS(Movement!$H$4:$H$2133,Movement!$L$4:$L$2133,'&gt;&gt;Chart'!C145,Movement!$O$4:$O$2133,Summary!$B$4,Movement!$M$4:$M$2133,"VND"))/Fx_rate/1000000+(SUMIFS(Movement!$H$4:$H$2133,Movement!$L$4:$L$2133,'&gt;&gt;Chart'!C145,Movement!$O$4:$O$2133,Summary!$B$4,Movement!$M$4:$M$2133,"USD"))/1000000</f>
        <v>-7.2605405845272211E-2</v>
      </c>
      <c r="E145" s="940">
        <f>E144+D145</f>
        <v>144.03713013131801</v>
      </c>
      <c r="F145" s="940"/>
      <c r="G145" s="939">
        <f>SUM($D$137:D144)</f>
        <v>144.10973553716329</v>
      </c>
      <c r="H145" s="939">
        <f>SUM($D$137:D145)</f>
        <v>144.03713013131801</v>
      </c>
      <c r="I145" s="940">
        <f t="shared" ref="I145:I146" si="20">IF(D145&lt;0,G145,H145)</f>
        <v>144.10973553716329</v>
      </c>
    </row>
    <row r="146" spans="2:9" hidden="1">
      <c r="B146" s="322" t="s">
        <v>55</v>
      </c>
      <c r="C146" s="932" t="s">
        <v>55</v>
      </c>
      <c r="D146" s="939">
        <f>(SUMIFS(Movement!$H$4:$H$2133,Movement!$L$4:$L$2133,'&gt;&gt;Chart'!C146,Movement!$O$4:$O$2133,Summary!$B$4,Movement!$M$4:$M$2133,"VND"))/Fx_rate/1000000+(SUMIFS(Movement!$H$4:$H$2133,Movement!$L$4:$L$2133,'&gt;&gt;Chart'!C146,Movement!$O$4:$O$2133,Summary!$B$4,Movement!$M$4:$M$2133,"USD"))/1000000</f>
        <v>0</v>
      </c>
      <c r="E146" s="940">
        <f>E145+D146</f>
        <v>144.03713013131801</v>
      </c>
      <c r="F146" s="940"/>
      <c r="G146" s="939">
        <f>SUM($D$137:D145)</f>
        <v>144.03713013131801</v>
      </c>
      <c r="H146" s="939">
        <f>SUM($D$137:D146)</f>
        <v>144.03713013131801</v>
      </c>
      <c r="I146" s="940">
        <f t="shared" si="20"/>
        <v>144.03713013131801</v>
      </c>
    </row>
    <row r="147" spans="2:9">
      <c r="B147" s="322" t="s">
        <v>142</v>
      </c>
      <c r="C147" s="932" t="s">
        <v>22</v>
      </c>
      <c r="D147" s="939">
        <f>(SUMIFS(Movement!$H$4:$H$2133,Movement!$L$4:$L$2133,'&gt;&gt;Chart'!C147,Movement!$O$4:$O$2133,Summary!$B$4,Movement!$M$4:$M$2133,"VND"))/Fx_rate/1000000+(SUMIFS(Movement!$H$4:$H$2133,Movement!$L$4:$L$2133,'&gt;&gt;Chart'!C147,Movement!$O$4:$O$2133,Summary!$B$4,Movement!$M$4:$M$2133,"USD"))/1000000</f>
        <v>-4.813588368252149</v>
      </c>
      <c r="E147" s="940">
        <f>E146+D147</f>
        <v>139.22354176306587</v>
      </c>
      <c r="F147" s="940"/>
      <c r="G147" s="939">
        <f>SUM($D$137:D146)</f>
        <v>144.03713013131801</v>
      </c>
      <c r="H147" s="939">
        <f>SUM($D$137:D147)</f>
        <v>139.22354176306587</v>
      </c>
      <c r="I147" s="940">
        <f t="shared" ref="I147" si="21">IF(D147&lt;0,G147,H147)</f>
        <v>144.03713013131801</v>
      </c>
    </row>
    <row r="148" spans="2:9" hidden="1">
      <c r="B148" s="322" t="s">
        <v>143</v>
      </c>
      <c r="C148" s="932" t="s">
        <v>50</v>
      </c>
      <c r="D148" s="939">
        <f>(SUMIFS(Movement!$H$4:$H$2133,Movement!$L$4:$L$2133,'&gt;&gt;Chart'!C148,Movement!$O$4:$O$2133,Summary!$B$4,Movement!$M$4:$M$2133,"VND"))/Fx_rate/1000000+(SUMIFS(Movement!$H$4:$H$2133,Movement!$L$4:$L$2133,'&gt;&gt;Chart'!C148,Movement!$O$4:$O$2133,Summary!$B$4,Movement!$M$4:$M$2133,"USD"))/1000000</f>
        <v>0</v>
      </c>
      <c r="E148" s="940">
        <f>E147+D148</f>
        <v>139.22354176306587</v>
      </c>
      <c r="F148" s="940"/>
      <c r="G148" s="939">
        <f>SUM($D$137:D147)</f>
        <v>139.22354176306587</v>
      </c>
      <c r="H148" s="939">
        <f>SUM($D$137:D148)</f>
        <v>139.22354176306587</v>
      </c>
      <c r="I148" s="940">
        <f t="shared" si="19"/>
        <v>139.22354176306587</v>
      </c>
    </row>
    <row r="149" spans="2:9">
      <c r="B149" s="322" t="s">
        <v>52</v>
      </c>
      <c r="C149" s="932" t="s">
        <v>52</v>
      </c>
      <c r="D149" s="939">
        <f>(SUMIFS(Movement!$H$4:$H$2133,Movement!$L$4:$L$2133,'&gt;&gt;Chart'!C149,Movement!$O$4:$O$2133,Summary!$B$4,Movement!$M$4:$M$2133,"VND"))/Fx_rate/1000000+(SUMIFS(Movement!$H$4:$H$2133,Movement!$L$4:$L$2133,'&gt;&gt;Chart'!C149,Movement!$O$4:$O$2133,Summary!$B$4,Movement!$M$4:$M$2133,"USD"))/1000000</f>
        <v>0</v>
      </c>
      <c r="E149" s="940">
        <f t="shared" si="18"/>
        <v>139.22354176306587</v>
      </c>
      <c r="F149" s="940"/>
      <c r="G149" s="939">
        <f>SUM($D$137:D148)</f>
        <v>139.22354176306587</v>
      </c>
      <c r="H149" s="939">
        <f>SUM($D$137:D149)</f>
        <v>139.22354176306587</v>
      </c>
      <c r="I149" s="940">
        <f t="shared" si="19"/>
        <v>139.22354176306587</v>
      </c>
    </row>
    <row r="150" spans="2:9" hidden="1">
      <c r="B150" s="322" t="s">
        <v>21</v>
      </c>
      <c r="C150" s="932" t="s">
        <v>21</v>
      </c>
      <c r="D150" s="939">
        <f>(SUMIFS(Movement!$H$4:$H$2133,Movement!$L$4:$L$2133,'&gt;&gt;Chart'!C150,Movement!$O$4:$O$2133,Summary!$B$4,Movement!$M$4:$M$2133,"VND"))/Fx_rate/1000000+(SUMIFS(Movement!$H$4:$H$2133,Movement!$L$4:$L$2133,'&gt;&gt;Chart'!C150,Movement!$O$4:$O$2133,Summary!$B$4,Movement!$M$4:$M$2133,"USD"))/1000000</f>
        <v>0</v>
      </c>
      <c r="E150" s="940">
        <f t="shared" si="18"/>
        <v>139.22354176306587</v>
      </c>
      <c r="F150" s="940"/>
      <c r="G150" s="939">
        <f>SUM($D$137:D149)</f>
        <v>139.22354176306587</v>
      </c>
      <c r="H150" s="939">
        <f>SUM($D$137:D150)</f>
        <v>139.22354176306587</v>
      </c>
      <c r="I150" s="940">
        <f>IF(D150&lt;0,G150,H150)</f>
        <v>139.22354176306587</v>
      </c>
    </row>
    <row r="151" spans="2:9" hidden="1">
      <c r="B151" s="322" t="s">
        <v>144</v>
      </c>
      <c r="C151" s="932" t="s">
        <v>58</v>
      </c>
      <c r="D151" s="939">
        <f>(SUMIFS(Movement!$H$4:$H$2133,Movement!$L$4:$L$2133,'&gt;&gt;Chart'!C151,Movement!$O$4:$O$2133,Summary!$B$4,Movement!$M$4:$M$2133,"VND"))/Fx_rate/1000000+(SUMIFS(Movement!$H$4:$H$2133,Movement!$L$4:$L$2133,'&gt;&gt;Chart'!C151,Movement!$O$4:$O$2133,Summary!$B$4,Movement!$M$4:$M$2133,"USD"))/1000000</f>
        <v>0</v>
      </c>
      <c r="E151" s="940">
        <f t="shared" si="18"/>
        <v>139.22354176306587</v>
      </c>
      <c r="F151" s="940"/>
      <c r="G151" s="939">
        <f>SUM($D$137:D150)</f>
        <v>139.22354176306587</v>
      </c>
      <c r="H151" s="939">
        <f>SUM($D$137:D151)</f>
        <v>139.22354176306587</v>
      </c>
      <c r="I151" s="940">
        <f t="shared" si="19"/>
        <v>139.22354176306587</v>
      </c>
    </row>
    <row r="152" spans="2:9" hidden="1">
      <c r="B152" s="322" t="s">
        <v>47</v>
      </c>
      <c r="C152" s="932" t="s">
        <v>47</v>
      </c>
      <c r="D152" s="939">
        <f>(SUMIFS(Movement!$H$4:$H$2133,Movement!$L$4:$L$2133,'&gt;&gt;Chart'!C152,Movement!$O$4:$O$2133,Summary!$B$4,Movement!$M$4:$M$2133,"VND"))/Fx_rate/1000000+(SUMIFS(Movement!$H$4:$H$2133,Movement!$L$4:$L$2133,'&gt;&gt;Chart'!C152,Movement!$O$4:$O$2133,Summary!$B$4,Movement!$M$4:$M$2133,"USD"))/1000000</f>
        <v>0</v>
      </c>
      <c r="E152" s="940">
        <f>E151+D152</f>
        <v>139.22354176306587</v>
      </c>
      <c r="F152" s="940"/>
      <c r="G152" s="939">
        <f>SUM($D$137:D151)</f>
        <v>139.22354176306587</v>
      </c>
      <c r="H152" s="939">
        <f>SUM($D$137:D152)</f>
        <v>139.22354176306587</v>
      </c>
      <c r="I152" s="940">
        <f t="shared" si="19"/>
        <v>139.22354176306587</v>
      </c>
    </row>
    <row r="153" spans="2:9">
      <c r="B153" s="322" t="s">
        <v>145</v>
      </c>
      <c r="C153" s="932" t="s">
        <v>145</v>
      </c>
      <c r="D153" s="939">
        <f>G111-SUM(D137:D152)</f>
        <v>22.922636103151916</v>
      </c>
      <c r="E153" s="940">
        <f>E152+D153</f>
        <v>162.14617786621778</v>
      </c>
      <c r="F153" s="940"/>
      <c r="G153" s="939">
        <f>SUM($D$137:D152)</f>
        <v>139.22354176306587</v>
      </c>
      <c r="H153" s="939">
        <f>SUM($D$137:D153)</f>
        <v>162.14617786621778</v>
      </c>
      <c r="I153" s="940">
        <f t="shared" ref="I153" si="22">IF(D153&lt;0,G153,H153)</f>
        <v>162.14617786621778</v>
      </c>
    </row>
    <row r="154" spans="2:9">
      <c r="B154" s="322" t="s">
        <v>146</v>
      </c>
      <c r="C154" s="932" t="s">
        <v>146</v>
      </c>
      <c r="D154" s="939"/>
      <c r="E154" s="940"/>
      <c r="F154" s="937">
        <f>SUM(D137:D153)</f>
        <v>162.14617786621778</v>
      </c>
      <c r="G154" s="940"/>
      <c r="H154" s="940"/>
      <c r="I154" s="940"/>
    </row>
    <row r="155" spans="2:9">
      <c r="I155" s="30"/>
    </row>
    <row r="156" spans="2:9">
      <c r="F156" s="791"/>
      <c r="I156" s="30"/>
    </row>
    <row r="157" spans="2:9">
      <c r="I157" s="30"/>
    </row>
    <row r="158" spans="2:9">
      <c r="I158" s="30"/>
    </row>
    <row r="159" spans="2:9">
      <c r="I159" s="30"/>
    </row>
    <row r="160" spans="2:9">
      <c r="I160" s="30"/>
    </row>
    <row r="161" spans="2:9">
      <c r="C161" s="932"/>
      <c r="D161" s="941" t="s">
        <v>147</v>
      </c>
      <c r="E161" s="941" t="s">
        <v>148</v>
      </c>
      <c r="F161" s="941" t="s">
        <v>149</v>
      </c>
      <c r="G161" s="941" t="s">
        <v>150</v>
      </c>
      <c r="H161" s="941" t="s">
        <v>151</v>
      </c>
      <c r="I161" s="30"/>
    </row>
    <row r="162" spans="2:9">
      <c r="B162" s="322" t="s">
        <v>85</v>
      </c>
      <c r="C162" s="932" t="s">
        <v>152</v>
      </c>
      <c r="D162" s="942">
        <f>(SUMIFS(CM_Cash!$B$68:$B$91,CM_Cash!$A$68:$A$91,'&gt;&gt;Chart'!$B162)+SUMIFS(CM_Cash!$D$68:$D$91,CM_Cash!$A$68:$A$91,'&gt;&gt;Chart'!$B162)+SUMIFS(CM_Cash!$E$68:$E$91,CM_Cash!$A$68:$A$91,'&gt;&gt;Chart'!$B162))/1000000000</f>
        <v>800.37055380300001</v>
      </c>
      <c r="E162" s="942">
        <f>(SUMIFS(CM_Cash!$I$68:$I$91,CM_Cash!$A$68:$A$91,'&gt;&gt;Chart'!$B162)+SUMIFS(CM_Cash!$J$68:$J$91,CM_Cash!$A$68:$A$91,'&gt;&gt;Chart'!$B162)+SUMIFS(CM_Cash!$K$68:$K$91,CM_Cash!$A$68:$A$91,'&gt;&gt;Chart'!$B162))/1000000000</f>
        <v>800.37055380300001</v>
      </c>
      <c r="F162" s="943">
        <f t="shared" ref="F162:F173" si="23">F163+1</f>
        <v>14</v>
      </c>
      <c r="G162" s="942">
        <f>IF(E162&gt;D162,E162-D162,0)</f>
        <v>0</v>
      </c>
      <c r="H162" s="942">
        <f>IF(E162&lt;D162,D162-E162,0)</f>
        <v>0</v>
      </c>
      <c r="I162" s="30"/>
    </row>
    <row r="163" spans="2:9">
      <c r="B163" s="322" t="s">
        <v>153</v>
      </c>
      <c r="C163" s="932" t="s">
        <v>154</v>
      </c>
      <c r="D163" s="942">
        <f>(SUMIFS(CM_Cash!$B$68:$B$91,CM_Cash!$A$68:$A$91,'&gt;&gt;Chart'!$B163)+SUMIFS(CM_Cash!$D$68:$D$91,CM_Cash!$A$68:$A$91,'&gt;&gt;Chart'!$B163)+SUMIFS(CM_Cash!$E$68:$E$91,CM_Cash!$A$68:$A$91,'&gt;&gt;Chart'!$B163))/1000000000</f>
        <v>481.769229698</v>
      </c>
      <c r="E163" s="942">
        <f>(SUMIFS(CM_Cash!$I$68:$I$91,CM_Cash!$A$68:$A$91,'&gt;&gt;Chart'!$B163)+SUMIFS(CM_Cash!$J$68:$J$91,CM_Cash!$A$68:$A$91,'&gt;&gt;Chart'!$B163)+SUMIFS(CM_Cash!$K$68:$K$91,CM_Cash!$A$68:$A$91,'&gt;&gt;Chart'!$B163))/1000000000</f>
        <v>481.769229698</v>
      </c>
      <c r="F163" s="943">
        <f t="shared" si="23"/>
        <v>13</v>
      </c>
      <c r="G163" s="942">
        <f t="shared" ref="G163:G175" si="24">IF(E163&gt;D163,E163-D163,0)</f>
        <v>0</v>
      </c>
      <c r="H163" s="942">
        <f t="shared" ref="H163:H175" si="25">IF(E163&lt;D163,D163-E163,0)</f>
        <v>0</v>
      </c>
      <c r="I163" s="30"/>
    </row>
    <row r="164" spans="2:9">
      <c r="B164" s="322" t="s">
        <v>155</v>
      </c>
      <c r="C164" s="932" t="s">
        <v>156</v>
      </c>
      <c r="D164" s="942">
        <f>(SUMIFS(CM_Cash!$B$68:$B$91,CM_Cash!$A$68:$A$91,'&gt;&gt;Chart'!$B164)+SUMIFS(CM_Cash!$D$68:$D$91,CM_Cash!$A$68:$A$91,'&gt;&gt;Chart'!$B164)+SUMIFS(CM_Cash!$E$68:$E$91,CM_Cash!$A$68:$A$91,'&gt;&gt;Chart'!$B164))/1000000000</f>
        <v>62.969188787</v>
      </c>
      <c r="E164" s="942">
        <f>(SUMIFS(CM_Cash!$I$68:$I$91,CM_Cash!$A$68:$A$91,'&gt;&gt;Chart'!$B164)+SUMIFS(CM_Cash!$J$68:$J$91,CM_Cash!$A$68:$A$91,'&gt;&gt;Chart'!$B164)+SUMIFS(CM_Cash!$K$68:$K$91,CM_Cash!$A$68:$A$91,'&gt;&gt;Chart'!$B164))/1000000000</f>
        <v>62.969188787</v>
      </c>
      <c r="F164" s="943">
        <f t="shared" si="23"/>
        <v>12</v>
      </c>
      <c r="G164" s="942">
        <f t="shared" si="24"/>
        <v>0</v>
      </c>
      <c r="H164" s="942">
        <f t="shared" si="25"/>
        <v>0</v>
      </c>
      <c r="I164" s="30"/>
    </row>
    <row r="165" spans="2:9">
      <c r="B165" s="322" t="s">
        <v>88</v>
      </c>
      <c r="C165" s="932" t="s">
        <v>157</v>
      </c>
      <c r="D165" s="942">
        <f>(SUMIFS(CM_Cash!$B$68:$B$91,CM_Cash!$A$68:$A$91,'&gt;&gt;Chart'!$B165)+SUMIFS(CM_Cash!$D$68:$D$91,CM_Cash!$A$68:$A$91,'&gt;&gt;Chart'!$B165)+SUMIFS(CM_Cash!$E$68:$E$91,CM_Cash!$A$68:$A$91,'&gt;&gt;Chart'!$B165))/1000000000</f>
        <v>105.91471133100001</v>
      </c>
      <c r="E165" s="942">
        <f>(SUMIFS(CM_Cash!$I$68:$I$91,CM_Cash!$A$68:$A$91,'&gt;&gt;Chart'!$B165)+SUMIFS(CM_Cash!$J$68:$J$91,CM_Cash!$A$68:$A$91,'&gt;&gt;Chart'!$B165)+SUMIFS(CM_Cash!$K$68:$K$91,CM_Cash!$A$68:$A$91,'&gt;&gt;Chart'!$B165))/1000000000</f>
        <v>105.91471133100001</v>
      </c>
      <c r="F165" s="943">
        <f t="shared" si="23"/>
        <v>11</v>
      </c>
      <c r="G165" s="942">
        <f t="shared" si="24"/>
        <v>0</v>
      </c>
      <c r="H165" s="942">
        <f t="shared" si="25"/>
        <v>0</v>
      </c>
      <c r="I165" s="30"/>
    </row>
    <row r="166" spans="2:9">
      <c r="B166" s="322" t="s">
        <v>86</v>
      </c>
      <c r="C166" s="932" t="s">
        <v>158</v>
      </c>
      <c r="D166" s="942">
        <f>(SUMIFS(CM_Cash!$B$68:$B$91,CM_Cash!$A$68:$A$91,'&gt;&gt;Chart'!$B166)+SUMIFS(CM_Cash!$D$68:$D$91,CM_Cash!$A$68:$A$91,'&gt;&gt;Chart'!$B166)+SUMIFS(CM_Cash!$E$68:$E$91,CM_Cash!$A$68:$A$91,'&gt;&gt;Chart'!$B166))/1000000000</f>
        <v>58.873963304999997</v>
      </c>
      <c r="E166" s="942">
        <f>(SUMIFS(CM_Cash!$I$68:$I$91,CM_Cash!$A$68:$A$91,'&gt;&gt;Chart'!$B166)+SUMIFS(CM_Cash!$J$68:$J$91,CM_Cash!$A$68:$A$91,'&gt;&gt;Chart'!$B166)+SUMIFS(CM_Cash!$K$68:$K$91,CM_Cash!$A$68:$A$91,'&gt;&gt;Chart'!$B166))/1000000000</f>
        <v>58.873963304999997</v>
      </c>
      <c r="F166" s="943">
        <f t="shared" si="23"/>
        <v>10</v>
      </c>
      <c r="G166" s="942">
        <f t="shared" si="24"/>
        <v>0</v>
      </c>
      <c r="H166" s="942">
        <f t="shared" si="25"/>
        <v>0</v>
      </c>
      <c r="I166" s="30"/>
    </row>
    <row r="167" spans="2:9">
      <c r="B167" s="322" t="s">
        <v>92</v>
      </c>
      <c r="C167" s="932" t="s">
        <v>159</v>
      </c>
      <c r="D167" s="942">
        <f>(SUMIFS(CM_Cash!$B$68:$B$91,CM_Cash!$A$68:$A$91,'&gt;&gt;Chart'!$B167)+SUMIFS(CM_Cash!$D$68:$D$91,CM_Cash!$A$68:$A$91,'&gt;&gt;Chart'!$B167)+SUMIFS(CM_Cash!$E$68:$E$91,CM_Cash!$A$68:$A$91,'&gt;&gt;Chart'!$B167))/1000000000</f>
        <v>293.67849033900001</v>
      </c>
      <c r="E167" s="942">
        <f>(SUMIFS(CM_Cash!$I$68:$I$91,CM_Cash!$A$68:$A$91,'&gt;&gt;Chart'!$B167)+SUMIFS(CM_Cash!$J$68:$J$91,CM_Cash!$A$68:$A$91,'&gt;&gt;Chart'!$B167)+SUMIFS(CM_Cash!$K$68:$K$91,CM_Cash!$A$68:$A$91,'&gt;&gt;Chart'!$B167))/1000000000</f>
        <v>293.67849033900001</v>
      </c>
      <c r="F167" s="943">
        <f t="shared" si="23"/>
        <v>9</v>
      </c>
      <c r="G167" s="942">
        <f t="shared" si="24"/>
        <v>0</v>
      </c>
      <c r="H167" s="942">
        <f t="shared" si="25"/>
        <v>0</v>
      </c>
      <c r="I167" s="30"/>
    </row>
    <row r="168" spans="2:9">
      <c r="B168" s="322" t="s">
        <v>93</v>
      </c>
      <c r="C168" s="932" t="s">
        <v>160</v>
      </c>
      <c r="D168" s="942">
        <f>(SUMIFS(CM_Cash!$B$68:$B$91,CM_Cash!$A$68:$A$91,'&gt;&gt;Chart'!$B168)+SUMIFS(CM_Cash!$D$68:$D$91,CM_Cash!$A$68:$A$91,'&gt;&gt;Chart'!$B168)+SUMIFS(CM_Cash!$E$68:$E$91,CM_Cash!$A$68:$A$91,'&gt;&gt;Chart'!$B168))/1000000000</f>
        <v>82.158267897000002</v>
      </c>
      <c r="E168" s="942">
        <f>(SUMIFS(CM_Cash!$I$68:$I$91,CM_Cash!$A$68:$A$91,'&gt;&gt;Chart'!$B168)+SUMIFS(CM_Cash!$J$68:$J$91,CM_Cash!$A$68:$A$91,'&gt;&gt;Chart'!$B168)+SUMIFS(CM_Cash!$K$68:$K$91,CM_Cash!$A$68:$A$91,'&gt;&gt;Chart'!$B168))/1000000000</f>
        <v>82.158267897000002</v>
      </c>
      <c r="F168" s="943">
        <f t="shared" si="23"/>
        <v>8</v>
      </c>
      <c r="G168" s="942">
        <f t="shared" si="24"/>
        <v>0</v>
      </c>
      <c r="H168" s="942">
        <f t="shared" si="25"/>
        <v>0</v>
      </c>
      <c r="I168" s="30"/>
    </row>
    <row r="169" spans="2:9">
      <c r="B169" s="322" t="s">
        <v>94</v>
      </c>
      <c r="C169" s="932" t="s">
        <v>161</v>
      </c>
      <c r="D169" s="942">
        <f>(SUMIFS(CM_Cash!$B$68:$B$91,CM_Cash!$A$68:$A$91,'&gt;&gt;Chart'!$B169)+SUMIFS(CM_Cash!$D$68:$D$91,CM_Cash!$A$68:$A$91,'&gt;&gt;Chart'!$B169)+SUMIFS(CM_Cash!$E$68:$E$91,CM_Cash!$A$68:$A$91,'&gt;&gt;Chart'!$B169))/1000000000</f>
        <v>0.101627896</v>
      </c>
      <c r="E169" s="942">
        <f>(SUMIFS(CM_Cash!$I$68:$I$91,CM_Cash!$A$68:$A$91,'&gt;&gt;Chart'!$B169)+SUMIFS(CM_Cash!$J$68:$J$91,CM_Cash!$A$68:$A$91,'&gt;&gt;Chart'!$B169)+SUMIFS(CM_Cash!$K$68:$K$91,CM_Cash!$A$68:$A$91,'&gt;&gt;Chart'!$B169))/1000000000</f>
        <v>0.101627896</v>
      </c>
      <c r="F169" s="943">
        <f t="shared" si="23"/>
        <v>7</v>
      </c>
      <c r="G169" s="942">
        <f t="shared" si="24"/>
        <v>0</v>
      </c>
      <c r="H169" s="942">
        <f t="shared" si="25"/>
        <v>0</v>
      </c>
      <c r="I169" s="30"/>
    </row>
    <row r="170" spans="2:9">
      <c r="B170" s="322" t="s">
        <v>91</v>
      </c>
      <c r="C170" s="932" t="s">
        <v>162</v>
      </c>
      <c r="D170" s="942">
        <f>(SUMIFS(CM_Cash!$B$68:$B$91,CM_Cash!$A$68:$A$91,'&gt;&gt;Chart'!$B170)+SUMIFS(CM_Cash!$D$68:$D$91,CM_Cash!$A$68:$A$91,'&gt;&gt;Chart'!$B170)+SUMIFS(CM_Cash!$E$68:$E$91,CM_Cash!$A$68:$A$91,'&gt;&gt;Chart'!$B170))/1000000000</f>
        <v>1439.3669295499999</v>
      </c>
      <c r="E170" s="942">
        <f>(SUMIFS(CM_Cash!$I$68:$I$91,CM_Cash!$A$68:$A$91,'&gt;&gt;Chart'!$B170)+SUMIFS(CM_Cash!$J$68:$J$91,CM_Cash!$A$68:$A$91,'&gt;&gt;Chart'!$B170)+SUMIFS(CM_Cash!$K$68:$K$91,CM_Cash!$A$68:$A$91,'&gt;&gt;Chart'!$B170))/1000000000</f>
        <v>1439.3669295499999</v>
      </c>
      <c r="F170" s="943">
        <f t="shared" si="23"/>
        <v>6</v>
      </c>
      <c r="G170" s="942">
        <f t="shared" si="24"/>
        <v>0</v>
      </c>
      <c r="H170" s="942">
        <f t="shared" si="25"/>
        <v>0</v>
      </c>
      <c r="I170" s="30"/>
    </row>
    <row r="171" spans="2:9">
      <c r="B171" s="322" t="s">
        <v>89</v>
      </c>
      <c r="C171" s="932" t="s">
        <v>163</v>
      </c>
      <c r="D171" s="942">
        <f>(SUMIFS(CM_Cash!$B$68:$B$91,CM_Cash!$A$68:$A$91,'&gt;&gt;Chart'!$B171)+SUMIFS(CM_Cash!$D$68:$D$91,CM_Cash!$A$68:$A$91,'&gt;&gt;Chart'!$B171)+SUMIFS(CM_Cash!$E$68:$E$91,CM_Cash!$A$68:$A$91,'&gt;&gt;Chart'!$B171))/1000000000</f>
        <v>121.50741409699999</v>
      </c>
      <c r="E171" s="942">
        <f>(SUMIFS(CM_Cash!$I$68:$I$91,CM_Cash!$A$68:$A$91,'&gt;&gt;Chart'!$B171)+SUMIFS(CM_Cash!$J$68:$J$91,CM_Cash!$A$68:$A$91,'&gt;&gt;Chart'!$B171)+SUMIFS(CM_Cash!$K$68:$K$91,CM_Cash!$A$68:$A$91,'&gt;&gt;Chart'!$B171))/1000000000</f>
        <v>121.50741409699999</v>
      </c>
      <c r="F171" s="943">
        <f t="shared" si="23"/>
        <v>5</v>
      </c>
      <c r="G171" s="942">
        <f t="shared" si="24"/>
        <v>0</v>
      </c>
      <c r="H171" s="942">
        <f t="shared" si="25"/>
        <v>0</v>
      </c>
      <c r="I171" s="30"/>
    </row>
    <row r="172" spans="2:9">
      <c r="B172" s="322" t="s">
        <v>95</v>
      </c>
      <c r="C172" s="932" t="s">
        <v>164</v>
      </c>
      <c r="D172" s="942">
        <f>(SUMIFS(CM_Cash!$B$68:$B$91,CM_Cash!$A$68:$A$91,'&gt;&gt;Chart'!$B172)+SUMIFS(CM_Cash!$D$68:$D$91,CM_Cash!$A$68:$A$91,'&gt;&gt;Chart'!$B172)+SUMIFS(CM_Cash!$E$68:$E$91,CM_Cash!$A$68:$A$91,'&gt;&gt;Chart'!$B172))/1000000000</f>
        <v>0.59862920100000006</v>
      </c>
      <c r="E172" s="942">
        <f>(SUMIFS(CM_Cash!$I$68:$I$91,CM_Cash!$A$68:$A$91,'&gt;&gt;Chart'!$B172)+SUMIFS(CM_Cash!$J$68:$J$91,CM_Cash!$A$68:$A$91,'&gt;&gt;Chart'!$B172)+SUMIFS(CM_Cash!$K$68:$K$91,CM_Cash!$A$68:$A$91,'&gt;&gt;Chart'!$B172))/1000000000</f>
        <v>0.59862920100000006</v>
      </c>
      <c r="F172" s="943">
        <f t="shared" si="23"/>
        <v>4</v>
      </c>
      <c r="G172" s="942">
        <f t="shared" si="24"/>
        <v>0</v>
      </c>
      <c r="H172" s="942">
        <f t="shared" si="25"/>
        <v>0</v>
      </c>
      <c r="I172" s="30"/>
    </row>
    <row r="173" spans="2:9">
      <c r="B173" s="322" t="s">
        <v>96</v>
      </c>
      <c r="C173" s="932" t="s">
        <v>165</v>
      </c>
      <c r="D173" s="942">
        <f>(SUMIFS(CM_Cash!$B$68:$B$91,CM_Cash!$A$68:$A$91,'&gt;&gt;Chart'!$B173)+SUMIFS(CM_Cash!$D$68:$D$91,CM_Cash!$A$68:$A$91,'&gt;&gt;Chart'!$B173)+SUMIFS(CM_Cash!$E$68:$E$91,CM_Cash!$A$68:$A$91,'&gt;&gt;Chart'!$B173))/1000000000</f>
        <v>174.39579141799999</v>
      </c>
      <c r="E173" s="942">
        <f>(SUMIFS(CM_Cash!$I$68:$I$91,CM_Cash!$A$68:$A$91,'&gt;&gt;Chart'!$B173)+SUMIFS(CM_Cash!$J$68:$J$91,CM_Cash!$A$68:$A$91,'&gt;&gt;Chart'!$B173)+SUMIFS(CM_Cash!$K$68:$K$91,CM_Cash!$A$68:$A$91,'&gt;&gt;Chart'!$B173))/1000000000</f>
        <v>174.39579141799999</v>
      </c>
      <c r="F173" s="943">
        <f t="shared" si="23"/>
        <v>3</v>
      </c>
      <c r="G173" s="942">
        <f t="shared" si="24"/>
        <v>0</v>
      </c>
      <c r="H173" s="942">
        <f t="shared" si="25"/>
        <v>0</v>
      </c>
      <c r="I173" s="30"/>
    </row>
    <row r="174" spans="2:9">
      <c r="B174" s="322" t="s">
        <v>97</v>
      </c>
      <c r="C174" s="932" t="s">
        <v>166</v>
      </c>
      <c r="D174" s="942">
        <f>(SUMIFS(CM_Cash!$B$68:$B$91,CM_Cash!$A$68:$A$91,'&gt;&gt;Chart'!$B174)+SUMIFS(CM_Cash!$D$68:$D$91,CM_Cash!$A$68:$A$91,'&gt;&gt;Chart'!$B174)+SUMIFS(CM_Cash!$E$68:$E$91,CM_Cash!$A$68:$A$91,'&gt;&gt;Chart'!$B174))/1000000000</f>
        <v>7.9583039999999994E-3</v>
      </c>
      <c r="E174" s="942">
        <f>(SUMIFS(CM_Cash!$I$68:$I$91,CM_Cash!$A$68:$A$91,'&gt;&gt;Chart'!$B174)+SUMIFS(CM_Cash!$J$68:$J$91,CM_Cash!$A$68:$A$91,'&gt;&gt;Chart'!$B174)+SUMIFS(CM_Cash!$K$68:$K$91,CM_Cash!$A$68:$A$91,'&gt;&gt;Chart'!$B174))/1000000000</f>
        <v>7.9583039999999994E-3</v>
      </c>
      <c r="F174" s="943">
        <f>F175+1</f>
        <v>2</v>
      </c>
      <c r="G174" s="942">
        <f t="shared" si="24"/>
        <v>0</v>
      </c>
      <c r="H174" s="942">
        <f t="shared" si="25"/>
        <v>0</v>
      </c>
      <c r="I174" s="30"/>
    </row>
    <row r="175" spans="2:9">
      <c r="B175" s="322" t="s">
        <v>98</v>
      </c>
      <c r="C175" s="932" t="s">
        <v>167</v>
      </c>
      <c r="D175" s="942">
        <f>(SUMIFS(CM_Cash!$B$68:$B$91,CM_Cash!$A$68:$A$91,'&gt;&gt;Chart'!$B175)+SUMIFS(CM_Cash!$D$68:$D$91,CM_Cash!$A$68:$A$91,'&gt;&gt;Chart'!$B175)+SUMIFS(CM_Cash!$E$68:$E$91,CM_Cash!$A$68:$A$91,'&gt;&gt;Chart'!$B175))/1000000000</f>
        <v>139.80928048000001</v>
      </c>
      <c r="E175" s="942">
        <f>(SUMIFS(CM_Cash!$I$68:$I$91,CM_Cash!$A$68:$A$91,'&gt;&gt;Chart'!$B175)+SUMIFS(CM_Cash!$J$68:$J$91,CM_Cash!$A$68:$A$91,'&gt;&gt;Chart'!$B175)+SUMIFS(CM_Cash!$K$68:$K$91,CM_Cash!$A$68:$A$91,'&gt;&gt;Chart'!$B175))/1000000000</f>
        <v>139.80928048000001</v>
      </c>
      <c r="F175" s="943">
        <v>1</v>
      </c>
      <c r="G175" s="942">
        <f t="shared" si="24"/>
        <v>0</v>
      </c>
      <c r="H175" s="942">
        <f t="shared" si="25"/>
        <v>0</v>
      </c>
      <c r="I175" s="30"/>
    </row>
    <row r="176" spans="2:9">
      <c r="I176" s="30"/>
    </row>
    <row r="177" spans="2:9">
      <c r="I177" s="30"/>
    </row>
    <row r="178" spans="2:9">
      <c r="I178" s="30"/>
    </row>
    <row r="179" spans="2:9">
      <c r="C179" s="932"/>
      <c r="D179" s="941" t="s">
        <v>147</v>
      </c>
      <c r="E179" s="941" t="s">
        <v>148</v>
      </c>
      <c r="F179" s="941" t="s">
        <v>149</v>
      </c>
      <c r="G179" s="941" t="s">
        <v>150</v>
      </c>
      <c r="H179" s="941" t="s">
        <v>151</v>
      </c>
      <c r="I179" s="30"/>
    </row>
    <row r="180" spans="2:9">
      <c r="B180" s="322" t="s">
        <v>85</v>
      </c>
      <c r="C180" s="932" t="s">
        <v>152</v>
      </c>
      <c r="D180" s="944">
        <f>(SUMIFS(CM_Cash!$O$68:$O$91,CM_Cash!$A$68:$A$91,'&gt;&gt;Chart'!$B180)+SUMIFS(CM_Cash!$P$68:$P$91,CM_Cash!$A$68:$A$91,'&gt;&gt;Chart'!$B180)+SUMIFS(CM_Cash!$Q$68:$Q$91,CM_Cash!$A$68:$A$91,'&gt;&gt;Chart'!$B180))/1000000</f>
        <v>3.1311840000000001E-2</v>
      </c>
      <c r="E180" s="944">
        <f>(SUMIFS(CM_Cash!$U$68:$U$91,CM_Cash!$A$68:$A$91,'&gt;&gt;Chart'!$B180)+SUMIFS(CM_Cash!$V$68:$V$91,CM_Cash!$A$68:$A$91,'&gt;&gt;Chart'!$B180)+SUMIFS(CM_Cash!$W$68:$W$91,CM_Cash!$A$68:$A$91,'&gt;&gt;Chart'!$B180))/1000000</f>
        <v>3.1311840000000001E-2</v>
      </c>
      <c r="F180" s="943">
        <f t="shared" ref="F180:F191" si="26">F181+1</f>
        <v>14</v>
      </c>
      <c r="G180" s="944">
        <f>IF(E180&gt;D180,E180-D180,0)</f>
        <v>0</v>
      </c>
      <c r="H180" s="944">
        <f>IF(E180&lt;D180,D180-E180,0)</f>
        <v>0</v>
      </c>
      <c r="I180" s="30"/>
    </row>
    <row r="181" spans="2:9">
      <c r="B181" s="322" t="s">
        <v>153</v>
      </c>
      <c r="C181" s="932" t="s">
        <v>154</v>
      </c>
      <c r="D181" s="944">
        <f>(SUMIFS(CM_Cash!$O$68:$O$91,CM_Cash!$A$68:$A$91,'&gt;&gt;Chart'!$B181)+SUMIFS(CM_Cash!$P$68:$P$91,CM_Cash!$A$68:$A$91,'&gt;&gt;Chart'!$B181)+SUMIFS(CM_Cash!$Q$68:$Q$91,CM_Cash!$A$68:$A$91,'&gt;&gt;Chart'!$B181))/1000000</f>
        <v>3.3161400000000004E-3</v>
      </c>
      <c r="E181" s="944">
        <f>(SUMIFS(CM_Cash!$U$68:$U$91,CM_Cash!$A$68:$A$91,'&gt;&gt;Chart'!$B181)+SUMIFS(CM_Cash!$V$68:$V$91,CM_Cash!$A$68:$A$91,'&gt;&gt;Chart'!$B181)+SUMIFS(CM_Cash!$W$68:$W$91,CM_Cash!$A$68:$A$91,'&gt;&gt;Chart'!$B181))/1000000</f>
        <v>3.3161400000000004E-3</v>
      </c>
      <c r="F181" s="943">
        <f t="shared" si="26"/>
        <v>13</v>
      </c>
      <c r="G181" s="944">
        <f t="shared" ref="G181:G193" si="27">IF(E181&gt;D181,E181-D181,0)</f>
        <v>0</v>
      </c>
      <c r="H181" s="944">
        <f t="shared" ref="H181:H193" si="28">IF(E181&lt;D181,D181-E181,0)</f>
        <v>0</v>
      </c>
      <c r="I181" s="30"/>
    </row>
    <row r="182" spans="2:9">
      <c r="B182" s="322" t="s">
        <v>155</v>
      </c>
      <c r="C182" s="932" t="s">
        <v>156</v>
      </c>
      <c r="D182" s="944">
        <f>(SUMIFS(CM_Cash!$O$68:$O$91,CM_Cash!$A$68:$A$91,'&gt;&gt;Chart'!$B182)+SUMIFS(CM_Cash!$P$68:$P$91,CM_Cash!$A$68:$A$91,'&gt;&gt;Chart'!$B182)+SUMIFS(CM_Cash!$Q$68:$Q$91,CM_Cash!$A$68:$A$91,'&gt;&gt;Chart'!$B182))/1000000</f>
        <v>2.0000000000000001E-4</v>
      </c>
      <c r="E182" s="944">
        <f>(SUMIFS(CM_Cash!$U$68:$U$91,CM_Cash!$A$68:$A$91,'&gt;&gt;Chart'!$B182)+SUMIFS(CM_Cash!$V$68:$V$91,CM_Cash!$A$68:$A$91,'&gt;&gt;Chart'!$B182)+SUMIFS(CM_Cash!$W$68:$W$91,CM_Cash!$A$68:$A$91,'&gt;&gt;Chart'!$B182))/1000000</f>
        <v>2.0000000000000001E-4</v>
      </c>
      <c r="F182" s="943">
        <f t="shared" si="26"/>
        <v>12</v>
      </c>
      <c r="G182" s="944">
        <f t="shared" si="27"/>
        <v>0</v>
      </c>
      <c r="H182" s="944">
        <f t="shared" si="28"/>
        <v>0</v>
      </c>
      <c r="I182" s="30"/>
    </row>
    <row r="183" spans="2:9">
      <c r="B183" s="322" t="s">
        <v>88</v>
      </c>
      <c r="C183" s="932" t="s">
        <v>157</v>
      </c>
      <c r="D183" s="944">
        <f>(SUMIFS(CM_Cash!$O$68:$O$91,CM_Cash!$A$68:$A$91,'&gt;&gt;Chart'!$B183)+SUMIFS(CM_Cash!$P$68:$P$91,CM_Cash!$A$68:$A$91,'&gt;&gt;Chart'!$B183)+SUMIFS(CM_Cash!$Q$68:$Q$91,CM_Cash!$A$68:$A$91,'&gt;&gt;Chart'!$B183))/1000000</f>
        <v>7.6900000000000004E-4</v>
      </c>
      <c r="E183" s="944">
        <f>(SUMIFS(CM_Cash!$U$68:$U$91,CM_Cash!$A$68:$A$91,'&gt;&gt;Chart'!$B183)+SUMIFS(CM_Cash!$V$68:$V$91,CM_Cash!$A$68:$A$91,'&gt;&gt;Chart'!$B183)+SUMIFS(CM_Cash!$W$68:$W$91,CM_Cash!$A$68:$A$91,'&gt;&gt;Chart'!$B183))/1000000</f>
        <v>7.6900000000000004E-4</v>
      </c>
      <c r="F183" s="943">
        <f t="shared" si="26"/>
        <v>11</v>
      </c>
      <c r="G183" s="944">
        <f t="shared" si="27"/>
        <v>0</v>
      </c>
      <c r="H183" s="944">
        <f t="shared" si="28"/>
        <v>0</v>
      </c>
      <c r="I183" s="30"/>
    </row>
    <row r="184" spans="2:9">
      <c r="B184" s="322" t="s">
        <v>86</v>
      </c>
      <c r="C184" s="932" t="s">
        <v>158</v>
      </c>
      <c r="D184" s="944">
        <f>(SUMIFS(CM_Cash!$O$68:$O$91,CM_Cash!$A$68:$A$91,'&gt;&gt;Chart'!$B184)+SUMIFS(CM_Cash!$P$68:$P$91,CM_Cash!$A$68:$A$91,'&gt;&gt;Chart'!$B184)+SUMIFS(CM_Cash!$Q$68:$Q$91,CM_Cash!$A$68:$A$91,'&gt;&gt;Chart'!$B184))/1000000</f>
        <v>1.2900900000000002E-3</v>
      </c>
      <c r="E184" s="944">
        <f>(SUMIFS(CM_Cash!$U$68:$U$91,CM_Cash!$A$68:$A$91,'&gt;&gt;Chart'!$B184)+SUMIFS(CM_Cash!$V$68:$V$91,CM_Cash!$A$68:$A$91,'&gt;&gt;Chart'!$B184)+SUMIFS(CM_Cash!$W$68:$W$91,CM_Cash!$A$68:$A$91,'&gt;&gt;Chart'!$B184))/1000000</f>
        <v>1.2900900000000002E-3</v>
      </c>
      <c r="F184" s="943">
        <f t="shared" si="26"/>
        <v>10</v>
      </c>
      <c r="G184" s="944">
        <f t="shared" si="27"/>
        <v>0</v>
      </c>
      <c r="H184" s="944">
        <f t="shared" si="28"/>
        <v>0</v>
      </c>
      <c r="I184" s="30"/>
    </row>
    <row r="185" spans="2:9">
      <c r="B185" s="322" t="s">
        <v>92</v>
      </c>
      <c r="C185" s="932" t="s">
        <v>159</v>
      </c>
      <c r="D185" s="944">
        <f>(SUMIFS(CM_Cash!$O$68:$O$91,CM_Cash!$A$68:$A$91,'&gt;&gt;Chart'!$B185)+SUMIFS(CM_Cash!$P$68:$P$91,CM_Cash!$A$68:$A$91,'&gt;&gt;Chart'!$B185)+SUMIFS(CM_Cash!$Q$68:$Q$91,CM_Cash!$A$68:$A$91,'&gt;&gt;Chart'!$B185))/1000000</f>
        <v>4.3790000000000007E-4</v>
      </c>
      <c r="E185" s="944">
        <f>(SUMIFS(CM_Cash!$U$68:$U$91,CM_Cash!$A$68:$A$91,'&gt;&gt;Chart'!$B185)+SUMIFS(CM_Cash!$V$68:$V$91,CM_Cash!$A$68:$A$91,'&gt;&gt;Chart'!$B185)+SUMIFS(CM_Cash!$W$68:$W$91,CM_Cash!$A$68:$A$91,'&gt;&gt;Chart'!$B185))/1000000</f>
        <v>4.3790000000000007E-4</v>
      </c>
      <c r="F185" s="943">
        <f t="shared" si="26"/>
        <v>9</v>
      </c>
      <c r="G185" s="944">
        <f t="shared" si="27"/>
        <v>0</v>
      </c>
      <c r="H185" s="944">
        <f t="shared" si="28"/>
        <v>0</v>
      </c>
      <c r="I185" s="30"/>
    </row>
    <row r="186" spans="2:9">
      <c r="B186" s="322" t="s">
        <v>93</v>
      </c>
      <c r="C186" s="932" t="s">
        <v>160</v>
      </c>
      <c r="D186" s="944">
        <f>(SUMIFS(CM_Cash!$O$68:$O$91,CM_Cash!$A$68:$A$91,'&gt;&gt;Chart'!$B186)+SUMIFS(CM_Cash!$P$68:$P$91,CM_Cash!$A$68:$A$91,'&gt;&gt;Chart'!$B186)+SUMIFS(CM_Cash!$Q$68:$Q$91,CM_Cash!$A$68:$A$91,'&gt;&gt;Chart'!$B186))/1000000</f>
        <v>0</v>
      </c>
      <c r="E186" s="944">
        <f>(SUMIFS(CM_Cash!$U$68:$U$91,CM_Cash!$A$68:$A$91,'&gt;&gt;Chart'!$B186)+SUMIFS(CM_Cash!$V$68:$V$91,CM_Cash!$A$68:$A$91,'&gt;&gt;Chart'!$B186)+SUMIFS(CM_Cash!$W$68:$W$91,CM_Cash!$A$68:$A$91,'&gt;&gt;Chart'!$B186))/1000000</f>
        <v>0</v>
      </c>
      <c r="F186" s="943">
        <f t="shared" si="26"/>
        <v>8</v>
      </c>
      <c r="G186" s="944">
        <f t="shared" si="27"/>
        <v>0</v>
      </c>
      <c r="H186" s="944">
        <f t="shared" si="28"/>
        <v>0</v>
      </c>
      <c r="I186" s="30"/>
    </row>
    <row r="187" spans="2:9">
      <c r="B187" s="322" t="s">
        <v>94</v>
      </c>
      <c r="C187" s="932" t="s">
        <v>161</v>
      </c>
      <c r="D187" s="944">
        <f>(SUMIFS(CM_Cash!$O$68:$O$91,CM_Cash!$A$68:$A$91,'&gt;&gt;Chart'!$B187)+SUMIFS(CM_Cash!$P$68:$P$91,CM_Cash!$A$68:$A$91,'&gt;&gt;Chart'!$B187)+SUMIFS(CM_Cash!$Q$68:$Q$91,CM_Cash!$A$68:$A$91,'&gt;&gt;Chart'!$B187))/1000000</f>
        <v>1.4119999999999568E-4</v>
      </c>
      <c r="E187" s="944">
        <f>(SUMIFS(CM_Cash!$U$68:$U$91,CM_Cash!$A$68:$A$91,'&gt;&gt;Chart'!$B187)+SUMIFS(CM_Cash!$V$68:$V$91,CM_Cash!$A$68:$A$91,'&gt;&gt;Chart'!$B187)+SUMIFS(CM_Cash!$W$68:$W$91,CM_Cash!$A$68:$A$91,'&gt;&gt;Chart'!$B187))/1000000</f>
        <v>1.4119999999999568E-4</v>
      </c>
      <c r="F187" s="943">
        <f t="shared" si="26"/>
        <v>7</v>
      </c>
      <c r="G187" s="944">
        <f t="shared" si="27"/>
        <v>0</v>
      </c>
      <c r="H187" s="944">
        <f t="shared" si="28"/>
        <v>0</v>
      </c>
      <c r="I187" s="30"/>
    </row>
    <row r="188" spans="2:9">
      <c r="B188" s="322" t="s">
        <v>91</v>
      </c>
      <c r="C188" s="932" t="s">
        <v>162</v>
      </c>
      <c r="D188" s="944">
        <f>(SUMIFS(CM_Cash!$O$68:$O$91,CM_Cash!$A$68:$A$91,'&gt;&gt;Chart'!$B188)+SUMIFS(CM_Cash!$P$68:$P$91,CM_Cash!$A$68:$A$91,'&gt;&gt;Chart'!$B188)+SUMIFS(CM_Cash!$Q$68:$Q$91,CM_Cash!$A$68:$A$91,'&gt;&gt;Chart'!$B188))/1000000</f>
        <v>6.7501799999999963E-3</v>
      </c>
      <c r="E188" s="944">
        <f>(SUMIFS(CM_Cash!$U$68:$U$91,CM_Cash!$A$68:$A$91,'&gt;&gt;Chart'!$B188)+SUMIFS(CM_Cash!$V$68:$V$91,CM_Cash!$A$68:$A$91,'&gt;&gt;Chart'!$B188)+SUMIFS(CM_Cash!$W$68:$W$91,CM_Cash!$A$68:$A$91,'&gt;&gt;Chart'!$B188))/1000000</f>
        <v>6.7501799999999963E-3</v>
      </c>
      <c r="F188" s="943">
        <f t="shared" si="26"/>
        <v>6</v>
      </c>
      <c r="G188" s="944">
        <f t="shared" si="27"/>
        <v>0</v>
      </c>
      <c r="H188" s="944">
        <f t="shared" si="28"/>
        <v>0</v>
      </c>
      <c r="I188" s="30"/>
    </row>
    <row r="189" spans="2:9">
      <c r="B189" s="322" t="s">
        <v>89</v>
      </c>
      <c r="C189" s="932" t="s">
        <v>163</v>
      </c>
      <c r="D189" s="944">
        <f>(SUMIFS(CM_Cash!$O$68:$O$91,CM_Cash!$A$68:$A$91,'&gt;&gt;Chart'!$B189)+SUMIFS(CM_Cash!$P$68:$P$91,CM_Cash!$A$68:$A$91,'&gt;&gt;Chart'!$B189)+SUMIFS(CM_Cash!$Q$68:$Q$91,CM_Cash!$A$68:$A$91,'&gt;&gt;Chart'!$B189))/1000000</f>
        <v>1.2488899999999999E-3</v>
      </c>
      <c r="E189" s="944">
        <f>(SUMIFS(CM_Cash!$U$68:$U$91,CM_Cash!$A$68:$A$91,'&gt;&gt;Chart'!$B189)+SUMIFS(CM_Cash!$V$68:$V$91,CM_Cash!$A$68:$A$91,'&gt;&gt;Chart'!$B189)+SUMIFS(CM_Cash!$W$68:$W$91,CM_Cash!$A$68:$A$91,'&gt;&gt;Chart'!$B189))/1000000</f>
        <v>1.2488899999999999E-3</v>
      </c>
      <c r="F189" s="943">
        <f t="shared" si="26"/>
        <v>5</v>
      </c>
      <c r="G189" s="944">
        <f t="shared" si="27"/>
        <v>0</v>
      </c>
      <c r="H189" s="944">
        <f t="shared" si="28"/>
        <v>0</v>
      </c>
      <c r="I189" s="30"/>
    </row>
    <row r="190" spans="2:9">
      <c r="B190" s="322" t="s">
        <v>95</v>
      </c>
      <c r="C190" s="932" t="s">
        <v>164</v>
      </c>
      <c r="D190" s="944">
        <f>(SUMIFS(CM_Cash!$O$68:$O$91,CM_Cash!$A$68:$A$91,'&gt;&gt;Chart'!$B190)+SUMIFS(CM_Cash!$P$68:$P$91,CM_Cash!$A$68:$A$91,'&gt;&gt;Chart'!$B190)+SUMIFS(CM_Cash!$Q$68:$Q$91,CM_Cash!$A$68:$A$91,'&gt;&gt;Chart'!$B190))/1000000</f>
        <v>2.5000000000000001E-4</v>
      </c>
      <c r="E190" s="944">
        <f>(SUMIFS(CM_Cash!$U$68:$U$91,CM_Cash!$A$68:$A$91,'&gt;&gt;Chart'!$B190)+SUMIFS(CM_Cash!$V$68:$V$91,CM_Cash!$A$68:$A$91,'&gt;&gt;Chart'!$B190)+SUMIFS(CM_Cash!$W$68:$W$91,CM_Cash!$A$68:$A$91,'&gt;&gt;Chart'!$B190))/1000000</f>
        <v>2.5000000000000001E-4</v>
      </c>
      <c r="F190" s="943">
        <f t="shared" si="26"/>
        <v>4</v>
      </c>
      <c r="G190" s="944">
        <f t="shared" si="27"/>
        <v>0</v>
      </c>
      <c r="H190" s="944">
        <f t="shared" si="28"/>
        <v>0</v>
      </c>
    </row>
    <row r="191" spans="2:9">
      <c r="B191" s="322" t="s">
        <v>96</v>
      </c>
      <c r="C191" s="932" t="s">
        <v>165</v>
      </c>
      <c r="D191" s="944">
        <f>(SUMIFS(CM_Cash!$O$68:$O$91,CM_Cash!$A$68:$A$91,'&gt;&gt;Chart'!$B191)+SUMIFS(CM_Cash!$P$68:$P$91,CM_Cash!$A$68:$A$91,'&gt;&gt;Chart'!$B191)+SUMIFS(CM_Cash!$Q$68:$Q$91,CM_Cash!$A$68:$A$91,'&gt;&gt;Chart'!$B191))/1000000</f>
        <v>1.516E-4</v>
      </c>
      <c r="E191" s="944">
        <f>(SUMIFS(CM_Cash!$U$68:$U$91,CM_Cash!$A$68:$A$91,'&gt;&gt;Chart'!$B191)+SUMIFS(CM_Cash!$V$68:$V$91,CM_Cash!$A$68:$A$91,'&gt;&gt;Chart'!$B191)+SUMIFS(CM_Cash!$W$68:$W$91,CM_Cash!$A$68:$A$91,'&gt;&gt;Chart'!$B191))/1000000</f>
        <v>1.516E-4</v>
      </c>
      <c r="F191" s="943">
        <f t="shared" si="26"/>
        <v>3</v>
      </c>
      <c r="G191" s="944">
        <f t="shared" si="27"/>
        <v>0</v>
      </c>
      <c r="H191" s="944">
        <f t="shared" si="28"/>
        <v>0</v>
      </c>
    </row>
    <row r="192" spans="2:9">
      <c r="B192" s="322" t="s">
        <v>97</v>
      </c>
      <c r="C192" s="932" t="s">
        <v>166</v>
      </c>
      <c r="D192" s="944">
        <f>(SUMIFS(CM_Cash!$O$68:$O$91,CM_Cash!$A$68:$A$91,'&gt;&gt;Chart'!$B192)+SUMIFS(CM_Cash!$P$68:$P$91,CM_Cash!$A$68:$A$91,'&gt;&gt;Chart'!$B192)+SUMIFS(CM_Cash!$Q$68:$Q$91,CM_Cash!$A$68:$A$91,'&gt;&gt;Chart'!$B192))/1000000</f>
        <v>9.0000000000000006E-5</v>
      </c>
      <c r="E192" s="944">
        <f>(SUMIFS(CM_Cash!$U$68:$U$91,CM_Cash!$A$68:$A$91,'&gt;&gt;Chart'!$B192)+SUMIFS(CM_Cash!$V$68:$V$91,CM_Cash!$A$68:$A$91,'&gt;&gt;Chart'!$B192)+SUMIFS(CM_Cash!$W$68:$W$91,CM_Cash!$A$68:$A$91,'&gt;&gt;Chart'!$B192))/1000000</f>
        <v>9.0000000000000006E-5</v>
      </c>
      <c r="F192" s="943">
        <f>F193+1</f>
        <v>2</v>
      </c>
      <c r="G192" s="944">
        <f t="shared" si="27"/>
        <v>0</v>
      </c>
      <c r="H192" s="944">
        <f t="shared" si="28"/>
        <v>0</v>
      </c>
    </row>
    <row r="193" spans="2:8">
      <c r="B193" s="322" t="s">
        <v>98</v>
      </c>
      <c r="C193" s="932" t="s">
        <v>167</v>
      </c>
      <c r="D193" s="944">
        <f>(SUMIFS(CM_Cash!$O$68:$O$91,CM_Cash!$A$68:$A$91,'&gt;&gt;Chart'!$B193)+SUMIFS(CM_Cash!$P$68:$P$91,CM_Cash!$A$68:$A$91,'&gt;&gt;Chart'!$B193)+SUMIFS(CM_Cash!$Q$68:$Q$91,CM_Cash!$A$68:$A$91,'&gt;&gt;Chart'!$B193))/1000000</f>
        <v>1.3119739999999998E-2</v>
      </c>
      <c r="E193" s="944">
        <f>(SUMIFS(CM_Cash!$U$68:$U$91,CM_Cash!$A$68:$A$91,'&gt;&gt;Chart'!$B193)+SUMIFS(CM_Cash!$V$68:$V$91,CM_Cash!$A$68:$A$91,'&gt;&gt;Chart'!$B193)+SUMIFS(CM_Cash!$W$68:$W$91,CM_Cash!$A$68:$A$91,'&gt;&gt;Chart'!$B193))/1000000</f>
        <v>1.3119739999999998E-2</v>
      </c>
      <c r="F193" s="943">
        <v>1</v>
      </c>
      <c r="G193" s="944">
        <f t="shared" si="27"/>
        <v>0</v>
      </c>
      <c r="H193" s="944">
        <f t="shared" si="28"/>
        <v>0</v>
      </c>
    </row>
    <row r="199" spans="2:8">
      <c r="C199" s="945" t="s">
        <v>168</v>
      </c>
      <c r="D199" s="945" t="s">
        <v>8</v>
      </c>
      <c r="E199" s="945" t="s">
        <v>67</v>
      </c>
      <c r="F199" s="945" t="s">
        <v>10</v>
      </c>
      <c r="G199" s="945"/>
    </row>
    <row r="200" spans="2:8">
      <c r="C200" s="932" t="s">
        <v>169</v>
      </c>
      <c r="D200" s="946">
        <f>SUMIFS(Table11[[#All],[CLOSING BALANCE (VND)2]],Table11[[#All],[ACCOUNT TYPE]],"&lt;&gt;Saving account",Table11[[#All],[NAME]],'&gt;&gt;Chart'!D$199)/1000000000</f>
        <v>2.6615645780000001</v>
      </c>
      <c r="E200" s="946">
        <f>SUMIFS(Table11[[#All],[CLOSING BALANCE (VND)2]],Table11[[#All],[ACCOUNT TYPE]],"&lt;&gt;Saving account",Table11[[#All],[NAME]],'&gt;&gt;Chart'!E$199)/1000000000</f>
        <v>355.15266562099998</v>
      </c>
      <c r="F200" s="946">
        <f>SUMIFS(Table11[[#All],[CLOSING BALANCE (VND)2]],Table11[[#All],[ACCOUNT TYPE]],"&lt;&gt;Saving account",Table11[[#All],[NAME]],'&gt;&gt;Chart'!F$199)/1000000000</f>
        <v>588.22937213700004</v>
      </c>
      <c r="G200" s="947">
        <f t="shared" ref="G200:G201" si="29">SUM(D200:F200)</f>
        <v>946.04360233600005</v>
      </c>
    </row>
    <row r="201" spans="2:8">
      <c r="C201" s="932" t="s">
        <v>170</v>
      </c>
      <c r="D201" s="946">
        <f>SUMIFS(Table11[[#All],[CLOSING BALANCE (VND)2]],Table11[[#All],[ACCOUNT TYPE]],"Saving account",Table11[[#All],[NAME]],D$199)/1000000000</f>
        <v>36.200000000000003</v>
      </c>
      <c r="E201" s="946">
        <f>SUMIFS(Table11[[#All],[CLOSING BALANCE (VND)2]],Table11[[#All],[ACCOUNT TYPE]],"Saving account",Table11[[#All],[NAME]],E$199)/1000000000</f>
        <v>1520</v>
      </c>
      <c r="F201" s="946">
        <f>SUMIFS(Table11[[#All],[CLOSING BALANCE (VND)2]],Table11[[#All],[ACCOUNT TYPE]],"Saving account",Table11[[#All],[NAME]],F$199)/1000000000</f>
        <v>1740.2137541439999</v>
      </c>
      <c r="G201" s="947">
        <f t="shared" si="29"/>
        <v>3296.413754144</v>
      </c>
    </row>
    <row r="202" spans="2:8">
      <c r="C202" s="932" t="s">
        <v>171</v>
      </c>
      <c r="D202" s="947">
        <f>SUM(D200:D201)</f>
        <v>38.861564577999999</v>
      </c>
      <c r="E202" s="947">
        <f t="shared" ref="E202:F202" si="30">SUM(E200:E201)</f>
        <v>1875.1526656209999</v>
      </c>
      <c r="F202" s="947">
        <f t="shared" si="30"/>
        <v>2328.4431262809999</v>
      </c>
      <c r="G202" s="947">
        <f>SUM(D202:F202)</f>
        <v>4242.4573564799994</v>
      </c>
    </row>
    <row r="205" spans="2:8">
      <c r="C205" s="948" t="s">
        <v>172</v>
      </c>
      <c r="D205" s="945" t="s">
        <v>8</v>
      </c>
      <c r="E205" s="945" t="s">
        <v>67</v>
      </c>
      <c r="F205" s="945" t="s">
        <v>10</v>
      </c>
      <c r="G205" s="945" t="s">
        <v>36</v>
      </c>
    </row>
    <row r="206" spans="2:8">
      <c r="C206" s="932" t="s">
        <v>169</v>
      </c>
      <c r="D206" s="946">
        <f>SUMIFS(Table11[[#All],[CLOSING BALANCE (USD)]],Table11[[#All],[ACCOUNT TYPE]],"&lt;&gt;Saving account",Table11[[#All],[NAME]],D$199)/1000000</f>
        <v>1.9468469999999998E-2</v>
      </c>
      <c r="E206" s="946">
        <f>SUMIFS(Table11[[#All],[CLOSING BALANCE (USD)]],Table11[[#All],[ACCOUNT TYPE]],"&lt;&gt;Saving account",Table11[[#All],[NAME]],E$199)/1000000</f>
        <v>9.6290600000002238E-3</v>
      </c>
      <c r="F206" s="946">
        <f>SUMIFS(Table11[[#All],[CLOSING BALANCE (USD)]],Table11[[#All],[ACCOUNT TYPE]],"&lt;&gt;Saving account",Table11[[#All],[NAME]],F$199)/1000000</f>
        <v>3.6570059999999995E-2</v>
      </c>
      <c r="G206" s="946">
        <f>SUM(D206:F206)</f>
        <v>6.566759000000022E-2</v>
      </c>
    </row>
    <row r="207" spans="2:8">
      <c r="C207" s="932" t="s">
        <v>170</v>
      </c>
      <c r="D207" s="946">
        <f>SUMIFS(Table11[[#All],[CLOSING BALANCE (USD)]],Table11[[#All],[ACCOUNT TYPE]],"Saving account",Table11[[#All],[NAME]],D$199)/1000000</f>
        <v>0</v>
      </c>
      <c r="E207" s="946">
        <f>SUMIFS(Table11[[#All],[CLOSING BALANCE (USD)]],Table11[[#All],[ACCOUNT TYPE]],"Saving account",Table11[[#All],[NAME]],E$199)/1000000</f>
        <v>0</v>
      </c>
      <c r="F207" s="946">
        <f>SUMIFS(Table11[[#All],[CLOSING BALANCE (USD)]],Table11[[#All],[ACCOUNT TYPE]],"Saving account",Table11[[#All],[NAME]],F$199)/1000000</f>
        <v>0</v>
      </c>
      <c r="G207" s="946">
        <f>SUM(D207:F207)</f>
        <v>0</v>
      </c>
    </row>
    <row r="208" spans="2:8">
      <c r="C208" s="932" t="s">
        <v>171</v>
      </c>
      <c r="D208" s="946">
        <f>SUM(D206:D207)</f>
        <v>1.9468469999999998E-2</v>
      </c>
      <c r="E208" s="946">
        <f t="shared" ref="E208" si="31">SUM(E206:E207)</f>
        <v>9.6290600000002238E-3</v>
      </c>
      <c r="F208" s="946">
        <f t="shared" ref="F208" si="32">SUM(F206:F207)</f>
        <v>3.6570059999999995E-2</v>
      </c>
      <c r="G208" s="946">
        <f>SUM(D208:F208)</f>
        <v>6.566759000000022E-2</v>
      </c>
    </row>
    <row r="218" spans="3:7">
      <c r="D218" s="460" t="str">
        <f>Summary!D239</f>
        <v>W5May25</v>
      </c>
      <c r="E218" s="460" t="str">
        <f>Summary!E239</f>
        <v>W1Jun25</v>
      </c>
      <c r="F218" s="460" t="str">
        <f>Summary!F239</f>
        <v>W2Jun25</v>
      </c>
      <c r="G218" s="460" t="str">
        <f>Summary!G239</f>
        <v>W3Jun25</v>
      </c>
    </row>
    <row r="219" spans="3:7">
      <c r="C219" t="s">
        <v>173</v>
      </c>
      <c r="D219" s="461">
        <f>SUMIFS(Table9[[#All],[VND equivalent]],Table9[[#All],[Expected date of payment]],'&gt;&gt;Chart'!D$218,Table9[[#All],[Status]],"PLANNED",Table9[[#All],[Source]],"&lt;&gt;Bank Loan",Table9[[#All],[Transfer from]],"&lt;&gt;Subsidiaries")/1000000</f>
        <v>95440.238639000003</v>
      </c>
      <c r="E219" s="461">
        <f>SUMIFS(Table9[[#All],[VND equivalent]],Table9[[#All],[Expected date of payment]],'&gt;&gt;Chart'!E$218,Table9[[#All],[Status]],"PLANNED",Table9[[#All],[Source]],"&lt;&gt;Bank Loan",Table9[[#All],[Transfer from]],"&lt;&gt;Subsidiaries")/1000000</f>
        <v>11021.2911</v>
      </c>
      <c r="F219" s="461">
        <f>SUMIFS(Table9[[#All],[VND equivalent]],Table9[[#All],[Expected date of payment]],'&gt;&gt;Chart'!F$218,Table9[[#All],[Status]],"PLANNED",Table9[[#All],[Source]],"&lt;&gt;Bank Loan",Table9[[#All],[Transfer from]],"&lt;&gt;Subsidiaries")/1000000</f>
        <v>19572.797932000001</v>
      </c>
      <c r="G219" s="461">
        <f>SUMIFS(Table9[[#All],[VND equivalent]],Table9[[#All],[Expected date of payment]],'&gt;&gt;Chart'!G$218,Table9[[#All],[Status]],"PLANNED",Table9[[#All],[Source]],"&lt;&gt;Bank Loan",Table9[[#All],[Transfer from]],"&lt;&gt;Subsidiaries")/1000000</f>
        <v>150522.87376700001</v>
      </c>
    </row>
    <row r="220" spans="3:7">
      <c r="C220" t="s">
        <v>174</v>
      </c>
      <c r="D220" s="20" t="e">
        <f>SUMIFS(#REF!,#REF!,'&gt;&gt;Chart'!D$218,#REF!,"&lt;&gt;Subsidiaries")/1000000</f>
        <v>#REF!</v>
      </c>
      <c r="E220" s="20" t="e">
        <f>SUMIFS(#REF!,#REF!,'&gt;&gt;Chart'!E$218,#REF!,"&lt;&gt;Subsidiaries")/1000000</f>
        <v>#REF!</v>
      </c>
      <c r="F220" s="20" t="e">
        <f>SUMIFS(#REF!,#REF!,'&gt;&gt;Chart'!F$218,#REF!,"&lt;&gt;Subsidiaries")/1000000</f>
        <v>#REF!</v>
      </c>
      <c r="G220" s="20" t="e">
        <f>SUMIFS(#REF!,#REF!,'&gt;&gt;Chart'!G$218,#REF!,"&lt;&gt;Subsidiaries")/1000000</f>
        <v>#REF!</v>
      </c>
    </row>
  </sheetData>
  <dataConsolidate/>
  <mergeCells count="25">
    <mergeCell ref="N1:P1"/>
    <mergeCell ref="P2:P3"/>
    <mergeCell ref="C113:C114"/>
    <mergeCell ref="D113:D114"/>
    <mergeCell ref="E113:E114"/>
    <mergeCell ref="K2:K3"/>
    <mergeCell ref="F113:F114"/>
    <mergeCell ref="G113:G114"/>
    <mergeCell ref="G2:G3"/>
    <mergeCell ref="H2:H3"/>
    <mergeCell ref="I2:I3"/>
    <mergeCell ref="J2:J3"/>
    <mergeCell ref="H113:H114"/>
    <mergeCell ref="I113:I114"/>
    <mergeCell ref="C2:C3"/>
    <mergeCell ref="D2:D3"/>
    <mergeCell ref="E2:E3"/>
    <mergeCell ref="F2:F3"/>
    <mergeCell ref="S2:S3"/>
    <mergeCell ref="L2:L3"/>
    <mergeCell ref="M2:M3"/>
    <mergeCell ref="N2:N3"/>
    <mergeCell ref="O2:O3"/>
    <mergeCell ref="Q2:Q3"/>
    <mergeCell ref="R2:R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D05C4-6707-44F9-802D-1B0050879EDB}">
  <dimension ref="A1:E12"/>
  <sheetViews>
    <sheetView workbookViewId="0">
      <selection activeCell="D34" sqref="D34"/>
    </sheetView>
  </sheetViews>
  <sheetFormatPr defaultRowHeight="14.4"/>
  <cols>
    <col min="1" max="1" width="18.21875" bestFit="1" customWidth="1"/>
    <col min="2" max="2" width="15.21875" bestFit="1" customWidth="1"/>
  </cols>
  <sheetData>
    <row r="1" spans="1:5">
      <c r="A1" s="365" t="s">
        <v>175</v>
      </c>
      <c r="B1" t="s">
        <v>10</v>
      </c>
    </row>
    <row r="3" spans="1:5">
      <c r="A3" s="365" t="s">
        <v>100</v>
      </c>
      <c r="B3" t="s">
        <v>176</v>
      </c>
    </row>
    <row r="4" spans="1:5">
      <c r="A4" s="17" t="s">
        <v>41</v>
      </c>
      <c r="B4" s="25">
        <v>8200000000</v>
      </c>
      <c r="D4" s="6">
        <f t="shared" ref="D4:D11" si="0">B4/24000/10^6</f>
        <v>0.34166666666666667</v>
      </c>
    </row>
    <row r="5" spans="1:5">
      <c r="A5" s="17" t="s">
        <v>44</v>
      </c>
      <c r="B5" s="25">
        <v>738950017</v>
      </c>
      <c r="D5" s="6">
        <f t="shared" si="0"/>
        <v>3.0789584041666665E-2</v>
      </c>
    </row>
    <row r="6" spans="1:5">
      <c r="A6" s="17" t="s">
        <v>39</v>
      </c>
      <c r="B6" s="25">
        <v>15707326732</v>
      </c>
      <c r="D6" s="6">
        <f t="shared" si="0"/>
        <v>0.65447194716666657</v>
      </c>
    </row>
    <row r="7" spans="1:5">
      <c r="A7" s="17" t="s">
        <v>105</v>
      </c>
      <c r="B7" s="25">
        <v>24646276749</v>
      </c>
      <c r="D7" s="6">
        <f t="shared" si="0"/>
        <v>1.026928197875</v>
      </c>
    </row>
    <row r="8" spans="1:5">
      <c r="D8" s="6">
        <f t="shared" si="0"/>
        <v>0</v>
      </c>
    </row>
    <row r="9" spans="1:5">
      <c r="D9" s="6">
        <f t="shared" si="0"/>
        <v>0</v>
      </c>
    </row>
    <row r="10" spans="1:5">
      <c r="D10" s="6">
        <f t="shared" si="0"/>
        <v>0</v>
      </c>
    </row>
    <row r="11" spans="1:5">
      <c r="D11" s="6">
        <f t="shared" si="0"/>
        <v>0</v>
      </c>
    </row>
    <row r="12" spans="1:5">
      <c r="D12" s="6">
        <f>B12/24000/10^6</f>
        <v>0</v>
      </c>
      <c r="E12" t="s">
        <v>177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A8DFC-31D3-4B85-A1B2-4B4AE6308818}">
  <sheetPr codeName="Sheet1">
    <tabColor rgb="FFFF0000"/>
    <pageSetUpPr fitToPage="1"/>
  </sheetPr>
  <dimension ref="A1:XFC299"/>
  <sheetViews>
    <sheetView showGridLines="0" topLeftCell="A91" zoomScale="90" zoomScaleNormal="90" workbookViewId="0">
      <selection activeCell="D109" sqref="D109"/>
    </sheetView>
  </sheetViews>
  <sheetFormatPr defaultColWidth="0" defaultRowHeight="14.85" customHeight="1" zeroHeight="1" outlineLevelRow="1"/>
  <cols>
    <col min="1" max="1" width="44.5546875" customWidth="1"/>
    <col min="2" max="2" width="23.44140625" customWidth="1"/>
    <col min="3" max="3" width="21.77734375" bestFit="1" customWidth="1"/>
    <col min="4" max="4" width="23.44140625" customWidth="1"/>
    <col min="5" max="5" width="25.44140625" customWidth="1"/>
    <col min="6" max="6" width="21.44140625" customWidth="1"/>
    <col min="7" max="7" width="23.44140625" customWidth="1"/>
    <col min="8" max="8" width="21.5546875" customWidth="1"/>
    <col min="9" max="9" width="6.21875" customWidth="1"/>
    <col min="10" max="10" width="15.21875" customWidth="1"/>
    <col min="11" max="11" width="6.44140625" hidden="1" customWidth="1"/>
    <col min="12" max="12" width="1.5546875" hidden="1" customWidth="1"/>
    <col min="13" max="13" width="6.44140625" hidden="1" customWidth="1"/>
    <col min="14" max="14" width="19.5546875" hidden="1" customWidth="1"/>
    <col min="15" max="15" width="25" hidden="1" customWidth="1"/>
    <col min="16" max="16" width="16.44140625" hidden="1" customWidth="1"/>
    <col min="17" max="17" width="16.5546875" hidden="1" customWidth="1"/>
    <col min="18" max="18" width="18" hidden="1" customWidth="1"/>
    <col min="19" max="19" width="43.44140625" hidden="1" customWidth="1"/>
    <col min="20" max="20" width="27.44140625" hidden="1" customWidth="1"/>
    <col min="21" max="21" width="25.44140625" hidden="1" customWidth="1"/>
    <col min="22" max="22" width="17.5546875" hidden="1" customWidth="1"/>
    <col min="23" max="25" width="8.5546875" hidden="1" customWidth="1"/>
    <col min="26" max="97" width="0" hidden="1" customWidth="1"/>
    <col min="98" max="16383" width="8.5546875" hidden="1"/>
    <col min="16384" max="16384" width="4.21875" customWidth="1"/>
  </cols>
  <sheetData>
    <row r="1" spans="1:97" s="2" customFormat="1" ht="14.4" thickBot="1">
      <c r="A1" s="691" t="s">
        <v>178</v>
      </c>
      <c r="B1" s="698">
        <v>46037</v>
      </c>
      <c r="D1" s="463"/>
    </row>
    <row r="2" spans="1:97" s="2" customFormat="1" ht="13.8">
      <c r="A2" s="692" t="s">
        <v>179</v>
      </c>
      <c r="B2" s="693">
        <v>1</v>
      </c>
    </row>
    <row r="3" spans="1:97" s="2" customFormat="1" ht="13.8">
      <c r="A3" s="692" t="s">
        <v>180</v>
      </c>
      <c r="B3" s="694">
        <v>26175</v>
      </c>
    </row>
    <row r="4" spans="1:97" s="2" customFormat="1" ht="13.8">
      <c r="A4" s="692" t="s">
        <v>181</v>
      </c>
      <c r="B4" s="695" t="s">
        <v>182</v>
      </c>
    </row>
    <row r="5" spans="1:97" s="2" customFormat="1" ht="13.8">
      <c r="A5" s="692" t="s">
        <v>183</v>
      </c>
      <c r="B5" s="696">
        <v>46023</v>
      </c>
      <c r="C5" s="790"/>
    </row>
    <row r="6" spans="1:97" s="2" customFormat="1" ht="14.4" thickBot="1">
      <c r="A6" s="697" t="s">
        <v>184</v>
      </c>
      <c r="B6" s="698">
        <v>46037</v>
      </c>
      <c r="C6" s="790"/>
    </row>
    <row r="7" spans="1:97" ht="14.4"/>
    <row r="8" spans="1:97" s="731" customFormat="1" ht="13.8">
      <c r="A8" s="732" t="str">
        <f>"1. Outstanding cash @ "&amp;TEXT(B6,"dd/mm/yyyy")</f>
        <v>1. Outstanding cash @ 15/01/2026</v>
      </c>
      <c r="B8" s="729"/>
      <c r="C8" s="730"/>
      <c r="D8" s="730"/>
      <c r="E8" s="730"/>
      <c r="F8" s="730"/>
      <c r="G8" s="730"/>
      <c r="H8" s="730"/>
      <c r="W8" s="730"/>
      <c r="X8" s="730"/>
      <c r="Y8" s="730"/>
      <c r="Z8" s="730"/>
      <c r="AA8" s="730"/>
      <c r="AB8" s="730"/>
      <c r="AC8" s="730"/>
      <c r="AD8" s="730"/>
      <c r="AE8" s="730"/>
      <c r="AF8" s="730"/>
      <c r="AG8" s="730"/>
      <c r="AH8" s="730"/>
      <c r="AI8" s="730"/>
      <c r="AJ8" s="730"/>
      <c r="AK8" s="730"/>
      <c r="AL8" s="730"/>
      <c r="AM8" s="730"/>
      <c r="AN8" s="730"/>
      <c r="AO8" s="730"/>
      <c r="AP8" s="730"/>
      <c r="AQ8" s="730"/>
      <c r="AR8" s="730"/>
      <c r="AS8" s="730"/>
      <c r="AT8" s="730"/>
      <c r="AU8" s="730"/>
      <c r="AV8" s="730"/>
      <c r="AW8" s="730"/>
      <c r="AX8" s="730"/>
      <c r="AY8" s="730"/>
      <c r="AZ8" s="730"/>
      <c r="BA8" s="730"/>
      <c r="BB8" s="730"/>
      <c r="BC8" s="730"/>
      <c r="BD8" s="730"/>
      <c r="BE8" s="730"/>
      <c r="BF8" s="730"/>
      <c r="BG8" s="730"/>
      <c r="BH8" s="730"/>
      <c r="BI8" s="730"/>
      <c r="BJ8" s="730"/>
      <c r="BK8" s="730"/>
      <c r="BL8" s="730"/>
      <c r="BM8" s="730"/>
      <c r="BN8" s="730"/>
      <c r="BO8" s="730"/>
      <c r="BP8" s="730"/>
      <c r="BQ8" s="730"/>
      <c r="BR8" s="730"/>
      <c r="BS8" s="730"/>
      <c r="BT8" s="730"/>
      <c r="BU8" s="730"/>
      <c r="BV8" s="730"/>
      <c r="BW8" s="730"/>
      <c r="BX8" s="730"/>
      <c r="BY8" s="730"/>
      <c r="BZ8" s="730"/>
      <c r="CA8" s="730"/>
      <c r="CB8" s="730"/>
      <c r="CC8" s="730"/>
      <c r="CD8" s="730"/>
      <c r="CE8" s="730"/>
      <c r="CF8" s="730"/>
      <c r="CG8" s="730"/>
      <c r="CH8" s="730"/>
      <c r="CI8" s="730"/>
      <c r="CJ8" s="730"/>
      <c r="CK8" s="730"/>
      <c r="CL8" s="730"/>
      <c r="CM8" s="730"/>
      <c r="CN8" s="730"/>
      <c r="CO8" s="730"/>
      <c r="CP8" s="730"/>
      <c r="CQ8" s="730"/>
      <c r="CR8" s="730"/>
      <c r="CS8" s="730"/>
    </row>
    <row r="9" spans="1:97" ht="14.4"/>
    <row r="10" spans="1:97" ht="14.4">
      <c r="A10" s="301" t="str">
        <f>"Total cash ending balance of BWID Group was US"&amp;TEXT($D$18,"$#,###.00")&amp;"mn equivalent, in which US"&amp;TEXT(D15,"$#,###.00")&amp;"mn at BWID JSC ("&amp;TEXT($D$15/$D$18,"#.00%")&amp;"), US"&amp;TEXT($D$16,"$#,###.00")&amp;"mn at VC3 ("&amp;TEXT($D$16/$D$18,"#.00%")&amp;"),  and US"&amp;TEXT(D17,"$#,###.00")&amp;"mn at Subsidiaries ("&amp;TEXT($D$17/$D$18,"#.00%")&amp;")"</f>
        <v>Total cash ending balance of BWID Group was US$162,14618mn equivalent, in which US$1,50415mn at BWID JSC (01%), US$71,64870mn at VC3 (44%),  and US$88,99333mn at Subsidiaries (55%)</v>
      </c>
      <c r="B10" s="47"/>
      <c r="C10" s="47"/>
      <c r="D10" s="47"/>
      <c r="E10" s="47"/>
      <c r="F10" s="47"/>
      <c r="G10" s="47"/>
      <c r="H10" s="47"/>
      <c r="I10" s="47"/>
      <c r="J10" s="47"/>
      <c r="K10" s="47"/>
      <c r="L10" s="47"/>
      <c r="M10" s="47"/>
      <c r="N10" s="47"/>
    </row>
    <row r="11" spans="1:97" ht="14.4">
      <c r="A11" s="301" t="str">
        <f>"Total cash of BWID group from "&amp;TEXT($B$5,"dd-mmm-yy")&amp;" to "&amp;TEXT($B$6,"dd-mmm-yy")&amp;" "&amp;IF($E$78+$E$94&gt;0,"increased",IF($E$78+$E$94=0,"remained unchange","decreased"))&amp;" by "&amp;TEXT(ABS($E$78+$E$94),"$##0.0")&amp;"mn ("&amp;TEXT(($E$78+$E$94)/$E$77,"#0.00%")&amp;")"</f>
        <v>Total cash of BWID group from 01-Jan-26 to 15-Jan-26 increased by $28mn (021%)</v>
      </c>
      <c r="F11" s="43"/>
      <c r="G11" s="43"/>
      <c r="H11" s="43"/>
    </row>
    <row r="12" spans="1:97" ht="15" thickBot="1">
      <c r="J12" s="20"/>
    </row>
    <row r="13" spans="1:97" ht="14.4">
      <c r="A13" s="70" t="s">
        <v>128</v>
      </c>
      <c r="B13" s="67" t="s">
        <v>185</v>
      </c>
      <c r="C13" s="67" t="s">
        <v>186</v>
      </c>
      <c r="D13" s="67" t="s">
        <v>171</v>
      </c>
      <c r="F13" s="873"/>
      <c r="G13" s="873"/>
    </row>
    <row r="14" spans="1:97" ht="15.6">
      <c r="A14" s="68"/>
      <c r="B14" s="69" t="s">
        <v>187</v>
      </c>
      <c r="C14" s="69" t="s">
        <v>188</v>
      </c>
      <c r="D14" s="69" t="s">
        <v>187</v>
      </c>
      <c r="E14" s="874"/>
      <c r="F14" s="1379" t="s">
        <v>185</v>
      </c>
      <c r="G14" s="873"/>
    </row>
    <row r="15" spans="1:97" ht="14.4">
      <c r="A15" s="65" t="s">
        <v>8</v>
      </c>
      <c r="B15" s="452">
        <f>SUMIFS('Cash Balance'!$L$4:$L$920,'Cash Balance'!$W$4:$W$920,Summary!$A15)/1000000/Fx_rate</f>
        <v>1.4846825053677173</v>
      </c>
      <c r="C15" s="452">
        <f>SUMIFS('Cash Balance'!$T$4:$T$920,'Cash Balance'!$W$4:$W$920,Summary!$A15)/1000000</f>
        <v>1.9468469999999998E-2</v>
      </c>
      <c r="D15" s="869">
        <f>B15+C15</f>
        <v>1.5041509753677174</v>
      </c>
      <c r="E15" s="875"/>
      <c r="F15" s="1371">
        <f>SUMIFS('Cash Balance'!$L$4:$L$920,'Cash Balance'!$W$4:$W$920,Summary!$A15)</f>
        <v>38861564578</v>
      </c>
      <c r="G15" s="872"/>
    </row>
    <row r="16" spans="1:97" ht="14.4">
      <c r="A16" s="65" t="s">
        <v>67</v>
      </c>
      <c r="B16" s="452">
        <f>SUMIFS('Cash Balance'!$L$4:$L$920,'Cash Balance'!$W$4:$W$920,Summary!$A16)/1000000/Fx_rate</f>
        <v>71.63907031980898</v>
      </c>
      <c r="C16" s="742">
        <f>SUMIFS('Cash Balance'!$T$4:$T$920,'Cash Balance'!$W$4:$W$920,Summary!$A16)/1000000</f>
        <v>9.6290600000002238E-3</v>
      </c>
      <c r="D16" s="869">
        <f>B16+C16</f>
        <v>71.648699379808974</v>
      </c>
      <c r="E16" s="875"/>
      <c r="F16" s="1371">
        <f>SUMIFS('Cash Balance'!$L$4:$L$920,'Cash Balance'!$W$4:$W$920,Summary!$A16)</f>
        <v>1875152665621</v>
      </c>
      <c r="G16" s="869"/>
      <c r="H16" s="30"/>
    </row>
    <row r="17" spans="1:11" ht="14.4">
      <c r="A17" s="65" t="s">
        <v>10</v>
      </c>
      <c r="B17" s="452">
        <f>SUMIFS('Cash Balance'!$L$4:$L$920,'Cash Balance'!$W$4:$W$920,Summary!$A17)/1000000/Fx_rate</f>
        <v>88.956757451041071</v>
      </c>
      <c r="C17" s="742">
        <f>SUMIFS('Cash Balance'!$T$4:$T$920,'Cash Balance'!$W$4:$W$920,Summary!$A17)/1000000</f>
        <v>3.6570059999999995E-2</v>
      </c>
      <c r="D17" s="870">
        <f>B17+C17</f>
        <v>88.993327511041073</v>
      </c>
      <c r="E17" s="875"/>
      <c r="F17" s="1371">
        <f>SUMIFS('Cash Balance'!$L$4:$L$920,'Cash Balance'!$W$4:$W$920,Summary!$A17)</f>
        <v>2328443126281</v>
      </c>
      <c r="G17" s="869"/>
    </row>
    <row r="18" spans="1:11" ht="15" thickBot="1">
      <c r="A18" s="686" t="s">
        <v>36</v>
      </c>
      <c r="B18" s="747">
        <f>SUM(B15:B17)</f>
        <v>162.08051027621775</v>
      </c>
      <c r="C18" s="743">
        <f>SUM(C15:C17)</f>
        <v>6.566759000000022E-2</v>
      </c>
      <c r="D18" s="871">
        <f>SUM(D15:D17)</f>
        <v>162.14617786621778</v>
      </c>
      <c r="E18" s="895"/>
      <c r="F18" s="421">
        <f>SUM(F15:F17)</f>
        <v>4242457356480</v>
      </c>
      <c r="G18" s="876"/>
    </row>
    <row r="19" spans="1:11" ht="15" thickTop="1">
      <c r="B19" s="755"/>
      <c r="C19" s="755"/>
      <c r="D19" s="755"/>
      <c r="F19" s="43"/>
      <c r="G19" s="43"/>
      <c r="H19" s="43"/>
    </row>
    <row r="20" spans="1:11" ht="14.4" hidden="1">
      <c r="F20" s="43"/>
      <c r="G20" s="43"/>
      <c r="H20" s="43"/>
    </row>
    <row r="21" spans="1:11" ht="14.4" hidden="1">
      <c r="F21" s="43"/>
      <c r="G21" s="43"/>
      <c r="H21" s="43"/>
    </row>
    <row r="22" spans="1:11" ht="14.4" hidden="1">
      <c r="F22" s="43"/>
      <c r="G22" s="43"/>
      <c r="H22" s="43"/>
    </row>
    <row r="23" spans="1:11" ht="14.4" hidden="1">
      <c r="F23" s="43"/>
      <c r="G23" s="43"/>
      <c r="H23" s="43"/>
    </row>
    <row r="24" spans="1:11" ht="14.4" hidden="1">
      <c r="F24" s="43"/>
      <c r="G24" s="43"/>
      <c r="H24" s="43"/>
    </row>
    <row r="25" spans="1:11" ht="14.4" hidden="1">
      <c r="F25" s="43"/>
      <c r="G25" s="43"/>
      <c r="H25" s="43"/>
    </row>
    <row r="26" spans="1:11" ht="14.4" hidden="1">
      <c r="F26" s="43"/>
      <c r="G26" s="43"/>
      <c r="H26" s="43"/>
    </row>
    <row r="27" spans="1:11" ht="14.4" hidden="1">
      <c r="F27" s="43"/>
      <c r="G27" s="43"/>
      <c r="H27" s="43"/>
    </row>
    <row r="28" spans="1:11" ht="14.4" hidden="1">
      <c r="F28" s="43"/>
      <c r="G28" s="43"/>
      <c r="H28" s="43"/>
    </row>
    <row r="29" spans="1:11" ht="14.4" hidden="1">
      <c r="F29" s="43"/>
      <c r="G29" s="43"/>
      <c r="H29" s="43"/>
    </row>
    <row r="30" spans="1:11" ht="14.4">
      <c r="A30" s="301" t="str">
        <f>"In which, BWID Group's cash is mainly at VIETINBANK: US"&amp;TEXT(E34,"$#,###.00")&amp;"mn ("&amp;TEXT(F34,"#.00%")&amp;") , VIETCOMBANK: USD"&amp;TEXT(E42,"$#,###.00")&amp;"mn ("&amp;TEXT(F42,"#.00%")&amp;"), and BIDV: USD"&amp;TEXT(E47,"$#,###.00")&amp;"mn ("&amp;TEXT(F47,"#.00%")&amp;")"</f>
        <v>In which, BWID Group's cash is mainly at VIETINBANK: US$63,76119mn (39%) , VIETCOMBANK: USD$59,64026mn (37%), and BIDV: USD$14,36308mn (09%)</v>
      </c>
    </row>
    <row r="31" spans="1:11" ht="15" thickBot="1">
      <c r="K31" s="813"/>
    </row>
    <row r="32" spans="1:11" ht="15.6">
      <c r="A32" s="66"/>
      <c r="B32" s="71" t="s">
        <v>8</v>
      </c>
      <c r="C32" s="71" t="s">
        <v>67</v>
      </c>
      <c r="D32" s="71" t="s">
        <v>10</v>
      </c>
      <c r="E32" s="71" t="s">
        <v>36</v>
      </c>
      <c r="F32" s="72" t="s">
        <v>84</v>
      </c>
      <c r="G32" s="24"/>
      <c r="H32" s="490"/>
      <c r="I32" s="24"/>
    </row>
    <row r="33" spans="1:9" ht="15.6">
      <c r="A33" s="437"/>
      <c r="B33" s="425" t="s">
        <v>187</v>
      </c>
      <c r="C33" s="425" t="s">
        <v>187</v>
      </c>
      <c r="D33" s="425" t="s">
        <v>187</v>
      </c>
      <c r="E33" s="425" t="s">
        <v>187</v>
      </c>
      <c r="F33" s="438"/>
      <c r="G33" s="24"/>
      <c r="H33" s="490"/>
      <c r="I33" s="24"/>
    </row>
    <row r="34" spans="1:9" ht="14.4">
      <c r="A34" s="386" t="s">
        <v>189</v>
      </c>
      <c r="B34" s="493">
        <f>SUBTOTAL(9,B35:B41)</f>
        <v>0.2743984548901624</v>
      </c>
      <c r="C34" s="493">
        <f>SUBTOTAL(9,C35:C41)</f>
        <v>14.281298038863419</v>
      </c>
      <c r="D34" s="493">
        <f>SUBTOTAL(9,D35:D41)</f>
        <v>49.205493178844321</v>
      </c>
      <c r="E34" s="494">
        <f>SUBTOTAL(9,E35:E41)</f>
        <v>63.761189672597894</v>
      </c>
      <c r="F34" s="495">
        <f>SUBTOTAL(9,F35:F41)</f>
        <v>0.39323276386573519</v>
      </c>
      <c r="G34" s="24"/>
      <c r="H34" s="758"/>
      <c r="I34" s="24"/>
    </row>
    <row r="35" spans="1:9" ht="14.4" outlineLevel="1">
      <c r="A35" s="440" t="s">
        <v>85</v>
      </c>
      <c r="B35" s="443">
        <f>SUMIFS('Cash Balance'!$L$4:$L$920,'Cash Balance'!$W$4:$W$920,Summary!B$32,'Cash Balance'!$Y$4:$Y$920,Summary!$A35)/Fx_rate/1000000+SUMIFS('Cash Balance'!$T$4:$T$920,'Cash Balance'!$W$4:$W$920,Summary!B$32,'Cash Balance'!$Y$4:$Y$920,Summary!$A35)/1000000</f>
        <v>1.3094370582617E-3</v>
      </c>
      <c r="C35" s="443">
        <f>SUMIFS('Cash Balance'!$L$4:$L$920,'Cash Balance'!$W$4:$W$920,Summary!C$32,'Cash Balance'!$Y$4:$Y$920,Summary!$A35)/Fx_rate/1000000+SUMIFS('Cash Balance'!$T$4:$T$920,'Cash Balance'!$W$4:$W$920,Summary!C$32,'Cash Balance'!$Y$4:$Y$920,Summary!$A35)/1000000</f>
        <v>9.9968844652053477</v>
      </c>
      <c r="D35" s="443">
        <f>SUMIFS('Cash Balance'!$L$4:$L$920,'Cash Balance'!$W$4:$W$920,Summary!D$32,'Cash Balance'!$Y$4:$Y$920,Summary!$A35)/Fx_rate/1000000+SUMIFS('Cash Balance'!$T$4:$T$920,'Cash Balance'!$W$4:$W$920,Summary!D$32,'Cash Balance'!$Y$4:$Y$920,Summary!$A35)/1000000</f>
        <v>20.610789525243554</v>
      </c>
      <c r="E35" s="444">
        <f t="shared" ref="E35:E53" si="0">SUM(B35:D35)</f>
        <v>30.608983427507162</v>
      </c>
      <c r="F35" s="439">
        <f t="shared" ref="F35:F41" si="1">E35/$E$63</f>
        <v>0.18877400522361848</v>
      </c>
      <c r="G35" s="491"/>
      <c r="H35" s="758"/>
      <c r="I35" s="24"/>
    </row>
    <row r="36" spans="1:9" ht="14.4" outlineLevel="1">
      <c r="A36" s="440" t="s">
        <v>87</v>
      </c>
      <c r="B36" s="443">
        <f>SUMIFS('Cash Balance'!$L$4:$L$920,'Cash Balance'!$W$4:$W$920,Summary!B$32,'Cash Balance'!$Y$4:$Y$920,Summary!$A36)/Fx_rate/1000000+SUMIFS('Cash Balance'!$T$4:$T$920,'Cash Balance'!$W$4:$W$920,Summary!B$32,'Cash Balance'!$Y$4:$Y$920,Summary!$A36)/1000000</f>
        <v>0.26810015010506211</v>
      </c>
      <c r="C36" s="443">
        <f>SUMIFS('Cash Balance'!$L$4:$L$920,'Cash Balance'!$W$4:$W$920,Summary!C$32,'Cash Balance'!$Y$4:$Y$920,Summary!$A36)/Fx_rate/1000000+SUMIFS('Cash Balance'!$T$4:$T$920,'Cash Balance'!$W$4:$W$920,Summary!C$32,'Cash Balance'!$Y$4:$Y$920,Summary!$A36)/1000000</f>
        <v>4.2206393244890164</v>
      </c>
      <c r="D36" s="443">
        <f>SUMIFS('Cash Balance'!$L$4:$L$920,'Cash Balance'!$W$4:$W$920,Summary!D$32,'Cash Balance'!$Y$4:$Y$920,Summary!$A36)/Fx_rate/1000000+SUMIFS('Cash Balance'!$T$4:$T$920,'Cash Balance'!$W$4:$W$920,Summary!D$32,'Cash Balance'!$Y$4:$Y$920,Summary!$A36)/1000000</f>
        <v>16.326177562636104</v>
      </c>
      <c r="E36" s="444">
        <f t="shared" si="0"/>
        <v>20.814917037230181</v>
      </c>
      <c r="F36" s="439">
        <f t="shared" si="1"/>
        <v>0.12837130860034199</v>
      </c>
      <c r="G36" s="491"/>
      <c r="H36" s="758"/>
      <c r="I36" s="24"/>
    </row>
    <row r="37" spans="1:9" ht="14.4" outlineLevel="1">
      <c r="A37" s="440" t="s">
        <v>88</v>
      </c>
      <c r="B37" s="443">
        <f>SUMIFS('Cash Balance'!$L$4:$L$920,'Cash Balance'!$W$4:$W$920,Summary!B$32,'Cash Balance'!$Y$4:$Y$920,Summary!$A37)/Fx_rate/1000000+SUMIFS('Cash Balance'!$T$4:$T$920,'Cash Balance'!$W$4:$W$920,Summary!B$32,'Cash Balance'!$Y$4:$Y$920,Summary!$A37)/1000000</f>
        <v>7.6900000000000004E-4</v>
      </c>
      <c r="C37" s="443">
        <f>SUMIFS('Cash Balance'!$L$4:$L$920,'Cash Balance'!$W$4:$W$920,Summary!C$32,'Cash Balance'!$Y$4:$Y$920,Summary!$A37)/Fx_rate/1000000+SUMIFS('Cash Balance'!$T$4:$T$920,'Cash Balance'!$W$4:$W$920,Summary!C$32,'Cash Balance'!$Y$4:$Y$920,Summary!$A37)/1000000</f>
        <v>1.5646414517669533E-4</v>
      </c>
      <c r="D37" s="443">
        <f>SUMIFS('Cash Balance'!$L$4:$L$920,'Cash Balance'!$W$4:$W$920,Summary!D$32,'Cash Balance'!$Y$4:$Y$920,Summary!$A37)/Fx_rate/1000000+SUMIFS('Cash Balance'!$T$4:$T$920,'Cash Balance'!$W$4:$W$920,Summary!D$32,'Cash Balance'!$Y$4:$Y$920,Summary!$A37)/1000000</f>
        <v>4.0462508455396371</v>
      </c>
      <c r="E37" s="444">
        <f t="shared" si="0"/>
        <v>4.0471763096848141</v>
      </c>
      <c r="F37" s="439">
        <f t="shared" si="1"/>
        <v>2.4960047550575168E-2</v>
      </c>
      <c r="G37" s="491"/>
      <c r="H37" s="758"/>
      <c r="I37" s="24"/>
    </row>
    <row r="38" spans="1:9" ht="14.4" outlineLevel="1">
      <c r="A38" s="440" t="s">
        <v>86</v>
      </c>
      <c r="B38" s="443">
        <f>SUMIFS('Cash Balance'!$L$4:$L$920,'Cash Balance'!$W$4:$W$920,Summary!B$32,'Cash Balance'!$Y$4:$Y$920,Summary!$A38)/Fx_rate/1000000+SUMIFS('Cash Balance'!$T$4:$T$920,'Cash Balance'!$W$4:$W$920,Summary!B$32,'Cash Balance'!$Y$4:$Y$920,Summary!$A38)/1000000</f>
        <v>4.2198677268385863E-3</v>
      </c>
      <c r="C38" s="443">
        <f>SUMIFS('Cash Balance'!$L$4:$L$920,'Cash Balance'!$W$4:$W$920,Summary!C$32,'Cash Balance'!$Y$4:$Y$920,Summary!$A38)/Fx_rate/1000000+SUMIFS('Cash Balance'!$T$4:$T$920,'Cash Balance'!$W$4:$W$920,Summary!C$32,'Cash Balance'!$Y$4:$Y$920,Summary!$A38)/1000000</f>
        <v>7.1336651002865325E-3</v>
      </c>
      <c r="D38" s="443">
        <f>SUMIFS('Cash Balance'!$L$4:$L$920,'Cash Balance'!$W$4:$W$920,Summary!D$32,'Cash Balance'!$Y$4:$Y$920,Summary!$A38)/Fx_rate/1000000+SUMIFS('Cash Balance'!$T$4:$T$920,'Cash Balance'!$W$4:$W$920,Summary!D$32,'Cash Balance'!$Y$4:$Y$920,Summary!$A38)/1000000</f>
        <v>2.2391806184909266</v>
      </c>
      <c r="E38" s="444">
        <f t="shared" si="0"/>
        <v>2.2505341513180519</v>
      </c>
      <c r="F38" s="439">
        <f t="shared" si="1"/>
        <v>1.3879662048987083E-2</v>
      </c>
      <c r="G38" s="491"/>
      <c r="H38" s="758"/>
      <c r="I38" s="24"/>
    </row>
    <row r="39" spans="1:9" ht="14.4" outlineLevel="1">
      <c r="A39" s="440" t="s">
        <v>190</v>
      </c>
      <c r="B39" s="443">
        <f>SUMIFS('Cash Balance'!$L$4:$L$920,'Cash Balance'!$W$4:$W$920,Summary!B$32,'Cash Balance'!$Y$4:$Y$920,Summary!$A39)/Fx_rate/1000000+SUMIFS('Cash Balance'!$T$4:$T$920,'Cash Balance'!$W$4:$W$920,Summary!B$32,'Cash Balance'!$Y$4:$Y$920,Summary!$A39)/1000000</f>
        <v>0</v>
      </c>
      <c r="C39" s="443">
        <f>SUMIFS('Cash Balance'!$L$4:$L$920,'Cash Balance'!$W$4:$W$920,Summary!C$32,'Cash Balance'!$Y$4:$Y$920,Summary!$A39)/Fx_rate/1000000+SUMIFS('Cash Balance'!$T$4:$T$920,'Cash Balance'!$W$4:$W$920,Summary!C$32,'Cash Balance'!$Y$4:$Y$920,Summary!$A39)/1000000</f>
        <v>0</v>
      </c>
      <c r="D39" s="443">
        <f>SUMIFS('Cash Balance'!$L$4:$L$920,'Cash Balance'!$W$4:$W$920,Summary!D$32,'Cash Balance'!$Y$4:$Y$920,Summary!$A39)/Fx_rate/1000000+SUMIFS('Cash Balance'!$T$4:$T$920,'Cash Balance'!$W$4:$W$920,Summary!D$32,'Cash Balance'!$Y$4:$Y$920,Summary!$A39)/1000000</f>
        <v>0</v>
      </c>
      <c r="E39" s="444">
        <f t="shared" ref="E39:E40" si="2">SUM(B39:D39)</f>
        <v>0</v>
      </c>
      <c r="F39" s="439">
        <f t="shared" si="1"/>
        <v>0</v>
      </c>
      <c r="G39" s="491"/>
      <c r="H39" s="758"/>
      <c r="I39" s="24"/>
    </row>
    <row r="40" spans="1:9" ht="14.4" outlineLevel="1">
      <c r="A40" s="440" t="s">
        <v>191</v>
      </c>
      <c r="B40" s="443">
        <f>SUMIFS('Cash Balance'!$L$4:$L$920,'Cash Balance'!$W$4:$W$920,Summary!B$32,'Cash Balance'!$Y$4:$Y$920,Summary!$A40)/Fx_rate/1000000+SUMIFS('Cash Balance'!$T$4:$T$920,'Cash Balance'!$W$4:$W$920,Summary!B$32,'Cash Balance'!$Y$4:$Y$920,Summary!$A40)/1000000</f>
        <v>0</v>
      </c>
      <c r="C40" s="443">
        <f>SUMIFS('Cash Balance'!$L$4:$L$920,'Cash Balance'!$W$4:$W$920,Summary!C$32,'Cash Balance'!$Y$4:$Y$920,Summary!$A40)/Fx_rate/1000000+SUMIFS('Cash Balance'!$T$4:$T$920,'Cash Balance'!$W$4:$W$920,Summary!C$32,'Cash Balance'!$Y$4:$Y$920,Summary!$A40)/1000000</f>
        <v>5.6484119923591217E-2</v>
      </c>
      <c r="D40" s="443">
        <f>SUMIFS('Cash Balance'!$L$4:$L$920,'Cash Balance'!$W$4:$W$920,Summary!D$32,'Cash Balance'!$Y$4:$Y$920,Summary!$A40)/Fx_rate/1000000+SUMIFS('Cash Balance'!$T$4:$T$920,'Cash Balance'!$W$4:$W$920,Summary!D$32,'Cash Balance'!$Y$4:$Y$920,Summary!$A40)/1000000</f>
        <v>5.983094626934097</v>
      </c>
      <c r="E40" s="444">
        <f t="shared" si="2"/>
        <v>6.0395787468576883</v>
      </c>
      <c r="F40" s="439">
        <f t="shared" si="1"/>
        <v>3.7247740442212428E-2</v>
      </c>
      <c r="G40" s="491"/>
      <c r="H40" s="758"/>
      <c r="I40" s="24"/>
    </row>
    <row r="41" spans="1:9" ht="14.4" outlineLevel="1">
      <c r="A41" s="440" t="s">
        <v>192</v>
      </c>
      <c r="B41" s="443">
        <f>SUMIFS('Cash Balance'!$L$4:$L$920,'Cash Balance'!$W$4:$W$920,Summary!B$32,'Cash Balance'!$Y$4:$Y$920,Summary!$A41)/Fx_rate/1000000+SUMIFS('Cash Balance'!$T$4:$T$920,'Cash Balance'!$W$4:$W$920,Summary!B$32,'Cash Balance'!$Y$4:$Y$920,Summary!$A41)/1000000</f>
        <v>0</v>
      </c>
      <c r="C41" s="443">
        <f>SUMIFS('Cash Balance'!$L$4:$L$920,'Cash Balance'!$W$4:$W$920,Summary!C$32,'Cash Balance'!$Y$4:$Y$920,Summary!$A41)/Fx_rate/1000000+SUMIFS('Cash Balance'!$T$4:$T$920,'Cash Balance'!$W$4:$W$920,Summary!C$32,'Cash Balance'!$Y$4:$Y$920,Summary!$A41)/1000000</f>
        <v>0</v>
      </c>
      <c r="D41" s="443">
        <f>SUMIFS('Cash Balance'!$L$4:$L$920,'Cash Balance'!$W$4:$W$920,Summary!D$32,'Cash Balance'!$Y$4:$Y$920,Summary!$A41)/Fx_rate/1000000+SUMIFS('Cash Balance'!$T$4:$T$920,'Cash Balance'!$W$4:$W$920,Summary!D$32,'Cash Balance'!$Y$4:$Y$920,Summary!$A41)/1000000</f>
        <v>0</v>
      </c>
      <c r="E41" s="444">
        <f t="shared" ref="E41" si="3">SUM(B41:D41)</f>
        <v>0</v>
      </c>
      <c r="F41" s="439">
        <f t="shared" si="1"/>
        <v>0</v>
      </c>
      <c r="G41" s="491"/>
      <c r="H41" s="758"/>
      <c r="I41" s="24"/>
    </row>
    <row r="42" spans="1:9" ht="14.4">
      <c r="A42" s="386" t="s">
        <v>193</v>
      </c>
      <c r="B42" s="493">
        <f>SUBTOTAL(9,B43:B44)</f>
        <v>2.8901302645654253E-2</v>
      </c>
      <c r="C42" s="493">
        <f>SUBTOTAL(9,C43:C44)</f>
        <v>48.515363830124173</v>
      </c>
      <c r="D42" s="493">
        <f>SUBTOTAL(9,D43:D44)</f>
        <v>11.09599157417383</v>
      </c>
      <c r="E42" s="494">
        <f>SUBTOTAL(9,E43:E44)</f>
        <v>59.640256706943653</v>
      </c>
      <c r="F42" s="495">
        <f>SUBTOTAL(9,F43:F44)</f>
        <v>0.3678178387661481</v>
      </c>
      <c r="G42" s="491"/>
      <c r="H42" s="758"/>
      <c r="I42" s="24"/>
    </row>
    <row r="43" spans="1:9" ht="14.4" outlineLevel="1">
      <c r="A43" s="440" t="s">
        <v>91</v>
      </c>
      <c r="B43" s="443">
        <f>SUMIFS('Cash Balance'!$L$4:$L$920,'Cash Balance'!$W$4:$W$920,Summary!B$32,'Cash Balance'!$Y$4:$Y$920,Summary!$A43)/Fx_rate/1000000+SUMIFS('Cash Balance'!$T$4:$T$920,'Cash Balance'!$W$4:$W$920,Summary!B$32,'Cash Balance'!$Y$4:$Y$920,Summary!$A43)/1000000</f>
        <v>1.1851237669531996E-2</v>
      </c>
      <c r="C43" s="443">
        <f>SUMIFS('Cash Balance'!$L$4:$L$920,'Cash Balance'!$W$4:$W$920,Summary!C$32,'Cash Balance'!$Y$4:$Y$920,Summary!$A43)/Fx_rate/1000000+SUMIFS('Cash Balance'!$T$4:$T$920,'Cash Balance'!$W$4:$W$920,Summary!C$32,'Cash Balance'!$Y$4:$Y$920,Summary!$A43)/1000000</f>
        <v>48.437014508252155</v>
      </c>
      <c r="D43" s="443">
        <f>SUMIFS('Cash Balance'!$L$4:$L$920,'Cash Balance'!$W$4:$W$920,Summary!D$32,'Cash Balance'!$Y$4:$Y$920,Summary!$A43)/Fx_rate/1000000+SUMIFS('Cash Balance'!$T$4:$T$920,'Cash Balance'!$W$4:$W$920,Summary!D$32,'Cash Balance'!$Y$4:$Y$920,Summary!$A43)/1000000</f>
        <v>6.5480250090544416</v>
      </c>
      <c r="E43" s="444">
        <f t="shared" si="0"/>
        <v>54.996890754976128</v>
      </c>
      <c r="F43" s="439">
        <f>E43/$E$63</f>
        <v>0.33918092599353478</v>
      </c>
      <c r="G43" s="491"/>
      <c r="H43" s="758"/>
      <c r="I43" s="24"/>
    </row>
    <row r="44" spans="1:9" ht="14.4" outlineLevel="1">
      <c r="A44" s="440" t="s">
        <v>89</v>
      </c>
      <c r="B44" s="443">
        <f>SUMIFS('Cash Balance'!$L$4:$L$920,'Cash Balance'!$W$4:$W$920,Summary!B$32,'Cash Balance'!$Y$4:$Y$920,Summary!$A44)/Fx_rate/1000000+SUMIFS('Cash Balance'!$T$4:$T$920,'Cash Balance'!$W$4:$W$920,Summary!B$32,'Cash Balance'!$Y$4:$Y$920,Summary!$A44)/1000000</f>
        <v>1.7050064976122256E-2</v>
      </c>
      <c r="C44" s="443">
        <f>SUMIFS('Cash Balance'!$L$4:$L$920,'Cash Balance'!$W$4:$W$920,Summary!C$32,'Cash Balance'!$Y$4:$Y$920,Summary!$A44)/Fx_rate/1000000+SUMIFS('Cash Balance'!$T$4:$T$920,'Cash Balance'!$W$4:$W$920,Summary!C$32,'Cash Balance'!$Y$4:$Y$920,Summary!$A44)/1000000</f>
        <v>7.8349321872015279E-2</v>
      </c>
      <c r="D44" s="443">
        <f>SUMIFS('Cash Balance'!$L$4:$L$920,'Cash Balance'!$W$4:$W$920,Summary!D$32,'Cash Balance'!$Y$4:$Y$920,Summary!$A44)/Fx_rate/1000000+SUMIFS('Cash Balance'!$T$4:$T$920,'Cash Balance'!$W$4:$W$920,Summary!D$32,'Cash Balance'!$Y$4:$Y$920,Summary!$A44)/1000000</f>
        <v>4.5479665651193883</v>
      </c>
      <c r="E44" s="444">
        <f t="shared" si="0"/>
        <v>4.6433659519675263</v>
      </c>
      <c r="F44" s="439">
        <f>E44/$E$63</f>
        <v>2.8636912772613345E-2</v>
      </c>
      <c r="G44" s="491"/>
      <c r="H44" s="758"/>
      <c r="I44" s="24"/>
    </row>
    <row r="45" spans="1:9" ht="14.4" outlineLevel="1">
      <c r="A45" s="440" t="s">
        <v>194</v>
      </c>
      <c r="B45" s="443">
        <f>SUMIFS('Cash Balance'!$L$4:$L$920,'Cash Balance'!$W$4:$W$920,Summary!B$32,'Cash Balance'!$Y$4:$Y$920,Summary!$A45)/Fx_rate/1000000+SUMIFS('Cash Balance'!$T$4:$T$920,'Cash Balance'!$W$4:$W$920,Summary!B$32,'Cash Balance'!$Y$4:$Y$920,Summary!$A45)/1000000</f>
        <v>0</v>
      </c>
      <c r="C45" s="443">
        <f>SUMIFS('Cash Balance'!$L$4:$L$920,'Cash Balance'!$W$4:$W$920,Summary!C$32,'Cash Balance'!$Y$4:$Y$920,Summary!$A45)/Fx_rate/1000000+SUMIFS('Cash Balance'!$T$4:$T$920,'Cash Balance'!$W$4:$W$920,Summary!C$32,'Cash Balance'!$Y$4:$Y$920,Summary!$A45)/1000000</f>
        <v>0</v>
      </c>
      <c r="D45" s="443">
        <f>SUMIFS('Cash Balance'!$L$4:$L$920,'Cash Balance'!$W$4:$W$920,Summary!D$32,'Cash Balance'!$Y$4:$Y$920,Summary!$A45)/Fx_rate/1000000+SUMIFS('Cash Balance'!$T$4:$T$920,'Cash Balance'!$W$4:$W$920,Summary!D$32,'Cash Balance'!$Y$4:$Y$920,Summary!$A45)/1000000</f>
        <v>3.1520744985673354E-4</v>
      </c>
      <c r="E45" s="444">
        <f t="shared" ref="E45:E46" si="4">SUM(B45:D45)</f>
        <v>3.1520744985673354E-4</v>
      </c>
      <c r="F45" s="439">
        <f t="shared" ref="F45:F46" si="5">E45/$E$63</f>
        <v>1.9439708909870348E-6</v>
      </c>
      <c r="G45" s="491"/>
      <c r="H45" s="758"/>
      <c r="I45" s="24"/>
    </row>
    <row r="46" spans="1:9" ht="14.4" outlineLevel="1">
      <c r="A46" s="440" t="s">
        <v>195</v>
      </c>
      <c r="B46" s="443">
        <f>SUMIFS('Cash Balance'!$L$4:$L$920,'Cash Balance'!$W$4:$W$920,Summary!B$32,'Cash Balance'!$Y$4:$Y$920,Summary!$A46)/Fx_rate/1000000+SUMIFS('Cash Balance'!$T$4:$T$920,'Cash Balance'!$W$4:$W$920,Summary!B$32,'Cash Balance'!$Y$4:$Y$920,Summary!$A46)/1000000</f>
        <v>0</v>
      </c>
      <c r="C46" s="443">
        <f>SUMIFS('Cash Balance'!$L$4:$L$920,'Cash Balance'!$W$4:$W$920,Summary!C$32,'Cash Balance'!$Y$4:$Y$920,Summary!$A46)/Fx_rate/1000000+SUMIFS('Cash Balance'!$T$4:$T$920,'Cash Balance'!$W$4:$W$920,Summary!C$32,'Cash Balance'!$Y$4:$Y$920,Summary!$A46)/1000000</f>
        <v>0</v>
      </c>
      <c r="D46" s="443">
        <f>SUMIFS('Cash Balance'!$L$4:$L$920,'Cash Balance'!$W$4:$W$920,Summary!D$32,'Cash Balance'!$Y$4:$Y$920,Summary!$A46)/Fx_rate/1000000+SUMIFS('Cash Balance'!$T$4:$T$920,'Cash Balance'!$W$4:$W$920,Summary!D$32,'Cash Balance'!$Y$4:$Y$920,Summary!$A46)/1000000</f>
        <v>7.1023075453677175E-5</v>
      </c>
      <c r="E46" s="444">
        <f t="shared" si="4"/>
        <v>7.1023075453677175E-5</v>
      </c>
      <c r="F46" s="439">
        <f t="shared" si="5"/>
        <v>4.3801880740153069E-7</v>
      </c>
      <c r="G46" s="491"/>
      <c r="H46" s="758"/>
      <c r="I46" s="24"/>
    </row>
    <row r="47" spans="1:9" ht="14.4">
      <c r="A47" s="386" t="s">
        <v>114</v>
      </c>
      <c r="B47" s="493">
        <f>SUBTOTAL(9,B48:B51)</f>
        <v>1.5188622349570201E-3</v>
      </c>
      <c r="C47" s="493">
        <f>SUBTOTAL(9,C48:C51)</f>
        <v>0.20850691746895894</v>
      </c>
      <c r="D47" s="493">
        <f>SUBTOTAL(9,D48:D51)</f>
        <v>14.153051357812799</v>
      </c>
      <c r="E47" s="494">
        <f>SUBTOTAL(9,E48:E50)</f>
        <v>14.363077137516715</v>
      </c>
      <c r="F47" s="495">
        <f t="shared" ref="F47" si="6">SUBTOTAL(9,F48:F50)</f>
        <v>8.8581040432339303E-2</v>
      </c>
      <c r="G47" s="491"/>
      <c r="H47" s="758"/>
      <c r="I47" s="24"/>
    </row>
    <row r="48" spans="1:9" ht="14.4" hidden="1" outlineLevel="1">
      <c r="A48" s="440" t="s">
        <v>92</v>
      </c>
      <c r="B48" s="443">
        <f>SUMIFS('Cash Balance'!$L$4:$L$920,'Cash Balance'!$W$4:$W$920,Summary!B$32,'Cash Balance'!$Y$4:$Y$920,Summary!$A48)/Fx_rate/1000000+SUMIFS('Cash Balance'!$T$4:$T$920,'Cash Balance'!$W$4:$W$920,Summary!B$32,'Cash Balance'!$Y$4:$Y$920,Summary!$A48)/1000000</f>
        <v>1.5188622349570201E-3</v>
      </c>
      <c r="C48" s="443">
        <f>SUMIFS('Cash Balance'!$L$4:$L$920,'Cash Balance'!$W$4:$W$920,Summary!C$32,'Cash Balance'!$Y$4:$Y$920,Summary!$A48)/Fx_rate/1000000+SUMIFS('Cash Balance'!$T$4:$T$920,'Cash Balance'!$W$4:$W$920,Summary!C$32,'Cash Balance'!$Y$4:$Y$920,Summary!$A48)/1000000</f>
        <v>0.20850691746895894</v>
      </c>
      <c r="D48" s="443">
        <f>SUMIFS('Cash Balance'!$L$4:$L$920,'Cash Balance'!$W$4:$W$920,Summary!D$32,'Cash Balance'!$Y$4:$Y$920,Summary!$A48)/Fx_rate/1000000+SUMIFS('Cash Balance'!$T$4:$T$920,'Cash Balance'!$W$4:$W$920,Summary!D$32,'Cash Balance'!$Y$4:$Y$920,Summary!$A48)/1000000</f>
        <v>11.010220729235911</v>
      </c>
      <c r="E48" s="444">
        <f t="shared" si="0"/>
        <v>11.220246508939827</v>
      </c>
      <c r="F48" s="439">
        <f t="shared" ref="F48:F63" si="7">E48/$E$63</f>
        <v>6.919834100682494E-2</v>
      </c>
      <c r="G48" s="491"/>
      <c r="H48" s="758"/>
      <c r="I48" s="24"/>
    </row>
    <row r="49" spans="1:9" ht="14.4" hidden="1" outlineLevel="1">
      <c r="A49" s="440" t="s">
        <v>93</v>
      </c>
      <c r="B49" s="443">
        <f>SUMIFS('Cash Balance'!$L$4:$L$920,'Cash Balance'!$W$4:$W$920,Summary!B$32,'Cash Balance'!$Y$4:$Y$920,Summary!$A49)/Fx_rate/1000000+SUMIFS('Cash Balance'!$T$4:$T$920,'Cash Balance'!$W$4:$W$920,Summary!B$32,'Cash Balance'!$Y$4:$Y$920,Summary!$A49)/1000000</f>
        <v>0</v>
      </c>
      <c r="C49" s="443">
        <f>SUMIFS('Cash Balance'!$L$4:$L$920,'Cash Balance'!$W$4:$W$920,Summary!C$32,'Cash Balance'!$Y$4:$Y$920,Summary!$A49)/Fx_rate/1000000+SUMIFS('Cash Balance'!$T$4:$T$920,'Cash Balance'!$W$4:$W$920,Summary!C$32,'Cash Balance'!$Y$4:$Y$920,Summary!$A49)/1000000</f>
        <v>0</v>
      </c>
      <c r="D49" s="443">
        <f>SUMIFS('Cash Balance'!$L$4:$L$920,'Cash Balance'!$W$4:$W$920,Summary!D$32,'Cash Balance'!$Y$4:$Y$920,Summary!$A49)/Fx_rate/1000000+SUMIFS('Cash Balance'!$T$4:$T$920,'Cash Balance'!$W$4:$W$920,Summary!D$32,'Cash Balance'!$Y$4:$Y$920,Summary!$A49)/1000000</f>
        <v>3.1388067964469917</v>
      </c>
      <c r="E49" s="444">
        <f t="shared" si="0"/>
        <v>3.1388067964469917</v>
      </c>
      <c r="F49" s="439">
        <f t="shared" si="7"/>
        <v>1.935788334793024E-2</v>
      </c>
      <c r="G49" s="491"/>
      <c r="H49" s="758"/>
      <c r="I49" s="24"/>
    </row>
    <row r="50" spans="1:9" ht="14.4" hidden="1" outlineLevel="1">
      <c r="A50" s="440" t="s">
        <v>94</v>
      </c>
      <c r="B50" s="443">
        <f>SUMIFS('Cash Balance'!$L$4:$L$920,'Cash Balance'!$W$4:$W$920,Summary!B$32,'Cash Balance'!$Y$4:$Y$920,Summary!$A50)/Fx_rate/1000000+SUMIFS('Cash Balance'!$T$4:$T$920,'Cash Balance'!$W$4:$W$920,Summary!B$32,'Cash Balance'!$Y$4:$Y$920,Summary!$A50)/1000000</f>
        <v>0</v>
      </c>
      <c r="C50" s="443">
        <f>SUMIFS('Cash Balance'!$L$4:$L$920,'Cash Balance'!$W$4:$W$920,Summary!C$32,'Cash Balance'!$Y$4:$Y$920,Summary!$A50)/Fx_rate/1000000+SUMIFS('Cash Balance'!$T$4:$T$920,'Cash Balance'!$W$4:$W$920,Summary!C$32,'Cash Balance'!$Y$4:$Y$920,Summary!$A50)/1000000</f>
        <v>0</v>
      </c>
      <c r="D50" s="443">
        <f>SUMIFS('Cash Balance'!$L$4:$L$920,'Cash Balance'!$W$4:$W$920,Summary!D$32,'Cash Balance'!$Y$4:$Y$920,Summary!$A50)/Fx_rate/1000000+SUMIFS('Cash Balance'!$T$4:$T$920,'Cash Balance'!$W$4:$W$920,Summary!D$32,'Cash Balance'!$Y$4:$Y$920,Summary!$A50)/1000000</f>
        <v>4.0238321298949331E-3</v>
      </c>
      <c r="E50" s="444">
        <f t="shared" si="0"/>
        <v>4.0238321298949331E-3</v>
      </c>
      <c r="F50" s="439">
        <f t="shared" si="7"/>
        <v>2.4816077584109836E-5</v>
      </c>
      <c r="G50" s="24"/>
      <c r="H50" s="758"/>
      <c r="I50" s="24"/>
    </row>
    <row r="51" spans="1:9" ht="14.4" hidden="1" outlineLevel="1">
      <c r="A51" s="440" t="s">
        <v>196</v>
      </c>
      <c r="B51" s="443">
        <f>SUMIFS('Cash Balance'!$L$4:$L$920,'Cash Balance'!$W$4:$W$920,Summary!B$32,'Cash Balance'!$Y$4:$Y$920,Summary!$A51)/Fx_rate/1000000+SUMIFS('Cash Balance'!$T$4:$T$920,'Cash Balance'!$W$4:$W$920,Summary!B$32,'Cash Balance'!$Y$4:$Y$920,Summary!$A51)/1000000</f>
        <v>0</v>
      </c>
      <c r="C51" s="443">
        <f>SUMIFS('Cash Balance'!$L$4:$L$920,'Cash Balance'!$W$4:$W$920,Summary!C$32,'Cash Balance'!$Y$4:$Y$920,Summary!$A51)/Fx_rate/1000000+SUMIFS('Cash Balance'!$T$4:$T$920,'Cash Balance'!$W$4:$W$920,Summary!C$32,'Cash Balance'!$Y$4:$Y$920,Summary!$A51)/1000000</f>
        <v>0</v>
      </c>
      <c r="D51" s="443">
        <f>SUMIFS('Cash Balance'!$L$4:$L$920,'Cash Balance'!$W$4:$W$920,Summary!D$32,'Cash Balance'!$Y$4:$Y$920,Summary!$A51)/Fx_rate/1000000+SUMIFS('Cash Balance'!$T$4:$T$920,'Cash Balance'!$W$4:$W$920,Summary!D$32,'Cash Balance'!$Y$4:$Y$920,Summary!$A51)/1000000</f>
        <v>0</v>
      </c>
      <c r="E51" s="444">
        <f t="shared" ref="E51" si="8">SUM(B51:D51)</f>
        <v>0</v>
      </c>
      <c r="F51" s="439">
        <f t="shared" si="7"/>
        <v>0</v>
      </c>
      <c r="G51" s="24"/>
      <c r="H51" s="758"/>
      <c r="I51" s="24"/>
    </row>
    <row r="52" spans="1:9" ht="14.4" collapsed="1">
      <c r="A52" s="386" t="s">
        <v>116</v>
      </c>
      <c r="B52" s="441">
        <f>SUMIFS(Table11[CLOSING BALANCE (VND)2],Table11[NAME],Summary!B$32,Table11[Bank_1],Summary!$A52)/Fx_rate/1000000+SUMIFS(Table11[CLOSING BALANCE (USD)],Table11[NAME],Summary!B$32,Table11[Bank_1],Summary!$A52)/1000000</f>
        <v>2.8100769436485199E-3</v>
      </c>
      <c r="C52" s="441">
        <f>SUMIFS(Table11[CLOSING BALANCE (VND)2],Table11[NAME],Summary!C$32,Table11[Bank_1],Summary!$A52)/Fx_rate/1000000+SUMIFS(Table11[CLOSING BALANCE (USD)],Table11[NAME],Summary!C$32,Table11[Bank_1],Summary!$A52)/1000000</f>
        <v>2.2579053677172873E-3</v>
      </c>
      <c r="D52" s="441">
        <f>SUMIFS(Table11[CLOSING BALANCE (VND)2],Table11[NAME],Summary!D$32,Table11[Bank_1],Summary!$A52)/Fx_rate/1000000+SUMIFS(Table11[CLOSING BALANCE (USD)],Table11[NAME],Summary!D$32,Table11[Bank_1],Summary!$A52)/1000000</f>
        <v>1.805228324737345E-2</v>
      </c>
      <c r="E52" s="442">
        <f t="shared" si="0"/>
        <v>2.3120265558739257E-2</v>
      </c>
      <c r="F52" s="387">
        <f t="shared" si="7"/>
        <v>1.4258902592088934E-4</v>
      </c>
      <c r="G52" s="491"/>
      <c r="H52" s="758"/>
      <c r="I52" s="24"/>
    </row>
    <row r="53" spans="1:9" ht="14.4" hidden="1">
      <c r="A53" s="386" t="s">
        <v>119</v>
      </c>
      <c r="B53" s="441">
        <f>SUMIFS(Table11[CLOSING BALANCE (VND)2],Table11[NAME],Summary!B$32,Table11[Bank_1],Summary!$A53)/Fx_rate/1000000+SUMIFS(Table11[CLOSING BALANCE (USD)],Table11[NAME],Summary!B$32,Table11[Bank_1],Summary!$A53)/1000000</f>
        <v>0</v>
      </c>
      <c r="C53" s="441">
        <f>SUMIFS(Table11[CLOSING BALANCE (VND)2],Table11[NAME],Summary!C$32,Table11[Bank_1],Summary!$A53)/Fx_rate/1000000+SUMIFS(Table11[CLOSING BALANCE (USD)],Table11[NAME],Summary!C$32,Table11[Bank_1],Summary!$A53)/1000000</f>
        <v>3.9404217765042979E-4</v>
      </c>
      <c r="D53" s="441">
        <f>SUMIFS(Table11[CLOSING BALANCE (VND)2],Table11[NAME],Summary!D$32,Table11[Bank_1],Summary!$A53)/Fx_rate/1000000+SUMIFS(Table11[CLOSING BALANCE (USD)],Table11[NAME],Summary!D$32,Table11[Bank_1],Summary!$A53)/1000000</f>
        <v>0</v>
      </c>
      <c r="E53" s="442">
        <f t="shared" si="0"/>
        <v>3.9404217765042979E-4</v>
      </c>
      <c r="F53" s="387">
        <f t="shared" si="7"/>
        <v>2.4301663032448589E-6</v>
      </c>
      <c r="G53" s="24"/>
      <c r="H53" s="758"/>
      <c r="I53" s="24"/>
    </row>
    <row r="54" spans="1:9" ht="14.4">
      <c r="A54" s="386" t="s">
        <v>118</v>
      </c>
      <c r="B54" s="441">
        <f>SUMIFS(Table11[CLOSING BALANCE (VND)2],Table11[NAME],Summary!B$32,Table11[Bank_1],Summary!$A54)/Fx_rate/1000000+SUMIFS(Table11[CLOSING BALANCE (USD)],Table11[NAME],Summary!B$32,Table11[Bank_1],Summary!$A54)/1000000</f>
        <v>5.7396511938872965E-4</v>
      </c>
      <c r="C54" s="441">
        <f>SUMIFS(Table11[CLOSING BALANCE (VND)2],Table11[NAME],Summary!C$32,Table11[Bank_1],Summary!$A54)/Fx_rate/1000000+SUMIFS(Table11[CLOSING BALANCE (USD)],Table11[NAME],Summary!C$32,Table11[Bank_1],Summary!$A54)/1000000</f>
        <v>6.5020147894937912</v>
      </c>
      <c r="D54" s="441">
        <f>SUMIFS(Table11[CLOSING BALANCE (VND)2],Table11[NAME],Summary!D$32,Table11[Bank_1],Summary!$A54)/Fx_rate/1000000+SUMIFS(Table11[CLOSING BALANCE (USD)],Table11[NAME],Summary!D$32,Table11[Bank_1],Summary!$A54)/1000000</f>
        <v>0.16024828638013372</v>
      </c>
      <c r="E54" s="442">
        <f>SUM(B54:D54)</f>
        <v>6.6628370409933142</v>
      </c>
      <c r="F54" s="387">
        <f t="shared" si="7"/>
        <v>4.109154547257126E-2</v>
      </c>
      <c r="G54" s="24"/>
      <c r="H54" s="758"/>
      <c r="I54" s="24"/>
    </row>
    <row r="55" spans="1:9" ht="14.4" hidden="1">
      <c r="A55" s="386" t="s">
        <v>197</v>
      </c>
      <c r="B55" s="441">
        <f>SUMIFS(Table11[CLOSING BALANCE (VND)2],Table11[NAME],Summary!B$32,Table11[BRANCH],Summary!$A55)/Fx_rate/1000000+SUMIFS(Table11[CLOSING BALANCE (USD)],Table11[NAME],Summary!B$32,Table11[BRANCH],Summary!$A55)/1000000</f>
        <v>0</v>
      </c>
      <c r="C55" s="441">
        <f>SUMIFS(Table11[CLOSING BALANCE (VND)2],Table11[NAME],Summary!C$32,Table11[BRANCH],Summary!$A55)/Fx_rate/1000000+SUMIFS(Table11[CLOSING BALANCE (USD)],Table11[NAME],Summary!C$32,Table11[BRANCH],Summary!$A55)/1000000</f>
        <v>0</v>
      </c>
      <c r="D55" s="441">
        <f>SUMIFS(Table11[CLOSING BALANCE (VND)2],Table11[NAME],Summary!D$32,Table11[BRANCH],Summary!$A55)/Fx_rate/1000000+SUMIFS(Table11[CLOSING BALANCE (USD)],Table11[NAME],Summary!D$32,Table11[BRANCH],Summary!$A55)/1000000</f>
        <v>0</v>
      </c>
      <c r="E55" s="442">
        <f>SUM(B55:D55)</f>
        <v>0</v>
      </c>
      <c r="F55" s="387">
        <f t="shared" si="7"/>
        <v>0</v>
      </c>
      <c r="G55" s="24"/>
      <c r="H55" s="758"/>
      <c r="I55" s="24"/>
    </row>
    <row r="56" spans="1:9" ht="14.4">
      <c r="A56" s="386" t="s">
        <v>198</v>
      </c>
      <c r="B56" s="441">
        <f>SUMIFS(Table11[CLOSING BALANCE (VND)2],Table11[NAME],Summary!B$32,Table11[Bank_1],Summary!$A56)/Fx_rate/1000000+SUMIFS(Table11[CLOSING BALANCE (USD)],Table11[NAME],Summary!B$32,Table11[Bank_1],Summary!$A56)/1000000</f>
        <v>1.1826887440878699</v>
      </c>
      <c r="C56" s="441">
        <f>SUMIFS(Table11[CLOSING BALANCE (VND)2],Table11[NAME],Summary!C$32,Table11[Bank_1],Summary!$A56)/Fx_rate/1000000+SUMIFS(Table11[CLOSING BALANCE (USD)],Table11[NAME],Summary!C$32,Table11[Bank_1],Summary!$A56)/1000000</f>
        <v>1.5310341517096466</v>
      </c>
      <c r="D56" s="441">
        <f>SUMIFS(Table11[CLOSING BALANCE (VND)2],Table11[NAME],Summary!D$32,Table11[Bank_1],Summary!$A56)/Fx_rate/1000000+SUMIFS(Table11[CLOSING BALANCE (USD)],Table11[NAME],Summary!D$32,Table11[Bank_1],Summary!$A56)/1000000</f>
        <v>2.640725611346705</v>
      </c>
      <c r="E56" s="442">
        <f>SUM(B56:D56)</f>
        <v>5.3544485071442214</v>
      </c>
      <c r="F56" s="387">
        <f t="shared" si="7"/>
        <v>3.3022354135057233E-2</v>
      </c>
      <c r="G56" s="24"/>
      <c r="H56" s="758"/>
      <c r="I56" s="24"/>
    </row>
    <row r="57" spans="1:9" ht="14.4">
      <c r="A57" s="386" t="s">
        <v>199</v>
      </c>
      <c r="B57" s="441">
        <f>SUMIFS(Table11[CLOSING BALANCE (VND)2],Table11[NAME],Summary!B$32,Table11[Bank_1],Summary!$A57)/Fx_rate/1000000+SUMIFS(Table11[CLOSING BALANCE (USD)],Table11[NAME],Summary!B$32,Table11[Bank_1],Summary!$A57)/1000000</f>
        <v>5.2225864374403056E-5</v>
      </c>
      <c r="C57" s="441">
        <f>SUMIFS(Table11[CLOSING BALANCE (VND)2],Table11[NAME],Summary!C$32,Table11[Bank_1],Summary!$A57)/Fx_rate/1000000+SUMIFS(Table11[CLOSING BALANCE (USD)],Table11[NAME],Summary!C$32,Table11[Bank_1],Summary!$A57)/1000000</f>
        <v>5.9635534517669536E-2</v>
      </c>
      <c r="D57" s="441">
        <f>SUMIFS(Table11[CLOSING BALANCE (VND)2],Table11[NAME],Summary!D$32,Table11[Bank_1],Summary!$A57)/Fx_rate/1000000+SUMIFS(Table11[CLOSING BALANCE (USD)],Table11[NAME],Summary!D$32,Table11[Bank_1],Summary!$A57)/1000000</f>
        <v>1.2941962428271252</v>
      </c>
      <c r="E57" s="442">
        <f t="shared" ref="E57" si="9">SUM(B57:D57)</f>
        <v>1.3538840032091692</v>
      </c>
      <c r="F57" s="387">
        <f t="shared" si="7"/>
        <v>8.3497743889234359E-3</v>
      </c>
      <c r="G57" s="24"/>
      <c r="H57" s="758"/>
      <c r="I57" s="24"/>
    </row>
    <row r="58" spans="1:9" ht="14.4">
      <c r="A58" s="386" t="s">
        <v>200</v>
      </c>
      <c r="B58" s="441">
        <f>SUMIFS(Table11[CLOSING BALANCE (VND)2],Table11[NAME],Summary!B$32,Table11[Bank_1],Summary!$A58)/Fx_rate/1000000+SUMIFS(Table11[CLOSING BALANCE (USD)],Table11[NAME],Summary!B$32,Table11[Bank_1],Summary!$A58)/1000000</f>
        <v>2.6483650047755491E-3</v>
      </c>
      <c r="C58" s="441">
        <f>SUMIFS(Table11[CLOSING BALANCE (VND)2],Table11[NAME],Summary!C$32,Table11[Bank_1],Summary!$A58)/Fx_rate/1000000+SUMIFS(Table11[CLOSING BALANCE (USD)],Table11[NAME],Summary!C$32,Table11[Bank_1],Summary!$A58)/1000000</f>
        <v>9.6837425023877741E-3</v>
      </c>
      <c r="D58" s="441">
        <f>SUMIFS(Table11[CLOSING BALANCE (VND)2],Table11[NAME],Summary!D$32,Table11[Bank_1],Summary!$A58)/Fx_rate/1000000+SUMIFS(Table11[CLOSING BALANCE (USD)],Table11[NAME],Summary!D$32,Table11[Bank_1],Summary!$A58)/1000000</f>
        <v>4.2042961986628463E-3</v>
      </c>
      <c r="E58" s="442">
        <f>SUM(B58:D58)</f>
        <v>1.653640370582617E-2</v>
      </c>
      <c r="F58" s="387">
        <f t="shared" si="7"/>
        <v>1.0198454211772966E-4</v>
      </c>
      <c r="G58" s="24"/>
      <c r="H58" s="758"/>
      <c r="I58" s="24"/>
    </row>
    <row r="59" spans="1:9" ht="14.4">
      <c r="A59" s="386" t="s">
        <v>201</v>
      </c>
      <c r="B59" s="441">
        <f>SUMIFS(Table11[CLOSING BALANCE (VND)2],Table11[NAME],Summary!B$32,Table11[Bank_1],Summary!$A59)/Fx_rate/1000000+SUMIFS(Table11[CLOSING BALANCE (USD)],Table11[NAME],Summary!B$32,Table11[Bank_1],Summary!$A59)/1000000</f>
        <v>0</v>
      </c>
      <c r="C59" s="441">
        <f>SUMIFS(Table11[CLOSING BALANCE (VND)2],Table11[NAME],Summary!C$32,Table11[Bank_1],Summary!$A59)/Fx_rate/1000000+SUMIFS(Table11[CLOSING BALANCE (USD)],Table11[NAME],Summary!C$32,Table11[Bank_1],Summary!$A59)/1000000</f>
        <v>0</v>
      </c>
      <c r="D59" s="441">
        <f>SUMIFS(Table11[CLOSING BALANCE (VND)2],Table11[NAME],Summary!D$32,Table11[Bank_1],Summary!$A59)/Fx_rate/1000000+SUMIFS(Table11[CLOSING BALANCE (USD)],Table11[NAME],Summary!D$32,Table11[Bank_1],Summary!$A59)/1000000</f>
        <v>5.600664250238778E-2</v>
      </c>
      <c r="E59" s="442">
        <f>SUM(B59:D59)</f>
        <v>5.600664250238778E-2</v>
      </c>
      <c r="F59" s="387">
        <f t="shared" si="7"/>
        <v>3.4540834227123925E-4</v>
      </c>
      <c r="G59" s="24"/>
      <c r="H59" s="758"/>
      <c r="I59" s="24"/>
    </row>
    <row r="60" spans="1:9" ht="14.4">
      <c r="A60" s="386" t="s">
        <v>202</v>
      </c>
      <c r="B60" s="441">
        <f>SUMIFS(Table11[CLOSING BALANCE (VND)2],Table11[NAME],Summary!B$32,Table11[Bank_1],Summary!$A60)/Fx_rate/1000000+SUMIFS(Table11[CLOSING BALANCE (USD)],Table11[NAME],Summary!B$32,Table11[Bank_1],Summary!$A60)/1000000</f>
        <v>3.6749453295128942E-3</v>
      </c>
      <c r="C60" s="441">
        <f>SUMIFS(Table11[CLOSING BALANCE (VND)2],Table11[NAME],Summary!C$32,Table11[Bank_1],Summary!$A60)/Fx_rate/1000000+SUMIFS(Table11[CLOSING BALANCE (USD)],Table11[NAME],Summary!C$32,Table11[Bank_1],Summary!$A60)/1000000</f>
        <v>0.51377891052531055</v>
      </c>
      <c r="D60" s="441">
        <f>SUMIFS(Table11[CLOSING BALANCE (VND)2],Table11[NAME],Summary!D$32,Table11[Bank_1],Summary!$A60)/Fx_rate/1000000+SUMIFS(Table11[CLOSING BALANCE (USD)],Table11[NAME],Summary!D$32,Table11[Bank_1],Summary!$A60)/1000000</f>
        <v>9.4395973256924547E-4</v>
      </c>
      <c r="E60" s="442">
        <f>SUM(B60:D60)</f>
        <v>0.51839781558739262</v>
      </c>
      <c r="F60" s="387">
        <f t="shared" si="7"/>
        <v>3.1971016672074012E-3</v>
      </c>
      <c r="G60" s="24"/>
      <c r="H60" s="758"/>
      <c r="I60" s="24"/>
    </row>
    <row r="61" spans="1:9" ht="14.4">
      <c r="A61" s="386" t="s">
        <v>203</v>
      </c>
      <c r="B61" s="441">
        <f>SUMIFS(Table11[CLOSING BALANCE (VND)2],Table11[NAME],Summary!B$32,Table11[Bank_1],Summary!$A61)/Fx_rate/1000000+SUMIFS(Table11[CLOSING BALANCE (USD)],Table11[NAME],Summary!B$32,Table11[Bank_1],Summary!$A61)/1000000</f>
        <v>0</v>
      </c>
      <c r="C61" s="441">
        <f>SUMIFS(Table11[CLOSING BALANCE (VND)2],Table11[NAME],Summary!C$32,Table11[Bank_1],Summary!$A61)/Fx_rate/1000000+SUMIFS(Table11[CLOSING BALANCE (USD)],Table11[NAME],Summary!C$32,Table11[Bank_1],Summary!$A61)/1000000</f>
        <v>0</v>
      </c>
      <c r="D61" s="441">
        <f>SUMIFS(Table11[CLOSING BALANCE (VND)2],Table11[NAME],Summary!D$32,Table11[Bank_1],Summary!$A61)/Fx_rate/1000000+SUMIFS(Table11[CLOSING BALANCE (USD)],Table11[NAME],Summary!D$32,Table11[Bank_1],Summary!$A61)/1000000</f>
        <v>1.9621477253104107</v>
      </c>
      <c r="E61" s="442">
        <f>SUM(B61:D61)</f>
        <v>1.9621477253104107</v>
      </c>
      <c r="F61" s="387">
        <f t="shared" si="7"/>
        <v>1.2101103776428966E-2</v>
      </c>
      <c r="G61" s="24"/>
      <c r="H61" s="758"/>
      <c r="I61" s="24"/>
    </row>
    <row r="62" spans="1:9" ht="14.4">
      <c r="A62" s="386" t="s">
        <v>99</v>
      </c>
      <c r="B62" s="441">
        <f>SUMIFS(Table11[CLOSING BALANCE (VND)2],Table11[NAME],Summary!B$32,Table11[Bank_1],Summary!$A62)/Fx_rate/1000000+SUMIFS(Table11[CLOSING BALANCE (USD)],Table11[NAME],Summary!B$32,Table11[Bank_1],Summary!$A62)/1000000-B55</f>
        <v>6.8840332473734476E-3</v>
      </c>
      <c r="C62" s="441">
        <f>SUMIFS(Table11[CLOSING BALANCE (VND)2],Table11[NAME],Summary!C$32,Table11[Bank_1],Summary!$A62)/Fx_rate/1000000+SUMIFS(Table11[CLOSING BALANCE (USD)],Table11[NAME],Summary!C$32,Table11[Bank_1],Summary!$A62)/1000000-C55</f>
        <v>2.4731517058261699E-2</v>
      </c>
      <c r="D62" s="441">
        <f>SUMIFS(Table11[CLOSING BALANCE (VND)2],Table11[NAME],Summary!D$32,Table11[Bank_1],Summary!$A62)/Fx_rate/1000000+SUMIFS(Table11[CLOSING BALANCE (USD)],Table11[NAME],Summary!D$32,Table11[Bank_1],Summary!$A62)/1000000-D55</f>
        <v>8.4018801221394472</v>
      </c>
      <c r="E62" s="442">
        <f>SUM(B62:D62)</f>
        <v>8.4334956724450816</v>
      </c>
      <c r="F62" s="387">
        <f t="shared" si="7"/>
        <v>5.2011683429277755E-2</v>
      </c>
      <c r="G62" s="24"/>
      <c r="H62" s="758"/>
      <c r="I62" s="24"/>
    </row>
    <row r="63" spans="1:9" ht="15" thickBot="1">
      <c r="A63" s="687" t="s">
        <v>68</v>
      </c>
      <c r="B63" s="688">
        <f>SUBTOTAL(9,B34:B62)</f>
        <v>1.5041509753677171</v>
      </c>
      <c r="C63" s="688">
        <f>SUBTOTAL(9,C34:C62)</f>
        <v>71.648699379808988</v>
      </c>
      <c r="D63" s="688">
        <f>SUBTOTAL(9,D34:D62)</f>
        <v>88.993327511041073</v>
      </c>
      <c r="E63" s="689">
        <f>SUBTOTAL(9,E34:E62)</f>
        <v>162.14617786621776</v>
      </c>
      <c r="F63" s="690">
        <f t="shared" si="7"/>
        <v>1</v>
      </c>
      <c r="G63" s="24"/>
      <c r="H63" s="492"/>
      <c r="I63" s="24"/>
    </row>
    <row r="64" spans="1:9" s="322" customFormat="1" ht="14.4">
      <c r="B64" s="1372" t="b">
        <f>ROUND(B63*1000000,0)=ROUND(D15*1000000,0)</f>
        <v>1</v>
      </c>
      <c r="C64" s="1372" t="b">
        <f>C63=D16</f>
        <v>1</v>
      </c>
      <c r="D64" s="1373" t="b">
        <f>ROUND(D63*1000000,0)=ROUND(D17*1000000,0)</f>
        <v>1</v>
      </c>
      <c r="E64" s="1373" t="b">
        <f>ROUND(E63*1000000,0)=ROUND(D18*1000000,0)</f>
        <v>1</v>
      </c>
      <c r="F64" s="1374"/>
    </row>
    <row r="65" spans="1:97" ht="14.4">
      <c r="B65" s="815"/>
      <c r="D65" s="6">
        <f>ROUND(D63*1000000,0)-ROUND(D17*1000000,0)</f>
        <v>0</v>
      </c>
      <c r="F65" s="646"/>
    </row>
    <row r="66" spans="1:97" ht="14.4">
      <c r="B66" s="814"/>
      <c r="C66" s="647"/>
      <c r="D66" s="836"/>
      <c r="E66" s="648"/>
      <c r="F66" s="3"/>
    </row>
    <row r="67" spans="1:97" ht="14.4">
      <c r="B67" s="649"/>
      <c r="C67" s="649"/>
      <c r="D67" s="649"/>
      <c r="F67" s="650"/>
    </row>
    <row r="68" spans="1:97" ht="14.4">
      <c r="D68" s="890"/>
      <c r="F68" s="755"/>
    </row>
    <row r="69" spans="1:97" ht="14.4" hidden="1">
      <c r="A69" s="34"/>
    </row>
    <row r="70" spans="1:97" s="735" customFormat="1" ht="13.8">
      <c r="A70" s="733" t="s">
        <v>204</v>
      </c>
      <c r="B70" s="733"/>
      <c r="C70" s="734"/>
      <c r="D70" s="734"/>
      <c r="E70" s="734"/>
      <c r="F70" s="734"/>
      <c r="G70" s="734"/>
      <c r="W70" s="734"/>
      <c r="X70" s="734"/>
      <c r="Y70" s="734"/>
      <c r="Z70" s="734"/>
      <c r="AA70" s="734"/>
      <c r="AB70" s="734"/>
      <c r="AC70" s="734"/>
      <c r="AD70" s="734"/>
      <c r="AE70" s="734"/>
      <c r="AF70" s="734"/>
      <c r="AG70" s="734"/>
      <c r="AH70" s="734"/>
      <c r="AI70" s="734"/>
      <c r="AJ70" s="734"/>
      <c r="AK70" s="734"/>
      <c r="AL70" s="734"/>
      <c r="AM70" s="734"/>
      <c r="AN70" s="734"/>
      <c r="AO70" s="734"/>
      <c r="AP70" s="734"/>
      <c r="AQ70" s="734"/>
      <c r="AR70" s="734"/>
      <c r="AS70" s="734"/>
      <c r="AT70" s="734"/>
      <c r="AU70" s="734"/>
      <c r="AV70" s="734"/>
      <c r="AW70" s="734"/>
      <c r="AX70" s="734"/>
      <c r="AY70" s="734"/>
      <c r="AZ70" s="734"/>
      <c r="BA70" s="734"/>
      <c r="BB70" s="734"/>
      <c r="BC70" s="734"/>
      <c r="BD70" s="734"/>
      <c r="BE70" s="734"/>
      <c r="BF70" s="734"/>
      <c r="BG70" s="734"/>
      <c r="BH70" s="734"/>
      <c r="BI70" s="734"/>
      <c r="BJ70" s="734"/>
      <c r="BK70" s="734"/>
      <c r="BL70" s="734"/>
      <c r="BM70" s="734"/>
      <c r="BN70" s="734"/>
      <c r="BO70" s="734"/>
      <c r="BP70" s="734"/>
      <c r="BQ70" s="734"/>
      <c r="BR70" s="734"/>
      <c r="BS70" s="734"/>
      <c r="BT70" s="734"/>
      <c r="BU70" s="734"/>
      <c r="BV70" s="734"/>
      <c r="BW70" s="734"/>
      <c r="BX70" s="734"/>
      <c r="BY70" s="734"/>
      <c r="BZ70" s="734"/>
      <c r="CA70" s="734"/>
      <c r="CB70" s="734"/>
      <c r="CC70" s="734"/>
      <c r="CD70" s="734"/>
      <c r="CE70" s="734"/>
      <c r="CF70" s="734"/>
      <c r="CG70" s="734"/>
      <c r="CH70" s="734"/>
      <c r="CI70" s="734"/>
      <c r="CJ70" s="734"/>
      <c r="CK70" s="734"/>
      <c r="CL70" s="734"/>
      <c r="CM70" s="734"/>
      <c r="CN70" s="734"/>
      <c r="CO70" s="734"/>
      <c r="CP70" s="734"/>
      <c r="CQ70" s="734"/>
      <c r="CR70" s="734"/>
      <c r="CS70" s="734"/>
    </row>
    <row r="71" spans="1:97" s="2" customFormat="1" ht="13.8">
      <c r="A71" s="104"/>
      <c r="B71" s="837"/>
      <c r="C71" s="837"/>
      <c r="D71" s="837"/>
      <c r="E71" s="837"/>
      <c r="F71" s="105"/>
      <c r="G71" s="105"/>
      <c r="W71" s="105"/>
      <c r="X71" s="105"/>
      <c r="Y71" s="105"/>
      <c r="Z71" s="105"/>
      <c r="AA71" s="105"/>
      <c r="AB71" s="105"/>
      <c r="AC71" s="105"/>
      <c r="AD71" s="105"/>
      <c r="AE71" s="105"/>
      <c r="AF71" s="105"/>
      <c r="AG71" s="105"/>
      <c r="AH71" s="105"/>
      <c r="AI71" s="105"/>
      <c r="AJ71" s="105"/>
      <c r="AK71" s="105"/>
      <c r="AL71" s="10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c r="BI71" s="105"/>
      <c r="BJ71" s="105"/>
      <c r="BK71" s="105"/>
      <c r="BL71" s="105"/>
      <c r="BM71" s="105"/>
      <c r="BN71" s="105"/>
      <c r="BO71" s="105"/>
      <c r="BP71" s="105"/>
      <c r="BQ71" s="105"/>
      <c r="BR71" s="105"/>
      <c r="BS71" s="105"/>
      <c r="BT71" s="105"/>
      <c r="BU71" s="105"/>
      <c r="BV71" s="105"/>
      <c r="BW71" s="105"/>
      <c r="BX71" s="105"/>
      <c r="BY71" s="105"/>
      <c r="BZ71" s="105"/>
      <c r="CA71" s="105"/>
      <c r="CB71" s="105"/>
      <c r="CC71" s="105"/>
      <c r="CD71" s="105"/>
      <c r="CE71" s="105"/>
      <c r="CF71" s="105"/>
      <c r="CG71" s="105"/>
      <c r="CH71" s="105"/>
      <c r="CI71" s="105"/>
      <c r="CJ71" s="105"/>
      <c r="CK71" s="105"/>
      <c r="CL71" s="105"/>
      <c r="CM71" s="105"/>
      <c r="CN71" s="105"/>
      <c r="CO71" s="105"/>
      <c r="CP71" s="105"/>
      <c r="CQ71" s="105"/>
      <c r="CR71" s="105"/>
      <c r="CS71" s="105"/>
    </row>
    <row r="72" spans="1:97" s="2" customFormat="1" ht="13.8">
      <c r="A72" s="105" t="str">
        <f>"In "&amp;$B$4&amp;", BWID Group received total of US"&amp;TEXT($E$79,"$#,##0.00")&amp;"mn, in which, rental income is US"&amp;TEXT($E$80,"$#,##0.00")&amp;"mn. "</f>
        <v xml:space="preserve">In W1-2Jan26, BWID Group received total of US$12,67167mn, in which, rental income is US$12,48612mn. </v>
      </c>
      <c r="B72" s="104"/>
      <c r="C72" s="105"/>
      <c r="D72" s="105"/>
      <c r="E72" s="105"/>
      <c r="F72" s="105"/>
      <c r="G72" s="105"/>
      <c r="W72" s="105"/>
      <c r="X72" s="105"/>
      <c r="Y72" s="105"/>
      <c r="Z72" s="105"/>
      <c r="AA72" s="105"/>
      <c r="AB72" s="105"/>
      <c r="AC72" s="105"/>
      <c r="AD72" s="105"/>
      <c r="AE72" s="105"/>
      <c r="AF72" s="105"/>
      <c r="AG72" s="105"/>
      <c r="AH72" s="105"/>
      <c r="AI72" s="105"/>
      <c r="AJ72" s="105"/>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c r="BI72" s="105"/>
      <c r="BJ72" s="105"/>
      <c r="BK72" s="105"/>
      <c r="BL72" s="105"/>
      <c r="BM72" s="105"/>
      <c r="BN72" s="105"/>
      <c r="BO72" s="105"/>
      <c r="BP72" s="105"/>
      <c r="BQ72" s="105"/>
      <c r="BR72" s="105"/>
      <c r="BS72" s="105"/>
      <c r="BT72" s="105"/>
      <c r="BU72" s="105"/>
      <c r="BV72" s="105"/>
      <c r="BW72" s="105"/>
      <c r="BX72" s="105"/>
      <c r="BY72" s="105"/>
      <c r="BZ72" s="105"/>
      <c r="CA72" s="105"/>
      <c r="CB72" s="105"/>
      <c r="CC72" s="105"/>
      <c r="CD72" s="105"/>
      <c r="CE72" s="105"/>
      <c r="CF72" s="105"/>
      <c r="CG72" s="105"/>
      <c r="CH72" s="105"/>
      <c r="CI72" s="105"/>
      <c r="CJ72" s="105"/>
      <c r="CK72" s="105"/>
      <c r="CL72" s="105"/>
      <c r="CM72" s="105"/>
      <c r="CN72" s="105"/>
      <c r="CO72" s="105"/>
      <c r="CP72" s="105"/>
      <c r="CQ72" s="105"/>
      <c r="CR72" s="105"/>
      <c r="CS72" s="105"/>
    </row>
    <row r="73" spans="1:97" s="2" customFormat="1" ht="13.8">
      <c r="A73" s="105" t="str">
        <f>"Total cash payment is US"&amp;TEXT(-E95,"$#,##0.00")&amp;"mn, in which, payment for deal is US"&amp;TEXT(-E97,"$#,##0.00")&amp;"mn,  payment for operating expense is US"&amp;TEXT(-E99,"$#,##0.00")&amp;"mn, payment for Land acquisition and Construction is US"&amp;TEXT(-E96-E98,"$#,##0.00")&amp;"mn, and loan's principle and interest payment is "&amp;TEXT(-E100-E101,"$#,##0.00")&amp;"mn."</f>
        <v>Total cash payment is US$7,96918mn, in which, payment for deal is US$,000mn,  payment for operating expense is US$3,08299mn, payment for Land acquisition and Construction is US$4,81359mn, and loan's principle and interest payment is $,07261mn.</v>
      </c>
      <c r="B73" s="104"/>
      <c r="C73" s="105"/>
      <c r="D73" s="105"/>
      <c r="E73" s="105"/>
      <c r="F73" s="357"/>
      <c r="G73" s="105"/>
      <c r="W73" s="105"/>
      <c r="X73" s="105"/>
      <c r="Y73" s="105"/>
      <c r="Z73" s="105"/>
      <c r="AA73" s="105"/>
      <c r="AB73" s="105"/>
      <c r="AC73" s="105"/>
      <c r="AD73" s="105"/>
      <c r="AE73" s="105"/>
      <c r="AF73" s="105"/>
      <c r="AG73" s="105"/>
      <c r="AH73" s="105"/>
      <c r="AI73" s="105"/>
      <c r="AJ73" s="105"/>
      <c r="AK73" s="105"/>
      <c r="AL73" s="10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c r="BI73" s="105"/>
      <c r="BJ73" s="105"/>
      <c r="BK73" s="105"/>
      <c r="BL73" s="105"/>
      <c r="BM73" s="105"/>
      <c r="BN73" s="105"/>
      <c r="BO73" s="105"/>
      <c r="BP73" s="105"/>
      <c r="BQ73" s="105"/>
      <c r="BR73" s="105"/>
      <c r="BS73" s="105"/>
      <c r="BT73" s="105"/>
      <c r="BU73" s="105"/>
      <c r="BV73" s="105"/>
      <c r="BW73" s="105"/>
      <c r="BX73" s="105"/>
      <c r="BY73" s="105"/>
      <c r="BZ73" s="105"/>
      <c r="CA73" s="105"/>
      <c r="CB73" s="105"/>
      <c r="CC73" s="105"/>
      <c r="CD73" s="105"/>
      <c r="CE73" s="105"/>
      <c r="CF73" s="105"/>
      <c r="CG73" s="105"/>
      <c r="CH73" s="105"/>
      <c r="CI73" s="105"/>
      <c r="CJ73" s="105"/>
      <c r="CK73" s="105"/>
      <c r="CL73" s="105"/>
      <c r="CM73" s="105"/>
      <c r="CN73" s="105"/>
      <c r="CO73" s="105"/>
      <c r="CP73" s="105"/>
      <c r="CQ73" s="105"/>
      <c r="CR73" s="105"/>
      <c r="CS73" s="105"/>
    </row>
    <row r="74" spans="1:97" ht="15" thickBot="1">
      <c r="B74" s="646"/>
      <c r="C74" s="646"/>
      <c r="D74" s="646"/>
      <c r="E74" s="646"/>
      <c r="F74" s="457"/>
      <c r="I74" s="2"/>
    </row>
    <row r="75" spans="1:97" ht="14.4">
      <c r="A75" s="70"/>
      <c r="B75" s="71" t="s">
        <v>8</v>
      </c>
      <c r="C75" s="71" t="s">
        <v>67</v>
      </c>
      <c r="D75" s="71" t="s">
        <v>10</v>
      </c>
      <c r="E75" s="71" t="s">
        <v>36</v>
      </c>
      <c r="J75" s="30"/>
    </row>
    <row r="76" spans="1:97" ht="14.4">
      <c r="A76" s="454"/>
      <c r="B76" s="425" t="s">
        <v>205</v>
      </c>
      <c r="C76" s="425" t="s">
        <v>205</v>
      </c>
      <c r="D76" s="425" t="s">
        <v>205</v>
      </c>
      <c r="E76" s="425" t="s">
        <v>205</v>
      </c>
      <c r="J76" s="30"/>
    </row>
    <row r="77" spans="1:97" ht="14.4">
      <c r="A77" s="318" t="s">
        <v>139</v>
      </c>
      <c r="B77" s="320">
        <f>SUMIFS('Cash Balance'!$H$4:$H$920,'Cash Balance'!$W$4:$W$920,B$75,'Cash Balance'!$E$4:$E$920,"VND")/1000000/Fx_rate+SUMIFS('Cash Balance'!$Q$4:$Q$920,'Cash Balance'!$W$4:$W$920,B$75,'Cash Balance'!$E$4:$E$920,"USD")/1000000</f>
        <v>1.5379005606590257</v>
      </c>
      <c r="C77" s="320">
        <f>SUMIFS('Cash Balance'!$H$4:$H$920,'Cash Balance'!$W$4:$W$920,C$75,'Cash Balance'!$E$4:$E$920,"VND")/1000000/Fx_rate+SUMIFS('Cash Balance'!$Q$4:$Q$920,'Cash Balance'!$W$4:$W$920,C$75,'Cash Balance'!$E$4:$E$920,"USD")/1000000</f>
        <v>53.111908676466093</v>
      </c>
      <c r="D77" s="320">
        <f>SUMIFS('Cash Balance'!$H$4:$H$920,'Cash Balance'!$W$4:$W$920,D$75,'Cash Balance'!$E$4:$E$920,"VND")/1000000/Fx_rate+SUMIFS('Cash Balance'!$Q$4:$Q$920,'Cash Balance'!$W$4:$W$920,D$75,'Cash Balance'!$E$4:$E$920,"USD")/1000000</f>
        <v>79.871239512024829</v>
      </c>
      <c r="E77" s="321">
        <f t="shared" ref="E77:E85" si="10">SUM(B77:D77)</f>
        <v>134.52104874914994</v>
      </c>
    </row>
    <row r="78" spans="1:97" ht="14.4">
      <c r="A78" s="713" t="s">
        <v>206</v>
      </c>
      <c r="B78" s="714">
        <f>SUBTOTAL(9,B79:B93)</f>
        <v>2.3013678372492836</v>
      </c>
      <c r="C78" s="714">
        <f>SUBTOTAL(9,C79:C93)</f>
        <v>52.043071305176696</v>
      </c>
      <c r="D78" s="714">
        <f>SUBTOTAL(9,D79:D93)</f>
        <v>18.406772603371536</v>
      </c>
      <c r="E78" s="715">
        <f>SUM(B78:D78)</f>
        <v>72.751211745797519</v>
      </c>
    </row>
    <row r="79" spans="1:97" ht="14.4">
      <c r="A79" s="319" t="s">
        <v>207</v>
      </c>
      <c r="B79" s="716">
        <f>SUBTOTAL(9,B80:B88)</f>
        <v>9.1042269340974209E-3</v>
      </c>
      <c r="C79" s="716">
        <f>SUBTOTAL(9,C80:C88)</f>
        <v>0.24872250376313276</v>
      </c>
      <c r="D79" s="716">
        <f>SUBTOTAL(9,D80:D88)</f>
        <v>12.413848039283668</v>
      </c>
      <c r="E79" s="716">
        <f t="shared" si="10"/>
        <v>12.671674769980898</v>
      </c>
    </row>
    <row r="80" spans="1:97" ht="14.4">
      <c r="A80" s="314" t="s">
        <v>39</v>
      </c>
      <c r="B80" s="312">
        <f>SUMIFS(Movement!$F$4:$F$2137,Movement!$K$4:$K$2137,Summary!B$75,Movement!$L$4:$L$2137,Summary!$A80,Movement!$M$4:$M$2137,"VND")/1000000/Fx_rate+SUMIFS(Movement!$F$4:$F$2137,Movement!$K$4:$K$2137,Summary!B$75,Movement!$L$4:$L$2137,Summary!$A80,Movement!$M$4:$M$2137,"USD")/1000000</f>
        <v>0</v>
      </c>
      <c r="C80" s="312">
        <f>SUMIFS(Movement!$F$4:$F$2137,Movement!$K$4:$K$2137,Summary!C$75,Movement!$L$4:$L$2137,Summary!$A80,Movement!$M$4:$M$2137,"VND")/1000000/Fx_rate+SUMIFS(Movement!$F$4:$F$2137,Movement!$K$4:$K$2137,Summary!C$75,Movement!$L$4:$L$2137,Summary!$A80,Movement!$M$4:$M$2137,"USD")/1000000</f>
        <v>0.23338631816618913</v>
      </c>
      <c r="D80" s="1386">
        <f>SUMIFS(Movement!$F$4:$F$2137,Movement!$K$4:$K$2137,Summary!D$75,Movement!$L$4:$L$2137,Summary!$A80,Movement!$M$4:$M$2137,"VND")/1000000/Fx_rate+SUMIFS(Movement!$F$4:$F$2137,Movement!$K$4:$K$2137,Summary!D$75,Movement!$L$4:$L$2137,Summary!$A80,Movement!$M$4:$M$2137,"USD")/1000000</f>
        <v>12.252735965463229</v>
      </c>
      <c r="E80" s="313">
        <f t="shared" si="10"/>
        <v>12.486122283629419</v>
      </c>
    </row>
    <row r="81" spans="1:5" ht="14.4">
      <c r="A81" s="314" t="s">
        <v>40</v>
      </c>
      <c r="B81" s="312">
        <f>SUMIFS(Movement!$F$4:$F$2137,Movement!$K$4:$K$2137,Summary!B$75,Movement!$L$4:$L$2137,Summary!$A81,Movement!$M$4:$M$2137,"VND")/1000000/Fx_rate+SUMIFS(Movement!$F$4:$F$2137,Movement!$K$4:$K$2137,Summary!B$75,Movement!$L$4:$L$2137,Summary!$A81,Movement!$M$4:$M$2137,"USD")/1000000</f>
        <v>0</v>
      </c>
      <c r="C81" s="312">
        <f>SUMIFS(Movement!$F$4:$F$2137,Movement!$K$4:$K$2137,Summary!C$75,Movement!$L$4:$L$2137,Summary!$A81,Movement!$M$4:$M$2137,"VND")/1000000/Fx_rate+SUMIFS(Movement!$F$4:$F$2137,Movement!$K$4:$K$2137,Summary!C$75,Movement!$L$4:$L$2137,Summary!$A81,Movement!$M$4:$M$2137,"USD")/1000000</f>
        <v>0</v>
      </c>
      <c r="D81" s="312">
        <f>SUMIFS(Movement!$F$4:$F$2137,Movement!$K$4:$K$2137,Summary!D$75,Movement!$L$4:$L$2137,Summary!$A81,Movement!$M$4:$M$2137,"VND")/1000000/Fx_rate+SUMIFS(Movement!$F$4:$F$2137,Movement!$K$4:$K$2137,Summary!D$75,Movement!$L$4:$L$2137,Summary!$A81,Movement!$M$4:$M$2137,"USD")/1000000</f>
        <v>0</v>
      </c>
      <c r="E81" s="313">
        <f t="shared" si="10"/>
        <v>0</v>
      </c>
    </row>
    <row r="82" spans="1:5" ht="14.4">
      <c r="A82" s="314" t="s">
        <v>42</v>
      </c>
      <c r="B82" s="312">
        <f>SUMIFS(Movement!$F$4:$F$2137,Movement!$K$4:$K$2137,Summary!B$75,Movement!$L$4:$L$2137,Summary!$A82,Movement!$M$4:$M$2137,"VND")/1000000/Fx_rate+SUMIFS(Movement!$F$4:$F$2137,Movement!$K$4:$K$2137,Summary!B$75,Movement!$L$4:$L$2137,Summary!$A82,Movement!$M$4:$M$2137,"USD")/1000000</f>
        <v>0</v>
      </c>
      <c r="C82" s="312">
        <f>SUMIFS(Movement!$F$4:$F$2137,Movement!$K$4:$K$2137,Summary!C$75,Movement!$L$4:$L$2137,Summary!$A82,Movement!$M$4:$M$2137,"VND")/1000000/Fx_rate+SUMIFS(Movement!$F$4:$F$2137,Movement!$K$4:$K$2137,Summary!C$75,Movement!$L$4:$L$2137,Summary!$A82,Movement!$M$4:$M$2137,"USD")/1000000</f>
        <v>0</v>
      </c>
      <c r="D82" s="312">
        <f>SUMIFS(Movement!$F$4:$F$2137,Movement!$K$4:$K$2137,Summary!D$75,Movement!$L$4:$L$2137,Summary!$A82,Movement!$M$4:$M$2137,"VND")/1000000/Fx_rate+SUMIFS(Movement!$F$4:$F$2137,Movement!$K$4:$K$2137,Summary!D$75,Movement!$L$4:$L$2137,Summary!$A82,Movement!$M$4:$M$2137,"USD")/1000000</f>
        <v>0</v>
      </c>
      <c r="E82" s="313">
        <f>SUM(B82:D82)</f>
        <v>0</v>
      </c>
    </row>
    <row r="83" spans="1:5" ht="14.4">
      <c r="A83" s="314" t="s">
        <v>18</v>
      </c>
      <c r="B83" s="312">
        <f>SUMIFS(Movement!$F$4:$F$2137,Movement!$K$4:$K$2137,Summary!B$75,Movement!$L$4:$L$2137,Summary!$A83,Movement!$M$4:$M$2137,"VND")/1000000/Fx_rate+SUMIFS(Movement!$F$4:$F$2137,Movement!$K$4:$K$2137,Summary!B$75,Movement!$L$4:$L$2137,Summary!$A83,Movement!$M$4:$M$2137,"USD")/1000000</f>
        <v>0</v>
      </c>
      <c r="C83" s="312">
        <f>SUMIFS(Movement!$F$4:$F$2137,Movement!$K$4:$K$2137,Summary!C$75,Movement!$L$4:$L$2137,Summary!$A83,Movement!$M$4:$M$2137,"VND")/1000000/Fx_rate+SUMIFS(Movement!$F$4:$F$2137,Movement!$K$4:$K$2137,Summary!C$75,Movement!$L$4:$L$2137,Summary!$A83,Movement!$M$4:$M$2137,"USD")/1000000</f>
        <v>0</v>
      </c>
      <c r="D83" s="312">
        <f>SUMIFS(Movement!$F$4:$F$2137,Movement!$K$4:$K$2137,Summary!D$75,Movement!$L$4:$L$2137,Summary!$A83,Movement!$M$4:$M$2137,"VND")/1000000/Fx_rate+SUMIFS(Movement!$F$4:$F$2137,Movement!$K$4:$K$2137,Summary!D$75,Movement!$L$4:$L$2137,Summary!$A83,Movement!$M$4:$M$2137,"USD")/1000000</f>
        <v>0</v>
      </c>
      <c r="E83" s="313">
        <f>SUM(B83:D83)</f>
        <v>0</v>
      </c>
    </row>
    <row r="84" spans="1:5" ht="14.4">
      <c r="A84" s="314" t="s">
        <v>43</v>
      </c>
      <c r="B84" s="312">
        <f>SUMIFS(Movement!$F$4:$F$2137,Movement!$K$4:$K$2137,Summary!B$75,Movement!$L$4:$L$2137,Summary!$A84,Movement!$M$4:$M$2137,"VND")/1000000/Fx_rate+SUMIFS(Movement!$F$4:$F$2137,Movement!$K$4:$K$2137,Summary!B$75,Movement!$L$4:$L$2137,Summary!$A84,Movement!$M$4:$M$2137,"USD")/1000000</f>
        <v>0</v>
      </c>
      <c r="C84" s="312">
        <f>SUMIFS(Movement!$F$4:$F$2137,Movement!$K$4:$K$2137,Summary!C$75,Movement!$L$4:$L$2137,Summary!$A84,Movement!$M$4:$M$2137,"VND")/1000000/Fx_rate+SUMIFS(Movement!$F$4:$F$2137,Movement!$K$4:$K$2137,Summary!C$75,Movement!$L$4:$L$2137,Summary!$A84,Movement!$M$4:$M$2137,"USD")/1000000</f>
        <v>0</v>
      </c>
      <c r="D84" s="312">
        <f>SUMIFS(Movement!$F$4:$F$2137,Movement!$K$4:$K$2137,Summary!D$75,Movement!$L$4:$L$2137,Summary!$A84,Movement!$M$4:$M$2137,"VND")/1000000/Fx_rate+SUMIFS(Movement!$F$4:$F$2137,Movement!$K$4:$K$2137,Summary!D$75,Movement!$L$4:$L$2137,Summary!$A84,Movement!$M$4:$M$2137,"USD")/1000000</f>
        <v>0</v>
      </c>
      <c r="E84" s="313">
        <f t="shared" si="10"/>
        <v>0</v>
      </c>
    </row>
    <row r="85" spans="1:5" ht="14.4">
      <c r="A85" s="314" t="s">
        <v>50</v>
      </c>
      <c r="B85" s="312">
        <f>SUMIFS(Movement!$F$4:$F$2137,Movement!$K$4:$K$2137,Summary!B$75,Movement!$L$4:$L$2137,Summary!$A85,Movement!$M$4:$M$2137,"VND")/1000000/Fx_rate+SUMIFS(Movement!$F$4:$F$2137,Movement!$K$4:$K$2137,Summary!B$75,Movement!$L$4:$L$2137,Summary!$A85,Movement!$M$4:$M$2137,"USD")/1000000</f>
        <v>0</v>
      </c>
      <c r="C85" s="312">
        <f>SUMIFS(Movement!$F$4:$F$2137,Movement!$K$4:$K$2137,Summary!C$75,Movement!$L$4:$L$2137,Summary!$A85,Movement!$M$4:$M$2137,"VND")/1000000/Fx_rate+SUMIFS(Movement!$F$4:$F$2137,Movement!$K$4:$K$2137,Summary!C$75,Movement!$L$4:$L$2137,Summary!$A85,Movement!$M$4:$M$2137,"USD")/1000000</f>
        <v>0</v>
      </c>
      <c r="D85" s="312">
        <f>SUMIFS(Movement!$F$4:$F$2137,Movement!$K$4:$K$2137,Summary!D$75,Movement!$L$4:$L$2137,Summary!$A85,Movement!$M$4:$M$2137,"VND")/1000000/Fx_rate+SUMIFS(Movement!$F$4:$F$2137,Movement!$K$4:$K$2137,Summary!D$75,Movement!$L$4:$L$2137,Summary!$A85,Movement!$M$4:$M$2137,"USD")/1000000</f>
        <v>0</v>
      </c>
      <c r="E85" s="313">
        <f t="shared" si="10"/>
        <v>0</v>
      </c>
    </row>
    <row r="86" spans="1:5" ht="14.4">
      <c r="A86" s="314" t="s">
        <v>49</v>
      </c>
      <c r="B86" s="312">
        <f>SUMIFS(Movement!$F$4:$F$2137,Movement!$K$4:$K$2137,Summary!B$75,Movement!$L$4:$L$2137,Summary!$A86,Movement!$M$4:$M$2137,"VND")/1000000/Fx_rate+SUMIFS(Movement!$F$4:$F$2137,Movement!$K$4:$K$2137,Summary!B$75,Movement!$L$4:$L$2137,Summary!$A86,Movement!$M$4:$M$2137,"USD")/1000000</f>
        <v>0</v>
      </c>
      <c r="C86" s="312">
        <f>SUMIFS(Movement!$F$4:$F$2137,Movement!$K$4:$K$2137,Summary!C$75,Movement!$L$4:$L$2137,Summary!$A86,Movement!$M$4:$M$2137,"VND")/1000000/Fx_rate+SUMIFS(Movement!$F$4:$F$2137,Movement!$K$4:$K$2137,Summary!C$75,Movement!$L$4:$L$2137,Summary!$A86,Movement!$M$4:$M$2137,"USD")/1000000</f>
        <v>0</v>
      </c>
      <c r="D86" s="312">
        <f>SUMIFS(Movement!$F$4:$F$2137,Movement!$K$4:$K$2137,Summary!D$75,Movement!$L$4:$L$2137,Summary!$A86,Movement!$M$4:$M$2137,"VND")/1000000/Fx_rate+SUMIFS(Movement!$F$4:$F$2137,Movement!$K$4:$K$2137,Summary!D$75,Movement!$L$4:$L$2137,Summary!$A86,Movement!$M$4:$M$2137,"USD")/1000000</f>
        <v>0</v>
      </c>
      <c r="E86" s="313">
        <f t="shared" ref="E86:E94" si="11">SUM(B86:D86)</f>
        <v>0</v>
      </c>
    </row>
    <row r="87" spans="1:5" ht="14.4">
      <c r="A87" s="314" t="s">
        <v>47</v>
      </c>
      <c r="B87" s="312">
        <f>SUMIFS(Movement!$F$4:$F$2137,Movement!$K$4:$K$2137,Summary!B$75,Movement!$L$4:$L$2137,Summary!$A87,Movement!$M$4:$M$2137,"VND")/1000000/Fx_rate+SUMIFS(Movement!$F$4:$F$2137,Movement!$K$4:$K$2137,Summary!B$75,Movement!$L$4:$L$2137,Summary!$A87,Movement!$M$4:$M$2137,"USD")/1000000</f>
        <v>0</v>
      </c>
      <c r="C87" s="312">
        <f>SUMIFS(Movement!$F$4:$F$2137,Movement!$K$4:$K$2137,Summary!C$75,Movement!$L$4:$L$2137,Summary!$A87,Movement!$M$4:$M$2137,"VND")/1000000/Fx_rate+SUMIFS(Movement!$F$4:$F$2137,Movement!$K$4:$K$2137,Summary!C$75,Movement!$L$4:$L$2137,Summary!$A87,Movement!$M$4:$M$2137,"USD")/1000000</f>
        <v>0</v>
      </c>
      <c r="D87" s="312">
        <f>SUMIFS(Movement!$F$4:$F$2137,Movement!$K$4:$K$2137,Summary!D$75,Movement!$L$4:$L$2137,Summary!$A87,Movement!$M$4:$M$2137,"VND")/1000000/Fx_rate+SUMIFS(Movement!$F$4:$F$2137,Movement!$K$4:$K$2137,Summary!D$75,Movement!$L$4:$L$2137,Summary!$A87,Movement!$M$4:$M$2137,"USD")/1000000</f>
        <v>0</v>
      </c>
      <c r="E87" s="313">
        <f t="shared" si="11"/>
        <v>0</v>
      </c>
    </row>
    <row r="88" spans="1:5" ht="14.4">
      <c r="A88" s="314" t="s">
        <v>44</v>
      </c>
      <c r="B88" s="312">
        <f>SUMIFS(Movement!$F$4:$F$2137,Movement!$K$4:$K$2137,Summary!B$75,Movement!$L$4:$L$2137,Summary!$A88,Movement!$M$4:$M$2137,"VND")/1000000/Fx_rate+SUMIFS(Movement!$F$4:$F$2137,Movement!$K$4:$K$2137,Summary!B$75,Movement!$L$4:$L$2137,Summary!$A88,Movement!$M$4:$M$2137,"USD")/1000000</f>
        <v>9.1042269340974209E-3</v>
      </c>
      <c r="C88" s="312">
        <f>SUMIFS(Movement!$F$4:$F$2137,Movement!$K$4:$K$2137,Summary!C$75,Movement!$L$4:$L$2137,Summary!$A88,Movement!$M$4:$M$2137,"VND")/1000000/Fx_rate+SUMIFS(Movement!$F$4:$F$2137,Movement!$K$4:$K$2137,Summary!C$75,Movement!$L$4:$L$2137,Summary!$A88,Movement!$M$4:$M$2137,"USD")/1000000</f>
        <v>1.5336185596943649E-2</v>
      </c>
      <c r="D88" s="312">
        <f>SUMIFS(Movement!$F$4:$F$2137,Movement!$K$4:$K$2137,Summary!D$75,Movement!$L$4:$L$2137,Summary!$A88,Movement!$M$4:$M$2137,"VND")/1000000/Fx_rate+SUMIFS(Movement!$F$4:$F$2137,Movement!$K$4:$K$2137,Summary!D$75,Movement!$L$4:$L$2137,Summary!$A88,Movement!$M$4:$M$2137,"USD")/1000000</f>
        <v>0.16111207382043935</v>
      </c>
      <c r="E88" s="313">
        <f t="shared" si="11"/>
        <v>0.18555248635148042</v>
      </c>
    </row>
    <row r="89" spans="1:5" ht="14.4">
      <c r="A89" s="319" t="s">
        <v>208</v>
      </c>
      <c r="B89" s="716">
        <f>SUBTOTAL(9,B90:B93)</f>
        <v>2.2922636103151861</v>
      </c>
      <c r="C89" s="716">
        <f>SUBTOTAL(9,C90:C93)</f>
        <v>51.794348801413562</v>
      </c>
      <c r="D89" s="716">
        <f>SUBTOTAL(9,D90:D93)</f>
        <v>5.9929245640878701</v>
      </c>
      <c r="E89" s="716">
        <f>SUM(B89:D89)</f>
        <v>60.079536975816623</v>
      </c>
    </row>
    <row r="90" spans="1:5" ht="14.4" outlineLevel="1">
      <c r="A90" s="314" t="s">
        <v>41</v>
      </c>
      <c r="B90" s="312">
        <f>SUMIFS(Movement!$F$4:$F$2235,Movement!$K$4:$K$2235,Summary!B$75,Movement!$L$4:$L$2235,Summary!$A90,Movement!$M$4:$M$2235,"VND")/1000000/Fx_rate+SUMIFS(Movement!$F$4:$F$2235,Movement!$K$4:$K$2235,Summary!B$75,Movement!$L$4:$L$2235,Summary!$A90,Movement!$M$4:$M$2235,"USD")/1000000</f>
        <v>2.2922636103151861</v>
      </c>
      <c r="C90" s="312">
        <f>SUMIFS(Movement!$F$4:$F$2137,Movement!$K$4:$K$2137,Summary!C$75,Movement!$L$4:$L$2137,Summary!$A90,Movement!$M$4:$M$2137,"VND")/1000000/Fx_rate+SUMIFS(Movement!$F$4:$F$2137,Movement!$K$4:$K$2137,Summary!C$75,Movement!$L$4:$L$2137,Summary!$A90,Movement!$M$4:$M$2137,"USD")/1000000</f>
        <v>51.794348801413562</v>
      </c>
      <c r="D90" s="312">
        <f>SUMIFS(Movement!$F$4:$F$2137,Movement!$K$4:$K$2137,Summary!D$75,Movement!$L$4:$L$2137,Summary!$A90,Movement!$M$4:$M$2137,"VND")/1000000/Fx_rate+SUMIFS(Movement!$F$4:$F$2137,Movement!$K$4:$K$2137,Summary!D$75,Movement!$L$4:$L$2137,Summary!$A90,Movement!$M$4:$M$2137,"USD")/1000000</f>
        <v>5.9929245640878701</v>
      </c>
      <c r="E90" s="313">
        <f>SUM(B90:D90)</f>
        <v>60.079536975816623</v>
      </c>
    </row>
    <row r="91" spans="1:5" ht="13.5" customHeight="1" outlineLevel="1">
      <c r="A91" s="314" t="s">
        <v>45</v>
      </c>
      <c r="B91" s="312">
        <f>SUMIFS(Movement!$F$4:$F$1230,Movement!$K$4:$K$1230,Summary!B$75,Movement!$L$4:$L$1230,Summary!$A91,Movement!$M$4:$M$1230,"VND")/1000000/Fx_rate+SUMIFS(Movement!$F$4:$F$1230,Movement!$K$4:$K$1230,Summary!B$75,Movement!$L$4:$L$1230,Summary!$A91,Movement!$M$4:$M$1230,"USD")/1000000</f>
        <v>0</v>
      </c>
      <c r="C91" s="312">
        <f>SUMIFS(Movement!$F$4:$F$2137,Movement!$K$4:$K$2137,Summary!C$75,Movement!$L$4:$L$2137,Summary!$A91,Movement!$M$4:$M$2137,"VND")/1000000/Fx_rate+SUMIFS(Movement!$F$4:$F$2137,Movement!$K$4:$K$2137,Summary!C$75,Movement!$L$4:$L$2137,Summary!$A91,Movement!$M$4:$M$2137,"USD")/1000000</f>
        <v>0</v>
      </c>
      <c r="D91" s="312">
        <f>SUMIFS(Movement!$F$4:$F$2137,Movement!$K$4:$K$2137,Summary!D$75,Movement!$L$4:$L$2137,Summary!$A91,Movement!$M$4:$M$2137,"VND")/1000000/Fx_rate+SUMIFS(Movement!$F$4:$F$2137,Movement!$K$4:$K$2137,Summary!D$75,Movement!$L$4:$L$2137,Summary!$A91,Movement!$M$4:$M$2137,"USD")/1000000</f>
        <v>0</v>
      </c>
      <c r="E91" s="313">
        <f>SUM(B91:D91)</f>
        <v>0</v>
      </c>
    </row>
    <row r="92" spans="1:5" ht="13.5" customHeight="1" outlineLevel="1">
      <c r="A92" s="314" t="s">
        <v>46</v>
      </c>
      <c r="B92" s="312">
        <f>SUMIFS(Movement!$F$4:$F$1230,Movement!$K$4:$K$1230,Summary!B$75,Movement!$L$4:$L$1230,Summary!$A92,Movement!$M$4:$M$1230,"VND")/1000000/Fx_rate+SUMIFS(Movement!$F$4:$F$1230,Movement!$K$4:$K$1230,Summary!B$75,Movement!$L$4:$L$1230,Summary!$A92,Movement!$M$4:$M$1230,"USD")/1000000</f>
        <v>0</v>
      </c>
      <c r="C92" s="312">
        <f>SUMIFS(Movement!$F$4:$F$2137,Movement!$K$4:$K$2137,Summary!C$75,Movement!$L$4:$L$2137,Summary!$A92,Movement!$M$4:$M$2137,"VND")/1000000/Fx_rate+SUMIFS(Movement!$F$4:$F$2137,Movement!$K$4:$K$2137,Summary!C$75,Movement!$L$4:$L$2137,Summary!$A92,Movement!$M$4:$M$2137,"USD")/1000000</f>
        <v>0</v>
      </c>
      <c r="D92" s="312">
        <f>SUMIFS(Movement!$F$4:$F$2137,Movement!$K$4:$K$2137,Summary!D$75,Movement!$L$4:$L$2137,Summary!$A92,Movement!$M$4:$M$2137,"VND")/1000000/Fx_rate+SUMIFS(Movement!$F$4:$F$2137,Movement!$K$4:$K$2137,Summary!D$75,Movement!$L$4:$L$2137,Summary!$A92,Movement!$M$4:$M$2137,"USD")/1000000</f>
        <v>0</v>
      </c>
      <c r="E92" s="313">
        <f>SUM(B92:D92)</f>
        <v>0</v>
      </c>
    </row>
    <row r="93" spans="1:5" ht="14.4" outlineLevel="1">
      <c r="A93" s="314" t="s">
        <v>48</v>
      </c>
      <c r="B93" s="312">
        <f>SUMIFS(Movement!$F$4:$F$1230,Movement!$K$4:$K$1230,Summary!B$75,Movement!$L$4:$L$1230,Summary!$A93,Movement!$M$4:$M$1230,"VND")/1000000/Fx_rate+SUMIFS(Movement!$F$4:$F$1230,Movement!$K$4:$K$1230,Summary!B$75,Movement!$L$4:$L$1230,Summary!$A93,Movement!$M$4:$M$1230,"USD")/1000000</f>
        <v>0</v>
      </c>
      <c r="C93" s="312">
        <f>SUMIFS(Movement!$F$4:$F$2137,Movement!$K$4:$K$2137,Summary!C$75,Movement!$L$4:$L$2137,Summary!$A93,Movement!$M$4:$M$2137,"VND")/1000000/Fx_rate+SUMIFS(Movement!$F$4:$F$2137,Movement!$K$4:$K$2137,Summary!C$75,Movement!$L$4:$L$2137,Summary!$A93,Movement!$M$4:$M$2137,"USD")/1000000</f>
        <v>0</v>
      </c>
      <c r="D93" s="312">
        <f>SUMIFS(Movement!$F$4:$F$2137,Movement!$K$4:$K$2137,Summary!D$75,Movement!$L$4:$L$2137,Summary!$A93,Movement!$M$4:$M$2137,"VND")/1000000/Fx_rate+SUMIFS(Movement!$F$4:$F$2137,Movement!$K$4:$K$2137,Summary!D$75,Movement!$L$4:$L$2137,Summary!$A93,Movement!$M$4:$M$2137,"USD")/1000000</f>
        <v>0</v>
      </c>
      <c r="E93" s="313">
        <f>SUM(B93:D93)</f>
        <v>0</v>
      </c>
    </row>
    <row r="94" spans="1:5" ht="14.4">
      <c r="A94" s="719" t="s">
        <v>209</v>
      </c>
      <c r="B94" s="720">
        <f t="shared" ref="B94:C94" si="12">SUBTOTAL(9,B95:B106)</f>
        <v>-2.3351174225405922</v>
      </c>
      <c r="C94" s="720">
        <f t="shared" si="12"/>
        <v>-33.506280601833808</v>
      </c>
      <c r="D94" s="720">
        <f>SUBTOTAL(9,D95:D106)</f>
        <v>-9.2846846043553004</v>
      </c>
      <c r="E94" s="721">
        <f t="shared" si="11"/>
        <v>-45.126082628729698</v>
      </c>
    </row>
    <row r="95" spans="1:5" ht="14.4">
      <c r="A95" s="699" t="s">
        <v>210</v>
      </c>
      <c r="B95" s="717">
        <f>SUBTOTAL(9,B96:B101)</f>
        <v>-4.2853812225405921E-2</v>
      </c>
      <c r="C95" s="717">
        <f>SUBTOTAL(9,C96:C101)</f>
        <v>-0.14358121906399238</v>
      </c>
      <c r="D95" s="717">
        <f>SUBTOTAL(9,D96:D101)</f>
        <v>-7.7827467247755493</v>
      </c>
      <c r="E95" s="718">
        <f>SUBTOTAL(9,E96:E101)</f>
        <v>-7.9691817560649474</v>
      </c>
    </row>
    <row r="96" spans="1:5" ht="14.4">
      <c r="A96" s="317" t="s">
        <v>52</v>
      </c>
      <c r="B96" s="315">
        <f>-SUMIFS(Movement!$G$4:$G$2137,Movement!$K$4:$K$2137,Summary!B$75,Movement!$L$4:$L$2137,Summary!$A96,Movement!$M$4:$M$2137,"VND")/1000000/Fx_rate-SUMIFS(Movement!$G$4:$G$2137,Movement!$K$4:$K$2137,Summary!B$75,Movement!$L$4:$L$2137,Summary!$A96,Movement!$M$4:$M$2137,"USD")/1000000</f>
        <v>0</v>
      </c>
      <c r="C96" s="315">
        <f>-SUMIFS(Movement!$G$4:$G$2137,Movement!$K$4:$K$2137,Summary!C$75,Movement!$L$4:$L$2137,Summary!$A96,Movement!$M$4:$M$2137,"VND")/1000000/Fx_rate-SUMIFS(Movement!$G$4:$G$2137,Movement!$K$4:$K$2137,Summary!C$75,Movement!$L$4:$L$2137,Summary!$A96,Movement!$M$4:$M$2137,"USD")/1000000</f>
        <v>0</v>
      </c>
      <c r="D96" s="315">
        <f>-SUMIFS(Movement!$G$4:$G$2137,Movement!$K$4:$K$2137,Summary!D$75,Movement!$L$4:$L$2137,Summary!$A96,Movement!$M$4:$M$2137,"VND")/1000000/Fx_rate-SUMIFS(Movement!$G$4:$G$2137,Movement!$K$4:$K$2137,Summary!D$75,Movement!$L$4:$L$2137,Summary!$A96,Movement!$M$4:$M$2137,"USD")/1000000</f>
        <v>0</v>
      </c>
      <c r="E96" s="316">
        <f t="shared" ref="E96:E101" si="13">SUM(B96:D96)</f>
        <v>0</v>
      </c>
    </row>
    <row r="97" spans="1:9" ht="14.4">
      <c r="A97" s="317" t="s">
        <v>21</v>
      </c>
      <c r="B97" s="315">
        <f>-SUMIFS(Movement!$G$4:$G$2137,Movement!$K$4:$K$2137,Summary!B$75,Movement!$L$4:$L$2137,Summary!$A97,Movement!$M$4:$M$2137,"VND")/1000000/Fx_rate-SUMIFS(Movement!$G$4:$G$2137,Movement!$K$4:$K$2137,Summary!B$75,Movement!$L$4:$L$2137,Summary!$A97,Movement!$M$4:$M$2137,"USD")/1000000</f>
        <v>0</v>
      </c>
      <c r="C97" s="315">
        <f>-SUMIFS(Movement!$G$4:$G$2137,Movement!$K$4:$K$2137,Summary!C$75,Movement!$L$4:$L$2137,Summary!$A97,Movement!$M$4:$M$2137,"VND")/1000000/Fx_rate-SUMIFS(Movement!$G$4:$G$2137,Movement!$K$4:$K$2137,Summary!C$75,Movement!$L$4:$L$2137,Summary!$A97,Movement!$M$4:$M$2137,"USD")/1000000</f>
        <v>0</v>
      </c>
      <c r="D97" s="315">
        <f>-SUMIFS(Movement!$G$4:$G$2137,Movement!$K$4:$K$2137,Summary!D$75,Movement!$L$4:$L$2137,Summary!$A97,Movement!$M$4:$M$2137,"VND")/1000000/Fx_rate-SUMIFS(Movement!$G$4:$G$2137,Movement!$K$4:$K$2137,Summary!D$75,Movement!$L$4:$L$2137,Summary!$A97,Movement!$M$4:$M$2137,"USD")/1000000</f>
        <v>0</v>
      </c>
      <c r="E97" s="316">
        <f t="shared" si="13"/>
        <v>0</v>
      </c>
    </row>
    <row r="98" spans="1:9" ht="14.4">
      <c r="A98" s="317" t="s">
        <v>22</v>
      </c>
      <c r="B98" s="315">
        <f>-SUMIFS(Movement!$G$4:$G$2137,Movement!$K$4:$K$2137,Summary!B$75,Movement!$L$4:$L$2137,Summary!$A98,Movement!$M$4:$M$2137,"VND")/1000000/Fx_rate-SUMIFS(Movement!$G$4:$G$2137,Movement!$K$4:$K$2137,Summary!B$75,Movement!$L$4:$L$2137,Summary!$A98,Movement!$M$4:$M$2137,"USD")/1000000</f>
        <v>0</v>
      </c>
      <c r="C98" s="315">
        <f>-SUMIFS(Movement!$G$4:$G$2137,Movement!$K$4:$K$2137,Summary!C$75,Movement!$L$4:$L$2137,Summary!$A98,Movement!$M$4:$M$2137,"VND")/1000000/Fx_rate-SUMIFS(Movement!$G$4:$G$2137,Movement!$K$4:$K$2137,Summary!C$75,Movement!$L$4:$L$2137,Summary!$A98,Movement!$M$4:$M$2137,"USD")/1000000</f>
        <v>0</v>
      </c>
      <c r="D98" s="315">
        <f>-SUMIFS(Movement!$G$4:$G$2137,Movement!$K$4:$K$2137,Summary!D$75,Movement!$L$4:$L$2137,Summary!$A98,Movement!$M$4:$M$2137,"VND")/1000000/Fx_rate-SUMIFS(Movement!$G$4:$G$2137,Movement!$K$4:$K$2137,Summary!D$75,Movement!$L$4:$L$2137,Summary!$A98,Movement!$M$4:$M$2137,"USD")/1000000</f>
        <v>-4.813588368252149</v>
      </c>
      <c r="E98" s="316">
        <f t="shared" si="13"/>
        <v>-4.813588368252149</v>
      </c>
    </row>
    <row r="99" spans="1:9" ht="14.4">
      <c r="A99" s="317" t="s">
        <v>53</v>
      </c>
      <c r="B99" s="315">
        <f>-SUMIFS(Movement!$G$4:$G$2137,Movement!$K$4:$K$2137,Summary!B$75,Movement!$L$4:$L$2137,Summary!$A99,Movement!$M$4:$M$2137,"VND")/1000000/Fx_rate-SUMIFS(Movement!$G$4:$G$2137,Movement!$K$4:$K$2137,Summary!B$75,Movement!$L$4:$L$2137,Summary!$A99,Movement!$M$4:$M$2137,"USD")/1000000</f>
        <v>-4.2853812225405921E-2</v>
      </c>
      <c r="C99" s="315">
        <f>-SUMIFS(Movement!$G$4:$G$2137,Movement!$K$4:$K$2137,Summary!C$75,Movement!$L$4:$L$2137,Summary!$A99,Movement!$M$4:$M$2137,"VND")/1000000/Fx_rate-SUMIFS(Movement!$G$4:$G$2137,Movement!$K$4:$K$2137,Summary!C$75,Movement!$L$4:$L$2137,Summary!$A99,Movement!$M$4:$M$2137,"USD")/1000000</f>
        <v>-0.14358121906399238</v>
      </c>
      <c r="D99" s="315">
        <f>-SUMIFS(Movement!$G$4:$G$2216,Movement!$K$4:$K$2216,Summary!D$75,Movement!$L$4:$L$2216,Summary!$A99,Movement!$M$4:$M$2216,"VND")/1000000/Fx_rate-SUMIFS(Movement!$G$4:$G$2216,Movement!$K$4:$K$2216,Summary!D$75,Movement!$L$4:$L$2216,Summary!$A99,Movement!$M$4:$M$2216,"USD")/1000000</f>
        <v>-2.896552950678128</v>
      </c>
      <c r="E99" s="316">
        <f t="shared" si="13"/>
        <v>-3.0829879819675261</v>
      </c>
    </row>
    <row r="100" spans="1:9" ht="14.4">
      <c r="A100" s="317" t="s">
        <v>54</v>
      </c>
      <c r="B100" s="315">
        <f>-SUMIFS(Movement!$G$4:$G$2137,Movement!$K$4:$K$2137,Summary!B$75,Movement!$L$4:$L$2137,Summary!$A100,Movement!$M$4:$M$2137,"VND")/1000000/Fx_rate-SUMIFS(Movement!$G$4:$G$2137,Movement!$K$4:$K$2137,Summary!B$75,Movement!$L$4:$L$2137,Summary!$A100,Movement!$M$4:$M$2137,"USD")/1000000</f>
        <v>0</v>
      </c>
      <c r="C100" s="315">
        <f>-SUMIFS(Movement!$G$4:$G$2137,Movement!$K$4:$K$2137,Summary!C$75,Movement!$L$4:$L$2137,Summary!$A100,Movement!$M$4:$M$2137,"VND")/1000000/Fx_rate-SUMIFS(Movement!$G$4:$G$2137,Movement!$K$4:$K$2137,Summary!C$75,Movement!$L$4:$L$2137,Summary!$A100,Movement!$M$4:$M$2137,"USD")/1000000</f>
        <v>0</v>
      </c>
      <c r="D100" s="315">
        <f>-SUMIFS(Movement!$G$4:$G$2137,Movement!$K$4:$K$2137,Summary!D$75,Movement!$L$4:$L$2137,Summary!$A100,Movement!$M$4:$M$2137,"VND")/1000000/Fx_rate-SUMIFS(Movement!$G$4:$G$2137,Movement!$K$4:$K$2137,Summary!D$75,Movement!$L$4:$L$2137,Summary!$A100,Movement!$M$4:$M$2137,"USD")/1000000</f>
        <v>-7.2605405845272211E-2</v>
      </c>
      <c r="E100" s="316">
        <f t="shared" si="13"/>
        <v>-7.2605405845272211E-2</v>
      </c>
    </row>
    <row r="101" spans="1:9" ht="14.4">
      <c r="A101" s="317" t="s">
        <v>55</v>
      </c>
      <c r="B101" s="315">
        <f>-SUMIFS(Movement!$G$4:$G$2137,Movement!$K$4:$K$2137,Summary!B$75,Movement!$L$4:$L$2137,Summary!$A101,Movement!$M$4:$M$2137,"VND")/1000000/Fx_rate-SUMIFS(Movement!$G$4:$G$2137,Movement!$K$4:$K$2137,Summary!B$75,Movement!$L$4:$L$2137,Summary!$A101,Movement!$M$4:$M$2137,"USD")/1000000</f>
        <v>0</v>
      </c>
      <c r="C101" s="315">
        <f>-SUMIFS(Movement!$G$4:$G$2137,Movement!$K$4:$K$2137,Summary!C$75,Movement!$L$4:$L$2137,Summary!$A101,Movement!$M$4:$M$2137,"VND")/1000000/Fx_rate-SUMIFS(Movement!$G$4:$G$2137,Movement!$K$4:$K$2137,Summary!C$75,Movement!$L$4:$L$2137,Summary!$A101,Movement!$M$4:$M$2137,"USD")/1000000</f>
        <v>0</v>
      </c>
      <c r="D101" s="315">
        <f>-SUMIFS(Movement!$G$4:$G$2137,Movement!$K$4:$K$2137,Summary!D$75,Movement!$L$4:$L$2137,Summary!$A101,Movement!$M$4:$M$2137,"VND")/1000000/Fx_rate-SUMIFS(Movement!$G$4:$G$2137,Movement!$K$4:$K$2137,Summary!D$75,Movement!$L$4:$L$2137,Summary!$A101,Movement!$M$4:$M$2137,"USD")/1000000</f>
        <v>0</v>
      </c>
      <c r="E101" s="316">
        <f t="shared" si="13"/>
        <v>0</v>
      </c>
    </row>
    <row r="102" spans="1:9" ht="14.4">
      <c r="A102" s="699" t="s">
        <v>208</v>
      </c>
      <c r="B102" s="717">
        <f t="shared" ref="B102" si="14">SUBTOTAL(9,B103:B106)</f>
        <v>-2.2922636103151861</v>
      </c>
      <c r="C102" s="717">
        <f>SUBTOTAL(9,C103:C106)</f>
        <v>-33.362699382769819</v>
      </c>
      <c r="D102" s="717">
        <f>SUBTOTAL(9,D103:D106)</f>
        <v>-1.5019378795797518</v>
      </c>
      <c r="E102" s="718">
        <f t="shared" ref="E102:E107" si="15">SUM(B102:D102)</f>
        <v>-37.156900872664757</v>
      </c>
      <c r="F102" s="646"/>
      <c r="G102" s="646"/>
    </row>
    <row r="103" spans="1:9" ht="14.4" outlineLevel="1">
      <c r="A103" s="317" t="s">
        <v>59</v>
      </c>
      <c r="B103" s="315">
        <f>-SUMIFS(Movement!$G$4:$G$2137,Movement!$K$4:$K$2137,Summary!B$75,Movement!$L$4:$L$2137,Summary!$A103,Movement!$M$4:$M$2137,"VND")/1000000/Fx_rate-SUMIFS(Movement!$G$4:$G$2137,Movement!$K$4:$K$2137,Summary!B$75,Movement!$L$4:$L$2137,Summary!$A103,Movement!$M$4:$M$2137,"USD")/1000000</f>
        <v>-2.2922636103151861</v>
      </c>
      <c r="C103" s="315">
        <f>-SUMIFS(Movement!$G$4:$G$2137,Movement!$K$4:$K$2137,Summary!C$75,Movement!$L$4:$L$2137,Summary!$A103,Movement!$M$4:$M$2137,"VND")/1000000/Fx_rate-SUMIFS(Movement!$G$4:$G$2137,Movement!$K$4:$K$2137,Summary!C$75,Movement!$L$4:$L$2137,Summary!$A103,Movement!$M$4:$M$2137,"USD")/1000000</f>
        <v>-33.362699382769819</v>
      </c>
      <c r="D103" s="315">
        <f>-SUMIFS(Movement!$G$4:$G$2137,Movement!$K$4:$K$2137,Summary!D$75,Movement!$L$4:$L$2137,Summary!$A103,Movement!$M$4:$M$2137,"VND")/1000000/Fx_rate-SUMIFS(Movement!$G$4:$G$2137,Movement!$K$4:$K$2137,Summary!D$75,Movement!$L$4:$L$2137,Summary!$A103,Movement!$M$4:$M$2137,"USD")/1000000</f>
        <v>-1.5019378795797518</v>
      </c>
      <c r="E103" s="316">
        <f>SUM(B103:D103)</f>
        <v>-37.156900872664757</v>
      </c>
      <c r="F103" s="20"/>
      <c r="G103" s="821"/>
    </row>
    <row r="104" spans="1:9" ht="14.4" outlineLevel="1">
      <c r="A104" s="317" t="s">
        <v>56</v>
      </c>
      <c r="B104" s="315">
        <f>-SUMIFS(Movement!$G$4:$G$2137,Movement!$K$4:$K$2137,Summary!B$75,Movement!$L$4:$L$2137,Summary!$A104,Movement!$M$4:$M$2137,"VND")/1000000/Fx_rate-SUMIFS(Movement!$G$4:$G$2137,Movement!$K$4:$K$2137,Summary!B$75,Movement!$L$4:$L$2137,Summary!$A104,Movement!$M$4:$M$2137,"USD")/1000000</f>
        <v>0</v>
      </c>
      <c r="C104" s="315">
        <f>-SUMIFS(Movement!$G$4:$G$2137,Movement!$K$4:$K$2137,Summary!C$75,Movement!$L$4:$L$2137,Summary!$A104,Movement!$M$4:$M$2137,"VND")/1000000/Fx_rate-SUMIFS(Movement!$G$4:$G$2137,Movement!$K$4:$K$2137,Summary!C$75,Movement!$L$4:$L$2137,Summary!$A104,Movement!$M$4:$M$2137,"USD")/1000000</f>
        <v>0</v>
      </c>
      <c r="D104" s="315">
        <f>-SUMIFS(Movement!$G$4:$G$2137,Movement!$K$4:$K$2137,Summary!D$75,Movement!$L$4:$L$2137,Summary!$A104,Movement!$M$4:$M$2137,"VND")/1000000/Fx_rate-SUMIFS(Movement!$G$4:$G$2137,Movement!$K$4:$K$2137,Summary!D$75,Movement!$L$4:$L$2137,Summary!$A104,Movement!$M$4:$M$2137,"USD")/1000000</f>
        <v>0</v>
      </c>
      <c r="E104" s="316">
        <f t="shared" si="15"/>
        <v>0</v>
      </c>
      <c r="F104" s="1096"/>
      <c r="G104" s="646"/>
    </row>
    <row r="105" spans="1:9" ht="14.4" outlineLevel="1">
      <c r="A105" s="317" t="s">
        <v>57</v>
      </c>
      <c r="B105" s="315">
        <f>-SUMIFS(Movement!$G$4:$G$2137,Movement!$K$4:$K$2137,Summary!B$75,Movement!$L$4:$L$2137,Summary!$A105,Movement!$M$4:$M$2137,"VND")/1000000/Fx_rate-SUMIFS(Movement!$G$4:$G$2137,Movement!$K$4:$K$2137,Summary!B$75,Movement!$L$4:$L$2137,Summary!$A105,Movement!$M$4:$M$2137,"USD")/1000000</f>
        <v>0</v>
      </c>
      <c r="C105" s="315">
        <f>-SUMIFS(Movement!$G$4:$G$2137,Movement!$K$4:$K$2137,Summary!C$75,Movement!$L$4:$L$2137,Summary!$A105,Movement!$M$4:$M$2137,"VND")/1000000/Fx_rate-SUMIFS(Movement!$G$4:$G$2137,Movement!$K$4:$K$2137,Summary!C$75,Movement!$L$4:$L$2137,Summary!$A105,Movement!$M$4:$M$2137,"USD")/1000000</f>
        <v>0</v>
      </c>
      <c r="D105" s="315">
        <f>-SUMIFS(Movement!$G$4:$G$2137,Movement!$K$4:$K$2137,Summary!D$75,Movement!$L$4:$L$2137,Summary!$A105,Movement!$M$4:$M$2137,"VND")/1000000/Fx_rate-SUMIFS(Movement!$G$4:$G$2137,Movement!$K$4:$K$2137,Summary!D$75,Movement!$L$4:$L$2137,Summary!$A105,Movement!$M$4:$M$2137,"USD")/1000000</f>
        <v>0</v>
      </c>
      <c r="E105" s="316">
        <f t="shared" si="15"/>
        <v>0</v>
      </c>
      <c r="F105" s="1081"/>
    </row>
    <row r="106" spans="1:9" ht="14.4" outlineLevel="1">
      <c r="A106" s="317" t="s">
        <v>58</v>
      </c>
      <c r="B106" s="315">
        <f>-SUMIFS(Movement!$G$4:$G$2137,Movement!$K$4:$K$2137,Summary!B$75,Movement!$L$4:$L$2137,Summary!$A106,Movement!$M$4:$M$2137,"VND")/1000000/Fx_rate-SUMIFS(Movement!$G$4:$G$2137,Movement!$K$4:$K$2137,Summary!B$75,Movement!$L$4:$L$2137,Summary!$A106,Movement!$M$4:$M$2137,"USD")/1000000</f>
        <v>0</v>
      </c>
      <c r="C106" s="315">
        <f>-SUMIFS(Movement!$G$4:$G$2137,Movement!$K$4:$K$2137,Summary!C$75,Movement!$L$4:$L$2137,Summary!$A106,Movement!$M$4:$M$2137,"VND")/1000000/Fx_rate-SUMIFS(Movement!$G$4:$G$2137,Movement!$K$4:$K$2137,Summary!C$75,Movement!$L$4:$L$2137,Summary!$A106,Movement!$M$4:$M$2137,"USD")/1000000</f>
        <v>0</v>
      </c>
      <c r="D106" s="315">
        <f>-SUMIFS(Movement!$G$4:$G$2137,Movement!$K$4:$K$2137,Summary!D$75,Movement!$L$4:$L$2137,Summary!$A106,Movement!$M$4:$M$2137,"VND")/1000000/Fx_rate-SUMIFS(Movement!$G$4:$G$2137,Movement!$K$4:$K$2137,Summary!D$75,Movement!$L$4:$L$2137,Summary!$A106,Movement!$M$4:$M$2137,"USD")/1000000</f>
        <v>0</v>
      </c>
      <c r="E106" s="316">
        <f t="shared" si="15"/>
        <v>0</v>
      </c>
      <c r="F106" s="20"/>
    </row>
    <row r="107" spans="1:9" ht="14.4">
      <c r="A107" s="655" t="s">
        <v>146</v>
      </c>
      <c r="B107" s="656">
        <f>B77+B78+B94</f>
        <v>1.5041509753677174</v>
      </c>
      <c r="C107" s="656">
        <f>C77+C78+C94</f>
        <v>71.648699379808974</v>
      </c>
      <c r="D107" s="656">
        <f>D77+D78+D94</f>
        <v>88.993327511041059</v>
      </c>
      <c r="E107" s="657">
        <f t="shared" si="15"/>
        <v>162.14617786621776</v>
      </c>
      <c r="F107" s="646"/>
      <c r="G107" s="646"/>
      <c r="H107" s="646"/>
    </row>
    <row r="108" spans="1:9" ht="15" thickBot="1">
      <c r="A108" s="736"/>
      <c r="B108" s="737"/>
      <c r="C108" s="737"/>
      <c r="D108" s="737"/>
      <c r="E108" s="737"/>
      <c r="F108" s="20"/>
    </row>
    <row r="109" spans="1:9" s="1375" customFormat="1" ht="15" thickTop="1">
      <c r="A109" s="1375" t="s">
        <v>211</v>
      </c>
      <c r="B109" s="1376" t="b">
        <f>ROUND(B107*1000000,0)=ROUND(B63*1000000,0)</f>
        <v>1</v>
      </c>
      <c r="C109" s="1376" t="b">
        <f>ROUND(C107*1000000,0)=ROUND(C63*1000000,0)</f>
        <v>1</v>
      </c>
      <c r="D109" s="1376" t="b">
        <f>ROUND(D107*1000000,0)=ROUND(D63*1000000,0)</f>
        <v>1</v>
      </c>
      <c r="E109" s="1376" t="b">
        <f>ROUND(E107*1000000,0)=ROUND(E63*1000000,0)</f>
        <v>1</v>
      </c>
      <c r="F109" s="1377"/>
    </row>
    <row r="110" spans="1:9" ht="14.4">
      <c r="A110" s="43"/>
      <c r="B110" s="364">
        <f>ROUND(B107*1000000,0)-ROUND(B63*1000000,0)</f>
        <v>0</v>
      </c>
      <c r="C110" s="102">
        <f>ROUND(C107*1000000,0)-ROUND(C63*1000000,0)</f>
        <v>0</v>
      </c>
      <c r="D110" s="888">
        <f>ROUND(D107*1000000,0)-ROUND(D63*1000000,0)</f>
        <v>0</v>
      </c>
      <c r="E110" s="889">
        <f>ROUND(E107*1000000,0)-ROUND(E63*1000000,0)</f>
        <v>0</v>
      </c>
      <c r="F110" s="458"/>
    </row>
    <row r="111" spans="1:9" ht="14.4">
      <c r="A111" s="43"/>
      <c r="B111" s="102">
        <f>B110*Fx</f>
        <v>0</v>
      </c>
      <c r="C111" s="102">
        <f>C110*Fx</f>
        <v>0</v>
      </c>
      <c r="D111" s="889">
        <f>D110*Fx</f>
        <v>0</v>
      </c>
      <c r="E111" s="889">
        <f>E110*Fx</f>
        <v>0</v>
      </c>
      <c r="F111" s="755"/>
    </row>
    <row r="112" spans="1:9" ht="14.4">
      <c r="A112" s="43"/>
      <c r="B112" s="826"/>
      <c r="C112" s="364"/>
      <c r="D112" s="364"/>
      <c r="E112" s="364"/>
      <c r="F112" s="878"/>
      <c r="I112" s="30"/>
    </row>
    <row r="113" spans="1:97" ht="14.4">
      <c r="A113" s="43"/>
      <c r="B113" s="646"/>
      <c r="C113" s="646"/>
      <c r="D113" s="646"/>
      <c r="E113" s="646"/>
      <c r="F113" s="458"/>
      <c r="G113" s="646"/>
    </row>
    <row r="114" spans="1:97" s="735" customFormat="1" ht="13.8">
      <c r="A114" s="733" t="s">
        <v>212</v>
      </c>
      <c r="B114" s="733"/>
      <c r="C114" s="734"/>
      <c r="D114" s="734"/>
      <c r="E114" s="734"/>
      <c r="F114" s="734"/>
      <c r="G114" s="734"/>
      <c r="H114" s="734"/>
      <c r="W114" s="734"/>
      <c r="X114" s="734"/>
      <c r="Y114" s="734"/>
      <c r="Z114" s="734"/>
      <c r="AA114" s="734"/>
      <c r="AB114" s="734"/>
      <c r="AC114" s="734"/>
      <c r="AD114" s="734"/>
      <c r="AE114" s="734"/>
      <c r="AF114" s="734"/>
      <c r="AG114" s="734"/>
      <c r="AH114" s="734"/>
      <c r="AI114" s="734"/>
      <c r="AJ114" s="734"/>
      <c r="AK114" s="734"/>
      <c r="AL114" s="734"/>
      <c r="AM114" s="734"/>
      <c r="AN114" s="734"/>
      <c r="AO114" s="734"/>
      <c r="AP114" s="734"/>
      <c r="AQ114" s="734"/>
      <c r="AR114" s="734"/>
      <c r="AS114" s="734"/>
      <c r="AT114" s="734"/>
      <c r="AU114" s="734"/>
      <c r="AV114" s="734"/>
      <c r="AW114" s="734"/>
      <c r="AX114" s="734"/>
      <c r="AY114" s="734"/>
      <c r="AZ114" s="734"/>
      <c r="BA114" s="734"/>
      <c r="BB114" s="734"/>
      <c r="BC114" s="734"/>
      <c r="BD114" s="734"/>
      <c r="BE114" s="734"/>
      <c r="BF114" s="734"/>
      <c r="BG114" s="734"/>
      <c r="BH114" s="734"/>
      <c r="BI114" s="734"/>
      <c r="BJ114" s="734"/>
      <c r="BK114" s="734"/>
      <c r="BL114" s="734"/>
      <c r="BM114" s="734"/>
      <c r="BN114" s="734"/>
      <c r="BO114" s="734"/>
      <c r="BP114" s="734"/>
      <c r="BQ114" s="734"/>
      <c r="BR114" s="734"/>
      <c r="BS114" s="734"/>
      <c r="BT114" s="734"/>
      <c r="BU114" s="734"/>
      <c r="BV114" s="734"/>
      <c r="BW114" s="734"/>
      <c r="BX114" s="734"/>
      <c r="BY114" s="734"/>
      <c r="BZ114" s="734"/>
      <c r="CA114" s="734"/>
      <c r="CB114" s="734"/>
      <c r="CC114" s="734"/>
      <c r="CD114" s="734"/>
      <c r="CE114" s="734"/>
      <c r="CF114" s="734"/>
      <c r="CG114" s="734"/>
      <c r="CH114" s="734"/>
      <c r="CI114" s="734"/>
      <c r="CJ114" s="734"/>
      <c r="CK114" s="734"/>
      <c r="CL114" s="734"/>
      <c r="CM114" s="734"/>
      <c r="CN114" s="734"/>
      <c r="CO114" s="734"/>
      <c r="CP114" s="734"/>
      <c r="CQ114" s="734"/>
      <c r="CR114" s="734"/>
      <c r="CS114" s="734"/>
    </row>
    <row r="115" spans="1:97" ht="14.4">
      <c r="A115" s="2"/>
      <c r="B115" s="2"/>
      <c r="C115" s="2"/>
      <c r="D115" s="2"/>
      <c r="E115" s="2"/>
      <c r="F115" s="2"/>
      <c r="G115" s="2"/>
      <c r="H115" s="2"/>
      <c r="I115" s="2"/>
    </row>
    <row r="116" spans="1:97" ht="14.4">
      <c r="A116" s="2" t="str">
        <f>"At "&amp;TEXT($B$6,"dd-mmm-yy")&amp;", total VND deposit of BWID Group was USD$"&amp;TEXT($B$123/1000000,"#,##0.0")&amp;"mn. The Group is earning an average of "&amp;TEXT(D123,"0.00%")&amp;" p.a of its VND deposit."</f>
        <v>At 15-Jan-26, total VND deposit of BWID Group was USD$103,0149mn. The Group is earning an average of 005% p.a of its VND deposit.</v>
      </c>
      <c r="B116" s="2"/>
      <c r="C116" s="2"/>
      <c r="D116" s="2"/>
      <c r="E116" s="2"/>
      <c r="F116" s="2"/>
      <c r="G116" s="2"/>
      <c r="H116" s="2"/>
      <c r="I116" s="2"/>
    </row>
    <row r="117" spans="1:97" ht="14.4" hidden="1">
      <c r="A117" s="301" t="s">
        <v>213</v>
      </c>
      <c r="B117" s="2"/>
      <c r="C117" s="2"/>
      <c r="D117" s="2"/>
      <c r="E117" s="2"/>
      <c r="F117" s="2"/>
      <c r="G117" s="2"/>
      <c r="H117" s="2"/>
      <c r="I117" s="2"/>
    </row>
    <row r="118" spans="1:97" ht="14.4" hidden="1">
      <c r="A118" s="302" t="s">
        <v>214</v>
      </c>
      <c r="B118" s="2"/>
      <c r="C118" s="2"/>
      <c r="D118" s="2"/>
      <c r="E118" s="2"/>
      <c r="F118" s="412"/>
      <c r="G118" s="2"/>
      <c r="H118" s="2"/>
      <c r="I118" s="2"/>
    </row>
    <row r="119" spans="1:97" ht="14.4" hidden="1">
      <c r="A119" s="303" t="s">
        <v>215</v>
      </c>
      <c r="B119" s="2"/>
      <c r="C119" s="2"/>
      <c r="D119" s="2"/>
      <c r="E119" s="2"/>
      <c r="F119" s="2"/>
      <c r="G119" s="2"/>
      <c r="H119" s="2"/>
      <c r="I119" s="2"/>
    </row>
    <row r="120" spans="1:97" ht="15" thickBot="1"/>
    <row r="121" spans="1:97" ht="29.85" customHeight="1">
      <c r="A121" s="752"/>
      <c r="B121" s="348" t="s">
        <v>216</v>
      </c>
      <c r="C121" s="775" t="s">
        <v>84</v>
      </c>
      <c r="D121" s="345" t="s">
        <v>217</v>
      </c>
    </row>
    <row r="122" spans="1:97" ht="14.4">
      <c r="A122" s="73" t="s">
        <v>169</v>
      </c>
      <c r="B122" s="99">
        <f>SUMIFS(Table11[[#All],[CLOSING BALANCE (VND)2]],Table11[[#All],[ACCOUNT TYPE]],"&lt;&gt;Saving account")/Fx_rate</f>
        <v>36143022.056771725</v>
      </c>
      <c r="C122" s="780">
        <f t="shared" ref="C122:C136" si="16">B122/$B$136</f>
        <v>0.25972674756314457</v>
      </c>
      <c r="D122" s="681">
        <f>VND_rate!I6</f>
        <v>4.701239999683267E-3</v>
      </c>
      <c r="F122" s="811"/>
    </row>
    <row r="123" spans="1:97" ht="14.4">
      <c r="A123" s="73" t="s">
        <v>170</v>
      </c>
      <c r="B123" s="99">
        <f>SUBTOTAL(109,B124:B135)</f>
        <v>103014852.11629418</v>
      </c>
      <c r="C123" s="780">
        <f t="shared" si="16"/>
        <v>0.74027325243685538</v>
      </c>
      <c r="D123" s="101">
        <f>SUMPRODUCT(B125:B135,D125:D135)/B123</f>
        <v>4.7901406730805153E-2</v>
      </c>
      <c r="E123" s="1099"/>
      <c r="F123" s="20"/>
    </row>
    <row r="124" spans="1:97" ht="14.4">
      <c r="A124" s="73" t="s">
        <v>218</v>
      </c>
      <c r="B124" s="75">
        <f>SUMIFS(Table1218[CLOSING BALANCE 
(VND)],Table1218[Term (months)],$A124)/Fx_rate</f>
        <v>0</v>
      </c>
      <c r="C124" s="74">
        <f t="shared" si="16"/>
        <v>0</v>
      </c>
      <c r="D124" s="100" cm="1">
        <f t="array" ref="D124">IFERROR(SUMPRODUCT((#REF!)*(#REF!)*(#REF!="2 weeks"))/SUMPRODUCT((#REF!)*(#REF!="2 weeks")),0)</f>
        <v>0</v>
      </c>
    </row>
    <row r="125" spans="1:97" ht="14.4">
      <c r="A125" s="73" t="s">
        <v>219</v>
      </c>
      <c r="B125" s="75">
        <f>SUMIFS(Table1218[CLOSING BALANCE 
(VND)],Table1218[Term (months)],$A125)/Fx_rate</f>
        <v>73386674.805042982</v>
      </c>
      <c r="C125" s="74">
        <f t="shared" si="16"/>
        <v>0.52736271835954085</v>
      </c>
      <c r="D125" s="100" cm="1">
        <f t="array" ref="D125">IFERROR(SUMPRODUCT((Table1218[CLOSING BALANCE 
(VND)])*(Table1218[Interest rate])*(Table1218[Term (months)]=Summary!$A125))/SUMPRODUCT((Table1218[CLOSING BALANCE 
(VND)])*(Table1218[Term (months)]=Summary!$A125)),0)</f>
        <v>4.7063289215534057E-2</v>
      </c>
      <c r="E125" s="355"/>
      <c r="F125" s="25"/>
      <c r="G125" s="812"/>
    </row>
    <row r="126" spans="1:97" ht="14.4">
      <c r="A126" s="73" t="s">
        <v>220</v>
      </c>
      <c r="B126" s="75">
        <f>SUMIFS(Table1218[CLOSING BALANCE 
(VND)],Table1218[Term (months)],$A126)/Fx_rate</f>
        <v>7362562.4969245465</v>
      </c>
      <c r="C126" s="74">
        <f t="shared" si="16"/>
        <v>5.2907983401413408E-2</v>
      </c>
      <c r="D126" s="100" cm="1">
        <f t="array" ref="D126">IFERROR(SUMPRODUCT((Table1218[CLOSING BALANCE 
(VND)])*(Table1218[Interest rate])*(Table1218[Term (months)]=Summary!$A126))/SUMPRODUCT((Table1218[CLOSING BALANCE 
(VND)])*(Table1218[Term (months)]=Summary!$A126)),0)</f>
        <v>4.7255921098577673E-2</v>
      </c>
      <c r="E126" s="355"/>
      <c r="F126" s="25"/>
      <c r="G126" s="812"/>
    </row>
    <row r="127" spans="1:97" ht="14.4">
      <c r="A127" s="73" t="s">
        <v>221</v>
      </c>
      <c r="B127" s="75">
        <f>SUMIFS(Table1218[CLOSING BALANCE 
(VND)],Table1218[Term (months)],$A127)/Fx_rate</f>
        <v>12130846.90582617</v>
      </c>
      <c r="C127" s="74">
        <f t="shared" si="16"/>
        <v>8.7173269769409159E-2</v>
      </c>
      <c r="D127" s="100" cm="1">
        <f t="array" ref="D127">IFERROR(SUMPRODUCT((Table1218[CLOSING BALANCE 
(VND)])*(Table1218[Interest rate])*(Table1218[Term (months)]=Summary!$A127))/SUMPRODUCT((Table1218[CLOSING BALANCE 
(VND)])*(Table1218[Term (months)]=Summary!$A127)),0)</f>
        <v>4.619830253666924E-2</v>
      </c>
      <c r="E127" s="355"/>
      <c r="F127" s="20"/>
      <c r="G127" s="812"/>
    </row>
    <row r="128" spans="1:97" ht="14.4">
      <c r="A128" s="73" t="s">
        <v>222</v>
      </c>
      <c r="B128" s="75">
        <f>SUMIFS(Table1218[CLOSING BALANCE 
(VND)],Table1218[Term (months)],$A128)/Fx_rate</f>
        <v>191021.96752626551</v>
      </c>
      <c r="C128" s="74">
        <f t="shared" si="16"/>
        <v>1.3726996669171448E-3</v>
      </c>
      <c r="D128" s="100" cm="1">
        <f t="array" ref="D128">IFERROR(SUMPRODUCT((Table1218[CLOSING BALANCE 
(VND)])*(Table1218[Interest rate])*(Table1218[Term (months)]=Summary!$A128))/SUMPRODUCT((Table1218[CLOSING BALANCE 
(VND)])*(Table1218[Term (months)]=Summary!$A128)),0)</f>
        <v>4.7500000000000001E-2</v>
      </c>
      <c r="E128" s="355"/>
      <c r="F128" s="20"/>
      <c r="G128" s="812"/>
    </row>
    <row r="129" spans="1:7" ht="14.4">
      <c r="A129" s="73" t="s">
        <v>223</v>
      </c>
      <c r="B129" s="75">
        <f>SUMIFS(Table1218[CLOSING BALANCE 
(VND)],Table1218[Term (months)],$A129)/Fx_rate</f>
        <v>305635.14804202481</v>
      </c>
      <c r="C129" s="74">
        <f t="shared" si="16"/>
        <v>2.1963194670674316E-3</v>
      </c>
      <c r="D129" s="100" cm="1">
        <f t="array" ref="D129">IFERROR(SUMPRODUCT((Table1218[CLOSING BALANCE 
(VND)])*(Table1218[Interest rate])*(Table1218[Term (months)]=Summary!$A129))/SUMPRODUCT((Table1218[CLOSING BALANCE 
(VND)])*(Table1218[Term (months)]=Summary!$A129)),0)</f>
        <v>4.5624999999999999E-2</v>
      </c>
      <c r="E129" s="355"/>
      <c r="F129" s="20"/>
      <c r="G129" s="812"/>
    </row>
    <row r="130" spans="1:7" ht="14.4">
      <c r="A130" s="73" t="s">
        <v>224</v>
      </c>
      <c r="B130" s="75">
        <f>SUMIFS(Table1218[CLOSING BALANCE 
(VND)],Table1218[Term (months)],$A130)/Fx_rate</f>
        <v>8376313.2760267435</v>
      </c>
      <c r="C130" s="74">
        <f t="shared" si="16"/>
        <v>6.0192880394316806E-2</v>
      </c>
      <c r="D130" s="100" cm="1">
        <f t="array" ref="D130">IFERROR(SUMPRODUCT((Table1218[CLOSING BALANCE 
(VND)])*(Table1218[Interest rate])*(Table1218[Term (months)]=Summary!$A130))/SUMPRODUCT((Table1218[CLOSING BALANCE 
(VND)])*(Table1218[Term (months)]=Summary!$A130)),0)</f>
        <v>5.9081003420752565E-2</v>
      </c>
    </row>
    <row r="131" spans="1:7" ht="14.4">
      <c r="A131" s="73" t="s">
        <v>225</v>
      </c>
      <c r="B131" s="75">
        <f>SUMIFS(Table1218[CLOSING BALANCE 
(VND)],Table1218[Term (months)],$A131)/Fx_rate</f>
        <v>0</v>
      </c>
      <c r="C131" s="74">
        <f t="shared" si="16"/>
        <v>0</v>
      </c>
      <c r="D131" s="100" cm="1">
        <f t="array" ref="D131">IFERROR(SUMPRODUCT((Table1218[CLOSING BALANCE 
(VND)])*(Table1218[Interest rate])*(Table1218[Term (months)]=Summary!$A131))/SUMPRODUCT((Table1218[CLOSING BALANCE 
(VND)])*(Table1218[Term (months)]=Summary!$A131)),0)</f>
        <v>0</v>
      </c>
    </row>
    <row r="132" spans="1:7" ht="14.4">
      <c r="A132" s="73" t="s">
        <v>226</v>
      </c>
      <c r="B132" s="75">
        <f>SUMIFS(Table1218[CLOSING BALANCE 
(VND)],Table1218[Term (months)],$A132)/Fx_rate</f>
        <v>0</v>
      </c>
      <c r="C132" s="74">
        <f t="shared" si="16"/>
        <v>0</v>
      </c>
      <c r="D132" s="100" cm="1">
        <f t="array" ref="D132">IFERROR(SUMPRODUCT((Table1218[CLOSING BALANCE 
(VND)])*(Table1218[Interest rate])*(Table1218[Term (months)]=Summary!$A132))/SUMPRODUCT((Table1218[CLOSING BALANCE 
(VND)])*(Table1218[Term (months)]=Summary!$A132)),0)</f>
        <v>0</v>
      </c>
    </row>
    <row r="133" spans="1:7" ht="14.4">
      <c r="A133" s="73" t="s">
        <v>227</v>
      </c>
      <c r="B133" s="75">
        <f>SUMIFS(Table1218[CLOSING BALANCE 
(VND)],Table1218[Term (months)],$A133)/Fx_rate</f>
        <v>0</v>
      </c>
      <c r="C133" s="74">
        <f t="shared" si="16"/>
        <v>0</v>
      </c>
      <c r="D133" s="100" cm="1">
        <f t="array" ref="D133">IFERROR(SUMPRODUCT((Table1218[CLOSING BALANCE 
(VND)])*(Table1218[Interest rate])*(Table1218[Term (months)]=Summary!$A133))/SUMPRODUCT((Table1218[CLOSING BALANCE 
(VND)])*(Table1218[Term (months)]=Summary!$A133)),0)</f>
        <v>0</v>
      </c>
      <c r="E133" s="355"/>
      <c r="F133" s="20"/>
      <c r="G133" s="813"/>
    </row>
    <row r="134" spans="1:7" ht="14.4">
      <c r="A134" s="73" t="s">
        <v>228</v>
      </c>
      <c r="B134" s="75">
        <f>SUMIFS(Table1218[CLOSING BALANCE 
(VND)],Table1218[Term (months)],$A134)/Fx_rate</f>
        <v>659425.11759312323</v>
      </c>
      <c r="C134" s="74">
        <f t="shared" si="16"/>
        <v>4.7386834666144637E-3</v>
      </c>
      <c r="D134" s="100" cm="1">
        <f t="array" ref="D134">IFERROR(SUMPRODUCT((Table1218[CLOSING BALANCE 
(VND)])*(Table1218[Interest rate])*(Table1218[Term (months)]=Summary!$A134))/SUMPRODUCT((Table1218[CLOSING BALANCE 
(VND)])*(Table1218[Term (months)]=Summary!$A134)),0)</f>
        <v>3.9698485747104766E-2</v>
      </c>
      <c r="F134" s="792"/>
    </row>
    <row r="135" spans="1:7" ht="14.4">
      <c r="A135" s="73" t="s">
        <v>229</v>
      </c>
      <c r="B135" s="75">
        <f>SUMIFS(Table1218[CLOSING BALANCE 
(VND)],Table1218[Term (months)],$A135)/Fx_rate</f>
        <v>602372.39931232086</v>
      </c>
      <c r="C135" s="74">
        <f t="shared" si="16"/>
        <v>4.3286979115761057E-3</v>
      </c>
      <c r="D135" s="100" cm="1">
        <f t="array" ref="D135">IFERROR(SUMPRODUCT((Table1218[CLOSING BALANCE 
(VND)])*(Table1218[Interest rate])*(Table1218[Term (months)]=Summary!$A135))/SUMPRODUCT((Table1218[CLOSING BALANCE 
(VND)])*(Table1218[Term (months)]=Summary!$A135)),0)</f>
        <v>4.7E-2</v>
      </c>
      <c r="F135" s="792"/>
    </row>
    <row r="136" spans="1:7" ht="15" thickBot="1">
      <c r="A136" s="781" t="s">
        <v>230</v>
      </c>
      <c r="B136" s="782">
        <f>(B122+B123)</f>
        <v>139157874.1730659</v>
      </c>
      <c r="C136" s="783">
        <f t="shared" si="16"/>
        <v>1</v>
      </c>
      <c r="D136" s="784">
        <f>SUMPRODUCT(B122:B123,D122:D123)/SUM(B122:B123)</f>
        <v>3.66811679315453E-2</v>
      </c>
      <c r="E136" s="821"/>
    </row>
    <row r="137" spans="1:7" ht="15.6" hidden="1" thickTop="1" thickBot="1">
      <c r="A137" s="682" t="s">
        <v>231</v>
      </c>
      <c r="B137" s="741" t="e">
        <f>#REF!/B136</f>
        <v>#REF!</v>
      </c>
      <c r="C137" s="741"/>
      <c r="D137" s="80"/>
    </row>
    <row r="138" spans="1:7" ht="15" thickTop="1">
      <c r="B138" s="1378" t="b">
        <f>B136/1000000=B18</f>
        <v>0</v>
      </c>
      <c r="C138" s="816">
        <f>B122+B123-$B$18*1000000</f>
        <v>-22922636.103151858</v>
      </c>
      <c r="D138" s="6"/>
    </row>
    <row r="139" spans="1:7" ht="14.4">
      <c r="C139" s="20"/>
    </row>
    <row r="140" spans="1:7" ht="14.4"/>
    <row r="141" spans="1:7" ht="14.4">
      <c r="A141" t="str">
        <f>"In next 1 month, Cash to maturity of BW Group is $"&amp;TEXT($B$145/1000000,"#,##0.#")&amp;"mn. Total cash to maturity in the next 12 months is $"&amp;TEXT(SUM($B$145:$B$157)/1000000,"#,##0.#")&amp;"mn"</f>
        <v>In next 1 month, Cash to maturity of BW Group is $25,9405mn. Total cash to maturity in the next 12 months is $39,6204mn</v>
      </c>
    </row>
    <row r="142" spans="1:7" ht="15" thickBot="1"/>
    <row r="143" spans="1:7" ht="27.6">
      <c r="A143" s="752" t="s">
        <v>232</v>
      </c>
      <c r="B143" s="348" t="s">
        <v>216</v>
      </c>
      <c r="C143" s="775" t="s">
        <v>84</v>
      </c>
      <c r="D143" s="345" t="s">
        <v>217</v>
      </c>
    </row>
    <row r="144" spans="1:7" ht="14.4">
      <c r="A144" s="73" t="str">
        <f>"Due in "&amp;TEXT($B$6,"mmm")</f>
        <v>Due in Jan</v>
      </c>
      <c r="B144" s="638">
        <f>SUMIFS(Table1218[CLOSING BALANCE 
(VND)],Table1218[To maturity date],Summary!$A144)/Fx_rate</f>
        <v>63394485.19992359</v>
      </c>
      <c r="C144" s="779">
        <f t="shared" ref="C144:C158" si="17">B144/$B$158</f>
        <v>0.61539170224073225</v>
      </c>
      <c r="D144" s="753" cm="1">
        <f t="array" ref="D144">IFERROR(SUMPRODUCT((Table1218[CLOSING BALANCE 
(VND)])*(Table1218[Interest rate])*(Table1218[To maturity date]=Summary!$A144))/SUMPRODUCT((Table1218[CLOSING BALANCE 
(VND)])*(Table1218[To maturity date]=Summary!$A144)),0)</f>
        <v>4.7004475984698306E-2</v>
      </c>
    </row>
    <row r="145" spans="1:4" ht="14.4">
      <c r="A145" s="73" t="s">
        <v>233</v>
      </c>
      <c r="B145" s="638">
        <f>SUMIFS(Table1218[CLOSING BALANCE 
(VND)],Table1218[To maturity date],Summary!$A145)/Fx_rate</f>
        <v>25940540.67400191</v>
      </c>
      <c r="C145" s="779">
        <f t="shared" si="17"/>
        <v>0.25181359911789658</v>
      </c>
      <c r="D145" s="100" cm="1">
        <f t="array" ref="D145">IFERROR(SUMPRODUCT((Table1218[CLOSING BALANCE 
(VND)])*(Table1218[Interest rate])*(Table1218[To maturity date]=Summary!$A145))/SUMPRODUCT((Table1218[CLOSING BALANCE 
(VND)])*(Table1218[To maturity date]=Summary!$A145)),0)</f>
        <v>4.6742086028587232E-2</v>
      </c>
    </row>
    <row r="146" spans="1:4" ht="14.4">
      <c r="A146" s="73" t="s">
        <v>234</v>
      </c>
      <c r="B146" s="75">
        <f>SUMIFS(Table1218[CLOSING BALANCE 
(VND)],Table1218[To maturity date],Summary!$A146)/Fx_rate</f>
        <v>11021967.526265521</v>
      </c>
      <c r="C146" s="74">
        <f t="shared" si="17"/>
        <v>0.10699396543153547</v>
      </c>
      <c r="D146" s="100" cm="1">
        <f t="array" ref="D146">IFERROR(SUMPRODUCT((Table1218[CLOSING BALANCE 
(VND)])*(Table1218[Interest rate])*(Table1218[To maturity date]=Summary!$A146))/SUMPRODUCT((Table1218[CLOSING BALANCE 
(VND)])*(Table1218[To maturity date]=Summary!$A146)),0)</f>
        <v>5.602253032928943E-2</v>
      </c>
    </row>
    <row r="147" spans="1:4" ht="14.4">
      <c r="A147" s="73" t="s">
        <v>235</v>
      </c>
      <c r="B147" s="75">
        <f>SUMIFS(Table1218[CLOSING BALANCE 
(VND)],Table1218[To maturity date],Summary!$A147)/Fx_rate</f>
        <v>684835.47690544417</v>
      </c>
      <c r="C147" s="74">
        <f t="shared" si="17"/>
        <v>6.6479295250778834E-3</v>
      </c>
      <c r="D147" s="100" cm="1">
        <f t="array" ref="D147">IFERROR(SUMPRODUCT((Table1218[CLOSING BALANCE 
(VND)])*(Table1218[Interest rate])*(Table1218[To maturity date]=Summary!$A147))/SUMPRODUCT((Table1218[CLOSING BALANCE 
(VND)])*(Table1218[To maturity date]=Summary!$A147)),0)</f>
        <v>4.6358458286513284E-2</v>
      </c>
    </row>
    <row r="148" spans="1:4" ht="14.4">
      <c r="A148" s="73" t="s">
        <v>236</v>
      </c>
      <c r="B148" s="75">
        <f>SUMIFS(Table1218[CLOSING BALANCE 
(VND)],Table1218[To maturity date],Summary!$A148)/Fx_rate</f>
        <v>707354.34574976121</v>
      </c>
      <c r="C148" s="74">
        <f t="shared" si="17"/>
        <v>6.8665277988384024E-3</v>
      </c>
      <c r="D148" s="100" cm="1">
        <f t="array" ref="D148">IFERROR(SUMPRODUCT((Table1218[CLOSING BALANCE 
(VND)])*(Table1218[Interest rate])*(Table1218[To maturity date]=Summary!$A148))/SUMPRODUCT((Table1218[CLOSING BALANCE 
(VND)])*(Table1218[To maturity date]=Summary!$A148)),0)</f>
        <v>4.291979476100459E-2</v>
      </c>
    </row>
    <row r="149" spans="1:4" ht="14.4">
      <c r="A149" s="73" t="s">
        <v>237</v>
      </c>
      <c r="B149" s="75">
        <f>SUMIFS(Table1218[CLOSING BALANCE 
(VND)],Table1218[To maturity date],Summary!$A149)/Fx_rate</f>
        <v>103151.86246418337</v>
      </c>
      <c r="C149" s="74">
        <f t="shared" si="17"/>
        <v>1.0013300057717357E-3</v>
      </c>
      <c r="D149" s="100" cm="1">
        <f t="array" ref="D149">IFERROR(SUMPRODUCT((Table1218[CLOSING BALANCE 
(VND)])*(Table1218[Interest rate])*(Table1218[To maturity date]=Summary!$A149))/SUMPRODUCT((Table1218[CLOSING BALANCE 
(VND)])*(Table1218[To maturity date]=Summary!$A149)),0)</f>
        <v>6.9444444444444434E-2</v>
      </c>
    </row>
    <row r="150" spans="1:4" ht="14.4">
      <c r="A150" s="73" t="s">
        <v>238</v>
      </c>
      <c r="B150" s="75">
        <f>SUMIFS(Table1218[CLOSING BALANCE 
(VND)],Table1218[To maturity date],Summary!$A150)/Fx_rate</f>
        <v>517339.22987583571</v>
      </c>
      <c r="C150" s="74">
        <f t="shared" si="17"/>
        <v>5.0219868227525848E-3</v>
      </c>
      <c r="D150" s="100" cm="1">
        <f t="array" ref="D150">IFERROR(SUMPRODUCT((Table1218[CLOSING BALANCE 
(VND)])*(Table1218[Interest rate])*(Table1218[To maturity date]=Summary!$A150))/SUMPRODUCT((Table1218[CLOSING BALANCE 
(VND)])*(Table1218[To maturity date]=Summary!$A150)),0)</f>
        <v>4.9615191021193654E-2</v>
      </c>
    </row>
    <row r="151" spans="1:4" ht="14.4">
      <c r="A151" s="73" t="s">
        <v>239</v>
      </c>
      <c r="B151" s="75">
        <f>SUMIFS(Table1218[CLOSING BALANCE 
(VND)],Table1218[To maturity date],Summary!$A151)/Fx_rate</f>
        <v>43094.555873925499</v>
      </c>
      <c r="C151" s="74">
        <f t="shared" si="17"/>
        <v>4.1833342463352513E-4</v>
      </c>
      <c r="D151" s="100" cm="1">
        <f t="array" ref="D151">IFERROR(SUMPRODUCT((Table1218[CLOSING BALANCE 
(VND)])*(Table1218[Interest rate])*(Table1218[To maturity date]=Summary!$A151))/SUMPRODUCT((Table1218[CLOSING BALANCE 
(VND)])*(Table1218[To maturity date]=Summary!$A151)),0)</f>
        <v>4.1000000000000002E-2</v>
      </c>
    </row>
    <row r="152" spans="1:4" ht="14.4">
      <c r="A152" s="73" t="s">
        <v>240</v>
      </c>
      <c r="B152" s="75">
        <f>SUMIFS(Table1218[CLOSING BALANCE 
(VND)],Table1218[To maturity date],Summary!$A152)/Fx_rate</f>
        <v>0</v>
      </c>
      <c r="C152" s="74">
        <f t="shared" si="17"/>
        <v>0</v>
      </c>
      <c r="D152" s="100" cm="1">
        <f t="array" ref="D152">IFERROR(SUMPRODUCT((Table1218[CLOSING BALANCE 
(VND)])*(Table1218[Interest rate])*(Table1218[To maturity date]=Summary!$A152))/SUMPRODUCT((Table1218[CLOSING BALANCE 
(VND)])*(Table1218[To maturity date]=Summary!$A152)),0)</f>
        <v>0</v>
      </c>
    </row>
    <row r="153" spans="1:4" ht="14.4">
      <c r="A153" s="73" t="s">
        <v>241</v>
      </c>
      <c r="B153" s="75">
        <f>SUMIFS(Table1218[CLOSING BALANCE 
(VND)],Table1218[To maturity date],Summary!$A153)/Fx_rate</f>
        <v>168787.0105062082</v>
      </c>
      <c r="C153" s="74">
        <f t="shared" si="17"/>
        <v>1.6384725798146401E-3</v>
      </c>
      <c r="D153" s="100" cm="1">
        <f t="array" ref="D153">IFERROR(SUMPRODUCT((Table1218[CLOSING BALANCE 
(VND)])*(Table1218[Interest rate])*(Table1218[To maturity date]=Summary!$A153))/SUMPRODUCT((Table1218[CLOSING BALANCE 
(VND)])*(Table1218[To maturity date]=Summary!$A153)),0)</f>
        <v>4.5259393390674516E-2</v>
      </c>
    </row>
    <row r="154" spans="1:4" ht="14.4">
      <c r="A154" s="73" t="s">
        <v>242</v>
      </c>
      <c r="B154" s="75">
        <f>SUMIFS(Table1218[CLOSING BALANCE 
(VND)],Table1218[To maturity date],Summary!$A154)/Fx_rate</f>
        <v>375989.64446991403</v>
      </c>
      <c r="C154" s="74">
        <f t="shared" si="17"/>
        <v>3.6498586052956384E-3</v>
      </c>
      <c r="D154" s="100" cm="1">
        <f t="array" ref="D154">IFERROR(SUMPRODUCT((Table1218[CLOSING BALANCE 
(VND)])*(Table1218[Interest rate])*(Table1218[To maturity date]=Summary!$A154))/SUMPRODUCT((Table1218[CLOSING BALANCE 
(VND)])*(Table1218[To maturity date]=Summary!$A154)),0)</f>
        <v>4.7E-2</v>
      </c>
    </row>
    <row r="155" spans="1:4" ht="14.4">
      <c r="A155" s="73" t="s">
        <v>243</v>
      </c>
      <c r="B155" s="75">
        <f>SUMIFS(Table1218[CLOSING BALANCE 
(VND)],Table1218[To maturity date],Summary!$A155)/Fx_rate</f>
        <v>57306.590257879659</v>
      </c>
      <c r="C155" s="74">
        <f t="shared" si="17"/>
        <v>5.5629444765096429E-4</v>
      </c>
      <c r="D155" s="100" cm="1">
        <f t="array" ref="D155">IFERROR(SUMPRODUCT((Table1218[CLOSING BALANCE 
(VND)])*(Table1218[Interest rate])*(Table1218[To maturity date]=Summary!$A155))/SUMPRODUCT((Table1218[CLOSING BALANCE 
(VND)])*(Table1218[To maturity date]=Summary!$A155)),0)</f>
        <v>4.7500000000000001E-2</v>
      </c>
    </row>
    <row r="156" spans="1:4" ht="14.4">
      <c r="A156" s="73" t="s">
        <v>244</v>
      </c>
      <c r="B156" s="75">
        <f>SUMIFS(Table1218[CLOSING BALANCE 
(VND)],Table1218[To maturity date],Summary!$A156)/Fx_rate</f>
        <v>0</v>
      </c>
      <c r="C156" s="74">
        <f t="shared" si="17"/>
        <v>0</v>
      </c>
      <c r="D156" s="100" cm="1">
        <f t="array" ref="D156">IFERROR(SUMPRODUCT((Table1218[CLOSING BALANCE 
(VND)])*(Table1218[Interest rate])*(Table1218[To maturity date]=Summary!$A156))/SUMPRODUCT((Table1218[CLOSING BALANCE 
(VND)])*(Table1218[To maturity date]=Summary!$A156)),0)</f>
        <v>0</v>
      </c>
    </row>
    <row r="157" spans="1:4" ht="14.4">
      <c r="A157" s="73" t="s">
        <v>245</v>
      </c>
      <c r="B157" s="75">
        <f>SUMIFS(Table1218[CLOSING BALANCE 
(VND)],Table1218[To maturity date],Summary!$A157)/Fx_rate</f>
        <v>0</v>
      </c>
      <c r="C157" s="74">
        <f t="shared" si="17"/>
        <v>0</v>
      </c>
      <c r="D157" s="100" cm="1">
        <f t="array" ref="D157">IFERROR(SUMPRODUCT((Table1218[CLOSING BALANCE 
(VND)])*(Table1218[Interest rate])*(Table1218[To maturity date]=Summary!$A157))/SUMPRODUCT((Table1218[CLOSING BALANCE 
(VND)])*(Table1218[To maturity date]=Summary!$A157)),0)</f>
        <v>0</v>
      </c>
    </row>
    <row r="158" spans="1:4" ht="15" thickBot="1">
      <c r="A158" s="781" t="s">
        <v>246</v>
      </c>
      <c r="B158" s="785">
        <f>SUM(B144:B157)</f>
        <v>103014852.11629421</v>
      </c>
      <c r="C158" s="786">
        <f t="shared" si="17"/>
        <v>1</v>
      </c>
      <c r="D158" s="787">
        <f>SUMPRODUCT(B144:B157,D144:D157)/B158</f>
        <v>4.7901406730805153E-2</v>
      </c>
    </row>
    <row r="159" spans="1:4" ht="15.6" hidden="1" thickTop="1" thickBot="1">
      <c r="A159" s="682" t="s">
        <v>231</v>
      </c>
      <c r="B159" s="741" t="e">
        <f>B137</f>
        <v>#REF!</v>
      </c>
      <c r="C159" s="741"/>
      <c r="D159" s="80"/>
    </row>
    <row r="160" spans="1:4" ht="15" thickTop="1">
      <c r="B160" s="1378" t="b">
        <f>B158=B123</f>
        <v>1</v>
      </c>
      <c r="C160" s="1217"/>
    </row>
    <row r="161" spans="1:97" ht="14.4"/>
    <row r="162" spans="1:97" s="735" customFormat="1" ht="13.8">
      <c r="A162" s="733" t="s">
        <v>247</v>
      </c>
      <c r="B162" s="733"/>
      <c r="C162" s="734"/>
      <c r="D162" s="734"/>
      <c r="E162" s="734"/>
      <c r="F162" s="734"/>
      <c r="G162" s="734"/>
      <c r="H162" s="734"/>
      <c r="W162" s="734"/>
      <c r="X162" s="734"/>
      <c r="Y162" s="734"/>
      <c r="Z162" s="734"/>
      <c r="AA162" s="734"/>
      <c r="AB162" s="734"/>
      <c r="AC162" s="734"/>
      <c r="AD162" s="734"/>
      <c r="AE162" s="734"/>
      <c r="AF162" s="734"/>
      <c r="AG162" s="734"/>
      <c r="AH162" s="734"/>
      <c r="AI162" s="734"/>
      <c r="AJ162" s="734"/>
      <c r="AK162" s="734"/>
      <c r="AL162" s="734"/>
      <c r="AM162" s="734"/>
      <c r="AN162" s="734"/>
      <c r="AO162" s="734"/>
      <c r="AP162" s="734"/>
      <c r="AQ162" s="734"/>
      <c r="AR162" s="734"/>
      <c r="AS162" s="734"/>
      <c r="AT162" s="734"/>
      <c r="AU162" s="734"/>
      <c r="AV162" s="734"/>
      <c r="AW162" s="734"/>
      <c r="AX162" s="734"/>
      <c r="AY162" s="734"/>
      <c r="AZ162" s="734"/>
      <c r="BA162" s="734"/>
      <c r="BB162" s="734"/>
      <c r="BC162" s="734"/>
      <c r="BD162" s="734"/>
      <c r="BE162" s="734"/>
      <c r="BF162" s="734"/>
      <c r="BG162" s="734"/>
      <c r="BH162" s="734"/>
      <c r="BI162" s="734"/>
      <c r="BJ162" s="734"/>
      <c r="BK162" s="734"/>
      <c r="BL162" s="734"/>
      <c r="BM162" s="734"/>
      <c r="BN162" s="734"/>
      <c r="BO162" s="734"/>
      <c r="BP162" s="734"/>
      <c r="BQ162" s="734"/>
      <c r="BR162" s="734"/>
      <c r="BS162" s="734"/>
      <c r="BT162" s="734"/>
      <c r="BU162" s="734"/>
      <c r="BV162" s="734"/>
      <c r="BW162" s="734"/>
      <c r="BX162" s="734"/>
      <c r="BY162" s="734"/>
      <c r="BZ162" s="734"/>
      <c r="CA162" s="734"/>
      <c r="CB162" s="734"/>
      <c r="CC162" s="734"/>
      <c r="CD162" s="734"/>
      <c r="CE162" s="734"/>
      <c r="CF162" s="734"/>
      <c r="CG162" s="734"/>
      <c r="CH162" s="734"/>
      <c r="CI162" s="734"/>
      <c r="CJ162" s="734"/>
      <c r="CK162" s="734"/>
      <c r="CL162" s="734"/>
      <c r="CM162" s="734"/>
      <c r="CN162" s="734"/>
      <c r="CO162" s="734"/>
      <c r="CP162" s="734"/>
      <c r="CQ162" s="734"/>
      <c r="CR162" s="734"/>
      <c r="CS162" s="734"/>
    </row>
    <row r="163" spans="1:97" s="2" customFormat="1" ht="13.8">
      <c r="A163" s="104"/>
      <c r="B163" s="104"/>
      <c r="C163" s="105"/>
      <c r="D163" s="105"/>
      <c r="E163" s="105"/>
      <c r="F163" s="105"/>
      <c r="G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c r="BC163" s="105"/>
      <c r="BD163" s="105"/>
      <c r="BE163" s="105"/>
      <c r="BF163" s="105"/>
      <c r="BG163" s="105"/>
      <c r="BH163" s="105"/>
      <c r="BI163" s="105"/>
      <c r="BJ163" s="105"/>
      <c r="BK163" s="105"/>
      <c r="BL163" s="105"/>
      <c r="BM163" s="105"/>
      <c r="BN163" s="105"/>
      <c r="BO163" s="105"/>
      <c r="BP163" s="105"/>
      <c r="BQ163" s="105"/>
      <c r="BR163" s="105"/>
      <c r="BS163" s="105"/>
      <c r="BT163" s="105"/>
      <c r="BU163" s="105"/>
      <c r="BV163" s="105"/>
      <c r="BW163" s="105"/>
      <c r="BX163" s="105"/>
      <c r="BY163" s="105"/>
      <c r="BZ163" s="105"/>
      <c r="CA163" s="105"/>
      <c r="CB163" s="105"/>
      <c r="CC163" s="105"/>
      <c r="CD163" s="105"/>
      <c r="CE163" s="105"/>
      <c r="CF163" s="105"/>
      <c r="CG163" s="105"/>
      <c r="CH163" s="105"/>
      <c r="CI163" s="105"/>
      <c r="CJ163" s="105"/>
      <c r="CK163" s="105"/>
      <c r="CL163" s="105"/>
      <c r="CM163" s="105"/>
      <c r="CN163" s="105"/>
      <c r="CO163" s="105"/>
      <c r="CP163" s="105"/>
      <c r="CQ163" s="105"/>
      <c r="CR163" s="105"/>
      <c r="CS163" s="105"/>
    </row>
    <row r="164" spans="1:97" s="2" customFormat="1" ht="16.350000000000001" customHeight="1">
      <c r="A164" s="105" t="str">
        <f>"Total USD of BWID Group as at "&amp;TEXT($B$6,"dd mmm yyyy")&amp;" is $"&amp;TEXT($B$170/1000000,"$#,##0.00")&amp;"mn, in which, USD gaining an average yield of 1%-2% p.a is "&amp;TEXT($B$183/1000000,"$#,##0.00")&amp;"mn, accounted for "&amp;TEXT(B196,"#0.00%")&amp;" total cash in USD"</f>
        <v>Total USD of BWID Group as at 15 Jan 2026 is $$,06567mn, in which, USD gaining an average yield of 1%-2% p.a is $,000mn, accounted for 000% total cash in USD</v>
      </c>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c r="BC164" s="105"/>
      <c r="BD164" s="105"/>
      <c r="BE164" s="105"/>
      <c r="BF164" s="105"/>
      <c r="BG164" s="105"/>
      <c r="BH164" s="105"/>
      <c r="BI164" s="105"/>
      <c r="BJ164" s="105"/>
      <c r="BK164" s="105"/>
      <c r="BL164" s="105"/>
      <c r="BM164" s="105"/>
      <c r="BN164" s="105"/>
      <c r="BO164" s="105"/>
      <c r="BP164" s="105"/>
      <c r="BQ164" s="105"/>
      <c r="BR164" s="105"/>
      <c r="BS164" s="105"/>
      <c r="BT164" s="105"/>
      <c r="BU164" s="105"/>
      <c r="BV164" s="105"/>
      <c r="BW164" s="105"/>
      <c r="BX164" s="105"/>
      <c r="BY164" s="105"/>
      <c r="BZ164" s="105"/>
      <c r="CA164" s="105"/>
      <c r="CB164" s="105"/>
      <c r="CC164" s="105"/>
      <c r="CD164" s="105"/>
      <c r="CE164" s="105"/>
      <c r="CF164" s="105"/>
      <c r="CG164" s="105"/>
      <c r="CH164" s="105"/>
      <c r="CI164" s="105"/>
      <c r="CJ164" s="105"/>
      <c r="CK164" s="105"/>
      <c r="CL164" s="105"/>
      <c r="CM164" s="105"/>
      <c r="CN164" s="105"/>
      <c r="CO164" s="105"/>
      <c r="CP164" s="105"/>
      <c r="CQ164" s="105"/>
      <c r="CR164" s="105"/>
      <c r="CS164" s="105"/>
    </row>
    <row r="165" spans="1:97" s="2" customFormat="1" ht="13.8">
      <c r="A165" s="107" t="s">
        <v>248</v>
      </c>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c r="BC165" s="105"/>
      <c r="BD165" s="105"/>
      <c r="BE165" s="105"/>
      <c r="BF165" s="105"/>
      <c r="BG165" s="105"/>
      <c r="BH165" s="105"/>
      <c r="BI165" s="105"/>
      <c r="BJ165" s="105"/>
      <c r="BK165" s="105"/>
      <c r="BL165" s="105"/>
      <c r="BM165" s="105"/>
      <c r="BN165" s="105"/>
      <c r="BO165" s="105"/>
      <c r="BP165" s="105"/>
      <c r="BQ165" s="105"/>
      <c r="BR165" s="105"/>
      <c r="BS165" s="105"/>
      <c r="BT165" s="105"/>
      <c r="BU165" s="105"/>
      <c r="BV165" s="105"/>
      <c r="BW165" s="105"/>
      <c r="BX165" s="105"/>
      <c r="BY165" s="105"/>
      <c r="BZ165" s="105"/>
      <c r="CA165" s="105"/>
      <c r="CB165" s="105"/>
      <c r="CC165" s="105"/>
      <c r="CD165" s="105"/>
      <c r="CE165" s="105"/>
      <c r="CF165" s="105"/>
      <c r="CG165" s="105"/>
      <c r="CH165" s="105"/>
      <c r="CI165" s="105"/>
      <c r="CJ165" s="105"/>
      <c r="CK165" s="105"/>
      <c r="CL165" s="105"/>
      <c r="CM165" s="105"/>
      <c r="CN165" s="105"/>
      <c r="CO165" s="105"/>
      <c r="CP165" s="105"/>
      <c r="CQ165" s="105"/>
      <c r="CR165" s="105"/>
      <c r="CS165" s="105"/>
    </row>
    <row r="166" spans="1:97" s="2" customFormat="1" ht="13.8">
      <c r="A166" s="108" t="s">
        <v>249</v>
      </c>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c r="BC166" s="105"/>
      <c r="BD166" s="105"/>
      <c r="BE166" s="105"/>
      <c r="BF166" s="105"/>
      <c r="BG166" s="105"/>
      <c r="BH166" s="105"/>
      <c r="BI166" s="105"/>
      <c r="BJ166" s="105"/>
      <c r="BK166" s="105"/>
      <c r="BL166" s="105"/>
      <c r="BM166" s="105"/>
      <c r="BN166" s="105"/>
      <c r="BO166" s="105"/>
      <c r="BP166" s="105"/>
      <c r="BQ166" s="105"/>
      <c r="BR166" s="105"/>
      <c r="BS166" s="105"/>
      <c r="BT166" s="105"/>
      <c r="BU166" s="105"/>
      <c r="BV166" s="105"/>
      <c r="BW166" s="105"/>
      <c r="BX166" s="105"/>
      <c r="BY166" s="105"/>
      <c r="BZ166" s="105"/>
      <c r="CA166" s="105"/>
      <c r="CB166" s="105"/>
      <c r="CC166" s="105"/>
      <c r="CD166" s="105"/>
      <c r="CE166" s="105"/>
      <c r="CF166" s="105"/>
      <c r="CG166" s="105"/>
      <c r="CH166" s="105"/>
      <c r="CI166" s="105"/>
      <c r="CJ166" s="105"/>
      <c r="CK166" s="105"/>
      <c r="CL166" s="105"/>
      <c r="CM166" s="105"/>
      <c r="CN166" s="105"/>
      <c r="CO166" s="105"/>
      <c r="CP166" s="105"/>
      <c r="CQ166" s="105"/>
      <c r="CR166" s="105"/>
      <c r="CS166" s="105"/>
    </row>
    <row r="167" spans="1:97" s="2" customFormat="1" ht="13.8">
      <c r="A167" s="108" t="s">
        <v>250</v>
      </c>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c r="BC167" s="105"/>
      <c r="BD167" s="105"/>
      <c r="BE167" s="105"/>
      <c r="BF167" s="105"/>
      <c r="BG167" s="105"/>
      <c r="BH167" s="105"/>
      <c r="BI167" s="105"/>
      <c r="BJ167" s="105"/>
      <c r="BK167" s="105"/>
      <c r="BL167" s="105"/>
      <c r="BM167" s="105"/>
      <c r="BN167" s="105"/>
      <c r="BO167" s="105"/>
      <c r="BP167" s="105"/>
      <c r="BQ167" s="105"/>
      <c r="BR167" s="105"/>
      <c r="BS167" s="105"/>
      <c r="BT167" s="105"/>
      <c r="BU167" s="105"/>
      <c r="BV167" s="105"/>
      <c r="BW167" s="105"/>
      <c r="BX167" s="105"/>
      <c r="BY167" s="105"/>
      <c r="BZ167" s="105"/>
      <c r="CA167" s="105"/>
      <c r="CB167" s="105"/>
      <c r="CC167" s="105"/>
      <c r="CD167" s="105"/>
      <c r="CE167" s="105"/>
      <c r="CF167" s="105"/>
      <c r="CG167" s="105"/>
      <c r="CH167" s="105"/>
      <c r="CI167" s="105"/>
      <c r="CJ167" s="105"/>
      <c r="CK167" s="105"/>
      <c r="CL167" s="105"/>
      <c r="CM167" s="105"/>
      <c r="CN167" s="105"/>
      <c r="CO167" s="105"/>
      <c r="CP167" s="105"/>
      <c r="CQ167" s="105"/>
      <c r="CR167" s="105"/>
      <c r="CS167" s="105"/>
    </row>
    <row r="168" spans="1:97" ht="15" thickBot="1"/>
    <row r="169" spans="1:97" ht="32.1" customHeight="1">
      <c r="A169" s="346"/>
      <c r="B169" s="348" t="s">
        <v>251</v>
      </c>
      <c r="C169" s="775" t="s">
        <v>84</v>
      </c>
      <c r="D169" s="348" t="s">
        <v>217</v>
      </c>
      <c r="E169" s="349" t="s">
        <v>252</v>
      </c>
    </row>
    <row r="170" spans="1:97" ht="15" thickBot="1">
      <c r="A170" s="84" t="s">
        <v>253</v>
      </c>
      <c r="B170" s="87">
        <f>SUM(B171:B182)</f>
        <v>65667.590000000215</v>
      </c>
      <c r="C170" s="776">
        <f t="shared" ref="C170:C195" si="18">B170/$B$195</f>
        <v>1</v>
      </c>
      <c r="D170" s="113">
        <f>IFERROR((#REF!*#REF!+#REF!*#REF!+#REF!*#REF!)/B170,0)</f>
        <v>0</v>
      </c>
      <c r="E170" s="89"/>
    </row>
    <row r="171" spans="1:97" ht="14.4">
      <c r="A171" s="65" t="s">
        <v>110</v>
      </c>
      <c r="B171" s="81">
        <f>SUMIFS(Table11[CLOSING BALANCE (USD)],Table11[Bank_1],Summary!$A171)-B184</f>
        <v>36887.07</v>
      </c>
      <c r="C171" s="777">
        <f t="shared" si="18"/>
        <v>0.5617241321023031</v>
      </c>
      <c r="D171" s="114"/>
      <c r="E171" s="450" t="s">
        <v>254</v>
      </c>
    </row>
    <row r="172" spans="1:97" ht="14.4">
      <c r="A172" s="65" t="s">
        <v>112</v>
      </c>
      <c r="B172" s="81">
        <f>SUMIFS(Table11[CLOSING BALANCE (USD)],Table11[Bank_1],Summary!$A172)-B185</f>
        <v>7999.069999999997</v>
      </c>
      <c r="C172" s="777">
        <f t="shared" si="18"/>
        <v>0.1218115359494687</v>
      </c>
      <c r="D172" s="114"/>
      <c r="E172" s="450" t="s">
        <v>254</v>
      </c>
    </row>
    <row r="173" spans="1:97" ht="14.4">
      <c r="A173" s="65" t="s">
        <v>114</v>
      </c>
      <c r="B173" s="81">
        <f>SUMIFS(Table11[CLOSING BALANCE (USD)],Table11[Bank_1],Summary!$A173)-B186+USD_yield!H26</f>
        <v>579.09999999999582</v>
      </c>
      <c r="C173" s="777">
        <f t="shared" si="18"/>
        <v>8.8186577275029265E-3</v>
      </c>
      <c r="D173" s="114"/>
      <c r="E173" s="450" t="s">
        <v>254</v>
      </c>
    </row>
    <row r="174" spans="1:97" ht="14.4">
      <c r="A174" s="65" t="s">
        <v>118</v>
      </c>
      <c r="B174" s="81">
        <f>SUMIFS(Table11[CLOSING BALANCE (USD)],Table11[Bank_1],Summary!$A174)-B187</f>
        <v>151.6</v>
      </c>
      <c r="C174" s="777">
        <f t="shared" si="18"/>
        <v>2.3085969806414322E-3</v>
      </c>
      <c r="D174" s="114"/>
      <c r="E174" s="450"/>
    </row>
    <row r="175" spans="1:97" ht="14.4">
      <c r="A175" s="65" t="s">
        <v>116</v>
      </c>
      <c r="B175" s="81">
        <f>SUMIFS(Table11[CLOSING BALANCE (USD)],Table11[Bank_1],Summary!$A175)-USD_yield!H26</f>
        <v>250</v>
      </c>
      <c r="C175" s="777">
        <f t="shared" si="18"/>
        <v>3.8070530683400926E-3</v>
      </c>
      <c r="D175" s="114"/>
      <c r="E175" s="450"/>
    </row>
    <row r="176" spans="1:97" ht="14.4">
      <c r="A176" s="65" t="s">
        <v>119</v>
      </c>
      <c r="B176" s="81">
        <f>SUMIFS(Table11[CLOSING BALANCE (USD)],Table11[Bank_1],Summary!$A176)-B189</f>
        <v>90</v>
      </c>
      <c r="C176" s="777">
        <f t="shared" si="18"/>
        <v>1.3705391046024333E-3</v>
      </c>
      <c r="D176" s="114"/>
      <c r="E176" s="450"/>
    </row>
    <row r="177" spans="1:7" ht="14.4">
      <c r="A177" s="65" t="s">
        <v>197</v>
      </c>
      <c r="B177" s="81">
        <f>SUMIFS(Table11[CLOSING BALANCE (USD)],Table11[BRANCH],Summary!$A177)-B190</f>
        <v>0</v>
      </c>
      <c r="C177" s="777">
        <f t="shared" si="18"/>
        <v>0</v>
      </c>
      <c r="D177" s="114"/>
      <c r="E177" s="449"/>
    </row>
    <row r="178" spans="1:7" ht="28.8">
      <c r="A178" s="65" t="s">
        <v>202</v>
      </c>
      <c r="B178" s="81">
        <f>SUMIFS(Table11[CLOSING BALANCE (USD)],Table11[Bank_1],Summary!$A178)-B191</f>
        <v>6586.2400000002235</v>
      </c>
      <c r="C178" s="777">
        <f t="shared" si="18"/>
        <v>0.10029666080330041</v>
      </c>
      <c r="D178" s="114"/>
      <c r="E178" s="450" t="s">
        <v>255</v>
      </c>
    </row>
    <row r="179" spans="1:7" ht="14.4">
      <c r="A179" s="65" t="s">
        <v>198</v>
      </c>
      <c r="B179" s="81">
        <f>SUMIFS(Table11[CLOSING BALANCE (USD)],Table11[Bank_1],Summary!$A179)-B192</f>
        <v>13119.739999999998</v>
      </c>
      <c r="C179" s="777">
        <f t="shared" si="18"/>
        <v>0.19979018569129695</v>
      </c>
      <c r="D179" s="114"/>
      <c r="E179" s="449" t="s">
        <v>256</v>
      </c>
    </row>
    <row r="180" spans="1:7" ht="14.4">
      <c r="A180" s="65" t="s">
        <v>257</v>
      </c>
      <c r="B180" s="81">
        <f>SUMIFS(Table11[CLOSING BALANCE (USD)],Table11[Bank_1],Summary!$A180)-B193</f>
        <v>0</v>
      </c>
      <c r="C180" s="777">
        <f t="shared" si="18"/>
        <v>0</v>
      </c>
      <c r="D180" s="114"/>
      <c r="E180" s="450"/>
    </row>
    <row r="181" spans="1:7" ht="14.4">
      <c r="A181" s="65" t="s">
        <v>258</v>
      </c>
      <c r="B181" s="81">
        <f>SUMIFS(Table11[CLOSING BALANCE (USD)],Table11[Bank_1],Summary!$A181)-B194</f>
        <v>4.74</v>
      </c>
      <c r="C181" s="777">
        <f t="shared" si="18"/>
        <v>7.2181726175728157E-5</v>
      </c>
      <c r="D181" s="114"/>
      <c r="E181" s="450"/>
    </row>
    <row r="182" spans="1:7" ht="14.4">
      <c r="A182" s="65" t="s">
        <v>259</v>
      </c>
      <c r="B182" s="81">
        <f>SUMIFS(Table11[CLOSING BALANCE (USD)],Table11[Bank_1],Summary!$A182)-B194-B177-B190</f>
        <v>0.03</v>
      </c>
      <c r="C182" s="777">
        <f t="shared" si="18"/>
        <v>4.568463682008111E-7</v>
      </c>
      <c r="D182" s="114"/>
      <c r="E182" s="82"/>
    </row>
    <row r="183" spans="1:7" ht="15" thickBot="1">
      <c r="A183" s="84" t="s">
        <v>260</v>
      </c>
      <c r="B183" s="88">
        <f>SUM(B184:B194)</f>
        <v>0</v>
      </c>
      <c r="C183" s="778">
        <f t="shared" si="18"/>
        <v>0</v>
      </c>
      <c r="D183" s="115">
        <f>IFERROR(SUMPRODUCT(B184:B194,D184:D194)/B183,0)</f>
        <v>0</v>
      </c>
      <c r="E183" s="89"/>
    </row>
    <row r="184" spans="1:7" ht="14.4">
      <c r="A184" s="65" t="s">
        <v>110</v>
      </c>
      <c r="B184" s="81">
        <f>USD_yield!H22</f>
        <v>0</v>
      </c>
      <c r="C184" s="777">
        <f t="shared" si="18"/>
        <v>0</v>
      </c>
      <c r="D184" s="100">
        <f>USD_yield!I22</f>
        <v>0</v>
      </c>
      <c r="E184" s="82"/>
    </row>
    <row r="185" spans="1:7" ht="14.4">
      <c r="A185" s="65" t="s">
        <v>112</v>
      </c>
      <c r="B185" s="81">
        <f>USD_yield!H23</f>
        <v>0</v>
      </c>
      <c r="C185" s="777">
        <f t="shared" si="18"/>
        <v>0</v>
      </c>
      <c r="D185" s="100">
        <f>USD_yield!I23</f>
        <v>0</v>
      </c>
      <c r="E185" s="82"/>
    </row>
    <row r="186" spans="1:7" ht="14.4">
      <c r="A186" s="65" t="s">
        <v>114</v>
      </c>
      <c r="B186" s="81">
        <f>USD_yield!H24+USD_yield!H26</f>
        <v>0</v>
      </c>
      <c r="C186" s="777">
        <f t="shared" si="18"/>
        <v>0</v>
      </c>
      <c r="D186" s="100">
        <f>USD_yield!I24</f>
        <v>0</v>
      </c>
      <c r="E186" s="82"/>
    </row>
    <row r="187" spans="1:7" ht="14.4">
      <c r="A187" s="65" t="s">
        <v>118</v>
      </c>
      <c r="B187" s="81">
        <f>USD_yield!H25</f>
        <v>0</v>
      </c>
      <c r="C187" s="777">
        <f t="shared" si="18"/>
        <v>0</v>
      </c>
      <c r="D187" s="100">
        <f>USD_yield!I25</f>
        <v>0</v>
      </c>
      <c r="E187" s="82"/>
      <c r="G187" s="461"/>
    </row>
    <row r="188" spans="1:7" ht="14.4">
      <c r="A188" s="65" t="s">
        <v>116</v>
      </c>
      <c r="B188" s="81"/>
      <c r="C188" s="777">
        <f t="shared" si="18"/>
        <v>0</v>
      </c>
      <c r="D188" s="100">
        <f>USD_yield!I26</f>
        <v>0</v>
      </c>
      <c r="E188" s="82"/>
    </row>
    <row r="189" spans="1:7" ht="14.4">
      <c r="A189" s="65" t="s">
        <v>119</v>
      </c>
      <c r="B189" s="81">
        <f>USD_yield!H27</f>
        <v>0</v>
      </c>
      <c r="C189" s="777">
        <f t="shared" si="18"/>
        <v>0</v>
      </c>
      <c r="D189" s="100">
        <f>USD_yield!I27</f>
        <v>0</v>
      </c>
      <c r="E189" s="82"/>
      <c r="G189" s="819"/>
    </row>
    <row r="190" spans="1:7" ht="14.4">
      <c r="A190" s="65" t="s">
        <v>197</v>
      </c>
      <c r="B190" s="81">
        <f>USD_yield!H28</f>
        <v>0</v>
      </c>
      <c r="C190" s="777">
        <f t="shared" si="18"/>
        <v>0</v>
      </c>
      <c r="D190" s="100">
        <f>USD_yield!I28</f>
        <v>0</v>
      </c>
      <c r="E190" s="450"/>
      <c r="G190" s="823"/>
    </row>
    <row r="191" spans="1:7" ht="14.4">
      <c r="A191" s="65" t="s">
        <v>202</v>
      </c>
      <c r="B191" s="81">
        <f>USD_yield!H31</f>
        <v>0</v>
      </c>
      <c r="C191" s="777">
        <f t="shared" si="18"/>
        <v>0</v>
      </c>
      <c r="D191" s="100">
        <f>USD_yield!I29</f>
        <v>0</v>
      </c>
      <c r="E191" s="450"/>
    </row>
    <row r="192" spans="1:7" ht="14.4">
      <c r="A192" s="65" t="s">
        <v>198</v>
      </c>
      <c r="B192" s="81">
        <f>USD_yield!H29</f>
        <v>0</v>
      </c>
      <c r="C192" s="777">
        <f t="shared" si="18"/>
        <v>0</v>
      </c>
      <c r="D192" s="100">
        <f>USD_yield!I29</f>
        <v>0</v>
      </c>
      <c r="E192" s="450"/>
      <c r="G192" s="6"/>
    </row>
    <row r="193" spans="1:97" ht="14.4">
      <c r="A193" s="65" t="s">
        <v>257</v>
      </c>
      <c r="B193" s="81">
        <f>USD_yield!H30</f>
        <v>0</v>
      </c>
      <c r="C193" s="777">
        <f t="shared" si="18"/>
        <v>0</v>
      </c>
      <c r="D193" s="100">
        <f>USD_yield!I30</f>
        <v>0</v>
      </c>
      <c r="E193" s="450"/>
      <c r="G193" s="6"/>
    </row>
    <row r="194" spans="1:97" ht="14.4">
      <c r="A194" s="65" t="s">
        <v>259</v>
      </c>
      <c r="B194" s="81">
        <f>USD_yield!H32</f>
        <v>0</v>
      </c>
      <c r="C194" s="777">
        <f t="shared" si="18"/>
        <v>0</v>
      </c>
      <c r="D194" s="100">
        <f>USD_yield!I32</f>
        <v>0</v>
      </c>
      <c r="E194" s="82"/>
    </row>
    <row r="195" spans="1:97" ht="15" thickBot="1">
      <c r="A195" s="788" t="s">
        <v>261</v>
      </c>
      <c r="B195" s="782">
        <f>SUM(B170,B183)</f>
        <v>65667.590000000215</v>
      </c>
      <c r="C195" s="783">
        <f t="shared" si="18"/>
        <v>1</v>
      </c>
      <c r="D195" s="784">
        <f>IFERROR((B170*D170+B183*D183)/B195,0)</f>
        <v>0</v>
      </c>
      <c r="E195" s="789"/>
    </row>
    <row r="196" spans="1:97" ht="15.6" thickTop="1" thickBot="1">
      <c r="A196" s="683" t="s">
        <v>262</v>
      </c>
      <c r="B196" s="684">
        <f>B183/B195</f>
        <v>0</v>
      </c>
      <c r="C196" s="684"/>
      <c r="D196" s="111"/>
      <c r="E196" s="112"/>
    </row>
    <row r="197" spans="1:97" ht="14.4">
      <c r="B197" s="816">
        <f>B195-C18*1000000</f>
        <v>0</v>
      </c>
      <c r="D197" s="102"/>
      <c r="F197" s="102"/>
      <c r="G197" s="102"/>
    </row>
    <row r="198" spans="1:97" ht="14.4">
      <c r="B198" s="1217" t="b">
        <f>B195=C18*1000000</f>
        <v>1</v>
      </c>
    </row>
    <row r="199" spans="1:97" ht="14.4"/>
    <row r="200" spans="1:97" ht="14.4"/>
    <row r="201" spans="1:97" ht="14.4"/>
    <row r="202" spans="1:97" s="735" customFormat="1" ht="13.8" hidden="1">
      <c r="A202" s="733" t="s">
        <v>263</v>
      </c>
      <c r="B202" s="733"/>
      <c r="C202" s="734"/>
      <c r="D202" s="734"/>
      <c r="E202" s="734"/>
      <c r="F202" s="734"/>
      <c r="W202" s="734"/>
      <c r="X202" s="734"/>
      <c r="Y202" s="734"/>
      <c r="Z202" s="734"/>
      <c r="AA202" s="734"/>
      <c r="AB202" s="734"/>
      <c r="AC202" s="734"/>
      <c r="AD202" s="734"/>
      <c r="AE202" s="734"/>
      <c r="AF202" s="734"/>
      <c r="AG202" s="734"/>
      <c r="AH202" s="734"/>
      <c r="AI202" s="734"/>
      <c r="AJ202" s="734"/>
      <c r="AK202" s="734"/>
      <c r="AL202" s="734"/>
      <c r="AM202" s="734"/>
      <c r="AN202" s="734"/>
      <c r="AO202" s="734"/>
      <c r="AP202" s="734"/>
      <c r="AQ202" s="734"/>
      <c r="AR202" s="734"/>
      <c r="AS202" s="734"/>
      <c r="AT202" s="734"/>
      <c r="AU202" s="734"/>
      <c r="AV202" s="734"/>
      <c r="AW202" s="734"/>
      <c r="AX202" s="734"/>
      <c r="AY202" s="734"/>
      <c r="AZ202" s="734"/>
      <c r="BA202" s="734"/>
      <c r="BB202" s="734"/>
      <c r="BC202" s="734"/>
      <c r="BD202" s="734"/>
      <c r="BE202" s="734"/>
      <c r="BF202" s="734"/>
      <c r="BG202" s="734"/>
      <c r="BH202" s="734"/>
      <c r="BI202" s="734"/>
      <c r="BJ202" s="734"/>
      <c r="BK202" s="734"/>
      <c r="BL202" s="734"/>
      <c r="BM202" s="734"/>
      <c r="BN202" s="734"/>
      <c r="BO202" s="734"/>
      <c r="BP202" s="734"/>
      <c r="BQ202" s="734"/>
      <c r="BR202" s="734"/>
      <c r="BS202" s="734"/>
      <c r="BT202" s="734"/>
      <c r="BU202" s="734"/>
      <c r="BV202" s="734"/>
      <c r="BW202" s="734"/>
      <c r="BX202" s="734"/>
      <c r="BY202" s="734"/>
      <c r="BZ202" s="734"/>
      <c r="CA202" s="734"/>
      <c r="CB202" s="734"/>
      <c r="CC202" s="734"/>
      <c r="CD202" s="734"/>
      <c r="CE202" s="734"/>
      <c r="CF202" s="734"/>
      <c r="CG202" s="734"/>
      <c r="CH202" s="734"/>
      <c r="CI202" s="734"/>
      <c r="CJ202" s="734"/>
      <c r="CK202" s="734"/>
      <c r="CL202" s="734"/>
      <c r="CM202" s="734"/>
      <c r="CN202" s="734"/>
      <c r="CO202" s="734"/>
      <c r="CP202" s="734"/>
      <c r="CQ202" s="734"/>
      <c r="CR202" s="734"/>
      <c r="CS202" s="734"/>
    </row>
    <row r="203" spans="1:97" s="448" customFormat="1" ht="13.8" hidden="1">
      <c r="A203" s="446"/>
      <c r="B203" s="446"/>
      <c r="C203" s="447"/>
      <c r="D203" s="447"/>
      <c r="E203" s="447"/>
      <c r="F203" s="447"/>
      <c r="G203" s="447"/>
      <c r="W203" s="447"/>
      <c r="X203" s="447"/>
      <c r="Y203" s="447"/>
      <c r="Z203" s="447"/>
      <c r="AA203" s="447"/>
      <c r="AB203" s="447"/>
      <c r="AC203" s="447"/>
      <c r="AD203" s="447"/>
      <c r="AE203" s="447"/>
      <c r="AF203" s="447"/>
      <c r="AG203" s="447"/>
      <c r="AH203" s="447"/>
      <c r="AI203" s="447"/>
      <c r="AJ203" s="447"/>
      <c r="AK203" s="447"/>
      <c r="AL203" s="447"/>
      <c r="AM203" s="447"/>
      <c r="AN203" s="447"/>
      <c r="AO203" s="447"/>
      <c r="AP203" s="447"/>
      <c r="AQ203" s="447"/>
      <c r="AR203" s="447"/>
      <c r="AS203" s="447"/>
      <c r="AT203" s="447"/>
      <c r="AU203" s="447"/>
      <c r="AV203" s="447"/>
      <c r="AW203" s="447"/>
      <c r="AX203" s="447"/>
      <c r="AY203" s="447"/>
      <c r="AZ203" s="447"/>
      <c r="BA203" s="447"/>
      <c r="BB203" s="447"/>
      <c r="BC203" s="447"/>
      <c r="BD203" s="447"/>
      <c r="BE203" s="447"/>
      <c r="BF203" s="447"/>
      <c r="BG203" s="447"/>
      <c r="BH203" s="447"/>
      <c r="BI203" s="447"/>
      <c r="BJ203" s="447"/>
      <c r="BK203" s="447"/>
      <c r="BL203" s="447"/>
      <c r="BM203" s="447"/>
      <c r="BN203" s="447"/>
      <c r="BO203" s="447"/>
      <c r="BP203" s="447"/>
      <c r="BQ203" s="447"/>
      <c r="BR203" s="447"/>
      <c r="BS203" s="447"/>
      <c r="BT203" s="447"/>
      <c r="BU203" s="447"/>
      <c r="BV203" s="447"/>
      <c r="BW203" s="447"/>
      <c r="BX203" s="447"/>
      <c r="BY203" s="447"/>
      <c r="BZ203" s="447"/>
      <c r="CA203" s="447"/>
      <c r="CB203" s="447"/>
      <c r="CC203" s="447"/>
      <c r="CD203" s="447"/>
      <c r="CE203" s="447"/>
      <c r="CF203" s="447"/>
      <c r="CG203" s="447"/>
      <c r="CH203" s="447"/>
      <c r="CI203" s="447"/>
      <c r="CJ203" s="447"/>
      <c r="CK203" s="447"/>
      <c r="CL203" s="447"/>
      <c r="CM203" s="447"/>
      <c r="CN203" s="447"/>
      <c r="CO203" s="447"/>
      <c r="CP203" s="447"/>
      <c r="CQ203" s="447"/>
      <c r="CR203" s="447"/>
      <c r="CS203" s="447"/>
    </row>
    <row r="204" spans="1:97" s="2" customFormat="1" ht="17.100000000000001" hidden="1" customHeight="1">
      <c r="A204" s="453" t="s">
        <v>264</v>
      </c>
      <c r="B204" s="455"/>
      <c r="C204" s="455"/>
      <c r="D204" s="455"/>
      <c r="E204" s="455"/>
      <c r="F204" s="105"/>
      <c r="G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c r="AZ204" s="105"/>
      <c r="BA204" s="105"/>
      <c r="BB204" s="105"/>
      <c r="BC204" s="105"/>
      <c r="BD204" s="105"/>
      <c r="BE204" s="105"/>
      <c r="BF204" s="105"/>
      <c r="BG204" s="105"/>
      <c r="BH204" s="105"/>
      <c r="BI204" s="105"/>
      <c r="BJ204" s="105"/>
      <c r="BK204" s="105"/>
      <c r="BL204" s="105"/>
      <c r="BM204" s="105"/>
      <c r="BN204" s="105"/>
      <c r="BO204" s="105"/>
      <c r="BP204" s="105"/>
      <c r="BQ204" s="105"/>
      <c r="BR204" s="105"/>
      <c r="BS204" s="105"/>
      <c r="BT204" s="105"/>
      <c r="BU204" s="105"/>
      <c r="BV204" s="105"/>
      <c r="BW204" s="105"/>
      <c r="BX204" s="105"/>
      <c r="BY204" s="105"/>
      <c r="BZ204" s="105"/>
      <c r="CA204" s="105"/>
      <c r="CB204" s="105"/>
      <c r="CC204" s="105"/>
      <c r="CD204" s="105"/>
      <c r="CE204" s="105"/>
      <c r="CF204" s="105"/>
      <c r="CG204" s="105"/>
      <c r="CH204" s="105"/>
      <c r="CI204" s="105"/>
      <c r="CJ204" s="105"/>
      <c r="CK204" s="105"/>
      <c r="CL204" s="105"/>
      <c r="CM204" s="105"/>
      <c r="CN204" s="105"/>
      <c r="CO204" s="105"/>
      <c r="CP204" s="105"/>
      <c r="CQ204" s="105"/>
      <c r="CR204" s="105"/>
      <c r="CS204" s="105"/>
    </row>
    <row r="205" spans="1:97" s="2" customFormat="1" ht="14.4" hidden="1" thickBot="1">
      <c r="A205" s="104"/>
      <c r="B205" s="105"/>
      <c r="C205" s="105"/>
      <c r="D205" s="105"/>
      <c r="E205" s="105"/>
      <c r="F205" s="105"/>
      <c r="G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c r="BC205" s="105"/>
      <c r="BD205" s="105"/>
      <c r="BE205" s="105"/>
      <c r="BF205" s="105"/>
      <c r="BG205" s="105"/>
      <c r="BH205" s="105"/>
      <c r="BI205" s="105"/>
      <c r="BJ205" s="105"/>
      <c r="BK205" s="105"/>
      <c r="BL205" s="105"/>
      <c r="BM205" s="105"/>
      <c r="BN205" s="105"/>
      <c r="BO205" s="105"/>
      <c r="BP205" s="105"/>
      <c r="BQ205" s="105"/>
      <c r="BR205" s="105"/>
      <c r="BS205" s="105"/>
      <c r="BT205" s="105"/>
      <c r="BU205" s="105"/>
      <c r="BV205" s="105"/>
      <c r="BW205" s="105"/>
      <c r="BX205" s="105"/>
      <c r="BY205" s="105"/>
      <c r="BZ205" s="105"/>
      <c r="CA205" s="105"/>
      <c r="CB205" s="105"/>
      <c r="CC205" s="105"/>
      <c r="CD205" s="105"/>
      <c r="CE205" s="105"/>
      <c r="CF205" s="105"/>
      <c r="CG205" s="105"/>
      <c r="CH205" s="105"/>
      <c r="CI205" s="105"/>
      <c r="CJ205" s="105"/>
      <c r="CK205" s="105"/>
      <c r="CL205" s="105"/>
      <c r="CM205" s="105"/>
      <c r="CN205" s="105"/>
      <c r="CO205" s="105"/>
      <c r="CP205" s="105"/>
      <c r="CQ205" s="105"/>
      <c r="CR205" s="105"/>
      <c r="CS205" s="105"/>
    </row>
    <row r="206" spans="1:97" ht="14.4" hidden="1">
      <c r="A206" s="70"/>
      <c r="B206" s="71" t="s">
        <v>8</v>
      </c>
      <c r="C206" s="71" t="s">
        <v>67</v>
      </c>
      <c r="D206" s="71" t="s">
        <v>10</v>
      </c>
      <c r="E206" s="71" t="s">
        <v>36</v>
      </c>
      <c r="J206" s="30"/>
    </row>
    <row r="207" spans="1:97" ht="14.4" hidden="1">
      <c r="A207" s="454"/>
      <c r="B207" s="425" t="s">
        <v>205</v>
      </c>
      <c r="C207" s="425" t="s">
        <v>205</v>
      </c>
      <c r="D207" s="425" t="s">
        <v>205</v>
      </c>
      <c r="E207" s="425" t="s">
        <v>205</v>
      </c>
      <c r="J207" s="30"/>
    </row>
    <row r="208" spans="1:97" ht="14.4" hidden="1">
      <c r="A208" s="318" t="s">
        <v>265</v>
      </c>
      <c r="B208" s="484">
        <f>B107</f>
        <v>1.5041509753677174</v>
      </c>
      <c r="C208" s="484">
        <f>C107</f>
        <v>71.648699379808974</v>
      </c>
      <c r="D208" s="484">
        <f>D107</f>
        <v>88.993327511041059</v>
      </c>
      <c r="E208" s="485">
        <f t="shared" ref="E208:E216" si="19">SUM(B208:D208)</f>
        <v>162.14617786621776</v>
      </c>
    </row>
    <row r="209" spans="1:7" ht="14.4" hidden="1">
      <c r="A209" s="723" t="s">
        <v>266</v>
      </c>
      <c r="B209" s="724">
        <f>SUBTOTAL(9,B210:B223)</f>
        <v>0.95602924114613175</v>
      </c>
      <c r="C209" s="724">
        <f t="shared" ref="C209:D209" si="20">SUBTOTAL(9,C210:C223)</f>
        <v>39.131805157593121</v>
      </c>
      <c r="D209" s="724">
        <f t="shared" si="20"/>
        <v>13.422002832855778</v>
      </c>
      <c r="E209" s="725">
        <f>SUM(B209:D209)</f>
        <v>53.509837231595029</v>
      </c>
      <c r="F209" s="846">
        <f>E209-(C242+C247)/1000000</f>
        <v>0</v>
      </c>
      <c r="G209" s="451"/>
    </row>
    <row r="210" spans="1:7" ht="14.4" hidden="1">
      <c r="A210" s="319" t="s">
        <v>207</v>
      </c>
      <c r="B210" s="726">
        <f>SUBTOTAL(9,B211:B219)</f>
        <v>0.95602924114613175</v>
      </c>
      <c r="C210" s="726">
        <f>SUBTOTAL(9,C211:C219)</f>
        <v>39.131805157593121</v>
      </c>
      <c r="D210" s="726">
        <f>SUBTOTAL(9,D211:D219)</f>
        <v>13.422002832855778</v>
      </c>
      <c r="E210" s="726">
        <f t="shared" si="19"/>
        <v>53.509837231595029</v>
      </c>
    </row>
    <row r="211" spans="1:7" ht="14.4" hidden="1">
      <c r="A211" s="314" t="s">
        <v>39</v>
      </c>
      <c r="B211" s="486">
        <f>(SUMIFS(Table10[VND equivalent],Table10[Transfer to],Summary!B$206,Table10[Status],"PLANNED",Table10[Type],Summary!$A211))/Fx_rate/1000000</f>
        <v>0.95602924114613175</v>
      </c>
      <c r="C211" s="486">
        <f>(SUMIFS(Table10[VND equivalent],Table10[Transfer to],Summary!C$206,Table10[Status],"PLANNED",Table10[Type],Summary!$A211))/Fx_rate/1000000</f>
        <v>0</v>
      </c>
      <c r="D211" s="486">
        <f>(SUMIFS(Table10[VND equivalent],Table10[Transfer to],Summary!D$206,Table10[Status],"PLANNED",Table10[Type],Summary!$A211))/Fx_rate/1000000</f>
        <v>13.01321582234957</v>
      </c>
      <c r="E211" s="487">
        <f t="shared" si="19"/>
        <v>13.969245063495702</v>
      </c>
    </row>
    <row r="212" spans="1:7" ht="14.4" hidden="1">
      <c r="A212" s="314" t="s">
        <v>40</v>
      </c>
      <c r="B212" s="486">
        <f>(SUMIFS(Table10[VND equivalent],Table10[Transfer to],Summary!B$206,Table10[Status],"PLANNED",Table10[Type],Summary!$A212))/Fx_rate/1000000</f>
        <v>0</v>
      </c>
      <c r="C212" s="486">
        <f>(SUMIFS(Table10[VND equivalent],Table10[Transfer to],Summary!C$206,Table10[Status],"PLANNED",Table10[Type],Summary!$A212))/Fx_rate/1000000</f>
        <v>0</v>
      </c>
      <c r="D212" s="486">
        <f>(SUMIFS(Table10[VND equivalent],Table10[Transfer to],Summary!D$206,Table10[Status],"PLANNED",Table10[Type],Summary!$A212))/Fx_rate/1000000</f>
        <v>0</v>
      </c>
      <c r="E212" s="487">
        <f t="shared" si="19"/>
        <v>0</v>
      </c>
    </row>
    <row r="213" spans="1:7" ht="14.4" hidden="1">
      <c r="A213" s="314" t="s">
        <v>42</v>
      </c>
      <c r="B213" s="486">
        <f>(SUMIFS(Table10[VND equivalent],Table10[Transfer to],Summary!B$206,Table10[Status],"PLANNED",Table10[Type],Summary!$A213))/Fx_rate/1000000</f>
        <v>0</v>
      </c>
      <c r="C213" s="486">
        <f>(SUMIFS(Table10[VND equivalent],Table10[Transfer to],Summary!C$206,Table10[Status],"PLANNED",Table10[Type],Summary!$A213))/Fx_rate/1000000</f>
        <v>39.131805157593121</v>
      </c>
      <c r="D213" s="486">
        <f>(SUMIFS(Table10[VND equivalent],Table10[Transfer to],Summary!D$206,Table10[Status],"PLANNED",Table10[Type],Summary!$A213))/Fx_rate/1000000</f>
        <v>0</v>
      </c>
      <c r="E213" s="487">
        <f t="shared" si="19"/>
        <v>39.131805157593121</v>
      </c>
    </row>
    <row r="214" spans="1:7" ht="14.4" hidden="1">
      <c r="A214" s="314" t="s">
        <v>43</v>
      </c>
      <c r="B214" s="486">
        <f>(SUMIFS(Table10[VND equivalent],Table10[Transfer to],Summary!B$206,Table10[Status],"PLANNED",Table10[Type],Summary!$A214))/Fx_rate/1000000</f>
        <v>0</v>
      </c>
      <c r="C214" s="486">
        <f>(SUMIFS(Table10[VND equivalent],Table10[Transfer to],Summary!C$206,Table10[Status],"PLANNED",Table10[Type],Summary!$A214))/Fx_rate/1000000</f>
        <v>0</v>
      </c>
      <c r="D214" s="486">
        <f>(SUMIFS(Table10[VND equivalent],Table10[Transfer to],Summary!D$206,Table10[Status],"PLANNED",Table10[Type],Summary!$A214))/Fx_rate/1000000</f>
        <v>0.40878701050620825</v>
      </c>
      <c r="E214" s="487">
        <f t="shared" si="19"/>
        <v>0.40878701050620825</v>
      </c>
    </row>
    <row r="215" spans="1:7" ht="14.4" hidden="1">
      <c r="A215" s="314" t="s">
        <v>66</v>
      </c>
      <c r="B215" s="486">
        <f>(SUMIFS(Table10[VND equivalent],Table10[Transfer to],Summary!B$206,Table10[Status],"PLANNED",Table10[Type],Summary!$A215))/Fx_rate/1000000</f>
        <v>0</v>
      </c>
      <c r="C215" s="486">
        <f>(SUMIFS(Table10[VND equivalent],Table10[Transfer to],Summary!C$206,Table10[Status],"PLANNED",Table10[Type],Summary!$A215))/Fx_rate/1000000</f>
        <v>0</v>
      </c>
      <c r="D215" s="486">
        <f>(SUMIFS(Table10[VND equivalent],Table10[Transfer to],Summary!D$206,Table10[Status],"PLANNED",Table10[Type],Summary!$A215))/Fx_rate/1000000</f>
        <v>0</v>
      </c>
      <c r="E215" s="487">
        <f t="shared" ref="E215" si="21">SUM(B215:D215)</f>
        <v>0</v>
      </c>
    </row>
    <row r="216" spans="1:7" ht="14.4" hidden="1">
      <c r="A216" s="314" t="s">
        <v>50</v>
      </c>
      <c r="B216" s="486">
        <f>(SUMIFS(Table10[VND equivalent],Table10[Transfer to],Summary!B$206,Table10[Status],"PLANNED",Table10[Type],Summary!$A216))/Fx_rate/1000000</f>
        <v>0</v>
      </c>
      <c r="C216" s="486">
        <f>(SUMIFS(Table10[VND equivalent],Table10[Transfer to],Summary!C$206,Table10[Status],"PLANNED",Table10[Type],Summary!$A216))/Fx_rate/1000000</f>
        <v>0</v>
      </c>
      <c r="D216" s="486">
        <f>(SUMIFS(Table10[VND equivalent],Table10[Transfer to],Summary!D$206,Table10[Status],"PLANNED",Table10[Type],Summary!$A216))/Fx_rate/1000000</f>
        <v>0</v>
      </c>
      <c r="E216" s="487">
        <f t="shared" si="19"/>
        <v>0</v>
      </c>
    </row>
    <row r="217" spans="1:7" ht="14.4" hidden="1">
      <c r="A217" s="314" t="s">
        <v>49</v>
      </c>
      <c r="B217" s="486">
        <f>(SUMIFS(Table10[VND equivalent],Table10[Transfer to],Summary!B$206,Table10[Status],"PLANNED",Table10[Type],Summary!$A217))/Fx_rate/1000000</f>
        <v>0</v>
      </c>
      <c r="C217" s="486">
        <f>(SUMIFS(Table10[VND equivalent],Table10[Transfer to],Summary!C$206,Table10[Status],"PLANNED",Table10[Type],Summary!$A217))/Fx_rate/1000000</f>
        <v>0</v>
      </c>
      <c r="D217" s="486">
        <f>(SUMIFS(Table10[VND equivalent],Table10[Transfer to],Summary!D$206,Table10[Status],"PLANNED",Table10[Type],Summary!$A217))/Fx_rate/1000000</f>
        <v>0</v>
      </c>
      <c r="E217" s="487">
        <f>SUM(B217:D217)</f>
        <v>0</v>
      </c>
    </row>
    <row r="218" spans="1:7" ht="14.4" hidden="1">
      <c r="A218" s="314" t="s">
        <v>47</v>
      </c>
      <c r="B218" s="486">
        <f>(SUMIFS(Table10[VND equivalent],Table10[Transfer to],Summary!B$206,Table10[Status],"PLANNED",Table10[Type],Summary!$A218))/Fx_rate/1000000</f>
        <v>0</v>
      </c>
      <c r="C218" s="486">
        <f>(SUMIFS(Table10[VND equivalent],Table10[Transfer to],Summary!C$206,Table10[Status],"PLANNED",Table10[Type],Summary!$A218))/Fx_rate/1000000</f>
        <v>0</v>
      </c>
      <c r="D218" s="486">
        <f>(SUMIFS(Table10[VND equivalent],Table10[Transfer to],Summary!D$206,Table10[Status],"PLANNED",Table10[Type],Summary!$A218))/Fx_rate/1000000</f>
        <v>0</v>
      </c>
      <c r="E218" s="487">
        <f>SUM(B218:D218)</f>
        <v>0</v>
      </c>
    </row>
    <row r="219" spans="1:7" ht="14.4" hidden="1">
      <c r="A219" s="314" t="s">
        <v>44</v>
      </c>
      <c r="B219" s="486">
        <f>(SUMIFS(Table10[VND equivalent],Table10[Transfer to],Summary!B$206,Table10[Status],"PLANNED",Table10[Type],Summary!$A219))/Fx_rate/1000000</f>
        <v>0</v>
      </c>
      <c r="C219" s="486">
        <f>(SUMIFS(Table10[VND equivalent],Table10[Transfer to],Summary!C$206,Table10[Status],"PLANNED",Table10[Type],Summary!$A219))/Fx_rate/1000000</f>
        <v>0</v>
      </c>
      <c r="D219" s="486">
        <f>(SUMIFS(Table10[VND equivalent],Table10[Transfer to],Summary!D$206,Table10[Status],"PLANNED",Table10[Type],Summary!$A219))/Fx_rate/1000000</f>
        <v>0</v>
      </c>
      <c r="E219" s="487">
        <f t="shared" ref="E219:E221" si="22">SUM(B219:D219)</f>
        <v>0</v>
      </c>
    </row>
    <row r="220" spans="1:7" ht="14.4" hidden="1">
      <c r="A220" s="319" t="s">
        <v>208</v>
      </c>
      <c r="B220" s="726">
        <f>SUBTOTAL(9,B221:B223)</f>
        <v>0</v>
      </c>
      <c r="C220" s="726">
        <f>SUBTOTAL(9,C221:C223)</f>
        <v>0</v>
      </c>
      <c r="D220" s="726">
        <f>SUBTOTAL(9,D221:D223)</f>
        <v>0</v>
      </c>
      <c r="E220" s="726">
        <f t="shared" si="22"/>
        <v>0</v>
      </c>
    </row>
    <row r="221" spans="1:7" ht="14.4" hidden="1" outlineLevel="1">
      <c r="A221" s="314" t="s">
        <v>64</v>
      </c>
      <c r="B221" s="486">
        <f>(SUMIFS(Table16[VND equivalent],Table16[Transfer to],Summary!B$206,Table16[Status],"PLANNED",Table16[Type],Summary!$A221))/Fx_rate/1000000</f>
        <v>0</v>
      </c>
      <c r="C221" s="486">
        <f>(SUMIFS(Table16[VND equivalent],Table16[Transfer to],Summary!C$206,Table16[Status],"PLANNED",Table16[Type],Summary!$A221))/Fx_rate/1000000</f>
        <v>0</v>
      </c>
      <c r="D221" s="486">
        <f>(SUMIFS(Table16[VND equivalent],Table16[Transfer to],Summary!D$206,Table16[Status],"PLANNED",Table16[Type],Summary!$A221))/Fx_rate/1000000</f>
        <v>0</v>
      </c>
      <c r="E221" s="487">
        <f t="shared" si="22"/>
        <v>0</v>
      </c>
    </row>
    <row r="222" spans="1:7" ht="14.4" hidden="1" outlineLevel="1">
      <c r="A222" s="314" t="s">
        <v>267</v>
      </c>
      <c r="B222" s="486">
        <f>(SUMIFS(Table16[VND equivalent],Table16[Transfer to],Summary!B$206,Table16[Status],"PLANNED",Table16[Type],Summary!$A222))/Fx_rate/1000000</f>
        <v>0</v>
      </c>
      <c r="C222" s="486">
        <f>(SUMIFS(Table16[VND equivalent],Table16[Transfer to],Summary!C$206,Table16[Status],"PLANNED",Table16[Type],Summary!$A222))/Fx_rate/1000000</f>
        <v>0</v>
      </c>
      <c r="D222" s="486">
        <f>(SUMIFS(Table16[VND equivalent],Table16[Transfer to],Summary!D$206,Table16[Status],"PLANNED",Table16[Type],Summary!$A222))/Fx_rate/1000000</f>
        <v>0</v>
      </c>
      <c r="E222" s="487">
        <f>SUM(B222:D222)</f>
        <v>0</v>
      </c>
    </row>
    <row r="223" spans="1:7" ht="14.4" hidden="1" outlineLevel="1">
      <c r="A223" s="314" t="s">
        <v>48</v>
      </c>
      <c r="B223" s="486">
        <f>(SUMIFS(Table16[VND equivalent],Table16[Transfer to],Summary!B$206,Table16[Status],"PLANNED",Table16[Type],Summary!$A223))/Fx_rate/1000000</f>
        <v>0</v>
      </c>
      <c r="C223" s="486">
        <f>(SUMIFS(Table16[VND equivalent],Table16[Transfer to],Summary!C$206,Table16[Status],"PLANNED",Table16[Type],Summary!$A223))/Fx_rate/1000000</f>
        <v>0</v>
      </c>
      <c r="D223" s="486">
        <f>(SUMIFS(Table16[VND equivalent],Table16[Transfer to],Summary!D$206,Table16[Status],"PLANNED",Table16[Type],Summary!$A223))/Fx_rate/1000000</f>
        <v>0</v>
      </c>
      <c r="E223" s="487">
        <f t="shared" ref="E223" si="23">SUM(B223:D223)</f>
        <v>0</v>
      </c>
    </row>
    <row r="224" spans="1:7" ht="14.4" hidden="1" collapsed="1">
      <c r="A224" s="719" t="s">
        <v>268</v>
      </c>
      <c r="B224" s="727">
        <f>SUBTOTAL(9,B225:B235)</f>
        <v>-0.5568454454250239</v>
      </c>
      <c r="C224" s="727">
        <f t="shared" ref="C224" si="24">SUBTOTAL(9,C225:C235)</f>
        <v>-13.481938893887298</v>
      </c>
      <c r="D224" s="727">
        <f>SUBTOTAL(9,D225:D235)</f>
        <v>-3.4265139632473733</v>
      </c>
      <c r="E224" s="728">
        <f>SUM(B224:D224)</f>
        <v>-17.465298302559695</v>
      </c>
      <c r="F224" s="846">
        <f>E224+(C254+C258)/1000000</f>
        <v>0</v>
      </c>
      <c r="G224" s="20"/>
    </row>
    <row r="225" spans="1:97" ht="14.4" hidden="1">
      <c r="A225" s="699" t="s">
        <v>210</v>
      </c>
      <c r="B225" s="700">
        <f>SUBTOTAL(9,B226:B232)</f>
        <v>-0.5568454454250239</v>
      </c>
      <c r="C225" s="700">
        <f t="shared" ref="C225" si="25">SUBTOTAL(9,C226:C232)</f>
        <v>-13.481938893887298</v>
      </c>
      <c r="D225" s="700">
        <f>SUBTOTAL(9,D226:D232)</f>
        <v>-3.4265139632473733</v>
      </c>
      <c r="E225" s="701">
        <f>SUBTOTAL(9,E226:E232)</f>
        <v>-17.465298302559695</v>
      </c>
      <c r="F225" s="102"/>
    </row>
    <row r="226" spans="1:97" ht="14.4" hidden="1">
      <c r="A226" s="317" t="s">
        <v>52</v>
      </c>
      <c r="B226" s="488">
        <f>-(SUMIFS(Table9[VND equivalent],Table9[Transfer from],Summary!B$206,Table9[Status],"PLANNED",Table9[Type],Summary!$A226,Table9[Source],"&lt;&gt;Bank Loan"))/Fx_rate/1000000</f>
        <v>0</v>
      </c>
      <c r="C226" s="488">
        <f>-(SUMIFS(Table9[VND equivalent],Table9[Transfer from],Summary!C$206,Table9[Status],"PLANNED",Table9[Type],Summary!$A226,Table9[Source],"&lt;&gt;Bank Loan"))/Fx_rate/1000000</f>
        <v>-2.614717808557784</v>
      </c>
      <c r="D226" s="488">
        <f>-(SUMIFS(Table9[VND equivalent],Table9[Transfer from],Summary!D$206,Table9[Status],"PLANNED",Table9[Type],Summary!$A226,Table9[Source],"&lt;&gt;Bank Loan"))/Fx_rate/1000000</f>
        <v>0</v>
      </c>
      <c r="E226" s="489">
        <f t="shared" ref="E226:E230" si="26">SUM(B226:D226)</f>
        <v>-2.614717808557784</v>
      </c>
    </row>
    <row r="227" spans="1:97" ht="14.4" hidden="1">
      <c r="A227" s="317" t="s">
        <v>21</v>
      </c>
      <c r="B227" s="488">
        <f>-(SUMIFS(Table9[VND equivalent],Table9[Transfer from],Summary!B$206,Table9[Status],"PLANNED",Table9[Type],Summary!$A227,Table9[Source],"&lt;&gt;Bank Loan"))/Fx_rate/1000000</f>
        <v>0</v>
      </c>
      <c r="C227" s="488">
        <f>-(SUMIFS(Table9[VND equivalent],Table9[Transfer from],Summary!C$206,Table9[Status],"PLANNED",Table9[Type],Summary!$A227,Table9[Source],"&lt;&gt;Bank Loan"))/Fx_rate/1000000</f>
        <v>-3.9312248330085962</v>
      </c>
      <c r="D227" s="488">
        <f>-(SUMIFS(Table9[VND equivalent],Table9[Transfer from],Summary!D$206,Table9[Status],"PLANNED",Table9[Type],Summary!$A227,Table9[Source],"&lt;&gt;Bank Loan"))/Fx_rate/1000000</f>
        <v>-0.98191595033428847</v>
      </c>
      <c r="E227" s="489">
        <f t="shared" si="26"/>
        <v>-4.9131407833428842</v>
      </c>
    </row>
    <row r="228" spans="1:97" ht="14.4" hidden="1">
      <c r="A228" s="317" t="s">
        <v>22</v>
      </c>
      <c r="B228" s="488">
        <f>-(SUMIFS(Table9[VND equivalent],Table9[Transfer from],Summary!B$206,Table9[Status],"PLANNED",Table9[Type],Summary!$A228,Table9[Source],"&lt;&gt;Bank Loan"))/Fx_rate/1000000</f>
        <v>0</v>
      </c>
      <c r="C228" s="488">
        <f>-(SUMIFS(Table9[VND equivalent],Table9[Transfer from],Summary!C$206,Table9[Status],"PLANNED",Table9[Type],Summary!$A228,Table9[Source],"&lt;&gt;Bank Loan"))/Fx_rate/1000000</f>
        <v>-2.00634724095511</v>
      </c>
      <c r="D228" s="488">
        <f>-(SUMIFS(Table9[VND equivalent],Table9[Transfer from],Summary!D$206,Table9[Status],"PLANNED",Table9[Type],Summary!$A228,Table9[Source],"&lt;&gt;Bank Loan"))/Fx_rate/1000000</f>
        <v>-0.2163895507163324</v>
      </c>
      <c r="E228" s="489">
        <f t="shared" si="26"/>
        <v>-2.2227367916714424</v>
      </c>
    </row>
    <row r="229" spans="1:97" ht="14.4" hidden="1">
      <c r="A229" s="317" t="s">
        <v>53</v>
      </c>
      <c r="B229" s="488">
        <f>-(SUMIFS(Table9[VND equivalent],Table9[Transfer from],Summary!B$206,Table9[Status],"PLANNED",Table9[Type],Summary!$A229,Table9[Source],"&lt;&gt;Bank Loan"))/Fx_rate/1000000</f>
        <v>0</v>
      </c>
      <c r="C229" s="488">
        <f>-(SUMIFS(Table9[VND equivalent],Table9[Transfer from],Summary!C$206,Table9[Status],"PLANNED",Table9[Type],Summary!$A229,Table9[Source],"&lt;&gt;Bank Loan"))/Fx_rate/1000000</f>
        <v>-3.0353603412607453</v>
      </c>
      <c r="D229" s="488">
        <f>-(SUMIFS(Table9[VND equivalent],Table9[Transfer from],Summary!D$206,Table9[Status],"PLANNED",Table9[Type],Summary!$A229,Table9[Source],"&lt;&gt;Bank Loan"))/Fx_rate/1000000</f>
        <v>-0.32652382792741164</v>
      </c>
      <c r="E229" s="489">
        <f t="shared" si="26"/>
        <v>-3.3618841691881567</v>
      </c>
    </row>
    <row r="230" spans="1:97" ht="14.4" hidden="1">
      <c r="A230" s="317" t="s">
        <v>58</v>
      </c>
      <c r="B230" s="488">
        <f>-(SUMIFS(Table9[VND equivalent],Table9[Transfer from],Summary!B$206,Table9[Status],"PLANNED",Table9[Type],Summary!$A230,Table9[Source],"&lt;&gt;Bank Loan"))/Fx_rate/1000000</f>
        <v>0</v>
      </c>
      <c r="C230" s="488">
        <f>-(SUMIFS(Table9[VND equivalent],Table9[Transfer from],Summary!C$206,Table9[Status],"PLANNED",Table9[Type],Summary!$A230,Table9[Source],"&lt;&gt;Bank Loan"))/Fx_rate/1000000</f>
        <v>0</v>
      </c>
      <c r="D230" s="488">
        <f>-(SUMIFS(Table9[VND equivalent],Table9[Transfer from],Summary!D$206,Table9[Status],"PLANNED",Table9[Type],Summary!$A230,Table9[Source],"&lt;&gt;Bank Loan"))/Fx_rate/1000000</f>
        <v>0</v>
      </c>
      <c r="E230" s="489">
        <f t="shared" si="26"/>
        <v>0</v>
      </c>
    </row>
    <row r="231" spans="1:97" ht="14.4" hidden="1">
      <c r="A231" s="317" t="s">
        <v>54</v>
      </c>
      <c r="B231" s="488">
        <f>-(SUMIFS(Table9[VND equivalent],Table9[Transfer from],Summary!B$206,Table9[Status],"PLANNED",Table9[Type],Summary!$A231,Table9[Source],"&lt;&gt;Bank Loan"))/Fx_rate/1000000</f>
        <v>0</v>
      </c>
      <c r="C231" s="488">
        <f>-(SUMIFS(Table9[VND equivalent],Table9[Transfer from],Summary!C$206,Table9[Status],"PLANNED",Table9[Type],Summary!$A231,Table9[Source],"&lt;&gt;Bank Loan"))/Fx_rate/1000000</f>
        <v>-0.57306590257879664</v>
      </c>
      <c r="D231" s="488">
        <f>-(SUMIFS(Table9[VND equivalent],Table9[Transfer from],Summary!D$206,Table9[Status],"PLANNED",Table9[Type],Summary!$A231,Table9[Source],"&lt;&gt;Bank Loan"))/Fx_rate/1000000</f>
        <v>-0.85866334708691505</v>
      </c>
      <c r="E231" s="489">
        <f t="shared" ref="E231:E232" si="27">SUM(B231:D231)</f>
        <v>-1.4317292496657117</v>
      </c>
    </row>
    <row r="232" spans="1:97" ht="14.4" hidden="1">
      <c r="A232" s="317" t="s">
        <v>55</v>
      </c>
      <c r="B232" s="488">
        <f>-(SUMIFS(Table9[VND equivalent],Table9[Transfer from],Summary!B$206,Table9[Status],"PLANNED",Table9[Type],Summary!$A232,Table9[Source],"&lt;&gt;Bank Loan"))/Fx_rate/1000000</f>
        <v>-0.5568454454250239</v>
      </c>
      <c r="C232" s="488">
        <f>-(SUMIFS(Table9[VND equivalent],Table9[Transfer from],Summary!C$206,Table9[Status],"PLANNED",Table9[Type],Summary!$A232,Table9[Source],"&lt;&gt;Bank Loan"))/Fx_rate/1000000</f>
        <v>-1.3212227675262656</v>
      </c>
      <c r="D232" s="488">
        <f>-(SUMIFS(Table9[VND equivalent],Table9[Transfer from],Summary!D$206,Table9[Status],"PLANNED",Table9[Type],Summary!$A232,Table9[Source],"&lt;&gt;Bank Loan"))/Fx_rate/1000000</f>
        <v>-1.043021287182426</v>
      </c>
      <c r="E232" s="489">
        <f t="shared" si="27"/>
        <v>-2.9210895001337152</v>
      </c>
    </row>
    <row r="233" spans="1:97" ht="14.4" hidden="1">
      <c r="A233" s="699" t="s">
        <v>208</v>
      </c>
      <c r="B233" s="700">
        <f>SUBTOTAL(9,B234:B235)</f>
        <v>0</v>
      </c>
      <c r="C233" s="700">
        <f>SUBTOTAL(9,C234:C235)</f>
        <v>0</v>
      </c>
      <c r="D233" s="700">
        <f>SUBTOTAL(9,D234:D235)</f>
        <v>0</v>
      </c>
      <c r="E233" s="701">
        <f>SUM(B233:D233)</f>
        <v>0</v>
      </c>
      <c r="G233" s="6"/>
    </row>
    <row r="234" spans="1:97" ht="14.4" hidden="1" outlineLevel="1">
      <c r="A234" s="317" t="s">
        <v>64</v>
      </c>
      <c r="B234" s="488">
        <f>-(SUMIFS(Table16[VND equivalent],Table16[Transfer from2],Summary!B$206,Table16[Status],"PLANNED",Table16[Type],Summary!$A234))/Fx_rate/1000000</f>
        <v>0</v>
      </c>
      <c r="C234" s="488">
        <f>-(SUMIFS(Table16[VND equivalent],Table16[Transfer from2],Summary!C$206,Table16[Status],"PLANNED",Table16[Type],Summary!$A234))/Fx_rate/1000000</f>
        <v>0</v>
      </c>
      <c r="D234" s="488">
        <f>-(SUMIFS(Table16[VND equivalent],Table16[Transfer from2],Summary!D$206,Table16[Status],"PLANNED",Table16[Type],Summary!$A234))/Fx_rate/1000000</f>
        <v>0</v>
      </c>
      <c r="E234" s="489">
        <f>SUM(B234:D234)</f>
        <v>0</v>
      </c>
    </row>
    <row r="235" spans="1:97" ht="14.4" hidden="1" outlineLevel="1">
      <c r="A235" s="317" t="s">
        <v>267</v>
      </c>
      <c r="B235" s="488">
        <f>-(SUMIFS(Table16[VND equivalent],Table16[Transfer from2],Summary!B$206,Table16[Status],"PLANNED",Table16[Type],Summary!$A235))/Fx_rate/1000000</f>
        <v>0</v>
      </c>
      <c r="C235" s="488">
        <f>-(SUMIFS(Table16[VND equivalent],Table16[Transfer from2],Summary!C$206,Table16[Status],"PLANNED",Table16[Type],Summary!$A235))/Fx_rate/1000000</f>
        <v>0</v>
      </c>
      <c r="D235" s="488">
        <f>-(SUMIFS(Table16[VND equivalent],Table16[Transfer from2],Summary!D$206,Table16[Status],"PLANNED",Table16[Type],Summary!$A235))/Fx_rate/1000000</f>
        <v>0</v>
      </c>
      <c r="E235" s="489">
        <f t="shared" ref="E235" si="28">SUM(B235:D235)</f>
        <v>0</v>
      </c>
    </row>
    <row r="236" spans="1:97" ht="14.4" hidden="1" collapsed="1">
      <c r="A236" s="655" t="s">
        <v>269</v>
      </c>
      <c r="B236" s="658">
        <f>B208+B209+B224</f>
        <v>1.9033347710888249</v>
      </c>
      <c r="C236" s="658">
        <f>C208+C209+C224</f>
        <v>97.298565643514792</v>
      </c>
      <c r="D236" s="658">
        <f>D208+D209+D224</f>
        <v>98.988816380649467</v>
      </c>
      <c r="E236" s="659">
        <f>SUM(B236:D236)</f>
        <v>198.19071679525308</v>
      </c>
    </row>
    <row r="237" spans="1:97" s="103" customFormat="1" ht="14.1" hidden="1" customHeight="1">
      <c r="A237" s="445"/>
      <c r="B237" s="391"/>
      <c r="C237" s="391"/>
      <c r="D237" s="391"/>
      <c r="E237" s="391"/>
      <c r="F237" s="391"/>
      <c r="G237" s="391"/>
      <c r="H237" s="391"/>
      <c r="I237" s="391"/>
      <c r="J237" s="391"/>
      <c r="M237" s="426"/>
    </row>
    <row r="238" spans="1:97" s="2" customFormat="1" ht="14.4" hidden="1" thickBot="1">
      <c r="A238" s="105"/>
      <c r="B238" s="105"/>
      <c r="C238" s="645"/>
      <c r="D238" s="37"/>
      <c r="E238" s="37"/>
      <c r="F238" s="37"/>
      <c r="G238" s="37"/>
      <c r="H238" s="37"/>
      <c r="I238" s="37"/>
      <c r="J238" s="37"/>
      <c r="P238" s="427"/>
      <c r="Q238" s="427"/>
      <c r="R238" s="427"/>
      <c r="S238" s="366"/>
      <c r="T238" s="366"/>
      <c r="U238" s="366">
        <v>5</v>
      </c>
      <c r="V238" s="366">
        <v>6</v>
      </c>
      <c r="W238" s="105"/>
      <c r="X238" s="105"/>
      <c r="Y238" s="105"/>
      <c r="Z238" s="105"/>
      <c r="AA238" s="105"/>
      <c r="AB238" s="105"/>
      <c r="AC238" s="105"/>
      <c r="AD238" s="105"/>
      <c r="AE238" s="105"/>
      <c r="AF238" s="105"/>
      <c r="AG238" s="105"/>
      <c r="AH238" s="105"/>
      <c r="AI238" s="105"/>
      <c r="AJ238" s="105"/>
      <c r="AK238" s="105"/>
      <c r="AL238" s="105"/>
      <c r="AM238" s="105"/>
      <c r="AN238" s="105"/>
      <c r="AO238" s="105"/>
      <c r="AP238" s="105"/>
      <c r="AQ238" s="105"/>
      <c r="AR238" s="105"/>
      <c r="AS238" s="105"/>
      <c r="AT238" s="105"/>
      <c r="AU238" s="105"/>
      <c r="AV238" s="105"/>
      <c r="AW238" s="105"/>
      <c r="AX238" s="105"/>
      <c r="AY238" s="105"/>
      <c r="AZ238" s="105"/>
      <c r="BA238" s="105"/>
      <c r="BB238" s="105"/>
      <c r="BC238" s="105"/>
      <c r="BD238" s="105"/>
      <c r="BE238" s="105"/>
      <c r="BF238" s="105"/>
      <c r="BG238" s="105"/>
      <c r="BH238" s="105"/>
      <c r="BI238" s="105"/>
      <c r="BJ238" s="105"/>
      <c r="BK238" s="105"/>
      <c r="BL238" s="105"/>
      <c r="BM238" s="105"/>
      <c r="BN238" s="105"/>
      <c r="BO238" s="105"/>
      <c r="BP238" s="105"/>
      <c r="BQ238" s="105"/>
      <c r="BR238" s="105"/>
      <c r="BS238" s="105"/>
      <c r="BT238" s="105"/>
      <c r="BU238" s="105"/>
      <c r="BV238" s="105"/>
      <c r="BW238" s="105"/>
      <c r="BX238" s="105"/>
      <c r="BY238" s="105"/>
      <c r="BZ238" s="105"/>
      <c r="CA238" s="105"/>
      <c r="CB238" s="105"/>
      <c r="CC238" s="105"/>
      <c r="CD238" s="105"/>
      <c r="CE238" s="105"/>
      <c r="CF238" s="105"/>
      <c r="CG238" s="105"/>
      <c r="CH238" s="105"/>
      <c r="CI238" s="105"/>
      <c r="CJ238" s="105"/>
      <c r="CK238" s="105"/>
      <c r="CL238" s="105"/>
      <c r="CM238" s="105"/>
      <c r="CN238" s="105"/>
      <c r="CO238" s="105"/>
      <c r="CP238" s="105"/>
      <c r="CQ238" s="105"/>
      <c r="CR238" s="105"/>
      <c r="CS238" s="105"/>
    </row>
    <row r="239" spans="1:97" s="2" customFormat="1" ht="13.8" hidden="1">
      <c r="A239" s="456" t="s">
        <v>270</v>
      </c>
      <c r="B239" s="171" t="s">
        <v>271</v>
      </c>
      <c r="C239" s="373" t="s">
        <v>36</v>
      </c>
      <c r="D239" s="106" t="s">
        <v>272</v>
      </c>
      <c r="E239" s="106" t="s">
        <v>273</v>
      </c>
      <c r="F239" s="106" t="s">
        <v>274</v>
      </c>
      <c r="G239" s="106" t="s">
        <v>275</v>
      </c>
      <c r="H239" s="106" t="s">
        <v>276</v>
      </c>
      <c r="I239" s="131"/>
      <c r="J239" s="388"/>
      <c r="K239" s="413"/>
      <c r="L239" s="413"/>
      <c r="M239" s="388"/>
      <c r="N239" s="388"/>
      <c r="O239" s="388"/>
      <c r="P239" s="388"/>
      <c r="Q239" s="388"/>
      <c r="R239" s="388"/>
      <c r="S239" s="388"/>
      <c r="T239" s="388"/>
      <c r="U239" s="388"/>
      <c r="V239" s="388"/>
      <c r="W239" s="105"/>
      <c r="X239" s="105"/>
      <c r="Y239" s="105"/>
      <c r="Z239" s="105"/>
      <c r="AA239" s="105"/>
      <c r="AB239" s="105"/>
      <c r="AC239" s="105"/>
      <c r="AD239" s="105"/>
      <c r="AE239" s="105"/>
      <c r="AF239" s="105"/>
      <c r="AG239" s="105"/>
      <c r="AH239" s="105"/>
      <c r="AI239" s="105"/>
      <c r="AJ239" s="105"/>
      <c r="AK239" s="105"/>
      <c r="AL239" s="105"/>
      <c r="AM239" s="105"/>
      <c r="AN239" s="105"/>
      <c r="AO239" s="105"/>
      <c r="AP239" s="105"/>
      <c r="AQ239" s="105"/>
      <c r="AR239" s="105"/>
      <c r="AS239" s="105"/>
      <c r="AT239" s="105"/>
      <c r="AU239" s="105"/>
      <c r="AV239" s="105"/>
      <c r="AW239" s="105"/>
      <c r="AX239" s="105"/>
      <c r="AY239" s="105"/>
      <c r="AZ239" s="105"/>
      <c r="BA239" s="105"/>
      <c r="BB239" s="105"/>
      <c r="BC239" s="105"/>
      <c r="BD239" s="105"/>
      <c r="BE239" s="105"/>
      <c r="BF239" s="105"/>
      <c r="BG239" s="105"/>
      <c r="BH239" s="105"/>
      <c r="BI239" s="105"/>
      <c r="BJ239" s="105"/>
      <c r="BK239" s="105"/>
      <c r="BL239" s="105"/>
      <c r="BM239" s="105"/>
      <c r="BN239" s="105"/>
      <c r="BO239" s="105"/>
      <c r="BP239" s="105"/>
      <c r="BQ239" s="105"/>
      <c r="BR239" s="105"/>
      <c r="BS239" s="105"/>
      <c r="BT239" s="105"/>
      <c r="BU239" s="105"/>
      <c r="BV239" s="105"/>
      <c r="BW239" s="105"/>
      <c r="BX239" s="105"/>
      <c r="BY239" s="105"/>
      <c r="BZ239" s="105"/>
      <c r="CA239" s="105"/>
      <c r="CB239" s="105"/>
      <c r="CC239" s="105"/>
      <c r="CD239" s="105"/>
      <c r="CE239" s="105"/>
      <c r="CF239" s="105"/>
      <c r="CG239" s="105"/>
      <c r="CH239" s="105"/>
      <c r="CI239" s="105"/>
      <c r="CJ239" s="105"/>
      <c r="CK239" s="105"/>
      <c r="CL239" s="105"/>
      <c r="CM239" s="105"/>
      <c r="CN239" s="105"/>
      <c r="CO239" s="105"/>
      <c r="CP239" s="105"/>
      <c r="CQ239" s="105"/>
      <c r="CR239" s="105"/>
      <c r="CS239" s="105"/>
    </row>
    <row r="240" spans="1:97" ht="14.4" hidden="1">
      <c r="A240" s="158"/>
      <c r="B240" s="164"/>
      <c r="C240" s="754">
        <f>(C242+C247)-('Cash Planning'!AD8+'Cash Planning'!AP13/Fx)</f>
        <v>0</v>
      </c>
      <c r="D240" s="164"/>
      <c r="E240" s="164"/>
      <c r="F240" s="164"/>
      <c r="G240" s="164"/>
      <c r="H240" s="164"/>
      <c r="I240" s="82"/>
      <c r="J240" s="164"/>
      <c r="M240" s="164"/>
      <c r="N240" s="164"/>
      <c r="O240" s="102"/>
      <c r="P240" s="164"/>
      <c r="Q240" s="164"/>
      <c r="R240" s="164"/>
      <c r="S240" s="164"/>
      <c r="T240" s="164"/>
      <c r="U240" s="164"/>
      <c r="V240" s="164"/>
    </row>
    <row r="241" spans="1:97" ht="14.4" hidden="1">
      <c r="A241" s="158"/>
      <c r="B241" s="164"/>
      <c r="C241" s="374"/>
      <c r="D241" s="164"/>
      <c r="E241" s="164"/>
      <c r="F241" s="164"/>
      <c r="G241" s="164"/>
      <c r="H241" s="164"/>
      <c r="I241" s="82"/>
      <c r="J241" s="164"/>
      <c r="M241" s="164"/>
      <c r="N241" s="164"/>
      <c r="O241" s="164"/>
      <c r="P241" s="164"/>
      <c r="Q241" s="164"/>
      <c r="R241" s="164"/>
      <c r="S241" s="164"/>
      <c r="T241" s="164"/>
      <c r="U241" s="164"/>
      <c r="V241" s="164"/>
    </row>
    <row r="242" spans="1:97" s="2" customFormat="1" ht="14.4" hidden="1">
      <c r="A242" s="173" t="s">
        <v>277</v>
      </c>
      <c r="B242" s="174"/>
      <c r="C242" s="850">
        <f>SUM(D242:J242)</f>
        <v>53509837.231595024</v>
      </c>
      <c r="D242" s="851">
        <f t="shared" ref="D242:G242" si="29">SUBTOTAL(9,D243:D245)</f>
        <v>0</v>
      </c>
      <c r="E242" s="851">
        <f t="shared" si="29"/>
        <v>7171364.3581661899</v>
      </c>
      <c r="F242" s="851">
        <f t="shared" si="29"/>
        <v>982404.55519388733</v>
      </c>
      <c r="G242" s="851">
        <f t="shared" si="29"/>
        <v>42371013.457306586</v>
      </c>
      <c r="H242" s="222">
        <f t="shared" ref="H242" si="30">SUBTOTAL(9,H243:H245)</f>
        <v>2985054.8609283669</v>
      </c>
      <c r="I242" s="223"/>
      <c r="J242" s="421"/>
      <c r="M242" s="428"/>
      <c r="N242" s="428"/>
      <c r="O242" s="429"/>
      <c r="P242" s="421"/>
      <c r="Q242" s="421"/>
      <c r="R242" s="421"/>
      <c r="S242" s="421"/>
      <c r="T242" s="421"/>
      <c r="U242" s="421"/>
      <c r="V242" s="421"/>
      <c r="W242" s="105"/>
      <c r="X242" s="105"/>
      <c r="Y242" s="105"/>
      <c r="Z242" s="105"/>
      <c r="AA242" s="105"/>
      <c r="AB242" s="105"/>
      <c r="AC242" s="105"/>
      <c r="AD242" s="105"/>
      <c r="AE242" s="105"/>
      <c r="AF242" s="105"/>
      <c r="AG242" s="105"/>
      <c r="AH242" s="105"/>
      <c r="AI242" s="105"/>
      <c r="AJ242" s="105"/>
      <c r="AK242" s="105"/>
      <c r="AL242" s="105"/>
      <c r="AM242" s="105"/>
      <c r="AN242" s="105"/>
      <c r="AO242" s="105"/>
      <c r="AP242" s="105"/>
      <c r="AQ242" s="105"/>
      <c r="AR242" s="105"/>
      <c r="AS242" s="105"/>
      <c r="AT242" s="105"/>
      <c r="AU242" s="105"/>
      <c r="AV242" s="105"/>
      <c r="AW242" s="105"/>
      <c r="AX242" s="105"/>
      <c r="AY242" s="105"/>
      <c r="AZ242" s="105"/>
      <c r="BA242" s="105"/>
      <c r="BB242" s="105"/>
      <c r="BC242" s="105"/>
      <c r="BD242" s="105"/>
      <c r="BE242" s="105"/>
      <c r="BF242" s="105"/>
      <c r="BG242" s="105"/>
      <c r="BH242" s="105"/>
      <c r="BI242" s="105"/>
      <c r="BJ242" s="105"/>
      <c r="BK242" s="105"/>
      <c r="BL242" s="105"/>
      <c r="BM242" s="105"/>
      <c r="BN242" s="105"/>
      <c r="BO242" s="105"/>
      <c r="BP242" s="105"/>
      <c r="BQ242" s="105"/>
      <c r="BR242" s="105"/>
      <c r="BS242" s="105"/>
      <c r="BT242" s="105"/>
      <c r="BU242" s="105"/>
      <c r="BV242" s="105"/>
      <c r="BW242" s="105"/>
      <c r="BX242" s="105"/>
      <c r="BY242" s="105"/>
      <c r="BZ242" s="105"/>
      <c r="CA242" s="105"/>
      <c r="CB242" s="105"/>
      <c r="CC242" s="105"/>
      <c r="CD242" s="105"/>
      <c r="CE242" s="105"/>
      <c r="CF242" s="105"/>
      <c r="CG242" s="105"/>
      <c r="CH242" s="105"/>
      <c r="CI242" s="105"/>
      <c r="CJ242" s="105"/>
      <c r="CK242" s="105"/>
      <c r="CL242" s="105"/>
      <c r="CM242" s="105"/>
      <c r="CN242" s="105"/>
      <c r="CO242" s="105"/>
      <c r="CP242" s="105"/>
      <c r="CQ242" s="105"/>
      <c r="CR242" s="105"/>
      <c r="CS242" s="105"/>
    </row>
    <row r="243" spans="1:97" s="2" customFormat="1" ht="14.4" hidden="1">
      <c r="A243" s="172" t="s">
        <v>8</v>
      </c>
      <c r="B243" s="166"/>
      <c r="C243" s="852">
        <f>SUM(D243:J243)</f>
        <v>956029.24114613188</v>
      </c>
      <c r="D243" s="853">
        <f>SUMIFS(Table10[[#All],[VND equivalent]],Table10[[#All],[Expected date of receipt]],Summary!D$239,Table10[[#All],[Status]],"PLANNED",Table10[[#All],[Transfer to]],Summary!$A243,Table10[[#All],[Type]],"&lt;&gt;*Contribution*")/Fx_rate</f>
        <v>0</v>
      </c>
      <c r="E243" s="853">
        <f>SUMIFS(Table10[[#All],[VND equivalent]],Table10[[#All],[Expected date of receipt]],Summary!E$239,Table10[[#All],[Status]],"PLANNED",Table10[[#All],[Transfer to]],Summary!$A243,Table10[[#All],[Type]],"&lt;&gt;*Contribution*")/Fx_rate</f>
        <v>0</v>
      </c>
      <c r="F243" s="853">
        <f>SUMIFS(Table10[[#All],[VND equivalent]],Table10[[#All],[Expected date of receipt]],Summary!F$239,Table10[[#All],[Status]],"PLANNED",Table10[[#All],[Transfer to]],Summary!$A243,Table10[[#All],[Type]],"&lt;&gt;*Contribution*")/Fx_rate</f>
        <v>573617.54468767904</v>
      </c>
      <c r="G243" s="853">
        <f>SUMIFS(Table10[[#All],[VND equivalent]],Table10[[#All],[Expected date of receipt]],Summary!G$239,Table10[[#All],[Status]],"PLANNED",Table10[[#All],[Transfer to]],Summary!$A243,Table10[[#All],[Type]],"&lt;&gt;*Contribution*")/Fx_rate</f>
        <v>0</v>
      </c>
      <c r="H243" s="370">
        <f>SUMIFS(Table10[[#All],[VND equivalent]],Table10[[#All],[Expected date of receipt]],Summary!H$239,Table10[[#All],[Status]],"PLANNED",Table10[[#All],[Transfer to]],Summary!$A243,Table10[[#All],[Type]],"&lt;&gt;*Contribution*")/Fx_rate</f>
        <v>382411.69645845279</v>
      </c>
      <c r="I243" s="371"/>
      <c r="J243" s="422"/>
      <c r="M243" s="430"/>
      <c r="N243" s="166"/>
      <c r="O243" s="431"/>
      <c r="P243" s="431"/>
      <c r="Q243" s="431"/>
      <c r="R243" s="431"/>
      <c r="S243" s="431"/>
      <c r="T243" s="422"/>
      <c r="U243" s="422"/>
      <c r="V243" s="422"/>
      <c r="W243" s="105"/>
      <c r="X243" s="105"/>
      <c r="Y243" s="105"/>
      <c r="Z243" s="105"/>
      <c r="AA243" s="105"/>
      <c r="AB243" s="105"/>
      <c r="AC243" s="105"/>
      <c r="AD243" s="105"/>
      <c r="AE243" s="105"/>
      <c r="AF243" s="105"/>
      <c r="AG243" s="105"/>
      <c r="AH243" s="105"/>
      <c r="AI243" s="105"/>
      <c r="AJ243" s="105"/>
      <c r="AK243" s="105"/>
      <c r="AL243" s="105"/>
      <c r="AM243" s="105"/>
      <c r="AN243" s="105"/>
      <c r="AO243" s="105"/>
      <c r="AP243" s="105"/>
      <c r="AQ243" s="105"/>
      <c r="AR243" s="105"/>
      <c r="AS243" s="105"/>
      <c r="AT243" s="105"/>
      <c r="AU243" s="105"/>
      <c r="AV243" s="105"/>
      <c r="AW243" s="105"/>
      <c r="AX243" s="105"/>
      <c r="AY243" s="105"/>
      <c r="AZ243" s="105"/>
      <c r="BA243" s="105"/>
      <c r="BB243" s="105"/>
      <c r="BC243" s="105"/>
      <c r="BD243" s="105"/>
      <c r="BE243" s="105"/>
      <c r="BF243" s="105"/>
      <c r="BG243" s="105"/>
      <c r="BH243" s="105"/>
      <c r="BI243" s="105"/>
      <c r="BJ243" s="105"/>
      <c r="BK243" s="105"/>
      <c r="BL243" s="105"/>
      <c r="BM243" s="105"/>
      <c r="BN243" s="105"/>
      <c r="BO243" s="105"/>
      <c r="BP243" s="105"/>
      <c r="BQ243" s="105"/>
      <c r="BR243" s="105"/>
      <c r="BS243" s="105"/>
      <c r="BT243" s="105"/>
      <c r="BU243" s="105"/>
      <c r="BV243" s="105"/>
      <c r="BW243" s="105"/>
      <c r="BX243" s="105"/>
      <c r="BY243" s="105"/>
      <c r="BZ243" s="105"/>
      <c r="CA243" s="105"/>
      <c r="CB243" s="105"/>
      <c r="CC243" s="105"/>
      <c r="CD243" s="105"/>
      <c r="CE243" s="105"/>
      <c r="CF243" s="105"/>
      <c r="CG243" s="105"/>
      <c r="CH243" s="105"/>
      <c r="CI243" s="105"/>
      <c r="CJ243" s="105"/>
      <c r="CK243" s="105"/>
      <c r="CL243" s="105"/>
      <c r="CM243" s="105"/>
      <c r="CN243" s="105"/>
      <c r="CO243" s="105"/>
      <c r="CP243" s="105"/>
      <c r="CQ243" s="105"/>
      <c r="CR243" s="105"/>
      <c r="CS243" s="105"/>
    </row>
    <row r="244" spans="1:97" s="2" customFormat="1" ht="14.4" hidden="1">
      <c r="A244" s="172" t="s">
        <v>67</v>
      </c>
      <c r="B244" s="166"/>
      <c r="C244" s="852">
        <f>SUM(D244:J244)</f>
        <v>39131805.157593124</v>
      </c>
      <c r="D244" s="853">
        <f>SUMIFS(Table10[[#All],[VND equivalent]],Table10[[#All],[Expected date of receipt]],Summary!D$239,Table10[[#All],[Status]],"PLANNED",Table10[[#All],[Transfer to]],Summary!$A244,Table10[[#All],[Type]],"&lt;&gt;*Contribution*")/Fx_rate</f>
        <v>0</v>
      </c>
      <c r="E244" s="853">
        <f>SUMIFS(Table10[[#All],[VND equivalent]],Table10[[#All],[Expected date of receipt]],Summary!E$239,Table10[[#All],[Status]],"PLANNED",Table10[[#All],[Transfer to]],Summary!$A244,Table10[[#All],[Type]],"&lt;&gt;*Contribution*")/Fx_rate</f>
        <v>664756.44699140405</v>
      </c>
      <c r="F244" s="853">
        <f>SUMIFS(Table10[[#All],[VND equivalent]],Table10[[#All],[Expected date of receipt]],Summary!F$239,Table10[[#All],[Status]],"PLANNED",Table10[[#All],[Transfer to]],Summary!$A244,Table10[[#All],[Type]],"&lt;&gt;*Contribution*")/Fx_rate</f>
        <v>0</v>
      </c>
      <c r="G244" s="853">
        <f>SUMIFS(Table10[[#All],[VND equivalent]],Table10[[#All],[Expected date of receipt]],Summary!G$239,Table10[[#All],[Status]],"PLANNED",Table10[[#All],[Transfer to]],Summary!$A244,Table10[[#All],[Type]],"&lt;&gt;*Contribution*")/Fx_rate</f>
        <v>38467048.710601717</v>
      </c>
      <c r="H244" s="370">
        <f>SUMIFS(Table10[[#All],[VND equivalent]],Table10[[#All],[Expected date of receipt]],Summary!H$239,Table10[[#All],[Status]],"PLANNED",Table10[[#All],[Transfer to]],Summary!$A244,Table10[[#All],[Type]],"&lt;&gt;*Contribution*")/Fx_rate</f>
        <v>0</v>
      </c>
      <c r="I244" s="371"/>
      <c r="J244" s="422"/>
      <c r="M244" s="430"/>
      <c r="N244" s="166"/>
      <c r="O244" s="431"/>
      <c r="P244" s="431"/>
      <c r="Q244" s="431"/>
      <c r="R244" s="431"/>
      <c r="S244" s="431"/>
      <c r="T244" s="422"/>
      <c r="U244" s="422"/>
      <c r="V244" s="422"/>
      <c r="W244" s="105"/>
      <c r="X244" s="105"/>
      <c r="Y244" s="105"/>
      <c r="Z244" s="105"/>
      <c r="AA244" s="105"/>
      <c r="AB244" s="105"/>
      <c r="AC244" s="105"/>
      <c r="AD244" s="105"/>
      <c r="AE244" s="105"/>
      <c r="AF244" s="105"/>
      <c r="AG244" s="105"/>
      <c r="AH244" s="105"/>
      <c r="AI244" s="105"/>
      <c r="AJ244" s="105"/>
      <c r="AK244" s="105"/>
      <c r="AL244" s="105"/>
      <c r="AM244" s="105"/>
      <c r="AN244" s="105"/>
      <c r="AO244" s="105"/>
      <c r="AP244" s="105"/>
      <c r="AQ244" s="105"/>
      <c r="AR244" s="105"/>
      <c r="AS244" s="105"/>
      <c r="AT244" s="105"/>
      <c r="AU244" s="105"/>
      <c r="AV244" s="105"/>
      <c r="AW244" s="105"/>
      <c r="AX244" s="105"/>
      <c r="AY244" s="105"/>
      <c r="AZ244" s="105"/>
      <c r="BA244" s="105"/>
      <c r="BB244" s="105"/>
      <c r="BC244" s="105"/>
      <c r="BD244" s="105"/>
      <c r="BE244" s="105"/>
      <c r="BF244" s="105"/>
      <c r="BG244" s="105"/>
      <c r="BH244" s="105"/>
      <c r="BI244" s="105"/>
      <c r="BJ244" s="105"/>
      <c r="BK244" s="105"/>
      <c r="BL244" s="105"/>
      <c r="BM244" s="105"/>
      <c r="BN244" s="105"/>
      <c r="BO244" s="105"/>
      <c r="BP244" s="105"/>
      <c r="BQ244" s="105"/>
      <c r="BR244" s="105"/>
      <c r="BS244" s="105"/>
      <c r="BT244" s="105"/>
      <c r="BU244" s="105"/>
      <c r="BV244" s="105"/>
      <c r="BW244" s="105"/>
      <c r="BX244" s="105"/>
      <c r="BY244" s="105"/>
      <c r="BZ244" s="105"/>
      <c r="CA244" s="105"/>
      <c r="CB244" s="105"/>
      <c r="CC244" s="105"/>
      <c r="CD244" s="105"/>
      <c r="CE244" s="105"/>
      <c r="CF244" s="105"/>
      <c r="CG244" s="105"/>
      <c r="CH244" s="105"/>
      <c r="CI244" s="105"/>
      <c r="CJ244" s="105"/>
      <c r="CK244" s="105"/>
      <c r="CL244" s="105"/>
      <c r="CM244" s="105"/>
      <c r="CN244" s="105"/>
      <c r="CO244" s="105"/>
      <c r="CP244" s="105"/>
      <c r="CQ244" s="105"/>
      <c r="CR244" s="105"/>
      <c r="CS244" s="105"/>
    </row>
    <row r="245" spans="1:97" s="2" customFormat="1" ht="14.4" hidden="1">
      <c r="A245" s="172" t="s">
        <v>10</v>
      </c>
      <c r="B245" s="166"/>
      <c r="C245" s="852">
        <f>SUM(D245:J245)</f>
        <v>13422002.832855778</v>
      </c>
      <c r="D245" s="853">
        <f>SUMIFS(Table10[[#All],[VND equivalent]],Table10[[#All],[Expected date of receipt]],Summary!D$239,Table10[[#All],[Status]],"PLANNED",Table10[[#All],[Transfer to]],Summary!$A245,Table10[[#All],[Type]],"&lt;&gt;*Contribution*")/Fx_rate</f>
        <v>0</v>
      </c>
      <c r="E245" s="853">
        <f>SUMIFS(Table10[[#All],[VND equivalent]],Table10[[#All],[Expected date of receipt]],Summary!E$239,Table10[[#All],[Status]],"PLANNED",Table10[[#All],[Transfer to]],Summary!$A245,Table10[[#All],[Type]],"&lt;&gt;*Contribution*")/Fx_rate</f>
        <v>6506607.9111747853</v>
      </c>
      <c r="F245" s="853">
        <f>SUMIFS(Table10[[#All],[VND equivalent]],Table10[[#All],[Expected date of receipt]],Summary!F$239,Table10[[#All],[Status]],"PLANNED",Table10[[#All],[Transfer to]],Summary!$A245,Table10[[#All],[Type]],"&lt;&gt;*Contribution*")/Fx_rate</f>
        <v>408787.01050620823</v>
      </c>
      <c r="G245" s="853">
        <f>SUMIFS(Table10[[#All],[VND equivalent]],Table10[[#All],[Expected date of receipt]],Summary!G$239,Table10[[#All],[Status]],"PLANNED",Table10[[#All],[Transfer to]],Summary!$A245,Table10[[#All],[Type]],"&lt;&gt;*Contribution*")/Fx_rate</f>
        <v>3903964.7467048708</v>
      </c>
      <c r="H245" s="370">
        <f>SUMIFS(Table10[[#All],[VND equivalent]],Table10[[#All],[Expected date of receipt]],Summary!H$239,Table10[[#All],[Status]],"PLANNED",Table10[[#All],[Transfer to]],Summary!$A245,Table10[[#All],[Type]],"&lt;&gt;*Contribution*")/Fx_rate</f>
        <v>2602643.164469914</v>
      </c>
      <c r="I245" s="371"/>
      <c r="J245" s="422"/>
      <c r="M245" s="430"/>
      <c r="N245" s="166"/>
      <c r="O245" s="431"/>
      <c r="P245" s="431"/>
      <c r="Q245" s="431"/>
      <c r="R245" s="431"/>
      <c r="S245" s="431"/>
      <c r="T245" s="422"/>
      <c r="U245" s="422"/>
      <c r="V245" s="422"/>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c r="AY245" s="105"/>
      <c r="AZ245" s="105"/>
      <c r="BA245" s="105"/>
      <c r="BB245" s="105"/>
      <c r="BC245" s="105"/>
      <c r="BD245" s="105"/>
      <c r="BE245" s="105"/>
      <c r="BF245" s="105"/>
      <c r="BG245" s="105"/>
      <c r="BH245" s="105"/>
      <c r="BI245" s="105"/>
      <c r="BJ245" s="105"/>
      <c r="BK245" s="105"/>
      <c r="BL245" s="105"/>
      <c r="BM245" s="105"/>
      <c r="BN245" s="105"/>
      <c r="BO245" s="105"/>
      <c r="BP245" s="105"/>
      <c r="BQ245" s="105"/>
      <c r="BR245" s="105"/>
      <c r="BS245" s="105"/>
      <c r="BT245" s="105"/>
      <c r="BU245" s="105"/>
      <c r="BV245" s="105"/>
      <c r="BW245" s="105"/>
      <c r="BX245" s="105"/>
      <c r="BY245" s="105"/>
      <c r="BZ245" s="105"/>
      <c r="CA245" s="105"/>
      <c r="CB245" s="105"/>
      <c r="CC245" s="105"/>
      <c r="CD245" s="105"/>
      <c r="CE245" s="105"/>
      <c r="CF245" s="105"/>
      <c r="CG245" s="105"/>
      <c r="CH245" s="105"/>
      <c r="CI245" s="105"/>
      <c r="CJ245" s="105"/>
      <c r="CK245" s="105"/>
      <c r="CL245" s="105"/>
      <c r="CM245" s="105"/>
      <c r="CN245" s="105"/>
      <c r="CO245" s="105"/>
      <c r="CP245" s="105"/>
      <c r="CQ245" s="105"/>
      <c r="CR245" s="105"/>
      <c r="CS245" s="105"/>
    </row>
    <row r="246" spans="1:97" s="2" customFormat="1" ht="14.4" hidden="1">
      <c r="A246" s="165"/>
      <c r="B246" s="166"/>
      <c r="C246" s="854"/>
      <c r="D246" s="855"/>
      <c r="E246" s="855"/>
      <c r="F246" s="855"/>
      <c r="G246" s="855"/>
      <c r="H246" s="166"/>
      <c r="I246" s="82"/>
      <c r="J246" s="164"/>
      <c r="M246" s="166"/>
      <c r="N246" s="166"/>
      <c r="O246" s="432"/>
      <c r="P246" s="166"/>
      <c r="Q246" s="166"/>
      <c r="R246" s="166"/>
      <c r="S246" s="166"/>
      <c r="T246" s="164"/>
      <c r="U246" s="164"/>
      <c r="V246" s="164"/>
      <c r="W246" s="105"/>
      <c r="X246" s="105"/>
      <c r="Y246" s="105"/>
      <c r="Z246" s="105"/>
      <c r="AA246" s="105"/>
      <c r="AB246" s="105"/>
      <c r="AC246" s="105"/>
      <c r="AD246" s="105"/>
      <c r="AE246" s="105"/>
      <c r="AF246" s="105"/>
      <c r="AG246" s="105"/>
      <c r="AH246" s="105"/>
      <c r="AI246" s="105"/>
      <c r="AJ246" s="105"/>
      <c r="AK246" s="105"/>
      <c r="AL246" s="105"/>
      <c r="AM246" s="105"/>
      <c r="AN246" s="105"/>
      <c r="AO246" s="105"/>
      <c r="AP246" s="105"/>
      <c r="AQ246" s="105"/>
      <c r="AR246" s="105"/>
      <c r="AS246" s="105"/>
      <c r="AT246" s="105"/>
      <c r="AU246" s="105"/>
      <c r="AV246" s="105"/>
      <c r="AW246" s="105"/>
      <c r="AX246" s="105"/>
      <c r="AY246" s="105"/>
      <c r="AZ246" s="105"/>
      <c r="BA246" s="105"/>
      <c r="BB246" s="105"/>
      <c r="BC246" s="105"/>
      <c r="BD246" s="105"/>
      <c r="BE246" s="105"/>
      <c r="BF246" s="105"/>
      <c r="BG246" s="105"/>
      <c r="BH246" s="105"/>
      <c r="BI246" s="105"/>
      <c r="BJ246" s="105"/>
      <c r="BK246" s="105"/>
      <c r="BL246" s="105"/>
      <c r="BM246" s="105"/>
      <c r="BN246" s="105"/>
      <c r="BO246" s="105"/>
      <c r="BP246" s="105"/>
      <c r="BQ246" s="105"/>
      <c r="BR246" s="105"/>
      <c r="BS246" s="105"/>
      <c r="BT246" s="105"/>
      <c r="BU246" s="105"/>
      <c r="BV246" s="105"/>
      <c r="BW246" s="105"/>
      <c r="BX246" s="105"/>
      <c r="BY246" s="105"/>
      <c r="BZ246" s="105"/>
      <c r="CA246" s="105"/>
      <c r="CB246" s="105"/>
      <c r="CC246" s="105"/>
      <c r="CD246" s="105"/>
      <c r="CE246" s="105"/>
      <c r="CF246" s="105"/>
      <c r="CG246" s="105"/>
      <c r="CH246" s="105"/>
      <c r="CI246" s="105"/>
      <c r="CJ246" s="105"/>
      <c r="CK246" s="105"/>
      <c r="CL246" s="105"/>
      <c r="CM246" s="105"/>
      <c r="CN246" s="105"/>
      <c r="CO246" s="105"/>
      <c r="CP246" s="105"/>
      <c r="CQ246" s="105"/>
      <c r="CR246" s="105"/>
      <c r="CS246" s="105"/>
    </row>
    <row r="247" spans="1:97" s="2" customFormat="1" ht="14.4" hidden="1">
      <c r="A247" s="173" t="s">
        <v>278</v>
      </c>
      <c r="B247" s="174"/>
      <c r="C247" s="850">
        <f>SUM(D247:J247)</f>
        <v>0</v>
      </c>
      <c r="D247" s="856">
        <f t="shared" ref="D247:G247" si="31">SUBTOTAL(9,D248:D250)</f>
        <v>0</v>
      </c>
      <c r="E247" s="856">
        <f t="shared" si="31"/>
        <v>0</v>
      </c>
      <c r="F247" s="856">
        <f t="shared" si="31"/>
        <v>0</v>
      </c>
      <c r="G247" s="856">
        <f t="shared" si="31"/>
        <v>0</v>
      </c>
      <c r="H247" s="225">
        <f t="shared" ref="H247" si="32">SUBTOTAL(9,H248:H250)</f>
        <v>0</v>
      </c>
      <c r="I247" s="226"/>
      <c r="J247" s="423"/>
      <c r="M247" s="428"/>
      <c r="N247" s="428"/>
      <c r="O247" s="429"/>
      <c r="P247" s="429"/>
      <c r="Q247" s="429"/>
      <c r="R247" s="429"/>
      <c r="S247" s="429"/>
      <c r="T247" s="423"/>
      <c r="U247" s="423"/>
      <c r="V247" s="423"/>
      <c r="W247" s="105"/>
      <c r="X247" s="105"/>
      <c r="Y247" s="105"/>
      <c r="Z247" s="105"/>
      <c r="AA247" s="105"/>
      <c r="AB247" s="105"/>
      <c r="AC247" s="105"/>
      <c r="AD247" s="105"/>
      <c r="AE247" s="105"/>
      <c r="AF247" s="105"/>
      <c r="AG247" s="105"/>
      <c r="AH247" s="105"/>
      <c r="AI247" s="105"/>
      <c r="AJ247" s="105"/>
      <c r="AK247" s="105"/>
      <c r="AL247" s="105"/>
      <c r="AM247" s="105"/>
      <c r="AN247" s="105"/>
      <c r="AO247" s="105"/>
      <c r="AP247" s="105"/>
      <c r="AQ247" s="105"/>
      <c r="AR247" s="105"/>
      <c r="AS247" s="105"/>
      <c r="AT247" s="105"/>
      <c r="AU247" s="105"/>
      <c r="AV247" s="105"/>
      <c r="AW247" s="105"/>
      <c r="AX247" s="105"/>
      <c r="AY247" s="105"/>
      <c r="AZ247" s="105"/>
      <c r="BA247" s="105"/>
      <c r="BB247" s="105"/>
      <c r="BC247" s="105"/>
      <c r="BD247" s="105"/>
      <c r="BE247" s="105"/>
      <c r="BF247" s="105"/>
      <c r="BG247" s="105"/>
      <c r="BH247" s="105"/>
      <c r="BI247" s="105"/>
      <c r="BJ247" s="105"/>
      <c r="BK247" s="105"/>
      <c r="BL247" s="105"/>
      <c r="BM247" s="105"/>
      <c r="BN247" s="105"/>
      <c r="BO247" s="105"/>
      <c r="BP247" s="105"/>
      <c r="BQ247" s="105"/>
      <c r="BR247" s="105"/>
      <c r="BS247" s="105"/>
      <c r="BT247" s="105"/>
      <c r="BU247" s="105"/>
      <c r="BV247" s="105"/>
      <c r="BW247" s="105"/>
      <c r="BX247" s="105"/>
      <c r="BY247" s="105"/>
      <c r="BZ247" s="105"/>
      <c r="CA247" s="105"/>
      <c r="CB247" s="105"/>
      <c r="CC247" s="105"/>
      <c r="CD247" s="105"/>
      <c r="CE247" s="105"/>
      <c r="CF247" s="105"/>
      <c r="CG247" s="105"/>
      <c r="CH247" s="105"/>
      <c r="CI247" s="105"/>
      <c r="CJ247" s="105"/>
      <c r="CK247" s="105"/>
      <c r="CL247" s="105"/>
      <c r="CM247" s="105"/>
      <c r="CN247" s="105"/>
      <c r="CO247" s="105"/>
      <c r="CP247" s="105"/>
      <c r="CQ247" s="105"/>
      <c r="CR247" s="105"/>
      <c r="CS247" s="105"/>
    </row>
    <row r="248" spans="1:97" s="2" customFormat="1" ht="14.4" hidden="1" outlineLevel="1">
      <c r="A248" s="172" t="s">
        <v>8</v>
      </c>
      <c r="B248" s="166"/>
      <c r="C248" s="852">
        <f>SUM(D248:J248)</f>
        <v>0</v>
      </c>
      <c r="D248" s="853">
        <f>(SUMIFS(Table16[[#All],[VND equivalent]],Table16[[#All],[Expected date of transfer]],Summary!D$239,Table16[[#All],[Status]],"PLANNED",Table16[[#All],[Transfer to]],Summary!$A248,Table16[[#All],[Type]],"&lt;&gt;*Contribution*")+('Cash Planning'!AN24+'Cash Planning'!AN25))/Fx_rate</f>
        <v>0</v>
      </c>
      <c r="E248" s="853">
        <f>(SUMIFS(Table16[[#All],[VND equivalent]],Table16[[#All],[Expected date of transfer]],Summary!E$239,Table16[[#All],[Status]],"PLANNED",Table16[[#All],[Transfer to]],Summary!$A248,Table16[[#All],[Type]],"&lt;&gt;*Contribution*")+('Cash Planning'!AO24+'Cash Planning'!AO25))/Fx_rate</f>
        <v>0</v>
      </c>
      <c r="F248" s="853">
        <f>(SUMIFS(Table16[[#All],[VND equivalent]],Table16[[#All],[Expected date of transfer]],Summary!F$239,Table16[[#All],[Status]],"PLANNED",Table16[[#All],[Transfer to]],Summary!$A248,Table16[[#All],[Type]],"&lt;&gt;*Contribution*")+('Cash Planning'!AP24+'Cash Planning'!AP25))/Fx_rate</f>
        <v>0</v>
      </c>
      <c r="G248" s="853">
        <f>(SUMIFS(Table16[[#All],[VND equivalent]],Table16[[#All],[Expected date of transfer]],Summary!G$239,Table16[[#All],[Status]],"PLANNED",Table16[[#All],[Transfer to]],Summary!$A248,Table16[[#All],[Type]],"&lt;&gt;*Contribution*")+('Cash Planning'!AQ24+'Cash Planning'!AQ25))/Fx_rate</f>
        <v>0</v>
      </c>
      <c r="H248" s="853">
        <f>(SUMIFS(Table16[[#All],[VND equivalent]],Table16[[#All],[Expected date of transfer]],Summary!H$239,Table16[[#All],[Status]],"PLANNED",Table16[[#All],[Transfer to]],Summary!$A248,Table16[[#All],[Type]],"&lt;&gt;*Contribution*")+('Cash Planning'!AR24+'Cash Planning'!AR25))/Fx_rate</f>
        <v>0</v>
      </c>
      <c r="I248" s="371"/>
      <c r="J248" s="422"/>
      <c r="M248" s="430"/>
      <c r="N248" s="166"/>
      <c r="O248" s="431"/>
      <c r="P248" s="431"/>
      <c r="Q248" s="431"/>
      <c r="R248" s="431"/>
      <c r="S248" s="431"/>
      <c r="T248" s="422"/>
      <c r="U248" s="422"/>
      <c r="V248" s="422"/>
      <c r="W248" s="105"/>
      <c r="X248" s="105"/>
      <c r="Y248" s="105"/>
      <c r="Z248" s="105"/>
      <c r="AA248" s="105"/>
      <c r="AB248" s="105"/>
      <c r="AC248" s="105"/>
      <c r="AD248" s="105"/>
      <c r="AE248" s="105"/>
      <c r="AF248" s="105"/>
      <c r="AG248" s="105"/>
      <c r="AH248" s="105"/>
      <c r="AI248" s="105"/>
      <c r="AJ248" s="105"/>
      <c r="AK248" s="105"/>
      <c r="AL248" s="105"/>
      <c r="AM248" s="105"/>
      <c r="AN248" s="105"/>
      <c r="AO248" s="105"/>
      <c r="AP248" s="105"/>
      <c r="AQ248" s="105"/>
      <c r="AR248" s="105"/>
      <c r="AS248" s="105"/>
      <c r="AT248" s="105"/>
      <c r="AU248" s="105"/>
      <c r="AV248" s="105"/>
      <c r="AW248" s="105"/>
      <c r="AX248" s="105"/>
      <c r="AY248" s="105"/>
      <c r="AZ248" s="105"/>
      <c r="BA248" s="105"/>
      <c r="BB248" s="105"/>
      <c r="BC248" s="105"/>
      <c r="BD248" s="105"/>
      <c r="BE248" s="105"/>
      <c r="BF248" s="105"/>
      <c r="BG248" s="105"/>
      <c r="BH248" s="105"/>
      <c r="BI248" s="105"/>
      <c r="BJ248" s="105"/>
      <c r="BK248" s="105"/>
      <c r="BL248" s="105"/>
      <c r="BM248" s="105"/>
      <c r="BN248" s="105"/>
      <c r="BO248" s="105"/>
      <c r="BP248" s="105"/>
      <c r="BQ248" s="105"/>
      <c r="BR248" s="105"/>
      <c r="BS248" s="105"/>
      <c r="BT248" s="105"/>
      <c r="BU248" s="105"/>
      <c r="BV248" s="105"/>
      <c r="BW248" s="105"/>
      <c r="BX248" s="105"/>
      <c r="BY248" s="105"/>
      <c r="BZ248" s="105"/>
      <c r="CA248" s="105"/>
      <c r="CB248" s="105"/>
      <c r="CC248" s="105"/>
      <c r="CD248" s="105"/>
      <c r="CE248" s="105"/>
      <c r="CF248" s="105"/>
      <c r="CG248" s="105"/>
      <c r="CH248" s="105"/>
      <c r="CI248" s="105"/>
      <c r="CJ248" s="105"/>
      <c r="CK248" s="105"/>
      <c r="CL248" s="105"/>
      <c r="CM248" s="105"/>
      <c r="CN248" s="105"/>
      <c r="CO248" s="105"/>
      <c r="CP248" s="105"/>
      <c r="CQ248" s="105"/>
      <c r="CR248" s="105"/>
      <c r="CS248" s="105"/>
    </row>
    <row r="249" spans="1:97" s="2" customFormat="1" ht="14.4" hidden="1" outlineLevel="1">
      <c r="A249" s="172" t="s">
        <v>67</v>
      </c>
      <c r="B249" s="166"/>
      <c r="C249" s="852">
        <f>SUM(D249:J249)</f>
        <v>0</v>
      </c>
      <c r="D249" s="853">
        <f>(SUMIFS(Table16[[#All],[VND equivalent]],Table16[[#All],[Expected date of transfer]],Summary!D$239,Table16[[#All],[Status]],"PLANNED",Table16[[#All],[Transfer to]],Summary!$A249,Table16[[#All],[Type]],"&lt;&gt;*Contribution*")+('Cash Planning'!AN25+'Cash Planning'!AN26))/Fx_rate</f>
        <v>0</v>
      </c>
      <c r="E249" s="853">
        <f>(SUMIFS(Table16[[#All],[VND equivalent]],Table16[[#All],[Expected date of transfer]],Summary!E$239,Table16[[#All],[Status]],"PLANNED",Table16[[#All],[Transfer to]],Summary!$A249,Table16[[#All],[Type]],"&lt;&gt;*Contribution*")+('Cash Planning'!AO25+'Cash Planning'!AO26))/Fx_rate</f>
        <v>0</v>
      </c>
      <c r="F249" s="853">
        <f>(SUMIFS(Table16[[#All],[VND equivalent]],Table16[[#All],[Expected date of transfer]],Summary!F$239,Table16[[#All],[Status]],"PLANNED",Table16[[#All],[Transfer to]],Summary!$A249,Table16[[#All],[Type]],"&lt;&gt;*Contribution*")+('Cash Planning'!AP25+'Cash Planning'!AP26))/Fx_rate</f>
        <v>0</v>
      </c>
      <c r="G249" s="853">
        <f>(SUMIFS(Table16[[#All],[VND equivalent]],Table16[[#All],[Expected date of transfer]],Summary!G$239,Table16[[#All],[Status]],"PLANNED",Table16[[#All],[Transfer to]],Summary!$A249,Table16[[#All],[Type]],"&lt;&gt;*Contribution*")+('Cash Planning'!AQ25+'Cash Planning'!AQ26))/Fx_rate</f>
        <v>0</v>
      </c>
      <c r="H249" s="853">
        <f>(SUMIFS(Table16[[#All],[VND equivalent]],Table16[[#All],[Expected date of transfer]],Summary!H$239,Table16[[#All],[Status]],"PLANNED",Table16[[#All],[Transfer to]],Summary!$A249,Table16[[#All],[Type]],"&lt;&gt;*Contribution*")+('Cash Planning'!AR25+'Cash Planning'!AR26))/Fx_rate</f>
        <v>0</v>
      </c>
      <c r="I249" s="371"/>
      <c r="J249" s="422"/>
      <c r="M249" s="430"/>
      <c r="N249" s="166"/>
      <c r="O249" s="431"/>
      <c r="P249" s="431"/>
      <c r="Q249" s="431"/>
      <c r="R249" s="431"/>
      <c r="S249" s="431"/>
      <c r="T249" s="422"/>
      <c r="U249" s="422"/>
      <c r="V249" s="422"/>
      <c r="W249" s="105"/>
      <c r="X249" s="105"/>
      <c r="Y249" s="105"/>
      <c r="Z249" s="105"/>
      <c r="AA249" s="105"/>
      <c r="AB249" s="105"/>
      <c r="AC249" s="105"/>
      <c r="AD249" s="105"/>
      <c r="AE249" s="105"/>
      <c r="AF249" s="105"/>
      <c r="AG249" s="105"/>
      <c r="AH249" s="105"/>
      <c r="AI249" s="105"/>
      <c r="AJ249" s="105"/>
      <c r="AK249" s="105"/>
      <c r="AL249" s="105"/>
      <c r="AM249" s="105"/>
      <c r="AN249" s="105"/>
      <c r="AO249" s="105"/>
      <c r="AP249" s="105"/>
      <c r="AQ249" s="105"/>
      <c r="AR249" s="105"/>
      <c r="AS249" s="105"/>
      <c r="AT249" s="105"/>
      <c r="AU249" s="105"/>
      <c r="AV249" s="105"/>
      <c r="AW249" s="105"/>
      <c r="AX249" s="105"/>
      <c r="AY249" s="105"/>
      <c r="AZ249" s="105"/>
      <c r="BA249" s="105"/>
      <c r="BB249" s="105"/>
      <c r="BC249" s="105"/>
      <c r="BD249" s="105"/>
      <c r="BE249" s="105"/>
      <c r="BF249" s="105"/>
      <c r="BG249" s="105"/>
      <c r="BH249" s="105"/>
      <c r="BI249" s="105"/>
      <c r="BJ249" s="105"/>
      <c r="BK249" s="105"/>
      <c r="BL249" s="105"/>
      <c r="BM249" s="105"/>
      <c r="BN249" s="105"/>
      <c r="BO249" s="105"/>
      <c r="BP249" s="105"/>
      <c r="BQ249" s="105"/>
      <c r="BR249" s="105"/>
      <c r="BS249" s="105"/>
      <c r="BT249" s="105"/>
      <c r="BU249" s="105"/>
      <c r="BV249" s="105"/>
      <c r="BW249" s="105"/>
      <c r="BX249" s="105"/>
      <c r="BY249" s="105"/>
      <c r="BZ249" s="105"/>
      <c r="CA249" s="105"/>
      <c r="CB249" s="105"/>
      <c r="CC249" s="105"/>
      <c r="CD249" s="105"/>
      <c r="CE249" s="105"/>
      <c r="CF249" s="105"/>
      <c r="CG249" s="105"/>
      <c r="CH249" s="105"/>
      <c r="CI249" s="105"/>
      <c r="CJ249" s="105"/>
      <c r="CK249" s="105"/>
      <c r="CL249" s="105"/>
      <c r="CM249" s="105"/>
      <c r="CN249" s="105"/>
      <c r="CO249" s="105"/>
      <c r="CP249" s="105"/>
      <c r="CQ249" s="105"/>
      <c r="CR249" s="105"/>
      <c r="CS249" s="105"/>
    </row>
    <row r="250" spans="1:97" s="2" customFormat="1" ht="14.4" hidden="1" outlineLevel="1">
      <c r="A250" s="172" t="s">
        <v>10</v>
      </c>
      <c r="B250" s="166"/>
      <c r="C250" s="852">
        <f>SUM(D250:J250)</f>
        <v>0</v>
      </c>
      <c r="D250" s="853">
        <f>(SUMIFS(Table16[[#All],[VND equivalent]],Table16[[#All],[Expected date of transfer]],Summary!D$239,Table16[[#All],[Status]],"PLANNED",Table16[[#All],[Transfer to]],Summary!$A250,Table16[[#All],[Type]],"&lt;&gt;*Contribution*")+('Cash Planning'!AN26+'Cash Planning'!AN27))/Fx_rate</f>
        <v>0</v>
      </c>
      <c r="E250" s="853">
        <f>(SUMIFS(Table16[[#All],[VND equivalent]],Table16[[#All],[Expected date of transfer]],Summary!E$239,Table16[[#All],[Status]],"PLANNED",Table16[[#All],[Transfer to]],Summary!$A250,Table16[[#All],[Type]],"&lt;&gt;*Contribution*")+('Cash Planning'!AO26+'Cash Planning'!AO27))/Fx_rate</f>
        <v>0</v>
      </c>
      <c r="F250" s="853">
        <f>(SUMIFS(Table16[[#All],[VND equivalent]],Table16[[#All],[Expected date of transfer]],Summary!F$239,Table16[[#All],[Status]],"PLANNED",Table16[[#All],[Transfer to]],Summary!$A250,Table16[[#All],[Type]],"&lt;&gt;*Contribution*")+('Cash Planning'!AP26+'Cash Planning'!AP27))/Fx_rate</f>
        <v>0</v>
      </c>
      <c r="G250" s="853">
        <f>(SUMIFS(Table16[[#All],[VND equivalent]],Table16[[#All],[Expected date of transfer]],Summary!G$239,Table16[[#All],[Status]],"PLANNED",Table16[[#All],[Transfer to]],Summary!$A250,Table16[[#All],[Type]],"&lt;&gt;*Contribution*")+('Cash Planning'!AQ26+'Cash Planning'!AQ27))/Fx_rate</f>
        <v>0</v>
      </c>
      <c r="H250" s="853">
        <f>(SUMIFS(Table16[[#All],[VND equivalent]],Table16[[#All],[Expected date of transfer]],Summary!H$239,Table16[[#All],[Status]],"PLANNED",Table16[[#All],[Transfer to]],Summary!$A250,Table16[[#All],[Type]],"&lt;&gt;*Contribution*")+('Cash Planning'!AR26+'Cash Planning'!AR27))/Fx_rate</f>
        <v>0</v>
      </c>
      <c r="I250" s="371"/>
      <c r="J250" s="422"/>
      <c r="M250" s="430"/>
      <c r="N250" s="166"/>
      <c r="O250" s="431"/>
      <c r="P250" s="431"/>
      <c r="Q250" s="431"/>
      <c r="R250" s="431"/>
      <c r="S250" s="431"/>
      <c r="T250" s="422"/>
      <c r="U250" s="422"/>
      <c r="V250" s="422"/>
      <c r="W250" s="105"/>
      <c r="X250" s="105"/>
      <c r="Y250" s="105"/>
      <c r="Z250" s="105"/>
      <c r="AA250" s="105"/>
      <c r="AB250" s="105"/>
      <c r="AC250" s="105"/>
      <c r="AD250" s="105"/>
      <c r="AE250" s="105"/>
      <c r="AF250" s="105"/>
      <c r="AG250" s="105"/>
      <c r="AH250" s="105"/>
      <c r="AI250" s="105"/>
      <c r="AJ250" s="105"/>
      <c r="AK250" s="105"/>
      <c r="AL250" s="105"/>
      <c r="AM250" s="105"/>
      <c r="AN250" s="105"/>
      <c r="AO250" s="105"/>
      <c r="AP250" s="105"/>
      <c r="AQ250" s="105"/>
      <c r="AR250" s="105"/>
      <c r="AS250" s="105"/>
      <c r="AT250" s="105"/>
      <c r="AU250" s="105"/>
      <c r="AV250" s="105"/>
      <c r="AW250" s="105"/>
      <c r="AX250" s="105"/>
      <c r="AY250" s="105"/>
      <c r="AZ250" s="105"/>
      <c r="BA250" s="105"/>
      <c r="BB250" s="105"/>
      <c r="BC250" s="105"/>
      <c r="BD250" s="105"/>
      <c r="BE250" s="105"/>
      <c r="BF250" s="105"/>
      <c r="BG250" s="105"/>
      <c r="BH250" s="105"/>
      <c r="BI250" s="105"/>
      <c r="BJ250" s="105"/>
      <c r="BK250" s="105"/>
      <c r="BL250" s="105"/>
      <c r="BM250" s="105"/>
      <c r="BN250" s="105"/>
      <c r="BO250" s="105"/>
      <c r="BP250" s="105"/>
      <c r="BQ250" s="105"/>
      <c r="BR250" s="105"/>
      <c r="BS250" s="105"/>
      <c r="BT250" s="105"/>
      <c r="BU250" s="105"/>
      <c r="BV250" s="105"/>
      <c r="BW250" s="105"/>
      <c r="BX250" s="105"/>
      <c r="BY250" s="105"/>
      <c r="BZ250" s="105"/>
      <c r="CA250" s="105"/>
      <c r="CB250" s="105"/>
      <c r="CC250" s="105"/>
      <c r="CD250" s="105"/>
      <c r="CE250" s="105"/>
      <c r="CF250" s="105"/>
      <c r="CG250" s="105"/>
      <c r="CH250" s="105"/>
      <c r="CI250" s="105"/>
      <c r="CJ250" s="105"/>
      <c r="CK250" s="105"/>
      <c r="CL250" s="105"/>
      <c r="CM250" s="105"/>
      <c r="CN250" s="105"/>
      <c r="CO250" s="105"/>
      <c r="CP250" s="105"/>
      <c r="CQ250" s="105"/>
      <c r="CR250" s="105"/>
      <c r="CS250" s="105"/>
    </row>
    <row r="251" spans="1:97" s="2" customFormat="1" ht="14.4" hidden="1" collapsed="1">
      <c r="A251" s="165"/>
      <c r="B251" s="166"/>
      <c r="C251" s="854"/>
      <c r="D251" s="855"/>
      <c r="E251" s="855"/>
      <c r="F251" s="855"/>
      <c r="G251" s="855"/>
      <c r="H251" s="166"/>
      <c r="I251" s="82"/>
      <c r="J251" s="164"/>
      <c r="M251" s="166"/>
      <c r="N251" s="166"/>
      <c r="O251" s="166"/>
      <c r="P251" s="166"/>
      <c r="Q251" s="166"/>
      <c r="R251" s="166"/>
      <c r="S251" s="166"/>
      <c r="T251" s="164"/>
      <c r="U251" s="164"/>
      <c r="V251" s="164"/>
      <c r="W251" s="105"/>
      <c r="X251" s="105"/>
      <c r="Y251" s="105"/>
      <c r="Z251" s="105"/>
      <c r="AA251" s="105"/>
      <c r="AB251" s="105"/>
      <c r="AC251" s="105"/>
      <c r="AD251" s="105"/>
      <c r="AE251" s="105"/>
      <c r="AF251" s="105"/>
      <c r="AG251" s="105"/>
      <c r="AH251" s="105"/>
      <c r="AI251" s="105"/>
      <c r="AJ251" s="105"/>
      <c r="AK251" s="105"/>
      <c r="AL251" s="105"/>
      <c r="AM251" s="105"/>
      <c r="AN251" s="105"/>
      <c r="AO251" s="105"/>
      <c r="AP251" s="105"/>
      <c r="AQ251" s="105"/>
      <c r="AR251" s="105"/>
      <c r="AS251" s="105"/>
      <c r="AT251" s="105"/>
      <c r="AU251" s="105"/>
      <c r="AV251" s="105"/>
      <c r="AW251" s="105"/>
      <c r="AX251" s="105"/>
      <c r="AY251" s="105"/>
      <c r="AZ251" s="105"/>
      <c r="BA251" s="105"/>
      <c r="BB251" s="105"/>
      <c r="BC251" s="105"/>
      <c r="BD251" s="105"/>
      <c r="BE251" s="105"/>
      <c r="BF251" s="105"/>
      <c r="BG251" s="105"/>
      <c r="BH251" s="105"/>
      <c r="BI251" s="105"/>
      <c r="BJ251" s="105"/>
      <c r="BK251" s="105"/>
      <c r="BL251" s="105"/>
      <c r="BM251" s="105"/>
      <c r="BN251" s="105"/>
      <c r="BO251" s="105"/>
      <c r="BP251" s="105"/>
      <c r="BQ251" s="105"/>
      <c r="BR251" s="105"/>
      <c r="BS251" s="105"/>
      <c r="BT251" s="105"/>
      <c r="BU251" s="105"/>
      <c r="BV251" s="105"/>
      <c r="BW251" s="105"/>
      <c r="BX251" s="105"/>
      <c r="BY251" s="105"/>
      <c r="BZ251" s="105"/>
      <c r="CA251" s="105"/>
      <c r="CB251" s="105"/>
      <c r="CC251" s="105"/>
      <c r="CD251" s="105"/>
      <c r="CE251" s="105"/>
      <c r="CF251" s="105"/>
      <c r="CG251" s="105"/>
      <c r="CH251" s="105"/>
      <c r="CI251" s="105"/>
      <c r="CJ251" s="105"/>
      <c r="CK251" s="105"/>
      <c r="CL251" s="105"/>
      <c r="CM251" s="105"/>
      <c r="CN251" s="105"/>
      <c r="CO251" s="105"/>
      <c r="CP251" s="105"/>
      <c r="CQ251" s="105"/>
      <c r="CR251" s="105"/>
      <c r="CS251" s="105"/>
    </row>
    <row r="252" spans="1:97" s="2" customFormat="1" ht="14.4" hidden="1">
      <c r="A252" s="176" t="s">
        <v>206</v>
      </c>
      <c r="B252" s="177"/>
      <c r="C252" s="857"/>
      <c r="D252" s="858"/>
      <c r="E252" s="858"/>
      <c r="F252" s="858"/>
      <c r="G252" s="858"/>
      <c r="H252" s="177"/>
      <c r="I252" s="178"/>
      <c r="J252" s="424"/>
      <c r="M252" s="433"/>
      <c r="N252" s="433"/>
      <c r="O252" s="433"/>
      <c r="P252" s="433"/>
      <c r="Q252" s="433"/>
      <c r="R252" s="433"/>
      <c r="S252" s="433"/>
      <c r="T252" s="424"/>
      <c r="U252" s="424"/>
      <c r="V252" s="424"/>
      <c r="W252" s="105"/>
      <c r="X252" s="105"/>
      <c r="Y252" s="105"/>
      <c r="Z252" s="105"/>
      <c r="AA252" s="105"/>
      <c r="AB252" s="105"/>
      <c r="AC252" s="105"/>
      <c r="AD252" s="105"/>
      <c r="AE252" s="105"/>
      <c r="AF252" s="105"/>
      <c r="AG252" s="105"/>
      <c r="AH252" s="105"/>
      <c r="AI252" s="105"/>
      <c r="AJ252" s="105"/>
      <c r="AK252" s="105"/>
      <c r="AL252" s="105"/>
      <c r="AM252" s="105"/>
      <c r="AN252" s="105"/>
      <c r="AO252" s="105"/>
      <c r="AP252" s="105"/>
      <c r="AQ252" s="105"/>
      <c r="AR252" s="105"/>
      <c r="AS252" s="105"/>
      <c r="AT252" s="105"/>
      <c r="AU252" s="105"/>
      <c r="AV252" s="105"/>
      <c r="AW252" s="105"/>
      <c r="AX252" s="105"/>
      <c r="AY252" s="105"/>
      <c r="AZ252" s="105"/>
      <c r="BA252" s="105"/>
      <c r="BB252" s="105"/>
      <c r="BC252" s="105"/>
      <c r="BD252" s="105"/>
      <c r="BE252" s="105"/>
      <c r="BF252" s="105"/>
      <c r="BG252" s="105"/>
      <c r="BH252" s="105"/>
      <c r="BI252" s="105"/>
      <c r="BJ252" s="105"/>
      <c r="BK252" s="105"/>
      <c r="BL252" s="105"/>
      <c r="BM252" s="105"/>
      <c r="BN252" s="105"/>
      <c r="BO252" s="105"/>
      <c r="BP252" s="105"/>
      <c r="BQ252" s="105"/>
      <c r="BR252" s="105"/>
      <c r="BS252" s="105"/>
      <c r="BT252" s="105"/>
      <c r="BU252" s="105"/>
      <c r="BV252" s="105"/>
      <c r="BW252" s="105"/>
      <c r="BX252" s="105"/>
      <c r="BY252" s="105"/>
      <c r="BZ252" s="105"/>
      <c r="CA252" s="105"/>
      <c r="CB252" s="105"/>
      <c r="CC252" s="105"/>
      <c r="CD252" s="105"/>
      <c r="CE252" s="105"/>
      <c r="CF252" s="105"/>
      <c r="CG252" s="105"/>
      <c r="CH252" s="105"/>
      <c r="CI252" s="105"/>
      <c r="CJ252" s="105"/>
      <c r="CK252" s="105"/>
      <c r="CL252" s="105"/>
      <c r="CM252" s="105"/>
      <c r="CN252" s="105"/>
      <c r="CO252" s="105"/>
      <c r="CP252" s="105"/>
      <c r="CQ252" s="105"/>
      <c r="CR252" s="105"/>
      <c r="CS252" s="105"/>
    </row>
    <row r="253" spans="1:97" s="2" customFormat="1" ht="14.4" hidden="1">
      <c r="A253" s="165"/>
      <c r="B253" s="835"/>
      <c r="C253" s="859">
        <f>C254+C258-('Cash Planning'!$H$10+'Cash Planning'!AP13/Fx)</f>
        <v>0</v>
      </c>
      <c r="D253" s="855"/>
      <c r="E253" s="855"/>
      <c r="F253" s="855"/>
      <c r="G253" s="855"/>
      <c r="H253" s="166"/>
      <c r="I253" s="82"/>
      <c r="J253" s="164"/>
      <c r="M253" s="166"/>
      <c r="N253" s="166"/>
      <c r="O253" s="102"/>
      <c r="P253" s="166"/>
      <c r="Q253" s="166"/>
      <c r="R253" s="166"/>
      <c r="S253" s="166"/>
      <c r="T253" s="164"/>
      <c r="U253" s="164"/>
      <c r="V253" s="164"/>
      <c r="W253" s="105"/>
      <c r="X253" s="105"/>
      <c r="Y253" s="105"/>
      <c r="Z253" s="105"/>
      <c r="AA253" s="105"/>
      <c r="AB253" s="105"/>
      <c r="AC253" s="105"/>
      <c r="AD253" s="105"/>
      <c r="AE253" s="105"/>
      <c r="AF253" s="105"/>
      <c r="AG253" s="105"/>
      <c r="AH253" s="105"/>
      <c r="AI253" s="105"/>
      <c r="AJ253" s="105"/>
      <c r="AK253" s="105"/>
      <c r="AL253" s="105"/>
      <c r="AM253" s="105"/>
      <c r="AN253" s="105"/>
      <c r="AO253" s="105"/>
      <c r="AP253" s="105"/>
      <c r="AQ253" s="105"/>
      <c r="AR253" s="105"/>
      <c r="AS253" s="105"/>
      <c r="AT253" s="105"/>
      <c r="AU253" s="105"/>
      <c r="AV253" s="105"/>
      <c r="AW253" s="105"/>
      <c r="AX253" s="105"/>
      <c r="AY253" s="105"/>
      <c r="AZ253" s="105"/>
      <c r="BA253" s="105"/>
      <c r="BB253" s="105"/>
      <c r="BC253" s="105"/>
      <c r="BD253" s="105"/>
      <c r="BE253" s="105"/>
      <c r="BF253" s="105"/>
      <c r="BG253" s="105"/>
      <c r="BH253" s="105"/>
      <c r="BI253" s="105"/>
      <c r="BJ253" s="105"/>
      <c r="BK253" s="105"/>
      <c r="BL253" s="105"/>
      <c r="BM253" s="105"/>
      <c r="BN253" s="105"/>
      <c r="BO253" s="105"/>
      <c r="BP253" s="105"/>
      <c r="BQ253" s="105"/>
      <c r="BR253" s="105"/>
      <c r="BS253" s="105"/>
      <c r="BT253" s="105"/>
      <c r="BU253" s="105"/>
      <c r="BV253" s="105"/>
      <c r="BW253" s="105"/>
      <c r="BX253" s="105"/>
      <c r="BY253" s="105"/>
      <c r="BZ253" s="105"/>
      <c r="CA253" s="105"/>
      <c r="CB253" s="105"/>
      <c r="CC253" s="105"/>
      <c r="CD253" s="105"/>
      <c r="CE253" s="105"/>
      <c r="CF253" s="105"/>
      <c r="CG253" s="105"/>
      <c r="CH253" s="105"/>
      <c r="CI253" s="105"/>
      <c r="CJ253" s="105"/>
      <c r="CK253" s="105"/>
      <c r="CL253" s="105"/>
      <c r="CM253" s="105"/>
      <c r="CN253" s="105"/>
      <c r="CO253" s="105"/>
      <c r="CP253" s="105"/>
      <c r="CQ253" s="105"/>
      <c r="CR253" s="105"/>
      <c r="CS253" s="105"/>
    </row>
    <row r="254" spans="1:97" s="2" customFormat="1" ht="14.4" hidden="1">
      <c r="A254" s="702" t="s">
        <v>279</v>
      </c>
      <c r="B254" s="703"/>
      <c r="C254" s="860">
        <f>SUM(D254:J254)</f>
        <v>17465298.302559696</v>
      </c>
      <c r="D254" s="861">
        <f t="shared" ref="D254:G254" si="33">SUBTOTAL(9,D255:D257)</f>
        <v>3646236.433199618</v>
      </c>
      <c r="E254" s="861">
        <f t="shared" si="33"/>
        <v>2287008.6227316139</v>
      </c>
      <c r="F254" s="861">
        <f t="shared" si="33"/>
        <v>843277.85795606486</v>
      </c>
      <c r="G254" s="861">
        <f t="shared" si="33"/>
        <v>6783981.5531996181</v>
      </c>
      <c r="H254" s="704">
        <f t="shared" ref="H254" si="34">SUBTOTAL(9,H255:H257)</f>
        <v>3904793.8354727793</v>
      </c>
      <c r="I254" s="705"/>
      <c r="J254" s="423"/>
      <c r="M254" s="428"/>
      <c r="N254" s="428"/>
      <c r="O254" s="434"/>
      <c r="P254" s="429"/>
      <c r="Q254" s="429"/>
      <c r="R254" s="429"/>
      <c r="S254" s="429"/>
      <c r="T254" s="423"/>
      <c r="U254" s="423"/>
      <c r="V254" s="423"/>
      <c r="W254" s="105"/>
      <c r="X254" s="105"/>
      <c r="Y254" s="105"/>
      <c r="Z254" s="105"/>
      <c r="AA254" s="105"/>
      <c r="AB254" s="105"/>
      <c r="AC254" s="105"/>
      <c r="AD254" s="105"/>
      <c r="AE254" s="105"/>
      <c r="AF254" s="105"/>
      <c r="AG254" s="105"/>
      <c r="AH254" s="105"/>
      <c r="AI254" s="105"/>
      <c r="AJ254" s="105"/>
      <c r="AK254" s="105"/>
      <c r="AL254" s="105"/>
      <c r="AM254" s="105"/>
      <c r="AN254" s="105"/>
      <c r="AO254" s="105"/>
      <c r="AP254" s="105"/>
      <c r="AQ254" s="105"/>
      <c r="AR254" s="105"/>
      <c r="AS254" s="105"/>
      <c r="AT254" s="105"/>
      <c r="AU254" s="105"/>
      <c r="AV254" s="105"/>
      <c r="AW254" s="105"/>
      <c r="AX254" s="105"/>
      <c r="AY254" s="105"/>
      <c r="AZ254" s="105"/>
      <c r="BA254" s="105"/>
      <c r="BB254" s="105"/>
      <c r="BC254" s="105"/>
      <c r="BD254" s="105"/>
      <c r="BE254" s="105"/>
      <c r="BF254" s="105"/>
      <c r="BG254" s="105"/>
      <c r="BH254" s="105"/>
      <c r="BI254" s="105"/>
      <c r="BJ254" s="105"/>
      <c r="BK254" s="105"/>
      <c r="BL254" s="105"/>
      <c r="BM254" s="105"/>
      <c r="BN254" s="105"/>
      <c r="BO254" s="105"/>
      <c r="BP254" s="105"/>
      <c r="BQ254" s="105"/>
      <c r="BR254" s="105"/>
      <c r="BS254" s="105"/>
      <c r="BT254" s="105"/>
      <c r="BU254" s="105"/>
      <c r="BV254" s="105"/>
      <c r="BW254" s="105"/>
      <c r="BX254" s="105"/>
      <c r="BY254" s="105"/>
      <c r="BZ254" s="105"/>
      <c r="CA254" s="105"/>
      <c r="CB254" s="105"/>
      <c r="CC254" s="105"/>
      <c r="CD254" s="105"/>
      <c r="CE254" s="105"/>
      <c r="CF254" s="105"/>
      <c r="CG254" s="105"/>
      <c r="CH254" s="105"/>
      <c r="CI254" s="105"/>
      <c r="CJ254" s="105"/>
      <c r="CK254" s="105"/>
      <c r="CL254" s="105"/>
      <c r="CM254" s="105"/>
      <c r="CN254" s="105"/>
      <c r="CO254" s="105"/>
      <c r="CP254" s="105"/>
      <c r="CQ254" s="105"/>
      <c r="CR254" s="105"/>
      <c r="CS254" s="105"/>
    </row>
    <row r="255" spans="1:97" s="2" customFormat="1" ht="14.4" hidden="1">
      <c r="A255" s="172" t="s">
        <v>8</v>
      </c>
      <c r="B255" s="166"/>
      <c r="C255" s="852">
        <f t="shared" ref="C255:C261" si="35">SUM(D255:J255)</f>
        <v>556845.44542502391</v>
      </c>
      <c r="D255" s="853">
        <f>SUMIFS(Table9[[#All],[VND equivalent]],Table9[[#All],[Expected date of payment]],Summary!D$239,Table9[[#All],[Status]],"PLANNED",Table9[[#All],[Transfer from]],Summary!$A255,Table9[[#All],[Source]],"&lt;&gt;Bank loan",Table9[[#All],[Type]],"&lt;&gt;*Contribution*")/Fx_rate</f>
        <v>0</v>
      </c>
      <c r="E255" s="853">
        <f>SUMIFS(Table9[[#All],[VND equivalent]],Table9[[#All],[Expected date of payment]],Summary!E$239,Table9[[#All],[Status]],"PLANNED",Table9[[#All],[Transfer from]],Summary!$A255,Table9[[#All],[Source]],"&lt;&gt;Bank loan",Table9[[#All],[Type]],"&lt;&gt;*Contribution*")/Fx_rate</f>
        <v>0</v>
      </c>
      <c r="F255" s="853">
        <f>SUMIFS(Table9[[#All],[VND equivalent]],Table9[[#All],[Expected date of payment]],Summary!F$239,Table9[[#All],[Status]],"PLANNED",Table9[[#All],[Transfer from]],Summary!$A255,Table9[[#All],[Source]],"&lt;&gt;Bank loan",Table9[[#All],[Type]],"&lt;&gt;*Contribution*")/Fx_rate</f>
        <v>0</v>
      </c>
      <c r="G255" s="853">
        <f>SUMIFS(Table9[[#All],[VND equivalent]],Table9[[#All],[Expected date of payment]],Summary!G$239,Table9[[#All],[Status]],"PLANNED",Table9[[#All],[Transfer from]],Summary!$A255,Table9[[#All],[Source]],"&lt;&gt;Bank loan",Table9[[#All],[Type]],"&lt;&gt;*Contribution*")/Fx_rate</f>
        <v>556845.44542502391</v>
      </c>
      <c r="H255" s="370">
        <f>SUMIFS(Table9[[#All],[VND equivalent]],Table9[[#All],[Expected date of payment]],Summary!H$239,Table9[[#All],[Status]],"PLANNED",Table9[[#All],[Transfer from]],Summary!$A255,Table9[[#All],[Source]],"&lt;&gt;Bank loan",Table9[[#All],[Type]],"&lt;&gt;*Contribution*")/Fx_rate</f>
        <v>0</v>
      </c>
      <c r="I255" s="371"/>
      <c r="J255" s="422"/>
      <c r="M255" s="430"/>
      <c r="N255" s="166"/>
      <c r="O255" s="431"/>
      <c r="P255" s="431"/>
      <c r="Q255" s="431"/>
      <c r="R255" s="431"/>
      <c r="S255" s="431"/>
      <c r="T255" s="422"/>
      <c r="U255" s="422"/>
      <c r="V255" s="422"/>
      <c r="W255" s="105"/>
      <c r="X255" s="105"/>
      <c r="Y255" s="105"/>
      <c r="Z255" s="105"/>
      <c r="AA255" s="105"/>
      <c r="AB255" s="105"/>
      <c r="AC255" s="105"/>
      <c r="AD255" s="105"/>
      <c r="AE255" s="105"/>
      <c r="AF255" s="105"/>
      <c r="AG255" s="105"/>
      <c r="AH255" s="105"/>
      <c r="AI255" s="105"/>
      <c r="AJ255" s="105"/>
      <c r="AK255" s="105"/>
      <c r="AL255" s="105"/>
      <c r="AM255" s="105"/>
      <c r="AN255" s="105"/>
      <c r="AO255" s="105"/>
      <c r="AP255" s="105"/>
      <c r="AQ255" s="105"/>
      <c r="AR255" s="105"/>
      <c r="AS255" s="105"/>
      <c r="AT255" s="105"/>
      <c r="AU255" s="105"/>
      <c r="AV255" s="105"/>
      <c r="AW255" s="105"/>
      <c r="AX255" s="105"/>
      <c r="AY255" s="105"/>
      <c r="AZ255" s="105"/>
      <c r="BA255" s="105"/>
      <c r="BB255" s="105"/>
      <c r="BC255" s="105"/>
      <c r="BD255" s="105"/>
      <c r="BE255" s="105"/>
      <c r="BF255" s="105"/>
      <c r="BG255" s="105"/>
      <c r="BH255" s="105"/>
      <c r="BI255" s="105"/>
      <c r="BJ255" s="105"/>
      <c r="BK255" s="105"/>
      <c r="BL255" s="105"/>
      <c r="BM255" s="105"/>
      <c r="BN255" s="105"/>
      <c r="BO255" s="105"/>
      <c r="BP255" s="105"/>
      <c r="BQ255" s="105"/>
      <c r="BR255" s="105"/>
      <c r="BS255" s="105"/>
      <c r="BT255" s="105"/>
      <c r="BU255" s="105"/>
      <c r="BV255" s="105"/>
      <c r="BW255" s="105"/>
      <c r="BX255" s="105"/>
      <c r="BY255" s="105"/>
      <c r="BZ255" s="105"/>
      <c r="CA255" s="105"/>
      <c r="CB255" s="105"/>
      <c r="CC255" s="105"/>
      <c r="CD255" s="105"/>
      <c r="CE255" s="105"/>
      <c r="CF255" s="105"/>
      <c r="CG255" s="105"/>
      <c r="CH255" s="105"/>
      <c r="CI255" s="105"/>
      <c r="CJ255" s="105"/>
      <c r="CK255" s="105"/>
      <c r="CL255" s="105"/>
      <c r="CM255" s="105"/>
      <c r="CN255" s="105"/>
      <c r="CO255" s="105"/>
      <c r="CP255" s="105"/>
      <c r="CQ255" s="105"/>
      <c r="CR255" s="105"/>
      <c r="CS255" s="105"/>
    </row>
    <row r="256" spans="1:97" s="2" customFormat="1" ht="14.4" hidden="1">
      <c r="A256" s="172" t="s">
        <v>67</v>
      </c>
      <c r="B256" s="166"/>
      <c r="C256" s="852">
        <f t="shared" si="35"/>
        <v>13481938.893887296</v>
      </c>
      <c r="D256" s="853">
        <f>SUMIFS(Table9[[#All],[VND equivalent]],Table9[[#All],[Expected date of payment]],Summary!D$239,Table9[[#All],[Status]],"PLANNED",Table9[[#All],[Transfer from]],Summary!$A256,Table9[[#All],[Source]],"&lt;&gt;Bank loan",Table9[[#All],[Type]],"&lt;&gt;*Contribution*")/Fx_rate</f>
        <v>3646236.433199618</v>
      </c>
      <c r="E256" s="853">
        <f>SUMIFS(Table9[[#All],[VND equivalent]],Table9[[#All],[Expected date of payment]],Summary!E$239,Table9[[#All],[Status]],"PLANNED",Table9[[#All],[Transfer from]],Summary!$A256,Table9[[#All],[Source]],"&lt;&gt;Bank loan",Table9[[#All],[Type]],"&lt;&gt;*Contribution*")/Fx_rate</f>
        <v>421061.74212034384</v>
      </c>
      <c r="F256" s="853">
        <f>SUMIFS(Table9[[#All],[VND equivalent]],Table9[[#All],[Expected date of payment]],Summary!F$239,Table9[[#All],[Status]],"PLANNED",Table9[[#All],[Transfer from]],Summary!$A256,Table9[[#All],[Source]],"&lt;&gt;Bank loan",Table9[[#All],[Type]],"&lt;&gt;*Contribution*")/Fx_rate</f>
        <v>747766.87419293215</v>
      </c>
      <c r="G256" s="853">
        <f>SUMIFS(Table9[[#All],[VND equivalent]],Table9[[#All],[Expected date of payment]],Summary!G$239,Table9[[#All],[Status]],"PLANNED",Table9[[#All],[Transfer from]],Summary!$A256,Table9[[#All],[Source]],"&lt;&gt;Bank loan",Table9[[#All],[Type]],"&lt;&gt;*Contribution*")/Fx_rate</f>
        <v>5193789.6555109834</v>
      </c>
      <c r="H256" s="370">
        <f>SUMIFS(Table9[[#All],[VND equivalent]],Table9[[#All],[Expected date of payment]],Summary!H$239,Table9[[#All],[Status]],"PLANNED",Table9[[#All],[Transfer from]],Summary!$A256,Table9[[#All],[Source]],"&lt;&gt;Bank loan",Table9[[#All],[Type]],"&lt;&gt;*Contribution*")/Fx_rate</f>
        <v>3473084.1888634195</v>
      </c>
      <c r="I256" s="371"/>
      <c r="J256" s="422"/>
      <c r="M256" s="430"/>
      <c r="N256" s="166"/>
      <c r="O256" s="431"/>
      <c r="P256" s="431"/>
      <c r="Q256" s="431"/>
      <c r="R256" s="431"/>
      <c r="S256" s="431"/>
      <c r="T256" s="422"/>
      <c r="U256" s="422"/>
      <c r="V256" s="422"/>
      <c r="W256" s="105"/>
      <c r="X256" s="105"/>
      <c r="Y256" s="105"/>
      <c r="Z256" s="105"/>
      <c r="AA256" s="105"/>
      <c r="AB256" s="105"/>
      <c r="AC256" s="105"/>
      <c r="AD256" s="105"/>
      <c r="AE256" s="105"/>
      <c r="AF256" s="105"/>
      <c r="AG256" s="105"/>
      <c r="AH256" s="105"/>
      <c r="AI256" s="105"/>
      <c r="AJ256" s="105"/>
      <c r="AK256" s="105"/>
      <c r="AL256" s="105"/>
      <c r="AM256" s="105"/>
      <c r="AN256" s="105"/>
      <c r="AO256" s="105"/>
      <c r="AP256" s="105"/>
      <c r="AQ256" s="105"/>
      <c r="AR256" s="105"/>
      <c r="AS256" s="105"/>
      <c r="AT256" s="105"/>
      <c r="AU256" s="105"/>
      <c r="AV256" s="105"/>
      <c r="AW256" s="105"/>
      <c r="AX256" s="105"/>
      <c r="AY256" s="105"/>
      <c r="AZ256" s="105"/>
      <c r="BA256" s="105"/>
      <c r="BB256" s="105"/>
      <c r="BC256" s="105"/>
      <c r="BD256" s="105"/>
      <c r="BE256" s="105"/>
      <c r="BF256" s="105"/>
      <c r="BG256" s="105"/>
      <c r="BH256" s="105"/>
      <c r="BI256" s="105"/>
      <c r="BJ256" s="105"/>
      <c r="BK256" s="105"/>
      <c r="BL256" s="105"/>
      <c r="BM256" s="105"/>
      <c r="BN256" s="105"/>
      <c r="BO256" s="105"/>
      <c r="BP256" s="105"/>
      <c r="BQ256" s="105"/>
      <c r="BR256" s="105"/>
      <c r="BS256" s="105"/>
      <c r="BT256" s="105"/>
      <c r="BU256" s="105"/>
      <c r="BV256" s="105"/>
      <c r="BW256" s="105"/>
      <c r="BX256" s="105"/>
      <c r="BY256" s="105"/>
      <c r="BZ256" s="105"/>
      <c r="CA256" s="105"/>
      <c r="CB256" s="105"/>
      <c r="CC256" s="105"/>
      <c r="CD256" s="105"/>
      <c r="CE256" s="105"/>
      <c r="CF256" s="105"/>
      <c r="CG256" s="105"/>
      <c r="CH256" s="105"/>
      <c r="CI256" s="105"/>
      <c r="CJ256" s="105"/>
      <c r="CK256" s="105"/>
      <c r="CL256" s="105"/>
      <c r="CM256" s="105"/>
      <c r="CN256" s="105"/>
      <c r="CO256" s="105"/>
      <c r="CP256" s="105"/>
      <c r="CQ256" s="105"/>
      <c r="CR256" s="105"/>
      <c r="CS256" s="105"/>
    </row>
    <row r="257" spans="1:97" s="2" customFormat="1" ht="14.4" hidden="1">
      <c r="A257" s="172" t="s">
        <v>10</v>
      </c>
      <c r="B257" s="166"/>
      <c r="C257" s="852">
        <f t="shared" si="35"/>
        <v>3426513.9632473732</v>
      </c>
      <c r="D257" s="853">
        <f>SUMIFS(Table9[[#All],[VND equivalent]],Table9[[#All],[Expected date of payment]],Summary!D$239,Table9[[#All],[Status]],"PLANNED",Table9[[#All],[Transfer from]],Summary!$A257,Table9[[#All],[Source]],"&lt;&gt;Bank loan",Table9[[#All],[Type]],"&lt;&gt;*Contribution*")/Fx_rate</f>
        <v>0</v>
      </c>
      <c r="E257" s="853">
        <f>SUMIFS(Table9[[#All],[VND equivalent]],Table9[[#All],[Expected date of payment]],Summary!E$239,Table9[[#All],[Status]],"PLANNED",Table9[[#All],[Transfer from]],Summary!$A257,Table9[[#All],[Source]],"&lt;&gt;Bank loan",Table9[[#All],[Type]],"&lt;&gt;*Contribution*")/Fx_rate</f>
        <v>1865946.8806112702</v>
      </c>
      <c r="F257" s="853">
        <f>SUMIFS(Table9[[#All],[VND equivalent]],Table9[[#All],[Expected date of payment]],Summary!F$239,Table9[[#All],[Status]],"PLANNED",Table9[[#All],[Transfer from]],Summary!$A257,Table9[[#All],[Source]],"&lt;&gt;Bank loan",Table9[[#All],[Type]],"&lt;&gt;*Contribution*")/Fx_rate</f>
        <v>95510.983763132754</v>
      </c>
      <c r="G257" s="853">
        <f>SUMIFS(Table9[[#All],[VND equivalent]],Table9[[#All],[Expected date of payment]],Summary!G$239,Table9[[#All],[Status]],"PLANNED",Table9[[#All],[Transfer from]],Summary!$A257,Table9[[#All],[Source]],"&lt;&gt;Bank loan",Table9[[#All],[Type]],"&lt;&gt;*Contribution*")/Fx_rate</f>
        <v>1033346.4522636103</v>
      </c>
      <c r="H257" s="370">
        <f>SUMIFS(Table9[[#All],[VND equivalent]],Table9[[#All],[Expected date of payment]],Summary!H$239,Table9[[#All],[Status]],"PLANNED",Table9[[#All],[Transfer from]],Summary!$A257,Table9[[#All],[Source]],"&lt;&gt;Bank loan",Table9[[#All],[Type]],"&lt;&gt;*Contribution*")/Fx_rate</f>
        <v>431709.64660936006</v>
      </c>
      <c r="I257" s="371"/>
      <c r="J257" s="422"/>
      <c r="M257" s="430"/>
      <c r="N257" s="166"/>
      <c r="O257" s="431"/>
      <c r="P257" s="431"/>
      <c r="Q257" s="431"/>
      <c r="R257" s="431"/>
      <c r="S257" s="431"/>
      <c r="T257" s="422"/>
      <c r="U257" s="422"/>
      <c r="V257" s="422"/>
      <c r="W257" s="105"/>
      <c r="X257" s="105"/>
      <c r="Y257" s="105"/>
      <c r="Z257" s="105"/>
      <c r="AA257" s="105"/>
      <c r="AB257" s="105"/>
      <c r="AC257" s="105"/>
      <c r="AD257" s="105"/>
      <c r="AE257" s="105"/>
      <c r="AF257" s="105"/>
      <c r="AG257" s="105"/>
      <c r="AH257" s="105"/>
      <c r="AI257" s="105"/>
      <c r="AJ257" s="105"/>
      <c r="AK257" s="105"/>
      <c r="AL257" s="105"/>
      <c r="AM257" s="105"/>
      <c r="AN257" s="105"/>
      <c r="AO257" s="105"/>
      <c r="AP257" s="105"/>
      <c r="AQ257" s="105"/>
      <c r="AR257" s="105"/>
      <c r="AS257" s="105"/>
      <c r="AT257" s="105"/>
      <c r="AU257" s="105"/>
      <c r="AV257" s="105"/>
      <c r="AW257" s="105"/>
      <c r="AX257" s="105"/>
      <c r="AY257" s="105"/>
      <c r="AZ257" s="105"/>
      <c r="BA257" s="105"/>
      <c r="BB257" s="105"/>
      <c r="BC257" s="105"/>
      <c r="BD257" s="105"/>
      <c r="BE257" s="105"/>
      <c r="BF257" s="105"/>
      <c r="BG257" s="105"/>
      <c r="BH257" s="105"/>
      <c r="BI257" s="105"/>
      <c r="BJ257" s="105"/>
      <c r="BK257" s="105"/>
      <c r="BL257" s="105"/>
      <c r="BM257" s="105"/>
      <c r="BN257" s="105"/>
      <c r="BO257" s="105"/>
      <c r="BP257" s="105"/>
      <c r="BQ257" s="105"/>
      <c r="BR257" s="105"/>
      <c r="BS257" s="105"/>
      <c r="BT257" s="105"/>
      <c r="BU257" s="105"/>
      <c r="BV257" s="105"/>
      <c r="BW257" s="105"/>
      <c r="BX257" s="105"/>
      <c r="BY257" s="105"/>
      <c r="BZ257" s="105"/>
      <c r="CA257" s="105"/>
      <c r="CB257" s="105"/>
      <c r="CC257" s="105"/>
      <c r="CD257" s="105"/>
      <c r="CE257" s="105"/>
      <c r="CF257" s="105"/>
      <c r="CG257" s="105"/>
      <c r="CH257" s="105"/>
      <c r="CI257" s="105"/>
      <c r="CJ257" s="105"/>
      <c r="CK257" s="105"/>
      <c r="CL257" s="105"/>
      <c r="CM257" s="105"/>
      <c r="CN257" s="105"/>
      <c r="CO257" s="105"/>
      <c r="CP257" s="105"/>
      <c r="CQ257" s="105"/>
      <c r="CR257" s="105"/>
      <c r="CS257" s="105"/>
    </row>
    <row r="258" spans="1:97" s="2" customFormat="1" ht="14.4" hidden="1">
      <c r="A258" s="706" t="s">
        <v>280</v>
      </c>
      <c r="B258" s="707"/>
      <c r="C258" s="862">
        <f t="shared" si="35"/>
        <v>0</v>
      </c>
      <c r="D258" s="863">
        <f t="shared" ref="D258:G258" si="36">SUBTOTAL(9,D259:D261)</f>
        <v>0</v>
      </c>
      <c r="E258" s="863">
        <f t="shared" si="36"/>
        <v>0</v>
      </c>
      <c r="F258" s="863">
        <f t="shared" si="36"/>
        <v>0</v>
      </c>
      <c r="G258" s="863">
        <f t="shared" si="36"/>
        <v>0</v>
      </c>
      <c r="H258" s="708">
        <f t="shared" ref="H258" si="37">SUBTOTAL(9,H259:H261)</f>
        <v>0</v>
      </c>
      <c r="I258" s="709"/>
      <c r="J258" s="423"/>
      <c r="M258" s="428"/>
      <c r="N258" s="428"/>
      <c r="O258" s="429"/>
      <c r="P258" s="429"/>
      <c r="Q258" s="429"/>
      <c r="R258" s="429"/>
      <c r="S258" s="429"/>
      <c r="T258" s="423"/>
      <c r="U258" s="423"/>
      <c r="V258" s="423"/>
      <c r="W258" s="105"/>
      <c r="X258" s="105"/>
      <c r="Y258" s="105"/>
      <c r="Z258" s="105"/>
      <c r="AA258" s="105"/>
      <c r="AB258" s="105"/>
      <c r="AC258" s="105"/>
      <c r="AD258" s="105"/>
      <c r="AE258" s="105"/>
      <c r="AF258" s="105"/>
      <c r="AG258" s="105"/>
      <c r="AH258" s="105"/>
      <c r="AI258" s="105"/>
      <c r="AJ258" s="105"/>
      <c r="AK258" s="105"/>
      <c r="AL258" s="105"/>
      <c r="AM258" s="105"/>
      <c r="AN258" s="105"/>
      <c r="AO258" s="105"/>
      <c r="AP258" s="105"/>
      <c r="AQ258" s="105"/>
      <c r="AR258" s="105"/>
      <c r="AS258" s="105"/>
      <c r="AT258" s="105"/>
      <c r="AU258" s="105"/>
      <c r="AV258" s="105"/>
      <c r="AW258" s="105"/>
      <c r="AX258" s="105"/>
      <c r="AY258" s="105"/>
      <c r="AZ258" s="105"/>
      <c r="BA258" s="105"/>
      <c r="BB258" s="105"/>
      <c r="BC258" s="105"/>
      <c r="BD258" s="105"/>
      <c r="BE258" s="105"/>
      <c r="BF258" s="105"/>
      <c r="BG258" s="105"/>
      <c r="BH258" s="105"/>
      <c r="BI258" s="105"/>
      <c r="BJ258" s="105"/>
      <c r="BK258" s="105"/>
      <c r="BL258" s="105"/>
      <c r="BM258" s="105"/>
      <c r="BN258" s="105"/>
      <c r="BO258" s="105"/>
      <c r="BP258" s="105"/>
      <c r="BQ258" s="105"/>
      <c r="BR258" s="105"/>
      <c r="BS258" s="105"/>
      <c r="BT258" s="105"/>
      <c r="BU258" s="105"/>
      <c r="BV258" s="105"/>
      <c r="BW258" s="105"/>
      <c r="BX258" s="105"/>
      <c r="BY258" s="105"/>
      <c r="BZ258" s="105"/>
      <c r="CA258" s="105"/>
      <c r="CB258" s="105"/>
      <c r="CC258" s="105"/>
      <c r="CD258" s="105"/>
      <c r="CE258" s="105"/>
      <c r="CF258" s="105"/>
      <c r="CG258" s="105"/>
      <c r="CH258" s="105"/>
      <c r="CI258" s="105"/>
      <c r="CJ258" s="105"/>
      <c r="CK258" s="105"/>
      <c r="CL258" s="105"/>
      <c r="CM258" s="105"/>
      <c r="CN258" s="105"/>
      <c r="CO258" s="105"/>
      <c r="CP258" s="105"/>
      <c r="CQ258" s="105"/>
      <c r="CR258" s="105"/>
      <c r="CS258" s="105"/>
    </row>
    <row r="259" spans="1:97" s="2" customFormat="1" ht="14.4" hidden="1" outlineLevel="1">
      <c r="A259" s="172" t="s">
        <v>8</v>
      </c>
      <c r="B259" s="166"/>
      <c r="C259" s="852">
        <f t="shared" si="35"/>
        <v>0</v>
      </c>
      <c r="D259" s="853">
        <f>(SUMIFS(Table16[[#All],[VND equivalent]],Table16[[#All],[Expected date of transfer]],Summary!D$239,Table16[[#All],[Status]],"PLANNED",Table16[[#All],[Transfer from2]],Summary!$A259,Table16[[#All],[Type]],"&lt;&gt;*Contribution*")+('Cash Planning'!AN23+'Cash Planning'!AN24))/Fx_rate</f>
        <v>0</v>
      </c>
      <c r="E259" s="853">
        <f>(SUMIFS(Table16[[#All],[VND equivalent]],Table16[[#All],[Expected date of transfer]],Summary!E$239,Table16[[#All],[Status]],"PLANNED",Table16[[#All],[Transfer from2]],Summary!$A259,Table16[[#All],[Type]],"&lt;&gt;*Contribution*")+('Cash Planning'!AO23+'Cash Planning'!AO24))/Fx_rate</f>
        <v>0</v>
      </c>
      <c r="F259" s="853">
        <f>(SUMIFS(Table16[[#All],[VND equivalent]],Table16[[#All],[Expected date of transfer]],Summary!F$239,Table16[[#All],[Status]],"PLANNED",Table16[[#All],[Transfer from2]],Summary!$A259,Table16[[#All],[Type]],"&lt;&gt;*Contribution*")+('Cash Planning'!AP23+'Cash Planning'!AP24))/Fx_rate</f>
        <v>0</v>
      </c>
      <c r="G259" s="853">
        <f>(SUMIFS(Table16[[#All],[VND equivalent]],Table16[[#All],[Expected date of transfer]],Summary!G$239,Table16[[#All],[Status]],"PLANNED",Table16[[#All],[Transfer from2]],Summary!$A259,Table16[[#All],[Type]],"&lt;&gt;*Contribution*")+('Cash Planning'!AQ23+'Cash Planning'!AQ24))/Fx_rate</f>
        <v>0</v>
      </c>
      <c r="H259" s="853">
        <f>(SUMIFS(Table16[[#All],[VND equivalent]],Table16[[#All],[Expected date of transfer]],Summary!H$239,Table16[[#All],[Status]],"PLANNED",Table16[[#All],[Transfer from2]],Summary!$A259,Table16[[#All],[Type]],"&lt;&gt;*Contribution*")+('Cash Planning'!AR23+'Cash Planning'!AR24))/Fx_rate</f>
        <v>0</v>
      </c>
      <c r="I259" s="371"/>
      <c r="J259" s="422"/>
      <c r="M259" s="430"/>
      <c r="N259" s="166"/>
      <c r="O259" s="431"/>
      <c r="P259" s="431"/>
      <c r="Q259" s="431"/>
      <c r="R259" s="431"/>
      <c r="S259" s="431"/>
      <c r="T259" s="422"/>
      <c r="U259" s="422"/>
      <c r="V259" s="422"/>
      <c r="W259" s="105"/>
      <c r="X259" s="105"/>
      <c r="Y259" s="105"/>
      <c r="Z259" s="105"/>
      <c r="AA259" s="105"/>
      <c r="AB259" s="105"/>
      <c r="AC259" s="105"/>
      <c r="AD259" s="105"/>
      <c r="AE259" s="105"/>
      <c r="AF259" s="105"/>
      <c r="AG259" s="105"/>
      <c r="AH259" s="105"/>
      <c r="AI259" s="105"/>
      <c r="AJ259" s="105"/>
      <c r="AK259" s="105"/>
      <c r="AL259" s="105"/>
      <c r="AM259" s="105"/>
      <c r="AN259" s="105"/>
      <c r="AO259" s="105"/>
      <c r="AP259" s="105"/>
      <c r="AQ259" s="105"/>
      <c r="AR259" s="105"/>
      <c r="AS259" s="105"/>
      <c r="AT259" s="105"/>
      <c r="AU259" s="105"/>
      <c r="AV259" s="105"/>
      <c r="AW259" s="105"/>
      <c r="AX259" s="105"/>
      <c r="AY259" s="105"/>
      <c r="AZ259" s="105"/>
      <c r="BA259" s="105"/>
      <c r="BB259" s="105"/>
      <c r="BC259" s="105"/>
      <c r="BD259" s="105"/>
      <c r="BE259" s="105"/>
      <c r="BF259" s="105"/>
      <c r="BG259" s="105"/>
      <c r="BH259" s="105"/>
      <c r="BI259" s="105"/>
      <c r="BJ259" s="105"/>
      <c r="BK259" s="105"/>
      <c r="BL259" s="105"/>
      <c r="BM259" s="105"/>
      <c r="BN259" s="105"/>
      <c r="BO259" s="105"/>
      <c r="BP259" s="105"/>
      <c r="BQ259" s="105"/>
      <c r="BR259" s="105"/>
      <c r="BS259" s="105"/>
      <c r="BT259" s="105"/>
      <c r="BU259" s="105"/>
      <c r="BV259" s="105"/>
      <c r="BW259" s="105"/>
      <c r="BX259" s="105"/>
      <c r="BY259" s="105"/>
      <c r="BZ259" s="105"/>
      <c r="CA259" s="105"/>
      <c r="CB259" s="105"/>
      <c r="CC259" s="105"/>
      <c r="CD259" s="105"/>
      <c r="CE259" s="105"/>
      <c r="CF259" s="105"/>
      <c r="CG259" s="105"/>
      <c r="CH259" s="105"/>
      <c r="CI259" s="105"/>
      <c r="CJ259" s="105"/>
      <c r="CK259" s="105"/>
      <c r="CL259" s="105"/>
      <c r="CM259" s="105"/>
      <c r="CN259" s="105"/>
      <c r="CO259" s="105"/>
      <c r="CP259" s="105"/>
      <c r="CQ259" s="105"/>
      <c r="CR259" s="105"/>
      <c r="CS259" s="105"/>
    </row>
    <row r="260" spans="1:97" s="2" customFormat="1" ht="14.4" hidden="1" outlineLevel="1">
      <c r="A260" s="172" t="s">
        <v>67</v>
      </c>
      <c r="B260" s="166"/>
      <c r="C260" s="852">
        <f t="shared" si="35"/>
        <v>0</v>
      </c>
      <c r="D260" s="853">
        <f>(SUMIFS(Table16[[#All],[VND equivalent]],Table16[[#All],[Expected date of transfer]],Summary!D$239,Table16[[#All],[Status]],"PLANNED",Table16[[#All],[Transfer from2]],Summary!$A260,Table16[[#All],[Type]],"&lt;&gt;*Contribution*")+('Cash Planning'!AN24+'Cash Planning'!AN25))/Fx_rate</f>
        <v>0</v>
      </c>
      <c r="E260" s="853">
        <f>(SUMIFS(Table16[[#All],[VND equivalent]],Table16[[#All],[Expected date of transfer]],Summary!E$239,Table16[[#All],[Status]],"PLANNED",Table16[[#All],[Transfer from2]],Summary!$A260,Table16[[#All],[Type]],"&lt;&gt;*Contribution*")+('Cash Planning'!AO24+'Cash Planning'!AO25))/Fx_rate</f>
        <v>0</v>
      </c>
      <c r="F260" s="853">
        <f>(SUMIFS(Table16[[#All],[VND equivalent]],Table16[[#All],[Expected date of transfer]],Summary!F$239,Table16[[#All],[Status]],"PLANNED",Table16[[#All],[Transfer from2]],Summary!$A260,Table16[[#All],[Type]],"&lt;&gt;*Contribution*")+('Cash Planning'!AP24+'Cash Planning'!AP25))/Fx_rate</f>
        <v>0</v>
      </c>
      <c r="G260" s="853">
        <f>(SUMIFS(Table16[[#All],[VND equivalent]],Table16[[#All],[Expected date of transfer]],Summary!G$239,Table16[[#All],[Status]],"PLANNED",Table16[[#All],[Transfer from2]],Summary!$A260,Table16[[#All],[Type]],"&lt;&gt;*Contribution*")+('Cash Planning'!AQ24+'Cash Planning'!AQ25))/Fx_rate</f>
        <v>0</v>
      </c>
      <c r="H260" s="853">
        <f>(SUMIFS(Table16[[#All],[VND equivalent]],Table16[[#All],[Expected date of transfer]],Summary!H$239,Table16[[#All],[Status]],"PLANNED",Table16[[#All],[Transfer from2]],Summary!$A260,Table16[[#All],[Type]],"&lt;&gt;*Contribution*")+('Cash Planning'!AR24+'Cash Planning'!AR25))/Fx_rate</f>
        <v>0</v>
      </c>
      <c r="I260" s="371"/>
      <c r="J260" s="422"/>
      <c r="M260" s="430"/>
      <c r="N260" s="166"/>
      <c r="O260" s="431"/>
      <c r="P260" s="431"/>
      <c r="Q260" s="431"/>
      <c r="R260" s="431"/>
      <c r="S260" s="431"/>
      <c r="T260" s="422"/>
      <c r="U260" s="422"/>
      <c r="V260" s="422"/>
      <c r="W260" s="105"/>
      <c r="X260" s="105"/>
      <c r="Y260" s="105"/>
      <c r="Z260" s="105"/>
      <c r="AA260" s="105"/>
      <c r="AB260" s="105"/>
      <c r="AC260" s="105"/>
      <c r="AD260" s="105"/>
      <c r="AE260" s="105"/>
      <c r="AF260" s="105"/>
      <c r="AG260" s="105"/>
      <c r="AH260" s="105"/>
      <c r="AI260" s="105"/>
      <c r="AJ260" s="105"/>
      <c r="AK260" s="105"/>
      <c r="AL260" s="105"/>
      <c r="AM260" s="105"/>
      <c r="AN260" s="105"/>
      <c r="AO260" s="105"/>
      <c r="AP260" s="105"/>
      <c r="AQ260" s="105"/>
      <c r="AR260" s="105"/>
      <c r="AS260" s="105"/>
      <c r="AT260" s="105"/>
      <c r="AU260" s="105"/>
      <c r="AV260" s="105"/>
      <c r="AW260" s="105"/>
      <c r="AX260" s="105"/>
      <c r="AY260" s="105"/>
      <c r="AZ260" s="105"/>
      <c r="BA260" s="105"/>
      <c r="BB260" s="105"/>
      <c r="BC260" s="105"/>
      <c r="BD260" s="105"/>
      <c r="BE260" s="105"/>
      <c r="BF260" s="105"/>
      <c r="BG260" s="105"/>
      <c r="BH260" s="105"/>
      <c r="BI260" s="105"/>
      <c r="BJ260" s="105"/>
      <c r="BK260" s="105"/>
      <c r="BL260" s="105"/>
      <c r="BM260" s="105"/>
      <c r="BN260" s="105"/>
      <c r="BO260" s="105"/>
      <c r="BP260" s="105"/>
      <c r="BQ260" s="105"/>
      <c r="BR260" s="105"/>
      <c r="BS260" s="105"/>
      <c r="BT260" s="105"/>
      <c r="BU260" s="105"/>
      <c r="BV260" s="105"/>
      <c r="BW260" s="105"/>
      <c r="BX260" s="105"/>
      <c r="BY260" s="105"/>
      <c r="BZ260" s="105"/>
      <c r="CA260" s="105"/>
      <c r="CB260" s="105"/>
      <c r="CC260" s="105"/>
      <c r="CD260" s="105"/>
      <c r="CE260" s="105"/>
      <c r="CF260" s="105"/>
      <c r="CG260" s="105"/>
      <c r="CH260" s="105"/>
      <c r="CI260" s="105"/>
      <c r="CJ260" s="105"/>
      <c r="CK260" s="105"/>
      <c r="CL260" s="105"/>
      <c r="CM260" s="105"/>
      <c r="CN260" s="105"/>
      <c r="CO260" s="105"/>
      <c r="CP260" s="105"/>
      <c r="CQ260" s="105"/>
      <c r="CR260" s="105"/>
      <c r="CS260" s="105"/>
    </row>
    <row r="261" spans="1:97" s="2" customFormat="1" ht="14.4" hidden="1" outlineLevel="1">
      <c r="A261" s="172" t="s">
        <v>10</v>
      </c>
      <c r="B261" s="166"/>
      <c r="C261" s="852">
        <f t="shared" si="35"/>
        <v>0</v>
      </c>
      <c r="D261" s="853">
        <f>(SUMIFS(Table16[[#All],[VND equivalent]],Table16[[#All],[Expected date of transfer]],Summary!D$239,Table16[[#All],[Status]],"PLANNED",Table16[[#All],[Transfer from2]],Summary!$A261,Table16[[#All],[Type]],"&lt;&gt;*Contribution*")+('Cash Planning'!AN25+'Cash Planning'!AN26))/Fx_rate</f>
        <v>0</v>
      </c>
      <c r="E261" s="853">
        <f>(SUMIFS(Table16[[#All],[VND equivalent]],Table16[[#All],[Expected date of transfer]],Summary!E$239,Table16[[#All],[Status]],"PLANNED",Table16[[#All],[Transfer from2]],Summary!$A261,Table16[[#All],[Type]],"&lt;&gt;*Contribution*")+('Cash Planning'!AO25+'Cash Planning'!AO26))/Fx_rate</f>
        <v>0</v>
      </c>
      <c r="F261" s="853">
        <f>(SUMIFS(Table16[[#All],[VND equivalent]],Table16[[#All],[Expected date of transfer]],Summary!F$239,Table16[[#All],[Status]],"PLANNED",Table16[[#All],[Transfer from2]],Summary!$A261,Table16[[#All],[Type]],"&lt;&gt;*Contribution*")+('Cash Planning'!AP25+'Cash Planning'!AP26))/Fx_rate</f>
        <v>0</v>
      </c>
      <c r="G261" s="853">
        <f>(SUMIFS(Table16[[#All],[VND equivalent]],Table16[[#All],[Expected date of transfer]],Summary!G$239,Table16[[#All],[Status]],"PLANNED",Table16[[#All],[Transfer from2]],Summary!$A261,Table16[[#All],[Type]],"&lt;&gt;*Contribution*")+('Cash Planning'!AQ25+'Cash Planning'!AQ26))/Fx_rate</f>
        <v>0</v>
      </c>
      <c r="H261" s="853">
        <f>(SUMIFS(Table16[[#All],[VND equivalent]],Table16[[#All],[Expected date of transfer]],Summary!H$239,Table16[[#All],[Status]],"PLANNED",Table16[[#All],[Transfer from2]],Summary!$A261,Table16[[#All],[Type]],"&lt;&gt;*Contribution*")+('Cash Planning'!AR25+'Cash Planning'!AR26))/Fx_rate</f>
        <v>0</v>
      </c>
      <c r="I261" s="371"/>
      <c r="J261" s="422"/>
      <c r="M261" s="430"/>
      <c r="N261" s="166"/>
      <c r="O261" s="431"/>
      <c r="P261" s="431"/>
      <c r="Q261" s="431"/>
      <c r="R261" s="431"/>
      <c r="S261" s="431"/>
      <c r="T261" s="422"/>
      <c r="U261" s="422"/>
      <c r="V261" s="422"/>
      <c r="W261" s="105"/>
      <c r="X261" s="105"/>
      <c r="Y261" s="105"/>
      <c r="Z261" s="105"/>
      <c r="AA261" s="105"/>
      <c r="AB261" s="105"/>
      <c r="AC261" s="105"/>
      <c r="AD261" s="105"/>
      <c r="AE261" s="105"/>
      <c r="AF261" s="105"/>
      <c r="AG261" s="105"/>
      <c r="AH261" s="105"/>
      <c r="AI261" s="105"/>
      <c r="AJ261" s="105"/>
      <c r="AK261" s="105"/>
      <c r="AL261" s="105"/>
      <c r="AM261" s="105"/>
      <c r="AN261" s="105"/>
      <c r="AO261" s="105"/>
      <c r="AP261" s="105"/>
      <c r="AQ261" s="105"/>
      <c r="AR261" s="105"/>
      <c r="AS261" s="105"/>
      <c r="AT261" s="105"/>
      <c r="AU261" s="105"/>
      <c r="AV261" s="105"/>
      <c r="AW261" s="105"/>
      <c r="AX261" s="105"/>
      <c r="AY261" s="105"/>
      <c r="AZ261" s="105"/>
      <c r="BA261" s="105"/>
      <c r="BB261" s="105"/>
      <c r="BC261" s="105"/>
      <c r="BD261" s="105"/>
      <c r="BE261" s="105"/>
      <c r="BF261" s="105"/>
      <c r="BG261" s="105"/>
      <c r="BH261" s="105"/>
      <c r="BI261" s="105"/>
      <c r="BJ261" s="105"/>
      <c r="BK261" s="105"/>
      <c r="BL261" s="105"/>
      <c r="BM261" s="105"/>
      <c r="BN261" s="105"/>
      <c r="BO261" s="105"/>
      <c r="BP261" s="105"/>
      <c r="BQ261" s="105"/>
      <c r="BR261" s="105"/>
      <c r="BS261" s="105"/>
      <c r="BT261" s="105"/>
      <c r="BU261" s="105"/>
      <c r="BV261" s="105"/>
      <c r="BW261" s="105"/>
      <c r="BX261" s="105"/>
      <c r="BY261" s="105"/>
      <c r="BZ261" s="105"/>
      <c r="CA261" s="105"/>
      <c r="CB261" s="105"/>
      <c r="CC261" s="105"/>
      <c r="CD261" s="105"/>
      <c r="CE261" s="105"/>
      <c r="CF261" s="105"/>
      <c r="CG261" s="105"/>
      <c r="CH261" s="105"/>
      <c r="CI261" s="105"/>
      <c r="CJ261" s="105"/>
      <c r="CK261" s="105"/>
      <c r="CL261" s="105"/>
      <c r="CM261" s="105"/>
      <c r="CN261" s="105"/>
      <c r="CO261" s="105"/>
      <c r="CP261" s="105"/>
      <c r="CQ261" s="105"/>
      <c r="CR261" s="105"/>
      <c r="CS261" s="105"/>
    </row>
    <row r="262" spans="1:97" s="2" customFormat="1" ht="14.4" hidden="1" collapsed="1">
      <c r="A262" s="165"/>
      <c r="B262" s="166"/>
      <c r="C262" s="854"/>
      <c r="D262" s="855"/>
      <c r="E262" s="855"/>
      <c r="F262" s="855"/>
      <c r="G262" s="855"/>
      <c r="H262" s="166"/>
      <c r="I262" s="82"/>
      <c r="J262" s="164"/>
      <c r="M262" s="166"/>
      <c r="N262" s="166"/>
      <c r="O262" s="166"/>
      <c r="P262" s="166"/>
      <c r="Q262" s="166"/>
      <c r="R262" s="166"/>
      <c r="S262" s="166"/>
      <c r="T262" s="164"/>
      <c r="U262" s="164"/>
      <c r="V262" s="164"/>
      <c r="W262" s="105"/>
      <c r="X262" s="105"/>
      <c r="Y262" s="105"/>
      <c r="Z262" s="105"/>
      <c r="AA262" s="105"/>
      <c r="AB262" s="105"/>
      <c r="AC262" s="105"/>
      <c r="AD262" s="105"/>
      <c r="AE262" s="105"/>
      <c r="AF262" s="105"/>
      <c r="AG262" s="105"/>
      <c r="AH262" s="105"/>
      <c r="AI262" s="105"/>
      <c r="AJ262" s="105"/>
      <c r="AK262" s="105"/>
      <c r="AL262" s="105"/>
      <c r="AM262" s="105"/>
      <c r="AN262" s="105"/>
      <c r="AO262" s="105"/>
      <c r="AP262" s="105"/>
      <c r="AQ262" s="105"/>
      <c r="AR262" s="105"/>
      <c r="AS262" s="105"/>
      <c r="AT262" s="105"/>
      <c r="AU262" s="105"/>
      <c r="AV262" s="105"/>
      <c r="AW262" s="105"/>
      <c r="AX262" s="105"/>
      <c r="AY262" s="105"/>
      <c r="AZ262" s="105"/>
      <c r="BA262" s="105"/>
      <c r="BB262" s="105"/>
      <c r="BC262" s="105"/>
      <c r="BD262" s="105"/>
      <c r="BE262" s="105"/>
      <c r="BF262" s="105"/>
      <c r="BG262" s="105"/>
      <c r="BH262" s="105"/>
      <c r="BI262" s="105"/>
      <c r="BJ262" s="105"/>
      <c r="BK262" s="105"/>
      <c r="BL262" s="105"/>
      <c r="BM262" s="105"/>
      <c r="BN262" s="105"/>
      <c r="BO262" s="105"/>
      <c r="BP262" s="105"/>
      <c r="BQ262" s="105"/>
      <c r="BR262" s="105"/>
      <c r="BS262" s="105"/>
      <c r="BT262" s="105"/>
      <c r="BU262" s="105"/>
      <c r="BV262" s="105"/>
      <c r="BW262" s="105"/>
      <c r="BX262" s="105"/>
      <c r="BY262" s="105"/>
      <c r="BZ262" s="105"/>
      <c r="CA262" s="105"/>
      <c r="CB262" s="105"/>
      <c r="CC262" s="105"/>
      <c r="CD262" s="105"/>
      <c r="CE262" s="105"/>
      <c r="CF262" s="105"/>
      <c r="CG262" s="105"/>
      <c r="CH262" s="105"/>
      <c r="CI262" s="105"/>
      <c r="CJ262" s="105"/>
      <c r="CK262" s="105"/>
      <c r="CL262" s="105"/>
      <c r="CM262" s="105"/>
      <c r="CN262" s="105"/>
      <c r="CO262" s="105"/>
      <c r="CP262" s="105"/>
      <c r="CQ262" s="105"/>
      <c r="CR262" s="105"/>
      <c r="CS262" s="105"/>
    </row>
    <row r="263" spans="1:97" s="2" customFormat="1" ht="14.4" hidden="1">
      <c r="A263" s="710" t="s">
        <v>209</v>
      </c>
      <c r="B263" s="711"/>
      <c r="C263" s="864"/>
      <c r="D263" s="865"/>
      <c r="E263" s="865"/>
      <c r="F263" s="865"/>
      <c r="G263" s="865"/>
      <c r="H263" s="711"/>
      <c r="I263" s="712"/>
      <c r="J263" s="424"/>
      <c r="M263" s="433"/>
      <c r="N263" s="433"/>
      <c r="O263" s="433"/>
      <c r="P263" s="433"/>
      <c r="Q263" s="433"/>
      <c r="R263" s="433"/>
      <c r="S263" s="433"/>
      <c r="T263" s="424"/>
      <c r="U263" s="424"/>
      <c r="V263" s="424"/>
      <c r="W263" s="105"/>
      <c r="X263" s="105"/>
      <c r="Y263" s="105"/>
      <c r="Z263" s="105"/>
      <c r="AA263" s="105"/>
      <c r="AB263" s="105"/>
      <c r="AC263" s="105"/>
      <c r="AD263" s="105"/>
      <c r="AE263" s="105"/>
      <c r="AF263" s="105"/>
      <c r="AG263" s="105"/>
      <c r="AH263" s="105"/>
      <c r="AI263" s="105"/>
      <c r="AJ263" s="105"/>
      <c r="AK263" s="105"/>
      <c r="AL263" s="105"/>
      <c r="AM263" s="105"/>
      <c r="AN263" s="105"/>
      <c r="AO263" s="105"/>
      <c r="AP263" s="105"/>
      <c r="AQ263" s="105"/>
      <c r="AR263" s="105"/>
      <c r="AS263" s="105"/>
      <c r="AT263" s="105"/>
      <c r="AU263" s="105"/>
      <c r="AV263" s="105"/>
      <c r="AW263" s="105"/>
      <c r="AX263" s="105"/>
      <c r="AY263" s="105"/>
      <c r="AZ263" s="105"/>
      <c r="BA263" s="105"/>
      <c r="BB263" s="105"/>
      <c r="BC263" s="105"/>
      <c r="BD263" s="105"/>
      <c r="BE263" s="105"/>
      <c r="BF263" s="105"/>
      <c r="BG263" s="105"/>
      <c r="BH263" s="105"/>
      <c r="BI263" s="105"/>
      <c r="BJ263" s="105"/>
      <c r="BK263" s="105"/>
      <c r="BL263" s="105"/>
      <c r="BM263" s="105"/>
      <c r="BN263" s="105"/>
      <c r="BO263" s="105"/>
      <c r="BP263" s="105"/>
      <c r="BQ263" s="105"/>
      <c r="BR263" s="105"/>
      <c r="BS263" s="105"/>
      <c r="BT263" s="105"/>
      <c r="BU263" s="105"/>
      <c r="BV263" s="105"/>
      <c r="BW263" s="105"/>
      <c r="BX263" s="105"/>
      <c r="BY263" s="105"/>
      <c r="BZ263" s="105"/>
      <c r="CA263" s="105"/>
      <c r="CB263" s="105"/>
      <c r="CC263" s="105"/>
      <c r="CD263" s="105"/>
      <c r="CE263" s="105"/>
      <c r="CF263" s="105"/>
      <c r="CG263" s="105"/>
      <c r="CH263" s="105"/>
      <c r="CI263" s="105"/>
      <c r="CJ263" s="105"/>
      <c r="CK263" s="105"/>
      <c r="CL263" s="105"/>
      <c r="CM263" s="105"/>
      <c r="CN263" s="105"/>
      <c r="CO263" s="105"/>
      <c r="CP263" s="105"/>
      <c r="CQ263" s="105"/>
      <c r="CR263" s="105"/>
      <c r="CS263" s="105"/>
    </row>
    <row r="264" spans="1:97" s="2" customFormat="1" ht="14.4" hidden="1">
      <c r="A264" s="165"/>
      <c r="B264" s="166"/>
      <c r="C264" s="854"/>
      <c r="D264" s="855"/>
      <c r="E264" s="855"/>
      <c r="F264" s="855"/>
      <c r="G264" s="855"/>
      <c r="H264" s="166"/>
      <c r="I264" s="82"/>
      <c r="J264" s="164"/>
      <c r="M264" s="166"/>
      <c r="N264" s="166"/>
      <c r="O264" s="166"/>
      <c r="P264" s="166"/>
      <c r="Q264" s="166"/>
      <c r="R264" s="166"/>
      <c r="S264" s="166"/>
      <c r="T264" s="164"/>
      <c r="U264" s="164"/>
      <c r="V264" s="164"/>
      <c r="W264" s="105"/>
      <c r="X264" s="105"/>
      <c r="Y264" s="105"/>
      <c r="Z264" s="105"/>
      <c r="AA264" s="105"/>
      <c r="AB264" s="105"/>
      <c r="AC264" s="105"/>
      <c r="AD264" s="105"/>
      <c r="AE264" s="105"/>
      <c r="AF264" s="105"/>
      <c r="AG264" s="105"/>
      <c r="AH264" s="105"/>
      <c r="AI264" s="105"/>
      <c r="AJ264" s="105"/>
      <c r="AK264" s="105"/>
      <c r="AL264" s="105"/>
      <c r="AM264" s="105"/>
      <c r="AN264" s="105"/>
      <c r="AO264" s="105"/>
      <c r="AP264" s="105"/>
      <c r="AQ264" s="105"/>
      <c r="AR264" s="105"/>
      <c r="AS264" s="105"/>
      <c r="AT264" s="105"/>
      <c r="AU264" s="105"/>
      <c r="AV264" s="105"/>
      <c r="AW264" s="105"/>
      <c r="AX264" s="105"/>
      <c r="AY264" s="105"/>
      <c r="AZ264" s="105"/>
      <c r="BA264" s="105"/>
      <c r="BB264" s="105"/>
      <c r="BC264" s="105"/>
      <c r="BD264" s="105"/>
      <c r="BE264" s="105"/>
      <c r="BF264" s="105"/>
      <c r="BG264" s="105"/>
      <c r="BH264" s="105"/>
      <c r="BI264" s="105"/>
      <c r="BJ264" s="105"/>
      <c r="BK264" s="105"/>
      <c r="BL264" s="105"/>
      <c r="BM264" s="105"/>
      <c r="BN264" s="105"/>
      <c r="BO264" s="105"/>
      <c r="BP264" s="105"/>
      <c r="BQ264" s="105"/>
      <c r="BR264" s="105"/>
      <c r="BS264" s="105"/>
      <c r="BT264" s="105"/>
      <c r="BU264" s="105"/>
      <c r="BV264" s="105"/>
      <c r="BW264" s="105"/>
      <c r="BX264" s="105"/>
      <c r="BY264" s="105"/>
      <c r="BZ264" s="105"/>
      <c r="CA264" s="105"/>
      <c r="CB264" s="105"/>
      <c r="CC264" s="105"/>
      <c r="CD264" s="105"/>
      <c r="CE264" s="105"/>
      <c r="CF264" s="105"/>
      <c r="CG264" s="105"/>
      <c r="CH264" s="105"/>
      <c r="CI264" s="105"/>
      <c r="CJ264" s="105"/>
      <c r="CK264" s="105"/>
      <c r="CL264" s="105"/>
      <c r="CM264" s="105"/>
      <c r="CN264" s="105"/>
      <c r="CO264" s="105"/>
      <c r="CP264" s="105"/>
      <c r="CQ264" s="105"/>
      <c r="CR264" s="105"/>
      <c r="CS264" s="105"/>
    </row>
    <row r="265" spans="1:97" s="2" customFormat="1" ht="14.4" hidden="1">
      <c r="A265" s="175" t="s">
        <v>281</v>
      </c>
      <c r="B265" s="166"/>
      <c r="C265" s="866">
        <f>C242+C247-C254-C258+D18*1000000</f>
        <v>198190716.79525313</v>
      </c>
      <c r="D265" s="867">
        <f>D242+D247-D254-D258+D18*1000000</f>
        <v>158499941.43301818</v>
      </c>
      <c r="E265" s="867">
        <f t="shared" ref="E265:G268" si="38">E242+E247-E254-E258+D265</f>
        <v>163384297.16845274</v>
      </c>
      <c r="F265" s="867">
        <f t="shared" si="38"/>
        <v>163523423.86569056</v>
      </c>
      <c r="G265" s="867">
        <f t="shared" si="38"/>
        <v>199110455.76979753</v>
      </c>
      <c r="H265" s="368">
        <f t="shared" ref="H265:H268" si="39">H242+H247-H254-H258+G265</f>
        <v>198190716.79525313</v>
      </c>
      <c r="I265" s="369"/>
      <c r="J265" s="423"/>
      <c r="M265" s="428"/>
      <c r="N265" s="166"/>
      <c r="O265" s="429"/>
      <c r="P265" s="429"/>
      <c r="Q265" s="429"/>
      <c r="R265" s="429"/>
      <c r="S265" s="429"/>
      <c r="T265" s="423"/>
      <c r="U265" s="423"/>
      <c r="V265" s="423"/>
      <c r="W265" s="105"/>
      <c r="X265" s="105"/>
      <c r="Y265" s="105"/>
      <c r="Z265" s="105"/>
      <c r="AA265" s="105"/>
      <c r="AB265" s="105"/>
      <c r="AC265" s="105"/>
      <c r="AD265" s="105"/>
      <c r="AE265" s="105"/>
      <c r="AF265" s="105"/>
      <c r="AG265" s="105"/>
      <c r="AH265" s="105"/>
      <c r="AI265" s="105"/>
      <c r="AJ265" s="105"/>
      <c r="AK265" s="105"/>
      <c r="AL265" s="105"/>
      <c r="AM265" s="105"/>
      <c r="AN265" s="105"/>
      <c r="AO265" s="105"/>
      <c r="AP265" s="105"/>
      <c r="AQ265" s="105"/>
      <c r="AR265" s="105"/>
      <c r="AS265" s="105"/>
      <c r="AT265" s="105"/>
      <c r="AU265" s="105"/>
      <c r="AV265" s="105"/>
      <c r="AW265" s="105"/>
      <c r="AX265" s="105"/>
      <c r="AY265" s="105"/>
      <c r="AZ265" s="105"/>
      <c r="BA265" s="105"/>
      <c r="BB265" s="105"/>
      <c r="BC265" s="105"/>
      <c r="BD265" s="105"/>
      <c r="BE265" s="105"/>
      <c r="BF265" s="105"/>
      <c r="BG265" s="105"/>
      <c r="BH265" s="105"/>
      <c r="BI265" s="105"/>
      <c r="BJ265" s="105"/>
      <c r="BK265" s="105"/>
      <c r="BL265" s="105"/>
      <c r="BM265" s="105"/>
      <c r="BN265" s="105"/>
      <c r="BO265" s="105"/>
      <c r="BP265" s="105"/>
      <c r="BQ265" s="105"/>
      <c r="BR265" s="105"/>
      <c r="BS265" s="105"/>
      <c r="BT265" s="105"/>
      <c r="BU265" s="105"/>
      <c r="BV265" s="105"/>
      <c r="BW265" s="105"/>
      <c r="BX265" s="105"/>
      <c r="BY265" s="105"/>
      <c r="BZ265" s="105"/>
      <c r="CA265" s="105"/>
      <c r="CB265" s="105"/>
      <c r="CC265" s="105"/>
      <c r="CD265" s="105"/>
      <c r="CE265" s="105"/>
      <c r="CF265" s="105"/>
      <c r="CG265" s="105"/>
      <c r="CH265" s="105"/>
      <c r="CI265" s="105"/>
      <c r="CJ265" s="105"/>
      <c r="CK265" s="105"/>
      <c r="CL265" s="105"/>
      <c r="CM265" s="105"/>
      <c r="CN265" s="105"/>
      <c r="CO265" s="105"/>
      <c r="CP265" s="105"/>
      <c r="CQ265" s="105"/>
      <c r="CR265" s="105"/>
      <c r="CS265" s="105"/>
    </row>
    <row r="266" spans="1:97" s="2" customFormat="1" ht="14.4" hidden="1">
      <c r="A266" s="372" t="s">
        <v>8</v>
      </c>
      <c r="B266" s="166"/>
      <c r="C266" s="852">
        <f>C243+C248-C255-C259+D15*1000000</f>
        <v>1903334.7710888255</v>
      </c>
      <c r="D266" s="853">
        <f>D243+D248-D255-D259+D15*1000000</f>
        <v>1504150.9753677174</v>
      </c>
      <c r="E266" s="853">
        <f t="shared" si="38"/>
        <v>1504150.9753677174</v>
      </c>
      <c r="F266" s="853">
        <f t="shared" si="38"/>
        <v>2077768.5200553965</v>
      </c>
      <c r="G266" s="853">
        <f>G243+G248-G255-G259+F266</f>
        <v>1520923.0746303727</v>
      </c>
      <c r="H266" s="370">
        <f t="shared" si="39"/>
        <v>1903334.7710888255</v>
      </c>
      <c r="I266" s="371"/>
      <c r="J266" s="422"/>
      <c r="M266" s="435"/>
      <c r="N266" s="436"/>
      <c r="O266" s="431"/>
      <c r="P266" s="431"/>
      <c r="Q266" s="431"/>
      <c r="R266" s="431"/>
      <c r="S266" s="431"/>
      <c r="T266" s="422"/>
      <c r="U266" s="422"/>
      <c r="V266" s="422"/>
      <c r="W266" s="105"/>
      <c r="X266" s="105"/>
      <c r="Y266" s="105"/>
      <c r="Z266" s="105"/>
      <c r="AA266" s="105"/>
      <c r="AB266" s="105"/>
      <c r="AC266" s="105"/>
      <c r="AD266" s="105"/>
      <c r="AE266" s="105"/>
      <c r="AF266" s="105"/>
      <c r="AG266" s="105"/>
      <c r="AH266" s="105"/>
      <c r="AI266" s="105"/>
      <c r="AJ266" s="105"/>
      <c r="AK266" s="105"/>
      <c r="AL266" s="105"/>
      <c r="AM266" s="105"/>
      <c r="AN266" s="105"/>
      <c r="AO266" s="105"/>
      <c r="AP266" s="105"/>
      <c r="AQ266" s="105"/>
      <c r="AR266" s="105"/>
      <c r="AS266" s="105"/>
      <c r="AT266" s="105"/>
      <c r="AU266" s="105"/>
      <c r="AV266" s="105"/>
      <c r="AW266" s="105"/>
      <c r="AX266" s="105"/>
      <c r="AY266" s="105"/>
      <c r="AZ266" s="105"/>
      <c r="BA266" s="105"/>
      <c r="BB266" s="105"/>
      <c r="BC266" s="105"/>
      <c r="BD266" s="105"/>
      <c r="BE266" s="105"/>
      <c r="BF266" s="105"/>
      <c r="BG266" s="105"/>
      <c r="BH266" s="105"/>
      <c r="BI266" s="105"/>
      <c r="BJ266" s="105"/>
      <c r="BK266" s="105"/>
      <c r="BL266" s="105"/>
      <c r="BM266" s="105"/>
      <c r="BN266" s="105"/>
      <c r="BO266" s="105"/>
      <c r="BP266" s="105"/>
      <c r="BQ266" s="105"/>
      <c r="BR266" s="105"/>
      <c r="BS266" s="105"/>
      <c r="BT266" s="105"/>
      <c r="BU266" s="105"/>
      <c r="BV266" s="105"/>
      <c r="BW266" s="105"/>
      <c r="BX266" s="105"/>
      <c r="BY266" s="105"/>
      <c r="BZ266" s="105"/>
      <c r="CA266" s="105"/>
      <c r="CB266" s="105"/>
      <c r="CC266" s="105"/>
      <c r="CD266" s="105"/>
      <c r="CE266" s="105"/>
      <c r="CF266" s="105"/>
      <c r="CG266" s="105"/>
      <c r="CH266" s="105"/>
      <c r="CI266" s="105"/>
      <c r="CJ266" s="105"/>
      <c r="CK266" s="105"/>
      <c r="CL266" s="105"/>
      <c r="CM266" s="105"/>
      <c r="CN266" s="105"/>
      <c r="CO266" s="105"/>
      <c r="CP266" s="105"/>
      <c r="CQ266" s="105"/>
      <c r="CR266" s="105"/>
      <c r="CS266" s="105"/>
    </row>
    <row r="267" spans="1:97" s="2" customFormat="1" ht="14.4" hidden="1">
      <c r="A267" s="372" t="s">
        <v>67</v>
      </c>
      <c r="B267" s="166"/>
      <c r="C267" s="852">
        <f>C244+C249-C256-C260+D16*1000000</f>
        <v>97298565.643514812</v>
      </c>
      <c r="D267" s="853">
        <f>D244+D249-D256-D260+D16*1000000</f>
        <v>68002462.946609363</v>
      </c>
      <c r="E267" s="853">
        <f t="shared" si="38"/>
        <v>68246157.651480421</v>
      </c>
      <c r="F267" s="853">
        <f t="shared" si="38"/>
        <v>67498390.777287483</v>
      </c>
      <c r="G267" s="853">
        <f t="shared" si="38"/>
        <v>100771649.83237821</v>
      </c>
      <c r="H267" s="370">
        <f t="shared" si="39"/>
        <v>97298565.643514782</v>
      </c>
      <c r="I267" s="371"/>
      <c r="J267" s="422"/>
      <c r="M267" s="435"/>
      <c r="N267" s="436"/>
      <c r="O267" s="431"/>
      <c r="P267" s="431"/>
      <c r="Q267" s="431"/>
      <c r="R267" s="431"/>
      <c r="S267" s="431"/>
      <c r="T267" s="422"/>
      <c r="U267" s="422"/>
      <c r="V267" s="422"/>
      <c r="W267" s="105"/>
      <c r="X267" s="105"/>
      <c r="Y267" s="105"/>
      <c r="Z267" s="105"/>
      <c r="AA267" s="105"/>
      <c r="AB267" s="105"/>
      <c r="AC267" s="105"/>
      <c r="AD267" s="105"/>
      <c r="AE267" s="105"/>
      <c r="AF267" s="105"/>
      <c r="AG267" s="105"/>
      <c r="AH267" s="105"/>
      <c r="AI267" s="105"/>
      <c r="AJ267" s="105"/>
      <c r="AK267" s="105"/>
      <c r="AL267" s="105"/>
      <c r="AM267" s="105"/>
      <c r="AN267" s="105"/>
      <c r="AO267" s="105"/>
      <c r="AP267" s="105"/>
      <c r="AQ267" s="105"/>
      <c r="AR267" s="105"/>
      <c r="AS267" s="105"/>
      <c r="AT267" s="105"/>
      <c r="AU267" s="105"/>
      <c r="AV267" s="105"/>
      <c r="AW267" s="105"/>
      <c r="AX267" s="105"/>
      <c r="AY267" s="105"/>
      <c r="AZ267" s="105"/>
      <c r="BA267" s="105"/>
      <c r="BB267" s="105"/>
      <c r="BC267" s="105"/>
      <c r="BD267" s="105"/>
      <c r="BE267" s="105"/>
      <c r="BF267" s="105"/>
      <c r="BG267" s="105"/>
      <c r="BH267" s="105"/>
      <c r="BI267" s="105"/>
      <c r="BJ267" s="105"/>
      <c r="BK267" s="105"/>
      <c r="BL267" s="105"/>
      <c r="BM267" s="105"/>
      <c r="BN267" s="105"/>
      <c r="BO267" s="105"/>
      <c r="BP267" s="105"/>
      <c r="BQ267" s="105"/>
      <c r="BR267" s="105"/>
      <c r="BS267" s="105"/>
      <c r="BT267" s="105"/>
      <c r="BU267" s="105"/>
      <c r="BV267" s="105"/>
      <c r="BW267" s="105"/>
      <c r="BX267" s="105"/>
      <c r="BY267" s="105"/>
      <c r="BZ267" s="105"/>
      <c r="CA267" s="105"/>
      <c r="CB267" s="105"/>
      <c r="CC267" s="105"/>
      <c r="CD267" s="105"/>
      <c r="CE267" s="105"/>
      <c r="CF267" s="105"/>
      <c r="CG267" s="105"/>
      <c r="CH267" s="105"/>
      <c r="CI267" s="105"/>
      <c r="CJ267" s="105"/>
      <c r="CK267" s="105"/>
      <c r="CL267" s="105"/>
      <c r="CM267" s="105"/>
      <c r="CN267" s="105"/>
      <c r="CO267" s="105"/>
      <c r="CP267" s="105"/>
      <c r="CQ267" s="105"/>
      <c r="CR267" s="105"/>
      <c r="CS267" s="105"/>
    </row>
    <row r="268" spans="1:97" s="2" customFormat="1" ht="14.4" hidden="1">
      <c r="A268" s="372" t="s">
        <v>10</v>
      </c>
      <c r="B268" s="166"/>
      <c r="C268" s="852">
        <f>C245+C250-C257-C261+D17*1000000</f>
        <v>98988816.380649477</v>
      </c>
      <c r="D268" s="853">
        <f>D245+D250-D257-D261+D17*1000000</f>
        <v>88993327.511041075</v>
      </c>
      <c r="E268" s="853">
        <f t="shared" si="38"/>
        <v>93633988.541604593</v>
      </c>
      <c r="F268" s="853">
        <f t="shared" si="38"/>
        <v>93947264.568347663</v>
      </c>
      <c r="G268" s="853">
        <f t="shared" si="38"/>
        <v>96817882.862788916</v>
      </c>
      <c r="H268" s="370">
        <f t="shared" si="39"/>
        <v>98988816.380649477</v>
      </c>
      <c r="I268" s="371"/>
      <c r="J268" s="422"/>
      <c r="M268" s="435"/>
      <c r="N268" s="436"/>
      <c r="O268" s="431"/>
      <c r="P268" s="431"/>
      <c r="Q268" s="431"/>
      <c r="R268" s="431"/>
      <c r="S268" s="431"/>
      <c r="T268" s="422"/>
      <c r="U268" s="422"/>
      <c r="V268" s="422"/>
      <c r="W268" s="105"/>
      <c r="X268" s="105"/>
      <c r="Y268" s="105"/>
      <c r="Z268" s="105"/>
      <c r="AA268" s="105"/>
      <c r="AB268" s="105"/>
      <c r="AC268" s="105"/>
      <c r="AD268" s="105"/>
      <c r="AE268" s="105"/>
      <c r="AF268" s="105"/>
      <c r="AG268" s="105"/>
      <c r="AH268" s="105"/>
      <c r="AI268" s="105"/>
      <c r="AJ268" s="105"/>
      <c r="AK268" s="105"/>
      <c r="AL268" s="105"/>
      <c r="AM268" s="105"/>
      <c r="AN268" s="105"/>
      <c r="AO268" s="105"/>
      <c r="AP268" s="105"/>
      <c r="AQ268" s="105"/>
      <c r="AR268" s="105"/>
      <c r="AS268" s="105"/>
      <c r="AT268" s="105"/>
      <c r="AU268" s="105"/>
      <c r="AV268" s="105"/>
      <c r="AW268" s="105"/>
      <c r="AX268" s="105"/>
      <c r="AY268" s="105"/>
      <c r="AZ268" s="105"/>
      <c r="BA268" s="105"/>
      <c r="BB268" s="105"/>
      <c r="BC268" s="105"/>
      <c r="BD268" s="105"/>
      <c r="BE268" s="105"/>
      <c r="BF268" s="105"/>
      <c r="BG268" s="105"/>
      <c r="BH268" s="105"/>
      <c r="BI268" s="105"/>
      <c r="BJ268" s="105"/>
      <c r="BK268" s="105"/>
      <c r="BL268" s="105"/>
      <c r="BM268" s="105"/>
      <c r="BN268" s="105"/>
      <c r="BO268" s="105"/>
      <c r="BP268" s="105"/>
      <c r="BQ268" s="105"/>
      <c r="BR268" s="105"/>
      <c r="BS268" s="105"/>
      <c r="BT268" s="105"/>
      <c r="BU268" s="105"/>
      <c r="BV268" s="105"/>
      <c r="BW268" s="105"/>
      <c r="BX268" s="105"/>
      <c r="BY268" s="105"/>
      <c r="BZ268" s="105"/>
      <c r="CA268" s="105"/>
      <c r="CB268" s="105"/>
      <c r="CC268" s="105"/>
      <c r="CD268" s="105"/>
      <c r="CE268" s="105"/>
      <c r="CF268" s="105"/>
      <c r="CG268" s="105"/>
      <c r="CH268" s="105"/>
      <c r="CI268" s="105"/>
      <c r="CJ268" s="105"/>
      <c r="CK268" s="105"/>
      <c r="CL268" s="105"/>
      <c r="CM268" s="105"/>
      <c r="CN268" s="105"/>
      <c r="CO268" s="105"/>
      <c r="CP268" s="105"/>
      <c r="CQ268" s="105"/>
      <c r="CR268" s="105"/>
      <c r="CS268" s="105"/>
    </row>
    <row r="269" spans="1:97" s="2" customFormat="1" ht="15" hidden="1" thickBot="1">
      <c r="A269" s="167"/>
      <c r="B269" s="168"/>
      <c r="C269" s="848"/>
      <c r="D269" s="849"/>
      <c r="E269" s="849"/>
      <c r="F269" s="849"/>
      <c r="G269" s="849"/>
      <c r="H269" s="168"/>
      <c r="I269" s="170"/>
      <c r="J269" s="164"/>
      <c r="M269" s="166"/>
      <c r="N269" s="166"/>
      <c r="O269" s="166"/>
      <c r="P269" s="166"/>
      <c r="Q269" s="166"/>
      <c r="R269" s="166"/>
      <c r="S269" s="166"/>
      <c r="T269" s="164"/>
      <c r="U269" s="164"/>
      <c r="V269" s="164"/>
      <c r="W269" s="105"/>
      <c r="X269" s="105"/>
      <c r="Y269" s="105"/>
      <c r="Z269" s="105"/>
      <c r="AA269" s="105"/>
      <c r="AB269" s="105"/>
      <c r="AC269" s="105"/>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5"/>
      <c r="AY269" s="105"/>
      <c r="AZ269" s="105"/>
      <c r="BA269" s="105"/>
      <c r="BB269" s="105"/>
      <c r="BC269" s="105"/>
      <c r="BD269" s="105"/>
      <c r="BE269" s="105"/>
      <c r="BF269" s="105"/>
      <c r="BG269" s="105"/>
      <c r="BH269" s="105"/>
      <c r="BI269" s="105"/>
      <c r="BJ269" s="105"/>
      <c r="BK269" s="105"/>
      <c r="BL269" s="105"/>
      <c r="BM269" s="105"/>
      <c r="BN269" s="105"/>
      <c r="BO269" s="105"/>
      <c r="BP269" s="105"/>
      <c r="BQ269" s="105"/>
      <c r="BR269" s="105"/>
      <c r="BS269" s="105"/>
      <c r="BT269" s="105"/>
      <c r="BU269" s="105"/>
      <c r="BV269" s="105"/>
      <c r="BW269" s="105"/>
      <c r="BX269" s="105"/>
      <c r="BY269" s="105"/>
      <c r="BZ269" s="105"/>
      <c r="CA269" s="105"/>
      <c r="CB269" s="105"/>
      <c r="CC269" s="105"/>
      <c r="CD269" s="105"/>
      <c r="CE269" s="105"/>
      <c r="CF269" s="105"/>
      <c r="CG269" s="105"/>
      <c r="CH269" s="105"/>
      <c r="CI269" s="105"/>
      <c r="CJ269" s="105"/>
      <c r="CK269" s="105"/>
      <c r="CL269" s="105"/>
      <c r="CM269" s="105"/>
      <c r="CN269" s="105"/>
      <c r="CO269" s="105"/>
      <c r="CP269" s="105"/>
      <c r="CQ269" s="105"/>
      <c r="CR269" s="105"/>
      <c r="CS269" s="105"/>
    </row>
    <row r="270" spans="1:97" s="2" customFormat="1" ht="13.8">
      <c r="A270" s="105"/>
      <c r="B270" s="105"/>
      <c r="C270" s="844"/>
      <c r="D270" s="105"/>
      <c r="E270" s="105"/>
      <c r="F270" s="105"/>
      <c r="G270" s="105"/>
      <c r="W270" s="105"/>
      <c r="X270" s="105"/>
      <c r="Y270" s="105"/>
      <c r="Z270" s="105"/>
      <c r="AA270" s="105"/>
      <c r="AB270" s="105"/>
      <c r="AC270" s="105"/>
      <c r="AD270" s="105"/>
      <c r="AE270" s="105"/>
      <c r="AF270" s="105"/>
      <c r="AG270" s="105"/>
      <c r="AH270" s="105"/>
      <c r="AI270" s="105"/>
      <c r="AJ270" s="105"/>
      <c r="AK270" s="105"/>
      <c r="AL270" s="105"/>
      <c r="AM270" s="105"/>
      <c r="AN270" s="105"/>
      <c r="AO270" s="105"/>
      <c r="AP270" s="105"/>
      <c r="AQ270" s="105"/>
      <c r="AR270" s="105"/>
      <c r="AS270" s="105"/>
      <c r="AT270" s="105"/>
      <c r="AU270" s="105"/>
      <c r="AV270" s="105"/>
      <c r="AW270" s="105"/>
      <c r="AX270" s="105"/>
      <c r="AY270" s="105"/>
      <c r="AZ270" s="105"/>
      <c r="BA270" s="105"/>
      <c r="BB270" s="105"/>
      <c r="BC270" s="105"/>
      <c r="BD270" s="105"/>
      <c r="BE270" s="105"/>
      <c r="BF270" s="105"/>
      <c r="BG270" s="105"/>
      <c r="BH270" s="105"/>
      <c r="BI270" s="105"/>
      <c r="BJ270" s="105"/>
      <c r="BK270" s="105"/>
      <c r="BL270" s="105"/>
      <c r="BM270" s="105"/>
      <c r="BN270" s="105"/>
      <c r="BO270" s="105"/>
      <c r="BP270" s="105"/>
      <c r="BQ270" s="105"/>
      <c r="BR270" s="105"/>
      <c r="BS270" s="105"/>
      <c r="BT270" s="105"/>
      <c r="BU270" s="105"/>
      <c r="BV270" s="105"/>
      <c r="BW270" s="105"/>
      <c r="BX270" s="105"/>
      <c r="BY270" s="105"/>
      <c r="BZ270" s="105"/>
      <c r="CA270" s="105"/>
      <c r="CB270" s="105"/>
      <c r="CC270" s="105"/>
      <c r="CD270" s="105"/>
      <c r="CE270" s="105"/>
      <c r="CF270" s="105"/>
      <c r="CG270" s="105"/>
      <c r="CH270" s="105"/>
      <c r="CI270" s="105"/>
      <c r="CJ270" s="105"/>
      <c r="CK270" s="105"/>
      <c r="CL270" s="105"/>
      <c r="CM270" s="105"/>
      <c r="CN270" s="105"/>
      <c r="CO270" s="105"/>
      <c r="CP270" s="105"/>
      <c r="CQ270" s="105"/>
      <c r="CR270" s="105"/>
      <c r="CS270" s="105"/>
    </row>
    <row r="271" spans="1:97" s="2" customFormat="1" ht="13.8">
      <c r="A271" s="105"/>
      <c r="B271" s="105"/>
      <c r="C271" s="105"/>
      <c r="D271" s="105"/>
      <c r="E271" s="105"/>
      <c r="F271" s="105"/>
      <c r="G271" s="105"/>
      <c r="H271" s="31"/>
      <c r="W271" s="105"/>
      <c r="X271" s="105"/>
      <c r="Y271" s="105"/>
      <c r="Z271" s="105"/>
      <c r="AA271" s="105"/>
      <c r="AB271" s="105"/>
      <c r="AC271" s="105"/>
      <c r="AD271" s="105"/>
      <c r="AE271" s="105"/>
      <c r="AF271" s="105"/>
      <c r="AG271" s="105"/>
      <c r="AH271" s="105"/>
      <c r="AI271" s="105"/>
      <c r="AJ271" s="105"/>
      <c r="AK271" s="105"/>
      <c r="AL271" s="105"/>
      <c r="AM271" s="105"/>
      <c r="AN271" s="105"/>
      <c r="AO271" s="105"/>
      <c r="AP271" s="105"/>
      <c r="AQ271" s="105"/>
      <c r="AR271" s="105"/>
      <c r="AS271" s="105"/>
      <c r="AT271" s="105"/>
      <c r="AU271" s="105"/>
      <c r="AV271" s="105"/>
      <c r="AW271" s="105"/>
      <c r="AX271" s="105"/>
      <c r="AY271" s="105"/>
      <c r="AZ271" s="105"/>
      <c r="BA271" s="105"/>
      <c r="BB271" s="105"/>
      <c r="BC271" s="105"/>
      <c r="BD271" s="105"/>
      <c r="BE271" s="105"/>
      <c r="BF271" s="105"/>
      <c r="BG271" s="105"/>
      <c r="BH271" s="105"/>
      <c r="BI271" s="105"/>
      <c r="BJ271" s="105"/>
      <c r="BK271" s="105"/>
      <c r="BL271" s="105"/>
      <c r="BM271" s="105"/>
      <c r="BN271" s="105"/>
      <c r="BO271" s="105"/>
      <c r="BP271" s="105"/>
      <c r="BQ271" s="105"/>
      <c r="BR271" s="105"/>
      <c r="BS271" s="105"/>
      <c r="BT271" s="105"/>
      <c r="BU271" s="105"/>
      <c r="BV271" s="105"/>
      <c r="BW271" s="105"/>
      <c r="BX271" s="105"/>
      <c r="BY271" s="105"/>
      <c r="BZ271" s="105"/>
      <c r="CA271" s="105"/>
      <c r="CB271" s="105"/>
      <c r="CC271" s="105"/>
      <c r="CD271" s="105"/>
      <c r="CE271" s="105"/>
      <c r="CF271" s="105"/>
      <c r="CG271" s="105"/>
      <c r="CH271" s="105"/>
      <c r="CI271" s="105"/>
      <c r="CJ271" s="105"/>
      <c r="CK271" s="105"/>
      <c r="CL271" s="105"/>
      <c r="CM271" s="105"/>
      <c r="CN271" s="105"/>
      <c r="CO271" s="105"/>
      <c r="CP271" s="105"/>
      <c r="CQ271" s="105"/>
      <c r="CR271" s="105"/>
      <c r="CS271" s="105"/>
    </row>
    <row r="272" spans="1:97" s="2" customFormat="1" ht="13.8">
      <c r="A272" s="105"/>
      <c r="B272" s="105"/>
      <c r="C272" s="822"/>
      <c r="D272" s="838"/>
      <c r="E272" s="838"/>
      <c r="F272" s="105"/>
      <c r="G272" s="105"/>
      <c r="W272" s="105"/>
      <c r="X272" s="105"/>
      <c r="Y272" s="105"/>
      <c r="Z272" s="105"/>
      <c r="AA272" s="105"/>
      <c r="AB272" s="105"/>
      <c r="AC272" s="105"/>
      <c r="AD272" s="105"/>
      <c r="AE272" s="105"/>
      <c r="AF272" s="105"/>
      <c r="AG272" s="105"/>
      <c r="AH272" s="105"/>
      <c r="AI272" s="105"/>
      <c r="AJ272" s="105"/>
      <c r="AK272" s="105"/>
      <c r="AL272" s="105"/>
      <c r="AM272" s="105"/>
      <c r="AN272" s="105"/>
      <c r="AO272" s="105"/>
      <c r="AP272" s="105"/>
      <c r="AQ272" s="105"/>
      <c r="AR272" s="105"/>
      <c r="AS272" s="105"/>
      <c r="AT272" s="105"/>
      <c r="AU272" s="105"/>
      <c r="AV272" s="105"/>
      <c r="AW272" s="105"/>
      <c r="AX272" s="105"/>
      <c r="AY272" s="105"/>
      <c r="AZ272" s="105"/>
      <c r="BA272" s="105"/>
      <c r="BB272" s="105"/>
      <c r="BC272" s="105"/>
      <c r="BD272" s="105"/>
      <c r="BE272" s="105"/>
      <c r="BF272" s="105"/>
      <c r="BG272" s="105"/>
      <c r="BH272" s="105"/>
      <c r="BI272" s="105"/>
      <c r="BJ272" s="105"/>
      <c r="BK272" s="105"/>
      <c r="BL272" s="105"/>
      <c r="BM272" s="105"/>
      <c r="BN272" s="105"/>
      <c r="BO272" s="105"/>
      <c r="BP272" s="105"/>
      <c r="BQ272" s="105"/>
      <c r="BR272" s="105"/>
      <c r="BS272" s="105"/>
      <c r="BT272" s="105"/>
      <c r="BU272" s="105"/>
      <c r="BV272" s="105"/>
      <c r="BW272" s="105"/>
      <c r="BX272" s="105"/>
      <c r="BY272" s="105"/>
      <c r="BZ272" s="105"/>
      <c r="CA272" s="105"/>
      <c r="CB272" s="105"/>
      <c r="CC272" s="105"/>
      <c r="CD272" s="105"/>
      <c r="CE272" s="105"/>
      <c r="CF272" s="105"/>
      <c r="CG272" s="105"/>
      <c r="CH272" s="105"/>
      <c r="CI272" s="105"/>
      <c r="CJ272" s="105"/>
      <c r="CK272" s="105"/>
      <c r="CL272" s="105"/>
      <c r="CM272" s="105"/>
      <c r="CN272" s="105"/>
      <c r="CO272" s="105"/>
      <c r="CP272" s="105"/>
      <c r="CQ272" s="105"/>
      <c r="CR272" s="105"/>
      <c r="CS272" s="105"/>
    </row>
    <row r="273" spans="4:4" ht="14.4"/>
    <row r="274" spans="4:4" ht="14.4"/>
    <row r="275" spans="4:4" ht="14.4">
      <c r="D275" s="843"/>
    </row>
    <row r="276" spans="4:4" ht="14.4">
      <c r="D276" s="20"/>
    </row>
    <row r="277" spans="4:4" ht="14.4"/>
    <row r="278" spans="4:4" ht="14.4"/>
    <row r="279" spans="4:4" ht="14.4"/>
    <row r="280" spans="4:4" ht="14.4"/>
    <row r="281" spans="4:4" ht="14.4"/>
    <row r="282" spans="4:4" ht="14.4"/>
    <row r="283" spans="4:4" ht="14.4"/>
    <row r="284" spans="4:4" ht="14.4"/>
    <row r="285" spans="4:4" ht="14.4"/>
    <row r="286" spans="4:4" ht="14.4"/>
    <row r="287" spans="4:4" ht="14.4"/>
    <row r="288" spans="4:4" ht="14.4"/>
    <row r="289" spans="2:14" ht="14.4"/>
    <row r="290" spans="2:14" ht="14.4"/>
    <row r="291" spans="2:14" ht="14.4" hidden="1">
      <c r="B291" s="43"/>
      <c r="N291" s="43" t="b">
        <f>CM_Cash!O56=CM_Cash!P32</f>
        <v>0</v>
      </c>
    </row>
    <row r="292" spans="2:14" ht="14.4"/>
    <row r="293" spans="2:14" ht="14.4"/>
    <row r="294" spans="2:14" ht="14.4"/>
    <row r="295" spans="2:14" ht="14.4"/>
    <row r="296" spans="2:14" ht="14.4"/>
    <row r="297" spans="2:14" ht="14.4"/>
    <row r="298" spans="2:14" ht="14.85" customHeight="1"/>
    <row r="299" spans="2:14" ht="14.85" customHeight="1"/>
  </sheetData>
  <phoneticPr fontId="132" type="noConversion"/>
  <conditionalFormatting sqref="B197">
    <cfRule type="expression" dxfId="46" priority="2">
      <formula>B197=FALSE</formula>
    </cfRule>
  </conditionalFormatting>
  <conditionalFormatting sqref="B160:C160">
    <cfRule type="expression" dxfId="45" priority="3">
      <formula>B160=FALSE</formula>
    </cfRule>
  </conditionalFormatting>
  <conditionalFormatting sqref="B64:E64 D197:G197">
    <cfRule type="expression" dxfId="44" priority="28">
      <formula>B64=FALSE</formula>
    </cfRule>
  </conditionalFormatting>
  <conditionalFormatting sqref="B109:E112 B291">
    <cfRule type="expression" dxfId="43" priority="21">
      <formula>B109=FALSE</formula>
    </cfRule>
  </conditionalFormatting>
  <conditionalFormatting sqref="C138">
    <cfRule type="expression" dxfId="42" priority="7">
      <formula>C138=FALSE</formula>
    </cfRule>
  </conditionalFormatting>
  <conditionalFormatting sqref="C240:C241">
    <cfRule type="expression" dxfId="41" priority="18">
      <formula>C240=FALSE</formula>
    </cfRule>
  </conditionalFormatting>
  <conditionalFormatting sqref="C253">
    <cfRule type="expression" dxfId="40" priority="19">
      <formula>C253=FALSE</formula>
    </cfRule>
  </conditionalFormatting>
  <conditionalFormatting sqref="F209">
    <cfRule type="expression" dxfId="39" priority="5">
      <formula>F209=FALSE</formula>
    </cfRule>
  </conditionalFormatting>
  <conditionalFormatting sqref="F224:F225">
    <cfRule type="expression" dxfId="38" priority="1">
      <formula>F224=FALSE</formula>
    </cfRule>
  </conditionalFormatting>
  <conditionalFormatting sqref="N291">
    <cfRule type="expression" dxfId="37" priority="22">
      <formula>N291=FALSE</formula>
    </cfRule>
  </conditionalFormatting>
  <conditionalFormatting sqref="O240">
    <cfRule type="expression" dxfId="36" priority="10">
      <formula>O240=FALSE</formula>
    </cfRule>
  </conditionalFormatting>
  <conditionalFormatting sqref="O253">
    <cfRule type="expression" dxfId="35" priority="11">
      <formula>O253=FALSE</formula>
    </cfRule>
  </conditionalFormatting>
  <pageMargins left="0.7" right="0.7" top="0.75" bottom="0.75" header="0.3" footer="0.3"/>
  <pageSetup paperSize="8" scale="85" fitToHeight="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CA8B7-A39B-4A1C-AF54-13CB9D0EB036}">
  <sheetPr codeName="Sheet3">
    <tabColor theme="5" tint="0.59999389629810485"/>
  </sheetPr>
  <dimension ref="A1"/>
  <sheetViews>
    <sheetView topLeftCell="XFD1" workbookViewId="0"/>
  </sheetViews>
  <sheetFormatPr defaultColWidth="0" defaultRowHeight="14.4"/>
  <cols>
    <col min="1" max="16384" width="8.5546875" hidden="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48ADA-E73C-4C53-AD05-2C018B95B74C}">
  <sheetPr codeName="Sheet8">
    <tabColor theme="5" tint="0.59999389629810485"/>
  </sheetPr>
  <dimension ref="A1"/>
  <sheetViews>
    <sheetView topLeftCell="XFD2" workbookViewId="0"/>
  </sheetViews>
  <sheetFormatPr defaultColWidth="0" defaultRowHeight="14.4"/>
  <cols>
    <col min="1" max="16384" width="8.5546875" hidden="1"/>
  </cols>
  <sheetData>
    <row r="1" hidden="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D92A3-6170-4F7F-BDB0-04196A60E60A}">
  <sheetPr>
    <tabColor theme="8" tint="0.39997558519241921"/>
  </sheetPr>
  <dimension ref="A1:J19"/>
  <sheetViews>
    <sheetView showGridLines="0" zoomScale="85" zoomScaleNormal="85" workbookViewId="0"/>
  </sheetViews>
  <sheetFormatPr defaultColWidth="0" defaultRowHeight="14.4"/>
  <cols>
    <col min="1" max="1" width="21.44140625" customWidth="1"/>
    <col min="2" max="2" width="21.44140625" bestFit="1" customWidth="1"/>
    <col min="3" max="3" width="15.5546875" bestFit="1" customWidth="1"/>
    <col min="4" max="5" width="16.5546875" bestFit="1" customWidth="1"/>
    <col min="6" max="6" width="16.44140625" bestFit="1" customWidth="1"/>
    <col min="7" max="7" width="8.5546875" bestFit="1" customWidth="1"/>
    <col min="8" max="8" width="24" customWidth="1"/>
    <col min="9" max="9" width="21.44140625" bestFit="1" customWidth="1"/>
    <col min="10" max="10" width="36.44140625" customWidth="1"/>
    <col min="11" max="11" width="7.44140625" bestFit="1" customWidth="1"/>
  </cols>
  <sheetData>
    <row r="1" spans="1:10">
      <c r="H1" s="6"/>
    </row>
    <row r="2" spans="1:10" ht="15" thickBot="1">
      <c r="H2" s="759" t="b">
        <f>H4=Summary!B122*Fx_rate</f>
        <v>0</v>
      </c>
    </row>
    <row r="3" spans="1:10" ht="27.6">
      <c r="A3" s="346" t="s">
        <v>282</v>
      </c>
      <c r="B3" s="344" t="s">
        <v>8</v>
      </c>
      <c r="C3" s="344" t="s">
        <v>283</v>
      </c>
      <c r="D3" s="344" t="s">
        <v>67</v>
      </c>
      <c r="E3" s="344" t="s">
        <v>283</v>
      </c>
      <c r="F3" s="347" t="s">
        <v>10</v>
      </c>
      <c r="G3" s="344" t="s">
        <v>283</v>
      </c>
      <c r="H3" s="344" t="s">
        <v>284</v>
      </c>
      <c r="I3" s="348" t="s">
        <v>217</v>
      </c>
      <c r="J3" s="349" t="s">
        <v>252</v>
      </c>
    </row>
    <row r="4" spans="1:10" ht="15" thickBot="1">
      <c r="A4" s="84" t="s">
        <v>285</v>
      </c>
      <c r="B4" s="87">
        <f>SUM(B5:B17)</f>
        <v>2661564578</v>
      </c>
      <c r="C4" s="115">
        <f>SUMPRODUCT(B5:B17,C5:C17)/B4</f>
        <v>3.4058072172765447E-3</v>
      </c>
      <c r="D4" s="87">
        <f>SUM(D5:D17)</f>
        <v>355152665621</v>
      </c>
      <c r="E4" s="115">
        <f>SUMPRODUCT(D5:D17,E5:E17)/D4</f>
        <v>4.7798789704807517E-3</v>
      </c>
      <c r="F4" s="87">
        <f>SUM(F5:F17)</f>
        <v>536870155427</v>
      </c>
      <c r="G4" s="115">
        <f>SUMPRODUCT(F5:F17,G5:G17)/F4</f>
        <v>4.6556405901312234E-3</v>
      </c>
      <c r="H4" s="87">
        <f>SUM(B4,D4,F4)</f>
        <v>894684385626</v>
      </c>
      <c r="I4" s="115">
        <f t="shared" ref="I4:I17" si="0">IFERROR((B4*C4+D4*E4+F4*G4)/H4,0)</f>
        <v>4.701239999683267E-3</v>
      </c>
      <c r="J4" s="89"/>
    </row>
    <row r="5" spans="1:10">
      <c r="A5" s="65" t="s">
        <v>110</v>
      </c>
      <c r="B5" s="81">
        <f>SUMIFS(Table11[CLOSING BALANCE (VND)2],Table11[NAME],B$3,Table11[Bank_1],$A5,Table11[ACCOUNT TYPE],"&lt;&gt;Saving Account")</f>
        <v>1092828338</v>
      </c>
      <c r="C5" s="100">
        <v>5.0000000000000001E-3</v>
      </c>
      <c r="D5" s="81">
        <f>SUMIFS(Table11[CLOSING BALANCE (VND)2],Table11[NAME],D$3,Table11[Bank_1],$A5,Table11[ACCOUNT TYPE],"&lt;&gt;Saving Account")</f>
        <v>323739882218</v>
      </c>
      <c r="E5" s="100">
        <v>5.0000000000000001E-3</v>
      </c>
      <c r="F5" s="224">
        <f>SUMIFS(Table11[CLOSING BALANCE (VND)2],Table11[NAME],F$3,Table11[Bank_1],$A5,Table11[ACCOUNT TYPE],"&lt;&gt;Saving Account")</f>
        <v>257416245151</v>
      </c>
      <c r="G5" s="100">
        <v>5.0000000000000001E-3</v>
      </c>
      <c r="H5" s="81">
        <f>SUM(B5,D5,F5)</f>
        <v>582248955707</v>
      </c>
      <c r="I5" s="100">
        <f>IFERROR((B5*C5+D5*E5+F5*G5)/H5,0)</f>
        <v>5.000000000000001E-3</v>
      </c>
      <c r="J5" s="82"/>
    </row>
    <row r="6" spans="1:10">
      <c r="A6" s="65" t="s">
        <v>112</v>
      </c>
      <c r="B6" s="81">
        <f>SUMIFS(Table11[CLOSING BALANCE (VND)2],Table11[NAME],B$3,Table11[Bank_1],$A6,Table11[ACCOUNT TYPE],"&lt;&gt;Saving Account")</f>
        <v>511704863</v>
      </c>
      <c r="C6" s="100">
        <v>5.0000000000000001E-3</v>
      </c>
      <c r="D6" s="81">
        <f>SUMIFS(Table11[CLOSING BALANCE (VND)2],Table11[NAME],D$3,Table11[Bank_1],$A6,Table11[ACCOUNT TYPE],"&lt;&gt;Saving Account")</f>
        <v>9871359781</v>
      </c>
      <c r="E6" s="100">
        <v>5.0000000000000001E-3</v>
      </c>
      <c r="F6" s="81">
        <f>SUMIFS(Table11[CLOSING BALANCE (VND)2],Table11[NAME],F$3,Table11[Bank_1],$A6,Table11[ACCOUNT TYPE],"&lt;&gt;Saving Account")</f>
        <v>100658315230</v>
      </c>
      <c r="G6" s="100">
        <v>5.0000000000000001E-3</v>
      </c>
      <c r="H6" s="81">
        <f t="shared" ref="H6:H17" si="1">SUM(B6,D6,F6)</f>
        <v>111041379874</v>
      </c>
      <c r="I6" s="100">
        <f t="shared" si="0"/>
        <v>5.0000000000000001E-3</v>
      </c>
      <c r="J6" s="82"/>
    </row>
    <row r="7" spans="1:10">
      <c r="A7" s="65" t="s">
        <v>114</v>
      </c>
      <c r="B7" s="81">
        <f>SUMIFS(Table11[CLOSING BALANCE (VND)2],Table11[NAME],B$3,Table11[Bank_1],$A7,Table11[ACCOUNT TYPE],"&lt;&gt;Saving Account")</f>
        <v>38060079</v>
      </c>
      <c r="C7" s="100">
        <v>5.0000000000000001E-3</v>
      </c>
      <c r="D7" s="81">
        <f>SUMIFS(Table11[CLOSING BALANCE (VND)2],Table11[NAME],D$3,Table11[Bank_1],$A7,Table11[ACCOUNT TYPE],"&lt;&gt;Saving Account")</f>
        <v>5452129673</v>
      </c>
      <c r="E7" s="100">
        <v>5.0000000000000001E-3</v>
      </c>
      <c r="F7" s="81">
        <f>SUMIFS(Table11[CLOSING BALANCE (VND)2],Table11[NAME],F$3,Table11[Bank_1],$A7,Table11[ACCOUNT TYPE],"&lt;&gt;Saving Account")</f>
        <v>99745278620</v>
      </c>
      <c r="G7" s="100">
        <v>5.0000000000000001E-3</v>
      </c>
      <c r="H7" s="81">
        <f t="shared" si="1"/>
        <v>105235468372</v>
      </c>
      <c r="I7" s="100">
        <f t="shared" si="0"/>
        <v>5.0000000000000001E-3</v>
      </c>
      <c r="J7" s="82"/>
    </row>
    <row r="8" spans="1:10">
      <c r="A8" s="65" t="s">
        <v>118</v>
      </c>
      <c r="B8" s="81">
        <f>SUMIFS(Table11[CLOSING BALANCE (VND)2],Table11[NAME],B$3,Table11[Bank_1],$A8,Table11[ACCOUNT TYPE],"&lt;&gt;Saving Account")</f>
        <v>13672907</v>
      </c>
      <c r="C8" s="100">
        <v>5.0000000000000001E-3</v>
      </c>
      <c r="D8" s="81">
        <f>SUMIFS(Table11[CLOSING BALANCE (VND)2],Table11[NAME],D$3,Table11[Bank_1],$A8,Table11[ACCOUNT TYPE],"&lt;&gt;Saving Account")</f>
        <v>187619615</v>
      </c>
      <c r="E8" s="100">
        <v>5.0000000000000001E-3</v>
      </c>
      <c r="F8" s="81">
        <f>SUMIFS(Table11[CLOSING BALANCE (VND)2],Table11[NAME],F$3,Table11[Bank_1],$A8,Table11[ACCOUNT TYPE],"&lt;&gt;Saving Account")</f>
        <v>1594498896</v>
      </c>
      <c r="G8" s="100">
        <v>5.0000000000000001E-3</v>
      </c>
      <c r="H8" s="81">
        <f t="shared" si="1"/>
        <v>1795791418</v>
      </c>
      <c r="I8" s="100">
        <f t="shared" si="0"/>
        <v>5.0000000000000001E-3</v>
      </c>
      <c r="J8" s="82"/>
    </row>
    <row r="9" spans="1:10">
      <c r="A9" s="65" t="s">
        <v>116</v>
      </c>
      <c r="B9" s="81">
        <f>SUMIFS(Table11[CLOSING BALANCE (VND)2],Table11[NAME],B$3,Table11[Bank_1],$A9,Table11[ACCOUNT TYPE],"&lt;&gt;Saving Account")</f>
        <v>69627514</v>
      </c>
      <c r="C9" s="100">
        <v>1E-3</v>
      </c>
      <c r="D9" s="81">
        <f>SUMIFS(Table11[CLOSING BALANCE (VND)2],Table11[NAME],D$3,Table11[Bank_1],$A9,Table11[ACCOUNT TYPE],"&lt;&gt;Saving Account")</f>
        <v>56483173</v>
      </c>
      <c r="E9" s="100">
        <v>1E-3</v>
      </c>
      <c r="F9" s="81">
        <f>SUMIFS(Table11[CLOSING BALANCE (VND)2],Table11[NAME],F$3,Table11[Bank_1],$A9,Table11[ACCOUNT TYPE],"&lt;&gt;Saving Account")</f>
        <v>472518514</v>
      </c>
      <c r="G9" s="100">
        <v>1E-3</v>
      </c>
      <c r="H9" s="81">
        <f t="shared" si="1"/>
        <v>598629201</v>
      </c>
      <c r="I9" s="100">
        <f t="shared" si="0"/>
        <v>1E-3</v>
      </c>
      <c r="J9" s="680"/>
    </row>
    <row r="10" spans="1:10">
      <c r="A10" s="65" t="s">
        <v>119</v>
      </c>
      <c r="B10" s="81">
        <f>SUMIFS(Table11[CLOSING BALANCE (VND)2],Table11[NAME],B$3,Table11[Bank_1],$A10,Table11[ACCOUNT TYPE],"&lt;&gt;Saving Account")</f>
        <v>0</v>
      </c>
      <c r="C10" s="100"/>
      <c r="D10" s="81">
        <f>SUMIFS(Table11[CLOSING BALANCE (VND)2],Table11[NAME],D$3,Table11[Bank_1],$A10,Table11[ACCOUNT TYPE],"&lt;&gt;Saving Account")</f>
        <v>7958304</v>
      </c>
      <c r="E10" s="100">
        <v>1E-3</v>
      </c>
      <c r="F10" s="81">
        <f>SUMIFS(Table11[CLOSING BALANCE (VND)2],Table11[NAME],F$3,Table11[Bank_1],$A10,Table11[ACCOUNT TYPE],"&lt;&gt;Saving Account")</f>
        <v>0</v>
      </c>
      <c r="G10" s="100">
        <v>1E-3</v>
      </c>
      <c r="H10" s="81">
        <f t="shared" si="1"/>
        <v>7958304</v>
      </c>
      <c r="I10" s="100">
        <f>IFERROR((B10*C10+D10*E10+F10*G10)/H10,0)</f>
        <v>1E-3</v>
      </c>
      <c r="J10" s="82"/>
    </row>
    <row r="11" spans="1:10" hidden="1">
      <c r="A11" s="65" t="s">
        <v>197</v>
      </c>
      <c r="B11" s="81">
        <f>SUMIFS(Table11[CLOSING BALANCE (VND)2],Table11[NAME],B$3,Table11[Bank_1],$A11,Table11[ACCOUNT TYPE],"&lt;&gt;Saving Account")</f>
        <v>0</v>
      </c>
      <c r="C11" s="100"/>
      <c r="D11" s="81">
        <f>SUMIFS(Table11[CLOSING BALANCE (VND)2],Table11[NAME],D$3,Table11[Bank_1],$A11,Table11[ACCOUNT TYPE],"&lt;&gt;Saving Account")</f>
        <v>0</v>
      </c>
      <c r="E11" s="100"/>
      <c r="F11" s="81">
        <f>SUMIFS(Table11[CLOSING BALANCE (VND)2],Table11[NAME],F$3,Table11[Bank_1],$A11,Table11[ACCOUNT TYPE],"&lt;&gt;Saving Account")</f>
        <v>0</v>
      </c>
      <c r="G11" s="100"/>
      <c r="H11" s="81">
        <f t="shared" si="1"/>
        <v>0</v>
      </c>
      <c r="I11" s="100">
        <f t="shared" si="0"/>
        <v>0</v>
      </c>
      <c r="J11" s="83"/>
    </row>
    <row r="12" spans="1:10">
      <c r="A12" s="65" t="s">
        <v>198</v>
      </c>
      <c r="B12" s="81">
        <f>SUMIFS(Table11[CLOSING BALANCE (VND)2],Table11[NAME],B$3,Table11[Bank_1],$A12,Table11[ACCOUNT TYPE],"&lt;&gt;Saving Account")</f>
        <v>613468682</v>
      </c>
      <c r="C12" s="100"/>
      <c r="D12" s="81">
        <f>SUMIFS(Table11[CLOSING BALANCE (VND)2],Table11[NAME],D$3,Table11[Bank_1],$A12,Table11[ACCOUNT TYPE],"&lt;&gt;Saving Account")</f>
        <v>74818921</v>
      </c>
      <c r="E12" s="100"/>
      <c r="F12" s="81">
        <f>SUMIFS(Table11[CLOSING BALANCE (VND)2],Table11[NAME],F$3,Table11[Bank_1],$A12,Table11[ACCOUNT TYPE],"&lt;&gt;Saving Account")</f>
        <v>8987894766</v>
      </c>
      <c r="G12" s="100">
        <v>3.0000000000000001E-3</v>
      </c>
      <c r="H12" s="81">
        <f t="shared" si="1"/>
        <v>9676182369</v>
      </c>
      <c r="I12" s="100">
        <f t="shared" si="0"/>
        <v>2.7866035663387983E-3</v>
      </c>
      <c r="J12" s="83"/>
    </row>
    <row r="13" spans="1:10">
      <c r="A13" s="65" t="s">
        <v>200</v>
      </c>
      <c r="B13" s="81">
        <f>SUMIFS(Table11[CLOSING BALANCE (VND)2],Table11[NAME],B$3,Table11[Bank_1],$A13,Table11[ACCOUNT TYPE],"&lt;&gt;Saving Account")</f>
        <v>69320954</v>
      </c>
      <c r="C13" s="100">
        <v>5.0000000000000001E-3</v>
      </c>
      <c r="D13" s="81">
        <f>SUMIFS(Table11[CLOSING BALANCE (VND)2],Table11[NAME],D$3,Table11[Bank_1],$A13,Table11[ACCOUNT TYPE],"&lt;&gt;Saving Account")</f>
        <v>253471960</v>
      </c>
      <c r="E13" s="100">
        <v>5.0000000000000001E-3</v>
      </c>
      <c r="F13" s="81">
        <f>SUMIFS(Table11[CLOSING BALANCE (VND)2],Table11[NAME],F$3,Table11[Bank_1],$A13,Table11[ACCOUNT TYPE],"&lt;&gt;Saving Account")</f>
        <v>110047453</v>
      </c>
      <c r="G13" s="100">
        <v>5.0000000000000001E-3</v>
      </c>
      <c r="H13" s="81">
        <f t="shared" ref="H13" si="2">SUM(B13,D13,F13)</f>
        <v>432840367</v>
      </c>
      <c r="I13" s="100">
        <f t="shared" ref="I13" si="3">IFERROR((B13*C13+D13*E13+F13*G13)/H13,0)</f>
        <v>5.0000000000000001E-3</v>
      </c>
      <c r="J13" s="83"/>
    </row>
    <row r="14" spans="1:10">
      <c r="A14" s="65" t="s">
        <v>199</v>
      </c>
      <c r="B14" s="81">
        <f>SUMIFS(Table11[CLOSING BALANCE (VND)2],Table11[NAME],B$3,Table11[Bank_1],$A14,Table11[ACCOUNT TYPE],"&lt;&gt;Saving Account")</f>
        <v>1367012</v>
      </c>
      <c r="C14" s="100">
        <v>5.0000000000000001E-3</v>
      </c>
      <c r="D14" s="81">
        <f>SUMIFS(Table11[CLOSING BALANCE (VND)2],Table11[NAME],D$3,Table11[Bank_1],$A14,Table11[ACCOUNT TYPE],"&lt;&gt;Saving Account")</f>
        <v>1560960116</v>
      </c>
      <c r="E14" s="100"/>
      <c r="F14" s="81">
        <f>SUMIFS(Table11[CLOSING BALANCE (VND)2],Table11[NAME],F$3,Table11[Bank_1],$A14,Table11[ACCOUNT TYPE],"&lt;&gt;Saving Account")</f>
        <v>13875586656</v>
      </c>
      <c r="G14" s="100">
        <v>5.0000000000000001E-3</v>
      </c>
      <c r="H14" s="81">
        <f t="shared" ref="H14:H15" si="4">SUM(B14,D14,F14)</f>
        <v>15437913784</v>
      </c>
      <c r="I14" s="100">
        <f t="shared" ref="I14" si="5">IFERROR((B14*C14+D14*E14+F14*G14)/H14,0)</f>
        <v>4.4944394243159351E-3</v>
      </c>
      <c r="J14" s="83"/>
    </row>
    <row r="15" spans="1:10">
      <c r="A15" s="65" t="s">
        <v>258</v>
      </c>
      <c r="B15" s="81">
        <f>SUMIFS(Table11[CLOSING BALANCE (VND)2],Table11[NAME],B$3,Table11[Bank_1],$A15,Table11[ACCOUNT TYPE],"&lt;&gt;Saving Account")</f>
        <v>0</v>
      </c>
      <c r="C15" s="100">
        <v>0</v>
      </c>
      <c r="D15" s="81">
        <f>SUMIFS(Table11[CLOSING BALANCE (VND)2],Table11[NAME],D$3,Table11[Bank_1],$A15,Table11[ACCOUNT TYPE],"&lt;&gt;Saving Account")</f>
        <v>0</v>
      </c>
      <c r="E15" s="100">
        <v>0</v>
      </c>
      <c r="F15" s="81">
        <f>SUMIFS(Table11[CLOSING BALANCE (VND)2],Table11[NAME],F$3,Table11[Bank_1],$A15,Table11[ACCOUNT TYPE],"&lt;&gt;Saving Account")</f>
        <v>1465849798</v>
      </c>
      <c r="G15" s="100">
        <v>0</v>
      </c>
      <c r="H15" s="81">
        <f t="shared" si="4"/>
        <v>1465849798</v>
      </c>
      <c r="I15" s="100">
        <v>0</v>
      </c>
      <c r="J15" s="83"/>
    </row>
    <row r="16" spans="1:10">
      <c r="A16" s="65" t="s">
        <v>202</v>
      </c>
      <c r="B16" s="81">
        <f>SUMIFS(Table11[CLOSING BALANCE (VND)2],Table11[NAME],B$3,Table11[Bank_1],$A16,Table11[ACCOUNT TYPE],"&lt;&gt;Saving Account")</f>
        <v>71325444</v>
      </c>
      <c r="C16" s="100">
        <v>0</v>
      </c>
      <c r="D16" s="81">
        <f>SUMIFS(Table11[CLOSING BALANCE (VND)2],Table11[NAME],D$3,Table11[Bank_1],$A16,Table11[ACCOUNT TYPE],"&lt;&gt;Saving Account")</f>
        <v>13300634401</v>
      </c>
      <c r="E16" s="100">
        <v>0</v>
      </c>
      <c r="F16" s="81">
        <f>SUMIFS(Table11[CLOSING BALANCE (VND)2],Table11[NAME],F$3,Table11[Bank_1],$A16,Table11[ACCOUNT TYPE],"&lt;&gt;Saving Account")</f>
        <v>24708146</v>
      </c>
      <c r="G16" s="100">
        <v>0</v>
      </c>
      <c r="H16" s="81">
        <f t="shared" ref="H16" si="6">SUM(B16,D16,F16)</f>
        <v>13396667991</v>
      </c>
      <c r="I16" s="100">
        <v>0</v>
      </c>
      <c r="J16" s="83"/>
    </row>
    <row r="17" spans="1:10">
      <c r="A17" s="65" t="s">
        <v>259</v>
      </c>
      <c r="B17" s="81">
        <f>SUMIFS(Table11[CLOSING BALANCE (VND)2],Table11[NAME],B$3,Table11[Bank_1],$A17,Table11[ACCOUNT TYPE],"&lt;&gt;Saving Account")</f>
        <v>180188785</v>
      </c>
      <c r="C17" s="100">
        <v>2E-3</v>
      </c>
      <c r="D17" s="81">
        <f>SUMIFS(Table11[CLOSING BALANCE (VND)2],Table11[NAME],D$3,Table11[Bank_1],$A17,Table11[ACCOUNT TYPE],"&lt;&gt;Saving Account")</f>
        <v>647347459</v>
      </c>
      <c r="E17" s="100">
        <v>0</v>
      </c>
      <c r="F17" s="81">
        <f>SUMIFS(Table11[CLOSING BALANCE (VND)2],Table11[NAME],F$3,Table11[Bank_1],$A17,Table11[ACCOUNT TYPE],"&lt;&gt;Saving Account")</f>
        <v>52519212197</v>
      </c>
      <c r="G17" s="100">
        <v>2E-3</v>
      </c>
      <c r="H17" s="81">
        <f t="shared" si="1"/>
        <v>53346748441</v>
      </c>
      <c r="I17" s="100">
        <f t="shared" si="0"/>
        <v>1.9757305748553371E-3</v>
      </c>
      <c r="J17" s="82"/>
    </row>
    <row r="18" spans="1:10" ht="15" thickBot="1">
      <c r="A18" s="744" t="s">
        <v>36</v>
      </c>
      <c r="B18" s="629">
        <f>SUM(B5:B17)</f>
        <v>2661564578</v>
      </c>
      <c r="C18" s="745"/>
      <c r="D18" s="629">
        <f>SUM(D5:D17)</f>
        <v>355152665621</v>
      </c>
      <c r="E18" s="746"/>
      <c r="F18" s="629">
        <f>SUM(F5:F17)</f>
        <v>536870155427</v>
      </c>
      <c r="G18" s="629"/>
      <c r="H18" s="629">
        <f>SUM(H5:H17)</f>
        <v>894684385626</v>
      </c>
      <c r="I18" s="746"/>
      <c r="J18" s="746"/>
    </row>
    <row r="19" spans="1:10" ht="15" thickTop="1"/>
  </sheetData>
  <conditionalFormatting sqref="H2">
    <cfRule type="expression" dxfId="34" priority="1">
      <formula>H2=FALSE</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F66E4-5BC5-4131-8853-185E8D0C906C}">
  <sheetPr codeName="Sheet5">
    <tabColor theme="8" tint="0.39997558519241921"/>
  </sheetPr>
  <dimension ref="A2:AJ214"/>
  <sheetViews>
    <sheetView showGridLines="0" topLeftCell="XEE1" zoomScale="80" zoomScaleNormal="80" workbookViewId="0"/>
  </sheetViews>
  <sheetFormatPr defaultColWidth="8.5546875" defaultRowHeight="14.4"/>
  <cols>
    <col min="1" max="1" width="31.77734375" customWidth="1"/>
    <col min="2" max="9" width="19.44140625" customWidth="1"/>
    <col min="10" max="10" width="18.5546875" bestFit="1" customWidth="1"/>
    <col min="11" max="11" width="19" customWidth="1"/>
    <col min="12" max="27" width="24.44140625" customWidth="1"/>
    <col min="28" max="28" width="3.44140625" style="133" customWidth="1"/>
    <col min="29" max="29" width="23.44140625" customWidth="1"/>
    <col min="30" max="31" width="21" customWidth="1"/>
    <col min="32" max="32" width="17.5546875" customWidth="1"/>
    <col min="33" max="33" width="19.5546875" style="1" customWidth="1"/>
    <col min="34" max="35" width="18.5546875" customWidth="1"/>
    <col min="36" max="36" width="19.44140625" style="43" customWidth="1"/>
    <col min="37" max="37" width="19.44140625" customWidth="1"/>
    <col min="38" max="39" width="21.5546875" customWidth="1"/>
    <col min="40" max="43" width="19.44140625" customWidth="1"/>
    <col min="44" max="47" width="21.5546875" customWidth="1"/>
    <col min="48" max="49" width="19.44140625" customWidth="1"/>
    <col min="50" max="50" width="22.44140625" customWidth="1"/>
    <col min="51" max="51" width="21" customWidth="1"/>
    <col min="52" max="52" width="22.44140625" customWidth="1"/>
    <col min="53" max="54" width="18.5546875" customWidth="1"/>
    <col min="55" max="55" width="22.44140625" customWidth="1"/>
    <col min="56" max="56" width="29" customWidth="1"/>
    <col min="57" max="57" width="16.5546875" customWidth="1"/>
    <col min="58" max="61" width="17.5546875" customWidth="1"/>
    <col min="62" max="63" width="8.5546875" customWidth="1"/>
    <col min="64" max="64" width="29" customWidth="1"/>
    <col min="65" max="65" width="17.5546875" customWidth="1"/>
    <col min="66" max="66" width="15" customWidth="1"/>
    <col min="67" max="67" width="16" customWidth="1"/>
    <col min="68" max="68" width="15" customWidth="1"/>
    <col min="69" max="70" width="17.5546875" customWidth="1"/>
    <col min="71" max="73" width="8.5546875" customWidth="1"/>
    <col min="74" max="74" width="28.44140625" customWidth="1"/>
    <col min="75" max="75" width="17.44140625" customWidth="1"/>
    <col min="76" max="76" width="15.5546875" customWidth="1"/>
    <col min="77" max="78" width="14.5546875" customWidth="1"/>
    <col min="79" max="79" width="17.44140625" customWidth="1"/>
    <col min="80" max="82" width="8.5546875" customWidth="1"/>
    <col min="83" max="83" width="38.5546875" customWidth="1"/>
    <col min="84" max="84" width="21" customWidth="1"/>
    <col min="85" max="85" width="20.44140625" customWidth="1"/>
    <col min="86" max="86" width="19.44140625" customWidth="1"/>
    <col min="87" max="87" width="16.44140625" customWidth="1"/>
    <col min="88" max="88" width="20.5546875" customWidth="1"/>
    <col min="89" max="89" width="15.5546875" customWidth="1"/>
    <col min="90" max="91" width="17.44140625" customWidth="1"/>
    <col min="92" max="92" width="11.44140625" customWidth="1"/>
    <col min="93" max="93" width="14.5546875" customWidth="1"/>
    <col min="94" max="95" width="17.44140625" customWidth="1"/>
    <col min="96" max="96" width="15.5546875" customWidth="1"/>
    <col min="97" max="97" width="14.44140625" customWidth="1"/>
    <col min="98" max="98" width="11.44140625" customWidth="1"/>
    <col min="99" max="101" width="17.44140625" customWidth="1"/>
  </cols>
  <sheetData>
    <row r="2" spans="1:28" ht="34.35" customHeight="1">
      <c r="A2" s="1438" t="str">
        <f>"At "&amp;TEXT(Summary!$B$6,"dd-mmm-yy")&amp;", total VND deposit of BWID Group was VND"&amp;TEXT($H$19/1000000000,"#,###.0")&amp;"bn (or US"&amp;TEXT($H$21/1000000,"$#,###.0")&amp;"mn equivalent), accounted for "&amp;TEXT($H$19/$H$20,"#.00%")&amp;" of total cash, in which VND"&amp;TEXT(VND_rate!D19/1000000000,"#,###.0")&amp;"bn at VC3 (accounted for "&amp;TEXT($D$19/$D$20,"#.00%")&amp;" VC3's cash), VND"&amp;TEXT(VND_rate!$F$19/1000000000,"#,###.0")&amp;"bn at Subsidiaries (accounted for "&amp;TEXT($F$19/$F$20,"0.00%")&amp;" Sub's cash) and  VND"&amp;TEXT($B$19/1000000000,"#,###.0")&amp;"bn at BWID JSC (accounted for "&amp;TEXT($B$19/$B$20,"0.00%")&amp;"BWID JSC's cash). The Group is earning an average of "&amp;TEXT($I$19,"0.00%")&amp;" p.a of its VND deposit."</f>
        <v>At 15-Jan-26, total VND deposit of BWID Group was VND2696,4138bn (or US$103,0149mn equivalent), accounted for 74% of total cash, in which VND920,0bn at VC3 (accounted for 72% VC3's cash), VND1740,2138bn at Subsidiaries (accounted for 075% Sub's cash) and  VND36,20bn at BWID JSC (accounted for 093%BWID JSC's cash). The Group is earning an average of 000% p.a of its VND deposit.</v>
      </c>
      <c r="B2" s="1438"/>
      <c r="C2" s="1438"/>
      <c r="D2" s="1438"/>
      <c r="E2" s="1438"/>
      <c r="F2" s="1438"/>
      <c r="G2" s="1438"/>
      <c r="H2" s="1438"/>
      <c r="I2" s="1438"/>
      <c r="AB2"/>
    </row>
    <row r="3" spans="1:28">
      <c r="B3" s="25"/>
      <c r="AB3"/>
    </row>
    <row r="4" spans="1:28" ht="15" thickBot="1">
      <c r="B4" s="102" t="b">
        <f>VND_rate!B19=GETPIVOTDATA("CLOSING BALANCE 
(VND)",$A$46)</f>
        <v>0</v>
      </c>
      <c r="C4" s="43"/>
      <c r="D4" s="102" t="b">
        <f>VND_rate!D19=GETPIVOTDATA("CLOSING BALANCE 
(VND)",$A$101)</f>
        <v>0</v>
      </c>
      <c r="E4" s="43"/>
      <c r="F4" s="102" t="b">
        <f>VND_rate!F19=GETPIVOTDATA("CLOSING BALANCE 
(VND)",$A$130)</f>
        <v>0</v>
      </c>
      <c r="H4" s="43" t="b">
        <f>H19=GETPIVOTDATA("CLOSING BALANCE 
(VND)",$A$173)</f>
        <v>0</v>
      </c>
      <c r="AB4"/>
    </row>
    <row r="5" spans="1:28" ht="29.85" customHeight="1">
      <c r="A5" s="343"/>
      <c r="B5" s="768" t="s">
        <v>8</v>
      </c>
      <c r="C5" s="760" t="s">
        <v>283</v>
      </c>
      <c r="D5" s="768" t="s">
        <v>67</v>
      </c>
      <c r="E5" s="760" t="s">
        <v>283</v>
      </c>
      <c r="F5" s="768" t="s">
        <v>10</v>
      </c>
      <c r="G5" s="760" t="s">
        <v>283</v>
      </c>
      <c r="H5" s="768" t="s">
        <v>36</v>
      </c>
      <c r="I5" s="764" t="s">
        <v>217</v>
      </c>
      <c r="AB5"/>
    </row>
    <row r="6" spans="1:28">
      <c r="A6" s="73" t="s">
        <v>169</v>
      </c>
      <c r="B6" s="98">
        <f>SUMIFS(Table11[CLOSING BALANCE (VND)2],Table11[ACCOUNT TYPE],"&lt;&gt;Saving account",Table11[NAME],VND_rate!B$5)</f>
        <v>2661564578</v>
      </c>
      <c r="C6" s="761">
        <f>Current_Yield!C4</f>
        <v>3.4058072172765447E-3</v>
      </c>
      <c r="D6" s="98">
        <f>SUMIFS(Table11[CLOSING BALANCE (VND)2],Table11[ACCOUNT TYPE],"&lt;&gt;Saving account",Table11[NAME],VND_rate!D$5)</f>
        <v>355152665621</v>
      </c>
      <c r="E6" s="761">
        <f>Current_Yield!E4</f>
        <v>4.7798789704807517E-3</v>
      </c>
      <c r="F6" s="98">
        <f>SUMIFS(Table11[CLOSING BALANCE (VND)2],Table11[ACCOUNT TYPE],"&lt;&gt;Saving account",Table11[NAME],VND_rate!F$5)</f>
        <v>588229372137</v>
      </c>
      <c r="G6" s="761">
        <f>Current_Yield!G4</f>
        <v>4.6556405901312234E-3</v>
      </c>
      <c r="H6" s="99">
        <f>SUMIFS(Table11[CLOSING BALANCE (VND)2],Table11[ACCOUNT TYPE],"&lt;&gt;Saving account")</f>
        <v>946043602336</v>
      </c>
      <c r="I6" s="765">
        <f>Current_Yield!I4</f>
        <v>4.701239999683267E-3</v>
      </c>
      <c r="J6" s="6"/>
      <c r="K6" s="905"/>
      <c r="L6" s="905"/>
      <c r="AB6"/>
    </row>
    <row r="7" spans="1:28">
      <c r="A7" s="1121" t="s">
        <v>286</v>
      </c>
      <c r="B7" s="1122">
        <f>SUMIFS(Table1218[[#All],[CLOSING BALANCE 
(VND)]],Table1218[[#All],[Term (months)]],VND_rate!$A7,Table1218[[#All],[NAME]],VND_rate!B$5)</f>
        <v>0</v>
      </c>
      <c r="C7" s="1123" cm="1">
        <f t="array" ref="C7">IFERROR(SUMPRODUCT(('Saving Account'!$F$4:$F$259)*('Saving Account'!$L$4:$L$259)*('Saving Account'!$M$4:$M$259=VND_rate!B$5)*('Saving Account'!$H$4:$H$259=VND_rate!$A7))/SUMPRODUCT(('Saving Account'!$F$4:$F$259)*('Saving Account'!$M$4:$M$259=VND_rate!B$5)*('Saving Account'!$H$4:$H$259=VND_rate!$A7)),0)</f>
        <v>0</v>
      </c>
      <c r="D7" s="1122">
        <f>SUMIFS(Table1218[[#All],[CLOSING BALANCE 
(VND)]],Table1218[[#All],[Term (months)]],VND_rate!$A7,Table1218[[#All],[NAME]],VND_rate!D$5)</f>
        <v>0</v>
      </c>
      <c r="E7" s="1123" cm="1">
        <f t="array" ref="E7">IFERROR(SUMPRODUCT(('Saving Account'!$F$4:$F$259)*('Saving Account'!$L$4:$L$259)*('Saving Account'!$M$4:$M$259=VND_rate!D$5)*('Saving Account'!$H$4:$H$259=VND_rate!$A7))/SUMPRODUCT(('Saving Account'!$F$4:$F$259)*('Saving Account'!$M$4:$M$259=VND_rate!D$5)*('Saving Account'!$H$4:$H$259=VND_rate!$A7)),0)</f>
        <v>0</v>
      </c>
      <c r="F7" s="1124">
        <f>SUMIFS(Table1218[[#All],[CLOSING BALANCE 
(VND)]],Table1218[[#All],[Term (months)]],VND_rate!$A7,Table1218[[#All],[NAME]],VND_rate!F$5)</f>
        <v>0</v>
      </c>
      <c r="G7" s="1123" cm="1">
        <f t="array" ref="G7">IFERROR(SUMPRODUCT(('Saving Account'!$F$4:$F$259)*('Saving Account'!$L$4:$L$259)*('Saving Account'!$M$4:$M$259=VND_rate!F$5)*('Saving Account'!$H$4:$H$259=VND_rate!$A7))/SUMPRODUCT(('Saving Account'!$F$4:$F$259)*('Saving Account'!$M$4:$M$259=VND_rate!F$5)*('Saving Account'!$H$4:$H$259=VND_rate!$A7)),0)</f>
        <v>0</v>
      </c>
      <c r="H7" s="1125">
        <f t="shared" ref="H7" si="0">B7+D7+F7</f>
        <v>0</v>
      </c>
      <c r="I7" s="1123">
        <f>IFERROR((B7*C7+D7*E7+F7*G7)/H7,0)</f>
        <v>0</v>
      </c>
      <c r="K7" s="904"/>
      <c r="L7" s="904"/>
      <c r="AB7"/>
    </row>
    <row r="8" spans="1:28">
      <c r="A8" s="1121" t="s">
        <v>219</v>
      </c>
      <c r="B8" s="1124">
        <f>SUMIFS(Table1218[[#All],[CLOSING BALANCE 
(VND)]],Table1218[[#All],[Term (months)]],VND_rate!$A8,Table1218[[#All],[NAME]],VND_rate!B$5)</f>
        <v>36100000000</v>
      </c>
      <c r="C8" s="1123" cm="1">
        <f t="array" ref="C8">IFERROR(SUMPRODUCT(('Saving Account'!$F$4:$F$259)*('Saving Account'!$L$4:$L$259)*('Saving Account'!$M$4:$M$259=VND_rate!B$5)*('Saving Account'!$H$4:$H$259=VND_rate!$A8))/SUMPRODUCT(('Saving Account'!$F$4:$F$259)*('Saving Account'!$M$4:$M$259=VND_rate!B$5)*('Saving Account'!$H$4:$H$259=VND_rate!$A8)),0)</f>
        <v>0</v>
      </c>
      <c r="D8" s="1124">
        <f>SUMIFS(Table1218[[#All],[CLOSING BALANCE 
(VND)]],Table1218[[#All],[Term (months)]],VND_rate!$A8,Table1218[[#All],[NAME]],VND_rate!D$5)</f>
        <v>750000000000</v>
      </c>
      <c r="E8" s="1123" cm="1">
        <f t="array" ref="E8">IFERROR(SUMPRODUCT(('Saving Account'!$F$4:$F$259)*('Saving Account'!$L$4:$L$259)*('Saving Account'!$M$4:$M$259=VND_rate!D$5)*('Saving Account'!$H$4:$H$259=VND_rate!$A8))/SUMPRODUCT(('Saving Account'!$F$4:$F$259)*('Saving Account'!$M$4:$M$259=VND_rate!D$5)*('Saving Account'!$H$4:$H$259=VND_rate!$A8)),0)</f>
        <v>0</v>
      </c>
      <c r="F8" s="1124">
        <f>SUMIFS(Table1218[[#All],[CLOSING BALANCE 
(VND)]],Table1218[[#All],[Term (months)]],VND_rate!$A8,Table1218[[#All],[NAME]],VND_rate!F$5)</f>
        <v>1134796213022</v>
      </c>
      <c r="G8" s="1123" cm="1">
        <f t="array" ref="G8">IFERROR(SUMPRODUCT(('Saving Account'!$F$4:$F$259)*('Saving Account'!$L$4:$L$259)*('Saving Account'!$M$4:$M$259=VND_rate!F$5)*('Saving Account'!$H$4:$H$259=VND_rate!$A8))/SUMPRODUCT(('Saving Account'!$F$4:$F$259)*('Saving Account'!$M$4:$M$259=VND_rate!F$5)*('Saving Account'!$H$4:$H$259=VND_rate!$A8)),0)</f>
        <v>0</v>
      </c>
      <c r="H8" s="1124">
        <f>B8+D8+F8</f>
        <v>1920896213022</v>
      </c>
      <c r="I8" s="1126">
        <f>IFERROR((B8*C8+D8*E8+F8*G8)/H8,0)</f>
        <v>0</v>
      </c>
      <c r="K8" s="904"/>
      <c r="L8" s="904"/>
      <c r="AB8"/>
    </row>
    <row r="9" spans="1:28">
      <c r="A9" s="1121" t="s">
        <v>220</v>
      </c>
      <c r="B9" s="1124">
        <f>SUMIFS(Table1218[[#All],[CLOSING BALANCE 
(VND)]],Table1218[[#All],[Term (months)]],VND_rate!$A9,Table1218[[#All],[NAME]],VND_rate!B$5)</f>
        <v>0</v>
      </c>
      <c r="C9" s="1123" cm="1">
        <f t="array" ref="C9">IFERROR(SUMPRODUCT(('Saving Account'!$F$4:$F$259)*('Saving Account'!$L$4:$L$259)*('Saving Account'!$M$4:$M$259=VND_rate!B$5)*('Saving Account'!$H$4:$H$259=VND_rate!$A9))/SUMPRODUCT(('Saving Account'!$F$4:$F$259)*('Saving Account'!$M$4:$M$259=VND_rate!B$5)*('Saving Account'!$H$4:$H$259=VND_rate!$A9)),0)</f>
        <v>0</v>
      </c>
      <c r="D9" s="1124">
        <f>SUMIFS(Table1218[[#All],[CLOSING BALANCE 
(VND)]],Table1218[[#All],[Term (months)]],VND_rate!$A9,Table1218[[#All],[NAME]],VND_rate!D$5)</f>
        <v>0</v>
      </c>
      <c r="E9" s="1123" cm="1">
        <f t="array" ref="E9">IFERROR(SUMPRODUCT(('Saving Account'!$F$4:$F$259)*('Saving Account'!$L$4:$L$259)*('Saving Account'!$M$4:$M$259=VND_rate!D$5)*('Saving Account'!$H$4:$H$259=VND_rate!$A9))/SUMPRODUCT(('Saving Account'!$F$4:$F$259)*('Saving Account'!$M$4:$M$259=VND_rate!D$5)*('Saving Account'!$H$4:$H$259=VND_rate!$A9)),0)</f>
        <v>0</v>
      </c>
      <c r="F9" s="1124">
        <f>SUMIFS(Table1218[[#All],[CLOSING BALANCE 
(VND)]],Table1218[[#All],[Term (months)]],VND_rate!$A9,Table1218[[#All],[NAME]],VND_rate!F$5)</f>
        <v>192715073357</v>
      </c>
      <c r="G9" s="1123" cm="1">
        <f t="array" ref="G9">IFERROR(SUMPRODUCT(('Saving Account'!$F$4:$F$259)*('Saving Account'!$L$4:$L$259)*('Saving Account'!$M$4:$M$259=VND_rate!F$5)*('Saving Account'!$H$4:$H$259=VND_rate!$A9))/SUMPRODUCT(('Saving Account'!$F$4:$F$259)*('Saving Account'!$M$4:$M$259=VND_rate!F$5)*('Saving Account'!$H$4:$H$259=VND_rate!$A9)),0)</f>
        <v>0</v>
      </c>
      <c r="H9" s="1124">
        <f t="shared" ref="H9" si="1">B9+D9+F9</f>
        <v>192715073357</v>
      </c>
      <c r="I9" s="1126">
        <f>IFERROR((B9*C9+D9*E9+F9*G9)/H9,0)</f>
        <v>0</v>
      </c>
      <c r="K9" s="906"/>
      <c r="L9" s="906"/>
      <c r="AB9"/>
    </row>
    <row r="10" spans="1:28">
      <c r="A10" s="1121" t="s">
        <v>221</v>
      </c>
      <c r="B10" s="1124">
        <f>SUMIFS(Table1218[[#All],[CLOSING BALANCE 
(VND)]],Table1218[[#All],[Term (months)]],VND_rate!$A10,Table1218[[#All],[NAME]],VND_rate!B$5)</f>
        <v>0</v>
      </c>
      <c r="C10" s="1123" cm="1">
        <f t="array" ref="C10">IFERROR(SUMPRODUCT(('Saving Account'!$F$4:$F$259)*('Saving Account'!$L$4:$L$259)*('Saving Account'!$M$4:$M$259=VND_rate!B$5)*('Saving Account'!$H$4:$H$259=VND_rate!$A10))/SUMPRODUCT(('Saving Account'!$F$4:$F$259)*('Saving Account'!$M$4:$M$259=VND_rate!B$5)*('Saving Account'!$H$4:$H$259=VND_rate!$A10)),0)</f>
        <v>0</v>
      </c>
      <c r="D10" s="1124">
        <f>SUMIFS(Table1218[[#All],[CLOSING BALANCE 
(VND)]],Table1218[[#All],[Term (months)]],VND_rate!$A10,Table1218[[#All],[NAME]],VND_rate!D$5)</f>
        <v>0</v>
      </c>
      <c r="E10" s="1123" cm="1">
        <f t="array" ref="E10">IFERROR(SUMPRODUCT(('Saving Account'!$F$4:$F$259)*('Saving Account'!$L$4:$L$259)*('Saving Account'!$M$4:$M$259=VND_rate!D$5)*('Saving Account'!$H$4:$H$259=VND_rate!$A10))/SUMPRODUCT(('Saving Account'!$F$4:$F$259)*('Saving Account'!$M$4:$M$259=VND_rate!D$5)*('Saving Account'!$H$4:$H$259=VND_rate!$A10)),0)</f>
        <v>0</v>
      </c>
      <c r="F10" s="1124">
        <f>SUMIFS(Table1218[[#All],[CLOSING BALANCE 
(VND)]],Table1218[[#All],[Term (months)]],VND_rate!$A10,Table1218[[#All],[NAME]],VND_rate!F$5)</f>
        <v>317524917760</v>
      </c>
      <c r="G10" s="1123" cm="1">
        <f t="array" ref="G10">IFERROR(SUMPRODUCT(('Saving Account'!$F$4:$F$259)*('Saving Account'!$L$4:$L$259)*('Saving Account'!$M$4:$M$259=VND_rate!F$5)*('Saving Account'!$H$4:$H$259=VND_rate!$A10))/SUMPRODUCT(('Saving Account'!$F$4:$F$259)*('Saving Account'!$M$4:$M$259=VND_rate!F$5)*('Saving Account'!$H$4:$H$259=VND_rate!$A10)),0)</f>
        <v>0</v>
      </c>
      <c r="H10" s="1124">
        <f t="shared" ref="H10:H18" si="2">B10+D10+F10</f>
        <v>317524917760</v>
      </c>
      <c r="I10" s="1126">
        <f>IFERROR((B10*C10+D10*E10+F10*G10)/H10,0)</f>
        <v>0</v>
      </c>
      <c r="AB10"/>
    </row>
    <row r="11" spans="1:28">
      <c r="A11" s="1121" t="s">
        <v>222</v>
      </c>
      <c r="B11" s="1124">
        <f>SUMIFS(Table1218[[#All],[CLOSING BALANCE 
(VND)]],Table1218[[#All],[Term (months)]],VND_rate!$A11,Table1218[[#All],[NAME]],VND_rate!B$5)</f>
        <v>0</v>
      </c>
      <c r="C11" s="1123" cm="1">
        <f t="array" ref="C11">IFERROR(SUMPRODUCT(('Saving Account'!$F$4:$F$259)*('Saving Account'!$L$4:$L$259)*('Saving Account'!$M$4:$M$259=VND_rate!B$5)*('Saving Account'!$H$4:$H$259=VND_rate!$A11))/SUMPRODUCT(('Saving Account'!$F$4:$F$259)*('Saving Account'!$M$4:$M$259=VND_rate!B$5)*('Saving Account'!$H$4:$H$259=VND_rate!$A11)),0)</f>
        <v>0</v>
      </c>
      <c r="D11" s="1124">
        <f>SUMIFS(Table1218[[#All],[CLOSING BALANCE 
(VND)]],Table1218[[#All],[Term (months)]],VND_rate!$A11,Table1218[[#All],[NAME]],VND_rate!D$5)</f>
        <v>0</v>
      </c>
      <c r="E11" s="1123" cm="1">
        <f t="array" ref="E11">IFERROR(SUMPRODUCT(('Saving Account'!$F$4:$F$259)*('Saving Account'!$L$4:$L$259)*('Saving Account'!$M$4:$M$259=VND_rate!D$5)*('Saving Account'!$H$4:$H$259=VND_rate!$A11))/SUMPRODUCT(('Saving Account'!$F$4:$F$259)*('Saving Account'!$M$4:$M$259=VND_rate!D$5)*('Saving Account'!$H$4:$H$259=VND_rate!$A11)),0)</f>
        <v>0</v>
      </c>
      <c r="F11" s="1124">
        <f>SUMIFS(Table1218[[#All],[CLOSING BALANCE 
(VND)]],Table1218[[#All],[Term (months)]],VND_rate!$A11,Table1218[[#All],[NAME]],VND_rate!F$5)</f>
        <v>5000000000</v>
      </c>
      <c r="G11" s="1123" cm="1">
        <f t="array" ref="G11">IFERROR(SUMPRODUCT(('Saving Account'!$F$4:$F$259)*('Saving Account'!$L$4:$L$259)*('Saving Account'!$M$4:$M$259=VND_rate!F$5)*('Saving Account'!$H$4:$H$259=VND_rate!$A11))/SUMPRODUCT(('Saving Account'!$F$4:$F$259)*('Saving Account'!$M$4:$M$259=VND_rate!F$5)*('Saving Account'!$H$4:$H$259=VND_rate!$A11)),0)</f>
        <v>0</v>
      </c>
      <c r="H11" s="1124">
        <f t="shared" ref="H11:H12" si="3">B11+D11+F11</f>
        <v>5000000000</v>
      </c>
      <c r="I11" s="1126">
        <f>IFERROR((B11*C11+D11*E11+F11*G11)/H11,0)</f>
        <v>0</v>
      </c>
      <c r="AB11"/>
    </row>
    <row r="12" spans="1:28">
      <c r="A12" s="1121" t="s">
        <v>223</v>
      </c>
      <c r="B12" s="1124">
        <f>SUMIFS(Table1218[[#All],[CLOSING BALANCE 
(VND)]],Table1218[[#All],[Term (months)]],VND_rate!$A12,Table1218[[#All],[NAME]],VND_rate!B$5)</f>
        <v>0</v>
      </c>
      <c r="C12" s="1123" cm="1">
        <f t="array" ref="C12">IFERROR(SUMPRODUCT(('Saving Account'!$F$4:$F$259)*('Saving Account'!$L$4:$L$259)*('Saving Account'!$M$4:$M$259=VND_rate!B$5)*('Saving Account'!$H$4:$H$259=VND_rate!$A12))/SUMPRODUCT(('Saving Account'!$F$4:$F$259)*('Saving Account'!$M$4:$M$259=VND_rate!B$5)*('Saving Account'!$H$4:$H$259=VND_rate!$A12)),0)</f>
        <v>0</v>
      </c>
      <c r="D12" s="1124">
        <f>SUMIFS(Table1218[[#All],[CLOSING BALANCE 
(VND)]],Table1218[[#All],[Term (months)]],VND_rate!$A12,Table1218[[#All],[NAME]],VND_rate!D$5)</f>
        <v>0</v>
      </c>
      <c r="E12" s="1123" cm="1">
        <f t="array" ref="E12">IFERROR(SUMPRODUCT(('Saving Account'!$F$4:$F$259)*('Saving Account'!$L$4:$L$259)*('Saving Account'!$M$4:$M$259=VND_rate!D$5)*('Saving Account'!$H$4:$H$259=VND_rate!$A12))/SUMPRODUCT(('Saving Account'!$F$4:$F$259)*('Saving Account'!$M$4:$M$259=VND_rate!D$5)*('Saving Account'!$H$4:$H$259=VND_rate!$A12)),0)</f>
        <v>0</v>
      </c>
      <c r="F12" s="1124">
        <f>SUMIFS(Table1218[[#All],[CLOSING BALANCE 
(VND)]],Table1218[[#All],[Term (months)]],VND_rate!$A12,Table1218[[#All],[NAME]],VND_rate!F$5)</f>
        <v>8000000000</v>
      </c>
      <c r="G12" s="1123" cm="1">
        <f t="array" ref="G12">IFERROR(SUMPRODUCT(('Saving Account'!$F$4:$F$259)*('Saving Account'!$L$4:$L$259)*('Saving Account'!$M$4:$M$259=VND_rate!F$5)*('Saving Account'!$H$4:$H$259=VND_rate!$A12))/SUMPRODUCT(('Saving Account'!$F$4:$F$259)*('Saving Account'!$M$4:$M$259=VND_rate!F$5)*('Saving Account'!$H$4:$H$259=VND_rate!$A12)),0)</f>
        <v>0</v>
      </c>
      <c r="H12" s="1124">
        <f t="shared" si="3"/>
        <v>8000000000</v>
      </c>
      <c r="I12" s="1126">
        <f t="shared" ref="I12" si="4">IFERROR((B12*C12+D12*E12+F12*G12)/H12,0)</f>
        <v>0</v>
      </c>
      <c r="AB12"/>
    </row>
    <row r="13" spans="1:28">
      <c r="A13" s="1121" t="s">
        <v>224</v>
      </c>
      <c r="B13" s="1124">
        <f>SUMIFS(Table1218[[#All],[CLOSING BALANCE 
(VND)]],Table1218[[#All],[Term (months)]],VND_rate!$A13,Table1218[[#All],[NAME]],VND_rate!B$5)</f>
        <v>0</v>
      </c>
      <c r="C13" s="1123" cm="1">
        <f t="array" ref="C13">IFERROR(SUMPRODUCT(('Saving Account'!$F$4:$F$259)*('Saving Account'!$L$4:$L$259)*('Saving Account'!$M$4:$M$259=VND_rate!B$5)*('Saving Account'!$H$4:$H$259=VND_rate!$A13))/SUMPRODUCT(('Saving Account'!$F$4:$F$259)*('Saving Account'!$M$4:$M$259=VND_rate!B$5)*('Saving Account'!$H$4:$H$259=VND_rate!$A13)),0)</f>
        <v>0</v>
      </c>
      <c r="D13" s="1124">
        <f>SUMIFS(Table1218[[#All],[CLOSING BALANCE 
(VND)]],Table1218[[#All],[Term (months)]],VND_rate!$A13,Table1218[[#All],[NAME]],VND_rate!D$5)</f>
        <v>170000000000</v>
      </c>
      <c r="E13" s="1123" cm="1">
        <f t="array" ref="E13">IFERROR(SUMPRODUCT(('Saving Account'!$F$4:$F$259)*('Saving Account'!$L$4:$L$259)*('Saving Account'!$M$4:$M$259=VND_rate!D$5)*('Saving Account'!$H$4:$H$259=VND_rate!$A13))/SUMPRODUCT(('Saving Account'!$F$4:$F$259)*('Saving Account'!$M$4:$M$259=VND_rate!D$5)*('Saving Account'!$H$4:$H$259=VND_rate!$A13)),0)</f>
        <v>0</v>
      </c>
      <c r="F13" s="1124">
        <f>SUMIFS(Table1218[[#All],[CLOSING BALANCE 
(VND)]],Table1218[[#All],[Term (months)]],VND_rate!$A13,Table1218[[#All],[NAME]],VND_rate!F$5)</f>
        <v>49250000000</v>
      </c>
      <c r="G13" s="1123" cm="1">
        <f t="array" ref="G13">IFERROR(SUMPRODUCT(('Saving Account'!$F$4:$F$259)*('Saving Account'!$L$4:$L$259)*('Saving Account'!$M$4:$M$259=VND_rate!F$5)*('Saving Account'!$H$4:$H$259=VND_rate!$A13))/SUMPRODUCT(('Saving Account'!$F$4:$F$259)*('Saving Account'!$M$4:$M$259=VND_rate!F$5)*('Saving Account'!$H$4:$H$259=VND_rate!$A13)),0)</f>
        <v>0</v>
      </c>
      <c r="H13" s="1124">
        <f t="shared" si="2"/>
        <v>219250000000</v>
      </c>
      <c r="I13" s="1126">
        <f>IFERROR((B13*C13+D13*E13+F13*G13)/H13,0)</f>
        <v>0</v>
      </c>
      <c r="AB13"/>
    </row>
    <row r="14" spans="1:28">
      <c r="A14" s="1121" t="s">
        <v>225</v>
      </c>
      <c r="B14" s="1124">
        <f>SUMIFS(Table1218[[#All],[CLOSING BALANCE 
(VND)]],Table1218[[#All],[Term (months)]],VND_rate!$A14,Table1218[[#All],[NAME]],VND_rate!B$5)</f>
        <v>0</v>
      </c>
      <c r="C14" s="1123" cm="1">
        <f t="array" ref="C14">IFERROR(SUMPRODUCT(('Saving Account'!$F$4:$F$259)*('Saving Account'!$L$4:$L$259)*('Saving Account'!$M$4:$M$259=VND_rate!B$5)*('Saving Account'!$H$4:$H$259=VND_rate!$A14))/SUMPRODUCT(('Saving Account'!$F$4:$F$259)*('Saving Account'!$M$4:$M$259=VND_rate!B$5)*('Saving Account'!$H$4:$H$259=VND_rate!$A14)),0)</f>
        <v>0</v>
      </c>
      <c r="D14" s="1124">
        <f>SUMIFS(Table1218[[#All],[CLOSING BALANCE 
(VND)]],Table1218[[#All],[Term (months)]],VND_rate!$A14,Table1218[[#All],[NAME]],VND_rate!D$5)</f>
        <v>0</v>
      </c>
      <c r="E14" s="1123" cm="1">
        <f t="array" ref="E14">IFERROR(SUMPRODUCT(('Saving Account'!$F$4:$F$259)*('Saving Account'!$L$4:$L$259)*('Saving Account'!$M$4:$M$259=VND_rate!D$5)*('Saving Account'!$H$4:$H$259=VND_rate!$A14))/SUMPRODUCT(('Saving Account'!$F$4:$F$259)*('Saving Account'!$M$4:$M$259=VND_rate!D$5)*('Saving Account'!$H$4:$H$259=VND_rate!$A14)),0)</f>
        <v>0</v>
      </c>
      <c r="F14" s="1124">
        <f>SUMIFS(Table1218[[#All],[CLOSING BALANCE 
(VND)]],Table1218[[#All],[Term (months)]],VND_rate!$A14,Table1218[[#All],[NAME]],VND_rate!F$5)</f>
        <v>0</v>
      </c>
      <c r="G14" s="1123" cm="1">
        <f t="array" ref="G14">IFERROR(SUMPRODUCT(('Saving Account'!$F$4:$F$259)*('Saving Account'!$L$4:$L$259)*('Saving Account'!$M$4:$M$259=VND_rate!F$5)*('Saving Account'!$H$4:$H$259=VND_rate!$A14))/SUMPRODUCT(('Saving Account'!$F$4:$F$259)*('Saving Account'!$M$4:$M$259=VND_rate!F$5)*('Saving Account'!$H$4:$H$259=VND_rate!$A14)),0)</f>
        <v>0</v>
      </c>
      <c r="H14" s="1124">
        <f t="shared" ref="H14:H15" si="5">B14+D14+F14</f>
        <v>0</v>
      </c>
      <c r="I14" s="1126">
        <f t="shared" ref="I14:I15" si="6">IFERROR((B14*C14+D14*E14+F14*G14)/H14,0)</f>
        <v>0</v>
      </c>
      <c r="AB14"/>
    </row>
    <row r="15" spans="1:28">
      <c r="A15" s="1121" t="s">
        <v>226</v>
      </c>
      <c r="B15" s="1124">
        <f>SUMIFS(Table1218[[#All],[CLOSING BALANCE 
(VND)]],Table1218[[#All],[Term (months)]],VND_rate!$A15,Table1218[[#All],[NAME]],VND_rate!B$5)</f>
        <v>0</v>
      </c>
      <c r="C15" s="1123" cm="1">
        <f t="array" ref="C15">IFERROR(SUMPRODUCT(('Saving Account'!$F$4:$F$259)*('Saving Account'!$L$4:$L$259)*('Saving Account'!$M$4:$M$259=VND_rate!B$5)*('Saving Account'!$H$4:$H$259=VND_rate!$A15))/SUMPRODUCT(('Saving Account'!$F$4:$F$259)*('Saving Account'!$M$4:$M$259=VND_rate!B$5)*('Saving Account'!$H$4:$H$259=VND_rate!$A15)),0)</f>
        <v>0</v>
      </c>
      <c r="D15" s="1124">
        <f>SUMIFS(Table1218[[#All],[CLOSING BALANCE 
(VND)]],Table1218[[#All],[Term (months)]],VND_rate!$A15,Table1218[[#All],[NAME]],VND_rate!D$5)</f>
        <v>0</v>
      </c>
      <c r="E15" s="1123" cm="1">
        <f t="array" ref="E15">IFERROR(SUMPRODUCT(('Saving Account'!$F$4:$F$259)*('Saving Account'!$L$4:$L$259)*('Saving Account'!$M$4:$M$259=VND_rate!D$5)*('Saving Account'!$H$4:$H$259=VND_rate!$A15))/SUMPRODUCT(('Saving Account'!$F$4:$F$259)*('Saving Account'!$M$4:$M$259=VND_rate!D$5)*('Saving Account'!$H$4:$H$259=VND_rate!$A15)),0)</f>
        <v>0</v>
      </c>
      <c r="F15" s="1124">
        <f>SUMIFS(Table1218[[#All],[CLOSING BALANCE 
(VND)]],Table1218[[#All],[Term (months)]],VND_rate!$A15,Table1218[[#All],[NAME]],VND_rate!F$5)</f>
        <v>0</v>
      </c>
      <c r="G15" s="1123" cm="1">
        <f t="array" ref="G15">IFERROR(SUMPRODUCT(('Saving Account'!$F$4:$F$259)*('Saving Account'!$L$4:$L$259)*('Saving Account'!$M$4:$M$259=VND_rate!F$5)*('Saving Account'!$H$4:$H$259=VND_rate!$A15))/SUMPRODUCT(('Saving Account'!$F$4:$F$259)*('Saving Account'!$M$4:$M$259=VND_rate!F$5)*('Saving Account'!$H$4:$H$259=VND_rate!$A15)),0)</f>
        <v>0</v>
      </c>
      <c r="H15" s="1124">
        <f t="shared" si="5"/>
        <v>0</v>
      </c>
      <c r="I15" s="1126">
        <f t="shared" si="6"/>
        <v>0</v>
      </c>
      <c r="AB15"/>
    </row>
    <row r="16" spans="1:28">
      <c r="A16" s="1121" t="s">
        <v>227</v>
      </c>
      <c r="B16" s="1124">
        <f>SUMIFS(Table1218[[#All],[CLOSING BALANCE 
(VND)]],Table1218[[#All],[Term (months)]],VND_rate!$A16,Table1218[[#All],[NAME]],VND_rate!B$5)</f>
        <v>0</v>
      </c>
      <c r="C16" s="1123" cm="1">
        <f t="array" ref="C16">IFERROR(SUMPRODUCT(('Saving Account'!$F$4:$F$259)*('Saving Account'!$L$4:$L$259)*('Saving Account'!$M$4:$M$259=VND_rate!B$5)*('Saving Account'!$H$4:$H$259=VND_rate!$A16))/SUMPRODUCT(('Saving Account'!$F$4:$F$259)*('Saving Account'!$M$4:$M$259=VND_rate!B$5)*('Saving Account'!$H$4:$H$259=VND_rate!$A16)),0)</f>
        <v>0</v>
      </c>
      <c r="D16" s="1124">
        <f>SUMIFS(Table1218[[#All],[CLOSING BALANCE 
(VND)]],Table1218[[#All],[Term (months)]],VND_rate!$A16,Table1218[[#All],[NAME]],VND_rate!D$5)</f>
        <v>0</v>
      </c>
      <c r="E16" s="1123" cm="1">
        <f t="array" ref="E16">IFERROR(SUMPRODUCT(('Saving Account'!$F$4:$F$259)*('Saving Account'!$L$4:$L$259)*('Saving Account'!$M$4:$M$259=VND_rate!D$5)*('Saving Account'!$H$4:$H$259=VND_rate!$A16))/SUMPRODUCT(('Saving Account'!$F$4:$F$259)*('Saving Account'!$M$4:$M$259=VND_rate!D$5)*('Saving Account'!$H$4:$H$259=VND_rate!$A16)),0)</f>
        <v>0</v>
      </c>
      <c r="F16" s="1124">
        <f>SUMIFS(Table1218[[#All],[CLOSING BALANCE 
(VND)]],Table1218[[#All],[Term (months)]],VND_rate!$A16,Table1218[[#All],[NAME]],VND_rate!F$5)</f>
        <v>0</v>
      </c>
      <c r="G16" s="1123" cm="1">
        <f t="array" ref="G16">IFERROR(SUMPRODUCT(('Saving Account'!$F$4:$F$259)*('Saving Account'!$L$4:$L$259)*('Saving Account'!$M$4:$M$259=VND_rate!F$5)*('Saving Account'!$H$4:$H$259=VND_rate!$A16))/SUMPRODUCT(('Saving Account'!$F$4:$F$259)*('Saving Account'!$M$4:$M$259=VND_rate!F$5)*('Saving Account'!$H$4:$H$259=VND_rate!$A16)),0)</f>
        <v>0</v>
      </c>
      <c r="H16" s="1124">
        <f t="shared" si="2"/>
        <v>0</v>
      </c>
      <c r="I16" s="1126">
        <f>IFERROR((B16*C16+D16*E16+F16*G16)/H16,0)</f>
        <v>0</v>
      </c>
      <c r="AB16"/>
    </row>
    <row r="17" spans="1:28">
      <c r="A17" s="1121" t="s">
        <v>228</v>
      </c>
      <c r="B17" s="1124">
        <f>SUMIFS(Table1218[[#All],[CLOSING BALANCE 
(VND)]],Table1218[[#All],[Term (months)]],VND_rate!$A17,Table1218[[#All],[NAME]],VND_rate!B$5)</f>
        <v>100000000</v>
      </c>
      <c r="C17" s="1123" cm="1">
        <f t="array" ref="C17">IFERROR(SUMPRODUCT(('Saving Account'!$F$4:$F$259)*('Saving Account'!$L$4:$L$259)*('Saving Account'!$M$4:$M$259=VND_rate!B$5)*('Saving Account'!$H$4:$H$259=VND_rate!$A17))/SUMPRODUCT(('Saving Account'!$F$4:$F$259)*('Saving Account'!$M$4:$M$259=VND_rate!B$5)*('Saving Account'!$H$4:$H$259=VND_rate!$A17)),0)</f>
        <v>0</v>
      </c>
      <c r="D17" s="1124">
        <f>SUMIFS(Table1218[[#All],[CLOSING BALANCE 
(VND)]],Table1218[[#All],[Term (months)]],VND_rate!$A17,Table1218[[#All],[NAME]],VND_rate!D$5)</f>
        <v>0</v>
      </c>
      <c r="E17" s="1123" cm="1">
        <f t="array" ref="E17">IFERROR(SUMPRODUCT(('Saving Account'!$F$4:$F$259)*('Saving Account'!$L$4:$L$259)*('Saving Account'!$M$4:$M$259=VND_rate!D$5)*('Saving Account'!$H$4:$H$259=VND_rate!$A17))/SUMPRODUCT(('Saving Account'!$F$4:$F$259)*('Saving Account'!$M$4:$M$259=VND_rate!D$5)*('Saving Account'!$H$4:$H$259=VND_rate!$A17)),0)</f>
        <v>0</v>
      </c>
      <c r="F17" s="1124">
        <f>SUMIFS(Table1218[[#All],[CLOSING BALANCE 
(VND)]],Table1218[[#All],[Term (months)]],VND_rate!$A17,Table1218[[#All],[NAME]],VND_rate!F$5)</f>
        <v>17160452453</v>
      </c>
      <c r="G17" s="1123" cm="1">
        <f t="array" ref="G17">IFERROR(SUMPRODUCT(('Saving Account'!$F$4:$F$259)*('Saving Account'!$L$4:$L$259)*('Saving Account'!$M$4:$M$259=VND_rate!F$5)*('Saving Account'!$H$4:$H$259=VND_rate!$A17))/SUMPRODUCT(('Saving Account'!$F$4:$F$259)*('Saving Account'!$M$4:$M$259=VND_rate!F$5)*('Saving Account'!$H$4:$H$259=VND_rate!$A17)),0)</f>
        <v>0</v>
      </c>
      <c r="H17" s="1124">
        <f t="shared" ref="H17" si="7">B17+D17+F17</f>
        <v>17260452453</v>
      </c>
      <c r="I17" s="1126">
        <f>IFERROR((B17*C17+D17*E17+F17*G17)/H17,0)</f>
        <v>0</v>
      </c>
      <c r="AB17"/>
    </row>
    <row r="18" spans="1:28">
      <c r="A18" s="1121" t="s">
        <v>229</v>
      </c>
      <c r="B18" s="1124">
        <f>SUMIFS(Table1218[[#All],[CLOSING BALANCE 
(VND)]],Table1218[[#All],[Term (months)]],VND_rate!$A18,Table1218[[#All],[NAME]],VND_rate!B$5)</f>
        <v>0</v>
      </c>
      <c r="C18" s="1123" cm="1">
        <f t="array" ref="C18">IFERROR(SUMPRODUCT(('Saving Account'!$F$4:$F$259)*('Saving Account'!$L$4:$L$259)*('Saving Account'!$M$4:$M$259=VND_rate!B$5)*('Saving Account'!$H$4:$H$259=VND_rate!$A18))/SUMPRODUCT(('Saving Account'!$F$4:$F$259)*('Saving Account'!$M$4:$M$259=VND_rate!B$5)*('Saving Account'!$H$4:$H$259=VND_rate!$A18)),0)</f>
        <v>0</v>
      </c>
      <c r="D18" s="1124">
        <f>SUMIFS(Table1218[[#All],[CLOSING BALANCE 
(VND)]],Table1218[[#All],[Term (months)]],VND_rate!$A18,Table1218[[#All],[NAME]],VND_rate!D$5)</f>
        <v>0</v>
      </c>
      <c r="E18" s="1123" cm="1">
        <f t="array" ref="E18">IFERROR(SUMPRODUCT(('Saving Account'!$F$4:$F$259)*('Saving Account'!$L$4:$L$259)*('Saving Account'!$M$4:$M$259=VND_rate!D$5)*('Saving Account'!$H$4:$H$259=VND_rate!$A18))/SUMPRODUCT(('Saving Account'!$F$4:$F$259)*('Saving Account'!$M$4:$M$259=VND_rate!D$5)*('Saving Account'!$H$4:$H$259=VND_rate!$A18)),0)</f>
        <v>0</v>
      </c>
      <c r="F18" s="1124">
        <f>SUMIFS(Table1218[[#All],[CLOSING BALANCE 
(VND)]],Table1218[[#All],[Term (months)]],VND_rate!$A18,Table1218[[#All],[NAME]],VND_rate!F$5)</f>
        <v>15767097552</v>
      </c>
      <c r="G18" s="1123" cm="1">
        <f t="array" ref="G18">IFERROR(SUMPRODUCT(('Saving Account'!$F$4:$F$259)*('Saving Account'!$L$4:$L$259)*('Saving Account'!$M$4:$M$259=VND_rate!F$5)*('Saving Account'!$H$4:$H$259=VND_rate!$A18))/SUMPRODUCT(('Saving Account'!$F$4:$F$259)*('Saving Account'!$M$4:$M$259=VND_rate!F$5)*('Saving Account'!$H$4:$H$259=VND_rate!$A18)),0)</f>
        <v>0</v>
      </c>
      <c r="H18" s="1124">
        <f t="shared" si="2"/>
        <v>15767097552</v>
      </c>
      <c r="I18" s="1126">
        <f>IFERROR((B18*C18+D18*E18+F18*G18)/H18,0)</f>
        <v>0</v>
      </c>
      <c r="AB18"/>
    </row>
    <row r="19" spans="1:28">
      <c r="A19" s="73" t="s">
        <v>170</v>
      </c>
      <c r="B19" s="98">
        <f>SUM(B7:B18)</f>
        <v>36200000000</v>
      </c>
      <c r="C19" s="761">
        <f>SUMPRODUCT(B7:B18,C7:C18)/B19</f>
        <v>0</v>
      </c>
      <c r="D19" s="98">
        <f>SUM(D7:D18)</f>
        <v>920000000000</v>
      </c>
      <c r="E19" s="761">
        <f>SUMPRODUCT(D7:D18,E7:E18)/D19</f>
        <v>0</v>
      </c>
      <c r="F19" s="98">
        <f>SUM(F7:F18)</f>
        <v>1740213754144</v>
      </c>
      <c r="G19" s="761">
        <f>SUMPRODUCT(F7:F18,G7:G18)/F19</f>
        <v>0</v>
      </c>
      <c r="H19" s="98">
        <f>SUM(H7:H18)</f>
        <v>2696413754144</v>
      </c>
      <c r="I19" s="766">
        <f>SUMPRODUCT(H7:H18,I7:I18)/H19</f>
        <v>0</v>
      </c>
      <c r="K19" s="904"/>
      <c r="L19" s="904"/>
      <c r="AB19"/>
    </row>
    <row r="20" spans="1:28">
      <c r="A20" s="76" t="s">
        <v>287</v>
      </c>
      <c r="B20" s="77">
        <f>SUM(B6:B18)</f>
        <v>38861564578</v>
      </c>
      <c r="C20" s="762">
        <f>SUMPRODUCT(B6:B18,C6:C18)/B20</f>
        <v>2.3325812914212106E-4</v>
      </c>
      <c r="D20" s="77">
        <f>SUM(D6:D18)</f>
        <v>1275152665621</v>
      </c>
      <c r="E20" s="762">
        <f>SUMPRODUCT(D6:D18,E6:E18)/D20</f>
        <v>1.3312811896803545E-3</v>
      </c>
      <c r="F20" s="77">
        <f>SUM(F6:F18)</f>
        <v>2328443126281</v>
      </c>
      <c r="G20" s="762">
        <f>SUMPRODUCT(F6:F18,G6:G18)/F20</f>
        <v>1.1761440553639381E-3</v>
      </c>
      <c r="H20" s="1127">
        <f>SUM(H6:H18)</f>
        <v>3642457356480</v>
      </c>
      <c r="I20" s="762">
        <f>SUMPRODUCT(H6:H18,I6:I18)/H20</f>
        <v>1.2210377746314938E-3</v>
      </c>
      <c r="AB20"/>
    </row>
    <row r="21" spans="1:28">
      <c r="A21" s="419" t="s">
        <v>246</v>
      </c>
      <c r="B21" s="420">
        <f>B19/Fx_rate</f>
        <v>1382999.0448901623</v>
      </c>
      <c r="C21" s="769"/>
      <c r="D21" s="420">
        <f>D19/Fx_rate</f>
        <v>35148042.024832852</v>
      </c>
      <c r="E21" s="769"/>
      <c r="F21" s="420">
        <f>F19/Fx_rate</f>
        <v>66483811.046571158</v>
      </c>
      <c r="G21" s="769"/>
      <c r="H21" s="420">
        <f>H19/Fx_rate</f>
        <v>103014852.11629418</v>
      </c>
      <c r="I21" s="770"/>
      <c r="AB21"/>
    </row>
    <row r="22" spans="1:28">
      <c r="A22" s="722" t="s">
        <v>230</v>
      </c>
      <c r="B22" s="771">
        <f>B20/Fx_rate</f>
        <v>1484682.5053677172</v>
      </c>
      <c r="C22" s="772"/>
      <c r="D22" s="771">
        <f>D20/Fx_rate</f>
        <v>48716434.216657117</v>
      </c>
      <c r="E22" s="772"/>
      <c r="F22" s="771">
        <f>F20/Fx_rate</f>
        <v>88956757.451041073</v>
      </c>
      <c r="G22" s="772"/>
      <c r="H22" s="771">
        <f>H20/Fx</f>
        <v>139157874.1730659</v>
      </c>
      <c r="I22" s="773"/>
      <c r="AB22"/>
    </row>
    <row r="23" spans="1:28" ht="15" thickBot="1">
      <c r="A23" s="78" t="s">
        <v>84</v>
      </c>
      <c r="B23" s="79">
        <f>B22/$H$22</f>
        <v>1.0669051350419944E-2</v>
      </c>
      <c r="C23" s="763"/>
      <c r="D23" s="79">
        <f>D22/$H$22</f>
        <v>0.35008032787329124</v>
      </c>
      <c r="E23" s="763"/>
      <c r="F23" s="79">
        <f>F22/$H$22</f>
        <v>0.63925062077628891</v>
      </c>
      <c r="G23" s="763"/>
      <c r="H23" s="79">
        <f>H22/$H$22</f>
        <v>1</v>
      </c>
      <c r="I23" s="767"/>
      <c r="AB23"/>
    </row>
    <row r="24" spans="1:28" ht="15" thickTop="1">
      <c r="AB24"/>
    </row>
    <row r="25" spans="1:28">
      <c r="H25" s="637" t="b">
        <f>VND_rate!H20=Summary!B18*1000000*Fx_rate</f>
        <v>0</v>
      </c>
      <c r="AB25"/>
    </row>
    <row r="26" spans="1:28" hidden="1">
      <c r="AB26"/>
    </row>
    <row r="27" spans="1:28" hidden="1">
      <c r="AB27"/>
    </row>
    <row r="28" spans="1:28" hidden="1">
      <c r="AB28"/>
    </row>
    <row r="29" spans="1:28" hidden="1">
      <c r="AB29"/>
    </row>
    <row r="30" spans="1:28" hidden="1">
      <c r="AB30"/>
    </row>
    <row r="31" spans="1:28" hidden="1">
      <c r="AB31"/>
    </row>
    <row r="32" spans="1:28" hidden="1">
      <c r="AB32"/>
    </row>
    <row r="33" spans="1:36" hidden="1">
      <c r="AB33"/>
    </row>
    <row r="34" spans="1:36" hidden="1">
      <c r="AB34"/>
    </row>
    <row r="35" spans="1:36" hidden="1">
      <c r="AB35"/>
    </row>
    <row r="36" spans="1:36" hidden="1">
      <c r="AB36"/>
    </row>
    <row r="37" spans="1:36" hidden="1">
      <c r="AB37"/>
    </row>
    <row r="38" spans="1:36" hidden="1">
      <c r="AB38"/>
    </row>
    <row r="39" spans="1:36" hidden="1">
      <c r="AB39"/>
    </row>
    <row r="40" spans="1:36">
      <c r="AB40"/>
    </row>
    <row r="41" spans="1:36" ht="15" thickBot="1">
      <c r="A41" s="416" t="s">
        <v>288</v>
      </c>
      <c r="B41" s="417"/>
      <c r="C41" s="417"/>
      <c r="D41" s="417"/>
      <c r="E41" s="417"/>
      <c r="F41" s="417"/>
      <c r="G41" s="417"/>
      <c r="H41" s="417"/>
      <c r="I41" s="417"/>
      <c r="J41" s="417"/>
      <c r="K41" s="417"/>
      <c r="L41" s="417"/>
      <c r="M41" s="417"/>
      <c r="N41" s="417"/>
      <c r="O41" s="417"/>
      <c r="P41" s="417"/>
      <c r="Q41" s="417"/>
      <c r="R41" s="417"/>
      <c r="S41" s="417"/>
      <c r="T41" s="417"/>
      <c r="U41" s="417"/>
      <c r="V41" s="417"/>
      <c r="W41" s="417"/>
      <c r="X41" s="417"/>
      <c r="Y41" s="417"/>
      <c r="Z41" s="417"/>
      <c r="AA41" s="417"/>
      <c r="AB41" s="417"/>
      <c r="AC41" s="417"/>
      <c r="AD41" s="417"/>
      <c r="AE41" s="417"/>
      <c r="AF41" s="417"/>
      <c r="AG41" s="416"/>
      <c r="AH41" s="417"/>
      <c r="AI41" s="417"/>
      <c r="AJ41" s="418"/>
    </row>
    <row r="42" spans="1:36" ht="15" thickTop="1"/>
    <row r="44" spans="1:36">
      <c r="A44" s="365" t="s">
        <v>289</v>
      </c>
      <c r="B44" s="30" t="s">
        <v>8</v>
      </c>
    </row>
    <row r="46" spans="1:36">
      <c r="A46" s="365" t="s">
        <v>290</v>
      </c>
      <c r="B46" s="365" t="s">
        <v>291</v>
      </c>
      <c r="AC46" s="96"/>
      <c r="AD46" s="96"/>
      <c r="AE46" s="96"/>
      <c r="AF46" s="96"/>
      <c r="AG46" s="96"/>
    </row>
    <row r="47" spans="1:36">
      <c r="A47" s="365" t="s">
        <v>100</v>
      </c>
      <c r="B47" t="s">
        <v>219</v>
      </c>
      <c r="C47" t="s">
        <v>228</v>
      </c>
      <c r="D47" t="s">
        <v>221</v>
      </c>
      <c r="E47" t="s">
        <v>105</v>
      </c>
      <c r="AB47" s="190"/>
      <c r="AC47" s="97" t="s">
        <v>219</v>
      </c>
      <c r="AD47" s="97" t="s">
        <v>221</v>
      </c>
      <c r="AE47" s="97" t="s">
        <v>224</v>
      </c>
      <c r="AF47" s="97" t="s">
        <v>228</v>
      </c>
      <c r="AG47" s="97" t="s">
        <v>105</v>
      </c>
    </row>
    <row r="48" spans="1:36">
      <c r="A48" s="652" t="s">
        <v>112</v>
      </c>
      <c r="B48" s="25">
        <v>100000000</v>
      </c>
      <c r="C48" s="25">
        <v>100000000</v>
      </c>
      <c r="D48" s="25"/>
      <c r="E48" s="25">
        <v>200000000</v>
      </c>
      <c r="AB48" s="190"/>
      <c r="AC48" s="137" cm="1">
        <f t="array" ref="AC48">IFERROR(SUM(AC49:AC51)/INDEX($B48:$E48,,MATCH(AC$47,$B$47:$E$47,0)),0)</f>
        <v>0</v>
      </c>
      <c r="AD48" s="137" cm="1">
        <f t="array" ref="AD48">IFERROR(SUM(AD49:AD51)/INDEX($B48:$E48,,MATCH(AD$47,$B$47:$E$47,0)),0)</f>
        <v>0</v>
      </c>
      <c r="AE48" s="137" cm="1">
        <f t="array" ref="AE48">IFERROR(SUM(AE49:AE51)/INDEX($B48:$E48,,MATCH(AE$47,$B$47:$E$47,0)),0)</f>
        <v>0</v>
      </c>
      <c r="AF48" s="137" cm="1">
        <f t="array" ref="AF48">IFERROR(SUM(AF49:AF51)/INDEX($B48:$E48,,MATCH(AF$47,$B$47:$E$47,0)),0)</f>
        <v>0</v>
      </c>
      <c r="AG48" s="188"/>
    </row>
    <row r="49" spans="1:33">
      <c r="A49" s="651">
        <v>4.1000000000000002E-2</v>
      </c>
      <c r="B49" s="25"/>
      <c r="C49" s="25">
        <v>100000000</v>
      </c>
      <c r="D49" s="25"/>
      <c r="E49" s="25">
        <v>100000000</v>
      </c>
      <c r="AB49" s="190"/>
      <c r="AC49" s="230" cm="1">
        <f t="array" ref="AC49">$A49*IFERROR(INDEX($B49:$E49,,MATCH(AC$47,$B$47:$E$47,0)),0)</f>
        <v>0</v>
      </c>
      <c r="AD49" s="230" cm="1">
        <f t="array" ref="AD49">$A49*IFERROR(INDEX($B49:$E49,,MATCH(AD$47,$B$47:$E$47,0)),0)</f>
        <v>0</v>
      </c>
      <c r="AE49" s="230" cm="1">
        <f t="array" ref="AE49">$A49*IFERROR(INDEX($B49:$E49,,MATCH(AE$47,$B$47:$E$47,0)),0)</f>
        <v>0</v>
      </c>
      <c r="AF49" s="230" cm="1">
        <f t="array" ref="AF49">$A49*IFERROR(INDEX($B49:$E49,,MATCH(AF$47,$B$47:$E$47,0)),0)</f>
        <v>4100000</v>
      </c>
      <c r="AG49" s="189"/>
    </row>
    <row r="50" spans="1:33">
      <c r="A50" s="651">
        <v>1.4999999999999999E-2</v>
      </c>
      <c r="B50" s="25">
        <v>100000000</v>
      </c>
      <c r="C50" s="25"/>
      <c r="D50" s="25"/>
      <c r="E50" s="25">
        <v>100000000</v>
      </c>
      <c r="AB50" s="190"/>
      <c r="AC50" s="230" cm="1">
        <f t="array" ref="AC50">$A50*IFERROR(INDEX($B50:$E50,,MATCH(AC$47,$B$47:$E$47,0)),0)</f>
        <v>1500000</v>
      </c>
      <c r="AD50" s="230" cm="1">
        <f t="array" ref="AD50">$A50*IFERROR(INDEX($B50:$E50,,MATCH(AD$47,$B$47:$E$47,0)),0)</f>
        <v>0</v>
      </c>
      <c r="AE50" s="230" cm="1">
        <f t="array" ref="AE50">$A50*IFERROR(INDEX($B50:$E50,,MATCH(AE$47,$B$47:$E$47,0)),0)</f>
        <v>0</v>
      </c>
      <c r="AF50" s="230" cm="1">
        <f t="array" ref="AF50">$A50*IFERROR(INDEX($B50:$E50,,MATCH(AF$47,$B$47:$E$47,0)),0)</f>
        <v>0</v>
      </c>
      <c r="AG50" s="189"/>
    </row>
    <row r="51" spans="1:33">
      <c r="A51" s="17" t="s">
        <v>198</v>
      </c>
      <c r="B51" s="25"/>
      <c r="C51" s="25"/>
      <c r="D51" s="25">
        <v>30000000000</v>
      </c>
      <c r="E51" s="25">
        <v>30000000000</v>
      </c>
      <c r="AB51" s="190"/>
      <c r="AC51" s="230" t="e" cm="1">
        <f t="array" ref="AC51">$A51*IFERROR(INDEX($B51:$E51,,MATCH(AC$47,$B$47:$E$47,0)),0)</f>
        <v>#VALUE!</v>
      </c>
      <c r="AD51" s="230" t="e" cm="1">
        <f t="array" ref="AD51">$A51*IFERROR(INDEX($B51:$E51,,MATCH(AD$47,$B$47:$E$47,0)),0)</f>
        <v>#VALUE!</v>
      </c>
      <c r="AE51" s="230" t="e" cm="1">
        <f t="array" ref="AE51">$A51*IFERROR(INDEX($B51:$E51,,MATCH(AE$47,$B$47:$E$47,0)),0)</f>
        <v>#VALUE!</v>
      </c>
      <c r="AF51" s="230" t="e" cm="1">
        <f t="array" ref="AF51">$A51*IFERROR(INDEX($B51:$E51,,MATCH(AF$47,$B$47:$E$47,0)),0)</f>
        <v>#VALUE!</v>
      </c>
      <c r="AG51" s="189"/>
    </row>
    <row r="52" spans="1:33">
      <c r="A52" s="651">
        <v>4.4999999999999998E-2</v>
      </c>
      <c r="B52" s="25"/>
      <c r="C52" s="25"/>
      <c r="D52" s="25">
        <v>30000000000</v>
      </c>
      <c r="E52" s="25">
        <v>30000000000</v>
      </c>
      <c r="AB52" s="190"/>
      <c r="AC52" s="137" cm="1">
        <f t="array" ref="AC52">IFERROR(SUM(AC53:AC53)/INDEX($B52:$E52,,MATCH(AC$47,$B$47:$E$47,0)),0)</f>
        <v>0</v>
      </c>
      <c r="AD52" s="137" cm="1">
        <f t="array" ref="AD52">IFERROR(SUM(AD53:AD53)/INDEX($B52:$E52,,MATCH(AD$47,$B$47:$E$47,0)),0)</f>
        <v>0</v>
      </c>
      <c r="AE52" s="137" cm="1">
        <f t="array" ref="AE52">IFERROR(SUM(AE53:AE53)/INDEX($B52:$E52,,MATCH(AE$47,$B$47:$E$47,0)),0)</f>
        <v>0</v>
      </c>
      <c r="AF52" s="137" cm="1">
        <f t="array" ref="AF52">IFERROR(SUM(AF53:AF53)/INDEX($B52:$E52,,MATCH(AF$47,$B$47:$E$47,0)),0)</f>
        <v>0</v>
      </c>
      <c r="AG52" s="188"/>
    </row>
    <row r="53" spans="1:33">
      <c r="A53" s="17" t="s">
        <v>105</v>
      </c>
      <c r="B53" s="25">
        <v>100000000</v>
      </c>
      <c r="C53" s="25">
        <v>100000000</v>
      </c>
      <c r="D53" s="25">
        <v>30000000000</v>
      </c>
      <c r="E53" s="25">
        <v>30200000000</v>
      </c>
      <c r="AB53" s="190"/>
      <c r="AC53" s="230" t="e" cm="1">
        <f t="array" ref="AC53">$A53*IFERROR(INDEX($B53:$E53,,MATCH(AC$47,$B$47:$E$47,0)),0)</f>
        <v>#VALUE!</v>
      </c>
      <c r="AD53" s="230" t="e" cm="1">
        <f t="array" ref="AD53">$A53*IFERROR(INDEX($B53:$E53,,MATCH(AD$47,$B$47:$E$47,0)),0)</f>
        <v>#VALUE!</v>
      </c>
      <c r="AE53" s="230" t="e" cm="1">
        <f t="array" ref="AE53">$A53*IFERROR(INDEX($B53:$E53,,MATCH(AE$47,$B$47:$E$47,0)),0)</f>
        <v>#VALUE!</v>
      </c>
      <c r="AF53" s="230" t="e" cm="1">
        <f t="array" ref="AF53">$A53*IFERROR(INDEX($B53:$E53,,MATCH(AF$47,$B$47:$E$47,0)),0)</f>
        <v>#VALUE!</v>
      </c>
      <c r="AG53" s="189"/>
    </row>
    <row r="54" spans="1:33">
      <c r="AB54" s="190"/>
      <c r="AC54" s="140">
        <f>IFERROR((AC48*B48+AC52*B52)/B54,0)</f>
        <v>0</v>
      </c>
      <c r="AD54" s="140">
        <f t="shared" ref="AD54:AE54" si="8">IFERROR((AD48*C48+AD52*C52)/C54,0)</f>
        <v>0</v>
      </c>
      <c r="AE54" s="140">
        <f t="shared" si="8"/>
        <v>0</v>
      </c>
      <c r="AF54" s="140">
        <f>IFERROR((AF48*D48+AF52*D52)/D54,0)</f>
        <v>0</v>
      </c>
      <c r="AG54" s="136">
        <f>IFERROR((AG48*F48+AG52*F52)/F55,0)</f>
        <v>0</v>
      </c>
    </row>
    <row r="55" spans="1:33">
      <c r="AB55" s="190"/>
    </row>
    <row r="56" spans="1:33">
      <c r="AB56" s="190"/>
    </row>
    <row r="57" spans="1:33">
      <c r="AB57" s="190"/>
    </row>
    <row r="58" spans="1:33">
      <c r="AB58" s="190"/>
    </row>
    <row r="59" spans="1:33">
      <c r="AB59" s="190"/>
    </row>
    <row r="60" spans="1:33">
      <c r="AB60" s="190"/>
    </row>
    <row r="61" spans="1:33">
      <c r="AB61" s="190"/>
    </row>
    <row r="62" spans="1:33">
      <c r="AB62" s="190"/>
    </row>
    <row r="63" spans="1:33">
      <c r="AB63" s="190"/>
    </row>
    <row r="64" spans="1:33">
      <c r="AB64" s="190"/>
    </row>
    <row r="65" spans="28:28">
      <c r="AB65" s="190"/>
    </row>
    <row r="66" spans="28:28" hidden="1">
      <c r="AB66" s="190"/>
    </row>
    <row r="67" spans="28:28" hidden="1">
      <c r="AB67" s="190"/>
    </row>
    <row r="68" spans="28:28" hidden="1">
      <c r="AB68" s="190"/>
    </row>
    <row r="69" spans="28:28" hidden="1">
      <c r="AB69" s="190"/>
    </row>
    <row r="70" spans="28:28" hidden="1">
      <c r="AB70" s="190"/>
    </row>
    <row r="71" spans="28:28" hidden="1">
      <c r="AB71" s="190"/>
    </row>
    <row r="72" spans="28:28" hidden="1">
      <c r="AB72" s="190"/>
    </row>
    <row r="73" spans="28:28" hidden="1">
      <c r="AB73" s="190"/>
    </row>
    <row r="74" spans="28:28" hidden="1">
      <c r="AB74" s="190"/>
    </row>
    <row r="75" spans="28:28" hidden="1">
      <c r="AB75" s="190"/>
    </row>
    <row r="76" spans="28:28" hidden="1">
      <c r="AB76" s="190"/>
    </row>
    <row r="77" spans="28:28" hidden="1">
      <c r="AB77" s="190"/>
    </row>
    <row r="78" spans="28:28" hidden="1">
      <c r="AB78" s="190"/>
    </row>
    <row r="79" spans="28:28" hidden="1">
      <c r="AB79" s="190"/>
    </row>
    <row r="80" spans="28:28" hidden="1">
      <c r="AB80" s="190"/>
    </row>
    <row r="81" spans="2:33" hidden="1">
      <c r="AB81" s="190"/>
    </row>
    <row r="82" spans="2:33" hidden="1">
      <c r="AB82" s="190"/>
    </row>
    <row r="83" spans="2:33" hidden="1">
      <c r="AB83" s="190"/>
    </row>
    <row r="84" spans="2:33" hidden="1">
      <c r="AB84" s="190"/>
    </row>
    <row r="85" spans="2:33" hidden="1">
      <c r="AB85" s="190"/>
    </row>
    <row r="86" spans="2:33" hidden="1">
      <c r="AB86" s="190"/>
    </row>
    <row r="87" spans="2:33" hidden="1">
      <c r="AB87" s="190"/>
    </row>
    <row r="88" spans="2:33" hidden="1">
      <c r="B88" s="25"/>
      <c r="C88" s="25"/>
      <c r="D88" s="25"/>
      <c r="E88" s="25"/>
      <c r="F88" s="25"/>
      <c r="G88" s="25"/>
      <c r="H88" s="25"/>
      <c r="AB88" s="190"/>
    </row>
    <row r="89" spans="2:33" hidden="1">
      <c r="AB89" s="190"/>
    </row>
    <row r="90" spans="2:33" hidden="1">
      <c r="AB90" s="190"/>
    </row>
    <row r="91" spans="2:33" hidden="1">
      <c r="AB91" s="190"/>
    </row>
    <row r="92" spans="2:33" hidden="1">
      <c r="AB92" s="190"/>
    </row>
    <row r="93" spans="2:33" hidden="1">
      <c r="AB93" s="190"/>
    </row>
    <row r="94" spans="2:33" hidden="1">
      <c r="AB94" s="190"/>
    </row>
    <row r="95" spans="2:33" hidden="1">
      <c r="AB95" s="190"/>
    </row>
    <row r="96" spans="2:33">
      <c r="AB96" s="190"/>
      <c r="AC96" s="738"/>
      <c r="AD96" s="739"/>
      <c r="AE96" s="739"/>
      <c r="AF96" s="739"/>
      <c r="AG96" s="740"/>
    </row>
    <row r="97" spans="1:33">
      <c r="AB97" s="190"/>
      <c r="AC97" s="738"/>
      <c r="AD97" s="739"/>
      <c r="AE97" s="739"/>
      <c r="AF97" s="739"/>
      <c r="AG97" s="740"/>
    </row>
    <row r="98" spans="1:33">
      <c r="AB98" s="190"/>
      <c r="AC98" s="738"/>
      <c r="AD98" s="739"/>
      <c r="AE98" s="739"/>
      <c r="AF98" s="739"/>
      <c r="AG98" s="740"/>
    </row>
    <row r="99" spans="1:33">
      <c r="A99" s="365" t="s">
        <v>289</v>
      </c>
      <c r="B99" s="30" t="s">
        <v>67</v>
      </c>
      <c r="AB99" s="190"/>
      <c r="AC99" s="738"/>
      <c r="AD99" s="739"/>
      <c r="AE99" s="739"/>
      <c r="AF99" s="739"/>
      <c r="AG99" s="740"/>
    </row>
    <row r="100" spans="1:33">
      <c r="AB100" s="190"/>
      <c r="AC100" s="738"/>
      <c r="AD100" s="739"/>
      <c r="AE100" s="739"/>
      <c r="AF100" s="739"/>
      <c r="AG100" s="740"/>
    </row>
    <row r="101" spans="1:33">
      <c r="A101" s="365" t="s">
        <v>290</v>
      </c>
      <c r="B101" s="365" t="s">
        <v>291</v>
      </c>
      <c r="AB101" s="190"/>
      <c r="AC101" s="738"/>
      <c r="AD101" s="739"/>
      <c r="AE101" s="739"/>
      <c r="AF101" s="739"/>
      <c r="AG101" s="740"/>
    </row>
    <row r="102" spans="1:33">
      <c r="A102" s="365" t="s">
        <v>100</v>
      </c>
      <c r="B102" t="s">
        <v>219</v>
      </c>
      <c r="C102" t="s">
        <v>224</v>
      </c>
      <c r="D102" t="s">
        <v>105</v>
      </c>
      <c r="AB102" s="190"/>
      <c r="AC102" s="738"/>
      <c r="AD102" s="739"/>
      <c r="AE102" s="739"/>
      <c r="AF102" s="739"/>
      <c r="AG102" s="740"/>
    </row>
    <row r="103" spans="1:33">
      <c r="A103" s="17" t="s">
        <v>114</v>
      </c>
      <c r="B103" s="25">
        <v>50000000000</v>
      </c>
      <c r="C103" s="25"/>
      <c r="D103" s="25">
        <v>50000000000</v>
      </c>
      <c r="AB103" s="190"/>
      <c r="AC103" s="738"/>
      <c r="AD103" s="739"/>
      <c r="AE103" s="739"/>
      <c r="AF103" s="739"/>
      <c r="AG103" s="740"/>
    </row>
    <row r="104" spans="1:33">
      <c r="A104" s="651">
        <v>4.2999999999999997E-2</v>
      </c>
      <c r="B104" s="25">
        <v>50000000000</v>
      </c>
      <c r="C104" s="25"/>
      <c r="D104" s="25">
        <v>50000000000</v>
      </c>
      <c r="AB104" s="190"/>
      <c r="AC104" s="20" t="e" cm="1">
        <f t="array" ref="AC104">$A107*IFERROR(INDEX($D104:$E104,,MATCH(AC$47,#REF!,0)),0)</f>
        <v>#VALUE!</v>
      </c>
      <c r="AD104" s="20" t="e" cm="1">
        <f t="array" ref="AD104">$A107*IFERROR(INDEX($D104:$E104,,MATCH(AD$47,#REF!,0)),0)</f>
        <v>#VALUE!</v>
      </c>
      <c r="AE104" s="20" t="e" cm="1">
        <f t="array" ref="AE104">$A107*IFERROR(INDEX($D104:$E104,,MATCH(AE$47,#REF!,0)),0)</f>
        <v>#VALUE!</v>
      </c>
      <c r="AF104" s="20" t="e" cm="1">
        <f t="array" ref="AF104">$A107*IFERROR(INDEX($D104:$E104,,MATCH(AF$47,#REF!,0)),0)</f>
        <v>#VALUE!</v>
      </c>
      <c r="AG104" s="189"/>
    </row>
    <row r="105" spans="1:33">
      <c r="A105" s="652" t="s">
        <v>112</v>
      </c>
      <c r="B105" s="25">
        <v>950000000000</v>
      </c>
      <c r="C105" s="25"/>
      <c r="D105" s="25">
        <v>950000000000</v>
      </c>
      <c r="AB105" s="190"/>
      <c r="AC105" s="138" cm="1">
        <f t="array" ref="AC105">IFERROR(SUM(#REF!)/INDEX($D106:$E106,,MATCH(AC$47,$B$47:$E$47,0)),0)</f>
        <v>0</v>
      </c>
      <c r="AD105" s="138" cm="1">
        <f t="array" ref="AD105">IFERROR(SUM(#REF!)/INDEX($D106:$E106,,MATCH(AD$47,$B$47:$E$47,0)),0)</f>
        <v>0</v>
      </c>
      <c r="AE105" s="138" cm="1">
        <f t="array" ref="AE105">IFERROR(SUM(#REF!)/INDEX($D106:$E106,,MATCH(AE$47,$B$47:$E$47,0)),0)</f>
        <v>0</v>
      </c>
      <c r="AF105" s="138" cm="1">
        <f t="array" ref="AF105">IFERROR(SUM(#REF!)/INDEX($D106:$E106,,MATCH(AF$47,$B$47:$E$47,0)),0)</f>
        <v>0</v>
      </c>
      <c r="AG105" s="188"/>
    </row>
    <row r="106" spans="1:33">
      <c r="A106" s="651">
        <v>4.2999999999999997E-2</v>
      </c>
      <c r="B106" s="25">
        <v>950000000000</v>
      </c>
      <c r="C106" s="25"/>
      <c r="D106" s="25">
        <v>950000000000</v>
      </c>
      <c r="AB106" s="190"/>
      <c r="AC106" s="141" t="e">
        <f>(#REF!*#REF!+#REF!*#REF!+#REF!*#REF!)/B108</f>
        <v>#REF!</v>
      </c>
      <c r="AD106" s="139"/>
      <c r="AE106" s="139"/>
      <c r="AF106" s="139"/>
      <c r="AG106" s="141"/>
    </row>
    <row r="107" spans="1:33">
      <c r="A107" s="652" t="s">
        <v>110</v>
      </c>
      <c r="B107" s="25">
        <v>182000000000</v>
      </c>
      <c r="C107" s="25"/>
      <c r="D107" s="25">
        <v>182000000000</v>
      </c>
      <c r="AB107" s="190"/>
    </row>
    <row r="108" spans="1:33">
      <c r="A108" s="651">
        <v>4.4999999999999998E-2</v>
      </c>
      <c r="B108" s="25">
        <v>182000000000</v>
      </c>
      <c r="C108" s="25"/>
      <c r="D108" s="25">
        <v>182000000000</v>
      </c>
      <c r="AB108" s="190"/>
    </row>
    <row r="109" spans="1:33">
      <c r="A109" s="17" t="s">
        <v>198</v>
      </c>
      <c r="B109" s="25">
        <v>50000000000</v>
      </c>
      <c r="C109" s="25"/>
      <c r="D109" s="25">
        <v>50000000000</v>
      </c>
      <c r="AB109" s="190"/>
    </row>
    <row r="110" spans="1:33">
      <c r="A110" s="651">
        <v>4.2999999999999997E-2</v>
      </c>
      <c r="B110" s="25">
        <v>50000000000</v>
      </c>
      <c r="C110" s="25"/>
      <c r="D110" s="25">
        <v>50000000000</v>
      </c>
      <c r="AB110" s="190"/>
    </row>
    <row r="111" spans="1:33">
      <c r="A111" s="17" t="s">
        <v>118</v>
      </c>
      <c r="B111" s="25"/>
      <c r="C111" s="25">
        <v>170000000000</v>
      </c>
      <c r="D111" s="25">
        <v>170000000000</v>
      </c>
      <c r="AB111" s="190"/>
    </row>
    <row r="112" spans="1:33">
      <c r="A112" s="651">
        <v>6.2E-2</v>
      </c>
      <c r="B112" s="25"/>
      <c r="C112" s="25">
        <v>170000000000</v>
      </c>
      <c r="D112" s="25">
        <v>170000000000</v>
      </c>
      <c r="AB112" s="190"/>
    </row>
    <row r="113" spans="1:28">
      <c r="A113" s="17" t="s">
        <v>199</v>
      </c>
      <c r="B113" s="25">
        <v>50000000000</v>
      </c>
      <c r="C113" s="25"/>
      <c r="D113" s="25">
        <v>50000000000</v>
      </c>
      <c r="AB113" s="190"/>
    </row>
    <row r="114" spans="1:28">
      <c r="A114" s="651">
        <v>4.7500000000000001E-2</v>
      </c>
      <c r="B114" s="25">
        <v>50000000000</v>
      </c>
      <c r="C114" s="25"/>
      <c r="D114" s="25">
        <v>50000000000</v>
      </c>
      <c r="AB114" s="190"/>
    </row>
    <row r="115" spans="1:28">
      <c r="A115" s="17" t="s">
        <v>105</v>
      </c>
      <c r="B115" s="25">
        <v>1282000000000</v>
      </c>
      <c r="C115" s="25">
        <v>170000000000</v>
      </c>
      <c r="D115" s="25">
        <v>1452000000000</v>
      </c>
      <c r="AB115" s="190"/>
    </row>
    <row r="116" spans="1:28">
      <c r="AB116" s="190"/>
    </row>
    <row r="117" spans="1:28">
      <c r="AB117" s="190"/>
    </row>
    <row r="118" spans="1:28">
      <c r="AB118" s="190"/>
    </row>
    <row r="119" spans="1:28">
      <c r="AB119" s="190"/>
    </row>
    <row r="120" spans="1:28">
      <c r="AB120" s="190"/>
    </row>
    <row r="121" spans="1:28">
      <c r="AB121" s="190"/>
    </row>
    <row r="122" spans="1:28">
      <c r="AB122" s="190"/>
    </row>
    <row r="123" spans="1:28">
      <c r="AB123" s="190"/>
    </row>
    <row r="124" spans="1:28">
      <c r="AB124" s="190"/>
    </row>
    <row r="125" spans="1:28">
      <c r="A125" s="17"/>
      <c r="B125" s="25"/>
      <c r="C125" s="25"/>
      <c r="AB125" s="190"/>
    </row>
    <row r="126" spans="1:28">
      <c r="A126" s="17"/>
      <c r="B126" s="25"/>
      <c r="C126" s="25"/>
      <c r="AB126" s="190"/>
    </row>
    <row r="127" spans="1:28">
      <c r="A127" s="17"/>
      <c r="B127" s="25"/>
      <c r="C127" s="25"/>
      <c r="AB127" s="190"/>
    </row>
    <row r="128" spans="1:28">
      <c r="A128" s="365" t="s">
        <v>289</v>
      </c>
      <c r="B128" s="30" t="s">
        <v>10</v>
      </c>
      <c r="AB128" s="190"/>
    </row>
    <row r="129" spans="1:33">
      <c r="AB129" s="190"/>
    </row>
    <row r="130" spans="1:33">
      <c r="A130" s="365" t="s">
        <v>290</v>
      </c>
      <c r="B130" s="365" t="s">
        <v>291</v>
      </c>
      <c r="AB130" s="190"/>
      <c r="AC130" s="96"/>
      <c r="AD130" s="96"/>
      <c r="AE130" s="96"/>
      <c r="AF130" s="96"/>
      <c r="AG130" s="96"/>
    </row>
    <row r="131" spans="1:33">
      <c r="A131" s="365" t="s">
        <v>100</v>
      </c>
      <c r="B131" t="s">
        <v>219</v>
      </c>
      <c r="C131" t="s">
        <v>228</v>
      </c>
      <c r="D131" t="s">
        <v>229</v>
      </c>
      <c r="E131" t="s">
        <v>220</v>
      </c>
      <c r="F131" t="s">
        <v>221</v>
      </c>
      <c r="G131" t="s">
        <v>222</v>
      </c>
      <c r="H131" t="s">
        <v>223</v>
      </c>
      <c r="I131" t="s">
        <v>224</v>
      </c>
      <c r="J131" t="s">
        <v>225</v>
      </c>
      <c r="K131" t="s">
        <v>105</v>
      </c>
      <c r="AB131" s="190"/>
      <c r="AC131" s="97" t="s">
        <v>219</v>
      </c>
      <c r="AD131" s="97" t="s">
        <v>221</v>
      </c>
      <c r="AE131" s="97" t="s">
        <v>224</v>
      </c>
      <c r="AF131" s="97" t="s">
        <v>228</v>
      </c>
      <c r="AG131" s="97" t="s">
        <v>105</v>
      </c>
    </row>
    <row r="132" spans="1:33">
      <c r="A132" s="652" t="s">
        <v>114</v>
      </c>
      <c r="B132" s="25">
        <v>148900000000</v>
      </c>
      <c r="C132" s="25">
        <v>2878000000</v>
      </c>
      <c r="D132" s="25"/>
      <c r="E132" s="25">
        <v>7000000000</v>
      </c>
      <c r="F132" s="25">
        <v>155215000000</v>
      </c>
      <c r="G132" s="25">
        <v>9700000000</v>
      </c>
      <c r="H132" s="25"/>
      <c r="I132" s="25">
        <v>35000000000</v>
      </c>
      <c r="J132" s="25">
        <v>10000000000</v>
      </c>
      <c r="K132" s="25">
        <v>368693000000</v>
      </c>
      <c r="L132" s="25"/>
      <c r="M132" s="25"/>
      <c r="N132" s="25"/>
      <c r="O132" s="25"/>
      <c r="P132" s="25"/>
      <c r="Q132" s="25"/>
      <c r="R132" s="25"/>
      <c r="S132" s="25"/>
      <c r="T132" s="25"/>
      <c r="U132" s="25"/>
      <c r="V132" s="25"/>
      <c r="W132" s="25"/>
      <c r="X132" s="25"/>
      <c r="Y132" s="25"/>
      <c r="Z132" s="25"/>
      <c r="AA132" s="25"/>
      <c r="AB132" s="190"/>
      <c r="AC132" s="137" cm="1">
        <f t="array" ref="AC132">IFERROR(SUM(AC133:AC136)/INDEX($B132:$E132,,MATCH(AC$131,$B$131:$E$131,0)),0)</f>
        <v>4.3758898589657487E-2</v>
      </c>
      <c r="AD132" s="137" cm="1">
        <f t="array" ref="AD132">IFERROR(SUM(AD133:AD136)/INDEX($B132:$E132,,MATCH(AD$131,$B$131:$E$131,0)),0)</f>
        <v>0</v>
      </c>
      <c r="AE132" s="137" cm="1">
        <f t="array" ref="AE132">IFERROR(SUM(AE133:AE136)/INDEX($B132:$E132,,MATCH(AE$131,$B$131:$E$131,0)),0)</f>
        <v>0</v>
      </c>
      <c r="AF132" s="137" cm="1">
        <f t="array" ref="AF132">IFERROR(SUM(AF133:AF136)/INDEX($B132:$E132,,MATCH(AF$131,$B$131:$E$131,0)),0)</f>
        <v>2.6379430159833218E-2</v>
      </c>
      <c r="AG132" s="188"/>
    </row>
    <row r="133" spans="1:33">
      <c r="A133" s="887">
        <v>4.5999999999999999E-2</v>
      </c>
      <c r="B133" s="25"/>
      <c r="C133" s="25"/>
      <c r="D133" s="25"/>
      <c r="E133" s="25"/>
      <c r="F133" s="25"/>
      <c r="G133" s="25"/>
      <c r="H133" s="25"/>
      <c r="I133" s="25">
        <v>19000000000</v>
      </c>
      <c r="J133" s="25">
        <v>8000000000</v>
      </c>
      <c r="K133" s="25">
        <v>27000000000</v>
      </c>
      <c r="L133" s="25"/>
      <c r="M133" s="25"/>
      <c r="N133" s="25"/>
      <c r="O133" s="25"/>
      <c r="P133" s="25"/>
      <c r="Q133" s="25"/>
      <c r="R133" s="25"/>
      <c r="S133" s="25"/>
      <c r="T133" s="25"/>
      <c r="U133" s="25"/>
      <c r="V133" s="25"/>
      <c r="W133" s="25"/>
      <c r="X133" s="25"/>
      <c r="Y133" s="25"/>
      <c r="Z133" s="25"/>
      <c r="AA133" s="25"/>
      <c r="AB133" s="190"/>
      <c r="AC133" s="230" cm="1">
        <f t="array" ref="AC133">$A133*IFERROR(INDEX($B133:$E133,,MATCH(AC$47,$B$131:$E$131,0)),0)</f>
        <v>0</v>
      </c>
      <c r="AD133" s="230" cm="1">
        <f t="array" ref="AD133">$A133*IFERROR(INDEX($B133:$E133,,MATCH(AD$47,$B$131:$E$131,0)),0)</f>
        <v>0</v>
      </c>
      <c r="AE133" s="230" cm="1">
        <f t="array" ref="AE133">$A133*IFERROR(INDEX($B133:$E133,,MATCH(AE$47,$B$131:$E$131,0)),0)</f>
        <v>0</v>
      </c>
      <c r="AF133" s="230" cm="1">
        <f t="array" ref="AF133">$A133*IFERROR(INDEX($B133:$E133,,MATCH(AF$47,$B$131:$E$131,0)),0)</f>
        <v>0</v>
      </c>
      <c r="AG133" s="189"/>
    </row>
    <row r="134" spans="1:33">
      <c r="A134" s="651">
        <v>5.1999999999999998E-2</v>
      </c>
      <c r="B134" s="25"/>
      <c r="C134" s="25">
        <v>1460000000</v>
      </c>
      <c r="D134" s="25"/>
      <c r="E134" s="25"/>
      <c r="F134" s="25"/>
      <c r="G134" s="25"/>
      <c r="H134" s="25"/>
      <c r="I134" s="25"/>
      <c r="J134" s="25"/>
      <c r="K134" s="25">
        <v>1460000000</v>
      </c>
      <c r="L134" s="25"/>
      <c r="M134" s="25"/>
      <c r="N134" s="25"/>
      <c r="O134" s="25"/>
      <c r="P134" s="25"/>
      <c r="Q134" s="25"/>
      <c r="R134" s="25"/>
      <c r="S134" s="25"/>
      <c r="T134" s="25"/>
      <c r="U134" s="25"/>
      <c r="V134" s="25"/>
      <c r="W134" s="25"/>
      <c r="X134" s="25"/>
      <c r="Y134" s="25"/>
      <c r="Z134" s="25"/>
      <c r="AA134" s="25"/>
      <c r="AB134" s="190"/>
      <c r="AC134" s="230" cm="1">
        <f t="array" ref="AC134">$A134*IFERROR(INDEX($B134:$E134,,MATCH(AC$47,$B$131:$E$131,0)),0)</f>
        <v>0</v>
      </c>
      <c r="AD134" s="230" cm="1">
        <f t="array" ref="AD134">$A134*IFERROR(INDEX($B134:$E134,,MATCH(AD$47,$B$131:$E$131,0)),0)</f>
        <v>0</v>
      </c>
      <c r="AE134" s="230" cm="1">
        <f t="array" ref="AE134">$A134*IFERROR(INDEX($B134:$E134,,MATCH(AE$47,$B$131:$E$131,0)),0)</f>
        <v>0</v>
      </c>
      <c r="AF134" s="230" cm="1">
        <f t="array" ref="AF134">$A134*IFERROR(INDEX($B134:$E134,,MATCH(AF$47,$B$131:$E$131,0)),0)</f>
        <v>75920000</v>
      </c>
      <c r="AG134" s="189"/>
    </row>
    <row r="135" spans="1:33">
      <c r="A135" s="651">
        <v>4.2999999999999997E-2</v>
      </c>
      <c r="B135" s="25">
        <v>92400000000</v>
      </c>
      <c r="C135" s="25"/>
      <c r="D135" s="25"/>
      <c r="E135" s="25">
        <v>7000000000</v>
      </c>
      <c r="F135" s="25"/>
      <c r="G135" s="25"/>
      <c r="H135" s="25"/>
      <c r="I135" s="25"/>
      <c r="J135" s="25"/>
      <c r="K135" s="25">
        <v>99400000000</v>
      </c>
      <c r="L135" s="25"/>
      <c r="M135" s="25"/>
      <c r="N135" s="25"/>
      <c r="O135" s="25"/>
      <c r="P135" s="25"/>
      <c r="Q135" s="25"/>
      <c r="R135" s="25"/>
      <c r="S135" s="25"/>
      <c r="T135" s="25"/>
      <c r="U135" s="25"/>
      <c r="V135" s="25"/>
      <c r="W135" s="25"/>
      <c r="X135" s="25"/>
      <c r="Y135" s="25"/>
      <c r="Z135" s="25"/>
      <c r="AA135" s="25"/>
      <c r="AB135" s="190"/>
      <c r="AC135" s="230" cm="1">
        <f t="array" ref="AC135">$A135*IFERROR(INDEX($B135:$E135,,MATCH(AC$47,$B$131:$E$131,0)),0)</f>
        <v>3973199999.9999995</v>
      </c>
      <c r="AD135" s="230" cm="1">
        <f t="array" ref="AD135">$A135*IFERROR(INDEX($B135:$E135,,MATCH(AD$47,$B$131:$E$131,0)),0)</f>
        <v>0</v>
      </c>
      <c r="AE135" s="230" cm="1">
        <f t="array" ref="AE135">$A135*IFERROR(INDEX($B135:$E135,,MATCH(AE$47,$B$131:$E$131,0)),0)</f>
        <v>0</v>
      </c>
      <c r="AF135" s="230" cm="1">
        <f t="array" ref="AF135">$A135*IFERROR(INDEX($B135:$E135,,MATCH(AF$47,$B$131:$E$131,0)),0)</f>
        <v>0</v>
      </c>
      <c r="AG135" s="189"/>
    </row>
    <row r="136" spans="1:33">
      <c r="A136" s="651">
        <v>4.4999999999999998E-2</v>
      </c>
      <c r="B136" s="25">
        <v>56500000000</v>
      </c>
      <c r="C136" s="25"/>
      <c r="D136" s="25"/>
      <c r="E136" s="25"/>
      <c r="F136" s="25">
        <v>125215000000</v>
      </c>
      <c r="G136" s="25">
        <v>9700000000</v>
      </c>
      <c r="H136" s="25"/>
      <c r="I136" s="25">
        <v>6400000000</v>
      </c>
      <c r="J136" s="25">
        <v>2000000000</v>
      </c>
      <c r="K136" s="25">
        <v>199815000000</v>
      </c>
      <c r="L136" s="25"/>
      <c r="M136" s="25"/>
      <c r="N136" s="25"/>
      <c r="O136" s="25"/>
      <c r="P136" s="25"/>
      <c r="Q136" s="25"/>
      <c r="R136" s="25"/>
      <c r="S136" s="25"/>
      <c r="T136" s="25"/>
      <c r="U136" s="25"/>
      <c r="V136" s="25"/>
      <c r="W136" s="25"/>
      <c r="X136" s="25"/>
      <c r="Y136" s="25"/>
      <c r="Z136" s="25"/>
      <c r="AA136" s="25"/>
      <c r="AB136" s="190"/>
      <c r="AC136" s="230" cm="1">
        <f t="array" ref="AC136">$A136*IFERROR(INDEX($B136:$E136,,MATCH(AC$47,$B$131:$E$131,0)),0)</f>
        <v>2542500000</v>
      </c>
      <c r="AD136" s="230" cm="1">
        <f t="array" ref="AD136">$A136*IFERROR(INDEX($B136:$E136,,MATCH(AD$47,$B$131:$E$131,0)),0)</f>
        <v>0</v>
      </c>
      <c r="AE136" s="230" cm="1">
        <f t="array" ref="AE136">$A136*IFERROR(INDEX($B136:$E136,,MATCH(AE$47,$B$131:$E$131,0)),0)</f>
        <v>0</v>
      </c>
      <c r="AF136" s="230" cm="1">
        <f t="array" ref="AF136">$A136*IFERROR(INDEX($B136:$E136,,MATCH(AF$47,$B$131:$E$131,0)),0)</f>
        <v>0</v>
      </c>
      <c r="AG136" s="189"/>
    </row>
    <row r="137" spans="1:33">
      <c r="A137" s="651">
        <v>4.8000000000000001E-2</v>
      </c>
      <c r="B137" s="25"/>
      <c r="C137" s="25"/>
      <c r="D137" s="25"/>
      <c r="E137" s="25"/>
      <c r="F137" s="25"/>
      <c r="G137" s="25"/>
      <c r="H137" s="25"/>
      <c r="I137" s="25">
        <v>2500000000</v>
      </c>
      <c r="J137" s="25"/>
      <c r="K137" s="25">
        <v>2500000000</v>
      </c>
      <c r="L137" s="25"/>
      <c r="M137" s="25"/>
      <c r="N137" s="25"/>
      <c r="O137" s="25"/>
      <c r="P137" s="25"/>
      <c r="Q137" s="25"/>
      <c r="R137" s="25"/>
      <c r="S137" s="25"/>
      <c r="T137" s="25"/>
      <c r="U137" s="25"/>
      <c r="V137" s="25"/>
      <c r="W137" s="25"/>
      <c r="X137" s="25"/>
      <c r="Y137" s="25"/>
      <c r="Z137" s="25"/>
      <c r="AA137" s="25"/>
      <c r="AB137" s="190"/>
      <c r="AC137" s="138" cm="1">
        <f t="array" ref="AC137">IFERROR(SUM(AC138)/INDEX($B138:$E138,,MATCH(AC$131,$B$131:$E$131,0)),0)</f>
        <v>0</v>
      </c>
      <c r="AD137" s="138" cm="1">
        <f t="array" ref="AD137">IFERROR(SUM(AD138)/INDEX($B138:$E138,,MATCH(AD$131,$B$131:$E$131,0)),0)</f>
        <v>0</v>
      </c>
      <c r="AE137" s="138" cm="1">
        <f t="array" ref="AE137">IFERROR(SUM(AE138)/INDEX($B138:$E138,,MATCH(AE$131,$B$131:$E$131,0)),0)</f>
        <v>0</v>
      </c>
      <c r="AF137" s="138" cm="1">
        <f t="array" ref="AF137">IFERROR(SUM(AF138)/INDEX($B138:$E138,,MATCH(AF$131,$B$131:$E$131,0)),0)</f>
        <v>0</v>
      </c>
      <c r="AG137" s="188"/>
    </row>
    <row r="138" spans="1:33">
      <c r="A138" s="651">
        <v>2.9000000000000001E-2</v>
      </c>
      <c r="B138" s="25"/>
      <c r="C138" s="25"/>
      <c r="D138" s="25"/>
      <c r="E138" s="25"/>
      <c r="F138" s="25"/>
      <c r="G138" s="25"/>
      <c r="H138" s="25"/>
      <c r="I138" s="25">
        <v>2700000000</v>
      </c>
      <c r="J138" s="25"/>
      <c r="K138" s="25">
        <v>2700000000</v>
      </c>
      <c r="L138" s="25"/>
      <c r="M138" s="25"/>
      <c r="N138" s="25"/>
      <c r="O138" s="25"/>
      <c r="P138" s="25"/>
      <c r="Q138" s="25"/>
      <c r="R138" s="25"/>
      <c r="S138" s="25"/>
      <c r="T138" s="25"/>
      <c r="U138" s="25"/>
      <c r="V138" s="25"/>
      <c r="W138" s="25"/>
      <c r="X138" s="25"/>
      <c r="Y138" s="25"/>
      <c r="Z138" s="25"/>
      <c r="AA138" s="25"/>
      <c r="AB138" s="190"/>
      <c r="AC138" s="230" cm="1">
        <f t="array" ref="AC138">$A138*IFERROR(INDEX($B138:$E138,,MATCH(AC$47,$B$131:$E$131,0)),0)</f>
        <v>0</v>
      </c>
      <c r="AD138" s="230" cm="1">
        <f t="array" ref="AD138">$A138*IFERROR(INDEX($B138:$E138,,MATCH(AD$47,$B$131:$E$131,0)),0)</f>
        <v>0</v>
      </c>
      <c r="AE138" s="230" cm="1">
        <f t="array" ref="AE138">$A138*IFERROR(INDEX($B138:$E138,,MATCH(AE$47,$B$131:$E$131,0)),0)</f>
        <v>0</v>
      </c>
      <c r="AF138" s="230" cm="1">
        <f t="array" ref="AF138">$A138*IFERROR(INDEX($B138:$E138,,MATCH(AF$47,$B$131:$E$131,0)),0)</f>
        <v>0</v>
      </c>
      <c r="AG138" s="189"/>
    </row>
    <row r="139" spans="1:33">
      <c r="A139" s="651">
        <v>4.2000000000000003E-2</v>
      </c>
      <c r="B139" s="25"/>
      <c r="C139" s="25">
        <v>1418000000</v>
      </c>
      <c r="D139" s="25"/>
      <c r="E139" s="25"/>
      <c r="F139" s="25"/>
      <c r="G139" s="25"/>
      <c r="H139" s="25"/>
      <c r="I139" s="25">
        <v>4400000000</v>
      </c>
      <c r="J139" s="25"/>
      <c r="K139" s="25">
        <v>5818000000</v>
      </c>
      <c r="L139" s="25"/>
      <c r="M139" s="25"/>
      <c r="N139" s="25"/>
      <c r="O139" s="25"/>
      <c r="P139" s="25"/>
      <c r="Q139" s="25"/>
      <c r="R139" s="25"/>
      <c r="S139" s="25"/>
      <c r="T139" s="25"/>
      <c r="U139" s="25"/>
      <c r="V139" s="25"/>
      <c r="W139" s="25"/>
      <c r="X139" s="25"/>
      <c r="Y139" s="25"/>
      <c r="Z139" s="25"/>
      <c r="AA139" s="25"/>
      <c r="AB139" s="190"/>
      <c r="AC139" s="138" cm="1">
        <f t="array" ref="AC139">IFERROR(SUM(AC140:AC141)/INDEX($B139:$E139,,MATCH(AC$131,$B$131:$E$131,0)),0)</f>
        <v>0</v>
      </c>
      <c r="AD139" s="138" cm="1">
        <f t="array" ref="AD139">IFERROR(SUM(AD140:AD141)/INDEX($B139:$E139,,MATCH(AD$131,$B$131:$E$131,0)),0)</f>
        <v>0</v>
      </c>
      <c r="AE139" s="138" cm="1">
        <f t="array" ref="AE139">IFERROR(SUM(AE140:AE141)/INDEX($B139:$E139,,MATCH(AE$131,$B$131:$E$131,0)),0)</f>
        <v>0</v>
      </c>
      <c r="AF139" s="138" cm="1">
        <f t="array" ref="AF139">IFERROR(SUM(AF140:AF141)/INDEX($B139:$E139,,MATCH(AF$131,$B$131:$E$131,0)),0)</f>
        <v>0</v>
      </c>
      <c r="AG139" s="188"/>
    </row>
    <row r="140" spans="1:33">
      <c r="A140" s="651">
        <v>4.3999999999999997E-2</v>
      </c>
      <c r="B140" s="25"/>
      <c r="C140" s="25"/>
      <c r="D140" s="25"/>
      <c r="E140" s="25"/>
      <c r="F140" s="25">
        <v>30000000000</v>
      </c>
      <c r="G140" s="25"/>
      <c r="H140" s="25"/>
      <c r="I140" s="25"/>
      <c r="J140" s="25"/>
      <c r="K140" s="25">
        <v>30000000000</v>
      </c>
      <c r="L140" s="25"/>
      <c r="M140" s="25"/>
      <c r="N140" s="25"/>
      <c r="O140" s="25"/>
      <c r="P140" s="25"/>
      <c r="Q140" s="25"/>
      <c r="R140" s="25"/>
      <c r="S140" s="25"/>
      <c r="T140" s="25"/>
      <c r="U140" s="25"/>
      <c r="V140" s="25"/>
      <c r="W140" s="25"/>
      <c r="X140" s="25"/>
      <c r="Y140" s="25"/>
      <c r="Z140" s="25"/>
      <c r="AA140" s="25"/>
      <c r="AB140" s="190"/>
      <c r="AC140" s="230" cm="1">
        <f t="array" ref="AC140">$A140*IFERROR(INDEX($B140:$E140,,MATCH(AC$47,$B$131:$E$131,0)),0)</f>
        <v>0</v>
      </c>
      <c r="AD140" s="230" cm="1">
        <f t="array" ref="AD140">$A140*IFERROR(INDEX($B140:$E140,,MATCH(AD$47,$B$131:$E$131,0)),0)</f>
        <v>0</v>
      </c>
      <c r="AE140" s="230" cm="1">
        <f t="array" ref="AE140">$A140*IFERROR(INDEX($B140:$E140,,MATCH(AE$47,$B$131:$E$131,0)),0)</f>
        <v>0</v>
      </c>
      <c r="AF140" s="230" cm="1">
        <f t="array" ref="AF140">$A140*IFERROR(INDEX($B140:$E140,,MATCH(AF$47,$B$131:$E$131,0)),0)</f>
        <v>0</v>
      </c>
      <c r="AG140" s="189"/>
    </row>
    <row r="141" spans="1:33">
      <c r="A141" s="652" t="s">
        <v>112</v>
      </c>
      <c r="B141" s="25">
        <v>47800000000</v>
      </c>
      <c r="C141" s="25">
        <v>1128000000</v>
      </c>
      <c r="D141" s="25"/>
      <c r="E141" s="25">
        <v>17500000000</v>
      </c>
      <c r="F141" s="25">
        <v>66500000000</v>
      </c>
      <c r="G141" s="25">
        <v>4000000000</v>
      </c>
      <c r="H141" s="25">
        <v>6000000000</v>
      </c>
      <c r="I141" s="25">
        <v>11000000000</v>
      </c>
      <c r="J141" s="25"/>
      <c r="K141" s="25">
        <v>153928000000</v>
      </c>
      <c r="L141" s="25"/>
      <c r="M141" s="25"/>
      <c r="N141" s="25"/>
      <c r="O141" s="25"/>
      <c r="P141" s="25"/>
      <c r="Q141" s="25"/>
      <c r="R141" s="25"/>
      <c r="S141" s="25"/>
      <c r="T141" s="25"/>
      <c r="U141" s="25"/>
      <c r="V141" s="25"/>
      <c r="W141" s="25"/>
      <c r="X141" s="25"/>
      <c r="Y141" s="25"/>
      <c r="Z141" s="25"/>
      <c r="AA141" s="25"/>
      <c r="AB141" s="190"/>
      <c r="AC141" s="230" t="e" cm="1">
        <f t="array" ref="AC141">$A141*IFERROR(INDEX($B141:$E141,,MATCH(AC$47,$B$131:$E$131,0)),0)</f>
        <v>#VALUE!</v>
      </c>
      <c r="AD141" s="230" t="e" cm="1">
        <f t="array" ref="AD141">$A141*IFERROR(INDEX($B141:$E141,,MATCH(AD$47,$B$131:$E$131,0)),0)</f>
        <v>#VALUE!</v>
      </c>
      <c r="AE141" s="230" t="e" cm="1">
        <f t="array" ref="AE141">$A141*IFERROR(INDEX($B141:$E141,,MATCH(AE$47,$B$131:$E$131,0)),0)</f>
        <v>#VALUE!</v>
      </c>
      <c r="AF141" s="230" t="e" cm="1">
        <f t="array" ref="AF141">$A141*IFERROR(INDEX($B141:$E141,,MATCH(AF$47,$B$131:$E$131,0)),0)</f>
        <v>#VALUE!</v>
      </c>
      <c r="AG141" s="189"/>
    </row>
    <row r="142" spans="1:33">
      <c r="A142" s="651">
        <v>4.2999999999999997E-2</v>
      </c>
      <c r="B142" s="25">
        <v>7000000000</v>
      </c>
      <c r="C142" s="25"/>
      <c r="D142" s="25"/>
      <c r="E142" s="25">
        <v>3000000000</v>
      </c>
      <c r="F142" s="25"/>
      <c r="G142" s="25"/>
      <c r="H142" s="25"/>
      <c r="I142" s="25"/>
      <c r="J142" s="25"/>
      <c r="K142" s="25">
        <v>10000000000</v>
      </c>
      <c r="L142" s="25"/>
      <c r="M142" s="25"/>
      <c r="N142" s="25"/>
      <c r="O142" s="25"/>
      <c r="P142" s="25"/>
      <c r="Q142" s="25"/>
      <c r="R142" s="25"/>
      <c r="S142" s="25"/>
      <c r="T142" s="25"/>
      <c r="U142" s="25"/>
      <c r="V142" s="25"/>
      <c r="W142" s="25"/>
      <c r="X142" s="25"/>
      <c r="Y142" s="25"/>
      <c r="Z142" s="25"/>
      <c r="AA142" s="25"/>
      <c r="AB142" s="190"/>
      <c r="AC142" s="138" cm="1">
        <f t="array" ref="AC142">IFERROR(SUM(AC143:AC148)/INDEX($B142:$E142,,MATCH(AC$131,$B$131:$E$131,0)),0)</f>
        <v>0</v>
      </c>
      <c r="AD142" s="138" cm="1">
        <f t="array" ref="AD142">IFERROR(SUM(AD143:AD148)/INDEX($B142:$E142,,MATCH(AD$131,$B$131:$E$131,0)),0)</f>
        <v>0</v>
      </c>
      <c r="AE142" s="138" cm="1">
        <f t="array" ref="AE142">IFERROR(SUM(AE143:AE148)/INDEX($B142:$E142,,MATCH(AE$131,$B$131:$E$131,0)),0)</f>
        <v>0</v>
      </c>
      <c r="AF142" s="138" cm="1">
        <f t="array" ref="AF142">IFERROR(SUM(AF143:AF148)/INDEX($B142:$E142,,MATCH(AF$131,$B$131:$E$131,0)),0)</f>
        <v>0</v>
      </c>
      <c r="AG142" s="188"/>
    </row>
    <row r="143" spans="1:33">
      <c r="A143" s="651">
        <v>4.1000000000000002E-2</v>
      </c>
      <c r="B143" s="25"/>
      <c r="C143" s="25">
        <v>1128000000</v>
      </c>
      <c r="D143" s="25"/>
      <c r="E143" s="25"/>
      <c r="F143" s="25"/>
      <c r="G143" s="25"/>
      <c r="H143" s="25"/>
      <c r="I143" s="25"/>
      <c r="J143" s="25"/>
      <c r="K143" s="25">
        <v>1128000000</v>
      </c>
      <c r="L143" s="25"/>
      <c r="M143" s="25"/>
      <c r="N143" s="25"/>
      <c r="O143" s="25"/>
      <c r="P143" s="25"/>
      <c r="Q143" s="25"/>
      <c r="R143" s="25"/>
      <c r="S143" s="25"/>
      <c r="T143" s="25"/>
      <c r="U143" s="25"/>
      <c r="V143" s="25"/>
      <c r="W143" s="25"/>
      <c r="X143" s="25"/>
      <c r="Y143" s="25"/>
      <c r="Z143" s="25"/>
      <c r="AA143" s="25"/>
      <c r="AB143" s="190"/>
      <c r="AC143" s="230" cm="1">
        <f t="array" ref="AC143">$A143*IFERROR(INDEX($B143:$E143,,MATCH(AC$47,$B$131:$E$131,0)),0)</f>
        <v>0</v>
      </c>
      <c r="AD143" s="230" cm="1">
        <f t="array" ref="AD143">$A143*IFERROR(INDEX($B143:$E143,,MATCH(AD$47,$B$131:$E$131,0)),0)</f>
        <v>0</v>
      </c>
      <c r="AE143" s="230" cm="1">
        <f t="array" ref="AE143">$A143*IFERROR(INDEX($B143:$E143,,MATCH(AE$47,$B$131:$E$131,0)),0)</f>
        <v>0</v>
      </c>
      <c r="AF143" s="230" cm="1">
        <f t="array" ref="AF143">$A143*IFERROR(INDEX($B143:$E143,,MATCH(AF$47,$B$131:$E$131,0)),0)</f>
        <v>46248000</v>
      </c>
      <c r="AG143" s="189"/>
    </row>
    <row r="144" spans="1:33">
      <c r="A144" s="651">
        <v>4.4999999999999998E-2</v>
      </c>
      <c r="B144" s="25">
        <v>40800000000</v>
      </c>
      <c r="C144" s="25"/>
      <c r="D144" s="25"/>
      <c r="E144" s="25">
        <v>14500000000</v>
      </c>
      <c r="F144" s="25">
        <v>66500000000</v>
      </c>
      <c r="G144" s="25">
        <v>4000000000</v>
      </c>
      <c r="H144" s="25">
        <v>6000000000</v>
      </c>
      <c r="I144" s="25"/>
      <c r="J144" s="25"/>
      <c r="K144" s="25">
        <v>131800000000</v>
      </c>
      <c r="L144" s="25"/>
      <c r="M144" s="25"/>
      <c r="N144" s="25"/>
      <c r="O144" s="25"/>
      <c r="P144" s="25"/>
      <c r="Q144" s="25"/>
      <c r="R144" s="25"/>
      <c r="S144" s="25"/>
      <c r="T144" s="25"/>
      <c r="U144" s="25"/>
      <c r="V144" s="25"/>
      <c r="W144" s="25"/>
      <c r="X144" s="25"/>
      <c r="Y144" s="25"/>
      <c r="Z144" s="25"/>
      <c r="AA144" s="25"/>
      <c r="AB144" s="190"/>
      <c r="AC144" s="230" cm="1">
        <f t="array" ref="AC144">$A144*IFERROR(INDEX($B144:$E144,,MATCH(AC$47,$B$131:$E$131,0)),0)</f>
        <v>1836000000</v>
      </c>
      <c r="AD144" s="230" cm="1">
        <f t="array" ref="AD144">$A144*IFERROR(INDEX($B144:$E144,,MATCH(AD$47,$B$131:$E$131,0)),0)</f>
        <v>0</v>
      </c>
      <c r="AE144" s="230" cm="1">
        <f t="array" ref="AE144">$A144*IFERROR(INDEX($B144:$E144,,MATCH(AE$47,$B$131:$E$131,0)),0)</f>
        <v>0</v>
      </c>
      <c r="AF144" s="230" cm="1">
        <f t="array" ref="AF144">$A144*IFERROR(INDEX($B144:$E144,,MATCH(AF$47,$B$131:$E$131,0)),0)</f>
        <v>0</v>
      </c>
      <c r="AG144" s="189"/>
    </row>
    <row r="145" spans="1:33">
      <c r="A145" s="651">
        <v>4.8000000000000001E-2</v>
      </c>
      <c r="B145" s="25"/>
      <c r="C145" s="25"/>
      <c r="D145" s="25"/>
      <c r="E145" s="25"/>
      <c r="F145" s="25"/>
      <c r="G145" s="25"/>
      <c r="H145" s="25"/>
      <c r="I145" s="25">
        <v>11000000000</v>
      </c>
      <c r="J145" s="25"/>
      <c r="K145" s="25">
        <v>11000000000</v>
      </c>
      <c r="L145" s="25"/>
      <c r="M145" s="25"/>
      <c r="N145" s="25"/>
      <c r="O145" s="25"/>
      <c r="P145" s="25"/>
      <c r="Q145" s="25"/>
      <c r="R145" s="25"/>
      <c r="S145" s="25"/>
      <c r="T145" s="25"/>
      <c r="U145" s="25"/>
      <c r="V145" s="25"/>
      <c r="W145" s="25"/>
      <c r="X145" s="25"/>
      <c r="Y145" s="25"/>
      <c r="Z145" s="25"/>
      <c r="AA145" s="25"/>
      <c r="AB145" s="190"/>
      <c r="AC145" s="230" cm="1">
        <f t="array" ref="AC145">$A145*IFERROR(INDEX($B145:$E145,,MATCH(AC$47,$B$131:$E$131,0)),0)</f>
        <v>0</v>
      </c>
      <c r="AD145" s="230" cm="1">
        <f t="array" ref="AD145">$A145*IFERROR(INDEX($B145:$E145,,MATCH(AD$47,$B$131:$E$131,0)),0)</f>
        <v>0</v>
      </c>
      <c r="AE145" s="230" cm="1">
        <f t="array" ref="AE145">$A145*IFERROR(INDEX($B145:$E145,,MATCH(AE$47,$B$131:$E$131,0)),0)</f>
        <v>0</v>
      </c>
      <c r="AF145" s="230" cm="1">
        <f t="array" ref="AF145">$A145*IFERROR(INDEX($B145:$E145,,MATCH(AF$47,$B$131:$E$131,0)),0)</f>
        <v>0</v>
      </c>
      <c r="AG145" s="189"/>
    </row>
    <row r="146" spans="1:33">
      <c r="A146" s="652" t="s">
        <v>110</v>
      </c>
      <c r="B146" s="25">
        <v>449551182467</v>
      </c>
      <c r="C146" s="25">
        <v>7521354342</v>
      </c>
      <c r="D146" s="25">
        <v>5925568608</v>
      </c>
      <c r="E146" s="25">
        <v>100996854000</v>
      </c>
      <c r="F146" s="25">
        <v>100400000000</v>
      </c>
      <c r="G146" s="25">
        <v>6000000000</v>
      </c>
      <c r="H146" s="25">
        <v>9000000000</v>
      </c>
      <c r="I146" s="25">
        <v>32950000000</v>
      </c>
      <c r="J146" s="25"/>
      <c r="K146" s="25">
        <v>712344959417</v>
      </c>
      <c r="L146" s="25"/>
      <c r="M146" s="25"/>
      <c r="N146" s="25"/>
      <c r="O146" s="25"/>
      <c r="P146" s="25"/>
      <c r="Q146" s="25"/>
      <c r="R146" s="25"/>
      <c r="S146" s="25"/>
      <c r="T146" s="25"/>
      <c r="U146" s="25"/>
      <c r="V146" s="25"/>
      <c r="W146" s="25"/>
      <c r="X146" s="25"/>
      <c r="Y146" s="25"/>
      <c r="Z146" s="25"/>
      <c r="AA146" s="25"/>
      <c r="AB146" s="190"/>
      <c r="AC146" s="230" t="e" cm="1">
        <f t="array" ref="AC146">$A146*IFERROR(INDEX($B146:$E146,,MATCH(AC$47,$B$131:$E$131,0)),0)</f>
        <v>#VALUE!</v>
      </c>
      <c r="AD146" s="230" t="e" cm="1">
        <f t="array" ref="AD146">$A146*IFERROR(INDEX($B146:$E146,,MATCH(AD$47,$B$131:$E$131,0)),0)</f>
        <v>#VALUE!</v>
      </c>
      <c r="AE146" s="230" t="e" cm="1">
        <f t="array" ref="AE146">$A146*IFERROR(INDEX($B146:$E146,,MATCH(AE$47,$B$131:$E$131,0)),0)</f>
        <v>#VALUE!</v>
      </c>
      <c r="AF146" s="230" t="e" cm="1">
        <f t="array" ref="AF146">$A146*IFERROR(INDEX($B146:$E146,,MATCH(AF$47,$B$131:$E$131,0)),0)</f>
        <v>#VALUE!</v>
      </c>
      <c r="AG146" s="189"/>
    </row>
    <row r="147" spans="1:33">
      <c r="A147" s="651">
        <v>4.7E-2</v>
      </c>
      <c r="B147" s="25"/>
      <c r="C147" s="25"/>
      <c r="D147" s="25">
        <v>5925568608</v>
      </c>
      <c r="E147" s="25"/>
      <c r="F147" s="25"/>
      <c r="G147" s="25"/>
      <c r="H147" s="25"/>
      <c r="I147" s="25"/>
      <c r="J147" s="25"/>
      <c r="K147" s="25">
        <v>5925568608</v>
      </c>
      <c r="L147" s="25"/>
      <c r="M147" s="25"/>
      <c r="N147" s="25"/>
      <c r="O147" s="25"/>
      <c r="P147" s="25"/>
      <c r="Q147" s="25"/>
      <c r="R147" s="25"/>
      <c r="S147" s="25"/>
      <c r="T147" s="25"/>
      <c r="U147" s="25"/>
      <c r="V147" s="25"/>
      <c r="W147" s="25"/>
      <c r="X147" s="25"/>
      <c r="Y147" s="25"/>
      <c r="Z147" s="25"/>
      <c r="AA147" s="25"/>
      <c r="AB147" s="190"/>
      <c r="AC147" s="230" cm="1">
        <f t="array" ref="AC147">$A147*IFERROR(INDEX($B147:$E147,,MATCH(AC$47,$B$131:$E$131,0)),0)</f>
        <v>0</v>
      </c>
      <c r="AD147" s="230" cm="1">
        <f t="array" ref="AD147">$A147*IFERROR(INDEX($B147:$E147,,MATCH(AD$47,$B$131:$E$131,0)),0)</f>
        <v>0</v>
      </c>
      <c r="AE147" s="230" cm="1">
        <f t="array" ref="AE147">$A147*IFERROR(INDEX($B147:$E147,,MATCH(AE$47,$B$131:$E$131,0)),0)</f>
        <v>0</v>
      </c>
      <c r="AF147" s="230" cm="1">
        <f t="array" ref="AF147">$A147*IFERROR(INDEX($B147:$E147,,MATCH(AF$47,$B$131:$E$131,0)),0)</f>
        <v>0</v>
      </c>
      <c r="AG147" s="189"/>
    </row>
    <row r="148" spans="1:33">
      <c r="A148" s="651">
        <v>4.2999999999999997E-2</v>
      </c>
      <c r="B148" s="25">
        <v>382550000000</v>
      </c>
      <c r="C148" s="25"/>
      <c r="D148" s="25"/>
      <c r="E148" s="25">
        <v>100996854000</v>
      </c>
      <c r="F148" s="25">
        <v>34000000000</v>
      </c>
      <c r="G148" s="25"/>
      <c r="H148" s="25"/>
      <c r="I148" s="25"/>
      <c r="J148" s="25"/>
      <c r="K148" s="25">
        <v>517546854000</v>
      </c>
      <c r="L148" s="25"/>
      <c r="M148" s="25"/>
      <c r="N148" s="25"/>
      <c r="O148" s="25"/>
      <c r="P148" s="25"/>
      <c r="Q148" s="25"/>
      <c r="R148" s="25"/>
      <c r="S148" s="25"/>
      <c r="T148" s="25"/>
      <c r="U148" s="25"/>
      <c r="V148" s="25"/>
      <c r="W148" s="25"/>
      <c r="X148" s="25"/>
      <c r="Y148" s="25"/>
      <c r="Z148" s="25"/>
      <c r="AA148" s="25"/>
      <c r="AB148" s="190"/>
      <c r="AC148" s="230" cm="1">
        <f t="array" ref="AC148">$A148*IFERROR(INDEX($B148:$E148,,MATCH(AC$47,$B$131:$E$131,0)),0)</f>
        <v>16449649999.999998</v>
      </c>
      <c r="AD148" s="230" cm="1">
        <f t="array" ref="AD148">$A148*IFERROR(INDEX($B148:$E148,,MATCH(AD$47,$B$131:$E$131,0)),0)</f>
        <v>0</v>
      </c>
      <c r="AE148" s="230" cm="1">
        <f t="array" ref="AE148">$A148*IFERROR(INDEX($B148:$E148,,MATCH(AE$47,$B$131:$E$131,0)),0)</f>
        <v>0</v>
      </c>
      <c r="AF148" s="230" cm="1">
        <f t="array" ref="AF148">$A148*IFERROR(INDEX($B148:$E148,,MATCH(AF$47,$B$131:$E$131,0)),0)</f>
        <v>0</v>
      </c>
      <c r="AG148" s="189"/>
    </row>
    <row r="149" spans="1:33">
      <c r="A149" s="651">
        <v>4.4999999999999998E-2</v>
      </c>
      <c r="B149" s="25">
        <v>67001182467</v>
      </c>
      <c r="C149" s="25"/>
      <c r="D149" s="25"/>
      <c r="E149" s="25"/>
      <c r="F149" s="25">
        <v>66400000000</v>
      </c>
      <c r="G149" s="25">
        <v>6000000000</v>
      </c>
      <c r="H149" s="25"/>
      <c r="I149" s="25">
        <v>21050000000</v>
      </c>
      <c r="J149" s="25"/>
      <c r="K149" s="25">
        <v>160451182467</v>
      </c>
      <c r="L149" s="25"/>
      <c r="M149" s="25"/>
      <c r="N149" s="25"/>
      <c r="O149" s="25"/>
      <c r="P149" s="25"/>
      <c r="Q149" s="25"/>
      <c r="R149" s="25"/>
      <c r="S149" s="25"/>
      <c r="T149" s="25"/>
      <c r="U149" s="25"/>
      <c r="V149" s="25"/>
      <c r="W149" s="25"/>
      <c r="X149" s="25"/>
      <c r="Y149" s="25"/>
      <c r="Z149" s="25"/>
      <c r="AA149" s="25"/>
      <c r="AB149" s="190"/>
      <c r="AC149" s="138" cm="1">
        <f t="array" ref="AC149">IFERROR(SUM(AC150)/INDEX($B149:$E149,,MATCH(AC$131,$B$131:$E$131,0)),0)</f>
        <v>0</v>
      </c>
      <c r="AD149" s="138" cm="1">
        <f t="array" ref="AD149">IFERROR(SUM(AD150)/INDEX($B149:$E149,,MATCH(AD$131,$B$131:$E$131,0)),0)</f>
        <v>0</v>
      </c>
      <c r="AE149" s="138" cm="1">
        <f t="array" ref="AE149">IFERROR(SUM(AE150)/INDEX($B149:$E149,,MATCH(AE$131,$B$131:$E$131,0)),0)</f>
        <v>0</v>
      </c>
      <c r="AF149" s="138" cm="1">
        <f t="array" ref="AF149">IFERROR(SUM(AF150)/INDEX($B149:$E149,,MATCH(AF$131,$B$131:$E$131,0)),0)</f>
        <v>0</v>
      </c>
      <c r="AG149" s="188"/>
    </row>
    <row r="150" spans="1:33">
      <c r="A150" s="651">
        <v>2.9000000000000001E-2</v>
      </c>
      <c r="B150" s="25"/>
      <c r="C150" s="25"/>
      <c r="D150" s="25"/>
      <c r="E150" s="25"/>
      <c r="F150" s="25"/>
      <c r="G150" s="25"/>
      <c r="H150" s="25"/>
      <c r="I150" s="25">
        <v>900000000</v>
      </c>
      <c r="J150" s="25"/>
      <c r="K150" s="25">
        <v>900000000</v>
      </c>
      <c r="L150" s="25"/>
      <c r="M150" s="25"/>
      <c r="N150" s="25"/>
      <c r="O150" s="25"/>
      <c r="P150" s="25"/>
      <c r="Q150" s="25"/>
      <c r="R150" s="25"/>
      <c r="S150" s="25"/>
      <c r="T150" s="25"/>
      <c r="U150" s="25"/>
      <c r="V150" s="25"/>
      <c r="W150" s="25"/>
      <c r="X150" s="25"/>
      <c r="Y150" s="25"/>
      <c r="Z150" s="25"/>
      <c r="AA150" s="25"/>
      <c r="AB150" s="190"/>
      <c r="AC150" s="230" cm="1">
        <f t="array" ref="AC150">$A150*IFERROR(INDEX($B150:$E150,,MATCH(AC$47,$B$131:$E$131,0)),0)</f>
        <v>0</v>
      </c>
      <c r="AD150" s="230" cm="1">
        <f t="array" ref="AD150">$A150*IFERROR(INDEX($B150:$E150,,MATCH(AD$47,$B$131:$E$131,0)),0)</f>
        <v>0</v>
      </c>
      <c r="AE150" s="230" cm="1">
        <f t="array" ref="AE150">$A150*IFERROR(INDEX($B150:$E150,,MATCH(AE$47,$B$131:$E$131,0)),0)</f>
        <v>0</v>
      </c>
      <c r="AF150" s="230" cm="1">
        <f t="array" ref="AF150">$A150*IFERROR(INDEX($B150:$E150,,MATCH(AF$47,$B$131:$E$131,0)),0)</f>
        <v>0</v>
      </c>
      <c r="AG150" s="189"/>
    </row>
    <row r="151" spans="1:33">
      <c r="A151" s="651">
        <v>4.2000000000000003E-2</v>
      </c>
      <c r="B151" s="25"/>
      <c r="C151" s="25">
        <v>7521354342</v>
      </c>
      <c r="D151" s="25"/>
      <c r="E151" s="25"/>
      <c r="F151" s="25"/>
      <c r="G151" s="25"/>
      <c r="H151" s="25">
        <v>9000000000</v>
      </c>
      <c r="I151" s="25"/>
      <c r="J151" s="25"/>
      <c r="K151" s="25">
        <v>16521354342</v>
      </c>
      <c r="L151" s="25"/>
      <c r="M151" s="25"/>
      <c r="N151" s="25"/>
      <c r="O151" s="25"/>
      <c r="P151" s="25"/>
      <c r="Q151" s="25"/>
      <c r="R151" s="25"/>
      <c r="S151" s="25"/>
      <c r="T151" s="25"/>
      <c r="U151" s="25"/>
      <c r="V151" s="25"/>
      <c r="W151" s="25"/>
      <c r="X151" s="25"/>
      <c r="Y151" s="25"/>
      <c r="Z151" s="25"/>
      <c r="AA151" s="25"/>
      <c r="AB151" s="190"/>
      <c r="AC151" s="141" t="e">
        <f>(AC132*B132+AC139*B137++AC142*B142+AC149*B149)/B151</f>
        <v>#DIV/0!</v>
      </c>
      <c r="AD151" s="141">
        <f t="shared" ref="AD151:AF151" si="9">(AD132*C132+AD139*C137++AD142*C142+AD149*C149)/C151</f>
        <v>0</v>
      </c>
      <c r="AE151" s="141" t="e">
        <f t="shared" si="9"/>
        <v>#DIV/0!</v>
      </c>
      <c r="AF151" s="141" t="e">
        <f t="shared" si="9"/>
        <v>#DIV/0!</v>
      </c>
      <c r="AG151" s="136"/>
    </row>
    <row r="152" spans="1:33">
      <c r="A152" s="651">
        <v>4.3999999999999997E-2</v>
      </c>
      <c r="B152" s="25"/>
      <c r="C152" s="25"/>
      <c r="D152" s="25"/>
      <c r="E152" s="25"/>
      <c r="F152" s="25"/>
      <c r="G152" s="25"/>
      <c r="H152" s="25"/>
      <c r="I152" s="25">
        <v>11000000000</v>
      </c>
      <c r="J152" s="25"/>
      <c r="K152" s="25">
        <v>11000000000</v>
      </c>
      <c r="L152" s="25"/>
      <c r="M152" s="25"/>
      <c r="N152" s="25"/>
      <c r="O152" s="25"/>
      <c r="P152" s="25"/>
      <c r="Q152" s="25"/>
      <c r="R152" s="25"/>
      <c r="S152" s="25"/>
      <c r="T152" s="25"/>
      <c r="U152" s="25"/>
      <c r="V152" s="25"/>
      <c r="W152" s="25"/>
      <c r="X152" s="25"/>
      <c r="Y152" s="25"/>
      <c r="Z152" s="25"/>
      <c r="AA152" s="25"/>
      <c r="AB152" s="190"/>
    </row>
    <row r="153" spans="1:33">
      <c r="A153" s="652" t="s">
        <v>198</v>
      </c>
      <c r="B153" s="25">
        <v>16500000000</v>
      </c>
      <c r="C153" s="25">
        <v>5633098111</v>
      </c>
      <c r="D153" s="25"/>
      <c r="E153" s="25"/>
      <c r="F153" s="25">
        <v>40000000000</v>
      </c>
      <c r="G153" s="25"/>
      <c r="H153" s="25"/>
      <c r="I153" s="25"/>
      <c r="J153" s="25"/>
      <c r="K153" s="25">
        <v>62133098111</v>
      </c>
      <c r="L153" s="25"/>
      <c r="M153" s="25"/>
      <c r="N153" s="25"/>
      <c r="O153" s="25"/>
      <c r="P153" s="25"/>
      <c r="Q153" s="25"/>
      <c r="R153" s="25"/>
      <c r="S153" s="25"/>
      <c r="T153" s="25"/>
      <c r="U153" s="25"/>
      <c r="V153" s="25"/>
      <c r="W153" s="25"/>
      <c r="X153" s="25"/>
      <c r="Y153" s="25"/>
      <c r="Z153" s="25"/>
      <c r="AA153" s="25"/>
      <c r="AB153" s="190"/>
    </row>
    <row r="154" spans="1:33">
      <c r="A154" s="651">
        <v>4.1000000000000002E-2</v>
      </c>
      <c r="B154" s="25"/>
      <c r="C154" s="25"/>
      <c r="D154" s="25"/>
      <c r="E154" s="25"/>
      <c r="F154" s="25">
        <v>20000000000</v>
      </c>
      <c r="G154" s="25"/>
      <c r="H154" s="25"/>
      <c r="I154" s="25"/>
      <c r="J154" s="25"/>
      <c r="K154" s="25">
        <v>20000000000</v>
      </c>
      <c r="L154" s="25"/>
      <c r="M154" s="25"/>
      <c r="N154" s="25"/>
      <c r="O154" s="25"/>
      <c r="P154" s="25"/>
      <c r="Q154" s="25"/>
      <c r="R154" s="25"/>
      <c r="S154" s="25"/>
      <c r="T154" s="25"/>
      <c r="U154" s="25"/>
      <c r="V154" s="25"/>
      <c r="W154" s="25"/>
      <c r="X154" s="25"/>
      <c r="Y154" s="25"/>
      <c r="Z154" s="25"/>
      <c r="AA154" s="25"/>
      <c r="AB154" s="190"/>
    </row>
    <row r="155" spans="1:33">
      <c r="A155" s="651">
        <v>4.4999999999999998E-2</v>
      </c>
      <c r="B155" s="25"/>
      <c r="C155" s="25"/>
      <c r="D155" s="25"/>
      <c r="E155" s="25"/>
      <c r="F155" s="25">
        <v>20000000000</v>
      </c>
      <c r="G155" s="25"/>
      <c r="H155" s="25"/>
      <c r="I155" s="25"/>
      <c r="J155" s="25"/>
      <c r="K155" s="25">
        <v>20000000000</v>
      </c>
      <c r="L155" s="25"/>
      <c r="M155" s="25"/>
      <c r="N155" s="25"/>
      <c r="O155" s="25"/>
      <c r="P155" s="25"/>
      <c r="Q155" s="25"/>
      <c r="R155" s="25"/>
      <c r="S155" s="25"/>
      <c r="T155" s="25"/>
      <c r="U155" s="25"/>
      <c r="V155" s="25"/>
      <c r="W155" s="25"/>
      <c r="X155" s="25"/>
      <c r="Y155" s="25"/>
      <c r="Z155" s="25"/>
      <c r="AA155" s="25"/>
      <c r="AB155" s="190"/>
    </row>
    <row r="156" spans="1:33">
      <c r="A156" s="651">
        <v>0.03</v>
      </c>
      <c r="B156" s="25"/>
      <c r="C156" s="25">
        <v>5633098111</v>
      </c>
      <c r="D156" s="25"/>
      <c r="E156" s="25"/>
      <c r="F156" s="25"/>
      <c r="G156" s="25"/>
      <c r="H156" s="25"/>
      <c r="I156" s="25"/>
      <c r="J156" s="25"/>
      <c r="K156" s="25">
        <v>5633098111</v>
      </c>
      <c r="L156" s="25"/>
      <c r="M156" s="25"/>
      <c r="N156" s="25"/>
      <c r="O156" s="25"/>
      <c r="P156" s="25"/>
      <c r="Q156" s="25"/>
      <c r="R156" s="25"/>
      <c r="S156" s="25"/>
      <c r="T156" s="25"/>
      <c r="U156" s="25"/>
      <c r="V156" s="25"/>
      <c r="W156" s="25"/>
      <c r="X156" s="25"/>
      <c r="Y156" s="25"/>
      <c r="Z156" s="25"/>
      <c r="AA156" s="25"/>
      <c r="AB156" s="190"/>
    </row>
    <row r="157" spans="1:33">
      <c r="A157" s="651">
        <v>3.6999999999999998E-2</v>
      </c>
      <c r="B157" s="25">
        <v>16500000000</v>
      </c>
      <c r="C157" s="25"/>
      <c r="D157" s="25"/>
      <c r="E157" s="25"/>
      <c r="F157" s="25"/>
      <c r="G157" s="25"/>
      <c r="H157" s="25"/>
      <c r="I157" s="25"/>
      <c r="J157" s="25"/>
      <c r="K157" s="25">
        <v>16500000000</v>
      </c>
      <c r="L157" s="25"/>
      <c r="M157" s="25"/>
      <c r="N157" s="25"/>
      <c r="O157" s="25"/>
      <c r="P157" s="25"/>
      <c r="Q157" s="25"/>
      <c r="R157" s="25"/>
      <c r="S157" s="25"/>
      <c r="T157" s="25"/>
      <c r="U157" s="25"/>
      <c r="V157" s="25"/>
      <c r="W157" s="25"/>
      <c r="X157" s="25"/>
      <c r="Y157" s="25"/>
      <c r="Z157" s="25"/>
      <c r="AA157" s="25"/>
      <c r="AB157" s="190"/>
    </row>
    <row r="158" spans="1:33">
      <c r="A158" s="652" t="s">
        <v>118</v>
      </c>
      <c r="B158" s="25"/>
      <c r="C158" s="25"/>
      <c r="D158" s="25"/>
      <c r="E158" s="25"/>
      <c r="F158" s="25"/>
      <c r="G158" s="25"/>
      <c r="H158" s="25"/>
      <c r="I158" s="25">
        <v>2600000000</v>
      </c>
      <c r="J158" s="25"/>
      <c r="K158" s="25">
        <v>2600000000</v>
      </c>
      <c r="L158" s="25"/>
      <c r="M158" s="25"/>
      <c r="N158" s="25"/>
      <c r="O158" s="25"/>
      <c r="P158" s="25"/>
      <c r="Q158" s="25"/>
      <c r="R158" s="25"/>
      <c r="S158" s="25"/>
      <c r="T158" s="25"/>
      <c r="U158" s="25"/>
      <c r="V158" s="25"/>
      <c r="W158" s="25"/>
      <c r="X158" s="25"/>
      <c r="Y158" s="25"/>
      <c r="Z158" s="25"/>
      <c r="AA158" s="25"/>
      <c r="AB158" s="190"/>
    </row>
    <row r="159" spans="1:33">
      <c r="A159" s="651">
        <v>5.5E-2</v>
      </c>
      <c r="B159" s="25"/>
      <c r="C159" s="25"/>
      <c r="D159" s="25"/>
      <c r="E159" s="25"/>
      <c r="F159" s="25"/>
      <c r="G159" s="25"/>
      <c r="H159" s="25"/>
      <c r="I159" s="25">
        <v>2600000000</v>
      </c>
      <c r="J159" s="25"/>
      <c r="K159" s="25">
        <v>2600000000</v>
      </c>
      <c r="L159" s="25"/>
      <c r="M159" s="25"/>
      <c r="N159" s="25"/>
      <c r="O159" s="25"/>
      <c r="P159" s="25"/>
      <c r="Q159" s="25"/>
      <c r="R159" s="25"/>
      <c r="S159" s="25"/>
      <c r="T159" s="25"/>
      <c r="U159" s="25"/>
      <c r="V159" s="25"/>
      <c r="W159" s="25"/>
      <c r="X159" s="25"/>
      <c r="Y159" s="25"/>
      <c r="Z159" s="25"/>
      <c r="AA159" s="25"/>
      <c r="AB159" s="190"/>
    </row>
    <row r="160" spans="1:33">
      <c r="A160" s="652" t="s">
        <v>292</v>
      </c>
      <c r="B160" s="25"/>
      <c r="C160" s="25"/>
      <c r="D160" s="25"/>
      <c r="E160" s="25"/>
      <c r="F160" s="25">
        <v>13700000000</v>
      </c>
      <c r="G160" s="25"/>
      <c r="H160" s="25"/>
      <c r="I160" s="25"/>
      <c r="J160" s="25"/>
      <c r="K160" s="25">
        <v>13700000000</v>
      </c>
      <c r="L160" s="25"/>
      <c r="M160" s="25"/>
      <c r="N160" s="25"/>
      <c r="O160" s="25"/>
      <c r="P160" s="25"/>
      <c r="Q160" s="25"/>
      <c r="R160" s="25"/>
      <c r="S160" s="25"/>
      <c r="T160" s="25"/>
      <c r="U160" s="25"/>
      <c r="V160" s="25"/>
      <c r="W160" s="25"/>
      <c r="X160" s="25"/>
      <c r="Y160" s="25"/>
      <c r="Z160" s="25"/>
      <c r="AA160" s="25"/>
      <c r="AB160" s="190"/>
    </row>
    <row r="161" spans="1:34">
      <c r="A161" s="887">
        <v>4.5999999999999999E-2</v>
      </c>
      <c r="B161" s="25"/>
      <c r="C161" s="25"/>
      <c r="D161" s="25"/>
      <c r="E161" s="25"/>
      <c r="F161" s="25">
        <v>13700000000</v>
      </c>
      <c r="G161" s="25"/>
      <c r="H161" s="25"/>
      <c r="I161" s="25"/>
      <c r="J161" s="25"/>
      <c r="K161" s="25">
        <v>13700000000</v>
      </c>
      <c r="L161" s="25"/>
      <c r="M161" s="25"/>
      <c r="N161" s="25"/>
      <c r="O161" s="25"/>
      <c r="P161" s="25"/>
      <c r="Q161" s="25"/>
      <c r="R161" s="25"/>
      <c r="S161" s="25"/>
      <c r="T161" s="25"/>
      <c r="U161" s="25"/>
      <c r="V161" s="25"/>
      <c r="W161" s="25"/>
      <c r="X161" s="25"/>
      <c r="Y161" s="25"/>
      <c r="Z161" s="25"/>
      <c r="AA161" s="25"/>
      <c r="AB161" s="190"/>
    </row>
    <row r="162" spans="1:34">
      <c r="A162" s="652" t="s">
        <v>203</v>
      </c>
      <c r="B162" s="25">
        <v>4000000000</v>
      </c>
      <c r="C162" s="25"/>
      <c r="D162" s="25"/>
      <c r="E162" s="25"/>
      <c r="F162" s="25"/>
      <c r="G162" s="25"/>
      <c r="H162" s="25"/>
      <c r="I162" s="25"/>
      <c r="J162" s="25"/>
      <c r="K162" s="25">
        <v>4000000000</v>
      </c>
      <c r="L162" s="25"/>
      <c r="M162" s="25"/>
      <c r="N162" s="25"/>
      <c r="O162" s="25"/>
      <c r="P162" s="25"/>
      <c r="Q162" s="25"/>
      <c r="R162" s="25"/>
      <c r="S162" s="25"/>
      <c r="T162" s="25"/>
      <c r="U162" s="25"/>
      <c r="V162" s="25"/>
      <c r="W162" s="25"/>
      <c r="X162" s="25"/>
      <c r="Y162" s="25"/>
      <c r="Z162" s="25"/>
      <c r="AA162" s="25"/>
      <c r="AB162" s="190"/>
    </row>
    <row r="163" spans="1:34">
      <c r="A163" s="651">
        <v>4.7500000000000001E-2</v>
      </c>
      <c r="B163" s="25">
        <v>4000000000</v>
      </c>
      <c r="C163" s="25"/>
      <c r="D163" s="25"/>
      <c r="E163" s="25"/>
      <c r="F163" s="25"/>
      <c r="G163" s="25"/>
      <c r="H163" s="25"/>
      <c r="I163" s="25"/>
      <c r="J163" s="25"/>
      <c r="K163" s="25">
        <v>4000000000</v>
      </c>
      <c r="L163" s="25"/>
      <c r="M163" s="25"/>
      <c r="N163" s="25"/>
      <c r="O163" s="25"/>
      <c r="P163" s="25"/>
      <c r="Q163" s="25"/>
      <c r="R163" s="25"/>
      <c r="S163" s="25"/>
      <c r="T163" s="25"/>
      <c r="U163" s="25"/>
      <c r="V163" s="25"/>
      <c r="W163" s="25"/>
      <c r="X163" s="25"/>
      <c r="Y163" s="25"/>
      <c r="Z163" s="25"/>
      <c r="AA163" s="25"/>
      <c r="AB163" s="190"/>
    </row>
    <row r="164" spans="1:34">
      <c r="A164" s="652" t="s">
        <v>293</v>
      </c>
      <c r="B164" s="25">
        <v>17000000000</v>
      </c>
      <c r="C164" s="25"/>
      <c r="D164" s="25"/>
      <c r="E164" s="25"/>
      <c r="F164" s="25"/>
      <c r="G164" s="25"/>
      <c r="H164" s="25"/>
      <c r="I164" s="25"/>
      <c r="J164" s="25"/>
      <c r="K164" s="25">
        <v>17000000000</v>
      </c>
      <c r="L164" s="25"/>
      <c r="M164" s="25"/>
      <c r="N164" s="25"/>
      <c r="O164" s="25"/>
      <c r="P164" s="25"/>
      <c r="Q164" s="25"/>
      <c r="R164" s="25"/>
      <c r="S164" s="25"/>
      <c r="T164" s="25"/>
      <c r="U164" s="25"/>
      <c r="V164" s="25"/>
      <c r="W164" s="25"/>
      <c r="X164" s="25"/>
      <c r="Y164" s="25"/>
      <c r="Z164" s="25"/>
      <c r="AA164" s="25"/>
      <c r="AB164" s="190"/>
    </row>
    <row r="165" spans="1:34">
      <c r="A165" s="651">
        <v>4.1000000000000002E-2</v>
      </c>
      <c r="B165" s="25">
        <v>17000000000</v>
      </c>
      <c r="C165" s="25"/>
      <c r="D165" s="25"/>
      <c r="E165" s="25"/>
      <c r="F165" s="25"/>
      <c r="G165" s="25"/>
      <c r="H165" s="25"/>
      <c r="I165" s="25"/>
      <c r="J165" s="25"/>
      <c r="K165" s="25">
        <v>17000000000</v>
      </c>
      <c r="L165" s="25"/>
      <c r="M165" s="25"/>
      <c r="N165" s="25"/>
      <c r="O165" s="25"/>
      <c r="P165" s="25"/>
      <c r="Q165" s="25"/>
      <c r="R165" s="25"/>
      <c r="S165" s="25"/>
      <c r="T165" s="25"/>
      <c r="U165" s="25"/>
      <c r="V165" s="25"/>
      <c r="W165" s="25"/>
      <c r="X165" s="25"/>
      <c r="Y165" s="25"/>
      <c r="Z165" s="25"/>
      <c r="AA165" s="25"/>
      <c r="AB165" s="190"/>
    </row>
    <row r="166" spans="1:34">
      <c r="A166" s="17" t="s">
        <v>105</v>
      </c>
      <c r="B166" s="25">
        <v>683751182467</v>
      </c>
      <c r="C166" s="25">
        <v>17160452453</v>
      </c>
      <c r="D166" s="25">
        <v>5925568608</v>
      </c>
      <c r="E166" s="25">
        <v>125496854000</v>
      </c>
      <c r="F166" s="25">
        <v>375815000000</v>
      </c>
      <c r="G166" s="25">
        <v>19700000000</v>
      </c>
      <c r="H166" s="25">
        <v>15000000000</v>
      </c>
      <c r="I166" s="25">
        <v>81550000000</v>
      </c>
      <c r="J166" s="25">
        <v>10000000000</v>
      </c>
      <c r="K166" s="25">
        <v>1334399057528</v>
      </c>
      <c r="L166" s="25"/>
      <c r="M166" s="25"/>
      <c r="N166" s="25"/>
      <c r="O166" s="25"/>
      <c r="P166" s="25"/>
      <c r="Q166" s="25"/>
      <c r="R166" s="25"/>
      <c r="S166" s="25"/>
      <c r="T166" s="25"/>
      <c r="U166" s="25"/>
      <c r="V166" s="25"/>
      <c r="W166" s="25"/>
      <c r="X166" s="25"/>
      <c r="Y166" s="25"/>
      <c r="Z166" s="25"/>
      <c r="AA166" s="25"/>
      <c r="AB166" s="190"/>
    </row>
    <row r="167" spans="1:34">
      <c r="A167" s="17"/>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190"/>
    </row>
    <row r="168" spans="1:34">
      <c r="A168" s="17"/>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190"/>
    </row>
    <row r="169" spans="1:34">
      <c r="A169" s="17"/>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190"/>
    </row>
    <row r="170" spans="1:34">
      <c r="A170" s="17"/>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190"/>
    </row>
    <row r="171" spans="1:34">
      <c r="A171" s="365" t="s">
        <v>289</v>
      </c>
      <c r="B171" t="s">
        <v>294</v>
      </c>
      <c r="AB171" s="190"/>
    </row>
    <row r="172" spans="1:34">
      <c r="AB172" s="190"/>
    </row>
    <row r="173" spans="1:34">
      <c r="A173" s="365" t="s">
        <v>290</v>
      </c>
      <c r="B173" s="365" t="s">
        <v>291</v>
      </c>
      <c r="AB173" s="190"/>
      <c r="AC173" s="96"/>
      <c r="AD173" s="96"/>
      <c r="AE173" s="96"/>
      <c r="AF173" s="96"/>
      <c r="AG173" s="96"/>
    </row>
    <row r="174" spans="1:34">
      <c r="A174" s="365" t="s">
        <v>100</v>
      </c>
      <c r="B174" t="s">
        <v>219</v>
      </c>
      <c r="C174" t="s">
        <v>221</v>
      </c>
      <c r="D174" t="s">
        <v>224</v>
      </c>
      <c r="E174" t="s">
        <v>228</v>
      </c>
      <c r="F174" t="s">
        <v>220</v>
      </c>
      <c r="G174" t="s">
        <v>222</v>
      </c>
      <c r="H174" t="s">
        <v>225</v>
      </c>
      <c r="I174" t="s">
        <v>223</v>
      </c>
      <c r="J174" t="s">
        <v>229</v>
      </c>
      <c r="K174" t="s">
        <v>105</v>
      </c>
      <c r="AB174" s="190"/>
      <c r="AC174" s="97" t="s">
        <v>219</v>
      </c>
      <c r="AD174" s="97" t="s">
        <v>221</v>
      </c>
      <c r="AE174" s="97" t="s">
        <v>224</v>
      </c>
      <c r="AF174" s="97" t="s">
        <v>228</v>
      </c>
      <c r="AG174" s="97" t="s">
        <v>105</v>
      </c>
    </row>
    <row r="175" spans="1:34">
      <c r="A175" s="17" t="s">
        <v>114</v>
      </c>
      <c r="B175" s="25">
        <v>198900000000</v>
      </c>
      <c r="C175" s="25">
        <v>155215000000</v>
      </c>
      <c r="D175" s="25">
        <v>35000000000</v>
      </c>
      <c r="E175" s="25">
        <v>2878000000</v>
      </c>
      <c r="F175" s="25">
        <v>7000000000</v>
      </c>
      <c r="G175" s="25">
        <v>9700000000</v>
      </c>
      <c r="H175" s="25">
        <v>10000000000</v>
      </c>
      <c r="I175" s="25"/>
      <c r="J175" s="25"/>
      <c r="K175" s="25">
        <v>418693000000</v>
      </c>
      <c r="L175" s="25"/>
      <c r="M175" s="25"/>
      <c r="N175" s="25"/>
      <c r="O175" s="25"/>
      <c r="P175" s="25"/>
      <c r="Q175" s="25"/>
      <c r="R175" s="25"/>
      <c r="S175" s="25"/>
      <c r="T175" s="25"/>
      <c r="U175" s="25"/>
      <c r="V175" s="25"/>
      <c r="W175" s="25"/>
      <c r="X175" s="25"/>
      <c r="Y175" s="25"/>
      <c r="Z175" s="25"/>
      <c r="AA175" s="25"/>
      <c r="AB175" s="191" t="str">
        <f>A175</f>
        <v>BIDV</v>
      </c>
      <c r="AC175" s="135" cm="1">
        <f t="array" ref="AC175">IFERROR(SUM(AC176:AC179)/INDEX($B175:$E175,,MATCH(AC$174,$B$174:$E$174,0)),0)</f>
        <v>4.3568124685771745E-2</v>
      </c>
      <c r="AD175" s="135" cm="1">
        <f t="array" ref="AD175">IFERROR(SUM(AD176:AD179)/INDEX($B175:$E175,,MATCH(AD$174,$B$174:$E$174,0)),0)</f>
        <v>3.6302387011564602E-2</v>
      </c>
      <c r="AE175" s="135" cm="1">
        <f t="array" ref="AE175">IFERROR(SUM(AE176:AE179)/INDEX($B175:$E175,,MATCH(AE$174,$B$174:$E$174,0)),0)</f>
        <v>3.32E-2</v>
      </c>
      <c r="AF175" s="135" cm="1">
        <f t="array" ref="AF175">IFERROR(SUM(AF176:AF179)/INDEX($B175:$E175,,MATCH(AF$174,$B$174:$E$174,0)),0)</f>
        <v>2.6379430159833218E-2</v>
      </c>
      <c r="AG175" s="228">
        <f>(B175*AC175+C175*AD175+D175*AE175+E175*AF175)/F175</f>
        <v>2.2197564285714284</v>
      </c>
      <c r="AH175" s="227"/>
    </row>
    <row r="176" spans="1:34">
      <c r="A176" s="887">
        <v>4.5999999999999999E-2</v>
      </c>
      <c r="B176" s="25"/>
      <c r="C176" s="25"/>
      <c r="D176" s="25">
        <v>19000000000</v>
      </c>
      <c r="E176" s="25"/>
      <c r="F176" s="25"/>
      <c r="G176" s="25"/>
      <c r="H176" s="25">
        <v>8000000000</v>
      </c>
      <c r="I176" s="25"/>
      <c r="J176" s="25"/>
      <c r="K176" s="25">
        <v>27000000000</v>
      </c>
      <c r="L176" s="25"/>
      <c r="M176" s="25"/>
      <c r="N176" s="25"/>
      <c r="O176" s="25"/>
      <c r="P176" s="25"/>
      <c r="Q176" s="25"/>
      <c r="R176" s="25"/>
      <c r="S176" s="25"/>
      <c r="T176" s="25"/>
      <c r="U176" s="25"/>
      <c r="V176" s="25"/>
      <c r="W176" s="25"/>
      <c r="X176" s="25"/>
      <c r="Y176" s="25"/>
      <c r="Z176" s="25"/>
      <c r="AA176" s="25"/>
      <c r="AB176" s="191"/>
      <c r="AC176" s="230" cm="1">
        <f t="array" ref="AC176">$A176*IFERROR(INDEX($B176:$E176,,MATCH(AC$47,$B$174:$E$174,0)),0)</f>
        <v>0</v>
      </c>
      <c r="AD176" s="230" cm="1">
        <f t="array" ref="AD176">$A176*IFERROR(INDEX($B176:$E176,,MATCH(AD$47,$B$174:$E$174,0)),0)</f>
        <v>0</v>
      </c>
      <c r="AE176" s="230" cm="1">
        <f t="array" ref="AE176">$A176*IFERROR(INDEX($B176:$E176,,MATCH(AE$47,$B$174:$E$174,0)),0)</f>
        <v>874000000</v>
      </c>
      <c r="AF176" s="230" cm="1">
        <f t="array" ref="AF176">$A176*IFERROR(INDEX($B176:$E176,,MATCH(AF$47,$B$174:$E$174,0)),0)</f>
        <v>0</v>
      </c>
      <c r="AG176" s="189"/>
    </row>
    <row r="177" spans="1:33">
      <c r="A177" s="651">
        <v>5.1999999999999998E-2</v>
      </c>
      <c r="B177" s="25"/>
      <c r="C177" s="25"/>
      <c r="D177" s="25"/>
      <c r="E177" s="25">
        <v>1460000000</v>
      </c>
      <c r="F177" s="25"/>
      <c r="G177" s="25"/>
      <c r="H177" s="25"/>
      <c r="I177" s="25"/>
      <c r="J177" s="25"/>
      <c r="K177" s="25">
        <v>1460000000</v>
      </c>
      <c r="L177" s="25"/>
      <c r="M177" s="25"/>
      <c r="N177" s="25"/>
      <c r="O177" s="25"/>
      <c r="P177" s="25"/>
      <c r="Q177" s="25"/>
      <c r="R177" s="25"/>
      <c r="S177" s="25"/>
      <c r="T177" s="25"/>
      <c r="U177" s="25"/>
      <c r="V177" s="25"/>
      <c r="W177" s="25"/>
      <c r="X177" s="25"/>
      <c r="Y177" s="25"/>
      <c r="Z177" s="25"/>
      <c r="AA177" s="25"/>
      <c r="AB177" s="191"/>
      <c r="AC177" s="230" cm="1">
        <f t="array" ref="AC177">$A177*IFERROR(INDEX($B177:$E177,,MATCH(AC$47,$B$174:$E$174,0)),0)</f>
        <v>0</v>
      </c>
      <c r="AD177" s="230" cm="1">
        <f t="array" ref="AD177">$A177*IFERROR(INDEX($B177:$E177,,MATCH(AD$47,$B$174:$E$174,0)),0)</f>
        <v>0</v>
      </c>
      <c r="AE177" s="230" cm="1">
        <f t="array" ref="AE177">$A177*IFERROR(INDEX($B177:$E177,,MATCH(AE$47,$B$174:$E$174,0)),0)</f>
        <v>0</v>
      </c>
      <c r="AF177" s="230" cm="1">
        <f t="array" ref="AF177">$A177*IFERROR(INDEX($B177:$E177,,MATCH(AF$47,$B$174:$E$174,0)),0)</f>
        <v>75920000</v>
      </c>
      <c r="AG177" s="189"/>
    </row>
    <row r="178" spans="1:33">
      <c r="A178" s="651">
        <v>4.2999999999999997E-2</v>
      </c>
      <c r="B178" s="25">
        <v>142400000000</v>
      </c>
      <c r="C178" s="25"/>
      <c r="D178" s="25"/>
      <c r="E178" s="25"/>
      <c r="F178" s="25">
        <v>7000000000</v>
      </c>
      <c r="G178" s="25"/>
      <c r="H178" s="25"/>
      <c r="I178" s="25"/>
      <c r="J178" s="25"/>
      <c r="K178" s="25">
        <v>149400000000</v>
      </c>
      <c r="L178" s="25"/>
      <c r="M178" s="25"/>
      <c r="N178" s="25"/>
      <c r="O178" s="25"/>
      <c r="P178" s="25"/>
      <c r="Q178" s="25"/>
      <c r="R178" s="25"/>
      <c r="S178" s="25"/>
      <c r="T178" s="25"/>
      <c r="U178" s="25"/>
      <c r="V178" s="25"/>
      <c r="W178" s="25"/>
      <c r="X178" s="25"/>
      <c r="Y178" s="25"/>
      <c r="Z178" s="25"/>
      <c r="AA178" s="25"/>
      <c r="AB178" s="191"/>
      <c r="AC178" s="230" cm="1">
        <f t="array" ref="AC178">$A178*IFERROR(INDEX($B178:$E178,,MATCH(AC$47,$B$174:$E$174,0)),0)</f>
        <v>6123199999.999999</v>
      </c>
      <c r="AD178" s="230" cm="1">
        <f t="array" ref="AD178">$A178*IFERROR(INDEX($B178:$E178,,MATCH(AD$47,$B$174:$E$174,0)),0)</f>
        <v>0</v>
      </c>
      <c r="AE178" s="230" cm="1">
        <f t="array" ref="AE178">$A178*IFERROR(INDEX($B178:$E178,,MATCH(AE$47,$B$174:$E$174,0)),0)</f>
        <v>0</v>
      </c>
      <c r="AF178" s="230" cm="1">
        <f t="array" ref="AF178">$A178*IFERROR(INDEX($B178:$E178,,MATCH(AF$47,$B$174:$E$174,0)),0)</f>
        <v>0</v>
      </c>
      <c r="AG178" s="189"/>
    </row>
    <row r="179" spans="1:33">
      <c r="A179" s="651">
        <v>4.4999999999999998E-2</v>
      </c>
      <c r="B179" s="25">
        <v>56500000000</v>
      </c>
      <c r="C179" s="25">
        <v>125215000000</v>
      </c>
      <c r="D179" s="25">
        <v>6400000000</v>
      </c>
      <c r="E179" s="25"/>
      <c r="F179" s="25"/>
      <c r="G179" s="25">
        <v>9700000000</v>
      </c>
      <c r="H179" s="25">
        <v>2000000000</v>
      </c>
      <c r="I179" s="25"/>
      <c r="J179" s="25"/>
      <c r="K179" s="25">
        <v>199815000000</v>
      </c>
      <c r="L179" s="25"/>
      <c r="M179" s="25"/>
      <c r="N179" s="25"/>
      <c r="O179" s="25"/>
      <c r="P179" s="25"/>
      <c r="Q179" s="25"/>
      <c r="R179" s="25"/>
      <c r="S179" s="25"/>
      <c r="T179" s="25"/>
      <c r="U179" s="25"/>
      <c r="V179" s="25"/>
      <c r="W179" s="25"/>
      <c r="X179" s="25"/>
      <c r="Y179" s="25"/>
      <c r="Z179" s="25"/>
      <c r="AA179" s="25"/>
      <c r="AB179" s="191"/>
      <c r="AC179" s="230" cm="1">
        <f t="array" ref="AC179">$A179*IFERROR(INDEX($B179:$E179,,MATCH(AC$47,$B$174:$E$174,0)),0)</f>
        <v>2542500000</v>
      </c>
      <c r="AD179" s="230" cm="1">
        <f t="array" ref="AD179">$A179*IFERROR(INDEX($B179:$E179,,MATCH(AD$47,$B$174:$E$174,0)),0)</f>
        <v>5634675000</v>
      </c>
      <c r="AE179" s="230" cm="1">
        <f t="array" ref="AE179">$A179*IFERROR(INDEX($B179:$E179,,MATCH(AE$47,$B$174:$E$174,0)),0)</f>
        <v>288000000</v>
      </c>
      <c r="AF179" s="230" cm="1">
        <f t="array" ref="AF179">$A179*IFERROR(INDEX($B179:$E179,,MATCH(AF$47,$B$174:$E$174,0)),0)</f>
        <v>0</v>
      </c>
      <c r="AG179" s="189"/>
    </row>
    <row r="180" spans="1:33">
      <c r="A180" s="651">
        <v>4.8000000000000001E-2</v>
      </c>
      <c r="B180" s="25"/>
      <c r="C180" s="25"/>
      <c r="D180" s="25">
        <v>2500000000</v>
      </c>
      <c r="E180" s="25"/>
      <c r="F180" s="25"/>
      <c r="G180" s="25"/>
      <c r="H180" s="25"/>
      <c r="I180" s="25"/>
      <c r="J180" s="25"/>
      <c r="K180" s="25">
        <v>2500000000</v>
      </c>
      <c r="L180" s="25"/>
      <c r="M180" s="25"/>
      <c r="N180" s="25"/>
      <c r="O180" s="25"/>
      <c r="P180" s="25"/>
      <c r="Q180" s="25"/>
      <c r="R180" s="25"/>
      <c r="S180" s="25"/>
      <c r="T180" s="25"/>
      <c r="U180" s="25"/>
      <c r="V180" s="25"/>
      <c r="W180" s="25"/>
      <c r="X180" s="25"/>
      <c r="Y180" s="25"/>
      <c r="Z180" s="25"/>
      <c r="AA180" s="25"/>
      <c r="AB180" s="191">
        <f>A180</f>
        <v>4.8000000000000001E-2</v>
      </c>
      <c r="AC180" s="135" cm="1">
        <f t="array" ref="AC180">IFERROR(SUM(AC181)/INDEX($B180:$E180,,MATCH(AC$174,$B$174:$E$174,0)),0)</f>
        <v>0</v>
      </c>
      <c r="AD180" s="135" cm="1">
        <f t="array" ref="AD180">IFERROR(SUM(AD181)/INDEX($B182:$E182,,MATCH(AD$174,$B$174:$E$174,0)),0)</f>
        <v>0</v>
      </c>
      <c r="AE180" s="135" cm="1">
        <f t="array" ref="AE180">IFERROR(SUM(AE181)/INDEX($B182:$E182,,MATCH(AE$174,$B$174:$E$174,0)),0)</f>
        <v>1.7795454545454545E-2</v>
      </c>
      <c r="AF180" s="135" cm="1">
        <f t="array" ref="AF180">IFERROR(SUM(AF181)/INDEX($B182:$E182,,MATCH(AF$174,$B$174:$E$174,0)),0)</f>
        <v>0</v>
      </c>
      <c r="AG180" s="228" t="e">
        <f>(B180*AC180+C180*AD180+D180*AE180+E180*AF180)/F180</f>
        <v>#DIV/0!</v>
      </c>
    </row>
    <row r="181" spans="1:33">
      <c r="A181" s="651">
        <v>2.9000000000000001E-2</v>
      </c>
      <c r="B181" s="25"/>
      <c r="C181" s="25"/>
      <c r="D181" s="25">
        <v>2700000000</v>
      </c>
      <c r="E181" s="25"/>
      <c r="F181" s="25"/>
      <c r="G181" s="25"/>
      <c r="H181" s="25"/>
      <c r="I181" s="25"/>
      <c r="J181" s="25"/>
      <c r="K181" s="25">
        <v>2700000000</v>
      </c>
      <c r="L181" s="25"/>
      <c r="M181" s="25"/>
      <c r="N181" s="25"/>
      <c r="O181" s="25"/>
      <c r="P181" s="25"/>
      <c r="Q181" s="25"/>
      <c r="R181" s="25"/>
      <c r="S181" s="25"/>
      <c r="T181" s="25"/>
      <c r="U181" s="25"/>
      <c r="V181" s="25"/>
      <c r="W181" s="25"/>
      <c r="X181" s="25"/>
      <c r="Y181" s="25"/>
      <c r="Z181" s="25"/>
      <c r="AA181" s="25"/>
      <c r="AB181" s="191"/>
      <c r="AC181" s="230" cm="1">
        <f t="array" ref="AC181">$A181*IFERROR(INDEX($B181:$E181,,MATCH(AC$47,$B$174:$E$174,0)),0)</f>
        <v>0</v>
      </c>
      <c r="AD181" s="230" cm="1">
        <f t="array" ref="AD181">$A181*IFERROR(INDEX($B181:$E181,,MATCH(AD$47,$B$174:$E$174,0)),0)</f>
        <v>0</v>
      </c>
      <c r="AE181" s="230" cm="1">
        <f t="array" ref="AE181">$A181*IFERROR(INDEX($B181:$E181,,MATCH(AE$47,$B$174:$E$174,0)),0)</f>
        <v>78300000</v>
      </c>
      <c r="AF181" s="230" cm="1">
        <f t="array" ref="AF181">$A181*IFERROR(INDEX($B181:$E181,,MATCH(AF$47,$B$174:$E$174,0)),0)</f>
        <v>0</v>
      </c>
      <c r="AG181" s="189"/>
    </row>
    <row r="182" spans="1:33">
      <c r="A182" s="651">
        <v>4.2000000000000003E-2</v>
      </c>
      <c r="B182" s="25"/>
      <c r="C182" s="25"/>
      <c r="D182" s="25">
        <v>4400000000</v>
      </c>
      <c r="E182" s="25">
        <v>1418000000</v>
      </c>
      <c r="F182" s="25"/>
      <c r="G182" s="25"/>
      <c r="H182" s="25"/>
      <c r="I182" s="25"/>
      <c r="J182" s="25"/>
      <c r="K182" s="25">
        <v>5818000000</v>
      </c>
      <c r="L182" s="25"/>
      <c r="M182" s="25"/>
      <c r="N182" s="25"/>
      <c r="O182" s="25"/>
      <c r="P182" s="25"/>
      <c r="Q182" s="25"/>
      <c r="R182" s="25"/>
      <c r="S182" s="25"/>
      <c r="T182" s="25"/>
      <c r="U182" s="25"/>
      <c r="V182" s="25"/>
      <c r="W182" s="25"/>
      <c r="X182" s="25"/>
      <c r="Y182" s="25"/>
      <c r="Z182" s="25"/>
      <c r="AA182" s="25"/>
      <c r="AB182" s="191">
        <f>A182</f>
        <v>4.2000000000000003E-2</v>
      </c>
      <c r="AC182" s="135" cm="1">
        <f t="array" ref="AC182">IFERROR(SUM(AC183:AC185)/INDEX($B182:$E182,,MATCH(AC$174,$B$174:$E$174,0)),0)</f>
        <v>0</v>
      </c>
      <c r="AD182" s="135" cm="1">
        <f t="array" ref="AD182">IFERROR(SUM(AD183:AD185)/INDEX($B182:$E182,,MATCH(AD$174,$B$174:$E$174,0)),0)</f>
        <v>0</v>
      </c>
      <c r="AE182" s="135" cm="1">
        <f t="array" ref="AE182">IFERROR(SUM(AE183:AE185)/INDEX($B182:$E182,,MATCH(AE$174,$B$174:$E$174,0)),0)</f>
        <v>0</v>
      </c>
      <c r="AF182" s="135" cm="1">
        <f t="array" ref="AF182">IFERROR(SUM(AF183:AF185)/INDEX($B182:$E182,,MATCH(AF$174,$B$174:$E$174,0)),0)</f>
        <v>0</v>
      </c>
      <c r="AG182" s="228" t="e">
        <f>(B182*AC182+C182*AD182+D182*AE182+E182*AF182)/F182</f>
        <v>#DIV/0!</v>
      </c>
    </row>
    <row r="183" spans="1:33">
      <c r="A183" s="651">
        <v>4.3999999999999997E-2</v>
      </c>
      <c r="B183" s="25"/>
      <c r="C183" s="25">
        <v>30000000000</v>
      </c>
      <c r="D183" s="25"/>
      <c r="E183" s="25"/>
      <c r="F183" s="25"/>
      <c r="G183" s="25"/>
      <c r="H183" s="25"/>
      <c r="I183" s="25"/>
      <c r="J183" s="25"/>
      <c r="K183" s="25">
        <v>30000000000</v>
      </c>
      <c r="L183" s="25"/>
      <c r="M183" s="25"/>
      <c r="N183" s="25"/>
      <c r="O183" s="25"/>
      <c r="P183" s="25"/>
      <c r="Q183" s="25"/>
      <c r="R183" s="25"/>
      <c r="S183" s="25"/>
      <c r="T183" s="25"/>
      <c r="U183" s="25"/>
      <c r="V183" s="25"/>
      <c r="W183" s="25"/>
      <c r="X183" s="25"/>
      <c r="Y183" s="25"/>
      <c r="Z183" s="25"/>
      <c r="AA183" s="25"/>
      <c r="AB183" s="191"/>
      <c r="AC183" s="230" cm="1">
        <f t="array" ref="AC183">$A183*IFERROR(INDEX($B183:$E183,,MATCH(AC$47,$B$174:$E$174,0)),0)</f>
        <v>0</v>
      </c>
      <c r="AD183" s="230" cm="1">
        <f t="array" ref="AD183">$A183*IFERROR(INDEX($B183:$E183,,MATCH(AD$47,$B$174:$E$174,0)),0)</f>
        <v>1320000000</v>
      </c>
      <c r="AE183" s="230" cm="1">
        <f t="array" ref="AE183">$A183*IFERROR(INDEX($B183:$E183,,MATCH(AE$47,$B$174:$E$174,0)),0)</f>
        <v>0</v>
      </c>
      <c r="AF183" s="230" cm="1">
        <f t="array" ref="AF183">$A183*IFERROR(INDEX($B183:$E183,,MATCH(AF$47,$B$174:$E$174,0)),0)</f>
        <v>0</v>
      </c>
      <c r="AG183" s="189"/>
    </row>
    <row r="184" spans="1:33">
      <c r="A184" s="652" t="s">
        <v>112</v>
      </c>
      <c r="B184" s="25">
        <v>997900000000</v>
      </c>
      <c r="C184" s="25">
        <v>66500000000</v>
      </c>
      <c r="D184" s="25">
        <v>11000000000</v>
      </c>
      <c r="E184" s="25">
        <v>1228000000</v>
      </c>
      <c r="F184" s="25">
        <v>17500000000</v>
      </c>
      <c r="G184" s="25">
        <v>4000000000</v>
      </c>
      <c r="H184" s="25"/>
      <c r="I184" s="25">
        <v>6000000000</v>
      </c>
      <c r="J184" s="25"/>
      <c r="K184" s="25">
        <v>1104128000000</v>
      </c>
      <c r="L184" s="25"/>
      <c r="M184" s="25"/>
      <c r="N184" s="25"/>
      <c r="O184" s="25"/>
      <c r="P184" s="25"/>
      <c r="Q184" s="25"/>
      <c r="R184" s="25"/>
      <c r="S184" s="25"/>
      <c r="T184" s="25"/>
      <c r="U184" s="25"/>
      <c r="V184" s="25"/>
      <c r="W184" s="25"/>
      <c r="X184" s="25"/>
      <c r="Y184" s="25"/>
      <c r="Z184" s="25"/>
      <c r="AA184" s="25"/>
      <c r="AB184" s="191"/>
      <c r="AC184" s="230" t="e" cm="1">
        <f t="array" ref="AC184">$A184*IFERROR(INDEX($B184:$E184,,MATCH(AC$47,$B$174:$E$174,0)),0)</f>
        <v>#VALUE!</v>
      </c>
      <c r="AD184" s="230" t="e" cm="1">
        <f t="array" ref="AD184">$A184*IFERROR(INDEX($B184:$E184,,MATCH(AD$47,$B$174:$E$174,0)),0)</f>
        <v>#VALUE!</v>
      </c>
      <c r="AE184" s="230" t="e" cm="1">
        <f t="array" ref="AE184">$A184*IFERROR(INDEX($B184:$E184,,MATCH(AE$47,$B$174:$E$174,0)),0)</f>
        <v>#VALUE!</v>
      </c>
      <c r="AF184" s="230" t="e" cm="1">
        <f t="array" ref="AF184">$A184*IFERROR(INDEX($B184:$E184,,MATCH(AF$47,$B$174:$E$174,0)),0)</f>
        <v>#VALUE!</v>
      </c>
      <c r="AG184" s="189"/>
    </row>
    <row r="185" spans="1:33">
      <c r="A185" s="651">
        <v>4.2999999999999997E-2</v>
      </c>
      <c r="B185" s="25">
        <v>957000000000</v>
      </c>
      <c r="C185" s="25"/>
      <c r="D185" s="25"/>
      <c r="E185" s="25"/>
      <c r="F185" s="25">
        <v>3000000000</v>
      </c>
      <c r="G185" s="25"/>
      <c r="H185" s="25"/>
      <c r="I185" s="25"/>
      <c r="J185" s="25"/>
      <c r="K185" s="25">
        <v>960000000000</v>
      </c>
      <c r="L185" s="25"/>
      <c r="M185" s="25"/>
      <c r="N185" s="25"/>
      <c r="O185" s="25"/>
      <c r="P185" s="25"/>
      <c r="Q185" s="25"/>
      <c r="R185" s="25"/>
      <c r="S185" s="25"/>
      <c r="T185" s="25"/>
      <c r="U185" s="25"/>
      <c r="V185" s="25"/>
      <c r="W185" s="25"/>
      <c r="X185" s="25"/>
      <c r="Y185" s="25"/>
      <c r="Z185" s="25"/>
      <c r="AA185" s="25"/>
      <c r="AB185" s="191"/>
      <c r="AC185" s="230" cm="1">
        <f t="array" ref="AC185">$A185*IFERROR(INDEX($B185:$E185,,MATCH(AC$47,$B$174:$E$174,0)),0)</f>
        <v>41151000000</v>
      </c>
      <c r="AD185" s="230" cm="1">
        <f t="array" ref="AD185">$A185*IFERROR(INDEX($B185:$E185,,MATCH(AD$47,$B$174:$E$174,0)),0)</f>
        <v>0</v>
      </c>
      <c r="AE185" s="230" cm="1">
        <f t="array" ref="AE185">$A185*IFERROR(INDEX($B185:$E185,,MATCH(AE$47,$B$174:$E$174,0)),0)</f>
        <v>0</v>
      </c>
      <c r="AF185" s="230" cm="1">
        <f t="array" ref="AF185">$A185*IFERROR(INDEX($B185:$E185,,MATCH(AF$47,$B$174:$E$174,0)),0)</f>
        <v>0</v>
      </c>
      <c r="AG185" s="189"/>
    </row>
    <row r="186" spans="1:33">
      <c r="A186" s="651">
        <v>4.1000000000000002E-2</v>
      </c>
      <c r="B186" s="25"/>
      <c r="C186" s="25"/>
      <c r="D186" s="25"/>
      <c r="E186" s="25">
        <v>1228000000</v>
      </c>
      <c r="F186" s="25"/>
      <c r="G186" s="25"/>
      <c r="H186" s="25"/>
      <c r="I186" s="25"/>
      <c r="J186" s="25"/>
      <c r="K186" s="25">
        <v>1228000000</v>
      </c>
      <c r="L186" s="25"/>
      <c r="M186" s="25"/>
      <c r="N186" s="25"/>
      <c r="O186" s="25"/>
      <c r="P186" s="25"/>
      <c r="Q186" s="25"/>
      <c r="R186" s="25"/>
      <c r="S186" s="25"/>
      <c r="T186" s="25"/>
      <c r="U186" s="25"/>
      <c r="V186" s="25"/>
      <c r="W186" s="25"/>
      <c r="X186" s="25"/>
      <c r="Y186" s="25"/>
      <c r="Z186" s="25"/>
      <c r="AA186" s="25"/>
      <c r="AB186" s="191">
        <f>A186</f>
        <v>4.1000000000000002E-2</v>
      </c>
      <c r="AC186" s="135" cm="1">
        <f t="array" ref="AC186">IFERROR(SUM(AC187:AC192)/INDEX($B186:$E186,,MATCH(AC$174,$B$174:$E$174,0)),0)</f>
        <v>0</v>
      </c>
      <c r="AD186" s="135" cm="1">
        <f t="array" ref="AD186">IFERROR(SUM(AD187:AD192)/INDEX($B186:$E186,,MATCH(AD$174,$B$174:$E$174,0)),0)</f>
        <v>0</v>
      </c>
      <c r="AE186" s="135" cm="1">
        <f t="array" ref="AE186">IFERROR(SUM(AE187:AE192)/INDEX($B186:$E186,,MATCH(AE$174,$B$174:$E$174,0)),0)</f>
        <v>0</v>
      </c>
      <c r="AF186" s="135" cm="1">
        <f t="array" ref="AF186">IFERROR(SUM(AF187:AF192)/INDEX($B186:$E186,,MATCH(AF$174,$B$174:$E$174,0)),0)</f>
        <v>0</v>
      </c>
      <c r="AG186" s="228" t="e">
        <f>(B186*AC186+C186*AD186+D186*AE186+E186*AF186)/F186</f>
        <v>#DIV/0!</v>
      </c>
    </row>
    <row r="187" spans="1:33">
      <c r="A187" s="651">
        <v>4.4999999999999998E-2</v>
      </c>
      <c r="B187" s="25">
        <v>40800000000</v>
      </c>
      <c r="C187" s="25">
        <v>66500000000</v>
      </c>
      <c r="D187" s="25"/>
      <c r="E187" s="25"/>
      <c r="F187" s="25">
        <v>14500000000</v>
      </c>
      <c r="G187" s="25">
        <v>4000000000</v>
      </c>
      <c r="H187" s="25"/>
      <c r="I187" s="25">
        <v>6000000000</v>
      </c>
      <c r="J187" s="25"/>
      <c r="K187" s="25">
        <v>131800000000</v>
      </c>
      <c r="L187" s="25"/>
      <c r="M187" s="25"/>
      <c r="N187" s="25"/>
      <c r="O187" s="25"/>
      <c r="P187" s="25"/>
      <c r="Q187" s="25"/>
      <c r="R187" s="25"/>
      <c r="S187" s="25"/>
      <c r="T187" s="25"/>
      <c r="U187" s="25"/>
      <c r="V187" s="25"/>
      <c r="W187" s="25"/>
      <c r="X187" s="25"/>
      <c r="Y187" s="25"/>
      <c r="Z187" s="25"/>
      <c r="AA187" s="25"/>
      <c r="AB187" s="191"/>
      <c r="AC187" s="230" cm="1">
        <f t="array" ref="AC187">$A187*IFERROR(INDEX($B187:$E187,,MATCH(AC$47,$B$174:$E$174,0)),0)</f>
        <v>1836000000</v>
      </c>
      <c r="AD187" s="230" cm="1">
        <f t="array" ref="AD187">$A187*IFERROR(INDEX($B187:$E187,,MATCH(AD$47,$B$174:$E$174,0)),0)</f>
        <v>2992500000</v>
      </c>
      <c r="AE187" s="230" cm="1">
        <f t="array" ref="AE187">$A187*IFERROR(INDEX($B187:$E187,,MATCH(AE$47,$B$174:$E$174,0)),0)</f>
        <v>0</v>
      </c>
      <c r="AF187" s="230" cm="1">
        <f t="array" ref="AF187">$A187*IFERROR(INDEX($B187:$E187,,MATCH(AF$47,$B$174:$E$174,0)),0)</f>
        <v>0</v>
      </c>
      <c r="AG187" s="189"/>
    </row>
    <row r="188" spans="1:33">
      <c r="A188" s="651">
        <v>4.8000000000000001E-2</v>
      </c>
      <c r="B188" s="25"/>
      <c r="C188" s="25"/>
      <c r="D188" s="25">
        <v>11000000000</v>
      </c>
      <c r="E188" s="25"/>
      <c r="F188" s="25"/>
      <c r="G188" s="25"/>
      <c r="H188" s="25"/>
      <c r="I188" s="25"/>
      <c r="J188" s="25"/>
      <c r="K188" s="25">
        <v>11000000000</v>
      </c>
      <c r="L188" s="25"/>
      <c r="M188" s="25"/>
      <c r="N188" s="25"/>
      <c r="O188" s="25"/>
      <c r="P188" s="25"/>
      <c r="Q188" s="25"/>
      <c r="R188" s="25"/>
      <c r="S188" s="25"/>
      <c r="T188" s="25"/>
      <c r="U188" s="25"/>
      <c r="V188" s="25"/>
      <c r="W188" s="25"/>
      <c r="X188" s="25"/>
      <c r="Y188" s="25"/>
      <c r="Z188" s="25"/>
      <c r="AA188" s="25"/>
      <c r="AB188" s="191"/>
      <c r="AC188" s="230" cm="1">
        <f t="array" ref="AC188">$A188*IFERROR(INDEX($B188:$E188,,MATCH(AC$47,$B$174:$E$174,0)),0)</f>
        <v>0</v>
      </c>
      <c r="AD188" s="230" cm="1">
        <f t="array" ref="AD188">$A188*IFERROR(INDEX($B188:$E188,,MATCH(AD$47,$B$174:$E$174,0)),0)</f>
        <v>0</v>
      </c>
      <c r="AE188" s="230" cm="1">
        <f t="array" ref="AE188">$A188*IFERROR(INDEX($B188:$E188,,MATCH(AE$47,$B$174:$E$174,0)),0)</f>
        <v>528000000</v>
      </c>
      <c r="AF188" s="230" cm="1">
        <f t="array" ref="AF188">$A188*IFERROR(INDEX($B188:$E188,,MATCH(AF$47,$B$174:$E$174,0)),0)</f>
        <v>0</v>
      </c>
      <c r="AG188" s="189"/>
    </row>
    <row r="189" spans="1:33">
      <c r="A189" s="651">
        <v>1.4999999999999999E-2</v>
      </c>
      <c r="B189" s="25">
        <v>100000000</v>
      </c>
      <c r="C189" s="25"/>
      <c r="D189" s="25"/>
      <c r="E189" s="25"/>
      <c r="F189" s="25"/>
      <c r="G189" s="25"/>
      <c r="H189" s="25"/>
      <c r="I189" s="25"/>
      <c r="J189" s="25"/>
      <c r="K189" s="25">
        <v>100000000</v>
      </c>
      <c r="L189" s="25"/>
      <c r="M189" s="25"/>
      <c r="N189" s="25"/>
      <c r="O189" s="25"/>
      <c r="P189" s="25"/>
      <c r="Q189" s="25"/>
      <c r="R189" s="25"/>
      <c r="S189" s="25"/>
      <c r="T189" s="25"/>
      <c r="U189" s="25"/>
      <c r="V189" s="25"/>
      <c r="W189" s="25"/>
      <c r="X189" s="25"/>
      <c r="Y189" s="25"/>
      <c r="Z189" s="25"/>
      <c r="AA189" s="25"/>
      <c r="AB189" s="191"/>
      <c r="AC189" s="230" cm="1">
        <f t="array" ref="AC189">$A189*IFERROR(INDEX($B189:$E189,,MATCH(AC$47,$B$174:$E$174,0)),0)</f>
        <v>1500000</v>
      </c>
      <c r="AD189" s="230" cm="1">
        <f t="array" ref="AD189">$A189*IFERROR(INDEX($B189:$E189,,MATCH(AD$47,$B$174:$E$174,0)),0)</f>
        <v>0</v>
      </c>
      <c r="AE189" s="230" cm="1">
        <f t="array" ref="AE189">$A189*IFERROR(INDEX($B189:$E189,,MATCH(AE$47,$B$174:$E$174,0)),0)</f>
        <v>0</v>
      </c>
      <c r="AF189" s="230" cm="1">
        <f t="array" ref="AF189">$A189*IFERROR(INDEX($B189:$E189,,MATCH(AF$47,$B$174:$E$174,0)),0)</f>
        <v>0</v>
      </c>
      <c r="AG189" s="189"/>
    </row>
    <row r="190" spans="1:33">
      <c r="A190" s="652" t="s">
        <v>110</v>
      </c>
      <c r="B190" s="25">
        <v>631551182467</v>
      </c>
      <c r="C190" s="25">
        <v>100400000000</v>
      </c>
      <c r="D190" s="25">
        <v>32950000000</v>
      </c>
      <c r="E190" s="25">
        <v>7521354342</v>
      </c>
      <c r="F190" s="25">
        <v>100996854000</v>
      </c>
      <c r="G190" s="25">
        <v>6000000000</v>
      </c>
      <c r="H190" s="25"/>
      <c r="I190" s="25">
        <v>9000000000</v>
      </c>
      <c r="J190" s="25">
        <v>5925568608</v>
      </c>
      <c r="K190" s="25">
        <v>894344959417</v>
      </c>
      <c r="L190" s="25"/>
      <c r="M190" s="25"/>
      <c r="N190" s="25"/>
      <c r="O190" s="25"/>
      <c r="P190" s="25"/>
      <c r="Q190" s="25"/>
      <c r="R190" s="25"/>
      <c r="S190" s="25"/>
      <c r="T190" s="25"/>
      <c r="U190" s="25"/>
      <c r="V190" s="25"/>
      <c r="W190" s="25"/>
      <c r="X190" s="25"/>
      <c r="Y190" s="25"/>
      <c r="Z190" s="25"/>
      <c r="AA190" s="25"/>
      <c r="AB190" s="191"/>
      <c r="AC190" s="230" t="e" cm="1">
        <f t="array" ref="AC190">$A190*IFERROR(INDEX($B190:$E190,,MATCH(AC$47,$B$174:$E$174,0)),0)</f>
        <v>#VALUE!</v>
      </c>
      <c r="AD190" s="230" t="e" cm="1">
        <f t="array" ref="AD190">$A190*IFERROR(INDEX($B190:$E190,,MATCH(AD$47,$B$174:$E$174,0)),0)</f>
        <v>#VALUE!</v>
      </c>
      <c r="AE190" s="230" t="e" cm="1">
        <f t="array" ref="AE190">$A190*IFERROR(INDEX($B190:$E190,,MATCH(AE$47,$B$174:$E$174,0)),0)</f>
        <v>#VALUE!</v>
      </c>
      <c r="AF190" s="230" t="e" cm="1">
        <f t="array" ref="AF190">$A190*IFERROR(INDEX($B190:$E190,,MATCH(AF$47,$B$174:$E$174,0)),0)</f>
        <v>#VALUE!</v>
      </c>
      <c r="AG190" s="189"/>
    </row>
    <row r="191" spans="1:33">
      <c r="A191" s="651">
        <v>4.7E-2</v>
      </c>
      <c r="B191" s="25"/>
      <c r="C191" s="25"/>
      <c r="D191" s="25"/>
      <c r="E191" s="25"/>
      <c r="F191" s="25"/>
      <c r="G191" s="25"/>
      <c r="H191" s="25"/>
      <c r="I191" s="25"/>
      <c r="J191" s="25">
        <v>5925568608</v>
      </c>
      <c r="K191" s="25">
        <v>5925568608</v>
      </c>
      <c r="L191" s="25"/>
      <c r="M191" s="25"/>
      <c r="N191" s="25"/>
      <c r="O191" s="25"/>
      <c r="P191" s="25"/>
      <c r="Q191" s="25"/>
      <c r="R191" s="25"/>
      <c r="S191" s="25"/>
      <c r="T191" s="25"/>
      <c r="U191" s="25"/>
      <c r="V191" s="25"/>
      <c r="W191" s="25"/>
      <c r="X191" s="25"/>
      <c r="Y191" s="25"/>
      <c r="Z191" s="25"/>
      <c r="AA191" s="25"/>
      <c r="AB191" s="191"/>
      <c r="AC191" s="230" cm="1">
        <f t="array" ref="AC191">$A191*IFERROR(INDEX($B191:$E191,,MATCH(AC$47,$B$174:$E$174,0)),0)</f>
        <v>0</v>
      </c>
      <c r="AD191" s="230" cm="1">
        <f t="array" ref="AD191">$A191*IFERROR(INDEX($B191:$E191,,MATCH(AD$47,$B$174:$E$174,0)),0)</f>
        <v>0</v>
      </c>
      <c r="AE191" s="230" cm="1">
        <f t="array" ref="AE191">$A191*IFERROR(INDEX($B191:$E191,,MATCH(AE$47,$B$174:$E$174,0)),0)</f>
        <v>0</v>
      </c>
      <c r="AF191" s="230" cm="1">
        <f t="array" ref="AF191">$A191*IFERROR(INDEX($B191:$E191,,MATCH(AF$47,$B$174:$E$174,0)),0)</f>
        <v>0</v>
      </c>
      <c r="AG191" s="189"/>
    </row>
    <row r="192" spans="1:33">
      <c r="A192" s="651">
        <v>4.2999999999999997E-2</v>
      </c>
      <c r="B192" s="25">
        <v>382550000000</v>
      </c>
      <c r="C192" s="25">
        <v>34000000000</v>
      </c>
      <c r="D192" s="25"/>
      <c r="E192" s="25"/>
      <c r="F192" s="25">
        <v>100996854000</v>
      </c>
      <c r="G192" s="25"/>
      <c r="H192" s="25"/>
      <c r="I192" s="25"/>
      <c r="J192" s="25"/>
      <c r="K192" s="25">
        <v>517546854000</v>
      </c>
      <c r="L192" s="25"/>
      <c r="M192" s="25"/>
      <c r="N192" s="25"/>
      <c r="O192" s="25"/>
      <c r="P192" s="25"/>
      <c r="Q192" s="25"/>
      <c r="R192" s="25"/>
      <c r="S192" s="25"/>
      <c r="T192" s="25"/>
      <c r="U192" s="25"/>
      <c r="V192" s="25"/>
      <c r="W192" s="25"/>
      <c r="X192" s="25"/>
      <c r="Y192" s="25"/>
      <c r="Z192" s="25"/>
      <c r="AA192" s="25"/>
      <c r="AB192" s="191"/>
      <c r="AC192" s="230" cm="1">
        <f t="array" ref="AC192">$A192*IFERROR(INDEX($B192:$E192,,MATCH(AC$47,$B$174:$E$174,0)),0)</f>
        <v>16449649999.999998</v>
      </c>
      <c r="AD192" s="230" cm="1">
        <f t="array" ref="AD192">$A192*IFERROR(INDEX($B192:$E192,,MATCH(AD$47,$B$174:$E$174,0)),0)</f>
        <v>1462000000</v>
      </c>
      <c r="AE192" s="230" cm="1">
        <f t="array" ref="AE192">$A192*IFERROR(INDEX($B192:$E192,,MATCH(AE$47,$B$174:$E$174,0)),0)</f>
        <v>0</v>
      </c>
      <c r="AF192" s="230" cm="1">
        <f t="array" ref="AF192">$A192*IFERROR(INDEX($B192:$E192,,MATCH(AF$47,$B$174:$E$174,0)),0)</f>
        <v>0</v>
      </c>
      <c r="AG192" s="189"/>
    </row>
    <row r="193" spans="1:33">
      <c r="A193" s="651">
        <v>4.4999999999999998E-2</v>
      </c>
      <c r="B193" s="25">
        <v>249001182467</v>
      </c>
      <c r="C193" s="25">
        <v>66400000000</v>
      </c>
      <c r="D193" s="25">
        <v>21050000000</v>
      </c>
      <c r="E193" s="25"/>
      <c r="F193" s="25"/>
      <c r="G193" s="25">
        <v>6000000000</v>
      </c>
      <c r="H193" s="25"/>
      <c r="I193" s="25"/>
      <c r="J193" s="25"/>
      <c r="K193" s="25">
        <v>342451182467</v>
      </c>
      <c r="L193" s="25"/>
      <c r="M193" s="25"/>
      <c r="N193" s="25"/>
      <c r="O193" s="25"/>
      <c r="P193" s="25"/>
      <c r="Q193" s="25"/>
      <c r="R193" s="25"/>
      <c r="S193" s="25"/>
      <c r="T193" s="25"/>
      <c r="U193" s="25"/>
      <c r="V193" s="25"/>
      <c r="W193" s="25"/>
      <c r="X193" s="25"/>
      <c r="Y193" s="25"/>
      <c r="Z193" s="25"/>
      <c r="AA193" s="25"/>
      <c r="AB193" s="191">
        <f>A193</f>
        <v>4.4999999999999998E-2</v>
      </c>
      <c r="AC193" s="135" cm="1">
        <f t="array" ref="AC193">IFERROR(SUM(AC194)/INDEX($B193:$E193,,MATCH(AC$174,$B$174:$E$174,0)),0)</f>
        <v>0</v>
      </c>
      <c r="AD193" s="135" cm="1">
        <f t="array" ref="AD193">IFERROR(SUM(AD194)/INDEX($B193:$E193,,MATCH(AD$174,$B$174:$E$174,0)),0)</f>
        <v>0</v>
      </c>
      <c r="AE193" s="135" cm="1">
        <f t="array" ref="AE193">IFERROR(SUM(AE194)/INDEX($B193:$E193,,MATCH(AE$174,$B$174:$E$174,0)),0)</f>
        <v>1.2399049881235155E-3</v>
      </c>
      <c r="AF193" s="135" cm="1">
        <f t="array" ref="AF193">IFERROR(SUM(AF194)/INDEX($B193:$E193,,MATCH(AF$174,$B$174:$E$174,0)),0)</f>
        <v>0</v>
      </c>
      <c r="AG193" s="228" t="e">
        <f>(B193*AC193+C193*AD193+D193*AE193+E193*AF193)/F193</f>
        <v>#DIV/0!</v>
      </c>
    </row>
    <row r="194" spans="1:33">
      <c r="A194" s="651">
        <v>2.9000000000000001E-2</v>
      </c>
      <c r="B194" s="25"/>
      <c r="C194" s="25"/>
      <c r="D194" s="25">
        <v>900000000</v>
      </c>
      <c r="E194" s="25"/>
      <c r="F194" s="25"/>
      <c r="G194" s="25"/>
      <c r="H194" s="25"/>
      <c r="I194" s="25"/>
      <c r="J194" s="25"/>
      <c r="K194" s="25">
        <v>900000000</v>
      </c>
      <c r="L194" s="25"/>
      <c r="M194" s="25"/>
      <c r="N194" s="25"/>
      <c r="O194" s="25"/>
      <c r="P194" s="25"/>
      <c r="Q194" s="25"/>
      <c r="R194" s="25"/>
      <c r="S194" s="25"/>
      <c r="T194" s="25"/>
      <c r="U194" s="25"/>
      <c r="V194" s="25"/>
      <c r="W194" s="25"/>
      <c r="X194" s="25"/>
      <c r="Y194" s="25"/>
      <c r="Z194" s="25"/>
      <c r="AA194" s="25"/>
      <c r="AB194" s="191"/>
      <c r="AC194" s="230" cm="1">
        <f t="array" ref="AC194">$A194*IFERROR(INDEX($B194:$E194,,MATCH(AC$47,$B$174:$E$174,0)),0)</f>
        <v>0</v>
      </c>
      <c r="AD194" s="230" cm="1">
        <f t="array" ref="AD194">$A194*IFERROR(INDEX($B194:$E194,,MATCH(AD$47,$B$174:$E$174,0)),0)</f>
        <v>0</v>
      </c>
      <c r="AE194" s="230" cm="1">
        <f t="array" ref="AE194">$A194*IFERROR(INDEX($B194:$E194,,MATCH(AE$47,$B$174:$E$174,0)),0)</f>
        <v>26100000</v>
      </c>
      <c r="AF194" s="230" cm="1">
        <f t="array" ref="AF194">$A194*IFERROR(INDEX($B194:$E194,,MATCH(AF$47,$B$174:$E$174,0)),0)</f>
        <v>0</v>
      </c>
      <c r="AG194" s="25"/>
    </row>
    <row r="195" spans="1:33">
      <c r="A195" s="651">
        <v>4.2000000000000003E-2</v>
      </c>
      <c r="B195" s="25"/>
      <c r="C195" s="25"/>
      <c r="D195" s="25"/>
      <c r="E195" s="25">
        <v>7521354342</v>
      </c>
      <c r="F195" s="25"/>
      <c r="G195" s="25"/>
      <c r="H195" s="25"/>
      <c r="I195" s="25">
        <v>9000000000</v>
      </c>
      <c r="J195" s="25"/>
      <c r="K195" s="25">
        <v>16521354342</v>
      </c>
      <c r="L195" s="25"/>
      <c r="M195" s="25"/>
      <c r="N195" s="25"/>
      <c r="O195" s="25"/>
      <c r="P195" s="25"/>
      <c r="Q195" s="25"/>
      <c r="R195" s="25"/>
      <c r="S195" s="25"/>
      <c r="T195" s="25"/>
      <c r="U195" s="25"/>
      <c r="V195" s="25"/>
      <c r="W195" s="25"/>
      <c r="X195" s="25"/>
      <c r="Y195" s="25"/>
      <c r="Z195" s="25"/>
      <c r="AA195" s="25"/>
      <c r="AB195" s="191"/>
      <c r="AC195" s="141" t="e">
        <f>(AC175*B175+AC180*B180+AC182*B182+B186*AC186+B193*AC193)/B195</f>
        <v>#DIV/0!</v>
      </c>
      <c r="AD195" s="141" t="e">
        <f t="shared" ref="AD195:AF195" si="10">(AD175*C175+AD180*C180+AD182*C182+C186*AD186+C193*AD193)/C195</f>
        <v>#DIV/0!</v>
      </c>
      <c r="AE195" s="141" t="e">
        <f t="shared" si="10"/>
        <v>#DIV/0!</v>
      </c>
      <c r="AF195" s="141">
        <f t="shared" si="10"/>
        <v>1.009392677806111E-2</v>
      </c>
      <c r="AG195" s="141" t="e">
        <f>(B195*AC195+C195*AD195+D195*AE195+E195*AF195)/F195</f>
        <v>#DIV/0!</v>
      </c>
    </row>
    <row r="196" spans="1:33">
      <c r="A196" s="651">
        <v>4.3999999999999997E-2</v>
      </c>
      <c r="B196" s="25"/>
      <c r="C196" s="25"/>
      <c r="D196" s="25">
        <v>11000000000</v>
      </c>
      <c r="E196" s="25"/>
      <c r="F196" s="25"/>
      <c r="G196" s="25"/>
      <c r="H196" s="25"/>
      <c r="I196" s="25"/>
      <c r="J196" s="25"/>
      <c r="K196" s="25">
        <v>11000000000</v>
      </c>
      <c r="L196" s="25"/>
      <c r="M196" s="25"/>
      <c r="N196" s="25"/>
      <c r="O196" s="25"/>
      <c r="P196" s="25"/>
      <c r="Q196" s="25"/>
      <c r="R196" s="25"/>
      <c r="S196" s="25"/>
      <c r="T196" s="25"/>
      <c r="U196" s="25"/>
      <c r="V196" s="25"/>
      <c r="W196" s="25"/>
      <c r="X196" s="25"/>
      <c r="Y196" s="25"/>
      <c r="Z196" s="25"/>
      <c r="AA196" s="25"/>
      <c r="AB196" s="191"/>
      <c r="AG196" s="102" t="e">
        <f>VND_rate!I19=VND_rate!AG195</f>
        <v>#DIV/0!</v>
      </c>
    </row>
    <row r="197" spans="1:33">
      <c r="A197" s="652" t="s">
        <v>198</v>
      </c>
      <c r="B197" s="25">
        <v>66500000000</v>
      </c>
      <c r="C197" s="25">
        <v>70000000000</v>
      </c>
      <c r="D197" s="25"/>
      <c r="E197" s="25">
        <v>5633098111</v>
      </c>
      <c r="F197" s="25"/>
      <c r="G197" s="25"/>
      <c r="H197" s="25"/>
      <c r="I197" s="25"/>
      <c r="J197" s="25"/>
      <c r="K197" s="25">
        <v>142133098111</v>
      </c>
      <c r="L197" s="25"/>
      <c r="M197" s="25"/>
      <c r="N197" s="25"/>
      <c r="O197" s="25"/>
      <c r="P197" s="25"/>
      <c r="Q197" s="25"/>
      <c r="R197" s="25"/>
      <c r="S197" s="25"/>
      <c r="T197" s="25"/>
      <c r="U197" s="25"/>
      <c r="V197" s="25"/>
      <c r="W197" s="25"/>
      <c r="X197" s="25"/>
      <c r="Y197" s="25"/>
      <c r="Z197" s="25"/>
      <c r="AA197" s="25"/>
      <c r="AB197" s="192"/>
    </row>
    <row r="198" spans="1:33">
      <c r="A198" s="651">
        <v>4.2999999999999997E-2</v>
      </c>
      <c r="B198" s="25">
        <v>50000000000</v>
      </c>
      <c r="C198" s="25"/>
      <c r="D198" s="25"/>
      <c r="E198" s="25"/>
      <c r="F198" s="25"/>
      <c r="G198" s="25"/>
      <c r="H198" s="25"/>
      <c r="I198" s="25"/>
      <c r="J198" s="25"/>
      <c r="K198" s="25">
        <v>50000000000</v>
      </c>
      <c r="L198" s="25"/>
      <c r="M198" s="25"/>
      <c r="N198" s="25"/>
      <c r="O198" s="25"/>
      <c r="P198" s="25"/>
      <c r="Q198" s="25"/>
      <c r="R198" s="25"/>
      <c r="S198" s="25"/>
      <c r="T198" s="25"/>
      <c r="U198" s="25"/>
      <c r="V198" s="25"/>
      <c r="W198" s="25"/>
      <c r="X198" s="25"/>
      <c r="Y198" s="25"/>
      <c r="Z198" s="25"/>
      <c r="AA198" s="25"/>
      <c r="AB198" s="192"/>
    </row>
    <row r="199" spans="1:33">
      <c r="A199" s="651">
        <v>4.1000000000000002E-2</v>
      </c>
      <c r="B199" s="25"/>
      <c r="C199" s="25">
        <v>20000000000</v>
      </c>
      <c r="D199" s="25"/>
      <c r="E199" s="25"/>
      <c r="F199" s="25"/>
      <c r="G199" s="25"/>
      <c r="H199" s="25"/>
      <c r="I199" s="25"/>
      <c r="J199" s="25"/>
      <c r="K199" s="25">
        <v>20000000000</v>
      </c>
      <c r="L199" s="25"/>
      <c r="M199" s="25"/>
      <c r="N199" s="25"/>
      <c r="O199" s="25"/>
      <c r="P199" s="25"/>
      <c r="Q199" s="25"/>
      <c r="R199" s="25"/>
      <c r="S199" s="25"/>
      <c r="T199" s="25"/>
      <c r="U199" s="25"/>
      <c r="V199" s="25"/>
      <c r="W199" s="25"/>
      <c r="X199" s="25"/>
      <c r="Y199" s="25"/>
      <c r="Z199" s="25"/>
      <c r="AA199" s="25"/>
      <c r="AB199" s="192"/>
    </row>
    <row r="200" spans="1:33">
      <c r="A200" s="651">
        <v>4.4999999999999998E-2</v>
      </c>
      <c r="B200" s="25"/>
      <c r="C200" s="25">
        <v>50000000000</v>
      </c>
      <c r="D200" s="25"/>
      <c r="E200" s="25"/>
      <c r="F200" s="25"/>
      <c r="G200" s="25"/>
      <c r="H200" s="25"/>
      <c r="I200" s="25"/>
      <c r="J200" s="25"/>
      <c r="K200" s="25">
        <v>50000000000</v>
      </c>
      <c r="L200" s="25"/>
      <c r="M200" s="25"/>
      <c r="N200" s="25"/>
      <c r="O200" s="25"/>
      <c r="P200" s="25"/>
      <c r="Q200" s="25"/>
      <c r="R200" s="25"/>
      <c r="S200" s="25"/>
      <c r="T200" s="25"/>
      <c r="U200" s="25"/>
      <c r="V200" s="25"/>
      <c r="W200" s="25"/>
      <c r="X200" s="25"/>
      <c r="Y200" s="25"/>
      <c r="Z200" s="25"/>
      <c r="AA200" s="25"/>
      <c r="AB200" s="192"/>
    </row>
    <row r="201" spans="1:33">
      <c r="A201" s="651">
        <v>0.03</v>
      </c>
      <c r="B201" s="25"/>
      <c r="C201" s="25"/>
      <c r="D201" s="25"/>
      <c r="E201" s="25">
        <v>5633098111</v>
      </c>
      <c r="F201" s="25"/>
      <c r="G201" s="25"/>
      <c r="H201" s="25"/>
      <c r="I201" s="25"/>
      <c r="J201" s="25"/>
      <c r="K201" s="25">
        <v>5633098111</v>
      </c>
      <c r="L201" s="25"/>
      <c r="M201" s="25"/>
      <c r="N201" s="25"/>
      <c r="O201" s="25"/>
      <c r="P201" s="25"/>
      <c r="Q201" s="25"/>
      <c r="R201" s="25"/>
      <c r="S201" s="25"/>
      <c r="T201" s="25"/>
      <c r="U201" s="25"/>
      <c r="V201" s="25"/>
      <c r="W201" s="25"/>
      <c r="X201" s="25"/>
      <c r="Y201" s="25"/>
      <c r="Z201" s="25"/>
      <c r="AA201" s="25"/>
      <c r="AB201" s="192"/>
    </row>
    <row r="202" spans="1:33">
      <c r="A202" s="651">
        <v>3.6999999999999998E-2</v>
      </c>
      <c r="B202" s="25">
        <v>16500000000</v>
      </c>
      <c r="C202" s="25"/>
      <c r="D202" s="25"/>
      <c r="E202" s="25"/>
      <c r="F202" s="25"/>
      <c r="G202" s="25"/>
      <c r="H202" s="25"/>
      <c r="I202" s="25"/>
      <c r="J202" s="25"/>
      <c r="K202" s="25">
        <v>16500000000</v>
      </c>
      <c r="L202" s="25"/>
      <c r="M202" s="25"/>
      <c r="N202" s="25"/>
      <c r="O202" s="25"/>
      <c r="P202" s="25"/>
      <c r="Q202" s="25"/>
      <c r="R202" s="25"/>
      <c r="S202" s="25"/>
      <c r="T202" s="25"/>
      <c r="U202" s="25"/>
      <c r="V202" s="25"/>
      <c r="W202" s="25"/>
      <c r="X202" s="25"/>
      <c r="Y202" s="25"/>
      <c r="Z202" s="25"/>
      <c r="AA202" s="25"/>
      <c r="AB202" s="191">
        <f>A202</f>
        <v>3.6999999999999998E-2</v>
      </c>
    </row>
    <row r="203" spans="1:33">
      <c r="A203" s="652" t="s">
        <v>118</v>
      </c>
      <c r="B203" s="25"/>
      <c r="C203" s="25"/>
      <c r="D203" s="25">
        <v>172600000000</v>
      </c>
      <c r="E203" s="25"/>
      <c r="F203" s="25"/>
      <c r="G203" s="25"/>
      <c r="H203" s="25"/>
      <c r="I203" s="25"/>
      <c r="J203" s="25"/>
      <c r="K203" s="25">
        <v>172600000000</v>
      </c>
      <c r="L203" s="25"/>
      <c r="M203" s="25"/>
      <c r="N203" s="25"/>
      <c r="O203" s="25"/>
      <c r="P203" s="25"/>
      <c r="Q203" s="25"/>
      <c r="R203" s="25"/>
      <c r="S203" s="25"/>
      <c r="T203" s="25"/>
      <c r="U203" s="25"/>
      <c r="V203" s="25"/>
      <c r="W203" s="25"/>
      <c r="X203" s="25"/>
      <c r="Y203" s="25"/>
      <c r="Z203" s="25"/>
      <c r="AA203" s="25"/>
      <c r="AB203" s="192"/>
    </row>
    <row r="204" spans="1:33">
      <c r="A204" s="651">
        <v>5.5E-2</v>
      </c>
      <c r="B204" s="25"/>
      <c r="C204" s="25"/>
      <c r="D204" s="25">
        <v>2600000000</v>
      </c>
      <c r="E204" s="25"/>
      <c r="F204" s="25"/>
      <c r="G204" s="25"/>
      <c r="H204" s="25"/>
      <c r="I204" s="25"/>
      <c r="J204" s="25"/>
      <c r="K204" s="25">
        <v>2600000000</v>
      </c>
      <c r="L204" s="25"/>
      <c r="M204" s="25"/>
      <c r="N204" s="25"/>
      <c r="O204" s="25"/>
      <c r="P204" s="25"/>
      <c r="Q204" s="25"/>
      <c r="R204" s="25"/>
      <c r="S204" s="25"/>
      <c r="T204" s="25"/>
      <c r="U204" s="25"/>
      <c r="V204" s="25"/>
      <c r="W204" s="25"/>
      <c r="X204" s="25"/>
      <c r="Y204" s="25"/>
      <c r="Z204" s="25"/>
      <c r="AA204" s="25"/>
      <c r="AB204" s="191"/>
    </row>
    <row r="205" spans="1:33">
      <c r="A205" s="651">
        <v>6.2E-2</v>
      </c>
      <c r="B205" s="25"/>
      <c r="C205" s="25"/>
      <c r="D205" s="25">
        <v>170000000000</v>
      </c>
      <c r="E205" s="25"/>
      <c r="F205" s="25"/>
      <c r="G205" s="25"/>
      <c r="H205" s="25"/>
      <c r="I205" s="25"/>
      <c r="J205" s="25"/>
      <c r="K205" s="25">
        <v>170000000000</v>
      </c>
      <c r="L205" s="25"/>
      <c r="M205" s="25"/>
      <c r="N205" s="25"/>
      <c r="O205" s="25"/>
      <c r="P205" s="25"/>
      <c r="Q205" s="25"/>
      <c r="R205" s="25"/>
      <c r="S205" s="25"/>
      <c r="T205" s="25"/>
      <c r="U205" s="25"/>
      <c r="V205" s="25"/>
      <c r="W205" s="25"/>
      <c r="X205" s="25"/>
      <c r="Y205" s="25"/>
      <c r="Z205" s="25"/>
      <c r="AA205" s="25"/>
      <c r="AB205" s="192"/>
    </row>
    <row r="206" spans="1:33">
      <c r="A206" s="652" t="s">
        <v>199</v>
      </c>
      <c r="B206" s="25">
        <v>50000000000</v>
      </c>
      <c r="C206" s="25"/>
      <c r="D206" s="25"/>
      <c r="E206" s="25"/>
      <c r="F206" s="25"/>
      <c r="G206" s="25"/>
      <c r="H206" s="25"/>
      <c r="I206" s="25"/>
      <c r="J206" s="25"/>
      <c r="K206" s="25">
        <v>50000000000</v>
      </c>
      <c r="L206" s="25"/>
      <c r="M206" s="25"/>
      <c r="N206" s="25"/>
      <c r="O206" s="25"/>
      <c r="P206" s="25"/>
      <c r="Q206" s="25"/>
      <c r="R206" s="25"/>
      <c r="S206" s="25"/>
      <c r="T206" s="25"/>
      <c r="U206" s="25"/>
      <c r="V206" s="25"/>
      <c r="W206" s="25"/>
      <c r="X206" s="25"/>
      <c r="Y206" s="25"/>
      <c r="Z206" s="25"/>
      <c r="AA206" s="25"/>
      <c r="AB206" s="134"/>
    </row>
    <row r="207" spans="1:33">
      <c r="A207" s="651">
        <v>4.7500000000000001E-2</v>
      </c>
      <c r="B207" s="25">
        <v>50000000000</v>
      </c>
      <c r="C207" s="25"/>
      <c r="D207" s="25"/>
      <c r="E207" s="25"/>
      <c r="F207" s="25"/>
      <c r="G207" s="25"/>
      <c r="H207" s="25"/>
      <c r="I207" s="25"/>
      <c r="J207" s="25"/>
      <c r="K207" s="25">
        <v>50000000000</v>
      </c>
    </row>
    <row r="208" spans="1:33">
      <c r="A208" s="17" t="s">
        <v>292</v>
      </c>
      <c r="B208" s="25"/>
      <c r="C208" s="25">
        <v>13700000000</v>
      </c>
      <c r="D208" s="25"/>
      <c r="E208" s="25"/>
      <c r="F208" s="25"/>
      <c r="G208" s="25"/>
      <c r="H208" s="25"/>
      <c r="I208" s="25"/>
      <c r="J208" s="25"/>
      <c r="K208" s="25">
        <v>13700000000</v>
      </c>
    </row>
    <row r="209" spans="1:11">
      <c r="A209" s="887">
        <v>4.5999999999999999E-2</v>
      </c>
      <c r="B209" s="25"/>
      <c r="C209" s="25">
        <v>13700000000</v>
      </c>
      <c r="D209" s="25"/>
      <c r="E209" s="25"/>
      <c r="F209" s="25"/>
      <c r="G209" s="25"/>
      <c r="H209" s="25"/>
      <c r="I209" s="25"/>
      <c r="J209" s="25"/>
      <c r="K209" s="25">
        <v>13700000000</v>
      </c>
    </row>
    <row r="210" spans="1:11">
      <c r="A210" s="17" t="s">
        <v>203</v>
      </c>
      <c r="B210" s="25">
        <v>4000000000</v>
      </c>
      <c r="C210" s="25"/>
      <c r="D210" s="25"/>
      <c r="E210" s="25"/>
      <c r="F210" s="25"/>
      <c r="G210" s="25"/>
      <c r="H210" s="25"/>
      <c r="I210" s="25"/>
      <c r="J210" s="25"/>
      <c r="K210" s="25">
        <v>4000000000</v>
      </c>
    </row>
    <row r="211" spans="1:11">
      <c r="A211" s="651">
        <v>4.7500000000000001E-2</v>
      </c>
      <c r="B211" s="25">
        <v>4000000000</v>
      </c>
      <c r="C211" s="25"/>
      <c r="D211" s="25"/>
      <c r="E211" s="25"/>
      <c r="F211" s="25"/>
      <c r="G211" s="25"/>
      <c r="H211" s="25"/>
      <c r="I211" s="25"/>
      <c r="J211" s="25"/>
      <c r="K211" s="25">
        <v>4000000000</v>
      </c>
    </row>
    <row r="212" spans="1:11">
      <c r="A212" s="17" t="s">
        <v>293</v>
      </c>
      <c r="B212" s="25">
        <v>17000000000</v>
      </c>
      <c r="C212" s="25"/>
      <c r="D212" s="25"/>
      <c r="E212" s="25"/>
      <c r="F212" s="25"/>
      <c r="G212" s="25"/>
      <c r="H212" s="25"/>
      <c r="I212" s="25"/>
      <c r="J212" s="25"/>
      <c r="K212" s="25">
        <v>17000000000</v>
      </c>
    </row>
    <row r="213" spans="1:11">
      <c r="A213" s="651">
        <v>4.1000000000000002E-2</v>
      </c>
      <c r="B213" s="25">
        <v>17000000000</v>
      </c>
      <c r="C213" s="25"/>
      <c r="D213" s="25"/>
      <c r="E213" s="25"/>
      <c r="F213" s="25"/>
      <c r="G213" s="25"/>
      <c r="H213" s="25"/>
      <c r="I213" s="25"/>
      <c r="J213" s="25"/>
      <c r="K213" s="25">
        <v>17000000000</v>
      </c>
    </row>
    <row r="214" spans="1:11">
      <c r="A214" s="17" t="s">
        <v>105</v>
      </c>
      <c r="B214" s="25">
        <v>1965851182467</v>
      </c>
      <c r="C214" s="25">
        <v>405815000000</v>
      </c>
      <c r="D214" s="25">
        <v>251550000000</v>
      </c>
      <c r="E214" s="25">
        <v>17260452453</v>
      </c>
      <c r="F214" s="25">
        <v>125496854000</v>
      </c>
      <c r="G214" s="25">
        <v>19700000000</v>
      </c>
      <c r="H214" s="25">
        <v>10000000000</v>
      </c>
      <c r="I214" s="25">
        <v>15000000000</v>
      </c>
      <c r="J214" s="25">
        <v>5925568608</v>
      </c>
      <c r="K214" s="25">
        <v>2816599057528</v>
      </c>
    </row>
  </sheetData>
  <mergeCells count="1">
    <mergeCell ref="A2:I2"/>
  </mergeCells>
  <conditionalFormatting sqref="B4:F4">
    <cfRule type="expression" dxfId="33" priority="3">
      <formula>B4=FALSE</formula>
    </cfRule>
  </conditionalFormatting>
  <conditionalFormatting sqref="H4">
    <cfRule type="expression" dxfId="32" priority="1">
      <formula>H4=FALSE</formula>
    </cfRule>
  </conditionalFormatting>
  <conditionalFormatting sqref="H25">
    <cfRule type="expression" dxfId="31" priority="2">
      <formula>H25=FALSE</formula>
    </cfRule>
  </conditionalFormatting>
  <conditionalFormatting sqref="AG196">
    <cfRule type="expression" dxfId="30" priority="4">
      <formula>AG196=FALSE</formula>
    </cfRule>
  </conditionalFormatting>
  <pageMargins left="0.7" right="0.7" top="0.75" bottom="0.75" header="0.3" footer="0.3"/>
  <pageSetup orientation="portrait"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0F680-22D1-43BE-B91D-128F60A8DF0B}">
  <sheetPr codeName="Sheet6">
    <tabColor theme="8" tint="0.39997558519241921"/>
  </sheetPr>
  <dimension ref="A2:AB129"/>
  <sheetViews>
    <sheetView showGridLines="0" topLeftCell="A16" zoomScale="80" zoomScaleNormal="80" workbookViewId="0"/>
  </sheetViews>
  <sheetFormatPr defaultColWidth="0" defaultRowHeight="14.4"/>
  <cols>
    <col min="1" max="1" width="38.5546875" bestFit="1" customWidth="1"/>
    <col min="2" max="2" width="21" customWidth="1"/>
    <col min="3" max="4" width="15.5546875" customWidth="1"/>
    <col min="5" max="5" width="16.5546875" customWidth="1"/>
    <col min="6" max="6" width="15.5546875" customWidth="1"/>
    <col min="7" max="7" width="8.44140625" customWidth="1"/>
    <col min="8" max="8" width="16.5546875" bestFit="1" customWidth="1"/>
    <col min="9" max="9" width="21.44140625" bestFit="1" customWidth="1"/>
    <col min="10" max="10" width="50.44140625" customWidth="1"/>
    <col min="11" max="11" width="7.44140625" bestFit="1" customWidth="1"/>
    <col min="12" max="12" width="9.44140625" hidden="1" customWidth="1"/>
    <col min="13" max="13" width="8.5546875" hidden="1" customWidth="1"/>
    <col min="14" max="14" width="10.44140625" hidden="1" customWidth="1"/>
    <col min="15" max="15" width="7.44140625" hidden="1" customWidth="1"/>
    <col min="16" max="17" width="13.5546875" hidden="1" customWidth="1"/>
    <col min="18" max="18" width="21.44140625" hidden="1" customWidth="1"/>
    <col min="19" max="19" width="15.44140625" hidden="1" customWidth="1"/>
    <col min="20" max="20" width="6.5546875" hidden="1" customWidth="1"/>
    <col min="21" max="21" width="11.5546875" hidden="1" customWidth="1"/>
    <col min="22" max="22" width="15" hidden="1" customWidth="1"/>
    <col min="23" max="23" width="14.44140625" hidden="1" customWidth="1"/>
    <col min="24" max="24" width="11.5546875" hidden="1" customWidth="1"/>
    <col min="25" max="26" width="15.44140625" hidden="1" customWidth="1"/>
    <col min="27" max="28" width="16.44140625" hidden="1" customWidth="1"/>
    <col min="29" max="16384" width="8.5546875" hidden="1"/>
  </cols>
  <sheetData>
    <row r="2" spans="1:10">
      <c r="A2" s="105" t="str">
        <f>"Total USD of BWID Group as at "&amp;TEXT(Summary!B6,"dd mmm yyyy")&amp;" is USD"&amp;TEXT(H33/1000000,"$#,###.00")&amp;"mn, gaining an average yield of 1-2% p.a"</f>
        <v>Total USD of BWID Group as at 15 Jan 2026 is USD$,06567mn, gaining an average yield of 1-2% p.a</v>
      </c>
      <c r="B2" s="104"/>
      <c r="C2" s="105"/>
      <c r="D2" s="105"/>
      <c r="E2" s="105"/>
      <c r="F2" s="105"/>
      <c r="G2" s="105"/>
      <c r="H2" s="2"/>
      <c r="I2" s="2"/>
      <c r="J2" s="2"/>
    </row>
    <row r="3" spans="1:10">
      <c r="A3" s="107" t="s">
        <v>295</v>
      </c>
      <c r="B3" s="105"/>
      <c r="C3" s="105"/>
      <c r="D3" s="105"/>
      <c r="E3" s="105"/>
      <c r="F3" s="105"/>
      <c r="G3" s="105"/>
      <c r="H3" s="2"/>
      <c r="I3" s="2"/>
      <c r="J3" s="2"/>
    </row>
    <row r="4" spans="1:10">
      <c r="A4" s="108" t="s">
        <v>249</v>
      </c>
      <c r="B4" s="105"/>
      <c r="C4" s="105"/>
      <c r="D4" s="105"/>
      <c r="E4" s="105"/>
      <c r="F4" s="105"/>
      <c r="G4" s="105"/>
      <c r="H4" s="2"/>
      <c r="I4" s="2"/>
      <c r="J4" s="2"/>
    </row>
    <row r="5" spans="1:10">
      <c r="A5" s="108" t="s">
        <v>296</v>
      </c>
      <c r="B5" s="105"/>
      <c r="C5" s="105"/>
      <c r="D5" s="105"/>
      <c r="E5" s="105"/>
      <c r="F5" s="105"/>
      <c r="G5" s="105"/>
      <c r="H5" s="2"/>
      <c r="I5" s="2"/>
      <c r="J5" s="2"/>
    </row>
    <row r="6" spans="1:10" ht="15" thickBot="1">
      <c r="H6" s="102">
        <f>H33-Summary!C18*1000000</f>
        <v>0</v>
      </c>
    </row>
    <row r="7" spans="1:10" ht="27.6">
      <c r="A7" s="346" t="s">
        <v>297</v>
      </c>
      <c r="B7" s="344" t="s">
        <v>8</v>
      </c>
      <c r="C7" s="344" t="s">
        <v>283</v>
      </c>
      <c r="D7" s="344" t="s">
        <v>67</v>
      </c>
      <c r="E7" s="344" t="s">
        <v>283</v>
      </c>
      <c r="F7" s="347" t="s">
        <v>10</v>
      </c>
      <c r="G7" s="344" t="s">
        <v>283</v>
      </c>
      <c r="H7" s="344" t="s">
        <v>298</v>
      </c>
      <c r="I7" s="348" t="s">
        <v>217</v>
      </c>
      <c r="J7" s="345" t="s">
        <v>252</v>
      </c>
    </row>
    <row r="8" spans="1:10" ht="15" thickBot="1">
      <c r="A8" s="84" t="s">
        <v>253</v>
      </c>
      <c r="B8" s="829">
        <f>SUM(B9:B20)</f>
        <v>19468.469999999998</v>
      </c>
      <c r="C8" s="113">
        <f>SUMPRODUCT(B9:B20,C9:C20)/B8</f>
        <v>0</v>
      </c>
      <c r="D8" s="829">
        <f>SUM(D9:D20)</f>
        <v>9629.0600000002232</v>
      </c>
      <c r="E8" s="113">
        <f>SUMPRODUCT(D9:D20,E9:E20)/D8</f>
        <v>0</v>
      </c>
      <c r="F8" s="829">
        <f>SUM(F9:F20)</f>
        <v>36570.05999999999</v>
      </c>
      <c r="G8" s="113">
        <f>SUMPRODUCT(F9:F20,G9:G20)/F8</f>
        <v>0</v>
      </c>
      <c r="H8" s="829">
        <f t="shared" ref="H8:H32" si="0">SUM(B8,D8,F8)</f>
        <v>65667.590000000215</v>
      </c>
      <c r="I8" s="113">
        <f t="shared" ref="I8:I33" si="1">IFERROR((B8*C8+D8*E8+F8*G8)/H8,0)</f>
        <v>0</v>
      </c>
      <c r="J8" s="89"/>
    </row>
    <row r="9" spans="1:10">
      <c r="A9" s="65" t="s">
        <v>110</v>
      </c>
      <c r="B9" s="830">
        <f>SUMIFS('Cash Balance'!$T$4:$T$920,'Cash Balance'!$X$4:$X$920,USD_yield!$A9,'Cash Balance'!$W$4:$W$920,USD_yield!B$7)-B22</f>
        <v>3421.25</v>
      </c>
      <c r="C9" s="114">
        <v>0</v>
      </c>
      <c r="D9" s="830">
        <f>SUMIFS('Cash Balance'!$T$4:$T$920,'Cash Balance'!$X$4:$X$920,USD_yield!$A9,'Cash Balance'!$W$4:$W$920,USD_yield!D$7)-D22</f>
        <v>2792.51</v>
      </c>
      <c r="E9" s="114">
        <v>0</v>
      </c>
      <c r="F9" s="834">
        <f>SUMIFS('Cash Balance'!$T$4:$T$920,'Cash Balance'!$X$4:$X$920,USD_yield!$A9,'Cash Balance'!$W$4:$W$920,USD_yield!F$7)-F22</f>
        <v>30673.31</v>
      </c>
      <c r="G9" s="114">
        <v>0</v>
      </c>
      <c r="H9" s="830">
        <f>SUM(B9,D9,F9)</f>
        <v>36887.07</v>
      </c>
      <c r="I9" s="114">
        <f t="shared" si="1"/>
        <v>0</v>
      </c>
      <c r="J9" s="82" t="s">
        <v>299</v>
      </c>
    </row>
    <row r="10" spans="1:10">
      <c r="A10" s="65" t="s">
        <v>112</v>
      </c>
      <c r="B10" s="830">
        <f>SUMIFS('Cash Balance'!$T$4:$T$920,'Cash Balance'!$X$4:$X$920,USD_yield!$A10,'Cash Balance'!$W$4:$W$920,USD_yield!B$7)-B23</f>
        <v>1711.05</v>
      </c>
      <c r="C10" s="114">
        <v>0</v>
      </c>
      <c r="D10" s="830">
        <f>SUMIFS('Cash Balance'!$T$4:$T$920,'Cash Balance'!$X$4:$X$920,USD_yield!$A10,'Cash Balance'!$W$4:$W$920,USD_yield!D$7)-D23</f>
        <v>698.69999999999982</v>
      </c>
      <c r="E10" s="114">
        <v>0</v>
      </c>
      <c r="F10" s="830">
        <f>SUMIFS('Cash Balance'!$T$4:$T$920,'Cash Balance'!$X$4:$X$920,USD_yield!$A10,'Cash Balance'!$W$4:$W$920,USD_yield!F$7)-F23</f>
        <v>5589.319999999997</v>
      </c>
      <c r="G10" s="114">
        <v>0</v>
      </c>
      <c r="H10" s="830">
        <f t="shared" si="0"/>
        <v>7999.069999999997</v>
      </c>
      <c r="I10" s="114">
        <f t="shared" si="1"/>
        <v>0</v>
      </c>
      <c r="J10" s="82" t="s">
        <v>300</v>
      </c>
    </row>
    <row r="11" spans="1:10">
      <c r="A11" s="65" t="s">
        <v>114</v>
      </c>
      <c r="B11" s="830">
        <f>SUMIFS('Cash Balance'!$T$4:$T$920,'Cash Balance'!$X$4:$X$920,USD_yield!$A11,'Cash Balance'!$W$4:$W$920,USD_yield!B$7)-B24</f>
        <v>64.799999999999983</v>
      </c>
      <c r="C11" s="114">
        <v>0</v>
      </c>
      <c r="D11" s="830">
        <f>SUMIFS('Cash Balance'!$T$4:$T$920,'Cash Balance'!$X$4:$X$920,USD_yield!$A11,'Cash Balance'!$W$4:$W$920,USD_yield!D$7)-D24</f>
        <v>211.61000000000007</v>
      </c>
      <c r="E11" s="114">
        <v>0</v>
      </c>
      <c r="F11" s="830">
        <f>SUMIFS('Cash Balance'!$T$4:$T$920,'Cash Balance'!$X$4:$X$920,USD_yield!$A11,'Cash Balance'!$W$4:$W$920,USD_yield!F$7)-F24</f>
        <v>302.68999999999573</v>
      </c>
      <c r="G11" s="114">
        <v>0</v>
      </c>
      <c r="H11" s="830">
        <f t="shared" si="0"/>
        <v>579.09999999999582</v>
      </c>
      <c r="I11" s="114">
        <f t="shared" si="1"/>
        <v>0</v>
      </c>
      <c r="J11" s="82" t="s">
        <v>300</v>
      </c>
    </row>
    <row r="12" spans="1:10">
      <c r="A12" s="65" t="s">
        <v>118</v>
      </c>
      <c r="B12" s="830">
        <f>SUMIFS('Cash Balance'!$T$4:$T$920,'Cash Balance'!$X$4:$X$920,USD_yield!$A12,'Cash Balance'!$W$4:$W$920,USD_yield!B$7)-B25</f>
        <v>51.599999999999987</v>
      </c>
      <c r="C12" s="114">
        <v>0</v>
      </c>
      <c r="D12" s="830">
        <f>SUMIFS('Cash Balance'!$T$4:$T$920,'Cash Balance'!$X$4:$X$920,USD_yield!$A12,'Cash Balance'!$W$4:$W$920,USD_yield!D$7)-D25</f>
        <v>100</v>
      </c>
      <c r="E12" s="114">
        <v>0</v>
      </c>
      <c r="F12" s="830">
        <f>SUMIFS('Cash Balance'!$T$4:$T$920,'Cash Balance'!$X$4:$X$920,USD_yield!$A12,'Cash Balance'!$W$4:$W$920,USD_yield!F$7)-F25</f>
        <v>0</v>
      </c>
      <c r="G12" s="114">
        <v>0</v>
      </c>
      <c r="H12" s="830">
        <f>SUM(B12,D12,F12)</f>
        <v>151.6</v>
      </c>
      <c r="I12" s="114">
        <f>IFERROR((B12*C12+D12*E12+F12*G12)/H12,0)</f>
        <v>0</v>
      </c>
      <c r="J12" s="82"/>
    </row>
    <row r="13" spans="1:10">
      <c r="A13" s="65" t="s">
        <v>116</v>
      </c>
      <c r="B13" s="830">
        <f>SUMIFS('Cash Balance'!$T$4:$T$920,'Cash Balance'!$X$4:$X$920,USD_yield!$A13,'Cash Balance'!$W$4:$W$920,USD_yield!B$7)-B26</f>
        <v>150</v>
      </c>
      <c r="C13" s="114">
        <v>0</v>
      </c>
      <c r="D13" s="830">
        <f>SUMIFS('Cash Balance'!$T$4:$T$920,'Cash Balance'!$X$4:$X$920,USD_yield!$A13,'Cash Balance'!$W$4:$W$920,USD_yield!D$7)-D26</f>
        <v>100</v>
      </c>
      <c r="E13" s="114">
        <v>0</v>
      </c>
      <c r="F13" s="830">
        <f>SUMIFS('Cash Balance'!$T$4:$T$920,'Cash Balance'!$X$4:$X$920,USD_yield!$A13,'Cash Balance'!$W$4:$W$920,USD_yield!F$7)-F26</f>
        <v>0</v>
      </c>
      <c r="G13" s="114">
        <v>0</v>
      </c>
      <c r="H13" s="830">
        <f t="shared" si="0"/>
        <v>250</v>
      </c>
      <c r="I13" s="114">
        <f t="shared" si="1"/>
        <v>0</v>
      </c>
      <c r="J13" s="680"/>
    </row>
    <row r="14" spans="1:10">
      <c r="A14" s="65" t="s">
        <v>119</v>
      </c>
      <c r="B14" s="830">
        <f>SUMIFS('Cash Balance'!$T$4:$T$920,'Cash Balance'!$X$4:$X$920,USD_yield!$A14,'Cash Balance'!$W$4:$W$920,USD_yield!B$7)-B27</f>
        <v>0</v>
      </c>
      <c r="C14" s="114">
        <v>0</v>
      </c>
      <c r="D14" s="830">
        <f>SUMIFS('Cash Balance'!$T$4:$T$920,'Cash Balance'!$X$4:$X$920,USD_yield!$A14,'Cash Balance'!$W$4:$W$920,USD_yield!D$7)-D27</f>
        <v>90</v>
      </c>
      <c r="E14" s="114">
        <v>0</v>
      </c>
      <c r="F14" s="830">
        <f>SUMIFS('Cash Balance'!$T$4:$T$920,'Cash Balance'!$X$4:$X$920,USD_yield!$A14,'Cash Balance'!$W$4:$W$920,USD_yield!F$7)-F27</f>
        <v>0</v>
      </c>
      <c r="G14" s="114">
        <v>0</v>
      </c>
      <c r="H14" s="830">
        <f t="shared" si="0"/>
        <v>90</v>
      </c>
      <c r="I14" s="114">
        <f t="shared" si="1"/>
        <v>0</v>
      </c>
      <c r="J14" s="82"/>
    </row>
    <row r="15" spans="1:10" hidden="1">
      <c r="A15" s="65" t="s">
        <v>197</v>
      </c>
      <c r="B15" s="830">
        <f>SUMIFS('Cash Balance'!$T$4:$T$920,'Cash Balance'!$X$4:$X$920,USD_yield!$A15,'Cash Balance'!$W$4:$W$920,USD_yield!B$7)-B28</f>
        <v>0</v>
      </c>
      <c r="C15" s="114">
        <v>0</v>
      </c>
      <c r="D15" s="830"/>
      <c r="E15" s="114">
        <v>0</v>
      </c>
      <c r="F15" s="830">
        <f>SUMIFS('Cash Balance'!$T$4:$T$920,'Cash Balance'!$X$4:$X$920,USD_yield!$A15,'Cash Balance'!$W$4:$W$920,USD_yield!F$7)-F28</f>
        <v>0</v>
      </c>
      <c r="G15" s="114">
        <v>0</v>
      </c>
      <c r="H15" s="830">
        <f t="shared" si="0"/>
        <v>0</v>
      </c>
      <c r="I15" s="114">
        <f t="shared" si="1"/>
        <v>0</v>
      </c>
      <c r="J15" s="83"/>
    </row>
    <row r="16" spans="1:10">
      <c r="A16" s="65" t="s">
        <v>198</v>
      </c>
      <c r="B16" s="830">
        <f>SUMIFS('Cash Balance'!$T$4:$T$920,'Cash Balance'!$X$4:$X$920,USD_yield!$A16,'Cash Balance'!$W$4:$W$920,USD_yield!B$7)-B29</f>
        <v>13119.739999999998</v>
      </c>
      <c r="C16" s="114">
        <v>0</v>
      </c>
      <c r="D16" s="830">
        <f>SUMIFS('Cash Balance'!$T$4:$T$920,'Cash Balance'!$X$4:$X$920,USD_yield!$A16,'Cash Balance'!$W$4:$W$920,USD_yield!D$7)-D29</f>
        <v>0</v>
      </c>
      <c r="E16" s="114">
        <v>0</v>
      </c>
      <c r="F16" s="830">
        <f>SUMIFS('Cash Balance'!$T$4:$T$920,'Cash Balance'!$X$4:$X$920,USD_yield!$A16,'Cash Balance'!$W$4:$W$920,USD_yield!F$7)-F29</f>
        <v>0</v>
      </c>
      <c r="G16" s="114">
        <v>0</v>
      </c>
      <c r="H16" s="830">
        <f t="shared" si="0"/>
        <v>13119.739999999998</v>
      </c>
      <c r="I16" s="114">
        <f t="shared" si="1"/>
        <v>0</v>
      </c>
      <c r="J16" s="83" t="s">
        <v>301</v>
      </c>
    </row>
    <row r="17" spans="1:10">
      <c r="A17" s="65" t="s">
        <v>257</v>
      </c>
      <c r="B17" s="830">
        <f>SUMIFS('Cash Balance'!$T$4:$T$920,'Cash Balance'!$X$4:$X$920,USD_yield!$A17,'Cash Balance'!$W$4:$W$920,USD_yield!B$7)-B30</f>
        <v>0</v>
      </c>
      <c r="C17" s="114">
        <v>0</v>
      </c>
      <c r="D17" s="830">
        <f>SUMIFS('Cash Balance'!$T$4:$T$920,'Cash Balance'!$X$4:$X$920,USD_yield!$A17,'Cash Balance'!$W$4:$W$920,USD_yield!D$7)-D30</f>
        <v>0</v>
      </c>
      <c r="E17" s="114">
        <v>0</v>
      </c>
      <c r="F17" s="830">
        <f>SUMIFS('Cash Balance'!$T$4:$T$920,'Cash Balance'!$X$4:$X$920,USD_yield!$A17,'Cash Balance'!$W$4:$W$920,USD_yield!F$7)-F30</f>
        <v>0</v>
      </c>
      <c r="G17" s="114">
        <v>0</v>
      </c>
      <c r="H17" s="830">
        <f t="shared" ref="H17" si="2">SUM(B17,D17,F17)</f>
        <v>0</v>
      </c>
      <c r="I17" s="114">
        <f t="shared" ref="I17" si="3">IFERROR((B17*C17+D17*E17+F17*G17)/H17,0)</f>
        <v>0</v>
      </c>
      <c r="J17" s="83"/>
    </row>
    <row r="18" spans="1:10">
      <c r="A18" s="65" t="s">
        <v>202</v>
      </c>
      <c r="B18" s="830">
        <f>SUMIFS('Cash Balance'!$T$4:$T$920,'Cash Balance'!$X$4:$X$920,USD_yield!$A18,'Cash Balance'!$W$4:$W$920,USD_yield!B$7)-B31</f>
        <v>950</v>
      </c>
      <c r="C18" s="114">
        <v>0</v>
      </c>
      <c r="D18" s="830">
        <f>SUMIFS('Cash Balance'!$T$4:$T$920,'Cash Balance'!$X$4:$X$920,USD_yield!$A18,'Cash Balance'!$W$4:$W$920,USD_yield!D$7)-D31</f>
        <v>5636.2400000002235</v>
      </c>
      <c r="E18" s="114">
        <v>0</v>
      </c>
      <c r="F18" s="830">
        <f>SUMIFS('Cash Balance'!$T$4:$T$920,'Cash Balance'!$X$4:$X$920,USD_yield!$A18,'Cash Balance'!$W$4:$W$920,USD_yield!F$7)-F31</f>
        <v>0</v>
      </c>
      <c r="G18" s="114">
        <v>0</v>
      </c>
      <c r="H18" s="830">
        <f t="shared" ref="H18" si="4">SUM(B18,D18,F18)</f>
        <v>6586.2400000002235</v>
      </c>
      <c r="I18" s="114">
        <f t="shared" ref="I18" si="5">IFERROR((B18*C18+D18*E18+F18*G18)/H18,0)</f>
        <v>0</v>
      </c>
      <c r="J18" s="83" t="s">
        <v>255</v>
      </c>
    </row>
    <row r="19" spans="1:10">
      <c r="A19" s="65" t="s">
        <v>258</v>
      </c>
      <c r="B19" s="830">
        <f>SUMIFS('Cash Balance'!$T$4:$T$920,'Cash Balance'!$X$4:$X$920,USD_yield!$A19,'Cash Balance'!$W$4:$W$920,USD_yield!B$7)-B32</f>
        <v>0</v>
      </c>
      <c r="C19" s="114">
        <v>0</v>
      </c>
      <c r="D19" s="830">
        <f>SUMIFS('Cash Balance'!$T$4:$T$920,'Cash Balance'!$X$4:$X$920,USD_yield!$A19,'Cash Balance'!$W$4:$W$920,USD_yield!D$7)-D32</f>
        <v>0</v>
      </c>
      <c r="E19" s="114">
        <v>0</v>
      </c>
      <c r="F19" s="830">
        <f>SUMIFS('Cash Balance'!$T$4:$T$920,'Cash Balance'!$X$4:$X$920,USD_yield!$A19,'Cash Balance'!$W$4:$W$920,USD_yield!F$7)-F32</f>
        <v>4.74</v>
      </c>
      <c r="G19" s="114">
        <v>0</v>
      </c>
      <c r="H19" s="830">
        <f t="shared" ref="H19" si="6">SUM(B19,D19,F19)</f>
        <v>4.74</v>
      </c>
      <c r="I19" s="114">
        <f t="shared" ref="I19" si="7">IFERROR((B19*C19+D19*E19+F19*G19)/H19,0)</f>
        <v>0</v>
      </c>
      <c r="J19" s="83"/>
    </row>
    <row r="20" spans="1:10">
      <c r="A20" s="65" t="s">
        <v>259</v>
      </c>
      <c r="B20" s="830">
        <f>SUMIFS('Cash Balance'!$T$4:$T$920,'Cash Balance'!$X$4:$X$920,USD_yield!$A20,'Cash Balance'!$W$4:$W$920,USD_yield!B$7)-B32</f>
        <v>0.03</v>
      </c>
      <c r="C20" s="114">
        <v>0</v>
      </c>
      <c r="D20" s="830">
        <f>SUMIFS('Cash Balance'!$T$4:$T$920,'Cash Balance'!$X$4:$X$920,USD_yield!$A20,'Cash Balance'!$W$4:$W$920,USD_yield!D$7)-D32-D15-D28</f>
        <v>0</v>
      </c>
      <c r="E20" s="114">
        <v>0</v>
      </c>
      <c r="F20" s="830">
        <f>SUMIFS('Cash Balance'!$T$4:$T$920,'Cash Balance'!$X$4:$X$920,USD_yield!$A20,'Cash Balance'!$W$4:$W$920,USD_yield!F$7)-F32</f>
        <v>0</v>
      </c>
      <c r="G20" s="114">
        <v>0</v>
      </c>
      <c r="H20" s="830">
        <f t="shared" si="0"/>
        <v>0.03</v>
      </c>
      <c r="I20" s="114">
        <f t="shared" si="1"/>
        <v>0</v>
      </c>
      <c r="J20" s="82"/>
    </row>
    <row r="21" spans="1:10" ht="15" thickBot="1">
      <c r="A21" s="756" t="s">
        <v>260</v>
      </c>
      <c r="B21" s="829">
        <f>SUM(B22:B32)</f>
        <v>0</v>
      </c>
      <c r="C21" s="113">
        <f>IFERROR(SUMPRODUCT(B22:B32,C22:C32)/B21,0)</f>
        <v>0</v>
      </c>
      <c r="D21" s="829">
        <f>SUM(D22:D32)</f>
        <v>0</v>
      </c>
      <c r="E21" s="113">
        <f>IFERROR(SUMPRODUCT(D22:D32,E22:E32)/D21,0)</f>
        <v>0</v>
      </c>
      <c r="F21" s="829">
        <f>SUM(F22:F32)</f>
        <v>0</v>
      </c>
      <c r="G21" s="113">
        <f>IFERROR(SUMPRODUCT(F22:F32,G22:G32)/F21,0)</f>
        <v>0</v>
      </c>
      <c r="H21" s="832">
        <f>SUM(B21,D21,F21)</f>
        <v>0</v>
      </c>
      <c r="I21" s="113">
        <f>IFERROR((B21*C21+D21*E21+F21*G21)/H21,0)</f>
        <v>0</v>
      </c>
      <c r="J21" s="89"/>
    </row>
    <row r="22" spans="1:10">
      <c r="A22" s="757" t="s">
        <v>110</v>
      </c>
      <c r="B22" s="830"/>
      <c r="C22" s="100">
        <v>1.0999999999999999E-2</v>
      </c>
      <c r="D22" s="830"/>
      <c r="E22" s="100">
        <v>1.0999999999999999E-2</v>
      </c>
      <c r="F22" s="830"/>
      <c r="G22" s="100">
        <v>1.0999999999999999E-2</v>
      </c>
      <c r="H22" s="833">
        <f t="shared" si="0"/>
        <v>0</v>
      </c>
      <c r="I22" s="114">
        <f t="shared" si="1"/>
        <v>0</v>
      </c>
      <c r="J22" s="82"/>
    </row>
    <row r="23" spans="1:10">
      <c r="A23" s="757" t="s">
        <v>112</v>
      </c>
      <c r="B23" s="830"/>
      <c r="C23" s="100">
        <v>1.0999999999999999E-2</v>
      </c>
      <c r="D23" s="830"/>
      <c r="E23" s="100"/>
      <c r="F23" s="830"/>
      <c r="G23" s="100"/>
      <c r="H23" s="833">
        <f t="shared" si="0"/>
        <v>0</v>
      </c>
      <c r="I23" s="114">
        <f t="shared" si="1"/>
        <v>0</v>
      </c>
      <c r="J23" s="82"/>
    </row>
    <row r="24" spans="1:10">
      <c r="A24" s="757" t="s">
        <v>114</v>
      </c>
      <c r="B24" s="830"/>
      <c r="C24" s="100">
        <v>1.0999999999999999E-2</v>
      </c>
      <c r="D24" s="830"/>
      <c r="E24" s="100">
        <v>1.0999999999999999E-2</v>
      </c>
      <c r="F24" s="830"/>
      <c r="G24" s="100"/>
      <c r="H24" s="834">
        <f>SUM(B24,D24,F24)</f>
        <v>0</v>
      </c>
      <c r="I24" s="114">
        <f t="shared" si="1"/>
        <v>0</v>
      </c>
      <c r="J24" s="82"/>
    </row>
    <row r="25" spans="1:10">
      <c r="A25" s="757" t="s">
        <v>118</v>
      </c>
      <c r="B25" s="830"/>
      <c r="C25" s="100"/>
      <c r="D25" s="830"/>
      <c r="E25" s="100"/>
      <c r="F25" s="830"/>
      <c r="G25" s="100"/>
      <c r="H25" s="834">
        <f>SUM(B25,D25,F25)</f>
        <v>0</v>
      </c>
      <c r="I25" s="114">
        <f>IFERROR((B25*C25+D25*E25+F25*G25)/H25,0)</f>
        <v>0</v>
      </c>
      <c r="J25" s="82"/>
    </row>
    <row r="26" spans="1:10">
      <c r="A26" s="65" t="s">
        <v>116</v>
      </c>
      <c r="B26" s="830"/>
      <c r="C26" s="114"/>
      <c r="D26" s="830"/>
      <c r="E26" s="114"/>
      <c r="F26" s="830"/>
      <c r="G26" s="114"/>
      <c r="H26" s="830">
        <f t="shared" si="0"/>
        <v>0</v>
      </c>
      <c r="I26" s="114">
        <f t="shared" si="1"/>
        <v>0</v>
      </c>
      <c r="J26" s="82"/>
    </row>
    <row r="27" spans="1:10">
      <c r="A27" s="65" t="s">
        <v>119</v>
      </c>
      <c r="B27" s="830"/>
      <c r="C27" s="114"/>
      <c r="D27" s="830"/>
      <c r="E27" s="114"/>
      <c r="F27" s="830"/>
      <c r="G27" s="114"/>
      <c r="H27" s="830">
        <f t="shared" si="0"/>
        <v>0</v>
      </c>
      <c r="I27" s="114">
        <f t="shared" si="1"/>
        <v>0</v>
      </c>
      <c r="J27" s="82"/>
    </row>
    <row r="28" spans="1:10">
      <c r="A28" s="65" t="s">
        <v>197</v>
      </c>
      <c r="B28" s="830"/>
      <c r="C28" s="114"/>
      <c r="D28" s="830">
        <f>SUMIFS('Cash Balance'!$T$4:$T$920,'Cash Balance'!$B$4:$B$920,USD_yield!$A28,'Cash Balance'!$W$4:$W$920,USD_yield!D$7)</f>
        <v>0</v>
      </c>
      <c r="E28" s="100">
        <v>2.75E-2</v>
      </c>
      <c r="F28" s="830"/>
      <c r="G28" s="114"/>
      <c r="H28" s="830">
        <f t="shared" si="0"/>
        <v>0</v>
      </c>
      <c r="I28" s="114">
        <f t="shared" si="1"/>
        <v>0</v>
      </c>
      <c r="J28" s="82" t="s">
        <v>302</v>
      </c>
    </row>
    <row r="29" spans="1:10">
      <c r="A29" s="65" t="s">
        <v>198</v>
      </c>
      <c r="B29" s="830"/>
      <c r="C29" s="114"/>
      <c r="D29" s="830"/>
      <c r="E29" s="114"/>
      <c r="F29" s="830"/>
      <c r="G29" s="114"/>
      <c r="H29" s="830">
        <f t="shared" si="0"/>
        <v>0</v>
      </c>
      <c r="I29" s="114">
        <f t="shared" si="1"/>
        <v>0</v>
      </c>
      <c r="J29" s="680"/>
    </row>
    <row r="30" spans="1:10">
      <c r="A30" s="65" t="s">
        <v>257</v>
      </c>
      <c r="B30" s="830"/>
      <c r="C30" s="114"/>
      <c r="D30" s="830"/>
      <c r="E30" s="114"/>
      <c r="F30" s="830"/>
      <c r="G30" s="114"/>
      <c r="H30" s="830">
        <f t="shared" ref="H30:H31" si="8">SUM(B30,D30,F30)</f>
        <v>0</v>
      </c>
      <c r="I30" s="114">
        <f t="shared" ref="I30:I31" si="9">IFERROR((B30*C30+D30*E30+F30*G30)/H30,0)</f>
        <v>0</v>
      </c>
      <c r="J30" s="82"/>
    </row>
    <row r="31" spans="1:10">
      <c r="A31" s="65" t="s">
        <v>202</v>
      </c>
      <c r="B31" s="830"/>
      <c r="C31" s="114"/>
      <c r="D31" s="830">
        <f>SUMIFS('Cash Balance'!$T$4:$T$920,'Cash Balance'!$B$4:$B$920,USD_yield!$A31,'Cash Balance'!$W$4:$W$920,USD_yield!D$7)</f>
        <v>0</v>
      </c>
      <c r="E31" s="114"/>
      <c r="F31" s="830"/>
      <c r="G31" s="114"/>
      <c r="H31" s="830">
        <f t="shared" si="8"/>
        <v>0</v>
      </c>
      <c r="I31" s="114">
        <f t="shared" si="9"/>
        <v>0</v>
      </c>
      <c r="J31" s="82"/>
    </row>
    <row r="32" spans="1:10">
      <c r="A32" s="65" t="s">
        <v>259</v>
      </c>
      <c r="B32" s="830"/>
      <c r="C32" s="114"/>
      <c r="D32" s="830"/>
      <c r="E32" s="100"/>
      <c r="F32" s="830"/>
      <c r="G32" s="114"/>
      <c r="H32" s="830">
        <f t="shared" si="0"/>
        <v>0</v>
      </c>
      <c r="I32" s="114">
        <f t="shared" si="1"/>
        <v>0</v>
      </c>
      <c r="J32" s="82"/>
    </row>
    <row r="33" spans="1:11" ht="15" thickBot="1">
      <c r="A33" s="85" t="s">
        <v>36</v>
      </c>
      <c r="B33" s="831">
        <f>SUM(B8,B21)</f>
        <v>19468.469999999998</v>
      </c>
      <c r="C33" s="116">
        <f>(B8*C8+B21*C21)/B33</f>
        <v>0</v>
      </c>
      <c r="D33" s="831">
        <f>SUM(D8,D21)</f>
        <v>9629.0600000002232</v>
      </c>
      <c r="E33" s="116">
        <f>(D8*E8+D21*E21)/D33</f>
        <v>0</v>
      </c>
      <c r="F33" s="831">
        <f>SUM(F8,F21)</f>
        <v>36570.05999999999</v>
      </c>
      <c r="G33" s="116">
        <f>(F8*G8+F21*G21)/F33</f>
        <v>0</v>
      </c>
      <c r="H33" s="831">
        <f>SUM(H8,H21)</f>
        <v>65667.590000000215</v>
      </c>
      <c r="I33" s="116">
        <f t="shared" si="1"/>
        <v>0</v>
      </c>
      <c r="J33" s="86"/>
    </row>
    <row r="34" spans="1:11" ht="15.6" thickTop="1" thickBot="1">
      <c r="A34" s="109" t="s">
        <v>84</v>
      </c>
      <c r="B34" s="110">
        <f>B33/H33</f>
        <v>0.29646999379754813</v>
      </c>
      <c r="C34" s="111"/>
      <c r="D34" s="110">
        <f>D33/$H$33</f>
        <v>0.14663336967292681</v>
      </c>
      <c r="E34" s="111"/>
      <c r="F34" s="110">
        <f>F33/H33</f>
        <v>0.55689663652952504</v>
      </c>
      <c r="G34" s="110"/>
      <c r="H34" s="110">
        <f>H33/H33</f>
        <v>1</v>
      </c>
      <c r="I34" s="111"/>
      <c r="J34" s="112"/>
    </row>
    <row r="35" spans="1:11">
      <c r="B35" s="43" t="b">
        <f>B33=Summary!C15*1000000</f>
        <v>1</v>
      </c>
      <c r="D35" s="43" t="b">
        <f>D33=Summary!C16*1000000</f>
        <v>1</v>
      </c>
      <c r="F35" s="816">
        <f>F33-Summary!C17*1000000</f>
        <v>0</v>
      </c>
      <c r="H35" s="929">
        <f>H33-Summary!C18*1000000</f>
        <v>0</v>
      </c>
    </row>
    <row r="36" spans="1:11">
      <c r="H36" s="646"/>
    </row>
    <row r="37" spans="1:11" ht="15" thickBot="1">
      <c r="A37" s="416" t="s">
        <v>303</v>
      </c>
      <c r="B37" s="416"/>
      <c r="C37" s="416"/>
      <c r="D37" s="416"/>
      <c r="E37" s="416"/>
      <c r="F37" s="416"/>
      <c r="G37" s="416"/>
      <c r="H37" s="416"/>
      <c r="I37" s="416"/>
      <c r="J37" s="416"/>
      <c r="K37" s="416"/>
    </row>
    <row r="38" spans="1:11" ht="15" thickTop="1"/>
    <row r="39" spans="1:11">
      <c r="A39" s="365" t="s">
        <v>304</v>
      </c>
      <c r="B39" t="s">
        <v>305</v>
      </c>
      <c r="J39" s="755"/>
    </row>
    <row r="41" spans="1:11">
      <c r="A41" s="365" t="s">
        <v>306</v>
      </c>
      <c r="B41" s="365" t="s">
        <v>291</v>
      </c>
    </row>
    <row r="42" spans="1:11">
      <c r="A42" s="365" t="s">
        <v>100</v>
      </c>
      <c r="B42" t="s">
        <v>8</v>
      </c>
      <c r="C42" t="s">
        <v>67</v>
      </c>
      <c r="D42" t="s">
        <v>10</v>
      </c>
      <c r="E42" t="s">
        <v>105</v>
      </c>
    </row>
    <row r="43" spans="1:11">
      <c r="A43" s="17" t="s">
        <v>114</v>
      </c>
      <c r="B43" s="25">
        <v>73.599999999999994</v>
      </c>
      <c r="C43" s="25">
        <v>220.41000000000003</v>
      </c>
      <c r="D43" s="25">
        <v>29839.499999999996</v>
      </c>
      <c r="E43" s="25">
        <v>30133.509999999995</v>
      </c>
    </row>
    <row r="44" spans="1:11">
      <c r="A44" s="17" t="s">
        <v>119</v>
      </c>
      <c r="B44" s="25"/>
      <c r="C44" s="25">
        <v>90</v>
      </c>
      <c r="D44" s="25"/>
      <c r="E44" s="25">
        <v>90</v>
      </c>
    </row>
    <row r="45" spans="1:11">
      <c r="A45" s="17" t="s">
        <v>116</v>
      </c>
      <c r="B45" s="25">
        <v>150</v>
      </c>
      <c r="C45" s="25">
        <v>100</v>
      </c>
      <c r="D45" s="25">
        <v>0</v>
      </c>
      <c r="E45" s="25">
        <v>250</v>
      </c>
    </row>
    <row r="46" spans="1:11">
      <c r="A46" s="17" t="s">
        <v>259</v>
      </c>
      <c r="B46" s="25">
        <v>0</v>
      </c>
      <c r="C46" s="25">
        <v>0</v>
      </c>
      <c r="D46" s="25">
        <v>0</v>
      </c>
      <c r="E46" s="25">
        <v>0</v>
      </c>
    </row>
    <row r="47" spans="1:11">
      <c r="A47" s="17" t="s">
        <v>112</v>
      </c>
      <c r="B47" s="25">
        <v>1717.3999999999996</v>
      </c>
      <c r="C47" s="25">
        <v>705.29999999999984</v>
      </c>
      <c r="D47" s="25">
        <v>5645.869999999999</v>
      </c>
      <c r="E47" s="25">
        <v>8068.5699999999979</v>
      </c>
    </row>
    <row r="48" spans="1:11">
      <c r="A48" s="17" t="s">
        <v>118</v>
      </c>
      <c r="B48" s="25">
        <v>58.199999999999996</v>
      </c>
      <c r="C48" s="25">
        <v>100</v>
      </c>
      <c r="D48" s="25">
        <v>0</v>
      </c>
      <c r="E48" s="25">
        <v>158.19999999999999</v>
      </c>
    </row>
    <row r="49" spans="1:16">
      <c r="A49" s="17" t="s">
        <v>110</v>
      </c>
      <c r="B49" s="25">
        <v>3421</v>
      </c>
      <c r="C49" s="25">
        <v>2792.51</v>
      </c>
      <c r="D49" s="25">
        <v>1162.8399999999999</v>
      </c>
      <c r="E49" s="25">
        <v>7376.35</v>
      </c>
    </row>
    <row r="50" spans="1:16">
      <c r="A50" s="17" t="s">
        <v>198</v>
      </c>
      <c r="B50" s="25">
        <v>13120</v>
      </c>
      <c r="C50" s="25">
        <v>0</v>
      </c>
      <c r="D50" s="25">
        <v>0</v>
      </c>
      <c r="E50" s="25">
        <v>13120</v>
      </c>
    </row>
    <row r="51" spans="1:16">
      <c r="A51" s="17" t="s">
        <v>258</v>
      </c>
      <c r="B51" s="25"/>
      <c r="C51" s="25"/>
      <c r="D51" s="25">
        <v>4.74</v>
      </c>
      <c r="E51" s="25">
        <v>4.74</v>
      </c>
    </row>
    <row r="52" spans="1:16">
      <c r="A52" s="17" t="s">
        <v>199</v>
      </c>
      <c r="B52" s="25">
        <v>0</v>
      </c>
      <c r="C52" s="25">
        <v>0</v>
      </c>
      <c r="D52" s="25">
        <v>0</v>
      </c>
      <c r="E52" s="25">
        <v>0</v>
      </c>
    </row>
    <row r="53" spans="1:16">
      <c r="A53" s="17" t="s">
        <v>200</v>
      </c>
      <c r="B53" s="25">
        <v>0</v>
      </c>
      <c r="C53" s="25">
        <v>0</v>
      </c>
      <c r="D53" s="25">
        <v>0</v>
      </c>
      <c r="E53" s="25">
        <v>0</v>
      </c>
      <c r="F53" s="25"/>
      <c r="G53" s="25"/>
      <c r="H53" s="25"/>
      <c r="I53" s="25"/>
      <c r="J53" s="25"/>
      <c r="K53" s="25"/>
      <c r="L53" s="25"/>
      <c r="M53" s="25"/>
    </row>
    <row r="54" spans="1:16">
      <c r="A54" s="17" t="s">
        <v>202</v>
      </c>
      <c r="B54" s="25">
        <v>950</v>
      </c>
      <c r="C54" s="25">
        <v>6419.6699999994598</v>
      </c>
      <c r="D54" s="25">
        <v>0</v>
      </c>
      <c r="E54" s="25">
        <v>7369.6699999994598</v>
      </c>
      <c r="F54" s="25"/>
      <c r="G54" s="25"/>
      <c r="H54" s="25"/>
      <c r="I54" s="25"/>
      <c r="J54" s="25"/>
      <c r="K54" s="25"/>
      <c r="L54" s="25"/>
      <c r="M54" s="25"/>
    </row>
    <row r="55" spans="1:16">
      <c r="A55" s="17" t="s">
        <v>203</v>
      </c>
      <c r="B55" s="25">
        <v>0</v>
      </c>
      <c r="C55" s="25"/>
      <c r="D55" s="25">
        <v>0</v>
      </c>
      <c r="E55" s="25">
        <v>0</v>
      </c>
    </row>
    <row r="56" spans="1:16">
      <c r="A56" s="17" t="s">
        <v>105</v>
      </c>
      <c r="B56" s="25">
        <v>19490.2</v>
      </c>
      <c r="C56" s="25">
        <v>10427.889999999461</v>
      </c>
      <c r="D56" s="25">
        <v>36652.94999999999</v>
      </c>
      <c r="E56" s="25">
        <v>66571.039999999455</v>
      </c>
    </row>
    <row r="59" spans="1:16" hidden="1">
      <c r="P59" s="60"/>
    </row>
    <row r="60" spans="1:16" hidden="1">
      <c r="P60" s="25"/>
    </row>
    <row r="61" spans="1:16" hidden="1"/>
    <row r="62" spans="1:16" hidden="1"/>
    <row r="63" spans="1:16" hidden="1"/>
    <row r="64" spans="1:16" hidden="1"/>
    <row r="65" hidden="1"/>
    <row r="66" hidden="1"/>
    <row r="67" hidden="1"/>
    <row r="68" hidden="1"/>
    <row r="69" hidden="1"/>
    <row r="70" hidden="1"/>
    <row r="71" hidden="1"/>
    <row r="72" hidden="1"/>
    <row r="73" hidden="1"/>
    <row r="74" hidden="1"/>
    <row r="75" hidden="1"/>
    <row r="76" hidden="1"/>
    <row r="77" hidden="1"/>
    <row r="78" hidden="1"/>
    <row r="81" spans="1:5">
      <c r="A81" s="365" t="s">
        <v>306</v>
      </c>
      <c r="B81" s="365" t="s">
        <v>291</v>
      </c>
    </row>
    <row r="82" spans="1:5">
      <c r="A82" s="365" t="s">
        <v>100</v>
      </c>
      <c r="B82" t="s">
        <v>8</v>
      </c>
      <c r="C82" t="s">
        <v>67</v>
      </c>
      <c r="D82" t="s">
        <v>10</v>
      </c>
      <c r="E82" t="s">
        <v>105</v>
      </c>
    </row>
    <row r="83" spans="1:5">
      <c r="A83" s="17" t="s">
        <v>114</v>
      </c>
      <c r="B83" s="25">
        <v>73.599999999999994</v>
      </c>
      <c r="C83" s="25">
        <v>220.41000000000003</v>
      </c>
      <c r="D83" s="25">
        <v>29839.499999999996</v>
      </c>
      <c r="E83" s="25">
        <v>30133.509999999995</v>
      </c>
    </row>
    <row r="84" spans="1:5">
      <c r="A84" s="53" t="s">
        <v>307</v>
      </c>
      <c r="B84" s="25"/>
      <c r="C84" s="25"/>
      <c r="D84" s="25">
        <v>0</v>
      </c>
      <c r="E84" s="25">
        <v>0</v>
      </c>
    </row>
    <row r="85" spans="1:5">
      <c r="A85" s="53" t="s">
        <v>308</v>
      </c>
      <c r="B85" s="25">
        <v>73.599999999999994</v>
      </c>
      <c r="C85" s="25">
        <v>220.41000000000003</v>
      </c>
      <c r="D85" s="25">
        <v>29839.499999999996</v>
      </c>
      <c r="E85" s="25">
        <v>30133.509999999995</v>
      </c>
    </row>
    <row r="86" spans="1:5">
      <c r="A86" s="53" t="s">
        <v>309</v>
      </c>
      <c r="B86" s="25"/>
      <c r="C86" s="25">
        <v>0</v>
      </c>
      <c r="D86" s="25">
        <v>0</v>
      </c>
      <c r="E86" s="25">
        <v>0</v>
      </c>
    </row>
    <row r="87" spans="1:5">
      <c r="A87" s="53" t="s">
        <v>310</v>
      </c>
      <c r="B87" s="25">
        <v>0</v>
      </c>
      <c r="C87" s="25">
        <v>0</v>
      </c>
      <c r="D87" s="25">
        <v>0</v>
      </c>
      <c r="E87" s="25">
        <v>0</v>
      </c>
    </row>
    <row r="88" spans="1:5">
      <c r="A88" s="17" t="s">
        <v>119</v>
      </c>
      <c r="B88" s="25"/>
      <c r="C88" s="25">
        <v>90</v>
      </c>
      <c r="D88" s="25"/>
      <c r="E88" s="25">
        <v>90</v>
      </c>
    </row>
    <row r="89" spans="1:5">
      <c r="A89" s="53" t="s">
        <v>308</v>
      </c>
      <c r="B89" s="25"/>
      <c r="C89" s="25">
        <v>90</v>
      </c>
      <c r="D89" s="25"/>
      <c r="E89" s="25">
        <v>90</v>
      </c>
    </row>
    <row r="90" spans="1:5">
      <c r="A90" s="17" t="s">
        <v>116</v>
      </c>
      <c r="B90" s="25">
        <v>150</v>
      </c>
      <c r="C90" s="25">
        <v>100</v>
      </c>
      <c r="D90" s="25">
        <v>0</v>
      </c>
      <c r="E90" s="25">
        <v>250</v>
      </c>
    </row>
    <row r="91" spans="1:5">
      <c r="A91" s="53" t="s">
        <v>308</v>
      </c>
      <c r="B91" s="25">
        <v>150</v>
      </c>
      <c r="C91" s="25">
        <v>100</v>
      </c>
      <c r="D91" s="25">
        <v>0</v>
      </c>
      <c r="E91" s="25">
        <v>250</v>
      </c>
    </row>
    <row r="92" spans="1:5">
      <c r="A92" s="53" t="s">
        <v>310</v>
      </c>
      <c r="B92" s="25"/>
      <c r="C92" s="25"/>
      <c r="D92" s="25">
        <v>0</v>
      </c>
      <c r="E92" s="25">
        <v>0</v>
      </c>
    </row>
    <row r="93" spans="1:5">
      <c r="A93" s="17" t="s">
        <v>259</v>
      </c>
      <c r="B93" s="25">
        <v>0</v>
      </c>
      <c r="C93" s="25">
        <v>0</v>
      </c>
      <c r="D93" s="25">
        <v>0</v>
      </c>
      <c r="E93" s="25">
        <v>0</v>
      </c>
    </row>
    <row r="94" spans="1:5">
      <c r="A94" s="53" t="s">
        <v>308</v>
      </c>
      <c r="B94" s="25">
        <v>0</v>
      </c>
      <c r="C94" s="25">
        <v>0</v>
      </c>
      <c r="D94" s="25">
        <v>0</v>
      </c>
      <c r="E94" s="25">
        <v>0</v>
      </c>
    </row>
    <row r="95" spans="1:5">
      <c r="A95" s="53" t="s">
        <v>310</v>
      </c>
      <c r="B95" s="25"/>
      <c r="C95" s="25"/>
      <c r="D95" s="25">
        <v>0</v>
      </c>
      <c r="E95" s="25">
        <v>0</v>
      </c>
    </row>
    <row r="96" spans="1:5">
      <c r="A96" s="17" t="s">
        <v>112</v>
      </c>
      <c r="B96" s="25">
        <v>1717.3999999999999</v>
      </c>
      <c r="C96" s="25">
        <v>705.29999999999984</v>
      </c>
      <c r="D96" s="25">
        <v>5645.869999999999</v>
      </c>
      <c r="E96" s="25">
        <v>8068.5699999999988</v>
      </c>
    </row>
    <row r="97" spans="1:5">
      <c r="A97" s="53" t="s">
        <v>307</v>
      </c>
      <c r="B97" s="25">
        <v>749</v>
      </c>
      <c r="C97" s="25"/>
      <c r="D97" s="25"/>
      <c r="E97" s="25">
        <v>749</v>
      </c>
    </row>
    <row r="98" spans="1:5">
      <c r="A98" s="53" t="s">
        <v>308</v>
      </c>
      <c r="B98" s="25">
        <v>968.39999999999986</v>
      </c>
      <c r="C98" s="25">
        <v>705.29999999999984</v>
      </c>
      <c r="D98" s="25">
        <v>5645.869999999999</v>
      </c>
      <c r="E98" s="25">
        <v>7319.5699999999988</v>
      </c>
    </row>
    <row r="99" spans="1:5">
      <c r="A99" s="53" t="s">
        <v>310</v>
      </c>
      <c r="B99" s="25">
        <v>0</v>
      </c>
      <c r="C99" s="25">
        <v>0</v>
      </c>
      <c r="D99" s="25">
        <v>0</v>
      </c>
      <c r="E99" s="25">
        <v>0</v>
      </c>
    </row>
    <row r="100" spans="1:5">
      <c r="A100" s="17" t="s">
        <v>118</v>
      </c>
      <c r="B100" s="25">
        <v>58.199999999999996</v>
      </c>
      <c r="C100" s="25">
        <v>100</v>
      </c>
      <c r="D100" s="25">
        <v>0</v>
      </c>
      <c r="E100" s="25">
        <v>158.19999999999999</v>
      </c>
    </row>
    <row r="101" spans="1:5">
      <c r="A101" s="53" t="s">
        <v>308</v>
      </c>
      <c r="B101" s="25">
        <v>58.199999999999996</v>
      </c>
      <c r="C101" s="25">
        <v>100</v>
      </c>
      <c r="D101" s="25">
        <v>0</v>
      </c>
      <c r="E101" s="25">
        <v>158.19999999999999</v>
      </c>
    </row>
    <row r="102" spans="1:5">
      <c r="A102" s="53" t="s">
        <v>310</v>
      </c>
      <c r="B102" s="25"/>
      <c r="C102" s="25">
        <v>0</v>
      </c>
      <c r="D102" s="25">
        <v>0</v>
      </c>
      <c r="E102" s="25">
        <v>0</v>
      </c>
    </row>
    <row r="103" spans="1:5">
      <c r="A103" s="17" t="s">
        <v>110</v>
      </c>
      <c r="B103" s="25">
        <v>3421</v>
      </c>
      <c r="C103" s="25">
        <v>2792.51</v>
      </c>
      <c r="D103" s="25">
        <v>1162.8399999999999</v>
      </c>
      <c r="E103" s="25">
        <v>7376.35</v>
      </c>
    </row>
    <row r="104" spans="1:5">
      <c r="A104" s="53" t="s">
        <v>307</v>
      </c>
      <c r="B104" s="25"/>
      <c r="C104" s="25"/>
      <c r="D104" s="25">
        <v>0</v>
      </c>
      <c r="E104" s="25">
        <v>0</v>
      </c>
    </row>
    <row r="105" spans="1:5">
      <c r="A105" s="53" t="s">
        <v>308</v>
      </c>
      <c r="B105" s="25">
        <v>3421</v>
      </c>
      <c r="C105" s="25">
        <v>2792.51</v>
      </c>
      <c r="D105" s="25">
        <v>1162.8399999999999</v>
      </c>
      <c r="E105" s="25">
        <v>7376.35</v>
      </c>
    </row>
    <row r="106" spans="1:5">
      <c r="A106" s="53" t="s">
        <v>309</v>
      </c>
      <c r="B106" s="25"/>
      <c r="C106" s="25">
        <v>0</v>
      </c>
      <c r="D106" s="25"/>
      <c r="E106" s="25">
        <v>0</v>
      </c>
    </row>
    <row r="107" spans="1:5">
      <c r="A107" s="53" t="s">
        <v>310</v>
      </c>
      <c r="B107" s="25">
        <v>0</v>
      </c>
      <c r="C107" s="25">
        <v>0</v>
      </c>
      <c r="D107" s="25">
        <v>0</v>
      </c>
      <c r="E107" s="25">
        <v>0</v>
      </c>
    </row>
    <row r="108" spans="1:5">
      <c r="A108" s="17" t="s">
        <v>198</v>
      </c>
      <c r="B108" s="25">
        <v>13120</v>
      </c>
      <c r="C108" s="25">
        <v>0</v>
      </c>
      <c r="D108" s="25">
        <v>0</v>
      </c>
      <c r="E108" s="25">
        <v>13120</v>
      </c>
    </row>
    <row r="109" spans="1:5">
      <c r="A109" s="53" t="s">
        <v>308</v>
      </c>
      <c r="B109" s="25">
        <v>13120</v>
      </c>
      <c r="C109" s="25">
        <v>0</v>
      </c>
      <c r="D109" s="25">
        <v>0</v>
      </c>
      <c r="E109" s="25">
        <v>13120</v>
      </c>
    </row>
    <row r="110" spans="1:5">
      <c r="A110" s="53" t="s">
        <v>309</v>
      </c>
      <c r="B110" s="25"/>
      <c r="C110" s="25"/>
      <c r="D110" s="25">
        <v>0</v>
      </c>
      <c r="E110" s="25">
        <v>0</v>
      </c>
    </row>
    <row r="111" spans="1:5">
      <c r="A111" s="53" t="s">
        <v>311</v>
      </c>
      <c r="B111" s="25"/>
      <c r="C111" s="25"/>
      <c r="D111" s="25">
        <v>0</v>
      </c>
      <c r="E111" s="25">
        <v>0</v>
      </c>
    </row>
    <row r="112" spans="1:5">
      <c r="A112" s="53" t="s">
        <v>310</v>
      </c>
      <c r="B112" s="25">
        <v>0</v>
      </c>
      <c r="C112" s="25">
        <v>0</v>
      </c>
      <c r="D112" s="25">
        <v>0</v>
      </c>
      <c r="E112" s="25">
        <v>0</v>
      </c>
    </row>
    <row r="113" spans="1:5">
      <c r="A113" s="17" t="s">
        <v>258</v>
      </c>
      <c r="B113" s="25"/>
      <c r="C113" s="25"/>
      <c r="D113" s="25">
        <v>4.74</v>
      </c>
      <c r="E113" s="25">
        <v>4.74</v>
      </c>
    </row>
    <row r="114" spans="1:5">
      <c r="A114" s="53" t="s">
        <v>307</v>
      </c>
      <c r="B114" s="25"/>
      <c r="C114" s="25"/>
      <c r="D114" s="25">
        <v>4.74</v>
      </c>
      <c r="E114" s="25">
        <v>4.74</v>
      </c>
    </row>
    <row r="115" spans="1:5">
      <c r="A115" s="53" t="s">
        <v>308</v>
      </c>
      <c r="B115" s="25"/>
      <c r="C115" s="25"/>
      <c r="D115" s="25">
        <v>0</v>
      </c>
      <c r="E115" s="25">
        <v>0</v>
      </c>
    </row>
    <row r="116" spans="1:5">
      <c r="A116" s="17" t="s">
        <v>199</v>
      </c>
      <c r="B116" s="25">
        <v>0</v>
      </c>
      <c r="C116" s="25">
        <v>0</v>
      </c>
      <c r="D116" s="25">
        <v>0</v>
      </c>
      <c r="E116" s="25">
        <v>0</v>
      </c>
    </row>
    <row r="117" spans="1:5">
      <c r="A117" s="53" t="s">
        <v>308</v>
      </c>
      <c r="B117" s="25">
        <v>0</v>
      </c>
      <c r="C117" s="25">
        <v>0</v>
      </c>
      <c r="D117" s="25">
        <v>0</v>
      </c>
      <c r="E117" s="25">
        <v>0</v>
      </c>
    </row>
    <row r="118" spans="1:5">
      <c r="A118" s="53" t="s">
        <v>310</v>
      </c>
      <c r="B118" s="25"/>
      <c r="C118" s="25">
        <v>0</v>
      </c>
      <c r="D118" s="25"/>
      <c r="E118" s="25">
        <v>0</v>
      </c>
    </row>
    <row r="119" spans="1:5">
      <c r="A119" s="17" t="s">
        <v>200</v>
      </c>
      <c r="B119" s="25">
        <v>0</v>
      </c>
      <c r="C119" s="25">
        <v>0</v>
      </c>
      <c r="D119" s="25">
        <v>0</v>
      </c>
      <c r="E119" s="25">
        <v>0</v>
      </c>
    </row>
    <row r="120" spans="1:5">
      <c r="A120" s="53" t="s">
        <v>308</v>
      </c>
      <c r="B120" s="25">
        <v>0</v>
      </c>
      <c r="C120" s="25">
        <v>0</v>
      </c>
      <c r="D120" s="25">
        <v>0</v>
      </c>
      <c r="E120" s="25">
        <v>0</v>
      </c>
    </row>
    <row r="121" spans="1:5">
      <c r="A121" s="17" t="s">
        <v>202</v>
      </c>
      <c r="B121" s="25">
        <v>950</v>
      </c>
      <c r="C121" s="25">
        <v>6419.6699999994598</v>
      </c>
      <c r="D121" s="25">
        <v>0</v>
      </c>
      <c r="E121" s="25">
        <v>7369.6699999994598</v>
      </c>
    </row>
    <row r="122" spans="1:5">
      <c r="A122" s="53" t="s">
        <v>307</v>
      </c>
      <c r="B122" s="25"/>
      <c r="C122" s="25"/>
      <c r="D122" s="25">
        <v>0</v>
      </c>
      <c r="E122" s="25">
        <v>0</v>
      </c>
    </row>
    <row r="123" spans="1:5">
      <c r="A123" s="53" t="s">
        <v>308</v>
      </c>
      <c r="B123" s="25">
        <v>950</v>
      </c>
      <c r="C123" s="25">
        <v>0</v>
      </c>
      <c r="D123" s="25">
        <v>0</v>
      </c>
      <c r="E123" s="25">
        <v>950</v>
      </c>
    </row>
    <row r="124" spans="1:5">
      <c r="A124" s="53" t="s">
        <v>309</v>
      </c>
      <c r="B124" s="25"/>
      <c r="C124" s="25">
        <v>2118.7299999999814</v>
      </c>
      <c r="D124" s="25">
        <v>0</v>
      </c>
      <c r="E124" s="25">
        <v>2118.7299999999814</v>
      </c>
    </row>
    <row r="125" spans="1:5">
      <c r="A125" s="53" t="s">
        <v>311</v>
      </c>
      <c r="B125" s="25"/>
      <c r="C125" s="25">
        <v>4300.9399999994785</v>
      </c>
      <c r="D125" s="25"/>
      <c r="E125" s="25">
        <v>4300.9399999994785</v>
      </c>
    </row>
    <row r="126" spans="1:5">
      <c r="A126" s="17" t="s">
        <v>203</v>
      </c>
      <c r="B126" s="25">
        <v>0</v>
      </c>
      <c r="C126" s="25"/>
      <c r="D126" s="25">
        <v>0</v>
      </c>
      <c r="E126" s="25">
        <v>0</v>
      </c>
    </row>
    <row r="127" spans="1:5">
      <c r="A127" s="53" t="s">
        <v>308</v>
      </c>
      <c r="B127" s="25">
        <v>0</v>
      </c>
      <c r="C127" s="25"/>
      <c r="D127" s="25">
        <v>0</v>
      </c>
      <c r="E127" s="25">
        <v>0</v>
      </c>
    </row>
    <row r="128" spans="1:5">
      <c r="A128" s="53" t="s">
        <v>310</v>
      </c>
      <c r="B128" s="25"/>
      <c r="C128" s="25"/>
      <c r="D128" s="25">
        <v>0</v>
      </c>
      <c r="E128" s="25">
        <v>0</v>
      </c>
    </row>
    <row r="129" spans="1:5">
      <c r="A129" s="17" t="s">
        <v>105</v>
      </c>
      <c r="B129" s="25">
        <v>19490.2</v>
      </c>
      <c r="C129" s="25">
        <v>10427.889999999461</v>
      </c>
      <c r="D129" s="25">
        <v>36652.94999999999</v>
      </c>
      <c r="E129" s="25">
        <v>66571.039999999455</v>
      </c>
    </row>
  </sheetData>
  <conditionalFormatting sqref="B35">
    <cfRule type="expression" dxfId="29" priority="1">
      <formula>B35=FALSE</formula>
    </cfRule>
  </conditionalFormatting>
  <conditionalFormatting sqref="D35">
    <cfRule type="expression" dxfId="28" priority="2">
      <formula>D35=FALSE</formula>
    </cfRule>
  </conditionalFormatting>
  <conditionalFormatting sqref="F35">
    <cfRule type="expression" dxfId="27" priority="3">
      <formula>F35=FALSE</formula>
    </cfRule>
  </conditionalFormatting>
  <conditionalFormatting sqref="H6">
    <cfRule type="expression" dxfId="26" priority="5">
      <formula>H6=FALSE</formula>
    </cfRule>
  </conditionalFormatting>
  <conditionalFormatting sqref="H35">
    <cfRule type="expression" dxfId="25" priority="4">
      <formula>H35=FALSE</formula>
    </cfRule>
  </conditionalFormatting>
  <pageMargins left="0.7" right="0.7" top="0.75" bottom="0.75" header="0.3" footer="0.3"/>
  <pageSetup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7024-0E24-45FE-866D-B571955EA610}">
  <sheetPr>
    <tabColor theme="8" tint="0.39997558519241921"/>
  </sheetPr>
  <dimension ref="A1:Y5"/>
  <sheetViews>
    <sheetView workbookViewId="0"/>
  </sheetViews>
  <sheetFormatPr defaultRowHeight="14.4"/>
  <cols>
    <col min="1" max="1" width="16.5546875" bestFit="1" customWidth="1"/>
    <col min="2" max="2" width="16.21875" customWidth="1"/>
    <col min="3" max="3" width="20.21875" customWidth="1"/>
    <col min="4" max="4" width="16.5546875" customWidth="1"/>
    <col min="5" max="5" width="12.44140625" customWidth="1"/>
    <col min="6" max="6" width="14.44140625" customWidth="1"/>
    <col min="7" max="7" width="9" bestFit="1" customWidth="1"/>
    <col min="8" max="8" width="25.77734375" customWidth="1"/>
    <col min="9" max="9" width="23.77734375" customWidth="1"/>
    <col min="10" max="10" width="24.44140625" customWidth="1"/>
    <col min="11" max="11" width="21.21875" customWidth="1"/>
    <col min="12" max="12" width="26.21875" customWidth="1"/>
    <col min="13" max="13" width="14.21875" customWidth="1"/>
    <col min="14" max="14" width="9" bestFit="1" customWidth="1"/>
    <col min="15" max="15" width="14.21875" customWidth="1"/>
    <col min="16" max="16" width="9" bestFit="1" customWidth="1"/>
    <col min="17" max="17" width="24.77734375" customWidth="1"/>
    <col min="18" max="18" width="23.44140625" customWidth="1"/>
    <col min="19" max="19" width="24.21875" customWidth="1"/>
    <col min="20" max="20" width="25" customWidth="1"/>
    <col min="21" max="21" width="13.5546875" customWidth="1"/>
    <col min="22" max="22" width="9" bestFit="1" customWidth="1"/>
    <col min="23" max="23" width="11.44140625" bestFit="1" customWidth="1"/>
    <col min="24" max="24" width="9.44140625" customWidth="1"/>
    <col min="25" max="25" width="16.21875" bestFit="1" customWidth="1"/>
  </cols>
  <sheetData>
    <row r="1" spans="1:25">
      <c r="A1" s="1" t="s">
        <v>312</v>
      </c>
    </row>
    <row r="3" spans="1:25">
      <c r="A3" t="s">
        <v>313</v>
      </c>
      <c r="B3" t="s">
        <v>314</v>
      </c>
      <c r="C3" t="s">
        <v>315</v>
      </c>
      <c r="D3" t="s">
        <v>304</v>
      </c>
      <c r="E3" t="s">
        <v>316</v>
      </c>
      <c r="F3" t="s">
        <v>317</v>
      </c>
      <c r="G3" t="s">
        <v>318</v>
      </c>
      <c r="H3" t="s">
        <v>319</v>
      </c>
      <c r="I3" t="s">
        <v>320</v>
      </c>
      <c r="J3" t="s">
        <v>321</v>
      </c>
      <c r="K3" t="s">
        <v>322</v>
      </c>
      <c r="L3" t="s">
        <v>323</v>
      </c>
      <c r="M3" t="s">
        <v>324</v>
      </c>
      <c r="N3" t="s">
        <v>325</v>
      </c>
      <c r="O3" t="s">
        <v>326</v>
      </c>
      <c r="P3" t="s">
        <v>327</v>
      </c>
      <c r="Q3" t="s">
        <v>328</v>
      </c>
      <c r="R3" t="s">
        <v>329</v>
      </c>
      <c r="S3" t="s">
        <v>330</v>
      </c>
      <c r="T3" t="s">
        <v>331</v>
      </c>
      <c r="U3" t="s">
        <v>332</v>
      </c>
      <c r="V3" t="s">
        <v>333</v>
      </c>
      <c r="W3" t="s">
        <v>289</v>
      </c>
      <c r="X3" t="s">
        <v>334</v>
      </c>
      <c r="Y3" t="s">
        <v>69</v>
      </c>
    </row>
    <row r="4" spans="1:25">
      <c r="A4" t="s">
        <v>335</v>
      </c>
      <c r="B4" t="s">
        <v>94</v>
      </c>
      <c r="C4" t="s">
        <v>336</v>
      </c>
      <c r="D4" t="s">
        <v>308</v>
      </c>
      <c r="E4" t="s">
        <v>80</v>
      </c>
      <c r="F4" t="e">
        <v>#N/A</v>
      </c>
      <c r="G4" t="e">
        <v>#N/A</v>
      </c>
      <c r="H4">
        <v>3932701297</v>
      </c>
      <c r="I4">
        <v>19282275292</v>
      </c>
      <c r="J4">
        <v>23033163273</v>
      </c>
      <c r="K4">
        <v>-3750887981</v>
      </c>
      <c r="L4">
        <v>181813316</v>
      </c>
      <c r="M4" t="e">
        <v>#N/A</v>
      </c>
      <c r="N4" t="e">
        <v>#N/A</v>
      </c>
      <c r="O4">
        <v>0</v>
      </c>
      <c r="P4">
        <v>0</v>
      </c>
      <c r="Q4">
        <v>0</v>
      </c>
      <c r="R4">
        <v>0</v>
      </c>
      <c r="S4">
        <v>0</v>
      </c>
      <c r="T4">
        <v>0</v>
      </c>
      <c r="V4">
        <v>0</v>
      </c>
      <c r="W4" t="s">
        <v>10</v>
      </c>
      <c r="X4" t="s">
        <v>114</v>
      </c>
      <c r="Y4" t="s">
        <v>94</v>
      </c>
    </row>
    <row r="5" spans="1:25">
      <c r="A5" t="s">
        <v>335</v>
      </c>
      <c r="B5" t="s">
        <v>94</v>
      </c>
      <c r="C5" t="s">
        <v>337</v>
      </c>
      <c r="D5" t="s">
        <v>308</v>
      </c>
      <c r="E5" t="s">
        <v>81</v>
      </c>
      <c r="H5">
        <v>0</v>
      </c>
      <c r="I5">
        <v>0</v>
      </c>
      <c r="J5">
        <v>0</v>
      </c>
      <c r="K5">
        <v>0</v>
      </c>
      <c r="L5">
        <v>0</v>
      </c>
      <c r="N5">
        <v>0</v>
      </c>
      <c r="O5" t="e">
        <v>#N/A</v>
      </c>
      <c r="P5" t="e">
        <v>#N/A</v>
      </c>
      <c r="Q5">
        <v>29669.209999999941</v>
      </c>
      <c r="R5">
        <v>0</v>
      </c>
      <c r="S5">
        <v>0</v>
      </c>
      <c r="T5">
        <v>29669.209999999941</v>
      </c>
      <c r="U5" t="e">
        <v>#N/A</v>
      </c>
      <c r="V5" t="e">
        <v>#N/A</v>
      </c>
      <c r="W5" t="s">
        <v>10</v>
      </c>
      <c r="X5" t="s">
        <v>114</v>
      </c>
      <c r="Y5" t="s">
        <v>94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5E86E-40A8-4797-A7BE-D5AACD88BD8E}">
  <sheetPr codeName="Sheet7">
    <tabColor theme="8" tint="0.39997558519241921"/>
  </sheetPr>
  <dimension ref="A1:N363"/>
  <sheetViews>
    <sheetView showGridLines="0" zoomScale="70" zoomScaleNormal="70" workbookViewId="0"/>
  </sheetViews>
  <sheetFormatPr defaultRowHeight="14.4"/>
  <cols>
    <col min="1" max="1" width="39.5546875" bestFit="1" customWidth="1"/>
    <col min="2" max="4" width="23.5546875" customWidth="1"/>
    <col min="5" max="5" width="24.5546875" customWidth="1"/>
    <col min="6" max="7" width="23.5546875" customWidth="1"/>
    <col min="8" max="11" width="10.5546875" customWidth="1"/>
  </cols>
  <sheetData>
    <row r="1" spans="1:5">
      <c r="A1" s="365" t="s">
        <v>304</v>
      </c>
      <c r="B1" t="s">
        <v>294</v>
      </c>
    </row>
    <row r="3" spans="1:5">
      <c r="A3" s="365" t="s">
        <v>306</v>
      </c>
      <c r="B3" s="365" t="s">
        <v>291</v>
      </c>
    </row>
    <row r="4" spans="1:5">
      <c r="A4" s="365" t="s">
        <v>100</v>
      </c>
      <c r="B4" t="s">
        <v>8</v>
      </c>
      <c r="C4" t="s">
        <v>67</v>
      </c>
      <c r="D4" t="s">
        <v>10</v>
      </c>
      <c r="E4" s="119" t="s">
        <v>105</v>
      </c>
    </row>
    <row r="5" spans="1:5">
      <c r="A5" s="17" t="s">
        <v>85</v>
      </c>
      <c r="B5" s="25">
        <v>200</v>
      </c>
      <c r="C5" s="25">
        <v>438.53</v>
      </c>
      <c r="D5" s="25">
        <v>1162.8399999999999</v>
      </c>
      <c r="E5" s="25">
        <v>1801.37</v>
      </c>
    </row>
    <row r="6" spans="1:5">
      <c r="A6" s="17" t="s">
        <v>87</v>
      </c>
      <c r="B6" s="25">
        <v>1704</v>
      </c>
      <c r="C6" s="25">
        <v>1812.22</v>
      </c>
      <c r="D6" s="25">
        <v>0</v>
      </c>
      <c r="E6" s="25">
        <v>3516.2200000000003</v>
      </c>
    </row>
    <row r="7" spans="1:5">
      <c r="A7" s="17" t="s">
        <v>88</v>
      </c>
      <c r="B7" s="25">
        <v>769</v>
      </c>
      <c r="C7" s="25">
        <v>0</v>
      </c>
      <c r="D7" s="25">
        <v>0</v>
      </c>
      <c r="E7" s="25">
        <v>769</v>
      </c>
    </row>
    <row r="8" spans="1:5">
      <c r="A8" s="17" t="s">
        <v>86</v>
      </c>
      <c r="B8" s="25">
        <v>748</v>
      </c>
      <c r="C8" s="25">
        <v>541.76</v>
      </c>
      <c r="D8" s="25">
        <v>0</v>
      </c>
      <c r="E8" s="25">
        <v>1289.76</v>
      </c>
    </row>
    <row r="9" spans="1:5">
      <c r="A9" s="17" t="s">
        <v>91</v>
      </c>
      <c r="B9" s="25">
        <v>1071.6999999999998</v>
      </c>
      <c r="C9" s="25">
        <v>95.8</v>
      </c>
      <c r="D9" s="25">
        <v>5645.869999999999</v>
      </c>
      <c r="E9" s="25">
        <v>6813.369999999999</v>
      </c>
    </row>
    <row r="10" spans="1:5">
      <c r="A10" s="17" t="s">
        <v>89</v>
      </c>
      <c r="B10" s="25">
        <v>645.69999999999993</v>
      </c>
      <c r="C10" s="25">
        <v>609.49999999999989</v>
      </c>
      <c r="D10" s="25">
        <v>0</v>
      </c>
      <c r="E10" s="25">
        <v>1255.1999999999998</v>
      </c>
    </row>
    <row r="11" spans="1:5">
      <c r="A11" s="17" t="s">
        <v>94</v>
      </c>
      <c r="B11" s="25"/>
      <c r="C11" s="25"/>
      <c r="D11" s="25">
        <v>29660.409999999996</v>
      </c>
      <c r="E11" s="25">
        <v>29660.409999999996</v>
      </c>
    </row>
    <row r="12" spans="1:5">
      <c r="A12" s="17" t="s">
        <v>93</v>
      </c>
      <c r="B12" s="25"/>
      <c r="C12" s="25"/>
      <c r="D12" s="25">
        <v>0</v>
      </c>
      <c r="E12" s="25">
        <v>0</v>
      </c>
    </row>
    <row r="13" spans="1:5">
      <c r="A13" s="17" t="s">
        <v>92</v>
      </c>
      <c r="B13" s="25">
        <v>73.599999999999994</v>
      </c>
      <c r="C13" s="25">
        <v>220.41000000000003</v>
      </c>
      <c r="D13" s="25">
        <v>179.09</v>
      </c>
      <c r="E13" s="25">
        <v>473.1</v>
      </c>
    </row>
    <row r="14" spans="1:5">
      <c r="A14" s="17" t="s">
        <v>95</v>
      </c>
      <c r="B14" s="25">
        <v>150</v>
      </c>
      <c r="C14" s="25">
        <v>100</v>
      </c>
      <c r="D14" s="25">
        <v>0</v>
      </c>
      <c r="E14" s="25">
        <v>250</v>
      </c>
    </row>
    <row r="15" spans="1:5">
      <c r="A15" s="17" t="s">
        <v>97</v>
      </c>
      <c r="B15" s="25"/>
      <c r="C15" s="25">
        <v>90</v>
      </c>
      <c r="D15" s="25"/>
      <c r="E15" s="25">
        <v>90</v>
      </c>
    </row>
    <row r="16" spans="1:5">
      <c r="A16" s="17" t="s">
        <v>96</v>
      </c>
      <c r="B16" s="25">
        <v>58.199999999999996</v>
      </c>
      <c r="C16" s="25">
        <v>100</v>
      </c>
      <c r="D16" s="25">
        <v>0</v>
      </c>
      <c r="E16" s="25">
        <v>158.19999999999999</v>
      </c>
    </row>
    <row r="17" spans="1:5">
      <c r="A17" s="17" t="s">
        <v>98</v>
      </c>
      <c r="B17" s="25">
        <v>13120</v>
      </c>
      <c r="C17" s="25">
        <v>0</v>
      </c>
      <c r="D17" s="25">
        <v>0</v>
      </c>
      <c r="E17" s="25">
        <v>13120</v>
      </c>
    </row>
    <row r="18" spans="1:5">
      <c r="A18" s="17" t="s">
        <v>99</v>
      </c>
      <c r="B18" s="25">
        <v>0</v>
      </c>
      <c r="C18" s="25">
        <v>0</v>
      </c>
      <c r="D18" s="25">
        <v>0</v>
      </c>
      <c r="E18" s="25">
        <v>0</v>
      </c>
    </row>
    <row r="19" spans="1:5">
      <c r="A19" s="17" t="s">
        <v>201</v>
      </c>
      <c r="B19" s="25"/>
      <c r="C19" s="25"/>
      <c r="D19" s="25">
        <v>4.74</v>
      </c>
      <c r="E19" s="25">
        <v>4.74</v>
      </c>
    </row>
    <row r="20" spans="1:5">
      <c r="A20" s="17" t="s">
        <v>338</v>
      </c>
      <c r="B20" s="25">
        <v>0</v>
      </c>
      <c r="C20" s="25">
        <v>0</v>
      </c>
      <c r="D20" s="25">
        <v>0</v>
      </c>
      <c r="E20" s="25">
        <v>0</v>
      </c>
    </row>
    <row r="21" spans="1:5">
      <c r="A21" s="17" t="s">
        <v>339</v>
      </c>
      <c r="B21" s="25">
        <v>0</v>
      </c>
      <c r="C21" s="25">
        <v>0</v>
      </c>
      <c r="D21" s="25"/>
      <c r="E21" s="25">
        <v>0</v>
      </c>
    </row>
    <row r="22" spans="1:5">
      <c r="A22" s="17" t="s">
        <v>340</v>
      </c>
      <c r="B22" s="25"/>
      <c r="C22" s="25"/>
      <c r="D22" s="25">
        <v>0</v>
      </c>
      <c r="E22" s="25">
        <v>0</v>
      </c>
    </row>
    <row r="23" spans="1:5">
      <c r="A23" s="17" t="s">
        <v>202</v>
      </c>
      <c r="B23" s="25">
        <v>950</v>
      </c>
      <c r="C23" s="25">
        <v>6419.6699999994598</v>
      </c>
      <c r="D23" s="25">
        <v>0</v>
      </c>
      <c r="E23" s="25">
        <v>7369.6699999994598</v>
      </c>
    </row>
    <row r="24" spans="1:5">
      <c r="A24" s="17" t="s">
        <v>341</v>
      </c>
      <c r="B24" s="25">
        <v>0</v>
      </c>
      <c r="C24" s="25"/>
      <c r="D24" s="25">
        <v>0</v>
      </c>
      <c r="E24" s="25">
        <v>0</v>
      </c>
    </row>
    <row r="25" spans="1:5">
      <c r="A25" s="17" t="s">
        <v>191</v>
      </c>
      <c r="B25" s="25"/>
      <c r="C25" s="25">
        <v>0</v>
      </c>
      <c r="D25" s="25">
        <v>0</v>
      </c>
      <c r="E25" s="25">
        <v>0</v>
      </c>
    </row>
    <row r="26" spans="1:5">
      <c r="A26" s="17" t="s">
        <v>196</v>
      </c>
      <c r="B26" s="25"/>
      <c r="C26" s="25"/>
      <c r="D26" s="25">
        <v>0</v>
      </c>
      <c r="E26" s="25">
        <v>0</v>
      </c>
    </row>
    <row r="27" spans="1:5">
      <c r="A27" s="17" t="s">
        <v>194</v>
      </c>
      <c r="B27" s="25"/>
      <c r="C27" s="25"/>
      <c r="D27" s="25">
        <v>0</v>
      </c>
      <c r="E27" s="25">
        <v>0</v>
      </c>
    </row>
    <row r="28" spans="1:5">
      <c r="A28" s="17" t="s">
        <v>195</v>
      </c>
      <c r="B28" s="25"/>
      <c r="C28" s="25"/>
      <c r="D28" s="25">
        <v>0</v>
      </c>
      <c r="E28" s="25">
        <v>0</v>
      </c>
    </row>
    <row r="29" spans="1:5">
      <c r="A29" s="17" t="s">
        <v>105</v>
      </c>
      <c r="B29" s="25">
        <v>19490.2</v>
      </c>
      <c r="C29" s="25">
        <v>10427.889999999461</v>
      </c>
      <c r="D29" s="25">
        <v>36652.94999999999</v>
      </c>
      <c r="E29" s="25">
        <v>66571.039999999455</v>
      </c>
    </row>
    <row r="30" spans="1:5">
      <c r="E30" s="20"/>
    </row>
    <row r="37" hidden="1"/>
    <row r="38" hidden="1"/>
    <row r="39" hidden="1"/>
    <row r="40" hidden="1"/>
    <row r="41" hidden="1"/>
    <row r="42" hidden="1"/>
    <row r="43" hidden="1"/>
    <row r="44" hidden="1"/>
    <row r="45" hidden="1"/>
    <row r="46" hidden="1"/>
    <row r="47" hidden="1"/>
    <row r="48" hidden="1"/>
    <row r="49" spans="1:11" hidden="1"/>
    <row r="50" spans="1:11" hidden="1"/>
    <row r="51" spans="1:11" hidden="1"/>
    <row r="52" spans="1:11" hidden="1"/>
    <row r="53" spans="1:11" hidden="1"/>
    <row r="54" spans="1:11" hidden="1"/>
    <row r="55" spans="1:11" hidden="1"/>
    <row r="60" spans="1:11">
      <c r="B60" s="20"/>
      <c r="C60" s="20"/>
      <c r="D60" s="20"/>
      <c r="E60" s="20"/>
      <c r="F60" s="20"/>
      <c r="G60" s="20"/>
      <c r="H60" s="20"/>
      <c r="I60" s="20"/>
      <c r="J60" s="631"/>
      <c r="K60" s="20"/>
    </row>
    <row r="61" spans="1:11">
      <c r="A61" s="365" t="s">
        <v>306</v>
      </c>
      <c r="B61" s="365" t="s">
        <v>291</v>
      </c>
      <c r="J61" s="6"/>
      <c r="K61" s="25"/>
    </row>
    <row r="62" spans="1:11">
      <c r="A62" s="365" t="s">
        <v>100</v>
      </c>
      <c r="B62" t="s">
        <v>8</v>
      </c>
      <c r="C62" t="s">
        <v>67</v>
      </c>
      <c r="D62" t="s">
        <v>10</v>
      </c>
      <c r="E62" s="119" t="s">
        <v>105</v>
      </c>
    </row>
    <row r="63" spans="1:11">
      <c r="A63" s="17" t="s">
        <v>85</v>
      </c>
      <c r="B63" s="25">
        <v>200</v>
      </c>
      <c r="C63" s="25">
        <v>438.53</v>
      </c>
      <c r="D63" s="25">
        <v>1162.8399999999999</v>
      </c>
      <c r="E63" s="25">
        <v>1801.37</v>
      </c>
    </row>
    <row r="64" spans="1:11">
      <c r="A64" s="53" t="s">
        <v>307</v>
      </c>
      <c r="B64" s="25"/>
      <c r="C64" s="25"/>
      <c r="D64" s="25">
        <v>0</v>
      </c>
      <c r="E64" s="25">
        <v>0</v>
      </c>
    </row>
    <row r="65" spans="1:5">
      <c r="A65" s="53" t="s">
        <v>308</v>
      </c>
      <c r="B65" s="25">
        <v>200</v>
      </c>
      <c r="C65" s="25">
        <v>438.53</v>
      </c>
      <c r="D65" s="25">
        <v>1162.8399999999999</v>
      </c>
      <c r="E65" s="25">
        <v>1801.37</v>
      </c>
    </row>
    <row r="66" spans="1:5">
      <c r="A66" s="53" t="s">
        <v>342</v>
      </c>
      <c r="B66" s="25"/>
      <c r="C66" s="25"/>
      <c r="D66" s="25">
        <v>0</v>
      </c>
      <c r="E66" s="25">
        <v>0</v>
      </c>
    </row>
    <row r="67" spans="1:5">
      <c r="A67" s="53" t="s">
        <v>310</v>
      </c>
      <c r="B67" s="25"/>
      <c r="C67" s="25">
        <v>0</v>
      </c>
      <c r="D67" s="25">
        <v>0</v>
      </c>
      <c r="E67" s="25">
        <v>0</v>
      </c>
    </row>
    <row r="68" spans="1:5">
      <c r="A68" s="17" t="s">
        <v>87</v>
      </c>
      <c r="B68" s="25">
        <v>1704</v>
      </c>
      <c r="C68" s="25">
        <v>1812.22</v>
      </c>
      <c r="D68" s="25">
        <v>0</v>
      </c>
      <c r="E68" s="25">
        <v>3516.2200000000003</v>
      </c>
    </row>
    <row r="69" spans="1:5">
      <c r="A69" s="53" t="s">
        <v>308</v>
      </c>
      <c r="B69" s="25">
        <v>1704</v>
      </c>
      <c r="C69" s="25">
        <v>1812.22</v>
      </c>
      <c r="D69" s="25">
        <v>0</v>
      </c>
      <c r="E69" s="25">
        <v>3516.2200000000003</v>
      </c>
    </row>
    <row r="70" spans="1:5">
      <c r="A70" s="53" t="s">
        <v>310</v>
      </c>
      <c r="B70" s="25">
        <v>0</v>
      </c>
      <c r="C70" s="25">
        <v>0</v>
      </c>
      <c r="D70" s="25">
        <v>0</v>
      </c>
      <c r="E70" s="25">
        <v>0</v>
      </c>
    </row>
    <row r="71" spans="1:5">
      <c r="A71" s="17" t="s">
        <v>88</v>
      </c>
      <c r="B71" s="25">
        <v>769</v>
      </c>
      <c r="C71" s="25">
        <v>0</v>
      </c>
      <c r="D71" s="25">
        <v>0</v>
      </c>
      <c r="E71" s="25">
        <v>769</v>
      </c>
    </row>
    <row r="72" spans="1:5">
      <c r="A72" s="53" t="s">
        <v>308</v>
      </c>
      <c r="B72" s="25">
        <v>769</v>
      </c>
      <c r="C72" s="25">
        <v>0</v>
      </c>
      <c r="D72" s="25">
        <v>0</v>
      </c>
      <c r="E72" s="25">
        <v>769</v>
      </c>
    </row>
    <row r="73" spans="1:5">
      <c r="A73" s="53" t="s">
        <v>310</v>
      </c>
      <c r="B73" s="25"/>
      <c r="C73" s="25"/>
      <c r="D73" s="25">
        <v>0</v>
      </c>
      <c r="E73" s="25">
        <v>0</v>
      </c>
    </row>
    <row r="74" spans="1:5">
      <c r="A74" s="17" t="s">
        <v>86</v>
      </c>
      <c r="B74" s="25">
        <v>748</v>
      </c>
      <c r="C74" s="25">
        <v>541.76</v>
      </c>
      <c r="D74" s="25">
        <v>0</v>
      </c>
      <c r="E74" s="25">
        <v>1289.76</v>
      </c>
    </row>
    <row r="75" spans="1:5">
      <c r="A75" s="53" t="s">
        <v>308</v>
      </c>
      <c r="B75" s="25">
        <v>748</v>
      </c>
      <c r="C75" s="25">
        <v>541.76</v>
      </c>
      <c r="D75" s="25">
        <v>0</v>
      </c>
      <c r="E75" s="25">
        <v>1289.76</v>
      </c>
    </row>
    <row r="76" spans="1:5">
      <c r="A76" s="53" t="s">
        <v>309</v>
      </c>
      <c r="B76" s="25"/>
      <c r="C76" s="25">
        <v>0</v>
      </c>
      <c r="D76" s="25"/>
      <c r="E76" s="25">
        <v>0</v>
      </c>
    </row>
    <row r="77" spans="1:5">
      <c r="A77" s="53" t="s">
        <v>310</v>
      </c>
      <c r="B77" s="25"/>
      <c r="C77" s="25">
        <v>0</v>
      </c>
      <c r="D77" s="25">
        <v>0</v>
      </c>
      <c r="E77" s="25">
        <v>0</v>
      </c>
    </row>
    <row r="78" spans="1:5">
      <c r="A78" s="17" t="s">
        <v>91</v>
      </c>
      <c r="B78" s="25">
        <v>1071.6999999999998</v>
      </c>
      <c r="C78" s="25">
        <v>95.8</v>
      </c>
      <c r="D78" s="25">
        <v>5645.869999999999</v>
      </c>
      <c r="E78" s="25">
        <v>6813.369999999999</v>
      </c>
    </row>
    <row r="79" spans="1:5">
      <c r="A79" s="53" t="s">
        <v>307</v>
      </c>
      <c r="B79" s="25">
        <v>749</v>
      </c>
      <c r="C79" s="25"/>
      <c r="D79" s="25"/>
      <c r="E79" s="25">
        <v>749</v>
      </c>
    </row>
    <row r="80" spans="1:5">
      <c r="A80" s="53" t="s">
        <v>308</v>
      </c>
      <c r="B80" s="25">
        <v>322.69999999999993</v>
      </c>
      <c r="C80" s="25">
        <v>95.8</v>
      </c>
      <c r="D80" s="25">
        <v>5645.869999999999</v>
      </c>
      <c r="E80" s="25">
        <v>6064.369999999999</v>
      </c>
    </row>
    <row r="81" spans="1:11">
      <c r="A81" s="53" t="s">
        <v>310</v>
      </c>
      <c r="B81" s="25">
        <v>0</v>
      </c>
      <c r="C81" s="25">
        <v>0</v>
      </c>
      <c r="D81" s="25">
        <v>0</v>
      </c>
      <c r="E81" s="25">
        <v>0</v>
      </c>
    </row>
    <row r="82" spans="1:11">
      <c r="A82" s="17" t="s">
        <v>89</v>
      </c>
      <c r="B82" s="25">
        <v>645.69999999999993</v>
      </c>
      <c r="C82" s="25">
        <v>609.49999999999989</v>
      </c>
      <c r="D82" s="25">
        <v>0</v>
      </c>
      <c r="E82" s="25">
        <v>1255.1999999999998</v>
      </c>
    </row>
    <row r="83" spans="1:11">
      <c r="A83" s="53" t="s">
        <v>308</v>
      </c>
      <c r="B83" s="25">
        <v>645.69999999999993</v>
      </c>
      <c r="C83" s="25">
        <v>609.49999999999989</v>
      </c>
      <c r="D83" s="25">
        <v>0</v>
      </c>
      <c r="E83" s="25">
        <v>1255.1999999999998</v>
      </c>
    </row>
    <row r="84" spans="1:11">
      <c r="A84" s="53" t="s">
        <v>310</v>
      </c>
      <c r="B84" s="25"/>
      <c r="C84" s="25">
        <v>0</v>
      </c>
      <c r="D84" s="25">
        <v>0</v>
      </c>
      <c r="E84" s="25">
        <v>0</v>
      </c>
    </row>
    <row r="85" spans="1:11">
      <c r="A85" s="17" t="s">
        <v>94</v>
      </c>
      <c r="B85" s="25"/>
      <c r="C85" s="25"/>
      <c r="D85" s="25">
        <v>29660.409999999996</v>
      </c>
      <c r="E85" s="25">
        <v>29660.409999999996</v>
      </c>
    </row>
    <row r="86" spans="1:11">
      <c r="A86" s="53" t="s">
        <v>308</v>
      </c>
      <c r="B86" s="25"/>
      <c r="C86" s="25"/>
      <c r="D86" s="25">
        <v>29660.409999999996</v>
      </c>
      <c r="E86" s="25">
        <v>29660.409999999996</v>
      </c>
      <c r="J86" s="25"/>
      <c r="K86" s="25"/>
    </row>
    <row r="87" spans="1:11">
      <c r="A87" s="53" t="s">
        <v>310</v>
      </c>
      <c r="B87" s="25"/>
      <c r="C87" s="25"/>
      <c r="D87" s="25">
        <v>0</v>
      </c>
      <c r="E87" s="25">
        <v>0</v>
      </c>
    </row>
    <row r="88" spans="1:11">
      <c r="A88" s="17" t="s">
        <v>93</v>
      </c>
      <c r="B88" s="25"/>
      <c r="C88" s="25"/>
      <c r="D88" s="25">
        <v>0</v>
      </c>
      <c r="E88" s="25">
        <v>0</v>
      </c>
      <c r="J88" s="20"/>
      <c r="K88" s="25"/>
    </row>
    <row r="89" spans="1:11">
      <c r="A89" s="53" t="s">
        <v>308</v>
      </c>
      <c r="B89" s="25"/>
      <c r="C89" s="25"/>
      <c r="D89" s="25">
        <v>0</v>
      </c>
      <c r="E89" s="25">
        <v>0</v>
      </c>
    </row>
    <row r="90" spans="1:11">
      <c r="A90" s="53" t="s">
        <v>310</v>
      </c>
      <c r="B90" s="25"/>
      <c r="C90" s="25"/>
      <c r="D90" s="25">
        <v>0</v>
      </c>
      <c r="E90" s="25">
        <v>0</v>
      </c>
    </row>
    <row r="91" spans="1:11">
      <c r="A91" s="17" t="s">
        <v>92</v>
      </c>
      <c r="B91" s="25">
        <v>73.599999999999994</v>
      </c>
      <c r="C91" s="25">
        <v>220.41000000000003</v>
      </c>
      <c r="D91" s="25">
        <v>179.09</v>
      </c>
      <c r="E91" s="25">
        <v>473.1</v>
      </c>
      <c r="J91" s="20"/>
      <c r="K91" s="25"/>
    </row>
    <row r="92" spans="1:11">
      <c r="A92" s="53" t="s">
        <v>307</v>
      </c>
      <c r="B92" s="25"/>
      <c r="C92" s="25"/>
      <c r="D92" s="25">
        <v>0</v>
      </c>
      <c r="E92" s="25">
        <v>0</v>
      </c>
    </row>
    <row r="93" spans="1:11">
      <c r="A93" s="53" t="s">
        <v>308</v>
      </c>
      <c r="B93" s="25">
        <v>73.599999999999994</v>
      </c>
      <c r="C93" s="25">
        <v>220.41000000000003</v>
      </c>
      <c r="D93" s="25">
        <v>179.09</v>
      </c>
      <c r="E93" s="25">
        <v>473.1</v>
      </c>
    </row>
    <row r="94" spans="1:11">
      <c r="A94" s="53" t="s">
        <v>309</v>
      </c>
      <c r="B94" s="25"/>
      <c r="C94" s="25">
        <v>0</v>
      </c>
      <c r="D94" s="25">
        <v>0</v>
      </c>
      <c r="E94" s="25">
        <v>0</v>
      </c>
      <c r="J94" s="20"/>
      <c r="K94" s="25"/>
    </row>
    <row r="95" spans="1:11">
      <c r="A95" s="53" t="s">
        <v>310</v>
      </c>
      <c r="B95" s="25">
        <v>0</v>
      </c>
      <c r="C95" s="25">
        <v>0</v>
      </c>
      <c r="D95" s="25">
        <v>0</v>
      </c>
      <c r="E95" s="25">
        <v>0</v>
      </c>
    </row>
    <row r="96" spans="1:11">
      <c r="A96" s="17" t="s">
        <v>95</v>
      </c>
      <c r="B96" s="25">
        <v>150</v>
      </c>
      <c r="C96" s="25">
        <v>100</v>
      </c>
      <c r="D96" s="25">
        <v>0</v>
      </c>
      <c r="E96" s="25">
        <v>250</v>
      </c>
    </row>
    <row r="97" spans="1:5">
      <c r="A97" s="53" t="s">
        <v>308</v>
      </c>
      <c r="B97" s="25">
        <v>150</v>
      </c>
      <c r="C97" s="25">
        <v>100</v>
      </c>
      <c r="D97" s="25">
        <v>0</v>
      </c>
      <c r="E97" s="25">
        <v>250</v>
      </c>
    </row>
    <row r="98" spans="1:5">
      <c r="A98" s="53" t="s">
        <v>310</v>
      </c>
      <c r="B98" s="25"/>
      <c r="C98" s="25"/>
      <c r="D98" s="25">
        <v>0</v>
      </c>
      <c r="E98" s="25">
        <v>0</v>
      </c>
    </row>
    <row r="99" spans="1:5">
      <c r="A99" s="17" t="s">
        <v>97</v>
      </c>
      <c r="B99" s="25"/>
      <c r="C99" s="25">
        <v>90</v>
      </c>
      <c r="D99" s="25"/>
      <c r="E99" s="25">
        <v>90</v>
      </c>
    </row>
    <row r="100" spans="1:5">
      <c r="A100" s="53" t="s">
        <v>308</v>
      </c>
      <c r="B100" s="25"/>
      <c r="C100" s="25">
        <v>90</v>
      </c>
      <c r="D100" s="25"/>
      <c r="E100" s="25">
        <v>90</v>
      </c>
    </row>
    <row r="101" spans="1:5">
      <c r="A101" s="17" t="s">
        <v>96</v>
      </c>
      <c r="B101" s="25">
        <v>58.199999999999996</v>
      </c>
      <c r="C101" s="25">
        <v>100</v>
      </c>
      <c r="D101" s="25">
        <v>0</v>
      </c>
      <c r="E101" s="25">
        <v>158.19999999999999</v>
      </c>
    </row>
    <row r="102" spans="1:5">
      <c r="A102" s="53" t="s">
        <v>308</v>
      </c>
      <c r="B102" s="25">
        <v>58.199999999999996</v>
      </c>
      <c r="C102" s="25">
        <v>100</v>
      </c>
      <c r="D102" s="25">
        <v>0</v>
      </c>
      <c r="E102" s="25">
        <v>158.19999999999999</v>
      </c>
    </row>
    <row r="103" spans="1:5">
      <c r="A103" s="53" t="s">
        <v>310</v>
      </c>
      <c r="B103" s="25"/>
      <c r="C103" s="25">
        <v>0</v>
      </c>
      <c r="D103" s="25">
        <v>0</v>
      </c>
      <c r="E103" s="25">
        <v>0</v>
      </c>
    </row>
    <row r="104" spans="1:5">
      <c r="A104" s="17" t="s">
        <v>98</v>
      </c>
      <c r="B104" s="25">
        <v>13120</v>
      </c>
      <c r="C104" s="25">
        <v>0</v>
      </c>
      <c r="D104" s="25">
        <v>0</v>
      </c>
      <c r="E104" s="25">
        <v>13120</v>
      </c>
    </row>
    <row r="105" spans="1:5">
      <c r="A105" s="53" t="s">
        <v>308</v>
      </c>
      <c r="B105" s="25">
        <v>13120</v>
      </c>
      <c r="C105" s="25">
        <v>0</v>
      </c>
      <c r="D105" s="25">
        <v>0</v>
      </c>
      <c r="E105" s="25">
        <v>13120</v>
      </c>
    </row>
    <row r="106" spans="1:5">
      <c r="A106" s="53" t="s">
        <v>309</v>
      </c>
      <c r="B106" s="25"/>
      <c r="C106" s="25"/>
      <c r="D106" s="25">
        <v>0</v>
      </c>
      <c r="E106" s="25">
        <v>0</v>
      </c>
    </row>
    <row r="107" spans="1:5">
      <c r="A107" s="53" t="s">
        <v>311</v>
      </c>
      <c r="B107" s="25"/>
      <c r="C107" s="25"/>
      <c r="D107" s="25">
        <v>0</v>
      </c>
      <c r="E107" s="25">
        <v>0</v>
      </c>
    </row>
    <row r="108" spans="1:5">
      <c r="A108" s="53" t="s">
        <v>310</v>
      </c>
      <c r="B108" s="25">
        <v>0</v>
      </c>
      <c r="C108" s="25">
        <v>0</v>
      </c>
      <c r="D108" s="25">
        <v>0</v>
      </c>
      <c r="E108" s="25">
        <v>0</v>
      </c>
    </row>
    <row r="109" spans="1:5">
      <c r="A109" s="17" t="s">
        <v>99</v>
      </c>
      <c r="B109" s="25">
        <v>0</v>
      </c>
      <c r="C109" s="25">
        <v>0</v>
      </c>
      <c r="D109" s="25">
        <v>0</v>
      </c>
      <c r="E109" s="25">
        <v>0</v>
      </c>
    </row>
    <row r="110" spans="1:5">
      <c r="A110" s="53" t="s">
        <v>308</v>
      </c>
      <c r="B110" s="25">
        <v>0</v>
      </c>
      <c r="C110" s="25">
        <v>0</v>
      </c>
      <c r="D110" s="25">
        <v>0</v>
      </c>
      <c r="E110" s="25">
        <v>0</v>
      </c>
    </row>
    <row r="111" spans="1:5">
      <c r="A111" s="53" t="s">
        <v>310</v>
      </c>
      <c r="B111" s="25"/>
      <c r="C111" s="25"/>
      <c r="D111" s="25">
        <v>0</v>
      </c>
      <c r="E111" s="25">
        <v>0</v>
      </c>
    </row>
    <row r="112" spans="1:5">
      <c r="A112" s="17" t="s">
        <v>201</v>
      </c>
      <c r="B112" s="25"/>
      <c r="C112" s="25"/>
      <c r="D112" s="25">
        <v>4.74</v>
      </c>
      <c r="E112" s="25">
        <v>4.74</v>
      </c>
    </row>
    <row r="113" spans="1:5">
      <c r="A113" s="53" t="s">
        <v>307</v>
      </c>
      <c r="B113" s="25"/>
      <c r="C113" s="25"/>
      <c r="D113" s="25">
        <v>4.74</v>
      </c>
      <c r="E113" s="25">
        <v>4.74</v>
      </c>
    </row>
    <row r="114" spans="1:5">
      <c r="A114" s="53" t="s">
        <v>308</v>
      </c>
      <c r="B114" s="25"/>
      <c r="C114" s="25"/>
      <c r="D114" s="25">
        <v>0</v>
      </c>
      <c r="E114" s="25">
        <v>0</v>
      </c>
    </row>
    <row r="115" spans="1:5">
      <c r="A115" s="53" t="s">
        <v>342</v>
      </c>
      <c r="B115" s="25"/>
      <c r="C115" s="25"/>
      <c r="D115" s="25">
        <v>0</v>
      </c>
      <c r="E115" s="25">
        <v>0</v>
      </c>
    </row>
    <row r="116" spans="1:5">
      <c r="A116" s="17" t="s">
        <v>338</v>
      </c>
      <c r="B116" s="25">
        <v>0</v>
      </c>
      <c r="C116" s="25">
        <v>0</v>
      </c>
      <c r="D116" s="25">
        <v>0</v>
      </c>
      <c r="E116" s="25">
        <v>0</v>
      </c>
    </row>
    <row r="117" spans="1:5">
      <c r="A117" s="53" t="s">
        <v>308</v>
      </c>
      <c r="B117" s="25">
        <v>0</v>
      </c>
      <c r="C117" s="25">
        <v>0</v>
      </c>
      <c r="D117" s="25">
        <v>0</v>
      </c>
      <c r="E117" s="25">
        <v>0</v>
      </c>
    </row>
    <row r="118" spans="1:5">
      <c r="A118" s="53" t="s">
        <v>310</v>
      </c>
      <c r="B118" s="25"/>
      <c r="C118" s="25">
        <v>0</v>
      </c>
      <c r="D118" s="25"/>
      <c r="E118" s="25">
        <v>0</v>
      </c>
    </row>
    <row r="119" spans="1:5">
      <c r="A119" s="17" t="s">
        <v>339</v>
      </c>
      <c r="B119" s="25">
        <v>0</v>
      </c>
      <c r="C119" s="25">
        <v>0</v>
      </c>
      <c r="D119" s="25"/>
      <c r="E119" s="25">
        <v>0</v>
      </c>
    </row>
    <row r="120" spans="1:5">
      <c r="A120" s="53" t="s">
        <v>308</v>
      </c>
      <c r="B120" s="25">
        <v>0</v>
      </c>
      <c r="C120" s="25">
        <v>0</v>
      </c>
      <c r="D120" s="25"/>
      <c r="E120" s="25">
        <v>0</v>
      </c>
    </row>
    <row r="121" spans="1:5">
      <c r="A121" s="17" t="s">
        <v>340</v>
      </c>
      <c r="B121" s="25"/>
      <c r="C121" s="25"/>
      <c r="D121" s="25">
        <v>0</v>
      </c>
      <c r="E121" s="25">
        <v>0</v>
      </c>
    </row>
    <row r="122" spans="1:5">
      <c r="A122" s="53" t="s">
        <v>308</v>
      </c>
      <c r="B122" s="25"/>
      <c r="C122" s="25"/>
      <c r="D122" s="25">
        <v>0</v>
      </c>
      <c r="E122" s="25">
        <v>0</v>
      </c>
    </row>
    <row r="123" spans="1:5">
      <c r="A123" s="17" t="s">
        <v>202</v>
      </c>
      <c r="B123" s="25">
        <v>950</v>
      </c>
      <c r="C123" s="25">
        <v>6419.6699999994598</v>
      </c>
      <c r="D123" s="25">
        <v>0</v>
      </c>
      <c r="E123" s="25">
        <v>7369.6699999994598</v>
      </c>
    </row>
    <row r="124" spans="1:5">
      <c r="A124" s="53" t="s">
        <v>307</v>
      </c>
      <c r="B124" s="25"/>
      <c r="C124" s="25"/>
      <c r="D124" s="25">
        <v>0</v>
      </c>
      <c r="E124" s="25">
        <v>0</v>
      </c>
    </row>
    <row r="125" spans="1:5">
      <c r="A125" s="53" t="s">
        <v>308</v>
      </c>
      <c r="B125" s="25">
        <v>950</v>
      </c>
      <c r="C125" s="25">
        <v>0</v>
      </c>
      <c r="D125" s="25">
        <v>0</v>
      </c>
      <c r="E125" s="25">
        <v>950</v>
      </c>
    </row>
    <row r="126" spans="1:5">
      <c r="A126" s="53" t="s">
        <v>309</v>
      </c>
      <c r="B126" s="25"/>
      <c r="C126" s="25">
        <v>2118.7299999999814</v>
      </c>
      <c r="D126" s="25">
        <v>0</v>
      </c>
      <c r="E126" s="25">
        <v>2118.7299999999814</v>
      </c>
    </row>
    <row r="127" spans="1:5">
      <c r="A127" s="53" t="s">
        <v>311</v>
      </c>
      <c r="B127" s="25"/>
      <c r="C127" s="25">
        <v>4300.9399999994785</v>
      </c>
      <c r="D127" s="25"/>
      <c r="E127" s="25">
        <v>4300.9399999994785</v>
      </c>
    </row>
    <row r="128" spans="1:5">
      <c r="A128" s="17" t="s">
        <v>341</v>
      </c>
      <c r="B128" s="25">
        <v>0</v>
      </c>
      <c r="C128" s="25"/>
      <c r="D128" s="25">
        <v>0</v>
      </c>
      <c r="E128" s="25">
        <v>0</v>
      </c>
    </row>
    <row r="129" spans="1:5">
      <c r="A129" s="53" t="s">
        <v>308</v>
      </c>
      <c r="B129" s="25">
        <v>0</v>
      </c>
      <c r="C129" s="25"/>
      <c r="D129" s="25">
        <v>0</v>
      </c>
      <c r="E129" s="25">
        <v>0</v>
      </c>
    </row>
    <row r="130" spans="1:5">
      <c r="A130" s="53" t="s">
        <v>310</v>
      </c>
      <c r="B130" s="25"/>
      <c r="C130" s="25"/>
      <c r="D130" s="25">
        <v>0</v>
      </c>
      <c r="E130" s="25">
        <v>0</v>
      </c>
    </row>
    <row r="131" spans="1:5">
      <c r="A131" s="17" t="s">
        <v>191</v>
      </c>
      <c r="B131" s="25"/>
      <c r="C131" s="25">
        <v>0</v>
      </c>
      <c r="D131" s="25">
        <v>0</v>
      </c>
      <c r="E131" s="25">
        <v>0</v>
      </c>
    </row>
    <row r="132" spans="1:5">
      <c r="A132" s="53" t="s">
        <v>308</v>
      </c>
      <c r="B132" s="25"/>
      <c r="C132" s="25">
        <v>0</v>
      </c>
      <c r="D132" s="25">
        <v>0</v>
      </c>
      <c r="E132" s="25">
        <v>0</v>
      </c>
    </row>
    <row r="133" spans="1:5">
      <c r="A133" s="53" t="s">
        <v>310</v>
      </c>
      <c r="B133" s="25"/>
      <c r="C133" s="25">
        <v>0</v>
      </c>
      <c r="D133" s="25">
        <v>0</v>
      </c>
      <c r="E133" s="25">
        <v>0</v>
      </c>
    </row>
    <row r="134" spans="1:5">
      <c r="A134" s="17" t="s">
        <v>196</v>
      </c>
      <c r="B134" s="25"/>
      <c r="C134" s="25"/>
      <c r="D134" s="25">
        <v>0</v>
      </c>
      <c r="E134" s="25">
        <v>0</v>
      </c>
    </row>
    <row r="135" spans="1:5">
      <c r="A135" s="53" t="s">
        <v>308</v>
      </c>
      <c r="B135" s="25"/>
      <c r="C135" s="25"/>
      <c r="D135" s="25">
        <v>0</v>
      </c>
      <c r="E135" s="25">
        <v>0</v>
      </c>
    </row>
    <row r="136" spans="1:5">
      <c r="A136" s="17" t="s">
        <v>194</v>
      </c>
      <c r="B136" s="25"/>
      <c r="C136" s="25"/>
      <c r="D136" s="25">
        <v>0</v>
      </c>
      <c r="E136" s="25">
        <v>0</v>
      </c>
    </row>
    <row r="137" spans="1:5">
      <c r="A137" s="53" t="s">
        <v>308</v>
      </c>
      <c r="B137" s="25"/>
      <c r="C137" s="25"/>
      <c r="D137" s="25">
        <v>0</v>
      </c>
      <c r="E137" s="25">
        <v>0</v>
      </c>
    </row>
    <row r="138" spans="1:5">
      <c r="A138" s="17" t="s">
        <v>195</v>
      </c>
      <c r="B138" s="25"/>
      <c r="C138" s="25"/>
      <c r="D138" s="25">
        <v>0</v>
      </c>
      <c r="E138" s="25">
        <v>0</v>
      </c>
    </row>
    <row r="139" spans="1:5">
      <c r="A139" s="53" t="s">
        <v>308</v>
      </c>
      <c r="B139" s="25"/>
      <c r="C139" s="25"/>
      <c r="D139" s="25">
        <v>0</v>
      </c>
      <c r="E139" s="25">
        <v>0</v>
      </c>
    </row>
    <row r="140" spans="1:5">
      <c r="A140" s="17" t="s">
        <v>105</v>
      </c>
      <c r="B140" s="25">
        <v>19490.2</v>
      </c>
      <c r="C140" s="25">
        <v>10427.889999999461</v>
      </c>
      <c r="D140" s="25">
        <v>36652.94999999999</v>
      </c>
      <c r="E140" s="25">
        <v>66571.039999999455</v>
      </c>
    </row>
    <row r="163" spans="1:5" hidden="1"/>
    <row r="164" spans="1:5" hidden="1">
      <c r="A164" s="17"/>
      <c r="B164" s="25"/>
      <c r="C164" s="25"/>
      <c r="D164" s="25"/>
      <c r="E164" s="25"/>
    </row>
    <row r="165" spans="1:5" hidden="1">
      <c r="A165" s="17"/>
      <c r="B165" s="25"/>
      <c r="C165" s="25"/>
      <c r="D165" s="25"/>
      <c r="E165" s="25"/>
    </row>
    <row r="166" spans="1:5" hidden="1">
      <c r="A166" s="17"/>
      <c r="B166" s="25"/>
      <c r="C166" s="25"/>
      <c r="D166" s="25"/>
      <c r="E166" s="25"/>
    </row>
    <row r="167" spans="1:5" hidden="1">
      <c r="A167" s="17"/>
      <c r="B167" s="25"/>
      <c r="C167" s="25"/>
      <c r="D167" s="25"/>
      <c r="E167" s="25"/>
    </row>
    <row r="168" spans="1:5" hidden="1">
      <c r="A168" s="17"/>
      <c r="B168" s="25"/>
      <c r="C168" s="25"/>
      <c r="D168" s="25"/>
      <c r="E168" s="25"/>
    </row>
    <row r="169" spans="1:5" hidden="1">
      <c r="A169" s="17"/>
      <c r="B169" s="25"/>
      <c r="C169" s="25"/>
      <c r="D169" s="25"/>
      <c r="E169" s="25"/>
    </row>
    <row r="170" spans="1:5" hidden="1">
      <c r="A170" s="17"/>
      <c r="B170" s="25"/>
      <c r="C170" s="25"/>
      <c r="D170" s="25"/>
      <c r="E170" s="25"/>
    </row>
    <row r="171" spans="1:5" hidden="1">
      <c r="A171" s="17"/>
      <c r="B171" s="25"/>
      <c r="C171" s="25"/>
      <c r="D171" s="25"/>
      <c r="E171" s="25"/>
    </row>
    <row r="172" spans="1:5" hidden="1">
      <c r="A172" s="17"/>
      <c r="B172" s="25"/>
      <c r="C172" s="25"/>
      <c r="D172" s="25"/>
      <c r="E172" s="25"/>
    </row>
    <row r="173" spans="1:5" hidden="1">
      <c r="A173" s="17"/>
      <c r="B173" s="25"/>
      <c r="C173" s="25"/>
      <c r="D173" s="25"/>
      <c r="E173" s="25"/>
    </row>
    <row r="174" spans="1:5" hidden="1"/>
    <row r="175" spans="1:5" hidden="1"/>
    <row r="176" spans="1:5"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6" spans="1:6">
      <c r="A196" s="365" t="s">
        <v>304</v>
      </c>
      <c r="B196" t="s">
        <v>294</v>
      </c>
    </row>
    <row r="198" spans="1:6">
      <c r="A198" s="365" t="s">
        <v>343</v>
      </c>
      <c r="B198" s="365" t="s">
        <v>291</v>
      </c>
    </row>
    <row r="199" spans="1:6">
      <c r="A199" s="365" t="s">
        <v>100</v>
      </c>
      <c r="B199" t="s">
        <v>8</v>
      </c>
      <c r="C199" t="s">
        <v>67</v>
      </c>
      <c r="D199" t="s">
        <v>10</v>
      </c>
      <c r="E199" t="s">
        <v>105</v>
      </c>
    </row>
    <row r="200" spans="1:6">
      <c r="A200" s="17" t="s">
        <v>85</v>
      </c>
      <c r="B200" s="25">
        <v>29002948</v>
      </c>
      <c r="C200" s="25">
        <v>67266331990</v>
      </c>
      <c r="D200" s="25">
        <v>538810730459</v>
      </c>
      <c r="E200" s="25">
        <v>606106065397</v>
      </c>
    </row>
    <row r="201" spans="1:6">
      <c r="A201" s="17" t="s">
        <v>87</v>
      </c>
      <c r="B201" s="25">
        <v>13027033115</v>
      </c>
      <c r="C201" s="25">
        <v>182563435801</v>
      </c>
      <c r="D201" s="25">
        <v>233757528373</v>
      </c>
      <c r="E201" s="25">
        <v>429347997289</v>
      </c>
      <c r="F201" s="30"/>
    </row>
    <row r="202" spans="1:6">
      <c r="A202" s="17" t="s">
        <v>88</v>
      </c>
      <c r="B202" s="25">
        <v>0</v>
      </c>
      <c r="C202" s="25">
        <v>4090292</v>
      </c>
      <c r="D202" s="25">
        <v>39034808656</v>
      </c>
      <c r="E202" s="25">
        <v>39038898948</v>
      </c>
    </row>
    <row r="203" spans="1:6">
      <c r="A203" s="17" t="s">
        <v>86</v>
      </c>
      <c r="B203" s="25">
        <v>90753078</v>
      </c>
      <c r="C203" s="25">
        <v>172325847</v>
      </c>
      <c r="D203" s="25">
        <v>89511324771</v>
      </c>
      <c r="E203" s="25">
        <v>89774403696</v>
      </c>
    </row>
    <row r="204" spans="1:6">
      <c r="A204" s="17" t="s">
        <v>91</v>
      </c>
      <c r="B204" s="25">
        <v>278182659</v>
      </c>
      <c r="C204" s="25">
        <v>1145048530349</v>
      </c>
      <c r="D204" s="25">
        <v>100544394796</v>
      </c>
      <c r="E204" s="25">
        <v>1245871107804</v>
      </c>
    </row>
    <row r="205" spans="1:6">
      <c r="A205" s="17" t="s">
        <v>89</v>
      </c>
      <c r="B205" s="25">
        <v>429288501</v>
      </c>
      <c r="C205" s="25">
        <v>2032290614</v>
      </c>
      <c r="D205" s="25">
        <v>135871899681</v>
      </c>
      <c r="E205" s="25">
        <v>138333478796</v>
      </c>
    </row>
    <row r="206" spans="1:6">
      <c r="A206" s="17" t="s">
        <v>94</v>
      </c>
      <c r="B206" s="25"/>
      <c r="C206" s="25"/>
      <c r="D206" s="25">
        <v>32323036734</v>
      </c>
      <c r="E206" s="25">
        <v>32323036734</v>
      </c>
    </row>
    <row r="207" spans="1:6">
      <c r="A207" s="17" t="s">
        <v>93</v>
      </c>
      <c r="B207" s="25"/>
      <c r="C207" s="25"/>
      <c r="D207" s="25">
        <v>80571447844</v>
      </c>
      <c r="E207" s="25">
        <v>80571447844</v>
      </c>
    </row>
    <row r="208" spans="1:6">
      <c r="A208" s="17" t="s">
        <v>92</v>
      </c>
      <c r="B208" s="25">
        <v>38441328</v>
      </c>
      <c r="C208" s="25">
        <v>50250822489</v>
      </c>
      <c r="D208" s="25">
        <v>325806408138</v>
      </c>
      <c r="E208" s="25">
        <v>376095671955</v>
      </c>
    </row>
    <row r="209" spans="1:14">
      <c r="A209" s="17" t="s">
        <v>95</v>
      </c>
      <c r="B209" s="25">
        <v>69939140</v>
      </c>
      <c r="C209" s="25">
        <v>56798256</v>
      </c>
      <c r="D209" s="25">
        <v>1365690715</v>
      </c>
      <c r="E209" s="25">
        <v>1492428111</v>
      </c>
    </row>
    <row r="210" spans="1:14">
      <c r="A210" s="17" t="s">
        <v>97</v>
      </c>
      <c r="B210" s="25"/>
      <c r="C210" s="25">
        <v>7956322</v>
      </c>
      <c r="D210" s="25"/>
      <c r="E210" s="25">
        <v>7956322</v>
      </c>
    </row>
    <row r="211" spans="1:14">
      <c r="A211" s="17" t="s">
        <v>96</v>
      </c>
      <c r="B211" s="25">
        <v>13820552</v>
      </c>
      <c r="C211" s="25">
        <v>170187383361</v>
      </c>
      <c r="D211" s="25">
        <v>3149945337</v>
      </c>
      <c r="E211" s="25">
        <v>173351149250</v>
      </c>
    </row>
    <row r="212" spans="1:14">
      <c r="A212" s="17" t="s">
        <v>98</v>
      </c>
      <c r="B212" s="25">
        <v>30034982065</v>
      </c>
      <c r="C212" s="25">
        <v>50595168749</v>
      </c>
      <c r="D212" s="25">
        <v>74966417477</v>
      </c>
      <c r="E212" s="25">
        <v>155596568291</v>
      </c>
    </row>
    <row r="213" spans="1:14">
      <c r="A213" s="17" t="s">
        <v>99</v>
      </c>
      <c r="B213" s="25">
        <v>180135805</v>
      </c>
      <c r="C213" s="25">
        <v>433149104</v>
      </c>
      <c r="D213" s="25">
        <v>88293492030</v>
      </c>
      <c r="E213" s="25">
        <v>88906776939</v>
      </c>
      <c r="F213" s="30"/>
      <c r="N213" t="s">
        <v>344</v>
      </c>
    </row>
    <row r="214" spans="1:14">
      <c r="A214" s="17" t="s">
        <v>201</v>
      </c>
      <c r="B214" s="25"/>
      <c r="C214" s="25"/>
      <c r="D214" s="25">
        <v>1466749798</v>
      </c>
      <c r="E214" s="25">
        <v>1466749798</v>
      </c>
    </row>
    <row r="215" spans="1:14">
      <c r="A215" s="17" t="s">
        <v>338</v>
      </c>
      <c r="B215" s="25">
        <v>1366668</v>
      </c>
      <c r="C215" s="25">
        <v>50246368221</v>
      </c>
      <c r="D215" s="25">
        <v>77557095</v>
      </c>
      <c r="E215" s="25">
        <v>50325291984</v>
      </c>
    </row>
    <row r="216" spans="1:14">
      <c r="A216" s="17" t="s">
        <v>339</v>
      </c>
      <c r="B216" s="25">
        <v>69319225</v>
      </c>
      <c r="C216" s="25">
        <v>51756407</v>
      </c>
      <c r="D216" s="25"/>
      <c r="E216" s="25">
        <v>121075632</v>
      </c>
    </row>
    <row r="217" spans="1:14">
      <c r="A217" s="17" t="s">
        <v>340</v>
      </c>
      <c r="B217" s="25"/>
      <c r="C217" s="25"/>
      <c r="D217" s="25">
        <v>109485072</v>
      </c>
      <c r="E217" s="25">
        <v>109485072</v>
      </c>
    </row>
    <row r="218" spans="1:14">
      <c r="A218" s="17" t="s">
        <v>202</v>
      </c>
      <c r="B218" s="25">
        <v>71325444</v>
      </c>
      <c r="C218" s="25">
        <v>1172241785</v>
      </c>
      <c r="D218" s="25">
        <v>12730836</v>
      </c>
      <c r="E218" s="25">
        <v>1256298065</v>
      </c>
    </row>
    <row r="219" spans="1:14">
      <c r="A219" s="17" t="s">
        <v>341</v>
      </c>
      <c r="B219" s="25">
        <v>0</v>
      </c>
      <c r="C219" s="25"/>
      <c r="D219" s="25">
        <v>4086791502</v>
      </c>
      <c r="E219" s="25">
        <v>4086791502</v>
      </c>
    </row>
    <row r="220" spans="1:14">
      <c r="A220" s="17" t="s">
        <v>191</v>
      </c>
      <c r="B220" s="25"/>
      <c r="C220" s="25">
        <v>1476610123</v>
      </c>
      <c r="D220" s="25">
        <v>92444543198</v>
      </c>
      <c r="E220" s="25">
        <v>93921153321</v>
      </c>
    </row>
    <row r="221" spans="1:14">
      <c r="A221" s="17" t="s">
        <v>196</v>
      </c>
      <c r="B221" s="25"/>
      <c r="C221" s="25"/>
      <c r="D221" s="25">
        <v>0</v>
      </c>
      <c r="E221" s="25">
        <v>0</v>
      </c>
    </row>
    <row r="222" spans="1:14">
      <c r="A222" s="17" t="s">
        <v>194</v>
      </c>
      <c r="B222" s="25"/>
      <c r="C222" s="25"/>
      <c r="D222" s="25">
        <v>8291787</v>
      </c>
      <c r="E222" s="25">
        <v>8291787</v>
      </c>
    </row>
    <row r="223" spans="1:14">
      <c r="A223" s="17" t="s">
        <v>195</v>
      </c>
      <c r="B223" s="25"/>
      <c r="C223" s="25"/>
      <c r="D223" s="25">
        <v>1945689</v>
      </c>
      <c r="E223" s="25">
        <v>1945689</v>
      </c>
    </row>
    <row r="224" spans="1:14">
      <c r="A224" s="17" t="s">
        <v>105</v>
      </c>
      <c r="B224" s="25">
        <v>44333590528</v>
      </c>
      <c r="C224" s="25">
        <v>1721565259710</v>
      </c>
      <c r="D224" s="25">
        <v>1842215219988</v>
      </c>
      <c r="E224" s="25">
        <v>3608114070226</v>
      </c>
    </row>
    <row r="228" spans="6:6">
      <c r="F228" s="20"/>
    </row>
    <row r="232" spans="6:6" hidden="1"/>
    <row r="233" spans="6:6" hidden="1"/>
    <row r="234" spans="6:6" hidden="1"/>
    <row r="235" spans="6:6" hidden="1"/>
    <row r="236" spans="6:6" hidden="1"/>
    <row r="237" spans="6:6" hidden="1"/>
    <row r="238" spans="6:6" hidden="1"/>
    <row r="239" spans="6:6" hidden="1"/>
    <row r="240" spans="6:6"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spans="1:5" hidden="1"/>
    <row r="274" spans="1:5" hidden="1"/>
    <row r="275" spans="1:5" hidden="1"/>
    <row r="276" spans="1:5" hidden="1"/>
    <row r="277" spans="1:5" hidden="1"/>
    <row r="278" spans="1:5" hidden="1"/>
    <row r="279" spans="1:5" hidden="1"/>
    <row r="280" spans="1:5" hidden="1"/>
    <row r="281" spans="1:5" hidden="1"/>
    <row r="282" spans="1:5" hidden="1"/>
    <row r="284" spans="1:5">
      <c r="A284" s="365" t="s">
        <v>343</v>
      </c>
      <c r="B284" s="365" t="s">
        <v>291</v>
      </c>
    </row>
    <row r="285" spans="1:5">
      <c r="A285" s="365" t="s">
        <v>100</v>
      </c>
      <c r="B285" t="s">
        <v>8</v>
      </c>
      <c r="C285" t="s">
        <v>67</v>
      </c>
      <c r="D285" t="s">
        <v>10</v>
      </c>
      <c r="E285" t="s">
        <v>105</v>
      </c>
    </row>
    <row r="286" spans="1:5">
      <c r="A286" s="17" t="s">
        <v>85</v>
      </c>
      <c r="B286" s="25">
        <v>29002948</v>
      </c>
      <c r="C286" s="25">
        <v>67266331990</v>
      </c>
      <c r="D286" s="25">
        <v>538810730459</v>
      </c>
      <c r="E286" s="25">
        <v>606106065397</v>
      </c>
    </row>
    <row r="287" spans="1:5">
      <c r="A287" s="53" t="s">
        <v>307</v>
      </c>
      <c r="B287" s="25"/>
      <c r="C287" s="25"/>
      <c r="D287" s="25">
        <v>0</v>
      </c>
      <c r="E287" s="25">
        <v>0</v>
      </c>
    </row>
    <row r="288" spans="1:5">
      <c r="A288" s="53" t="s">
        <v>308</v>
      </c>
      <c r="B288" s="25">
        <v>29002948</v>
      </c>
      <c r="C288" s="25">
        <v>67266331990</v>
      </c>
      <c r="D288" s="25">
        <v>122883979384</v>
      </c>
      <c r="E288" s="25">
        <v>190179314322</v>
      </c>
    </row>
    <row r="289" spans="1:5">
      <c r="A289" s="53" t="s">
        <v>342</v>
      </c>
      <c r="B289" s="25"/>
      <c r="C289" s="25"/>
      <c r="D289" s="25">
        <v>0</v>
      </c>
      <c r="E289" s="25">
        <v>0</v>
      </c>
    </row>
    <row r="290" spans="1:5">
      <c r="A290" s="53" t="s">
        <v>310</v>
      </c>
      <c r="B290" s="25"/>
      <c r="C290" s="25">
        <v>0</v>
      </c>
      <c r="D290" s="25">
        <v>415926751075</v>
      </c>
      <c r="E290" s="25">
        <v>415926751075</v>
      </c>
    </row>
    <row r="291" spans="1:5">
      <c r="A291" s="17" t="s">
        <v>87</v>
      </c>
      <c r="B291" s="25">
        <v>13027033115</v>
      </c>
      <c r="C291" s="25">
        <v>182563435801</v>
      </c>
      <c r="D291" s="25">
        <v>233757528373</v>
      </c>
      <c r="E291" s="25">
        <v>429347997289</v>
      </c>
    </row>
    <row r="292" spans="1:5">
      <c r="A292" s="53" t="s">
        <v>308</v>
      </c>
      <c r="B292" s="25">
        <v>13027033115</v>
      </c>
      <c r="C292" s="25">
        <v>563435801</v>
      </c>
      <c r="D292" s="25">
        <v>97257528373</v>
      </c>
      <c r="E292" s="25">
        <v>110847997289</v>
      </c>
    </row>
    <row r="293" spans="1:5">
      <c r="A293" s="53" t="s">
        <v>310</v>
      </c>
      <c r="B293" s="25">
        <v>0</v>
      </c>
      <c r="C293" s="25">
        <v>182000000000</v>
      </c>
      <c r="D293" s="25">
        <v>136500000000</v>
      </c>
      <c r="E293" s="25">
        <v>318500000000</v>
      </c>
    </row>
    <row r="294" spans="1:5">
      <c r="A294" s="17" t="s">
        <v>88</v>
      </c>
      <c r="B294" s="25">
        <v>0</v>
      </c>
      <c r="C294" s="25">
        <v>4090292</v>
      </c>
      <c r="D294" s="25">
        <v>39034808656</v>
      </c>
      <c r="E294" s="25">
        <v>39038898948</v>
      </c>
    </row>
    <row r="295" spans="1:5">
      <c r="A295" s="53" t="s">
        <v>308</v>
      </c>
      <c r="B295" s="25">
        <v>0</v>
      </c>
      <c r="C295" s="25">
        <v>4090292</v>
      </c>
      <c r="D295" s="25">
        <v>20534808656</v>
      </c>
      <c r="E295" s="25">
        <v>20538898948</v>
      </c>
    </row>
    <row r="296" spans="1:5">
      <c r="A296" s="53" t="s">
        <v>310</v>
      </c>
      <c r="B296" s="25"/>
      <c r="C296" s="25"/>
      <c r="D296" s="25">
        <v>18500000000</v>
      </c>
      <c r="E296" s="25">
        <v>18500000000</v>
      </c>
    </row>
    <row r="297" spans="1:5">
      <c r="A297" s="17" t="s">
        <v>86</v>
      </c>
      <c r="B297" s="25">
        <v>90753078</v>
      </c>
      <c r="C297" s="25">
        <v>172325847</v>
      </c>
      <c r="D297" s="25">
        <v>89511324771</v>
      </c>
      <c r="E297" s="25">
        <v>89774403696</v>
      </c>
    </row>
    <row r="298" spans="1:5">
      <c r="A298" s="53" t="s">
        <v>308</v>
      </c>
      <c r="B298" s="25">
        <v>90753078</v>
      </c>
      <c r="C298" s="25">
        <v>172325847</v>
      </c>
      <c r="D298" s="25">
        <v>30989970429</v>
      </c>
      <c r="E298" s="25">
        <v>31253049354</v>
      </c>
    </row>
    <row r="299" spans="1:5">
      <c r="A299" s="53" t="s">
        <v>309</v>
      </c>
      <c r="B299" s="25"/>
      <c r="C299" s="25">
        <v>0</v>
      </c>
      <c r="D299" s="25"/>
      <c r="E299" s="25">
        <v>0</v>
      </c>
    </row>
    <row r="300" spans="1:5">
      <c r="A300" s="53" t="s">
        <v>310</v>
      </c>
      <c r="B300" s="25"/>
      <c r="C300" s="25">
        <v>0</v>
      </c>
      <c r="D300" s="25">
        <v>58521354342</v>
      </c>
      <c r="E300" s="25">
        <v>58521354342</v>
      </c>
    </row>
    <row r="301" spans="1:5">
      <c r="A301" s="17" t="s">
        <v>91</v>
      </c>
      <c r="B301" s="25">
        <v>278182659</v>
      </c>
      <c r="C301" s="25">
        <v>1145048530349</v>
      </c>
      <c r="D301" s="25">
        <v>100544394796</v>
      </c>
      <c r="E301" s="25">
        <v>1245871107804</v>
      </c>
    </row>
    <row r="302" spans="1:5">
      <c r="A302" s="53" t="s">
        <v>307</v>
      </c>
      <c r="B302" s="25">
        <v>42980577</v>
      </c>
      <c r="C302" s="25"/>
      <c r="D302" s="25"/>
      <c r="E302" s="25">
        <v>42980577</v>
      </c>
    </row>
    <row r="303" spans="1:5">
      <c r="A303" s="53" t="s">
        <v>308</v>
      </c>
      <c r="B303" s="25">
        <v>35202082</v>
      </c>
      <c r="C303" s="25">
        <v>195048530349</v>
      </c>
      <c r="D303" s="25">
        <v>60916394796</v>
      </c>
      <c r="E303" s="25">
        <v>256000127227</v>
      </c>
    </row>
    <row r="304" spans="1:5">
      <c r="A304" s="53" t="s">
        <v>310</v>
      </c>
      <c r="B304" s="25">
        <v>200000000</v>
      </c>
      <c r="C304" s="25">
        <v>950000000000</v>
      </c>
      <c r="D304" s="25">
        <v>39628000000</v>
      </c>
      <c r="E304" s="25">
        <v>989828000000</v>
      </c>
    </row>
    <row r="305" spans="1:5">
      <c r="A305" s="17" t="s">
        <v>89</v>
      </c>
      <c r="B305" s="25">
        <v>429288501</v>
      </c>
      <c r="C305" s="25">
        <v>2032290614</v>
      </c>
      <c r="D305" s="25">
        <v>135871899681</v>
      </c>
      <c r="E305" s="25">
        <v>138333478796</v>
      </c>
    </row>
    <row r="306" spans="1:5">
      <c r="A306" s="53" t="s">
        <v>308</v>
      </c>
      <c r="B306" s="25">
        <v>429288501</v>
      </c>
      <c r="C306" s="25">
        <v>2032290614</v>
      </c>
      <c r="D306" s="25">
        <v>21571899681</v>
      </c>
      <c r="E306" s="25">
        <v>24033478796</v>
      </c>
    </row>
    <row r="307" spans="1:5">
      <c r="A307" s="53" t="s">
        <v>310</v>
      </c>
      <c r="B307" s="25"/>
      <c r="C307" s="25">
        <v>0</v>
      </c>
      <c r="D307" s="25">
        <v>114300000000</v>
      </c>
      <c r="E307" s="25">
        <v>114300000000</v>
      </c>
    </row>
    <row r="308" spans="1:5">
      <c r="A308" s="17" t="s">
        <v>94</v>
      </c>
      <c r="B308" s="25"/>
      <c r="C308" s="25"/>
      <c r="D308" s="25">
        <v>32323036734</v>
      </c>
      <c r="E308" s="25">
        <v>32323036734</v>
      </c>
    </row>
    <row r="309" spans="1:5">
      <c r="A309" s="53" t="s">
        <v>308</v>
      </c>
      <c r="B309" s="25"/>
      <c r="C309" s="25"/>
      <c r="D309" s="25">
        <v>5323036734</v>
      </c>
      <c r="E309" s="25">
        <v>5323036734</v>
      </c>
    </row>
    <row r="310" spans="1:5">
      <c r="A310" s="53" t="s">
        <v>310</v>
      </c>
      <c r="B310" s="25"/>
      <c r="C310" s="25"/>
      <c r="D310" s="25">
        <v>27000000000</v>
      </c>
      <c r="E310" s="25">
        <v>27000000000</v>
      </c>
    </row>
    <row r="311" spans="1:5">
      <c r="A311" s="17" t="s">
        <v>93</v>
      </c>
      <c r="B311" s="25"/>
      <c r="C311" s="25"/>
      <c r="D311" s="25">
        <v>80571447844</v>
      </c>
      <c r="E311" s="25">
        <v>80571447844</v>
      </c>
    </row>
    <row r="312" spans="1:5">
      <c r="A312" s="53" t="s">
        <v>308</v>
      </c>
      <c r="B312" s="25"/>
      <c r="C312" s="25"/>
      <c r="D312" s="25">
        <v>7693447844</v>
      </c>
      <c r="E312" s="25">
        <v>7693447844</v>
      </c>
    </row>
    <row r="313" spans="1:5">
      <c r="A313" s="53" t="s">
        <v>310</v>
      </c>
      <c r="B313" s="25"/>
      <c r="C313" s="25"/>
      <c r="D313" s="25">
        <v>72878000000</v>
      </c>
      <c r="E313" s="25">
        <v>72878000000</v>
      </c>
    </row>
    <row r="314" spans="1:5">
      <c r="A314" s="17" t="s">
        <v>92</v>
      </c>
      <c r="B314" s="25">
        <v>38441328</v>
      </c>
      <c r="C314" s="25">
        <v>50250822489</v>
      </c>
      <c r="D314" s="25">
        <v>325806408138</v>
      </c>
      <c r="E314" s="25">
        <v>376095671955</v>
      </c>
    </row>
    <row r="315" spans="1:5">
      <c r="A315" s="53" t="s">
        <v>307</v>
      </c>
      <c r="B315" s="25"/>
      <c r="C315" s="25"/>
      <c r="D315" s="25">
        <v>1479134</v>
      </c>
      <c r="E315" s="25">
        <v>1479134</v>
      </c>
    </row>
    <row r="316" spans="1:5">
      <c r="A316" s="53" t="s">
        <v>308</v>
      </c>
      <c r="B316" s="25">
        <v>38441328</v>
      </c>
      <c r="C316" s="25">
        <v>250822489</v>
      </c>
      <c r="D316" s="25">
        <v>59689929004</v>
      </c>
      <c r="E316" s="25">
        <v>59979192821</v>
      </c>
    </row>
    <row r="317" spans="1:5">
      <c r="A317" s="53" t="s">
        <v>309</v>
      </c>
      <c r="B317" s="25"/>
      <c r="C317" s="25">
        <v>0</v>
      </c>
      <c r="D317" s="25">
        <v>0</v>
      </c>
      <c r="E317" s="25">
        <v>0</v>
      </c>
    </row>
    <row r="318" spans="1:5">
      <c r="A318" s="53" t="s">
        <v>310</v>
      </c>
      <c r="B318" s="25">
        <v>0</v>
      </c>
      <c r="C318" s="25">
        <v>50000000000</v>
      </c>
      <c r="D318" s="25">
        <v>266115000000</v>
      </c>
      <c r="E318" s="25">
        <v>316115000000</v>
      </c>
    </row>
    <row r="319" spans="1:5">
      <c r="A319" s="17" t="s">
        <v>95</v>
      </c>
      <c r="B319" s="25">
        <v>69939140</v>
      </c>
      <c r="C319" s="25">
        <v>56798256</v>
      </c>
      <c r="D319" s="25">
        <v>1365690715</v>
      </c>
      <c r="E319" s="25">
        <v>1492428111</v>
      </c>
    </row>
    <row r="320" spans="1:5">
      <c r="A320" s="53" t="s">
        <v>308</v>
      </c>
      <c r="B320" s="25">
        <v>69939140</v>
      </c>
      <c r="C320" s="25">
        <v>56798256</v>
      </c>
      <c r="D320" s="25">
        <v>1365690715</v>
      </c>
      <c r="E320" s="25">
        <v>1492428111</v>
      </c>
    </row>
    <row r="321" spans="1:5">
      <c r="A321" s="53" t="s">
        <v>310</v>
      </c>
      <c r="B321" s="25"/>
      <c r="C321" s="25"/>
      <c r="D321" s="25">
        <v>0</v>
      </c>
      <c r="E321" s="25">
        <v>0</v>
      </c>
    </row>
    <row r="322" spans="1:5">
      <c r="A322" s="17" t="s">
        <v>97</v>
      </c>
      <c r="B322" s="25"/>
      <c r="C322" s="25">
        <v>7956322</v>
      </c>
      <c r="D322" s="25"/>
      <c r="E322" s="25">
        <v>7956322</v>
      </c>
    </row>
    <row r="323" spans="1:5">
      <c r="A323" s="53" t="s">
        <v>308</v>
      </c>
      <c r="B323" s="25"/>
      <c r="C323" s="25">
        <v>7956322</v>
      </c>
      <c r="D323" s="25"/>
      <c r="E323" s="25">
        <v>7956322</v>
      </c>
    </row>
    <row r="324" spans="1:5">
      <c r="A324" s="17" t="s">
        <v>96</v>
      </c>
      <c r="B324" s="25">
        <v>13820552</v>
      </c>
      <c r="C324" s="25">
        <v>170187383361</v>
      </c>
      <c r="D324" s="25">
        <v>3149945337</v>
      </c>
      <c r="E324" s="25">
        <v>173351149250</v>
      </c>
    </row>
    <row r="325" spans="1:5">
      <c r="A325" s="53" t="s">
        <v>308</v>
      </c>
      <c r="B325" s="25">
        <v>13820552</v>
      </c>
      <c r="C325" s="25">
        <v>187383361</v>
      </c>
      <c r="D325" s="25">
        <v>549945337</v>
      </c>
      <c r="E325" s="25">
        <v>751149250</v>
      </c>
    </row>
    <row r="326" spans="1:5">
      <c r="A326" s="53" t="s">
        <v>310</v>
      </c>
      <c r="B326" s="25"/>
      <c r="C326" s="25">
        <v>170000000000</v>
      </c>
      <c r="D326" s="25">
        <v>2600000000</v>
      </c>
      <c r="E326" s="25">
        <v>172600000000</v>
      </c>
    </row>
    <row r="327" spans="1:5">
      <c r="A327" s="17" t="s">
        <v>98</v>
      </c>
      <c r="B327" s="25">
        <v>30034982065</v>
      </c>
      <c r="C327" s="25">
        <v>50595168749</v>
      </c>
      <c r="D327" s="25">
        <v>74966417477</v>
      </c>
      <c r="E327" s="25">
        <v>155596568291</v>
      </c>
    </row>
    <row r="328" spans="1:5">
      <c r="A328" s="53" t="s">
        <v>308</v>
      </c>
      <c r="B328" s="25">
        <v>34982065</v>
      </c>
      <c r="C328" s="25">
        <v>595168749</v>
      </c>
      <c r="D328" s="25">
        <v>12666999051</v>
      </c>
      <c r="E328" s="25">
        <v>13297149865</v>
      </c>
    </row>
    <row r="329" spans="1:5">
      <c r="A329" s="53" t="s">
        <v>309</v>
      </c>
      <c r="B329" s="25"/>
      <c r="C329" s="25"/>
      <c r="D329" s="25">
        <v>0</v>
      </c>
      <c r="E329" s="25">
        <v>0</v>
      </c>
    </row>
    <row r="330" spans="1:5">
      <c r="A330" s="53" t="s">
        <v>311</v>
      </c>
      <c r="B330" s="25"/>
      <c r="C330" s="25"/>
      <c r="D330" s="25">
        <v>166320315</v>
      </c>
      <c r="E330" s="25">
        <v>166320315</v>
      </c>
    </row>
    <row r="331" spans="1:5">
      <c r="A331" s="53" t="s">
        <v>310</v>
      </c>
      <c r="B331" s="25">
        <v>30000000000</v>
      </c>
      <c r="C331" s="25">
        <v>50000000000</v>
      </c>
      <c r="D331" s="25">
        <v>62133098111</v>
      </c>
      <c r="E331" s="25">
        <v>142133098111</v>
      </c>
    </row>
    <row r="332" spans="1:5">
      <c r="A332" s="17" t="s">
        <v>99</v>
      </c>
      <c r="B332" s="25">
        <v>180135805</v>
      </c>
      <c r="C332" s="25">
        <v>433149104</v>
      </c>
      <c r="D332" s="25">
        <v>88293492030</v>
      </c>
      <c r="E332" s="25">
        <v>88906776939</v>
      </c>
    </row>
    <row r="333" spans="1:5">
      <c r="A333" s="53" t="s">
        <v>308</v>
      </c>
      <c r="B333" s="25">
        <v>180135805</v>
      </c>
      <c r="C333" s="25">
        <v>433149104</v>
      </c>
      <c r="D333" s="25">
        <v>54893492030</v>
      </c>
      <c r="E333" s="25">
        <v>55506776939</v>
      </c>
    </row>
    <row r="334" spans="1:5">
      <c r="A334" s="53" t="s">
        <v>310</v>
      </c>
      <c r="B334" s="25"/>
      <c r="C334" s="25"/>
      <c r="D334" s="25">
        <v>33400000000</v>
      </c>
      <c r="E334" s="25">
        <v>33400000000</v>
      </c>
    </row>
    <row r="335" spans="1:5">
      <c r="A335" s="17" t="s">
        <v>201</v>
      </c>
      <c r="B335" s="25"/>
      <c r="C335" s="25"/>
      <c r="D335" s="25">
        <v>1466749798</v>
      </c>
      <c r="E335" s="25">
        <v>1466749798</v>
      </c>
    </row>
    <row r="336" spans="1:5">
      <c r="A336" s="53" t="s">
        <v>307</v>
      </c>
      <c r="B336" s="25"/>
      <c r="C336" s="25"/>
      <c r="D336" s="25">
        <v>0</v>
      </c>
      <c r="E336" s="25">
        <v>0</v>
      </c>
    </row>
    <row r="337" spans="1:5">
      <c r="A337" s="53" t="s">
        <v>308</v>
      </c>
      <c r="B337" s="25"/>
      <c r="C337" s="25"/>
      <c r="D337" s="25">
        <v>1466749798</v>
      </c>
      <c r="E337" s="25">
        <v>1466749798</v>
      </c>
    </row>
    <row r="338" spans="1:5">
      <c r="A338" s="53" t="s">
        <v>342</v>
      </c>
      <c r="B338" s="25"/>
      <c r="C338" s="25"/>
      <c r="D338" s="25">
        <v>0</v>
      </c>
      <c r="E338" s="25">
        <v>0</v>
      </c>
    </row>
    <row r="339" spans="1:5">
      <c r="A339" s="17" t="s">
        <v>338</v>
      </c>
      <c r="B339" s="25">
        <v>1366668</v>
      </c>
      <c r="C339" s="25">
        <v>50246368221</v>
      </c>
      <c r="D339" s="25">
        <v>77557095</v>
      </c>
      <c r="E339" s="25">
        <v>50325291984</v>
      </c>
    </row>
    <row r="340" spans="1:5">
      <c r="A340" s="53" t="s">
        <v>308</v>
      </c>
      <c r="B340" s="25">
        <v>1366668</v>
      </c>
      <c r="C340" s="25">
        <v>246368221</v>
      </c>
      <c r="D340" s="25">
        <v>77557095</v>
      </c>
      <c r="E340" s="25">
        <v>325291984</v>
      </c>
    </row>
    <row r="341" spans="1:5">
      <c r="A341" s="53" t="s">
        <v>310</v>
      </c>
      <c r="B341" s="25"/>
      <c r="C341" s="25">
        <v>50000000000</v>
      </c>
      <c r="D341" s="25"/>
      <c r="E341" s="25">
        <v>50000000000</v>
      </c>
    </row>
    <row r="342" spans="1:5">
      <c r="A342" s="17" t="s">
        <v>339</v>
      </c>
      <c r="B342" s="25">
        <v>69319225</v>
      </c>
      <c r="C342" s="25">
        <v>51756407</v>
      </c>
      <c r="D342" s="25"/>
      <c r="E342" s="25">
        <v>121075632</v>
      </c>
    </row>
    <row r="343" spans="1:5">
      <c r="A343" s="53" t="s">
        <v>308</v>
      </c>
      <c r="B343" s="25">
        <v>69319225</v>
      </c>
      <c r="C343" s="25">
        <v>51756407</v>
      </c>
      <c r="D343" s="25"/>
      <c r="E343" s="25">
        <v>121075632</v>
      </c>
    </row>
    <row r="344" spans="1:5">
      <c r="A344" s="17" t="s">
        <v>340</v>
      </c>
      <c r="B344" s="25"/>
      <c r="C344" s="25"/>
      <c r="D344" s="25">
        <v>109485072</v>
      </c>
      <c r="E344" s="25">
        <v>109485072</v>
      </c>
    </row>
    <row r="345" spans="1:5">
      <c r="A345" s="53" t="s">
        <v>308</v>
      </c>
      <c r="B345" s="25"/>
      <c r="C345" s="25"/>
      <c r="D345" s="25">
        <v>109485072</v>
      </c>
      <c r="E345" s="25">
        <v>109485072</v>
      </c>
    </row>
    <row r="346" spans="1:5">
      <c r="A346" s="17" t="s">
        <v>202</v>
      </c>
      <c r="B346" s="25">
        <v>71325444</v>
      </c>
      <c r="C346" s="25">
        <v>1172241785</v>
      </c>
      <c r="D346" s="25">
        <v>12730836</v>
      </c>
      <c r="E346" s="25">
        <v>1256298065</v>
      </c>
    </row>
    <row r="347" spans="1:5">
      <c r="A347" s="53" t="s">
        <v>307</v>
      </c>
      <c r="B347" s="25"/>
      <c r="C347" s="25"/>
      <c r="D347" s="25">
        <v>0</v>
      </c>
      <c r="E347" s="25">
        <v>0</v>
      </c>
    </row>
    <row r="348" spans="1:5">
      <c r="A348" s="53" t="s">
        <v>308</v>
      </c>
      <c r="B348" s="25">
        <v>71325444</v>
      </c>
      <c r="C348" s="25">
        <v>1172241785</v>
      </c>
      <c r="D348" s="25">
        <v>12730836</v>
      </c>
      <c r="E348" s="25">
        <v>1256298065</v>
      </c>
    </row>
    <row r="349" spans="1:5">
      <c r="A349" s="53" t="s">
        <v>309</v>
      </c>
      <c r="B349" s="25"/>
      <c r="C349" s="25">
        <v>0</v>
      </c>
      <c r="D349" s="25">
        <v>0</v>
      </c>
      <c r="E349" s="25">
        <v>0</v>
      </c>
    </row>
    <row r="350" spans="1:5">
      <c r="A350" s="53" t="s">
        <v>311</v>
      </c>
      <c r="B350" s="25"/>
      <c r="C350" s="25">
        <v>0</v>
      </c>
      <c r="D350" s="25"/>
      <c r="E350" s="25">
        <v>0</v>
      </c>
    </row>
    <row r="351" spans="1:5">
      <c r="A351" s="17" t="s">
        <v>341</v>
      </c>
      <c r="B351" s="25">
        <v>0</v>
      </c>
      <c r="C351" s="25"/>
      <c r="D351" s="25">
        <v>4086791502</v>
      </c>
      <c r="E351" s="25">
        <v>4086791502</v>
      </c>
    </row>
    <row r="352" spans="1:5">
      <c r="A352" s="53" t="s">
        <v>308</v>
      </c>
      <c r="B352" s="25">
        <v>0</v>
      </c>
      <c r="C352" s="25"/>
      <c r="D352" s="25">
        <v>86791502</v>
      </c>
      <c r="E352" s="25">
        <v>86791502</v>
      </c>
    </row>
    <row r="353" spans="1:5">
      <c r="A353" s="53" t="s">
        <v>310</v>
      </c>
      <c r="B353" s="25"/>
      <c r="C353" s="25"/>
      <c r="D353" s="25">
        <v>4000000000</v>
      </c>
      <c r="E353" s="25">
        <v>4000000000</v>
      </c>
    </row>
    <row r="354" spans="1:5">
      <c r="A354" s="17" t="s">
        <v>191</v>
      </c>
      <c r="B354" s="25"/>
      <c r="C354" s="25">
        <v>1476610123</v>
      </c>
      <c r="D354" s="25">
        <v>92444543198</v>
      </c>
      <c r="E354" s="25">
        <v>93921153321</v>
      </c>
    </row>
    <row r="355" spans="1:5">
      <c r="A355" s="53" t="s">
        <v>308</v>
      </c>
      <c r="B355" s="25"/>
      <c r="C355" s="25">
        <v>1476610123</v>
      </c>
      <c r="D355" s="25">
        <v>9547689198</v>
      </c>
      <c r="E355" s="25">
        <v>11024299321</v>
      </c>
    </row>
    <row r="356" spans="1:5">
      <c r="A356" s="53" t="s">
        <v>310</v>
      </c>
      <c r="B356" s="25"/>
      <c r="C356" s="25">
        <v>0</v>
      </c>
      <c r="D356" s="25">
        <v>82896854000</v>
      </c>
      <c r="E356" s="25">
        <v>82896854000</v>
      </c>
    </row>
    <row r="357" spans="1:5">
      <c r="A357" s="17" t="s">
        <v>196</v>
      </c>
      <c r="B357" s="25"/>
      <c r="C357" s="25"/>
      <c r="D357" s="25">
        <v>0</v>
      </c>
      <c r="E357" s="25">
        <v>0</v>
      </c>
    </row>
    <row r="358" spans="1:5">
      <c r="A358" s="53" t="s">
        <v>308</v>
      </c>
      <c r="B358" s="25"/>
      <c r="C358" s="25"/>
      <c r="D358" s="25">
        <v>0</v>
      </c>
      <c r="E358" s="25">
        <v>0</v>
      </c>
    </row>
    <row r="359" spans="1:5">
      <c r="A359" s="17" t="s">
        <v>194</v>
      </c>
      <c r="B359" s="25"/>
      <c r="C359" s="25"/>
      <c r="D359" s="25">
        <v>8291787</v>
      </c>
      <c r="E359" s="25">
        <v>8291787</v>
      </c>
    </row>
    <row r="360" spans="1:5">
      <c r="A360" s="53" t="s">
        <v>308</v>
      </c>
      <c r="B360" s="25"/>
      <c r="C360" s="25"/>
      <c r="D360" s="25">
        <v>8291787</v>
      </c>
      <c r="E360" s="25">
        <v>8291787</v>
      </c>
    </row>
    <row r="361" spans="1:5">
      <c r="A361" s="17" t="s">
        <v>195</v>
      </c>
      <c r="B361" s="25"/>
      <c r="C361" s="25"/>
      <c r="D361" s="25">
        <v>1945689</v>
      </c>
      <c r="E361" s="25">
        <v>1945689</v>
      </c>
    </row>
    <row r="362" spans="1:5">
      <c r="A362" s="53" t="s">
        <v>308</v>
      </c>
      <c r="B362" s="25"/>
      <c r="C362" s="25"/>
      <c r="D362" s="25">
        <v>1945689</v>
      </c>
      <c r="E362" s="25">
        <v>1945689</v>
      </c>
    </row>
    <row r="363" spans="1:5">
      <c r="A363" s="17" t="s">
        <v>105</v>
      </c>
      <c r="B363" s="25">
        <v>44333590528</v>
      </c>
      <c r="C363" s="25">
        <v>1721565259710</v>
      </c>
      <c r="D363" s="25">
        <v>1842215219988</v>
      </c>
      <c r="E363" s="25">
        <v>3608114070226</v>
      </c>
    </row>
  </sheetData>
  <pageMargins left="0.7" right="0.7" top="0.75" bottom="0.75" header="0.3" footer="0.3"/>
  <pageSetup paperSize="9" orientation="portrait" r:id="rId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6D9DB-648D-4DA9-8421-52C62FB8E834}">
  <sheetPr codeName="Sheet9">
    <tabColor theme="9" tint="0.39997558519241921"/>
  </sheetPr>
  <dimension ref="A1:XFD200"/>
  <sheetViews>
    <sheetView showGridLines="0" topLeftCell="G12" zoomScale="83" zoomScaleNormal="83" workbookViewId="0">
      <selection activeCell="AB17" sqref="AB17"/>
    </sheetView>
  </sheetViews>
  <sheetFormatPr defaultColWidth="8.5546875" defaultRowHeight="14.4"/>
  <cols>
    <col min="1" max="2" width="11.44140625" style="7" customWidth="1"/>
    <col min="3" max="3" width="16.5546875" style="2" customWidth="1"/>
    <col min="4" max="4" width="12" style="7" customWidth="1"/>
    <col min="5" max="5" width="17.44140625" style="7" customWidth="1"/>
    <col min="6" max="6" width="35.5546875" style="2" customWidth="1"/>
    <col min="7" max="7" width="15.44140625" style="2" customWidth="1"/>
    <col min="8" max="8" width="19" style="45" customWidth="1"/>
    <col min="9" max="9" width="14.5546875" style="45" customWidth="1"/>
    <col min="10" max="12" width="11" style="45" customWidth="1"/>
    <col min="13" max="13" width="9.44140625" style="7" hidden="1" customWidth="1"/>
    <col min="14" max="14" width="18.44140625" style="7" hidden="1" customWidth="1"/>
    <col min="15" max="15" width="16.44140625" style="7" hidden="1" customWidth="1"/>
    <col min="16" max="16" width="17.44140625" style="7" hidden="1" customWidth="1"/>
    <col min="17" max="17" width="19.5546875" style="7" hidden="1" customWidth="1"/>
    <col min="18" max="18" width="17.5546875" style="7" hidden="1" customWidth="1"/>
    <col min="19" max="19" width="18.44140625" style="7" hidden="1" customWidth="1"/>
    <col min="20" max="20" width="3.44140625" customWidth="1"/>
    <col min="21" max="21" width="2.44140625" style="124" customWidth="1"/>
    <col min="22" max="22" width="2.5546875" style="2" customWidth="1"/>
    <col min="23" max="23" width="9" style="2" customWidth="1"/>
    <col min="24" max="24" width="11.5546875" style="2" bestFit="1" customWidth="1"/>
    <col min="25" max="25" width="17.5546875" style="2" bestFit="1" customWidth="1"/>
    <col min="26" max="26" width="16.44140625" style="2" customWidth="1"/>
    <col min="27" max="27" width="16.5546875" style="31" customWidth="1"/>
    <col min="28" max="28" width="34.44140625" style="2" customWidth="1"/>
    <col min="29" max="29" width="14.44140625" style="2" customWidth="1"/>
    <col min="30" max="30" width="23" style="2" bestFit="1" customWidth="1"/>
    <col min="31" max="31" width="23.44140625" style="2" customWidth="1"/>
    <col min="32" max="32" width="12.44140625" style="2" customWidth="1"/>
    <col min="33" max="33" width="14.44140625" style="2" customWidth="1"/>
    <col min="34" max="34" width="3.44140625" customWidth="1"/>
    <col min="35" max="35" width="2.44140625" style="124" customWidth="1"/>
    <col min="36" max="37" width="8.5546875" style="2" hidden="1" customWidth="1"/>
    <col min="38" max="39" width="11.5546875" style="2" hidden="1" customWidth="1"/>
    <col min="40" max="40" width="15.5546875" style="2" hidden="1" customWidth="1"/>
    <col min="41" max="41" width="8.5546875" style="2" hidden="1" customWidth="1"/>
    <col min="42" max="42" width="16.5546875" style="2" hidden="1" customWidth="1"/>
    <col min="43" max="43" width="31.44140625" style="2" hidden="1" customWidth="1"/>
    <col min="44" max="44" width="19.5546875" style="2" hidden="1" customWidth="1"/>
    <col min="45" max="45" width="20.44140625" style="2" hidden="1" customWidth="1"/>
    <col min="46" max="46" width="21.5546875" style="2" hidden="1" customWidth="1"/>
    <col min="47" max="47" width="8.5546875" style="2" hidden="1" customWidth="1"/>
    <col min="48" max="48" width="10" style="2" hidden="1" customWidth="1"/>
    <col min="49" max="16384" width="8.5546875" style="2"/>
  </cols>
  <sheetData>
    <row r="1" spans="1:48" ht="34.5" customHeight="1">
      <c r="A1" s="120" t="s">
        <v>345</v>
      </c>
      <c r="B1" s="48"/>
      <c r="C1" s="121"/>
      <c r="D1" s="48"/>
      <c r="E1" s="48"/>
      <c r="F1" s="121"/>
      <c r="G1" s="121"/>
      <c r="H1" s="122"/>
      <c r="I1" s="122"/>
      <c r="J1" s="122"/>
      <c r="K1" s="122"/>
      <c r="L1" s="122"/>
      <c r="M1" s="48"/>
      <c r="N1" s="48"/>
      <c r="O1" s="48"/>
      <c r="P1" s="48"/>
      <c r="Q1" s="48"/>
      <c r="R1" s="48"/>
      <c r="S1" s="48"/>
      <c r="T1" s="103"/>
      <c r="U1" s="123"/>
      <c r="V1" s="121"/>
      <c r="W1" s="120" t="s">
        <v>346</v>
      </c>
      <c r="AA1" s="2"/>
      <c r="AH1" s="103"/>
      <c r="AI1" s="123"/>
    </row>
    <row r="2" spans="1:48" ht="13.35" customHeight="1" thickBot="1">
      <c r="A2" s="120"/>
      <c r="B2" s="48"/>
      <c r="C2" s="474" t="s">
        <v>347</v>
      </c>
      <c r="D2" s="475"/>
      <c r="E2" s="476"/>
      <c r="F2" s="474" t="s">
        <v>348</v>
      </c>
      <c r="H2" s="474" t="s">
        <v>349</v>
      </c>
      <c r="I2" s="122"/>
      <c r="L2" s="122"/>
      <c r="M2" s="48"/>
      <c r="N2" s="48"/>
      <c r="O2" s="48"/>
      <c r="P2" s="48"/>
      <c r="Q2" s="48"/>
      <c r="R2" s="48"/>
      <c r="S2" s="48"/>
      <c r="T2" s="103"/>
      <c r="U2" s="123"/>
      <c r="V2" s="121"/>
      <c r="W2" s="120"/>
      <c r="Y2" s="474" t="s">
        <v>350</v>
      </c>
      <c r="Z2" s="475"/>
      <c r="AA2" s="476"/>
      <c r="AB2" s="474" t="s">
        <v>351</v>
      </c>
      <c r="AD2" s="474" t="s">
        <v>352</v>
      </c>
      <c r="AH2" s="103"/>
      <c r="AI2" s="123"/>
    </row>
    <row r="3" spans="1:48" s="129" customFormat="1" ht="27.6">
      <c r="A3" s="126"/>
      <c r="B3" s="130" t="s">
        <v>80</v>
      </c>
      <c r="C3" s="64" t="s">
        <v>353</v>
      </c>
      <c r="D3" s="388"/>
      <c r="E3" s="157" t="s">
        <v>81</v>
      </c>
      <c r="F3" s="64" t="s">
        <v>354</v>
      </c>
      <c r="H3" s="470" t="s">
        <v>355</v>
      </c>
      <c r="I3" s="52"/>
      <c r="L3" s="52"/>
      <c r="M3" s="51"/>
      <c r="N3" s="51"/>
      <c r="O3" s="51"/>
      <c r="P3" s="51"/>
      <c r="Q3" s="51"/>
      <c r="R3" s="51"/>
      <c r="S3" s="51"/>
      <c r="T3" s="127"/>
      <c r="U3" s="128"/>
      <c r="V3" s="46"/>
      <c r="W3" s="126"/>
      <c r="X3" s="367" t="s">
        <v>80</v>
      </c>
      <c r="Y3" s="481" t="s">
        <v>356</v>
      </c>
      <c r="Z3" s="389"/>
      <c r="AA3" s="367" t="s">
        <v>81</v>
      </c>
      <c r="AB3" s="481" t="s">
        <v>357</v>
      </c>
      <c r="AD3" s="482" t="s">
        <v>358</v>
      </c>
      <c r="AE3" s="389"/>
      <c r="AH3" s="127"/>
      <c r="AI3" s="128"/>
    </row>
    <row r="4" spans="1:48" s="129" customFormat="1">
      <c r="A4" s="126"/>
      <c r="B4" s="132" t="s">
        <v>359</v>
      </c>
      <c r="C4" s="143">
        <f>SUMIFS($C$15:$C$139,$K$15:$K$139,$B4,$J$15:$J$139,"PLANNED",$D$15:$D$139,$B$3)</f>
        <v>243856187675</v>
      </c>
      <c r="D4" s="142"/>
      <c r="E4" s="132" t="s">
        <v>359</v>
      </c>
      <c r="F4" s="143">
        <f>SUMIFS($C$15:$C$139,$K$15:$K$139,$B4,$J$15:$J$139,"PLANNED",$D$15:$D$139,$E$3,$G$15:$G$139,"W*")</f>
        <v>0</v>
      </c>
      <c r="H4" s="471">
        <f>C4/Fx_rate+F4</f>
        <v>9316377.7526265513</v>
      </c>
      <c r="I4" s="52"/>
      <c r="L4" s="52"/>
      <c r="M4" s="51"/>
      <c r="N4" s="51"/>
      <c r="O4" s="51"/>
      <c r="P4" s="51"/>
      <c r="Q4" s="51"/>
      <c r="R4" s="51"/>
      <c r="S4" s="51"/>
      <c r="T4" s="127"/>
      <c r="U4" s="128"/>
      <c r="V4" s="46"/>
      <c r="W4" s="126"/>
      <c r="X4" s="144" t="s">
        <v>8</v>
      </c>
      <c r="Y4" s="146">
        <f>SUMIFS($Y$15:$Y$199,$AG$15:$AG$199,$X4&amp;"*",$AF$15:$AF$199,"PLANNED",$Z$15:$Z$199,$X$3)</f>
        <v>25024065387</v>
      </c>
      <c r="Z4" s="145"/>
      <c r="AA4" s="144" t="s">
        <v>8</v>
      </c>
      <c r="AB4" s="146">
        <f>SUMIFS($Y$15:$Y$199,$AG$15:$AG$199,$X4&amp;"*",$AF$15:$AF$199,"PLANNED",$Z$15:$Z$199,$AA$3,$AC$15:$AC$199,"W*")</f>
        <v>0</v>
      </c>
      <c r="AD4" s="471">
        <f>Y4/Fx_rate+AB4</f>
        <v>956029.24114613177</v>
      </c>
      <c r="AE4" s="145"/>
      <c r="AH4" s="127"/>
      <c r="AI4" s="128"/>
    </row>
    <row r="5" spans="1:48" s="129" customFormat="1">
      <c r="A5" s="126"/>
      <c r="B5" s="132" t="s">
        <v>360</v>
      </c>
      <c r="C5" s="143">
        <f>SUMIFS($C$15:$C$139,$K$15:$K$139,$B5,$J$15:$J$139,"PLANNED",$D$15:$D$139,$B$3)</f>
        <v>134864432522</v>
      </c>
      <c r="D5" s="142"/>
      <c r="E5" s="132" t="s">
        <v>360</v>
      </c>
      <c r="F5" s="143">
        <f>SUMIFS($C$15:$C$139,$K$15:$K$139,$B5,$J$15:$J$139,"PLANNED",$D$15:$D$139,$E$3,$G$15:$G$139,"W*")</f>
        <v>2996506.7</v>
      </c>
      <c r="H5" s="471">
        <f>C5/Fx_rate+F5</f>
        <v>8148920.549933143</v>
      </c>
      <c r="I5" s="52"/>
      <c r="L5" s="52"/>
      <c r="M5" s="51"/>
      <c r="N5" s="51"/>
      <c r="O5" s="51"/>
      <c r="P5" s="51"/>
      <c r="Q5" s="51"/>
      <c r="R5" s="51"/>
      <c r="S5" s="51"/>
      <c r="T5" s="127"/>
      <c r="U5" s="128"/>
      <c r="V5" s="46"/>
      <c r="W5" s="126"/>
      <c r="X5" s="144" t="s">
        <v>67</v>
      </c>
      <c r="Y5" s="146">
        <f>SUMIFS($Y$15:$Y$199,$AG$15:$AG$199,$X5&amp;"*",$AF$15:$AF$199,"PLANNED",$Z$15:$Z$199,$X$3)</f>
        <v>1024275000000</v>
      </c>
      <c r="Z5" s="145"/>
      <c r="AA5" s="144" t="s">
        <v>67</v>
      </c>
      <c r="AB5" s="146">
        <f>SUMIFS($Y$15:$Y$199,$AG$15:$AG$199,$X5&amp;"*",$AF$15:$AF$199,"PLANNED",$Z$15:$Z$199,$AA$3,$AC$15:$AC$199,"W*")</f>
        <v>0</v>
      </c>
      <c r="AD5" s="483">
        <f>Y5/Fx_rate+AB5</f>
        <v>39131805.157593124</v>
      </c>
      <c r="AE5" s="145"/>
      <c r="AH5" s="127"/>
      <c r="AI5" s="128"/>
    </row>
    <row r="6" spans="1:48" s="129" customFormat="1">
      <c r="A6" s="126"/>
      <c r="B6" s="468" t="s">
        <v>361</v>
      </c>
      <c r="C6" s="469">
        <f>SUMIFS($C$15:$C$139,$K$15:$K$139,$B6,$J$15:$J$139,"PLANNED",$D$15:$D$139,$B$3)</f>
        <v>431132389718</v>
      </c>
      <c r="D6" s="142"/>
      <c r="E6" s="468" t="s">
        <v>361</v>
      </c>
      <c r="F6" s="469">
        <f>SUMIFS($C$15:$C$139,$K$15:$K$139,$B6,$J$15:$J$139,"PLANNED",$D$15:$D$139,$E$3,$G$15:$G$139,"W*")</f>
        <v>0</v>
      </c>
      <c r="H6" s="472">
        <f>C6/Fx_rate+F6</f>
        <v>16471151.469646608</v>
      </c>
      <c r="I6" s="52"/>
      <c r="L6" s="52"/>
      <c r="M6" s="51"/>
      <c r="N6" s="51"/>
      <c r="O6" s="51"/>
      <c r="P6" s="51"/>
      <c r="Q6" s="51"/>
      <c r="R6" s="51"/>
      <c r="S6" s="51"/>
      <c r="T6" s="127"/>
      <c r="U6" s="128"/>
      <c r="V6" s="46"/>
      <c r="W6" s="126"/>
      <c r="X6" s="144" t="s">
        <v>10</v>
      </c>
      <c r="Y6" s="146">
        <f>SUMIFS($Y$15:$Y$199,$AG$15:$AG$199,$X6&amp;"*",$AF$15:$AF$199,"PLANNED",$Z$15:$Z$199,$X$3)</f>
        <v>351320924150</v>
      </c>
      <c r="Z6" s="145"/>
      <c r="AA6" s="144" t="s">
        <v>10</v>
      </c>
      <c r="AB6" s="146">
        <f>SUMIFS($Y$15:$Y$199,$AG$15:$AG$199,$X6&amp;"*",$AF$15:$AF$199,"PLANNED",$Z$15:$Z$199,$AA$3,$AC$15:$AC$199,"W*")</f>
        <v>0</v>
      </c>
      <c r="AD6" s="483">
        <f>Y6/Fx_rate+AB6</f>
        <v>13422002.832855778</v>
      </c>
      <c r="AE6" s="145"/>
      <c r="AH6" s="127"/>
      <c r="AI6" s="128"/>
    </row>
    <row r="7" spans="1:48" s="129" customFormat="1">
      <c r="A7" s="126"/>
      <c r="B7" s="468" t="s">
        <v>47</v>
      </c>
      <c r="C7" s="469">
        <f>SUMIFS($C$15:$C$139,$K$15:$K$139,$B7,$J$15:$J$139,"PLANNED",$D$15:$D$139,$B$3)</f>
        <v>0</v>
      </c>
      <c r="D7" s="142"/>
      <c r="E7" s="468" t="s">
        <v>47</v>
      </c>
      <c r="F7" s="469">
        <f>SUMIFS($C$15:$C$139,$K$15:$K$139,$B7,$J$15:$J$139,"PLANNED",$D$15:$D$139,$E$3,$G$15:$G$139,"W*")</f>
        <v>0</v>
      </c>
      <c r="H7" s="472">
        <f>C7/Fx_rate+F7</f>
        <v>0</v>
      </c>
      <c r="I7" s="52"/>
      <c r="L7" s="52"/>
      <c r="M7" s="51"/>
      <c r="N7" s="51"/>
      <c r="O7" s="51"/>
      <c r="P7" s="51"/>
      <c r="Q7" s="51"/>
      <c r="R7" s="51"/>
      <c r="S7" s="51"/>
      <c r="T7" s="127"/>
      <c r="U7" s="128"/>
      <c r="V7" s="46"/>
      <c r="W7" s="126"/>
      <c r="X7" s="144"/>
      <c r="Y7" s="146"/>
      <c r="Z7" s="145"/>
      <c r="AA7" s="144"/>
      <c r="AB7" s="146"/>
      <c r="AD7" s="483">
        <f>Y7/Fx_rate+AB7</f>
        <v>0</v>
      </c>
      <c r="AE7" s="145"/>
      <c r="AH7" s="127"/>
      <c r="AI7" s="128"/>
    </row>
    <row r="8" spans="1:48" s="129" customFormat="1" ht="15" thickBot="1">
      <c r="A8" s="126"/>
      <c r="B8" s="479" t="s">
        <v>36</v>
      </c>
      <c r="C8" s="480">
        <f>SUM(C4:C7)</f>
        <v>809853009915</v>
      </c>
      <c r="D8" s="339"/>
      <c r="E8" s="479" t="s">
        <v>36</v>
      </c>
      <c r="F8" s="480">
        <f>SUM(F4:F7)</f>
        <v>2996506.7</v>
      </c>
      <c r="H8" s="473">
        <f>SUM(H4:H7)</f>
        <v>33936449.772206306</v>
      </c>
      <c r="I8" s="339" t="s">
        <v>36</v>
      </c>
      <c r="L8" s="52"/>
      <c r="M8" s="51"/>
      <c r="N8" s="51"/>
      <c r="O8" s="51"/>
      <c r="P8" s="51"/>
      <c r="Q8" s="51"/>
      <c r="R8" s="51"/>
      <c r="S8" s="51"/>
      <c r="T8" s="127"/>
      <c r="U8" s="128"/>
      <c r="V8" s="46"/>
      <c r="W8" s="126"/>
      <c r="X8" s="639" t="s">
        <v>36</v>
      </c>
      <c r="Y8" s="640">
        <f>SUM(Y4:Y6)</f>
        <v>1400619989537</v>
      </c>
      <c r="Z8" s="641"/>
      <c r="AA8" s="639" t="s">
        <v>36</v>
      </c>
      <c r="AB8" s="640">
        <f>SUM(AB4:AB6)</f>
        <v>0</v>
      </c>
      <c r="AC8" s="642"/>
      <c r="AD8" s="643">
        <f>Y8/Fx_rate+AB8</f>
        <v>53509837.231595032</v>
      </c>
      <c r="AE8" s="145"/>
      <c r="AH8" s="127"/>
      <c r="AI8" s="128"/>
    </row>
    <row r="9" spans="1:48" s="129" customFormat="1">
      <c r="A9" s="126"/>
      <c r="B9" s="467"/>
      <c r="C9" s="339"/>
      <c r="D9" s="339"/>
      <c r="G9" s="464"/>
      <c r="H9" s="478">
        <f>H8-H6</f>
        <v>17465298.302559696</v>
      </c>
      <c r="I9" s="477" t="s">
        <v>362</v>
      </c>
      <c r="L9" s="52"/>
      <c r="M9" s="51"/>
      <c r="N9" s="51"/>
      <c r="O9" s="51"/>
      <c r="P9" s="51"/>
      <c r="Q9" s="51"/>
      <c r="R9" s="51"/>
      <c r="S9" s="51"/>
      <c r="T9" s="127"/>
      <c r="U9" s="128"/>
      <c r="V9" s="46"/>
      <c r="W9" s="126"/>
      <c r="X9" s="340"/>
      <c r="Y9" s="145"/>
      <c r="Z9" s="145"/>
      <c r="AH9" s="127"/>
      <c r="AI9" s="128"/>
    </row>
    <row r="10" spans="1:48" s="129" customFormat="1">
      <c r="A10" s="126"/>
      <c r="B10" s="338"/>
      <c r="C10" s="339"/>
      <c r="D10" s="339"/>
      <c r="G10" s="46"/>
      <c r="H10" s="478">
        <f>H9-H7</f>
        <v>17465298.302559696</v>
      </c>
      <c r="I10" s="477" t="s">
        <v>363</v>
      </c>
      <c r="L10" s="52"/>
      <c r="M10" s="51"/>
      <c r="N10" s="51"/>
      <c r="O10" s="51"/>
      <c r="P10" s="51"/>
      <c r="Q10" s="51"/>
      <c r="R10" s="51"/>
      <c r="S10" s="51"/>
      <c r="T10" s="127"/>
      <c r="U10" s="128"/>
      <c r="V10" s="46"/>
      <c r="W10" s="126"/>
      <c r="X10" s="340"/>
      <c r="Y10" s="145"/>
      <c r="Z10" s="145"/>
      <c r="AD10" s="644"/>
      <c r="AH10" s="127"/>
      <c r="AI10" s="128"/>
    </row>
    <row r="11" spans="1:48" s="129" customFormat="1">
      <c r="A11" s="126"/>
      <c r="B11" s="338"/>
      <c r="C11" s="339"/>
      <c r="D11" s="339"/>
      <c r="G11" s="902"/>
      <c r="H11" s="52"/>
      <c r="I11" s="52"/>
      <c r="J11" s="52"/>
      <c r="K11" s="52"/>
      <c r="L11" s="52"/>
      <c r="M11" s="51"/>
      <c r="N11" s="51"/>
      <c r="O11" s="51"/>
      <c r="P11" s="51"/>
      <c r="Q11" s="51"/>
      <c r="R11" s="51"/>
      <c r="S11" s="51"/>
      <c r="T11" s="127"/>
      <c r="U11" s="128"/>
      <c r="V11" s="46"/>
      <c r="W11" s="126"/>
      <c r="X11" s="340"/>
      <c r="Y11" s="145"/>
      <c r="Z11" s="145"/>
      <c r="AH11" s="127"/>
      <c r="AI11" s="128"/>
    </row>
    <row r="12" spans="1:48" ht="18">
      <c r="A12" s="120"/>
      <c r="B12" s="48"/>
      <c r="C12" s="465"/>
      <c r="D12" s="48"/>
      <c r="E12" s="48"/>
      <c r="F12" s="685"/>
      <c r="G12" s="903"/>
      <c r="H12" s="122"/>
      <c r="I12" s="122"/>
      <c r="J12" s="122"/>
      <c r="K12" s="122"/>
      <c r="L12" s="122"/>
      <c r="M12" s="48"/>
      <c r="N12" s="48"/>
      <c r="O12" s="48"/>
      <c r="P12" s="48"/>
      <c r="Q12" s="48"/>
      <c r="R12" s="48"/>
      <c r="S12" s="48"/>
      <c r="T12" s="103"/>
      <c r="U12" s="123"/>
      <c r="V12" s="121"/>
      <c r="W12" s="120"/>
      <c r="Y12" s="31"/>
      <c r="AA12" s="824"/>
      <c r="AH12" s="103"/>
      <c r="AI12" s="123"/>
      <c r="AK12" s="845" t="s">
        <v>64</v>
      </c>
    </row>
    <row r="13" spans="1:48" ht="14.85" customHeight="1">
      <c r="A13" s="120"/>
      <c r="B13" s="48"/>
      <c r="C13" s="465"/>
      <c r="D13" s="466"/>
      <c r="E13" s="465">
        <f>SUBTOTAL(9,Table9[VND equivalent])</f>
        <v>888286572787.5</v>
      </c>
      <c r="F13" s="868">
        <f>E13/Fx</f>
        <v>33936449.772206306</v>
      </c>
      <c r="G13" s="121"/>
      <c r="H13" s="122"/>
      <c r="I13" s="122"/>
      <c r="J13" s="122"/>
      <c r="K13" s="122"/>
      <c r="L13" s="122"/>
      <c r="M13" s="48"/>
      <c r="N13" s="48"/>
      <c r="O13" s="48"/>
      <c r="P13" s="48"/>
      <c r="Q13" s="48"/>
      <c r="R13" s="48"/>
      <c r="S13" s="48"/>
      <c r="T13" s="103"/>
      <c r="U13" s="123"/>
      <c r="V13" s="121"/>
      <c r="W13" s="120"/>
      <c r="Y13" s="31"/>
      <c r="AH13" s="103"/>
      <c r="AI13" s="123"/>
      <c r="AN13" s="847">
        <f>SUBTOTAL(9,AN15:AN26)</f>
        <v>0</v>
      </c>
      <c r="AO13" s="129"/>
      <c r="AP13" s="847">
        <f>SUBTOTAL(9,AP15:AP26)</f>
        <v>0</v>
      </c>
      <c r="AQ13" s="879">
        <f>AP13/Fx</f>
        <v>0</v>
      </c>
    </row>
    <row r="14" spans="1:48" ht="37.5" customHeight="1">
      <c r="A14" s="679" t="s">
        <v>364</v>
      </c>
      <c r="B14" s="949" t="s">
        <v>128</v>
      </c>
      <c r="C14" s="949" t="s">
        <v>365</v>
      </c>
      <c r="D14" s="949" t="s">
        <v>366</v>
      </c>
      <c r="E14" s="949" t="s">
        <v>367</v>
      </c>
      <c r="F14" s="949" t="s">
        <v>271</v>
      </c>
      <c r="G14" s="949" t="s">
        <v>368</v>
      </c>
      <c r="H14" s="949" t="s">
        <v>369</v>
      </c>
      <c r="I14" s="949" t="s">
        <v>370</v>
      </c>
      <c r="J14" s="949" t="s">
        <v>371</v>
      </c>
      <c r="K14" s="949" t="s">
        <v>372</v>
      </c>
      <c r="L14" s="949" t="s">
        <v>373</v>
      </c>
      <c r="M14" s="341" t="s">
        <v>374</v>
      </c>
      <c r="N14" s="341" t="s">
        <v>375</v>
      </c>
      <c r="O14" s="341" t="s">
        <v>376</v>
      </c>
      <c r="P14" s="341" t="s">
        <v>377</v>
      </c>
      <c r="Q14" s="341" t="s">
        <v>378</v>
      </c>
      <c r="R14" s="341" t="s">
        <v>379</v>
      </c>
      <c r="S14" s="341" t="s">
        <v>380</v>
      </c>
      <c r="W14" s="350" t="s">
        <v>364</v>
      </c>
      <c r="X14" s="351" t="s">
        <v>128</v>
      </c>
      <c r="Y14" s="351" t="s">
        <v>365</v>
      </c>
      <c r="Z14" s="352" t="s">
        <v>366</v>
      </c>
      <c r="AA14" s="351" t="s">
        <v>367</v>
      </c>
      <c r="AB14" s="351" t="s">
        <v>271</v>
      </c>
      <c r="AC14" s="352" t="s">
        <v>381</v>
      </c>
      <c r="AD14" s="351" t="s">
        <v>382</v>
      </c>
      <c r="AE14" s="351" t="s">
        <v>370</v>
      </c>
      <c r="AF14" s="351" t="s">
        <v>371</v>
      </c>
      <c r="AG14" s="352" t="s">
        <v>383</v>
      </c>
      <c r="AK14" s="350" t="s">
        <v>364</v>
      </c>
      <c r="AL14" s="351" t="s">
        <v>128</v>
      </c>
      <c r="AM14" s="352" t="s">
        <v>384</v>
      </c>
      <c r="AN14" s="351" t="s">
        <v>365</v>
      </c>
      <c r="AO14" s="352" t="s">
        <v>366</v>
      </c>
      <c r="AP14" s="351" t="s">
        <v>367</v>
      </c>
      <c r="AQ14" s="351" t="s">
        <v>271</v>
      </c>
      <c r="AR14" s="352" t="s">
        <v>385</v>
      </c>
      <c r="AS14" s="351" t="s">
        <v>382</v>
      </c>
      <c r="AT14" s="351" t="s">
        <v>370</v>
      </c>
      <c r="AU14" s="351" t="s">
        <v>371</v>
      </c>
      <c r="AV14" s="353" t="s">
        <v>383</v>
      </c>
    </row>
    <row r="15" spans="1:48" ht="24.6" customHeight="1">
      <c r="A15" s="653">
        <v>1</v>
      </c>
      <c r="B15" s="950" t="s">
        <v>386</v>
      </c>
      <c r="C15" s="951">
        <v>77364438293</v>
      </c>
      <c r="D15" s="952" t="s">
        <v>80</v>
      </c>
      <c r="E15" s="891">
        <f t="shared" ref="E15" si="0">IF(D15="VND",C15,C15*Fx_rate)</f>
        <v>77364438293</v>
      </c>
      <c r="F15" s="953" t="s">
        <v>387</v>
      </c>
      <c r="G15" s="954" t="s">
        <v>275</v>
      </c>
      <c r="H15" s="955" t="s">
        <v>21</v>
      </c>
      <c r="I15" s="955" t="str" cm="1">
        <f t="array" ref="I15">IF(ISBLANK(Table9[[#This Row],[Sub_type]]),"",_xlfn.XLOOKUP(Table9[[#This Row],[Sub_type]],Table5[[#All],[Key payment - receipt]],Table5[[#All],[Category]],"recheck",0))</f>
        <v>Deal payment</v>
      </c>
      <c r="J15" s="820" t="s">
        <v>388</v>
      </c>
      <c r="K15" s="956" t="s">
        <v>359</v>
      </c>
      <c r="L15" s="893" t="str">
        <f>IF(ISBLANK(Table9[[#This Row],[Source]]),"",IF(K15="SHL","VC3",IF(B15="BWD","BWID JSC",IF(B15="VC3","VC3","Subsidiaries"))))</f>
        <v>VC3</v>
      </c>
      <c r="M15" s="950"/>
      <c r="N15" s="957"/>
      <c r="O15" s="950" t="str">
        <f>IF($N15="","",_xlfn.XLOOKUP($N15,Table2[Account No.],Table2[CODE],"recheck",0))</f>
        <v/>
      </c>
      <c r="P15" s="950" t="str">
        <f>IF($N15="","",_xlfn.XLOOKUP($N15,Table2[Account No.],Table2[BRANCH],"recheck",0))</f>
        <v/>
      </c>
      <c r="Q15" s="957"/>
      <c r="R15" s="950" t="str">
        <f>IF($Q15="","",_xlfn.XLOOKUP($Q15,Table2[Account No.],Table2[CODE],"out of group",0))</f>
        <v/>
      </c>
      <c r="S15" s="950" t="str">
        <f>IF($Q15="","",_xlfn.XLOOKUP($Q15,Table2[Account No.],Table2[BRANCH],"out of group",0))</f>
        <v/>
      </c>
      <c r="W15" s="653">
        <v>1</v>
      </c>
      <c r="X15" s="950" t="s">
        <v>389</v>
      </c>
      <c r="Y15" s="958">
        <f>25024065387*60%</f>
        <v>15014439232.199999</v>
      </c>
      <c r="Z15" s="950" t="s">
        <v>80</v>
      </c>
      <c r="AA15" s="959">
        <f t="shared" ref="AA15:AA21" si="1">IF(Z15="VND",Y15,Y15*Fx_rate)</f>
        <v>15014439232.199999</v>
      </c>
      <c r="AB15" s="953" t="s">
        <v>390</v>
      </c>
      <c r="AC15" s="954" t="s">
        <v>274</v>
      </c>
      <c r="AD15" s="955" t="s">
        <v>140</v>
      </c>
      <c r="AE15" s="955" t="str" cm="1">
        <f t="array" ref="AE15">IF(ISBLANK(Table10[[#This Row],[Sub_Type]]),"",_xlfn.XLOOKUP(Table10[[#This Row],[Sub_Type]],Table5[[#All],[Key payment - receipt]],Table5[[#All],[Category]],"recheck",0))</f>
        <v>Receipt from tenants</v>
      </c>
      <c r="AF15" s="955" t="s">
        <v>388</v>
      </c>
      <c r="AG15" s="952" t="str" cm="1">
        <f t="array" ref="AG15">IF(ISBLANK(Table10[[#This Row],[Entity]]),"",_xlfn.XLOOKUP(Table10[[#This Row],[Entity]],Table1[[#All],[Abb.]],Table1[[#All],[Name]],"recheck",0))</f>
        <v>BWID JSC</v>
      </c>
      <c r="AK15" s="839">
        <v>1</v>
      </c>
      <c r="AL15" s="960"/>
      <c r="AM15" s="961" t="s">
        <v>67</v>
      </c>
      <c r="AN15" s="962"/>
      <c r="AO15" s="963" t="s">
        <v>80</v>
      </c>
      <c r="AP15" s="964">
        <f>IF(AO15="VND",AN15,AN15*Fx_rate)</f>
        <v>0</v>
      </c>
      <c r="AQ15" s="965"/>
      <c r="AR15" s="954" t="s">
        <v>391</v>
      </c>
      <c r="AS15" s="966"/>
      <c r="AT15" s="967" t="s">
        <v>64</v>
      </c>
      <c r="AU15" s="967" t="s">
        <v>388</v>
      </c>
      <c r="AV15" s="840" t="s">
        <v>10</v>
      </c>
    </row>
    <row r="16" spans="1:48" ht="24.6" customHeight="1">
      <c r="A16" s="653">
        <f>A15+1</f>
        <v>2</v>
      </c>
      <c r="B16" s="950" t="s">
        <v>386</v>
      </c>
      <c r="C16" s="951">
        <v>25535371711</v>
      </c>
      <c r="D16" s="952" t="s">
        <v>80</v>
      </c>
      <c r="E16" s="891">
        <f t="shared" ref="E16:E23" si="2">IF(D16="VND",C16,C16*Fx_rate)</f>
        <v>25535371711</v>
      </c>
      <c r="F16" s="953" t="s">
        <v>392</v>
      </c>
      <c r="G16" s="954" t="s">
        <v>276</v>
      </c>
      <c r="H16" s="955" t="s">
        <v>21</v>
      </c>
      <c r="I16" s="955" t="str" cm="1">
        <f t="array" ref="I16">IF(ISBLANK(Table9[[#This Row],[Sub_type]]),"",_xlfn.XLOOKUP(Table9[[#This Row],[Sub_type]],Table5[[#All],[Key payment - receipt]],Table5[[#All],[Category]],"recheck",0))</f>
        <v>Deal payment</v>
      </c>
      <c r="J16" s="820" t="s">
        <v>388</v>
      </c>
      <c r="K16" s="956" t="s">
        <v>359</v>
      </c>
      <c r="L16" s="893" t="str">
        <f>IF(ISBLANK(Table9[[#This Row],[Source]]),"",IF(K16="SHL","VC3",IF(B16="BWD","BWID JSC",IF(B16="VC3","VC3","Subsidiaries"))))</f>
        <v>VC3</v>
      </c>
      <c r="M16" s="950"/>
      <c r="N16" s="957"/>
      <c r="O16" s="950"/>
      <c r="P16" s="950"/>
      <c r="Q16" s="957"/>
      <c r="R16" s="950"/>
      <c r="S16" s="950"/>
      <c r="W16" s="653">
        <f>W15+1</f>
        <v>2</v>
      </c>
      <c r="X16" s="950" t="s">
        <v>389</v>
      </c>
      <c r="Y16" s="958">
        <f>25024065387*40%</f>
        <v>10009626154.800001</v>
      </c>
      <c r="Z16" s="950" t="s">
        <v>80</v>
      </c>
      <c r="AA16" s="959">
        <f t="shared" si="1"/>
        <v>10009626154.800001</v>
      </c>
      <c r="AB16" s="953" t="s">
        <v>390</v>
      </c>
      <c r="AC16" s="954" t="s">
        <v>276</v>
      </c>
      <c r="AD16" s="955" t="s">
        <v>140</v>
      </c>
      <c r="AE16" s="955" t="str" cm="1">
        <f t="array" ref="AE16">IF(ISBLANK(Table10[[#This Row],[Sub_Type]]),"",_xlfn.XLOOKUP(Table10[[#This Row],[Sub_Type]],Table5[[#All],[Key payment - receipt]],Table5[[#All],[Category]],"recheck",0))</f>
        <v>Receipt from tenants</v>
      </c>
      <c r="AF16" s="955" t="s">
        <v>388</v>
      </c>
      <c r="AG16" s="952" t="str" cm="1">
        <f t="array" ref="AG16">IF(ISBLANK(Table10[[#This Row],[Entity]]),"",_xlfn.XLOOKUP(Table10[[#This Row],[Entity]],Table1[[#All],[Abb.]],Table1[[#All],[Name]],"recheck",0))</f>
        <v>BWID JSC</v>
      </c>
      <c r="AK16" s="653">
        <f>AK15+1</f>
        <v>2</v>
      </c>
      <c r="AL16" s="961"/>
      <c r="AM16" s="961" t="s">
        <v>67</v>
      </c>
      <c r="AN16" s="968"/>
      <c r="AO16" s="963" t="s">
        <v>80</v>
      </c>
      <c r="AP16" s="964">
        <f>IF(AO16="VND",AN16,AN16*Fx_rate)</f>
        <v>0</v>
      </c>
      <c r="AQ16" s="969"/>
      <c r="AR16" s="970" t="s">
        <v>391</v>
      </c>
      <c r="AS16" s="966"/>
      <c r="AT16" s="967" t="s">
        <v>64</v>
      </c>
      <c r="AU16" s="967" t="s">
        <v>388</v>
      </c>
      <c r="AV16" s="840" t="s">
        <v>10</v>
      </c>
    </row>
    <row r="17" spans="1:48" ht="28.35" customHeight="1">
      <c r="A17" s="653">
        <f t="shared" ref="A17:A64" si="3">A16+1</f>
        <v>3</v>
      </c>
      <c r="B17" s="950" t="s">
        <v>67</v>
      </c>
      <c r="C17" s="971">
        <v>1130200.8</v>
      </c>
      <c r="D17" s="952" t="s">
        <v>81</v>
      </c>
      <c r="E17" s="891">
        <f t="shared" ref="E17" si="4">IF(D17="VND",C17,C17*Fx_rate)</f>
        <v>29583005940</v>
      </c>
      <c r="F17" s="953" t="s">
        <v>393</v>
      </c>
      <c r="G17" s="954" t="s">
        <v>275</v>
      </c>
      <c r="H17" s="955" t="s">
        <v>55</v>
      </c>
      <c r="I17" s="955" t="str" cm="1">
        <f t="array" ref="I17">IF(ISBLANK(Table9[[#This Row],[Sub_type]]),"",_xlfn.XLOOKUP(Table9[[#This Row],[Sub_type]],Table5[[#All],[Key payment - receipt]],Table5[[#All],[Category]],"recheck",0))</f>
        <v>Loan interest</v>
      </c>
      <c r="J17" s="820" t="s">
        <v>388</v>
      </c>
      <c r="K17" s="972" t="s">
        <v>360</v>
      </c>
      <c r="L17" s="893" t="str">
        <f>IF(ISBLANK(Table9[[#This Row],[Source]]),"",IF(K17="SHL","VC3",IF(B17="BWD","BWID JSC",IF(B17="VC3","VC3","Subsidiaries"))))</f>
        <v>VC3</v>
      </c>
      <c r="M17" s="950"/>
      <c r="N17" s="957"/>
      <c r="O17" s="950" t="str">
        <f>IF($N17="","",_xlfn.XLOOKUP($N17,Acc_Char!$B$2:$B$515,Acc_Char!$C$2:$C$515,"recheck",0))</f>
        <v/>
      </c>
      <c r="P17" s="950" t="str">
        <f>IF($N17="","",_xlfn.XLOOKUP($N17,Acc_Char!$B$2:$B$515,Acc_Char!$I$2:$I$515,"recheck",0))</f>
        <v/>
      </c>
      <c r="Q17" s="957"/>
      <c r="R17" s="950" t="str">
        <f>IF($Q17="","",_xlfn.XLOOKUP($Q17,Acc_Char!$B$2:$B$515,Acc_Char!$C$2:$C$515,"out of group",0))</f>
        <v/>
      </c>
      <c r="S17" s="950" t="str">
        <f>IF($Q17="","",_xlfn.XLOOKUP($Q17,Acc_Char!$B$2:$B$515,Acc_Char!$I$2:$I$515,"out of group",0))</f>
        <v/>
      </c>
      <c r="W17" s="653">
        <f t="shared" ref="W17:W29" si="5">W16+1</f>
        <v>3</v>
      </c>
      <c r="X17" s="950" t="s">
        <v>10</v>
      </c>
      <c r="Y17" s="973">
        <f>340620924150*50%</f>
        <v>170310462075</v>
      </c>
      <c r="Z17" s="950" t="s">
        <v>80</v>
      </c>
      <c r="AA17" s="959">
        <f t="shared" si="1"/>
        <v>170310462075</v>
      </c>
      <c r="AB17" s="953" t="s">
        <v>390</v>
      </c>
      <c r="AC17" s="954" t="s">
        <v>273</v>
      </c>
      <c r="AD17" s="955" t="s">
        <v>140</v>
      </c>
      <c r="AE17" s="955" t="str" cm="1">
        <f t="array" ref="AE17">IF(ISBLANK(Table10[[#This Row],[Sub_Type]]),"",_xlfn.XLOOKUP(Table10[[#This Row],[Sub_Type]],Table5[[#All],[Key payment - receipt]],Table5[[#All],[Category]],"recheck",0))</f>
        <v>Receipt from tenants</v>
      </c>
      <c r="AF17" s="955" t="s">
        <v>388</v>
      </c>
      <c r="AG17" s="955" t="s">
        <v>10</v>
      </c>
      <c r="AK17" s="839">
        <f t="shared" ref="AK17:AK23" si="6">AK16+1</f>
        <v>3</v>
      </c>
      <c r="AL17" s="960"/>
      <c r="AM17" s="960"/>
      <c r="AN17" s="962"/>
      <c r="AO17" s="963"/>
      <c r="AP17" s="964"/>
      <c r="AQ17" s="965"/>
      <c r="AR17" s="954"/>
      <c r="AS17" s="966"/>
      <c r="AT17" s="967"/>
      <c r="AU17" s="966"/>
      <c r="AV17" s="840"/>
    </row>
    <row r="18" spans="1:48">
      <c r="A18" s="653">
        <f t="shared" si="3"/>
        <v>4</v>
      </c>
      <c r="B18" s="950" t="s">
        <v>67</v>
      </c>
      <c r="C18" s="971">
        <v>1322305.8999999999</v>
      </c>
      <c r="D18" s="952" t="s">
        <v>81</v>
      </c>
      <c r="E18" s="891">
        <f t="shared" si="2"/>
        <v>34611356932.5</v>
      </c>
      <c r="F18" s="953" t="s">
        <v>394</v>
      </c>
      <c r="G18" s="954" t="s">
        <v>276</v>
      </c>
      <c r="H18" s="955" t="s">
        <v>395</v>
      </c>
      <c r="I18" s="955" t="str" cm="1">
        <f t="array" ref="I18">IF(ISBLANK(Table9[[#This Row],[Sub_type]]),"",_xlfn.XLOOKUP(Table9[[#This Row],[Sub_type]],Table5[[#All],[Key payment - receipt]],Table5[[#All],[Category]],"recheck",0))</f>
        <v>Operating expense</v>
      </c>
      <c r="J18" s="820" t="s">
        <v>388</v>
      </c>
      <c r="K18" s="972" t="s">
        <v>360</v>
      </c>
      <c r="L18" s="893" t="str">
        <f>IF(ISBLANK(Table9[[#This Row],[Source]]),"",IF(K18="SHL","VC3",IF(B18="BWD","BWID JSC",IF(B18="VC3","VC3","Subsidiaries"))))</f>
        <v>VC3</v>
      </c>
      <c r="M18" s="950"/>
      <c r="N18" s="957"/>
      <c r="O18" s="950"/>
      <c r="P18" s="950"/>
      <c r="Q18" s="957"/>
      <c r="R18" s="950"/>
      <c r="S18" s="950"/>
      <c r="W18" s="653">
        <f t="shared" si="5"/>
        <v>4</v>
      </c>
      <c r="X18" s="950" t="s">
        <v>10</v>
      </c>
      <c r="Y18" s="973">
        <f>340620924150*30%</f>
        <v>102186277245</v>
      </c>
      <c r="Z18" s="950" t="s">
        <v>80</v>
      </c>
      <c r="AA18" s="959">
        <f t="shared" si="1"/>
        <v>102186277245</v>
      </c>
      <c r="AB18" s="953" t="s">
        <v>390</v>
      </c>
      <c r="AC18" s="954" t="s">
        <v>275</v>
      </c>
      <c r="AD18" s="955" t="s">
        <v>140</v>
      </c>
      <c r="AE18" s="955" t="str" cm="1">
        <f t="array" ref="AE18">IF(ISBLANK(Table10[[#This Row],[Sub_Type]]),"",_xlfn.XLOOKUP(Table10[[#This Row],[Sub_Type]],Table5[[#All],[Key payment - receipt]],Table5[[#All],[Category]],"recheck",0))</f>
        <v>Receipt from tenants</v>
      </c>
      <c r="AF18" s="955" t="s">
        <v>388</v>
      </c>
      <c r="AG18" s="955" t="s">
        <v>10</v>
      </c>
      <c r="AK18" s="653">
        <f t="shared" si="6"/>
        <v>4</v>
      </c>
      <c r="AL18" s="961"/>
      <c r="AM18" s="961"/>
      <c r="AN18" s="968"/>
      <c r="AO18" s="952"/>
      <c r="AP18" s="974"/>
      <c r="AQ18" s="969"/>
      <c r="AR18" s="954"/>
      <c r="AS18" s="967"/>
      <c r="AT18" s="967"/>
      <c r="AU18" s="967"/>
      <c r="AV18" s="840"/>
    </row>
    <row r="19" spans="1:48" ht="27" customHeight="1">
      <c r="A19" s="653">
        <f t="shared" si="3"/>
        <v>5</v>
      </c>
      <c r="B19" s="950" t="s">
        <v>67</v>
      </c>
      <c r="C19" s="951">
        <v>1600000000</v>
      </c>
      <c r="D19" s="952" t="s">
        <v>80</v>
      </c>
      <c r="E19" s="891">
        <f t="shared" ref="E19" si="7">IF(D19="VND",C19,C19*Fx_rate)</f>
        <v>1600000000</v>
      </c>
      <c r="F19" s="953" t="s">
        <v>396</v>
      </c>
      <c r="G19" s="954" t="s">
        <v>276</v>
      </c>
      <c r="H19" s="955" t="s">
        <v>397</v>
      </c>
      <c r="I19" s="955" t="str" cm="1">
        <f t="array" ref="I19">IF(ISBLANK(Table9[[#This Row],[Sub_type]]),"",_xlfn.XLOOKUP(Table9[[#This Row],[Sub_type]],Table5[[#All],[Key payment - receipt]],Table5[[#All],[Category]],"recheck",0))</f>
        <v>Operating expense</v>
      </c>
      <c r="J19" s="820" t="s">
        <v>388</v>
      </c>
      <c r="K19" s="972" t="s">
        <v>360</v>
      </c>
      <c r="L19" s="893" t="str">
        <f>IF(ISBLANK(Table9[[#This Row],[Source]]),"",IF(K19="SHL","VC3",IF(B19="BWD","BWID JSC",IF(B19="VC3","VC3","Subsidiaries"))))</f>
        <v>VC3</v>
      </c>
      <c r="M19" s="950"/>
      <c r="N19" s="957"/>
      <c r="O19" s="950"/>
      <c r="P19" s="950"/>
      <c r="Q19" s="957"/>
      <c r="R19" s="950"/>
      <c r="S19" s="950"/>
      <c r="W19" s="653">
        <f t="shared" si="5"/>
        <v>5</v>
      </c>
      <c r="X19" s="950" t="s">
        <v>10</v>
      </c>
      <c r="Y19" s="973">
        <f>340620924150*20%</f>
        <v>68124184830</v>
      </c>
      <c r="Z19" s="950" t="s">
        <v>80</v>
      </c>
      <c r="AA19" s="959">
        <f t="shared" si="1"/>
        <v>68124184830</v>
      </c>
      <c r="AB19" s="953" t="s">
        <v>390</v>
      </c>
      <c r="AC19" s="954" t="s">
        <v>276</v>
      </c>
      <c r="AD19" s="955" t="s">
        <v>140</v>
      </c>
      <c r="AE19" s="955" t="str" cm="1">
        <f t="array" ref="AE19">IF(ISBLANK(Table10[[#This Row],[Sub_Type]]),"",_xlfn.XLOOKUP(Table10[[#This Row],[Sub_Type]],Table5[[#All],[Key payment - receipt]],Table5[[#All],[Category]],"recheck",0))</f>
        <v>Receipt from tenants</v>
      </c>
      <c r="AF19" s="955" t="s">
        <v>388</v>
      </c>
      <c r="AG19" s="955" t="s">
        <v>10</v>
      </c>
      <c r="AK19" s="839">
        <f t="shared" si="6"/>
        <v>5</v>
      </c>
      <c r="AL19" s="960"/>
      <c r="AM19" s="960"/>
      <c r="AN19" s="962"/>
      <c r="AO19" s="963"/>
      <c r="AP19" s="964"/>
      <c r="AQ19" s="965"/>
      <c r="AR19" s="970"/>
      <c r="AS19" s="966"/>
      <c r="AT19" s="967"/>
      <c r="AU19" s="966"/>
      <c r="AV19" s="840"/>
    </row>
    <row r="20" spans="1:48">
      <c r="A20" s="653">
        <f t="shared" si="3"/>
        <v>6</v>
      </c>
      <c r="B20" s="950" t="s">
        <v>67</v>
      </c>
      <c r="C20" s="951">
        <v>3000000000</v>
      </c>
      <c r="D20" s="952" t="s">
        <v>80</v>
      </c>
      <c r="E20" s="891">
        <f t="shared" si="2"/>
        <v>3000000000</v>
      </c>
      <c r="F20" s="953" t="s">
        <v>398</v>
      </c>
      <c r="G20" s="954" t="s">
        <v>276</v>
      </c>
      <c r="H20" s="955" t="s">
        <v>397</v>
      </c>
      <c r="I20" s="955" t="str" cm="1">
        <f t="array" ref="I20">IF(ISBLANK(Table9[[#This Row],[Sub_type]]),"",_xlfn.XLOOKUP(Table9[[#This Row],[Sub_type]],Table5[[#All],[Key payment - receipt]],Table5[[#All],[Category]],"recheck",0))</f>
        <v>Operating expense</v>
      </c>
      <c r="J20" s="820" t="s">
        <v>388</v>
      </c>
      <c r="K20" s="972" t="s">
        <v>360</v>
      </c>
      <c r="L20" s="893" t="str">
        <f>IF(ISBLANK(Table9[[#This Row],[Source]]),"",IF(K20="SHL","VC3",IF(B20="BWD","BWID JSC",IF(B20="VC3","VC3","Subsidiaries"))))</f>
        <v>VC3</v>
      </c>
      <c r="M20" s="950"/>
      <c r="N20" s="957"/>
      <c r="O20" s="950"/>
      <c r="P20" s="950"/>
      <c r="Q20" s="957"/>
      <c r="R20" s="950"/>
      <c r="S20" s="950"/>
      <c r="W20" s="653">
        <f t="shared" si="5"/>
        <v>6</v>
      </c>
      <c r="X20" s="950" t="s">
        <v>67</v>
      </c>
      <c r="Y20" s="973">
        <v>1006875000000</v>
      </c>
      <c r="Z20" s="950" t="s">
        <v>80</v>
      </c>
      <c r="AA20" s="959">
        <f t="shared" si="1"/>
        <v>1006875000000</v>
      </c>
      <c r="AB20" s="953" t="s">
        <v>399</v>
      </c>
      <c r="AC20" s="954" t="s">
        <v>275</v>
      </c>
      <c r="AD20" s="955" t="s">
        <v>42</v>
      </c>
      <c r="AE20" s="955" t="str" cm="1">
        <f t="array" ref="AE20">IF(ISBLANK(Table10[[#This Row],[Sub_Type]]),"",_xlfn.XLOOKUP(Table10[[#This Row],[Sub_Type]],Table5[[#All],[Key payment - receipt]],Table5[[#All],[Category]],"recheck",0))</f>
        <v>Refinancing</v>
      </c>
      <c r="AF20" s="955" t="s">
        <v>388</v>
      </c>
      <c r="AG20" s="952" t="str" cm="1">
        <f t="array" ref="AG20">IF(ISBLANK(Table10[[#This Row],[Entity]]),"",_xlfn.XLOOKUP(Table10[[#This Row],[Entity]],Table1[[#All],[Abb.]],Table1[[#All],[Name]],"recheck",0))</f>
        <v>VC3</v>
      </c>
      <c r="AK20" s="653">
        <f t="shared" si="6"/>
        <v>6</v>
      </c>
      <c r="AL20" s="961"/>
      <c r="AM20" s="961"/>
      <c r="AN20" s="968"/>
      <c r="AO20" s="952"/>
      <c r="AP20" s="974"/>
      <c r="AQ20" s="969"/>
      <c r="AR20" s="954"/>
      <c r="AS20" s="967"/>
      <c r="AT20" s="967"/>
      <c r="AU20" s="967"/>
      <c r="AV20" s="840"/>
    </row>
    <row r="21" spans="1:48" ht="26.1" customHeight="1">
      <c r="A21" s="653">
        <f t="shared" si="3"/>
        <v>7</v>
      </c>
      <c r="B21" s="950" t="s">
        <v>67</v>
      </c>
      <c r="C21" s="951">
        <v>13000000000</v>
      </c>
      <c r="D21" s="952" t="s">
        <v>80</v>
      </c>
      <c r="E21" s="891">
        <f t="shared" si="2"/>
        <v>13000000000</v>
      </c>
      <c r="F21" s="953" t="s">
        <v>400</v>
      </c>
      <c r="G21" s="954" t="s">
        <v>276</v>
      </c>
      <c r="H21" s="955" t="s">
        <v>401</v>
      </c>
      <c r="I21" s="955" t="str" cm="1">
        <f t="array" ref="I21">IF(ISBLANK(Table9[[#This Row],[Sub_type]]),"",_xlfn.XLOOKUP(Table9[[#This Row],[Sub_type]],Table5[[#All],[Key payment - receipt]],Table5[[#All],[Category]],"recheck",0))</f>
        <v>Operating expense</v>
      </c>
      <c r="J21" s="820" t="s">
        <v>388</v>
      </c>
      <c r="K21" s="972" t="s">
        <v>360</v>
      </c>
      <c r="L21" s="893" t="str">
        <f>IF(ISBLANK(Table9[[#This Row],[Source]]),"",IF(K21="SHL","VC3",IF(B21="BWD","BWID JSC",IF(B21="VC3","VC3","Subsidiaries"))))</f>
        <v>VC3</v>
      </c>
      <c r="M21" s="950"/>
      <c r="N21" s="957"/>
      <c r="O21" s="950"/>
      <c r="P21" s="950"/>
      <c r="Q21" s="957"/>
      <c r="R21" s="950"/>
      <c r="S21" s="950"/>
      <c r="W21" s="653">
        <f t="shared" si="5"/>
        <v>7</v>
      </c>
      <c r="X21" s="950" t="s">
        <v>402</v>
      </c>
      <c r="Y21" s="973">
        <v>10700000000</v>
      </c>
      <c r="Z21" s="950" t="s">
        <v>80</v>
      </c>
      <c r="AA21" s="959">
        <f t="shared" si="1"/>
        <v>10700000000</v>
      </c>
      <c r="AB21" s="953" t="s">
        <v>43</v>
      </c>
      <c r="AC21" s="954" t="s">
        <v>274</v>
      </c>
      <c r="AD21" s="955" t="s">
        <v>43</v>
      </c>
      <c r="AE21" s="955" t="str" cm="1">
        <f t="array" ref="AE21">IF(ISBLANK(Table10[[#This Row],[Sub_Type]]),"",_xlfn.XLOOKUP(Table10[[#This Row],[Sub_Type]],Table5[[#All],[Key payment - receipt]],Table5[[#All],[Category]],"recheck",0))</f>
        <v>VAT refund</v>
      </c>
      <c r="AF21" s="955" t="s">
        <v>388</v>
      </c>
      <c r="AG21" s="952" t="str" cm="1">
        <f t="array" ref="AG21">IF(ISBLANK(Table10[[#This Row],[Entity]]),"",_xlfn.XLOOKUP(Table10[[#This Row],[Entity]],Table1[[#All],[Abb.]],Table1[[#All],[Name]],"recheck",0))</f>
        <v>Subsidiaries</v>
      </c>
      <c r="AK21" s="839">
        <f t="shared" si="6"/>
        <v>7</v>
      </c>
      <c r="AL21" s="960"/>
      <c r="AM21" s="960"/>
      <c r="AN21" s="962"/>
      <c r="AO21" s="963"/>
      <c r="AP21" s="964"/>
      <c r="AQ21" s="965"/>
      <c r="AR21" s="970"/>
      <c r="AS21" s="966"/>
      <c r="AT21" s="967"/>
      <c r="AU21" s="966"/>
      <c r="AV21" s="840"/>
    </row>
    <row r="22" spans="1:48" ht="26.4">
      <c r="A22" s="653">
        <f t="shared" si="3"/>
        <v>8</v>
      </c>
      <c r="B22" s="950" t="s">
        <v>403</v>
      </c>
      <c r="C22" s="951">
        <v>15000000000</v>
      </c>
      <c r="D22" s="952" t="s">
        <v>80</v>
      </c>
      <c r="E22" s="891">
        <f t="shared" si="2"/>
        <v>15000000000</v>
      </c>
      <c r="F22" s="892" t="s">
        <v>404</v>
      </c>
      <c r="G22" s="954" t="s">
        <v>275</v>
      </c>
      <c r="H22" s="955" t="s">
        <v>405</v>
      </c>
      <c r="I22" s="955" t="str" cm="1">
        <f t="array" ref="I22">IF(ISBLANK(Table9[[#This Row],[Sub_type]]),"",_xlfn.XLOOKUP(Table9[[#This Row],[Sub_type]],Table5[[#All],[Key payment - receipt]],Table5[[#All],[Category]],"recheck",0))</f>
        <v>Loan repayment</v>
      </c>
      <c r="J22" s="820" t="s">
        <v>388</v>
      </c>
      <c r="K22" s="956" t="s">
        <v>359</v>
      </c>
      <c r="L22" s="893" t="str">
        <f>IF(ISBLANK(Table9[[#This Row],[Source]]),"",IF(K22="SHL","VC3",IF(B22="BWD","BWID JSC",IF(B22="VC3","VC3","Subsidiaries"))))</f>
        <v>VC3</v>
      </c>
      <c r="M22" s="950"/>
      <c r="N22" s="957"/>
      <c r="O22" s="950"/>
      <c r="P22" s="950"/>
      <c r="Q22" s="957"/>
      <c r="R22" s="950"/>
      <c r="S22" s="950"/>
      <c r="W22" s="653">
        <f t="shared" si="5"/>
        <v>8</v>
      </c>
      <c r="X22" s="950" t="s">
        <v>67</v>
      </c>
      <c r="Y22" s="973">
        <v>17400000000</v>
      </c>
      <c r="Z22" s="950" t="s">
        <v>80</v>
      </c>
      <c r="AA22" s="959">
        <f t="shared" ref="AA22" si="8">IF(Z22="VND",Y22,Y22*Fx_rate)</f>
        <v>17400000000</v>
      </c>
      <c r="AB22" s="953" t="s">
        <v>406</v>
      </c>
      <c r="AC22" s="954" t="s">
        <v>273</v>
      </c>
      <c r="AD22" s="955" t="s">
        <v>42</v>
      </c>
      <c r="AE22" s="955" t="str" cm="1">
        <f t="array" ref="AE22">IF(ISBLANK(Table10[[#This Row],[Sub_Type]]),"",_xlfn.XLOOKUP(Table10[[#This Row],[Sub_Type]],Table5[[#All],[Key payment - receipt]],Table5[[#All],[Category]],"recheck",0))</f>
        <v>Refinancing</v>
      </c>
      <c r="AF22" s="955" t="s">
        <v>388</v>
      </c>
      <c r="AG22" s="952" t="str" cm="1">
        <f t="array" ref="AG22">IF(ISBLANK(Table10[[#This Row],[Entity]]),"",_xlfn.XLOOKUP(Table10[[#This Row],[Entity]],Table1[[#All],[Abb.]],Table1[[#All],[Name]],"recheck",0))</f>
        <v>VC3</v>
      </c>
      <c r="AK22" s="653">
        <f t="shared" si="6"/>
        <v>8</v>
      </c>
      <c r="AL22" s="961"/>
      <c r="AM22" s="961"/>
      <c r="AN22" s="968"/>
      <c r="AO22" s="952"/>
      <c r="AP22" s="974"/>
      <c r="AQ22" s="969"/>
      <c r="AR22" s="954"/>
      <c r="AS22" s="967"/>
      <c r="AT22" s="967"/>
      <c r="AU22" s="967"/>
      <c r="AV22" s="840"/>
    </row>
    <row r="23" spans="1:48" ht="26.4">
      <c r="A23" s="653">
        <f t="shared" si="3"/>
        <v>9</v>
      </c>
      <c r="B23" s="950" t="s">
        <v>67</v>
      </c>
      <c r="C23" s="951">
        <v>194000</v>
      </c>
      <c r="D23" s="952" t="s">
        <v>81</v>
      </c>
      <c r="E23" s="891">
        <f t="shared" si="2"/>
        <v>5077950000</v>
      </c>
      <c r="F23" s="892" t="s">
        <v>407</v>
      </c>
      <c r="G23" s="954" t="s">
        <v>274</v>
      </c>
      <c r="H23" s="955" t="s">
        <v>408</v>
      </c>
      <c r="I23" s="955" t="str" cm="1">
        <f t="array" ref="I23">IF(ISBLANK(Table9[[#This Row],[Sub_type]]),"",_xlfn.XLOOKUP(Table9[[#This Row],[Sub_type]],Table5[[#All],[Key payment - receipt]],Table5[[#All],[Category]],"recheck",0))</f>
        <v>Operating expense</v>
      </c>
      <c r="J23" s="820" t="s">
        <v>388</v>
      </c>
      <c r="K23" s="972" t="s">
        <v>360</v>
      </c>
      <c r="L23" s="893" t="str">
        <f>IF(ISBLANK(Table9[[#This Row],[Source]]),"",IF(K23="SHL","VC3",IF(B23="BWD","BWID JSC",IF(B23="VC3","VC3","Subsidiaries"))))</f>
        <v>VC3</v>
      </c>
      <c r="M23" s="950"/>
      <c r="N23" s="957"/>
      <c r="O23" s="950"/>
      <c r="P23" s="950"/>
      <c r="Q23" s="957"/>
      <c r="R23" s="950"/>
      <c r="S23" s="950"/>
      <c r="W23" s="653">
        <f t="shared" si="5"/>
        <v>9</v>
      </c>
      <c r="X23" s="975"/>
      <c r="Y23" s="976"/>
      <c r="Z23" s="975"/>
      <c r="AA23" s="977"/>
      <c r="AB23" s="978"/>
      <c r="AC23" s="979"/>
      <c r="AD23" s="980"/>
      <c r="AE23" s="980"/>
      <c r="AF23" s="980"/>
      <c r="AG23" s="980"/>
      <c r="AK23" s="839">
        <f t="shared" si="6"/>
        <v>9</v>
      </c>
      <c r="AL23" s="960"/>
      <c r="AM23" s="960"/>
      <c r="AN23" s="962"/>
      <c r="AO23" s="963"/>
      <c r="AP23" s="964"/>
      <c r="AQ23" s="965"/>
      <c r="AR23" s="970"/>
      <c r="AS23" s="966"/>
      <c r="AT23" s="967"/>
      <c r="AU23" s="966"/>
      <c r="AV23" s="840"/>
    </row>
    <row r="24" spans="1:48" ht="28.35" customHeight="1">
      <c r="A24" s="653">
        <f t="shared" si="3"/>
        <v>10</v>
      </c>
      <c r="B24" s="950" t="s">
        <v>67</v>
      </c>
      <c r="C24" s="951">
        <v>30000</v>
      </c>
      <c r="D24" s="952" t="s">
        <v>81</v>
      </c>
      <c r="E24" s="891">
        <f>IF(D24="VND",C24,C24*Fx_rate)</f>
        <v>785250000</v>
      </c>
      <c r="F24" s="892" t="s">
        <v>409</v>
      </c>
      <c r="G24" s="954" t="s">
        <v>276</v>
      </c>
      <c r="H24" s="955" t="s">
        <v>408</v>
      </c>
      <c r="I24" s="955" t="str" cm="1">
        <f t="array" ref="I24">IF(ISBLANK(Table9[[#This Row],[Sub_type]]),"",_xlfn.XLOOKUP(Table9[[#This Row],[Sub_type]],Table5[[#All],[Key payment - receipt]],Table5[[#All],[Category]],"recheck",0))</f>
        <v>Operating expense</v>
      </c>
      <c r="J24" s="820" t="s">
        <v>388</v>
      </c>
      <c r="K24" s="972" t="s">
        <v>360</v>
      </c>
      <c r="L24" s="893" t="str">
        <f>IF(ISBLANK(Table9[[#This Row],[Source]]),"",IF(K24="SHL","VC3",IF(B24="BWD","BWID JSC",IF(B24="VC3","VC3","Subsidiaries"))))</f>
        <v>VC3</v>
      </c>
      <c r="M24" s="950"/>
      <c r="N24" s="957"/>
      <c r="O24" s="950" t="str">
        <f>IF($N24="","",_xlfn.XLOOKUP($N24,Acc_Char!$B$2:$B$515,Acc_Char!$C$2:$C$515,"recheck",0))</f>
        <v/>
      </c>
      <c r="P24" s="950" t="str">
        <f>IF($N24="","",_xlfn.XLOOKUP($N24,Acc_Char!$B$2:$B$515,Acc_Char!$I$2:$I$515,"recheck",0))</f>
        <v/>
      </c>
      <c r="Q24" s="957"/>
      <c r="R24" s="950" t="str">
        <f>IF($Q24="","",_xlfn.XLOOKUP($Q24,Acc_Char!$B$2:$B$515,Acc_Char!$C$2:$C$515,"out of group",0))</f>
        <v/>
      </c>
      <c r="S24" s="950" t="str">
        <f>IF($Q24="","",_xlfn.XLOOKUP($Q24,Acc_Char!$B$2:$B$515,Acc_Char!$I$2:$I$515,"out of group",0))</f>
        <v/>
      </c>
      <c r="W24" s="653">
        <f t="shared" si="5"/>
        <v>10</v>
      </c>
      <c r="X24" s="981"/>
      <c r="Y24" s="982"/>
      <c r="Z24" s="981"/>
      <c r="AA24" s="983"/>
      <c r="AB24" s="984"/>
      <c r="AC24" s="985"/>
      <c r="AD24" s="986"/>
      <c r="AE24" s="986"/>
      <c r="AF24" s="986"/>
      <c r="AG24" s="986"/>
      <c r="AK24" s="653">
        <f>AK23+1</f>
        <v>10</v>
      </c>
      <c r="AL24" s="961"/>
      <c r="AM24" s="961"/>
      <c r="AN24" s="968"/>
      <c r="AO24" s="952"/>
      <c r="AP24" s="974"/>
      <c r="AQ24" s="969"/>
      <c r="AR24" s="954"/>
      <c r="AS24" s="967"/>
      <c r="AT24" s="967"/>
      <c r="AU24" s="967"/>
      <c r="AV24" s="840"/>
    </row>
    <row r="25" spans="1:48">
      <c r="A25" s="653">
        <f t="shared" ref="A25" si="9">A24+1</f>
        <v>11</v>
      </c>
      <c r="B25" s="950" t="s">
        <v>67</v>
      </c>
      <c r="C25" s="951">
        <v>320000</v>
      </c>
      <c r="D25" s="952" t="s">
        <v>81</v>
      </c>
      <c r="E25" s="891">
        <f>IF(D25="VND",C25,C25*Fx_rate)</f>
        <v>8376000000</v>
      </c>
      <c r="F25" s="892" t="s">
        <v>410</v>
      </c>
      <c r="G25" s="954" t="s">
        <v>276</v>
      </c>
      <c r="H25" s="955" t="s">
        <v>411</v>
      </c>
      <c r="I25" s="955" t="str" cm="1">
        <f t="array" ref="I25">IF(ISBLANK(Table9[[#This Row],[Sub_type]]),"",_xlfn.XLOOKUP(Table9[[#This Row],[Sub_type]],Table5[[#All],[Key payment - receipt]],Table5[[#All],[Category]],"recheck",0))</f>
        <v>Operating expense</v>
      </c>
      <c r="J25" s="820" t="s">
        <v>388</v>
      </c>
      <c r="K25" s="972" t="s">
        <v>360</v>
      </c>
      <c r="L25" s="893" t="str">
        <f>IF(ISBLANK(Table9[[#This Row],[Source]]),"",IF(K25="SHL","VC3",IF(B25="BWD","BWID JSC",IF(B25="VC3","VC3","Subsidiaries"))))</f>
        <v>VC3</v>
      </c>
      <c r="M25" s="950"/>
      <c r="N25" s="957"/>
      <c r="O25" s="950" t="str">
        <f>IF($N25="","",_xlfn.XLOOKUP($N25,Acc_Char!$B$2:$B$515,Acc_Char!$C$2:$C$515,"recheck",0))</f>
        <v/>
      </c>
      <c r="P25" s="950" t="str">
        <f>IF($N25="","",_xlfn.XLOOKUP($N25,Acc_Char!$B$2:$B$515,Acc_Char!$I$2:$I$515,"recheck",0))</f>
        <v/>
      </c>
      <c r="Q25" s="957"/>
      <c r="R25" s="950" t="str">
        <f>IF($Q25="","",_xlfn.XLOOKUP($Q25,Acc_Char!$B$2:$B$515,Acc_Char!$C$2:$C$515,"out of group",0))</f>
        <v/>
      </c>
      <c r="S25" s="950" t="str">
        <f>IF($Q25="","",_xlfn.XLOOKUP($Q25,Acc_Char!$B$2:$B$515,Acc_Char!$I$2:$I$515,"out of group",0))</f>
        <v/>
      </c>
      <c r="W25" s="653">
        <f t="shared" si="5"/>
        <v>11</v>
      </c>
      <c r="X25" s="950"/>
      <c r="Y25" s="973"/>
      <c r="Z25" s="950"/>
      <c r="AA25" s="959"/>
      <c r="AB25" s="953"/>
      <c r="AC25" s="954"/>
      <c r="AD25" s="955"/>
      <c r="AE25" s="955"/>
      <c r="AF25" s="955"/>
      <c r="AG25" s="955"/>
      <c r="AK25" s="839">
        <f t="shared" ref="AK25:AK27" si="10">AK24+1</f>
        <v>11</v>
      </c>
      <c r="AL25" s="960"/>
      <c r="AM25" s="960"/>
      <c r="AN25" s="962"/>
      <c r="AO25" s="963"/>
      <c r="AP25" s="964"/>
      <c r="AQ25" s="965"/>
      <c r="AR25" s="970"/>
      <c r="AS25" s="966"/>
      <c r="AT25" s="967"/>
      <c r="AU25" s="966"/>
      <c r="AV25" s="840"/>
    </row>
    <row r="26" spans="1:48" ht="29.1" customHeight="1">
      <c r="A26" s="653">
        <f>A24+1</f>
        <v>11</v>
      </c>
      <c r="B26" s="950" t="s">
        <v>412</v>
      </c>
      <c r="C26" s="951">
        <v>14494847932</v>
      </c>
      <c r="D26" s="952" t="s">
        <v>80</v>
      </c>
      <c r="E26" s="891">
        <f>IF(D26="VND",C26,C26*Fx_rate)</f>
        <v>14494847932</v>
      </c>
      <c r="F26" s="892" t="s">
        <v>413</v>
      </c>
      <c r="G26" s="954" t="s">
        <v>274</v>
      </c>
      <c r="H26" s="955" t="s">
        <v>22</v>
      </c>
      <c r="I26" s="955" t="str" cm="1">
        <f t="array" ref="I26">IF(ISBLANK(Table9[[#This Row],[Sub_type]]),"",_xlfn.XLOOKUP(Table9[[#This Row],[Sub_type]],Table5[[#All],[Key payment - receipt]],Table5[[#All],[Category]],"recheck",0))</f>
        <v>Construction expense</v>
      </c>
      <c r="J26" s="820" t="s">
        <v>388</v>
      </c>
      <c r="K26" s="956" t="s">
        <v>359</v>
      </c>
      <c r="L26" s="893" t="str">
        <f>IF(ISBLANK(Table9[[#This Row],[Source]]),"",IF(K26="SHL","VC3",IF(B26="BWD","BWID JSC",IF(B26="VC3","VC3","Subsidiaries"))))</f>
        <v>VC3</v>
      </c>
      <c r="M26" s="950"/>
      <c r="N26" s="957"/>
      <c r="O26" s="950" t="str">
        <f>IF($N26="","",_xlfn.XLOOKUP($N26,Acc_Char!$B$2:$B$515,Acc_Char!$C$2:$C$515,"recheck",0))</f>
        <v/>
      </c>
      <c r="P26" s="950" t="str">
        <f>IF($N26="","",_xlfn.XLOOKUP($N26,Acc_Char!$B$2:$B$515,Acc_Char!$I$2:$I$515,"recheck",0))</f>
        <v/>
      </c>
      <c r="Q26" s="957"/>
      <c r="R26" s="950" t="str">
        <f>IF($Q26="","",_xlfn.XLOOKUP($Q26,Acc_Char!$B$2:$B$515,Acc_Char!$C$2:$C$515,"out of group",0))</f>
        <v/>
      </c>
      <c r="S26" s="950" t="str">
        <f>IF($Q26="","",_xlfn.XLOOKUP($Q26,Acc_Char!$B$2:$B$515,Acc_Char!$I$2:$I$515,"out of group",0))</f>
        <v/>
      </c>
      <c r="W26" s="653">
        <f t="shared" si="5"/>
        <v>12</v>
      </c>
      <c r="X26" s="950"/>
      <c r="Y26" s="973"/>
      <c r="Z26" s="950"/>
      <c r="AA26" s="959"/>
      <c r="AB26" s="953"/>
      <c r="AC26" s="954"/>
      <c r="AD26" s="955"/>
      <c r="AE26" s="955"/>
      <c r="AF26" s="955"/>
      <c r="AG26" s="955"/>
      <c r="AK26" s="839">
        <f t="shared" si="10"/>
        <v>12</v>
      </c>
      <c r="AL26" s="961"/>
      <c r="AM26" s="961"/>
      <c r="AN26" s="968"/>
      <c r="AO26" s="952"/>
      <c r="AP26" s="974"/>
      <c r="AQ26" s="969"/>
      <c r="AR26" s="954"/>
      <c r="AS26" s="967"/>
      <c r="AT26" s="967"/>
      <c r="AU26" s="967"/>
      <c r="AV26" s="840"/>
    </row>
    <row r="27" spans="1:48" ht="30" customHeight="1">
      <c r="A27" s="653">
        <f t="shared" si="3"/>
        <v>12</v>
      </c>
      <c r="B27" s="950" t="s">
        <v>414</v>
      </c>
      <c r="C27" s="951">
        <v>3521291100</v>
      </c>
      <c r="D27" s="952" t="s">
        <v>80</v>
      </c>
      <c r="E27" s="891">
        <f>IF(D27="VND",C27,C27*Fx_rate)</f>
        <v>3521291100</v>
      </c>
      <c r="F27" s="892" t="s">
        <v>415</v>
      </c>
      <c r="G27" s="954" t="s">
        <v>273</v>
      </c>
      <c r="H27" s="955" t="s">
        <v>22</v>
      </c>
      <c r="I27" s="955" t="str" cm="1">
        <f t="array" ref="I27">IF(ISBLANK(Table9[[#This Row],[Sub_type]]),"",_xlfn.XLOOKUP(Table9[[#This Row],[Sub_type]],Table5[[#All],[Key payment - receipt]],Table5[[#All],[Category]],"recheck",0))</f>
        <v>Construction expense</v>
      </c>
      <c r="J27" s="820" t="s">
        <v>388</v>
      </c>
      <c r="K27" s="956" t="s">
        <v>359</v>
      </c>
      <c r="L27" s="893" t="str">
        <f>IF(ISBLANK(Table9[[#This Row],[Source]]),"",IF(K27="SHL","VC3",IF(B27="BWD","BWID JSC",IF(B27="VC3","VC3","Subsidiaries"))))</f>
        <v>VC3</v>
      </c>
      <c r="M27" s="950"/>
      <c r="N27" s="957"/>
      <c r="O27" s="950" t="str">
        <f>IF($N27="","",_xlfn.XLOOKUP($N27,Acc_Char!$B$2:$B$515,Acc_Char!$C$2:$C$515,"recheck",0))</f>
        <v/>
      </c>
      <c r="P27" s="950" t="str">
        <f>IF($N27="","",_xlfn.XLOOKUP($N27,Acc_Char!$B$2:$B$515,Acc_Char!$I$2:$I$515,"recheck",0))</f>
        <v/>
      </c>
      <c r="Q27" s="957"/>
      <c r="R27" s="950" t="str">
        <f>IF($Q27="","",_xlfn.XLOOKUP($Q27,Acc_Char!$B$2:$B$515,Acc_Char!$C$2:$C$515,"out of group",0))</f>
        <v/>
      </c>
      <c r="S27" s="950" t="str">
        <f>IF($Q27="","",_xlfn.XLOOKUP($Q27,Acc_Char!$B$2:$B$515,Acc_Char!$I$2:$I$515,"out of group",0))</f>
        <v/>
      </c>
      <c r="W27" s="653">
        <f t="shared" si="5"/>
        <v>13</v>
      </c>
      <c r="X27" s="955"/>
      <c r="Y27" s="973"/>
      <c r="Z27" s="950"/>
      <c r="AA27" s="959">
        <f t="shared" ref="AA27" si="11">IF(Z27="VND",Y27,Y27*Fx_rate)</f>
        <v>0</v>
      </c>
      <c r="AB27" s="953"/>
      <c r="AC27" s="954"/>
      <c r="AD27" s="955"/>
      <c r="AE27" s="955" t="str" cm="1">
        <f t="array" ref="AE27">IF(ISBLANK(Table10[[#This Row],[Sub_Type]]),"",_xlfn.XLOOKUP(Table10[[#This Row],[Sub_Type]],Table5[[#All],[Key payment - receipt]],Table5[[#All],[Category]],"recheck",0))</f>
        <v/>
      </c>
      <c r="AF27" s="955"/>
      <c r="AG27" s="950" t="str" cm="1">
        <f t="array" ref="AG27">IF(ISBLANK(Table10[[#This Row],[Entity]]),"",_xlfn.XLOOKUP(Table10[[#This Row],[Entity]],Table1[[#All],[Abb.]],Table1[[#All],[Name]],"recheck",0))</f>
        <v/>
      </c>
      <c r="AK27" s="841">
        <f t="shared" si="10"/>
        <v>13</v>
      </c>
      <c r="AL27" s="1246"/>
      <c r="AM27" s="1247" t="str" cm="1">
        <f t="array" ref="AM27">IF(ISBLANK(Table16[[#This Row],[Entity]]),"",_xlfn.XLOOKUP(Table16[[#This Row],[Entity]],Table1[[#All],[Abb.]],Table1[[#All],[Name]],"recheck",0))</f>
        <v/>
      </c>
      <c r="AN27" s="1248"/>
      <c r="AO27" s="1249"/>
      <c r="AP27" s="1250">
        <f>IF(AO27="VND",AN27,AN27*Fx_rate)</f>
        <v>0</v>
      </c>
      <c r="AQ27" s="1251"/>
      <c r="AR27" s="1252"/>
      <c r="AS27" s="1253"/>
      <c r="AT27" s="1253" t="str" cm="1">
        <f t="array" ref="AT27">IF(ISBLANK(Table16[[#This Row],[Sub_Type]]),"",_xlfn.XLOOKUP(Table16[[#This Row],[Sub_Type]],Table5[[#All],[Key payment - receipt]],Table5[[#All],[Category]],"recheck",0))</f>
        <v/>
      </c>
      <c r="AU27" s="1254"/>
      <c r="AV27" s="842" t="str" cm="1">
        <f t="array" ref="AV27">IF(ISBLANK(Table10[[#This Row],[Entity]]),"",_xlfn.XLOOKUP(Table10[[#This Row],[Entity]],Table1[[#All],[Abb.]],Table1[[#All],[Name]],"recheck",0))</f>
        <v/>
      </c>
    </row>
    <row r="28" spans="1:48" ht="30" customHeight="1">
      <c r="A28" s="653">
        <f t="shared" si="3"/>
        <v>13</v>
      </c>
      <c r="B28" s="950" t="s">
        <v>416</v>
      </c>
      <c r="C28" s="951">
        <v>3000000000</v>
      </c>
      <c r="D28" s="952" t="s">
        <v>80</v>
      </c>
      <c r="E28" s="891">
        <f t="shared" ref="E28:E64" si="12">IF(D28="VND",C28,C28*Fx_rate)</f>
        <v>3000000000</v>
      </c>
      <c r="F28" s="953" t="s">
        <v>417</v>
      </c>
      <c r="G28" s="954" t="s">
        <v>273</v>
      </c>
      <c r="H28" s="955" t="s">
        <v>22</v>
      </c>
      <c r="I28" s="955" t="str" cm="1">
        <f t="array" ref="I28">IF(ISBLANK(Table9[[#This Row],[Sub_type]]),"",_xlfn.XLOOKUP(Table9[[#This Row],[Sub_type]],Table5[[#All],[Key payment - receipt]],Table5[[#All],[Category]],"recheck",0))</f>
        <v>Construction expense</v>
      </c>
      <c r="J28" s="820" t="s">
        <v>388</v>
      </c>
      <c r="K28" s="894" t="s">
        <v>359</v>
      </c>
      <c r="L28" s="893" t="str">
        <f>IF(ISBLANK(Table9[[#This Row],[Source]]),"",IF(K28="SHL","VC3",IF(B28="BWD","BWID JSC",IF(B28="VC3","VC3","Subsidiaries"))))</f>
        <v>VC3</v>
      </c>
      <c r="M28" s="950"/>
      <c r="N28" s="957"/>
      <c r="O28" s="950" t="str">
        <f>IF($N28="","",_xlfn.XLOOKUP($N28,Acc_Char!$B$2:$B$515,Acc_Char!$C$2:$C$515,"recheck",0))</f>
        <v/>
      </c>
      <c r="P28" s="950" t="str">
        <f>IF($N28="","",_xlfn.XLOOKUP($N28,Acc_Char!$B$2:$B$515,Acc_Char!$I$2:$I$515,"recheck",0))</f>
        <v/>
      </c>
      <c r="Q28" s="957"/>
      <c r="R28" s="950" t="str">
        <f>IF($Q28="","",_xlfn.XLOOKUP($Q28,Acc_Char!$B$2:$B$515,Acc_Char!$C$2:$C$515,"out of group",0))</f>
        <v/>
      </c>
      <c r="S28" s="950" t="str">
        <f>IF($Q28="","",_xlfn.XLOOKUP($Q28,Acc_Char!$B$2:$B$515,Acc_Char!$I$2:$I$515,"out of group",0))</f>
        <v/>
      </c>
      <c r="W28" s="653">
        <f t="shared" si="5"/>
        <v>14</v>
      </c>
      <c r="X28" s="955"/>
      <c r="Y28" s="973"/>
      <c r="Z28" s="950"/>
      <c r="AA28" s="959">
        <f t="shared" ref="AA28:AA45" si="13">IF(Z28="VND",Y28,Y28*Fx_rate)</f>
        <v>0</v>
      </c>
      <c r="AB28" s="953"/>
      <c r="AC28" s="954"/>
      <c r="AD28" s="955"/>
      <c r="AE28" s="955" t="str" cm="1">
        <f t="array" ref="AE28">IF(ISBLANK(Table10[[#This Row],[Sub_Type]]),"",_xlfn.XLOOKUP(Table10[[#This Row],[Sub_Type]],Table5[[#All],[Key payment - receipt]],Table5[[#All],[Category]],"recheck",0))</f>
        <v/>
      </c>
      <c r="AF28" s="955"/>
      <c r="AG28" s="950" t="str" cm="1">
        <f t="array" ref="AG28">IF(ISBLANK(Table10[[#This Row],[Entity]]),"",_xlfn.XLOOKUP(Table10[[#This Row],[Entity]],Table1[[#All],[Abb.]],Table1[[#All],[Name]],"recheck",0))</f>
        <v/>
      </c>
    </row>
    <row r="29" spans="1:48" ht="30" customHeight="1">
      <c r="A29" s="653">
        <f t="shared" si="3"/>
        <v>14</v>
      </c>
      <c r="B29" s="950" t="s">
        <v>402</v>
      </c>
      <c r="C29" s="951">
        <v>4500000000</v>
      </c>
      <c r="D29" s="952" t="s">
        <v>80</v>
      </c>
      <c r="E29" s="891">
        <f t="shared" si="12"/>
        <v>4500000000</v>
      </c>
      <c r="F29" s="953" t="s">
        <v>418</v>
      </c>
      <c r="G29" s="954" t="s">
        <v>273</v>
      </c>
      <c r="H29" s="955" t="s">
        <v>22</v>
      </c>
      <c r="I29" s="955" t="str" cm="1">
        <f t="array" ref="I29">IF(ISBLANK(Table9[[#This Row],[Sub_type]]),"",_xlfn.XLOOKUP(Table9[[#This Row],[Sub_type]],Table5[[#All],[Key payment - receipt]],Table5[[#All],[Category]],"recheck",0))</f>
        <v>Construction expense</v>
      </c>
      <c r="J29" s="820" t="s">
        <v>388</v>
      </c>
      <c r="K29" s="894" t="s">
        <v>359</v>
      </c>
      <c r="L29" s="893" t="str">
        <f>IF(ISBLANK(Table9[[#This Row],[Source]]),"",IF(K29="SHL","VC3",IF(B29="BWD","BWID JSC",IF(B29="VC3","VC3","Subsidiaries"))))</f>
        <v>VC3</v>
      </c>
      <c r="M29" s="950"/>
      <c r="N29" s="957"/>
      <c r="O29" s="950" t="str">
        <f>IF($N29="","",_xlfn.XLOOKUP($N29,Acc_Char!$B$2:$B$515,Acc_Char!$C$2:$C$515,"recheck",0))</f>
        <v/>
      </c>
      <c r="P29" s="950" t="str">
        <f>IF($N29="","",_xlfn.XLOOKUP($N29,Acc_Char!$B$2:$B$515,Acc_Char!$I$2:$I$515,"recheck",0))</f>
        <v/>
      </c>
      <c r="Q29" s="957"/>
      <c r="R29" s="950" t="str">
        <f>IF($Q29="","",_xlfn.XLOOKUP($Q29,Acc_Char!$B$2:$B$515,Acc_Char!$C$2:$C$515,"out of group",0))</f>
        <v/>
      </c>
      <c r="S29" s="950" t="str">
        <f>IF($Q29="","",_xlfn.XLOOKUP($Q29,Acc_Char!$B$2:$B$515,Acc_Char!$I$2:$I$515,"out of group",0))</f>
        <v/>
      </c>
      <c r="W29" s="653">
        <f t="shared" si="5"/>
        <v>15</v>
      </c>
      <c r="X29" s="955"/>
      <c r="Y29" s="973"/>
      <c r="Z29" s="950"/>
      <c r="AA29" s="959">
        <f t="shared" si="13"/>
        <v>0</v>
      </c>
      <c r="AB29" s="953"/>
      <c r="AC29" s="954"/>
      <c r="AD29" s="955"/>
      <c r="AE29" s="955" t="str" cm="1">
        <f t="array" ref="AE29">IF(ISBLANK(Table10[[#This Row],[Sub_Type]]),"",_xlfn.XLOOKUP(Table10[[#This Row],[Sub_Type]],Table5[[#All],[Key payment - receipt]],Table5[[#All],[Category]],"recheck",0))</f>
        <v/>
      </c>
      <c r="AF29" s="955"/>
      <c r="AG29" s="950" t="str" cm="1">
        <f t="array" ref="AG29">IF(ISBLANK(Table10[[#This Row],[Entity]]),"",_xlfn.XLOOKUP(Table10[[#This Row],[Entity]],Table1[[#All],[Abb.]],Table1[[#All],[Name]],"recheck",0))</f>
        <v/>
      </c>
    </row>
    <row r="30" spans="1:48" ht="30" customHeight="1">
      <c r="A30" s="653">
        <f t="shared" si="3"/>
        <v>15</v>
      </c>
      <c r="B30" s="950" t="s">
        <v>402</v>
      </c>
      <c r="C30" s="951">
        <v>3000000000</v>
      </c>
      <c r="D30" s="952" t="s">
        <v>80</v>
      </c>
      <c r="E30" s="891">
        <f t="shared" si="12"/>
        <v>3000000000</v>
      </c>
      <c r="F30" s="953" t="s">
        <v>419</v>
      </c>
      <c r="G30" s="954" t="s">
        <v>275</v>
      </c>
      <c r="H30" s="955" t="s">
        <v>22</v>
      </c>
      <c r="I30" s="955" t="str" cm="1">
        <f t="array" ref="I30">IF(ISBLANK(Table9[[#This Row],[Sub_type]]),"",_xlfn.XLOOKUP(Table9[[#This Row],[Sub_type]],Table5[[#All],[Key payment - receipt]],Table5[[#All],[Category]],"recheck",0))</f>
        <v>Construction expense</v>
      </c>
      <c r="J30" s="820" t="s">
        <v>388</v>
      </c>
      <c r="K30" s="894" t="s">
        <v>359</v>
      </c>
      <c r="L30" s="893" t="str">
        <f>IF(ISBLANK(Table9[[#This Row],[Source]]),"",IF(K30="SHL","VC3",IF(B30="BWD","BWID JSC",IF(B30="VC3","VC3","Subsidiaries"))))</f>
        <v>VC3</v>
      </c>
      <c r="M30" s="950"/>
      <c r="N30" s="957"/>
      <c r="O30" s="950" t="str">
        <f>IF($N30="","",_xlfn.XLOOKUP($N30,Acc_Char!$B$2:$B$515,Acc_Char!$C$2:$C$515,"recheck",0))</f>
        <v/>
      </c>
      <c r="P30" s="950" t="str">
        <f>IF($N30="","",_xlfn.XLOOKUP($N30,Acc_Char!$B$2:$B$515,Acc_Char!$I$2:$I$515,"recheck",0))</f>
        <v/>
      </c>
      <c r="Q30" s="957"/>
      <c r="R30" s="950" t="str">
        <f>IF($Q30="","",_xlfn.XLOOKUP($Q30,Acc_Char!$B$2:$B$515,Acc_Char!$C$2:$C$515,"out of group",0))</f>
        <v/>
      </c>
      <c r="S30" s="950" t="str">
        <f>IF($Q30="","",_xlfn.XLOOKUP($Q30,Acc_Char!$B$2:$B$515,Acc_Char!$I$2:$I$515,"out of group",0))</f>
        <v/>
      </c>
      <c r="W30" s="653"/>
      <c r="X30" s="955"/>
      <c r="Y30" s="973"/>
      <c r="Z30" s="950"/>
      <c r="AA30" s="959">
        <f t="shared" si="13"/>
        <v>0</v>
      </c>
      <c r="AB30" s="953"/>
      <c r="AC30" s="954"/>
      <c r="AD30" s="955"/>
      <c r="AE30" s="955" t="str" cm="1">
        <f t="array" ref="AE30">IF(ISBLANK(Table10[[#This Row],[Sub_Type]]),"",_xlfn.XLOOKUP(Table10[[#This Row],[Sub_Type]],Table5[[#All],[Key payment - receipt]],Table5[[#All],[Category]],"recheck",0))</f>
        <v/>
      </c>
      <c r="AF30" s="955"/>
      <c r="AG30" s="955" t="str" cm="1">
        <f t="array" ref="AG30">IF(ISBLANK(Table10[[#This Row],[Entity]]),"",_xlfn.XLOOKUP(Table10[[#This Row],[Entity]],Table1[[#All],[Abb.]],Table1[[#All],[Name]],"recheck",0))</f>
        <v/>
      </c>
    </row>
    <row r="31" spans="1:48" ht="30" customHeight="1">
      <c r="A31" s="653">
        <f t="shared" si="3"/>
        <v>16</v>
      </c>
      <c r="B31" s="950" t="s">
        <v>420</v>
      </c>
      <c r="C31" s="951">
        <v>11000000000</v>
      </c>
      <c r="D31" s="952" t="s">
        <v>80</v>
      </c>
      <c r="E31" s="891">
        <f t="shared" si="12"/>
        <v>11000000000</v>
      </c>
      <c r="F31" s="953" t="s">
        <v>421</v>
      </c>
      <c r="G31" s="954" t="s">
        <v>275</v>
      </c>
      <c r="H31" s="955" t="s">
        <v>22</v>
      </c>
      <c r="I31" s="955" t="str" cm="1">
        <f t="array" ref="I31">IF(ISBLANK(Table9[[#This Row],[Sub_type]]),"",_xlfn.XLOOKUP(Table9[[#This Row],[Sub_type]],Table5[[#All],[Key payment - receipt]],Table5[[#All],[Category]],"recheck",0))</f>
        <v>Construction expense</v>
      </c>
      <c r="J31" s="820" t="s">
        <v>388</v>
      </c>
      <c r="K31" s="894" t="s">
        <v>359</v>
      </c>
      <c r="L31" s="955" t="str">
        <f>IF(ISBLANK(Table9[[#This Row],[Source]]),"",IF(K31="SHL","VC3",IF(B31="BWD","BWID JSC",IF(B31="VC3","VC3","Subsidiaries"))))</f>
        <v>VC3</v>
      </c>
      <c r="M31" s="950"/>
      <c r="N31" s="957"/>
      <c r="O31" s="950" t="str">
        <f>IF($N31="","",_xlfn.XLOOKUP($N31,Acc_Char!$B$2:$B$515,Acc_Char!$C$2:$C$515,"recheck",0))</f>
        <v/>
      </c>
      <c r="P31" s="950" t="str">
        <f>IF($N31="","",_xlfn.XLOOKUP($N31,Acc_Char!$B$2:$B$515,Acc_Char!$I$2:$I$515,"recheck",0))</f>
        <v/>
      </c>
      <c r="Q31" s="957"/>
      <c r="R31" s="950" t="str">
        <f>IF($Q31="","",_xlfn.XLOOKUP($Q31,Acc_Char!$B$2:$B$515,Acc_Char!$C$2:$C$515,"out of group",0))</f>
        <v/>
      </c>
      <c r="S31" s="950" t="str">
        <f>IF($Q31="","",_xlfn.XLOOKUP($Q31,Acc_Char!$B$2:$B$515,Acc_Char!$I$2:$I$515,"out of group",0))</f>
        <v/>
      </c>
      <c r="W31" s="653"/>
      <c r="X31" s="955"/>
      <c r="Y31" s="973"/>
      <c r="Z31" s="950"/>
      <c r="AA31" s="959">
        <f t="shared" si="13"/>
        <v>0</v>
      </c>
      <c r="AB31" s="953"/>
      <c r="AC31" s="954"/>
      <c r="AD31" s="955"/>
      <c r="AE31" s="955" t="str" cm="1">
        <f t="array" ref="AE31">IF(ISBLANK(Table10[[#This Row],[Sub_Type]]),"",_xlfn.XLOOKUP(Table10[[#This Row],[Sub_Type]],Table5[[#All],[Key payment - receipt]],Table5[[#All],[Category]],"recheck",0))</f>
        <v/>
      </c>
      <c r="AF31" s="955"/>
      <c r="AG31" s="955" t="str" cm="1">
        <f t="array" ref="AG31">IF(ISBLANK(Table10[[#This Row],[Entity]]),"",_xlfn.XLOOKUP(Table10[[#This Row],[Entity]],Table1[[#All],[Abb.]],Table1[[#All],[Name]],"recheck",0))</f>
        <v/>
      </c>
    </row>
    <row r="32" spans="1:48" ht="30" customHeight="1">
      <c r="A32" s="653">
        <f t="shared" si="3"/>
        <v>17</v>
      </c>
      <c r="B32" s="950" t="s">
        <v>422</v>
      </c>
      <c r="C32" s="951">
        <v>4000000000</v>
      </c>
      <c r="D32" s="952" t="s">
        <v>80</v>
      </c>
      <c r="E32" s="891">
        <f t="shared" si="12"/>
        <v>4000000000</v>
      </c>
      <c r="F32" s="953" t="s">
        <v>423</v>
      </c>
      <c r="G32" s="954" t="s">
        <v>276</v>
      </c>
      <c r="H32" s="955" t="s">
        <v>22</v>
      </c>
      <c r="I32" s="955" t="str" cm="1">
        <f t="array" ref="I32">IF(ISBLANK(Table9[[#This Row],[Sub_type]]),"",_xlfn.XLOOKUP(Table9[[#This Row],[Sub_type]],Table5[[#All],[Key payment - receipt]],Table5[[#All],[Category]],"recheck",0))</f>
        <v>Construction expense</v>
      </c>
      <c r="J32" s="820" t="s">
        <v>388</v>
      </c>
      <c r="K32" s="894" t="s">
        <v>359</v>
      </c>
      <c r="L32" s="955" t="str">
        <f>IF(ISBLANK(Table9[[#This Row],[Source]]),"",IF(K32="SHL","VC3",IF(B32="BWD","BWID JSC",IF(B32="VC3","VC3","Subsidiaries"))))</f>
        <v>VC3</v>
      </c>
      <c r="M32" s="950"/>
      <c r="N32" s="957"/>
      <c r="O32" s="950" t="str">
        <f>IF($N32="","",_xlfn.XLOOKUP($N32,Acc_Char!$B$2:$B$515,Acc_Char!$C$2:$C$515,"recheck",0))</f>
        <v/>
      </c>
      <c r="P32" s="950" t="str">
        <f>IF($N32="","",_xlfn.XLOOKUP($N32,Acc_Char!$B$2:$B$515,Acc_Char!$I$2:$I$515,"recheck",0))</f>
        <v/>
      </c>
      <c r="Q32" s="957"/>
      <c r="R32" s="950" t="str">
        <f>IF($Q32="","",_xlfn.XLOOKUP($Q32,Acc_Char!$B$2:$B$515,Acc_Char!$C$2:$C$515,"out of group",0))</f>
        <v/>
      </c>
      <c r="S32" s="950" t="str">
        <f>IF($Q32="","",_xlfn.XLOOKUP($Q32,Acc_Char!$B$2:$B$515,Acc_Char!$I$2:$I$515,"out of group",0))</f>
        <v/>
      </c>
      <c r="W32" s="653"/>
      <c r="X32" s="955"/>
      <c r="Y32" s="973"/>
      <c r="Z32" s="950"/>
      <c r="AA32" s="959">
        <f t="shared" si="13"/>
        <v>0</v>
      </c>
      <c r="AB32" s="953"/>
      <c r="AC32" s="954"/>
      <c r="AD32" s="955"/>
      <c r="AE32" s="955" t="str" cm="1">
        <f t="array" ref="AE32">IF(ISBLANK(Table10[[#This Row],[Sub_Type]]),"",_xlfn.XLOOKUP(Table10[[#This Row],[Sub_Type]],Table5[[#All],[Key payment - receipt]],Table5[[#All],[Category]],"recheck",0))</f>
        <v/>
      </c>
      <c r="AF32" s="955"/>
      <c r="AG32" s="955" t="str" cm="1">
        <f t="array" ref="AG32">IF(ISBLANK(Table10[[#This Row],[Entity]]),"",_xlfn.XLOOKUP(Table10[[#This Row],[Entity]],Table1[[#All],[Abb.]],Table1[[#All],[Name]],"recheck",0))</f>
        <v/>
      </c>
    </row>
    <row r="33" spans="1:33" ht="30" customHeight="1">
      <c r="A33" s="653">
        <f t="shared" si="3"/>
        <v>18</v>
      </c>
      <c r="B33" s="950" t="s">
        <v>67</v>
      </c>
      <c r="C33" s="951">
        <v>13000000000</v>
      </c>
      <c r="D33" s="952" t="s">
        <v>80</v>
      </c>
      <c r="E33" s="891">
        <f>IF(D33="VND",C33,C33*Fx_rate)</f>
        <v>13000000000</v>
      </c>
      <c r="F33" s="953" t="s">
        <v>400</v>
      </c>
      <c r="G33" s="954" t="s">
        <v>272</v>
      </c>
      <c r="H33" s="955" t="s">
        <v>401</v>
      </c>
      <c r="I33" s="955" t="str" cm="1">
        <f t="array" ref="I33">IF(ISBLANK(Table9[[#This Row],[Sub_type]]),"",_xlfn.XLOOKUP(Table9[[#This Row],[Sub_type]],Table5[[#All],[Key payment - receipt]],Table5[[#All],[Category]],"recheck",0))</f>
        <v>Operating expense</v>
      </c>
      <c r="J33" s="820" t="s">
        <v>388</v>
      </c>
      <c r="K33" s="908" t="s">
        <v>360</v>
      </c>
      <c r="L33" s="955" t="str">
        <f>IF(ISBLANK(Table9[[#This Row],[Source]]),"",IF(K33="SHL","VC3",IF(B33="BWD","BWID JSC",IF(B33="VC3","VC3","Subsidiaries"))))</f>
        <v>VC3</v>
      </c>
      <c r="M33" s="950"/>
      <c r="N33" s="957"/>
      <c r="O33" s="950" t="str">
        <f>IF($N33="","",_xlfn.XLOOKUP($N33,Acc_Char!$B$2:$B$515,Acc_Char!$C$2:$C$515,"recheck",0))</f>
        <v/>
      </c>
      <c r="P33" s="950" t="str">
        <f>IF($N33="","",_xlfn.XLOOKUP($N33,Acc_Char!$B$2:$B$515,Acc_Char!$I$2:$I$515,"recheck",0))</f>
        <v/>
      </c>
      <c r="Q33" s="957"/>
      <c r="R33" s="950" t="str">
        <f>IF($Q33="","",_xlfn.XLOOKUP($Q33,Acc_Char!$B$2:$B$515,Acc_Char!$C$2:$C$515,"out of group",0))</f>
        <v/>
      </c>
      <c r="S33" s="950" t="str">
        <f>IF($Q33="","",_xlfn.XLOOKUP($Q33,Acc_Char!$B$2:$B$515,Acc_Char!$I$2:$I$515,"out of group",0))</f>
        <v/>
      </c>
      <c r="W33" s="653"/>
      <c r="X33" s="955"/>
      <c r="Y33" s="973"/>
      <c r="Z33" s="950"/>
      <c r="AA33" s="959">
        <f t="shared" si="13"/>
        <v>0</v>
      </c>
      <c r="AB33" s="953"/>
      <c r="AC33" s="954"/>
      <c r="AD33" s="955"/>
      <c r="AE33" s="955" t="str" cm="1">
        <f t="array" ref="AE33">IF(ISBLANK(Table10[[#This Row],[Sub_Type]]),"",_xlfn.XLOOKUP(Table10[[#This Row],[Sub_Type]],Table5[[#All],[Key payment - receipt]],Table5[[#All],[Category]],"recheck",0))</f>
        <v/>
      </c>
      <c r="AF33" s="955"/>
      <c r="AG33" s="955" t="str" cm="1">
        <f t="array" ref="AG33">IF(ISBLANK(Table10[[#This Row],[Entity]]),"",_xlfn.XLOOKUP(Table10[[#This Row],[Entity]],Table1[[#All],[Abb.]],Table1[[#All],[Name]],"recheck",0))</f>
        <v/>
      </c>
    </row>
    <row r="34" spans="1:33" ht="30" customHeight="1">
      <c r="A34" s="653">
        <f t="shared" si="3"/>
        <v>19</v>
      </c>
      <c r="B34" s="950" t="s">
        <v>424</v>
      </c>
      <c r="C34" s="951">
        <v>68440238639</v>
      </c>
      <c r="D34" s="952" t="s">
        <v>80</v>
      </c>
      <c r="E34" s="891">
        <f>IF(D34="VND",C34,C34*Fx_rate)</f>
        <v>68440238639</v>
      </c>
      <c r="F34" s="953" t="s">
        <v>425</v>
      </c>
      <c r="G34" s="954" t="s">
        <v>272</v>
      </c>
      <c r="H34" s="955" t="s">
        <v>20</v>
      </c>
      <c r="I34" s="955" t="str" cm="1">
        <f t="array" ref="I34">IF(ISBLANK(Table9[[#This Row],[Sub_type]]),"",_xlfn.XLOOKUP(Table9[[#This Row],[Sub_type]],Table5[[#All],[Key payment - receipt]],Table5[[#All],[Category]],"recheck",0))</f>
        <v>Land acquisition</v>
      </c>
      <c r="J34" s="820" t="s">
        <v>388</v>
      </c>
      <c r="K34" s="894" t="s">
        <v>359</v>
      </c>
      <c r="L34" s="955" t="str">
        <f>IF(ISBLANK(Table9[[#This Row],[Source]]),"",IF(K34="SHL","VC3",IF(B34="BWD","BWID JSC",IF(B34="VC3","VC3","Subsidiaries"))))</f>
        <v>VC3</v>
      </c>
      <c r="M34" s="950"/>
      <c r="N34" s="957"/>
      <c r="O34" s="950" t="str">
        <f>IF($N34="","",_xlfn.XLOOKUP($N34,Acc_Char!$B$2:$B$515,Acc_Char!$C$2:$C$515,"recheck",0))</f>
        <v/>
      </c>
      <c r="P34" s="950" t="str">
        <f>IF($N34="","",_xlfn.XLOOKUP($N34,Acc_Char!$B$2:$B$515,Acc_Char!$I$2:$I$515,"recheck",0))</f>
        <v/>
      </c>
      <c r="Q34" s="957"/>
      <c r="R34" s="950" t="str">
        <f>IF($Q34="","",_xlfn.XLOOKUP($Q34,Acc_Char!$B$2:$B$515,Acc_Char!$C$2:$C$515,"out of group",0))</f>
        <v/>
      </c>
      <c r="S34" s="950" t="str">
        <f>IF($Q34="","",_xlfn.XLOOKUP($Q34,Acc_Char!$B$2:$B$515,Acc_Char!$I$2:$I$515,"out of group",0))</f>
        <v/>
      </c>
      <c r="W34" s="653"/>
      <c r="X34" s="950"/>
      <c r="Y34" s="973"/>
      <c r="Z34" s="950"/>
      <c r="AA34" s="959">
        <f t="shared" si="13"/>
        <v>0</v>
      </c>
      <c r="AB34" s="953"/>
      <c r="AC34" s="954"/>
      <c r="AD34" s="955"/>
      <c r="AE34" s="955" t="str" cm="1">
        <f t="array" ref="AE34">IF(ISBLANK(Table10[[#This Row],[Sub_Type]]),"",_xlfn.XLOOKUP(Table10[[#This Row],[Sub_Type]],Table5[[#All],[Key payment - receipt]],Table5[[#All],[Category]],"recheck",0))</f>
        <v/>
      </c>
      <c r="AF34" s="955"/>
      <c r="AG34" s="955" t="str" cm="1">
        <f t="array" ref="AG34">IF(ISBLANK(Table10[[#This Row],[Entity]]),"",_xlfn.XLOOKUP(Table10[[#This Row],[Entity]],Table1[[#All],[Abb.]],Table1[[#All],[Name]],"recheck",0))</f>
        <v/>
      </c>
    </row>
    <row r="35" spans="1:33" ht="30" customHeight="1">
      <c r="A35" s="653">
        <f t="shared" si="3"/>
        <v>20</v>
      </c>
      <c r="B35" s="950" t="s">
        <v>426</v>
      </c>
      <c r="C35" s="951">
        <v>9000000000</v>
      </c>
      <c r="D35" s="952" t="s">
        <v>80</v>
      </c>
      <c r="E35" s="891">
        <f>IF(D35="VND",C35,C35*Fx_rate)</f>
        <v>9000000000</v>
      </c>
      <c r="F35" s="953" t="s">
        <v>427</v>
      </c>
      <c r="G35" s="954" t="s">
        <v>272</v>
      </c>
      <c r="H35" s="955" t="s">
        <v>22</v>
      </c>
      <c r="I35" s="955" t="str" cm="1">
        <f t="array" ref="I35">IF(ISBLANK(Table9[[#This Row],[Sub_type]]),"",_xlfn.XLOOKUP(Table9[[#This Row],[Sub_type]],Table5[[#All],[Key payment - receipt]],Table5[[#All],[Category]],"recheck",0))</f>
        <v>Construction expense</v>
      </c>
      <c r="J35" s="820" t="s">
        <v>388</v>
      </c>
      <c r="K35" s="894" t="s">
        <v>359</v>
      </c>
      <c r="L35" s="955" t="str">
        <f>IF(ISBLANK(Table9[[#This Row],[Source]]),"",IF(K35="SHL","VC3",IF(B35="BWD","BWID JSC",IF(B35="VC3","VC3","Subsidiaries"))))</f>
        <v>VC3</v>
      </c>
      <c r="M35" s="950"/>
      <c r="N35" s="957"/>
      <c r="O35" s="950" t="str">
        <f>IF($N35="","",_xlfn.XLOOKUP($N35,Acc_Char!$B$2:$B$515,Acc_Char!$C$2:$C$515,"recheck",0))</f>
        <v/>
      </c>
      <c r="P35" s="950" t="str">
        <f>IF($N35="","",_xlfn.XLOOKUP($N35,Acc_Char!$B$2:$B$515,Acc_Char!$I$2:$I$515,"recheck",0))</f>
        <v/>
      </c>
      <c r="Q35" s="957"/>
      <c r="R35" s="950" t="str">
        <f>IF($Q35="","",_xlfn.XLOOKUP($Q35,Acc_Char!$B$2:$B$515,Acc_Char!$C$2:$C$515,"out of group",0))</f>
        <v/>
      </c>
      <c r="S35" s="950" t="str">
        <f>IF($Q35="","",_xlfn.XLOOKUP($Q35,Acc_Char!$B$2:$B$515,Acc_Char!$I$2:$I$515,"out of group",0))</f>
        <v/>
      </c>
      <c r="W35" s="653"/>
      <c r="X35" s="950"/>
      <c r="Y35" s="973"/>
      <c r="Z35" s="950"/>
      <c r="AA35" s="959">
        <f t="shared" si="13"/>
        <v>0</v>
      </c>
      <c r="AB35" s="953"/>
      <c r="AC35" s="954"/>
      <c r="AD35" s="955"/>
      <c r="AE35" s="955" t="str" cm="1">
        <f t="array" ref="AE35">IF(ISBLANK(Table10[[#This Row],[Sub_Type]]),"",_xlfn.XLOOKUP(Table10[[#This Row],[Sub_Type]],Table5[[#All],[Key payment - receipt]],Table5[[#All],[Category]],"recheck",0))</f>
        <v/>
      </c>
      <c r="AF35" s="955"/>
      <c r="AG35" s="955" t="str" cm="1">
        <f t="array" ref="AG35">IF(ISBLANK(Table10[[#This Row],[Entity]]),"",_xlfn.XLOOKUP(Table10[[#This Row],[Entity]],Table1[[#All],[Abb.]],Table1[[#All],[Name]],"recheck",0))</f>
        <v/>
      </c>
    </row>
    <row r="36" spans="1:33" ht="30" customHeight="1">
      <c r="A36" s="653">
        <f t="shared" si="3"/>
        <v>21</v>
      </c>
      <c r="B36" s="950" t="s">
        <v>428</v>
      </c>
      <c r="C36" s="951">
        <v>5000000000</v>
      </c>
      <c r="D36" s="952" t="s">
        <v>80</v>
      </c>
      <c r="E36" s="891">
        <f>IF(D36="VND",C36,C36*Fx_rate)</f>
        <v>5000000000</v>
      </c>
      <c r="F36" s="953" t="s">
        <v>429</v>
      </c>
      <c r="G36" s="954" t="s">
        <v>272</v>
      </c>
      <c r="H36" s="955" t="s">
        <v>55</v>
      </c>
      <c r="I36" s="955" t="str" cm="1">
        <f t="array" ref="I36">IF(ISBLANK(Table9[[#This Row],[Sub_type]]),"",_xlfn.XLOOKUP(Table9[[#This Row],[Sub_type]],Table5[[#All],[Key payment - receipt]],Table5[[#All],[Category]],"recheck",0))</f>
        <v>Loan interest</v>
      </c>
      <c r="J36" s="820" t="s">
        <v>388</v>
      </c>
      <c r="K36" s="894" t="s">
        <v>359</v>
      </c>
      <c r="L36" s="955" t="str">
        <f>IF(ISBLANK(Table9[[#This Row],[Source]]),"",IF(K36="SHL","VC3",IF(B36="BWD","BWID JSC",IF(B36="VC3","VC3","Subsidiaries"))))</f>
        <v>VC3</v>
      </c>
      <c r="M36" s="950"/>
      <c r="N36" s="957"/>
      <c r="O36" s="950" t="str">
        <f>IF($N36="","",_xlfn.XLOOKUP($N36,Acc_Char!$B$2:$B$515,Acc_Char!$C$2:$C$515,"recheck",0))</f>
        <v/>
      </c>
      <c r="P36" s="950" t="str">
        <f>IF($N36="","",_xlfn.XLOOKUP($N36,Acc_Char!$B$2:$B$515,Acc_Char!$I$2:$I$515,"recheck",0))</f>
        <v/>
      </c>
      <c r="Q36" s="957"/>
      <c r="R36" s="950" t="str">
        <f>IF($Q36="","",_xlfn.XLOOKUP($Q36,Acc_Char!$B$2:$B$515,Acc_Char!$C$2:$C$515,"out of group",0))</f>
        <v/>
      </c>
      <c r="S36" s="950" t="str">
        <f>IF($Q36="","",_xlfn.XLOOKUP($Q36,Acc_Char!$B$2:$B$515,Acc_Char!$I$2:$I$515,"out of group",0))</f>
        <v/>
      </c>
      <c r="W36" s="653"/>
      <c r="X36" s="950"/>
      <c r="Y36" s="973"/>
      <c r="Z36" s="950"/>
      <c r="AA36" s="959">
        <f t="shared" si="13"/>
        <v>0</v>
      </c>
      <c r="AB36" s="953"/>
      <c r="AC36" s="954"/>
      <c r="AD36" s="955"/>
      <c r="AE36" s="955" t="str" cm="1">
        <f t="array" ref="AE36">IF(ISBLANK(Table10[[#This Row],[Sub_Type]]),"",_xlfn.XLOOKUP(Table10[[#This Row],[Sub_Type]],Table5[[#All],[Key payment - receipt]],Table5[[#All],[Category]],"recheck",0))</f>
        <v/>
      </c>
      <c r="AF36" s="955"/>
      <c r="AG36" s="955" t="str" cm="1">
        <f t="array" ref="AG36">IF(ISBLANK(Table10[[#This Row],[Entity]]),"",_xlfn.XLOOKUP(Table10[[#This Row],[Entity]],Table1[[#All],[Abb.]],Table1[[#All],[Name]],"recheck",0))</f>
        <v/>
      </c>
    </row>
    <row r="37" spans="1:33" ht="30" customHeight="1">
      <c r="A37" s="653">
        <f t="shared" si="3"/>
        <v>22</v>
      </c>
      <c r="B37" s="950" t="s">
        <v>430</v>
      </c>
      <c r="C37" s="951">
        <v>4500000000</v>
      </c>
      <c r="D37" s="952" t="s">
        <v>80</v>
      </c>
      <c r="E37" s="907">
        <f t="shared" ref="E37" si="14">IF(D37="VND",C37,C37*Fx_rate)</f>
        <v>4500000000</v>
      </c>
      <c r="F37" s="953" t="s">
        <v>431</v>
      </c>
      <c r="G37" s="954" t="s">
        <v>275</v>
      </c>
      <c r="H37" s="955" t="s">
        <v>55</v>
      </c>
      <c r="I37" s="955" t="str" cm="1">
        <f t="array" ref="I37">IF(ISBLANK(Table9[[#This Row],[Sub_type]]),"",_xlfn.XLOOKUP(Table9[[#This Row],[Sub_type]],Table5[[#All],[Key payment - receipt]],Table5[[#All],[Category]],"recheck",0))</f>
        <v>Loan interest</v>
      </c>
      <c r="J37" s="820" t="s">
        <v>388</v>
      </c>
      <c r="K37" s="972" t="s">
        <v>360</v>
      </c>
      <c r="L37" s="955" t="str">
        <f>IF(ISBLANK(Table9[[#This Row],[Source]]),"",IF(K37="SHL","VC3",IF(B37="BWD","BWID JSC",IF(B37="VC3","VC3","Subsidiaries"))))</f>
        <v>Subsidiaries</v>
      </c>
      <c r="M37" s="950"/>
      <c r="N37" s="957"/>
      <c r="O37" s="950" t="str">
        <f>IF($N37="","",_xlfn.XLOOKUP($N37,Acc_Char!$B$2:$B$515,Acc_Char!$C$2:$C$515,"recheck",0))</f>
        <v/>
      </c>
      <c r="P37" s="950" t="str">
        <f>IF($N37="","",_xlfn.XLOOKUP($N37,Acc_Char!$B$2:$B$515,Acc_Char!$I$2:$I$515,"recheck",0))</f>
        <v/>
      </c>
      <c r="Q37" s="957"/>
      <c r="R37" s="950" t="str">
        <f>IF($Q37="","",_xlfn.XLOOKUP($Q37,Acc_Char!$B$2:$B$515,Acc_Char!$C$2:$C$515,"out of group",0))</f>
        <v/>
      </c>
      <c r="S37" s="950" t="str">
        <f>IF($Q37="","",_xlfn.XLOOKUP($Q37,Acc_Char!$B$2:$B$515,Acc_Char!$I$2:$I$515,"out of group",0))</f>
        <v/>
      </c>
      <c r="W37" s="653"/>
      <c r="X37" s="950"/>
      <c r="Y37" s="973"/>
      <c r="Z37" s="950"/>
      <c r="AA37" s="959">
        <f t="shared" si="13"/>
        <v>0</v>
      </c>
      <c r="AB37" s="953"/>
      <c r="AC37" s="954"/>
      <c r="AD37" s="955"/>
      <c r="AE37" s="955" t="str" cm="1">
        <f t="array" ref="AE37">IF(ISBLANK(Table10[[#This Row],[Sub_Type]]),"",_xlfn.XLOOKUP(Table10[[#This Row],[Sub_Type]],Table5[[#All],[Key payment - receipt]],Table5[[#All],[Category]],"recheck",0))</f>
        <v/>
      </c>
      <c r="AF37" s="955"/>
      <c r="AG37" s="955" t="str" cm="1">
        <f t="array" ref="AG37">IF(ISBLANK(Table10[[#This Row],[Entity]]),"",_xlfn.XLOOKUP(Table10[[#This Row],[Entity]],Table1[[#All],[Abb.]],Table1[[#All],[Name]],"recheck",0))</f>
        <v/>
      </c>
    </row>
    <row r="38" spans="1:33" ht="30" customHeight="1">
      <c r="A38" s="653">
        <f t="shared" si="3"/>
        <v>23</v>
      </c>
      <c r="B38" s="950" t="s">
        <v>432</v>
      </c>
      <c r="C38" s="951">
        <v>5000000000</v>
      </c>
      <c r="D38" s="952" t="s">
        <v>80</v>
      </c>
      <c r="E38" s="891">
        <f t="shared" si="12"/>
        <v>5000000000</v>
      </c>
      <c r="F38" s="953" t="s">
        <v>433</v>
      </c>
      <c r="G38" s="954" t="s">
        <v>275</v>
      </c>
      <c r="H38" s="955" t="s">
        <v>405</v>
      </c>
      <c r="I38" s="955" t="str" cm="1">
        <f t="array" ref="I38">IF(ISBLANK(Table9[[#This Row],[Sub_type]]),"",_xlfn.XLOOKUP(Table9[[#This Row],[Sub_type]],Table5[[#All],[Key payment - receipt]],Table5[[#All],[Category]],"recheck",0))</f>
        <v>Loan repayment</v>
      </c>
      <c r="J38" s="820" t="s">
        <v>388</v>
      </c>
      <c r="K38" s="972" t="s">
        <v>360</v>
      </c>
      <c r="L38" s="955" t="str">
        <f>IF(ISBLANK(Table9[[#This Row],[Source]]),"",IF(K38="SHL","VC3",IF(B38="BWD","BWID JSC",IF(B38="VC3","VC3","Subsidiaries"))))</f>
        <v>Subsidiaries</v>
      </c>
      <c r="M38" s="950"/>
      <c r="N38" s="957"/>
      <c r="O38" s="950" t="str">
        <f>IF($N38="","",_xlfn.XLOOKUP($N38,Acc_Char!$B$2:$B$515,Acc_Char!$C$2:$C$515,"recheck",0))</f>
        <v/>
      </c>
      <c r="P38" s="950" t="str">
        <f>IF($N38="","",_xlfn.XLOOKUP($N38,Acc_Char!$B$2:$B$515,Acc_Char!$I$2:$I$515,"recheck",0))</f>
        <v/>
      </c>
      <c r="Q38" s="957"/>
      <c r="R38" s="950" t="str">
        <f>IF($Q38="","",_xlfn.XLOOKUP($Q38,Acc_Char!$B$2:$B$515,Acc_Char!$C$2:$C$515,"out of group",0))</f>
        <v/>
      </c>
      <c r="S38" s="950" t="str">
        <f>IF($Q38="","",_xlfn.XLOOKUP($Q38,Acc_Char!$B$2:$B$515,Acc_Char!$I$2:$I$515,"out of group",0))</f>
        <v/>
      </c>
      <c r="W38" s="653"/>
      <c r="X38" s="950"/>
      <c r="Y38" s="973"/>
      <c r="Z38" s="950"/>
      <c r="AA38" s="959">
        <f t="shared" si="13"/>
        <v>0</v>
      </c>
      <c r="AB38" s="953"/>
      <c r="AC38" s="954"/>
      <c r="AD38" s="955"/>
      <c r="AE38" s="955" t="str" cm="1">
        <f t="array" ref="AE38">IF(ISBLANK(Table10[[#This Row],[Sub_Type]]),"",_xlfn.XLOOKUP(Table10[[#This Row],[Sub_Type]],Table5[[#All],[Key payment - receipt]],Table5[[#All],[Category]],"recheck",0))</f>
        <v/>
      </c>
      <c r="AF38" s="955"/>
      <c r="AG38" s="955" t="str" cm="1">
        <f t="array" ref="AG38">IF(ISBLANK(Table10[[#This Row],[Entity]]),"",_xlfn.XLOOKUP(Table10[[#This Row],[Entity]],Table1[[#All],[Abb.]],Table1[[#All],[Name]],"recheck",0))</f>
        <v/>
      </c>
    </row>
    <row r="39" spans="1:33" ht="30" customHeight="1">
      <c r="A39" s="653">
        <f t="shared" si="3"/>
        <v>24</v>
      </c>
      <c r="B39" s="950" t="s">
        <v>434</v>
      </c>
      <c r="C39" s="951">
        <v>1684427628</v>
      </c>
      <c r="D39" s="952" t="s">
        <v>80</v>
      </c>
      <c r="E39" s="891">
        <f t="shared" si="12"/>
        <v>1684427628</v>
      </c>
      <c r="F39" s="953" t="s">
        <v>435</v>
      </c>
      <c r="G39" s="954" t="s">
        <v>275</v>
      </c>
      <c r="H39" s="955" t="s">
        <v>53</v>
      </c>
      <c r="I39" s="955" t="s">
        <v>53</v>
      </c>
      <c r="J39" s="820" t="s">
        <v>388</v>
      </c>
      <c r="K39" s="972" t="s">
        <v>360</v>
      </c>
      <c r="L39" s="955" t="str">
        <f>IF(ISBLANK(Table9[[#This Row],[Source]]),"",IF(K39="SHL","VC3",IF(B39="BWD","BWID JSC",IF(B39="VC3","VC3","Subsidiaries"))))</f>
        <v>Subsidiaries</v>
      </c>
      <c r="M39" s="950"/>
      <c r="N39" s="957"/>
      <c r="O39" s="950" t="str">
        <f>IF($N39="","",_xlfn.XLOOKUP($N39,Acc_Char!$B$2:$B$515,Acc_Char!$C$2:$C$515,"recheck",0))</f>
        <v/>
      </c>
      <c r="P39" s="950" t="str">
        <f>IF($N39="","",_xlfn.XLOOKUP($N39,Acc_Char!$B$2:$B$515,Acc_Char!$I$2:$I$515,"recheck",0))</f>
        <v/>
      </c>
      <c r="Q39" s="957"/>
      <c r="R39" s="950" t="str">
        <f>IF($Q39="","",_xlfn.XLOOKUP($Q39,Acc_Char!$B$2:$B$515,Acc_Char!$C$2:$C$515,"out of group",0))</f>
        <v/>
      </c>
      <c r="S39" s="950" t="str">
        <f>IF($Q39="","",_xlfn.XLOOKUP($Q39,Acc_Char!$B$2:$B$515,Acc_Char!$I$2:$I$515,"out of group",0))</f>
        <v/>
      </c>
      <c r="W39" s="653"/>
      <c r="X39" s="950"/>
      <c r="Y39" s="973"/>
      <c r="Z39" s="950"/>
      <c r="AA39" s="959">
        <f t="shared" si="13"/>
        <v>0</v>
      </c>
      <c r="AB39" s="953"/>
      <c r="AC39" s="954"/>
      <c r="AD39" s="955"/>
      <c r="AE39" s="955" t="str" cm="1">
        <f t="array" ref="AE39">IF(ISBLANK(Table10[[#This Row],[Sub_Type]]),"",_xlfn.XLOOKUP(Table10[[#This Row],[Sub_Type]],Table5[[#All],[Key payment - receipt]],Table5[[#All],[Category]],"recheck",0))</f>
        <v/>
      </c>
      <c r="AF39" s="955"/>
      <c r="AG39" s="955" t="str" cm="1">
        <f t="array" ref="AG39">IF(ISBLANK(Table10[[#This Row],[Entity]]),"",_xlfn.XLOOKUP(Table10[[#This Row],[Entity]],Table1[[#All],[Abb.]],Table1[[#All],[Name]],"recheck",0))</f>
        <v/>
      </c>
    </row>
    <row r="40" spans="1:33" ht="30" customHeight="1">
      <c r="A40" s="653">
        <f t="shared" si="3"/>
        <v>25</v>
      </c>
      <c r="B40" s="950" t="s">
        <v>436</v>
      </c>
      <c r="C40" s="951">
        <v>1317431115</v>
      </c>
      <c r="D40" s="952" t="s">
        <v>80</v>
      </c>
      <c r="E40" s="891">
        <f t="shared" si="12"/>
        <v>1317431115</v>
      </c>
      <c r="F40" s="953" t="s">
        <v>435</v>
      </c>
      <c r="G40" s="954" t="s">
        <v>275</v>
      </c>
      <c r="H40" s="955" t="s">
        <v>53</v>
      </c>
      <c r="I40" s="955" t="s">
        <v>53</v>
      </c>
      <c r="J40" s="820" t="s">
        <v>388</v>
      </c>
      <c r="K40" s="972" t="s">
        <v>360</v>
      </c>
      <c r="L40" s="955" t="str">
        <f>IF(ISBLANK(Table9[[#This Row],[Source]]),"",IF(K40="SHL","VC3",IF(B40="BWD","BWID JSC",IF(B40="VC3","VC3","Subsidiaries"))))</f>
        <v>Subsidiaries</v>
      </c>
      <c r="M40" s="950"/>
      <c r="N40" s="957"/>
      <c r="O40" s="950" t="str">
        <f>IF($N40="","",_xlfn.XLOOKUP($N40,Acc_Char!$B$2:$B$515,Acc_Char!$C$2:$C$515,"recheck",0))</f>
        <v/>
      </c>
      <c r="P40" s="950" t="str">
        <f>IF($N40="","",_xlfn.XLOOKUP($N40,Acc_Char!$B$2:$B$515,Acc_Char!$I$2:$I$515,"recheck",0))</f>
        <v/>
      </c>
      <c r="Q40" s="957"/>
      <c r="R40" s="950" t="str">
        <f>IF($Q40="","",_xlfn.XLOOKUP($Q40,Acc_Char!$B$2:$B$515,Acc_Char!$C$2:$C$515,"out of group",0))</f>
        <v/>
      </c>
      <c r="S40" s="950" t="str">
        <f>IF($Q40="","",_xlfn.XLOOKUP($Q40,Acc_Char!$B$2:$B$515,Acc_Char!$I$2:$I$515,"out of group",0))</f>
        <v/>
      </c>
      <c r="W40" s="653"/>
      <c r="X40" s="950"/>
      <c r="Y40" s="973"/>
      <c r="Z40" s="950"/>
      <c r="AA40" s="959">
        <f t="shared" si="13"/>
        <v>0</v>
      </c>
      <c r="AB40" s="953"/>
      <c r="AC40" s="954"/>
      <c r="AD40" s="955"/>
      <c r="AE40" s="955" t="str" cm="1">
        <f t="array" ref="AE40">IF(ISBLANK(Table10[[#This Row],[Sub_Type]]),"",_xlfn.XLOOKUP(Table10[[#This Row],[Sub_Type]],Table5[[#All],[Key payment - receipt]],Table5[[#All],[Category]],"recheck",0))</f>
        <v/>
      </c>
      <c r="AF40" s="955"/>
      <c r="AG40" s="955" t="str" cm="1">
        <f t="array" ref="AG40">IF(ISBLANK(Table10[[#This Row],[Entity]]),"",_xlfn.XLOOKUP(Table10[[#This Row],[Entity]],Table1[[#All],[Abb.]],Table1[[#All],[Name]],"recheck",0))</f>
        <v/>
      </c>
    </row>
    <row r="41" spans="1:33" ht="30" customHeight="1">
      <c r="A41" s="653">
        <f t="shared" si="3"/>
        <v>26</v>
      </c>
      <c r="B41" s="950" t="s">
        <v>437</v>
      </c>
      <c r="C41" s="951">
        <v>5663996490</v>
      </c>
      <c r="D41" s="952" t="s">
        <v>80</v>
      </c>
      <c r="E41" s="891">
        <f>IF(D41="VND",C41,C41*Fx_rate)</f>
        <v>5663996490</v>
      </c>
      <c r="F41" s="953" t="s">
        <v>438</v>
      </c>
      <c r="G41" s="954" t="s">
        <v>273</v>
      </c>
      <c r="H41" s="955" t="s">
        <v>22</v>
      </c>
      <c r="I41" s="955" t="str" cm="1">
        <f t="array" ref="I41">IF(ISBLANK(Table9[[#This Row],[Sub_type]]),"",_xlfn.XLOOKUP(Table9[[#This Row],[Sub_type]],Table5[[#All],[Key payment - receipt]],Table5[[#All],[Category]],"recheck",0))</f>
        <v>Construction expense</v>
      </c>
      <c r="J41" s="820" t="s">
        <v>388</v>
      </c>
      <c r="K41" s="972" t="s">
        <v>360</v>
      </c>
      <c r="L41" s="955" t="str">
        <f>IF(ISBLANK(Table9[[#This Row],[Source]]),"",IF(K41="SHL","VC3",IF(B41="BWD","BWID JSC",IF(B41="VC3","VC3","Subsidiaries"))))</f>
        <v>Subsidiaries</v>
      </c>
      <c r="M41" s="950"/>
      <c r="N41" s="957"/>
      <c r="O41" s="950" t="str">
        <f>IF($N41="","",_xlfn.XLOOKUP($N41,Acc_Char!$B$2:$B$515,Acc_Char!$C$2:$C$515,"recheck",0))</f>
        <v/>
      </c>
      <c r="P41" s="950" t="str">
        <f>IF($N41="","",_xlfn.XLOOKUP($N41,Acc_Char!$B$2:$B$515,Acc_Char!$I$2:$I$515,"recheck",0))</f>
        <v/>
      </c>
      <c r="Q41" s="957"/>
      <c r="R41" s="950" t="str">
        <f>IF($Q41="","",_xlfn.XLOOKUP($Q41,Acc_Char!$B$2:$B$515,Acc_Char!$C$2:$C$515,"out of group",0))</f>
        <v/>
      </c>
      <c r="S41" s="950" t="str">
        <f>IF($Q41="","",_xlfn.XLOOKUP($Q41,Acc_Char!$B$2:$B$515,Acc_Char!$I$2:$I$515,"out of group",0))</f>
        <v/>
      </c>
      <c r="W41" s="653"/>
      <c r="X41" s="950"/>
      <c r="Y41" s="973"/>
      <c r="Z41" s="950"/>
      <c r="AA41" s="959">
        <f t="shared" si="13"/>
        <v>0</v>
      </c>
      <c r="AB41" s="953"/>
      <c r="AC41" s="954"/>
      <c r="AD41" s="955"/>
      <c r="AE41" s="955" t="str" cm="1">
        <f t="array" ref="AE41">IF(ISBLANK(Table10[[#This Row],[Sub_Type]]),"",_xlfn.XLOOKUP(Table10[[#This Row],[Sub_Type]],Table5[[#All],[Key payment - receipt]],Table5[[#All],[Category]],"recheck",0))</f>
        <v/>
      </c>
      <c r="AF41" s="955"/>
      <c r="AG41" s="955" t="str" cm="1">
        <f t="array" ref="AG41">IF(ISBLANK(Table10[[#This Row],[Entity]]),"",_xlfn.XLOOKUP(Table10[[#This Row],[Entity]],Table1[[#All],[Abb.]],Table1[[#All],[Name]],"recheck",0))</f>
        <v/>
      </c>
    </row>
    <row r="42" spans="1:33" ht="30" customHeight="1">
      <c r="A42" s="653">
        <f t="shared" si="3"/>
        <v>27</v>
      </c>
      <c r="B42" s="950" t="s">
        <v>434</v>
      </c>
      <c r="C42" s="951">
        <v>17475513110</v>
      </c>
      <c r="D42" s="952" t="s">
        <v>80</v>
      </c>
      <c r="E42" s="891">
        <f>IF(D42="VND",C42,C42*Fx_rate)</f>
        <v>17475513110</v>
      </c>
      <c r="F42" s="953" t="s">
        <v>439</v>
      </c>
      <c r="G42" s="954" t="s">
        <v>273</v>
      </c>
      <c r="H42" s="955" t="s">
        <v>405</v>
      </c>
      <c r="I42" s="955" t="str" cm="1">
        <f t="array" ref="I42">IF(ISBLANK(Table9[[#This Row],[Sub_type]]),"",_xlfn.XLOOKUP(Table9[[#This Row],[Sub_type]],Table5[[#All],[Key payment - receipt]],Table5[[#All],[Category]],"recheck",0))</f>
        <v>Loan repayment</v>
      </c>
      <c r="J42" s="820" t="s">
        <v>388</v>
      </c>
      <c r="K42" s="972" t="s">
        <v>360</v>
      </c>
      <c r="L42" s="955" t="str">
        <f>IF(ISBLANK(Table9[[#This Row],[Source]]),"",IF(K42="SHL","VC3",IF(B42="BWD","BWID JSC",IF(B42="VC3","VC3","Subsidiaries"))))</f>
        <v>Subsidiaries</v>
      </c>
      <c r="M42" s="950"/>
      <c r="N42" s="957"/>
      <c r="O42" s="950" t="str">
        <f>IF($N42="","",_xlfn.XLOOKUP($N42,Acc_Char!$B$2:$B$515,Acc_Char!$C$2:$C$515,"recheck",0))</f>
        <v/>
      </c>
      <c r="P42" s="950" t="str">
        <f>IF($N42="","",_xlfn.XLOOKUP($N42,Acc_Char!$B$2:$B$515,Acc_Char!$I$2:$I$515,"recheck",0))</f>
        <v/>
      </c>
      <c r="Q42" s="957"/>
      <c r="R42" s="950" t="str">
        <f>IF($Q42="","",_xlfn.XLOOKUP($Q42,Acc_Char!$B$2:$B$515,Acc_Char!$C$2:$C$515,"out of group",0))</f>
        <v/>
      </c>
      <c r="S42" s="950" t="str">
        <f>IF($Q42="","",_xlfn.XLOOKUP($Q42,Acc_Char!$B$2:$B$515,Acc_Char!$I$2:$I$515,"out of group",0))</f>
        <v/>
      </c>
      <c r="W42" s="653"/>
      <c r="X42" s="950"/>
      <c r="Y42" s="973"/>
      <c r="Z42" s="950"/>
      <c r="AA42" s="959">
        <f t="shared" si="13"/>
        <v>0</v>
      </c>
      <c r="AB42" s="953"/>
      <c r="AC42" s="954"/>
      <c r="AD42" s="955"/>
      <c r="AE42" s="955" t="str" cm="1">
        <f t="array" ref="AE42">IF(ISBLANK(Table10[[#This Row],[Sub_Type]]),"",_xlfn.XLOOKUP(Table10[[#This Row],[Sub_Type]],Table5[[#All],[Key payment - receipt]],Table5[[#All],[Category]],"recheck",0))</f>
        <v/>
      </c>
      <c r="AF42" s="955"/>
      <c r="AG42" s="955" t="str" cm="1">
        <f t="array" ref="AG42">IF(ISBLANK(Table10[[#This Row],[Entity]]),"",_xlfn.XLOOKUP(Table10[[#This Row],[Entity]],Table1[[#All],[Abb.]],Table1[[#All],[Name]],"recheck",0))</f>
        <v/>
      </c>
    </row>
    <row r="43" spans="1:33" ht="30" customHeight="1">
      <c r="A43" s="653">
        <f t="shared" si="3"/>
        <v>28</v>
      </c>
      <c r="B43" s="950" t="s">
        <v>440</v>
      </c>
      <c r="C43" s="951">
        <v>2500000000</v>
      </c>
      <c r="D43" s="952" t="s">
        <v>80</v>
      </c>
      <c r="E43" s="907">
        <f t="shared" si="12"/>
        <v>2500000000</v>
      </c>
      <c r="F43" s="953" t="s">
        <v>441</v>
      </c>
      <c r="G43" s="954" t="s">
        <v>274</v>
      </c>
      <c r="H43" s="955" t="s">
        <v>53</v>
      </c>
      <c r="I43" s="955" t="s">
        <v>53</v>
      </c>
      <c r="J43" s="820" t="s">
        <v>388</v>
      </c>
      <c r="K43" s="972" t="s">
        <v>360</v>
      </c>
      <c r="L43" s="955" t="str">
        <f>IF(ISBLANK(Table9[[#This Row],[Source]]),"",IF(K43="SHL","VC3",IF(B43="BWD","BWID JSC",IF(B43="VC3","VC3","Subsidiaries"))))</f>
        <v>Subsidiaries</v>
      </c>
      <c r="M43" s="950"/>
      <c r="N43" s="957"/>
      <c r="O43" s="950" t="str">
        <f>IF($N43="","",_xlfn.XLOOKUP($N43,Acc_Char!$B$2:$B$515,Acc_Char!$C$2:$C$515,"recheck",0))</f>
        <v/>
      </c>
      <c r="P43" s="950" t="str">
        <f>IF($N43="","",_xlfn.XLOOKUP($N43,Acc_Char!$B$2:$B$515,Acc_Char!$I$2:$I$515,"recheck",0))</f>
        <v/>
      </c>
      <c r="Q43" s="957"/>
      <c r="R43" s="950" t="str">
        <f>IF($Q43="","",_xlfn.XLOOKUP($Q43,Acc_Char!$B$2:$B$515,Acc_Char!$C$2:$C$515,"out of group",0))</f>
        <v/>
      </c>
      <c r="S43" s="950" t="str">
        <f>IF($Q43="","",_xlfn.XLOOKUP($Q43,Acc_Char!$B$2:$B$515,Acc_Char!$I$2:$I$515,"out of group",0))</f>
        <v/>
      </c>
      <c r="W43" s="653"/>
      <c r="X43" s="950"/>
      <c r="Y43" s="973"/>
      <c r="Z43" s="950"/>
      <c r="AA43" s="959">
        <f t="shared" si="13"/>
        <v>0</v>
      </c>
      <c r="AB43" s="953"/>
      <c r="AC43" s="954"/>
      <c r="AD43" s="955"/>
      <c r="AE43" s="955" t="str" cm="1">
        <f t="array" ref="AE43">IF(ISBLANK(Table10[[#This Row],[Sub_Type]]),"",_xlfn.XLOOKUP(Table10[[#This Row],[Sub_Type]],Table5[[#All],[Key payment - receipt]],Table5[[#All],[Category]],"recheck",0))</f>
        <v/>
      </c>
      <c r="AF43" s="955"/>
      <c r="AG43" s="955" t="str" cm="1">
        <f t="array" ref="AG43">IF(ISBLANK(Table10[[#This Row],[Entity]]),"",_xlfn.XLOOKUP(Table10[[#This Row],[Entity]],Table1[[#All],[Abb.]],Table1[[#All],[Name]],"recheck",0))</f>
        <v/>
      </c>
    </row>
    <row r="44" spans="1:33" ht="30" customHeight="1">
      <c r="A44" s="653">
        <f t="shared" si="3"/>
        <v>29</v>
      </c>
      <c r="B44" s="950" t="s">
        <v>436</v>
      </c>
      <c r="C44" s="951">
        <v>3044902453</v>
      </c>
      <c r="D44" s="952" t="s">
        <v>80</v>
      </c>
      <c r="E44" s="891">
        <f t="shared" si="12"/>
        <v>3044902453</v>
      </c>
      <c r="F44" s="953" t="s">
        <v>442</v>
      </c>
      <c r="G44" s="954" t="s">
        <v>275</v>
      </c>
      <c r="H44" s="955" t="s">
        <v>53</v>
      </c>
      <c r="I44" s="955" t="s">
        <v>53</v>
      </c>
      <c r="J44" s="820" t="s">
        <v>388</v>
      </c>
      <c r="K44" s="972" t="s">
        <v>360</v>
      </c>
      <c r="L44" s="955" t="str">
        <f>IF(ISBLANK(Table9[[#This Row],[Source]]),"",IF(K44="SHL","VC3",IF(B44="BWD","BWID JSC",IF(B44="VC3","VC3","Subsidiaries"))))</f>
        <v>Subsidiaries</v>
      </c>
      <c r="M44" s="950"/>
      <c r="N44" s="957"/>
      <c r="O44" s="950" t="str">
        <f>IF($N44="","",_xlfn.XLOOKUP($N44,Acc_Char!$B$2:$B$515,Acc_Char!$C$2:$C$515,"recheck",0))</f>
        <v/>
      </c>
      <c r="P44" s="950" t="str">
        <f>IF($N44="","",_xlfn.XLOOKUP($N44,Acc_Char!$B$2:$B$515,Acc_Char!$I$2:$I$515,"recheck",0))</f>
        <v/>
      </c>
      <c r="Q44" s="957"/>
      <c r="R44" s="950" t="str">
        <f>IF($Q44="","",_xlfn.XLOOKUP($Q44,Acc_Char!$B$2:$B$515,Acc_Char!$C$2:$C$515,"out of group",0))</f>
        <v/>
      </c>
      <c r="S44" s="950" t="str">
        <f>IF($Q44="","",_xlfn.XLOOKUP($Q44,Acc_Char!$B$2:$B$515,Acc_Char!$I$2:$I$515,"out of group",0))</f>
        <v/>
      </c>
      <c r="W44" s="653"/>
      <c r="X44" s="950"/>
      <c r="Y44" s="973"/>
      <c r="Z44" s="950"/>
      <c r="AA44" s="959">
        <f t="shared" si="13"/>
        <v>0</v>
      </c>
      <c r="AB44" s="953"/>
      <c r="AC44" s="954"/>
      <c r="AD44" s="955"/>
      <c r="AE44" s="955" t="str" cm="1">
        <f t="array" ref="AE44">IF(ISBLANK(Table10[[#This Row],[Sub_Type]]),"",_xlfn.XLOOKUP(Table10[[#This Row],[Sub_Type]],Table5[[#All],[Key payment - receipt]],Table5[[#All],[Category]],"recheck",0))</f>
        <v/>
      </c>
      <c r="AF44" s="955"/>
      <c r="AG44" s="955" t="str" cm="1">
        <f t="array" ref="AG44">IF(ISBLANK(Table10[[#This Row],[Entity]]),"",_xlfn.XLOOKUP(Table10[[#This Row],[Entity]],Table1[[#All],[Abb.]],Table1[[#All],[Name]],"recheck",0))</f>
        <v/>
      </c>
    </row>
    <row r="45" spans="1:33" ht="30" customHeight="1">
      <c r="A45" s="653">
        <f t="shared" si="3"/>
        <v>30</v>
      </c>
      <c r="B45" s="950" t="s">
        <v>389</v>
      </c>
      <c r="C45" s="951">
        <v>7287714767</v>
      </c>
      <c r="D45" s="952" t="s">
        <v>80</v>
      </c>
      <c r="E45" s="891">
        <f t="shared" si="12"/>
        <v>7287714767</v>
      </c>
      <c r="F45" s="953" t="s">
        <v>443</v>
      </c>
      <c r="G45" s="954" t="s">
        <v>275</v>
      </c>
      <c r="H45" s="955" t="s">
        <v>55</v>
      </c>
      <c r="I45" s="955" t="str" cm="1">
        <f t="array" ref="I45">IF(ISBLANK(Table9[[#This Row],[Sub_type]]),"",_xlfn.XLOOKUP(Table9[[#This Row],[Sub_type]],Table5[[#All],[Key payment - receipt]],Table5[[#All],[Category]],"recheck",0))</f>
        <v>Loan interest</v>
      </c>
      <c r="J45" s="820" t="s">
        <v>388</v>
      </c>
      <c r="K45" s="972" t="s">
        <v>360</v>
      </c>
      <c r="L45" s="955" t="str">
        <f>IF(ISBLANK(Table9[[#This Row],[Source]]),"",IF(K45="SHL","VC3",IF(B45="BWD","BWID JSC",IF(B45="VC3","VC3","Subsidiaries"))))</f>
        <v>BWID JSC</v>
      </c>
      <c r="M45" s="950"/>
      <c r="N45" s="957"/>
      <c r="O45" s="950" t="str">
        <f>IF($N45="","",_xlfn.XLOOKUP($N45,Acc_Char!$B$2:$B$515,Acc_Char!$C$2:$C$515,"recheck",0))</f>
        <v/>
      </c>
      <c r="P45" s="950" t="str">
        <f>IF($N45="","",_xlfn.XLOOKUP($N45,Acc_Char!$B$2:$B$515,Acc_Char!$I$2:$I$515,"recheck",0))</f>
        <v/>
      </c>
      <c r="Q45" s="957"/>
      <c r="R45" s="950" t="str">
        <f>IF($Q45="","",_xlfn.XLOOKUP($Q45,Acc_Char!$B$2:$B$515,Acc_Char!$C$2:$C$515,"out of group",0))</f>
        <v/>
      </c>
      <c r="S45" s="950" t="str">
        <f>IF($Q45="","",_xlfn.XLOOKUP($Q45,Acc_Char!$B$2:$B$515,Acc_Char!$I$2:$I$515,"out of group",0))</f>
        <v/>
      </c>
      <c r="W45" s="653"/>
      <c r="X45" s="950"/>
      <c r="Y45" s="973"/>
      <c r="Z45" s="950"/>
      <c r="AA45" s="959">
        <f t="shared" si="13"/>
        <v>0</v>
      </c>
      <c r="AB45" s="953"/>
      <c r="AC45" s="954"/>
      <c r="AD45" s="955"/>
      <c r="AE45" s="955" t="str" cm="1">
        <f t="array" ref="AE45">IF(ISBLANK(Table10[[#This Row],[Sub_Type]]),"",_xlfn.XLOOKUP(Table10[[#This Row],[Sub_Type]],Table5[[#All],[Key payment - receipt]],Table5[[#All],[Category]],"recheck",0))</f>
        <v/>
      </c>
      <c r="AF45" s="955"/>
      <c r="AG45" s="955" t="str" cm="1">
        <f t="array" ref="AG45">IF(ISBLANK(Table10[[#This Row],[Entity]]),"",_xlfn.XLOOKUP(Table10[[#This Row],[Entity]],Table1[[#All],[Abb.]],Table1[[#All],[Name]],"recheck",0))</f>
        <v/>
      </c>
    </row>
    <row r="46" spans="1:33" ht="30" customHeight="1">
      <c r="A46" s="653">
        <f t="shared" si="3"/>
        <v>31</v>
      </c>
      <c r="B46" s="950" t="s">
        <v>402</v>
      </c>
      <c r="C46" s="951">
        <v>8300000000</v>
      </c>
      <c r="D46" s="952" t="s">
        <v>80</v>
      </c>
      <c r="E46" s="891">
        <f t="shared" si="12"/>
        <v>8300000000</v>
      </c>
      <c r="F46" s="953" t="s">
        <v>444</v>
      </c>
      <c r="G46" s="954" t="s">
        <v>276</v>
      </c>
      <c r="H46" s="955" t="s">
        <v>55</v>
      </c>
      <c r="I46" s="955" t="str" cm="1">
        <f t="array" ref="I46">IF(ISBLANK(Table9[[#This Row],[Sub_type]]),"",_xlfn.XLOOKUP(Table9[[#This Row],[Sub_type]],Table5[[#All],[Key payment - receipt]],Table5[[#All],[Category]],"recheck",0))</f>
        <v>Loan interest</v>
      </c>
      <c r="J46" s="820" t="s">
        <v>388</v>
      </c>
      <c r="K46" s="972" t="s">
        <v>360</v>
      </c>
      <c r="L46" s="955" t="str">
        <f>IF(ISBLANK(Table9[[#This Row],[Source]]),"",IF(K46="SHL","VC3",IF(B46="BWD","BWID JSC",IF(B46="VC3","VC3","Subsidiaries"))))</f>
        <v>Subsidiaries</v>
      </c>
      <c r="M46" s="950"/>
      <c r="N46" s="957"/>
      <c r="O46" s="950" t="str">
        <f>IF($N46="","",_xlfn.XLOOKUP($N46,Acc_Char!$B$2:$B$515,Acc_Char!$C$2:$C$515,"recheck",0))</f>
        <v/>
      </c>
      <c r="P46" s="950" t="str">
        <f>IF($N46="","",_xlfn.XLOOKUP($N46,Acc_Char!$B$2:$B$515,Acc_Char!$I$2:$I$515,"recheck",0))</f>
        <v/>
      </c>
      <c r="Q46" s="957"/>
      <c r="R46" s="950" t="str">
        <f>IF($Q46="","",_xlfn.XLOOKUP($Q46,Acc_Char!$B$2:$B$515,Acc_Char!$C$2:$C$515,"out of group",0))</f>
        <v/>
      </c>
      <c r="S46" s="950" t="str">
        <f>IF($Q46="","",_xlfn.XLOOKUP($Q46,Acc_Char!$B$2:$B$515,Acc_Char!$I$2:$I$515,"out of group",0))</f>
        <v/>
      </c>
      <c r="W46" s="653"/>
      <c r="X46" s="950"/>
      <c r="Y46" s="973"/>
      <c r="Z46" s="950"/>
      <c r="AA46" s="959">
        <f t="shared" ref="AA46:AA76" si="15">IF(Z46="VND",Y46,Y46*Fx_rate)</f>
        <v>0</v>
      </c>
      <c r="AB46" s="953"/>
      <c r="AC46" s="954"/>
      <c r="AD46" s="955"/>
      <c r="AE46" s="955" t="str" cm="1">
        <f t="array" ref="AE46">IF(ISBLANK(Table10[[#This Row],[Sub_Type]]),"",_xlfn.XLOOKUP(Table10[[#This Row],[Sub_Type]],Table5[[#All],[Key payment - receipt]],Table5[[#All],[Category]],"recheck",0))</f>
        <v/>
      </c>
      <c r="AF46" s="955"/>
      <c r="AG46" s="955" t="str" cm="1">
        <f t="array" ref="AG46">IF(ISBLANK(Table10[[#This Row],[Entity]]),"",_xlfn.XLOOKUP(Table10[[#This Row],[Entity]],Table1[[#All],[Abb.]],Table1[[#All],[Name]],"recheck",0))</f>
        <v/>
      </c>
    </row>
    <row r="47" spans="1:33" ht="30" customHeight="1">
      <c r="A47" s="653">
        <f t="shared" si="3"/>
        <v>32</v>
      </c>
      <c r="B47" s="950" t="s">
        <v>445</v>
      </c>
      <c r="C47" s="951">
        <v>3000000000</v>
      </c>
      <c r="D47" s="952" t="s">
        <v>80</v>
      </c>
      <c r="E47" s="891">
        <f t="shared" si="12"/>
        <v>3000000000</v>
      </c>
      <c r="F47" s="953" t="s">
        <v>446</v>
      </c>
      <c r="G47" s="954" t="s">
        <v>276</v>
      </c>
      <c r="H47" s="955" t="s">
        <v>55</v>
      </c>
      <c r="I47" s="955" t="str" cm="1">
        <f t="array" ref="I47">IF(ISBLANK(Table9[[#This Row],[Sub_type]]),"",_xlfn.XLOOKUP(Table9[[#This Row],[Sub_type]],Table5[[#All],[Key payment - receipt]],Table5[[#All],[Category]],"recheck",0))</f>
        <v>Loan interest</v>
      </c>
      <c r="J47" s="820" t="s">
        <v>388</v>
      </c>
      <c r="K47" s="972" t="s">
        <v>360</v>
      </c>
      <c r="L47" s="955" t="str">
        <f>IF(ISBLANK(Table9[[#This Row],[Source]]),"",IF(K47="SHL","VC3",IF(B47="BWD","BWID JSC",IF(B47="VC3","VC3","Subsidiaries"))))</f>
        <v>Subsidiaries</v>
      </c>
      <c r="M47" s="950"/>
      <c r="N47" s="957"/>
      <c r="O47" s="950" t="str">
        <f>IF($N47="","",_xlfn.XLOOKUP($N47,Acc_Char!$B$2:$B$515,Acc_Char!$C$2:$C$515,"recheck",0))</f>
        <v/>
      </c>
      <c r="P47" s="950" t="str">
        <f>IF($N47="","",_xlfn.XLOOKUP($N47,Acc_Char!$B$2:$B$515,Acc_Char!$I$2:$I$515,"recheck",0))</f>
        <v/>
      </c>
      <c r="Q47" s="957"/>
      <c r="R47" s="950" t="str">
        <f>IF($Q47="","",_xlfn.XLOOKUP($Q47,Acc_Char!$B$2:$B$515,Acc_Char!$C$2:$C$515,"out of group",0))</f>
        <v/>
      </c>
      <c r="S47" s="950" t="str">
        <f>IF($Q47="","",_xlfn.XLOOKUP($Q47,Acc_Char!$B$2:$B$515,Acc_Char!$I$2:$I$515,"out of group",0))</f>
        <v/>
      </c>
      <c r="W47" s="653"/>
      <c r="X47" s="950"/>
      <c r="Y47" s="973"/>
      <c r="Z47" s="950"/>
      <c r="AA47" s="959">
        <f t="shared" si="15"/>
        <v>0</v>
      </c>
      <c r="AB47" s="953"/>
      <c r="AC47" s="954"/>
      <c r="AD47" s="955"/>
      <c r="AE47" s="955" t="str" cm="1">
        <f t="array" ref="AE47">IF(ISBLANK(Table10[[#This Row],[Sub_Type]]),"",_xlfn.XLOOKUP(Table10[[#This Row],[Sub_Type]],Table5[[#All],[Key payment - receipt]],Table5[[#All],[Category]],"recheck",0))</f>
        <v/>
      </c>
      <c r="AF47" s="955"/>
      <c r="AG47" s="955" t="str" cm="1">
        <f t="array" ref="AG47">IF(ISBLANK(Table10[[#This Row],[Entity]]),"",_xlfn.XLOOKUP(Table10[[#This Row],[Entity]],Table1[[#All],[Abb.]],Table1[[#All],[Name]],"recheck",0))</f>
        <v/>
      </c>
    </row>
    <row r="48" spans="1:33" ht="30" customHeight="1">
      <c r="A48" s="653">
        <f t="shared" si="3"/>
        <v>33</v>
      </c>
      <c r="B48" s="950" t="s">
        <v>403</v>
      </c>
      <c r="C48" s="951">
        <v>11501082192</v>
      </c>
      <c r="D48" s="952" t="s">
        <v>80</v>
      </c>
      <c r="E48" s="891">
        <f t="shared" si="12"/>
        <v>11501082192</v>
      </c>
      <c r="F48" s="953" t="s">
        <v>447</v>
      </c>
      <c r="G48" s="954" t="s">
        <v>275</v>
      </c>
      <c r="H48" s="955" t="s">
        <v>55</v>
      </c>
      <c r="I48" s="955" t="str" cm="1">
        <f t="array" ref="I48">IF(ISBLANK(Table9[[#This Row],[Sub_type]]),"",_xlfn.XLOOKUP(Table9[[#This Row],[Sub_type]],Table5[[#All],[Key payment - receipt]],Table5[[#All],[Category]],"recheck",0))</f>
        <v>Loan interest</v>
      </c>
      <c r="J48" s="820" t="s">
        <v>388</v>
      </c>
      <c r="K48" s="972" t="s">
        <v>360</v>
      </c>
      <c r="L48" s="955" t="str">
        <f>IF(ISBLANK(Table9[[#This Row],[Source]]),"",IF(K48="SHL","VC3",IF(B48="BWD","BWID JSC",IF(B48="VC3","VC3","Subsidiaries"))))</f>
        <v>Subsidiaries</v>
      </c>
      <c r="M48" s="950"/>
      <c r="N48" s="957"/>
      <c r="O48" s="950" t="str">
        <f>IF($N48="","",_xlfn.XLOOKUP($N48,Acc_Char!$B$2:$B$515,Acc_Char!$C$2:$C$515,"recheck",0))</f>
        <v/>
      </c>
      <c r="P48" s="950" t="str">
        <f>IF($N48="","",_xlfn.XLOOKUP($N48,Acc_Char!$B$2:$B$515,Acc_Char!$I$2:$I$515,"recheck",0))</f>
        <v/>
      </c>
      <c r="Q48" s="957"/>
      <c r="R48" s="950" t="str">
        <f>IF($Q48="","",_xlfn.XLOOKUP($Q48,Acc_Char!$B$2:$B$515,Acc_Char!$C$2:$C$515,"out of group",0))</f>
        <v/>
      </c>
      <c r="S48" s="950" t="str">
        <f>IF($Q48="","",_xlfn.XLOOKUP($Q48,Acc_Char!$B$2:$B$515,Acc_Char!$I$2:$I$515,"out of group",0))</f>
        <v/>
      </c>
      <c r="W48" s="653"/>
      <c r="X48" s="950"/>
      <c r="Y48" s="973"/>
      <c r="Z48" s="950"/>
      <c r="AA48" s="959">
        <f t="shared" si="15"/>
        <v>0</v>
      </c>
      <c r="AB48" s="953"/>
      <c r="AC48" s="954"/>
      <c r="AD48" s="955"/>
      <c r="AE48" s="955" t="str" cm="1">
        <f t="array" ref="AE48">IF(ISBLANK(Table10[[#This Row],[Sub_Type]]),"",_xlfn.XLOOKUP(Table10[[#This Row],[Sub_Type]],Table5[[#All],[Key payment - receipt]],Table5[[#All],[Category]],"recheck",0))</f>
        <v/>
      </c>
      <c r="AF48" s="955"/>
      <c r="AG48" s="955" t="str" cm="1">
        <f t="array" ref="AG48">IF(ISBLANK(Table10[[#This Row],[Entity]]),"",_xlfn.XLOOKUP(Table10[[#This Row],[Entity]],Table1[[#All],[Abb.]],Table1[[#All],[Name]],"recheck",0))</f>
        <v/>
      </c>
    </row>
    <row r="49" spans="1:33" ht="30" customHeight="1">
      <c r="A49" s="653">
        <f t="shared" si="3"/>
        <v>34</v>
      </c>
      <c r="B49" s="950" t="s">
        <v>389</v>
      </c>
      <c r="C49" s="951">
        <v>7287714767</v>
      </c>
      <c r="D49" s="952" t="s">
        <v>80</v>
      </c>
      <c r="E49" s="891">
        <f t="shared" si="12"/>
        <v>7287714767</v>
      </c>
      <c r="F49" s="953" t="s">
        <v>448</v>
      </c>
      <c r="G49" s="954" t="s">
        <v>275</v>
      </c>
      <c r="H49" s="955" t="s">
        <v>55</v>
      </c>
      <c r="I49" s="955" t="str" cm="1">
        <f t="array" ref="I49">IF(ISBLANK(Table9[[#This Row],[Sub_type]]),"",_xlfn.XLOOKUP(Table9[[#This Row],[Sub_type]],Table5[[#All],[Key payment - receipt]],Table5[[#All],[Category]],"recheck",0))</f>
        <v>Loan interest</v>
      </c>
      <c r="J49" s="820" t="s">
        <v>388</v>
      </c>
      <c r="K49" s="972" t="s">
        <v>360</v>
      </c>
      <c r="L49" s="955" t="str">
        <f>IF(ISBLANK(Table9[[#This Row],[Source]]),"",IF(K49="SHL","VC3",IF(B49="BWD","BWID JSC",IF(B49="VC3","VC3","Subsidiaries"))))</f>
        <v>BWID JSC</v>
      </c>
      <c r="M49" s="950"/>
      <c r="N49" s="957"/>
      <c r="O49" s="950" t="str">
        <f>IF($N49="","",_xlfn.XLOOKUP($N49,Acc_Char!$B$2:$B$515,Acc_Char!$C$2:$C$515,"recheck",0))</f>
        <v/>
      </c>
      <c r="P49" s="950" t="str">
        <f>IF($N49="","",_xlfn.XLOOKUP($N49,Acc_Char!$B$2:$B$515,Acc_Char!$I$2:$I$515,"recheck",0))</f>
        <v/>
      </c>
      <c r="Q49" s="957"/>
      <c r="R49" s="950" t="str">
        <f>IF($Q49="","",_xlfn.XLOOKUP($Q49,Acc_Char!$B$2:$B$515,Acc_Char!$C$2:$C$515,"out of group",0))</f>
        <v/>
      </c>
      <c r="S49" s="950" t="str">
        <f>IF($Q49="","",_xlfn.XLOOKUP($Q49,Acc_Char!$B$2:$B$515,Acc_Char!$I$2:$I$515,"out of group",0))</f>
        <v/>
      </c>
      <c r="W49" s="653"/>
      <c r="X49" s="950"/>
      <c r="Y49" s="973"/>
      <c r="Z49" s="950"/>
      <c r="AA49" s="959">
        <f t="shared" si="15"/>
        <v>0</v>
      </c>
      <c r="AB49" s="953"/>
      <c r="AC49" s="954"/>
      <c r="AD49" s="955"/>
      <c r="AE49" s="955" t="str" cm="1">
        <f t="array" ref="AE49">IF(ISBLANK(Table10[[#This Row],[Sub_Type]]),"",_xlfn.XLOOKUP(Table10[[#This Row],[Sub_Type]],Table5[[#All],[Key payment - receipt]],Table5[[#All],[Category]],"recheck",0))</f>
        <v/>
      </c>
      <c r="AF49" s="955"/>
      <c r="AG49" s="955" t="str" cm="1">
        <f t="array" ref="AG49">IF(ISBLANK(Table10[[#This Row],[Entity]]),"",_xlfn.XLOOKUP(Table10[[#This Row],[Entity]],Table1[[#All],[Abb.]],Table1[[#All],[Name]],"recheck",0))</f>
        <v/>
      </c>
    </row>
    <row r="50" spans="1:33" ht="30" customHeight="1">
      <c r="A50" s="653">
        <f t="shared" si="3"/>
        <v>35</v>
      </c>
      <c r="B50" s="950" t="s">
        <v>424</v>
      </c>
      <c r="C50" s="951">
        <v>25701650000</v>
      </c>
      <c r="D50" s="952" t="s">
        <v>80</v>
      </c>
      <c r="E50" s="891">
        <f t="shared" si="12"/>
        <v>25701650000</v>
      </c>
      <c r="F50" s="953" t="s">
        <v>449</v>
      </c>
      <c r="G50" s="954" t="s">
        <v>273</v>
      </c>
      <c r="H50" s="955" t="s">
        <v>21</v>
      </c>
      <c r="I50" s="955" t="str" cm="1">
        <f t="array" ref="I50">IF(ISBLANK(Table9[[#This Row],[Sub_type]]),"",_xlfn.XLOOKUP(Table9[[#This Row],[Sub_type]],Table5[[#All],[Key payment - receipt]],Table5[[#All],[Category]],"recheck",0))</f>
        <v>Deal payment</v>
      </c>
      <c r="J50" s="820" t="s">
        <v>388</v>
      </c>
      <c r="K50" s="972" t="s">
        <v>360</v>
      </c>
      <c r="L50" s="955" t="str">
        <f>IF(ISBLANK(Table9[[#This Row],[Source]]),"",IF(K50="SHL","VC3",IF(B50="BWD","BWID JSC",IF(B50="VC3","VC3","Subsidiaries"))))</f>
        <v>Subsidiaries</v>
      </c>
      <c r="M50" s="950"/>
      <c r="N50" s="957"/>
      <c r="O50" s="950" t="str">
        <f>IF($N50="","",_xlfn.XLOOKUP($N50,Acc_Char!$B$2:$B$515,Acc_Char!$C$2:$C$515,"recheck",0))</f>
        <v/>
      </c>
      <c r="P50" s="950" t="str">
        <f>IF($N50="","",_xlfn.XLOOKUP($N50,Acc_Char!$B$2:$B$515,Acc_Char!$I$2:$I$515,"recheck",0))</f>
        <v/>
      </c>
      <c r="Q50" s="957"/>
      <c r="R50" s="950" t="str">
        <f>IF($Q50="","",_xlfn.XLOOKUP($Q50,Acc_Char!$B$2:$B$515,Acc_Char!$C$2:$C$515,"out of group",0))</f>
        <v/>
      </c>
      <c r="S50" s="950" t="str">
        <f>IF($Q50="","",_xlfn.XLOOKUP($Q50,Acc_Char!$B$2:$B$515,Acc_Char!$I$2:$I$515,"out of group",0))</f>
        <v/>
      </c>
      <c r="W50" s="653"/>
      <c r="X50" s="950"/>
      <c r="Y50" s="973"/>
      <c r="Z50" s="950"/>
      <c r="AA50" s="959">
        <f t="shared" si="15"/>
        <v>0</v>
      </c>
      <c r="AB50" s="953"/>
      <c r="AC50" s="954"/>
      <c r="AD50" s="955"/>
      <c r="AE50" s="955" t="str" cm="1">
        <f t="array" ref="AE50">IF(ISBLANK(Table10[[#This Row],[Sub_Type]]),"",_xlfn.XLOOKUP(Table10[[#This Row],[Sub_Type]],Table5[[#All],[Key payment - receipt]],Table5[[#All],[Category]],"recheck",0))</f>
        <v/>
      </c>
      <c r="AF50" s="955"/>
      <c r="AG50" s="955" t="str" cm="1">
        <f t="array" ref="AG50">IF(ISBLANK(Table10[[#This Row],[Entity]]),"",_xlfn.XLOOKUP(Table10[[#This Row],[Entity]],Table1[[#All],[Abb.]],Table1[[#All],[Name]],"recheck",0))</f>
        <v/>
      </c>
    </row>
    <row r="51" spans="1:33" ht="30" customHeight="1">
      <c r="A51" s="653">
        <f t="shared" si="3"/>
        <v>36</v>
      </c>
      <c r="B51" s="950" t="s">
        <v>420</v>
      </c>
      <c r="C51" s="951">
        <v>44000000000</v>
      </c>
      <c r="D51" s="952" t="s">
        <v>80</v>
      </c>
      <c r="E51" s="891">
        <f t="shared" si="12"/>
        <v>44000000000</v>
      </c>
      <c r="F51" s="953" t="s">
        <v>421</v>
      </c>
      <c r="G51" s="954" t="s">
        <v>275</v>
      </c>
      <c r="H51" s="955" t="s">
        <v>22</v>
      </c>
      <c r="I51" s="955" t="str" cm="1">
        <f t="array" ref="I51">IF(ISBLANK(Table9[[#This Row],[Sub_type]]),"",_xlfn.XLOOKUP(Table9[[#This Row],[Sub_type]],Table5[[#All],[Key payment - receipt]],Table5[[#All],[Category]],"recheck",0))</f>
        <v>Construction expense</v>
      </c>
      <c r="J51" s="820" t="s">
        <v>388</v>
      </c>
      <c r="K51" s="972" t="s">
        <v>361</v>
      </c>
      <c r="L51" s="955" t="str">
        <f>IF(ISBLANK(Table9[[#This Row],[Source]]),"",IF(K51="SHL","VC3",IF(B51="BWD","BWID JSC",IF(B51="VC3","VC3","Subsidiaries"))))</f>
        <v>Subsidiaries</v>
      </c>
      <c r="M51" s="950"/>
      <c r="N51" s="957"/>
      <c r="O51" s="950" t="str">
        <f>IF($N51="","",_xlfn.XLOOKUP($N51,Acc_Char!$B$2:$B$515,Acc_Char!$C$2:$C$515,"recheck",0))</f>
        <v/>
      </c>
      <c r="P51" s="950" t="str">
        <f>IF($N51="","",_xlfn.XLOOKUP($N51,Acc_Char!$B$2:$B$515,Acc_Char!$I$2:$I$515,"recheck",0))</f>
        <v/>
      </c>
      <c r="Q51" s="957"/>
      <c r="R51" s="950" t="str">
        <f>IF($Q51="","",_xlfn.XLOOKUP($Q51,Acc_Char!$B$2:$B$515,Acc_Char!$C$2:$C$515,"out of group",0))</f>
        <v/>
      </c>
      <c r="S51" s="950" t="str">
        <f>IF($Q51="","",_xlfn.XLOOKUP($Q51,Acc_Char!$B$2:$B$515,Acc_Char!$I$2:$I$515,"out of group",0))</f>
        <v/>
      </c>
      <c r="W51" s="653"/>
      <c r="X51" s="950"/>
      <c r="Y51" s="973"/>
      <c r="Z51" s="950"/>
      <c r="AA51" s="959">
        <f t="shared" si="15"/>
        <v>0</v>
      </c>
      <c r="AB51" s="953"/>
      <c r="AC51" s="954"/>
      <c r="AD51" s="955"/>
      <c r="AE51" s="955" t="str" cm="1">
        <f t="array" ref="AE51">IF(ISBLANK(Table10[[#This Row],[Sub_Type]]),"",_xlfn.XLOOKUP(Table10[[#This Row],[Sub_Type]],Table5[[#All],[Key payment - receipt]],Table5[[#All],[Category]],"recheck",0))</f>
        <v/>
      </c>
      <c r="AF51" s="955"/>
      <c r="AG51" s="955" t="str" cm="1">
        <f t="array" ref="AG51">IF(ISBLANK(Table10[[#This Row],[Entity]]),"",_xlfn.XLOOKUP(Table10[[#This Row],[Entity]],Table1[[#All],[Abb.]],Table1[[#All],[Name]],"recheck",0))</f>
        <v/>
      </c>
    </row>
    <row r="52" spans="1:33" ht="30" customHeight="1">
      <c r="A52" s="653">
        <f t="shared" si="3"/>
        <v>37</v>
      </c>
      <c r="B52" s="950" t="s">
        <v>430</v>
      </c>
      <c r="C52" s="951">
        <v>19200000000</v>
      </c>
      <c r="D52" s="952" t="s">
        <v>80</v>
      </c>
      <c r="E52" s="891">
        <f t="shared" si="12"/>
        <v>19200000000</v>
      </c>
      <c r="F52" s="953" t="s">
        <v>450</v>
      </c>
      <c r="G52" s="954" t="s">
        <v>274</v>
      </c>
      <c r="H52" s="955" t="s">
        <v>22</v>
      </c>
      <c r="I52" s="955" t="str" cm="1">
        <f t="array" ref="I52">IF(ISBLANK(Table9[[#This Row],[Sub_type]]),"",_xlfn.XLOOKUP(Table9[[#This Row],[Sub_type]],Table5[[#All],[Key payment - receipt]],Table5[[#All],[Category]],"recheck",0))</f>
        <v>Construction expense</v>
      </c>
      <c r="J52" s="820" t="s">
        <v>388</v>
      </c>
      <c r="K52" s="972" t="s">
        <v>361</v>
      </c>
      <c r="L52" s="955" t="str">
        <f>IF(ISBLANK(Table9[[#This Row],[Source]]),"",IF(K52="SHL","VC3",IF(B52="BWD","BWID JSC",IF(B52="VC3","VC3","Subsidiaries"))))</f>
        <v>Subsidiaries</v>
      </c>
      <c r="M52" s="950"/>
      <c r="N52" s="957"/>
      <c r="O52" s="950" t="str">
        <f>IF($N52="","",_xlfn.XLOOKUP($N52,Acc_Char!$B$2:$B$515,Acc_Char!$C$2:$C$515,"recheck",0))</f>
        <v/>
      </c>
      <c r="P52" s="950" t="str">
        <f>IF($N52="","",_xlfn.XLOOKUP($N52,Acc_Char!$B$2:$B$515,Acc_Char!$I$2:$I$515,"recheck",0))</f>
        <v/>
      </c>
      <c r="Q52" s="957"/>
      <c r="R52" s="950" t="str">
        <f>IF($Q52="","",_xlfn.XLOOKUP($Q52,Acc_Char!$B$2:$B$515,Acc_Char!$C$2:$C$515,"out of group",0))</f>
        <v/>
      </c>
      <c r="S52" s="950" t="str">
        <f>IF($Q52="","",_xlfn.XLOOKUP($Q52,Acc_Char!$B$2:$B$515,Acc_Char!$I$2:$I$515,"out of group",0))</f>
        <v/>
      </c>
      <c r="W52" s="653"/>
      <c r="X52" s="950"/>
      <c r="Y52" s="973"/>
      <c r="Z52" s="950"/>
      <c r="AA52" s="959">
        <f t="shared" si="15"/>
        <v>0</v>
      </c>
      <c r="AB52" s="953"/>
      <c r="AC52" s="954"/>
      <c r="AD52" s="955"/>
      <c r="AE52" s="955" t="str" cm="1">
        <f t="array" ref="AE52">IF(ISBLANK(Table10[[#This Row],[Sub_Type]]),"",_xlfn.XLOOKUP(Table10[[#This Row],[Sub_Type]],Table5[[#All],[Key payment - receipt]],Table5[[#All],[Category]],"recheck",0))</f>
        <v/>
      </c>
      <c r="AF52" s="955"/>
      <c r="AG52" s="955" t="str" cm="1">
        <f t="array" ref="AG52">IF(ISBLANK(Table10[[#This Row],[Entity]]),"",_xlfn.XLOOKUP(Table10[[#This Row],[Entity]],Table1[[#All],[Abb.]],Table1[[#All],[Name]],"recheck",0))</f>
        <v/>
      </c>
    </row>
    <row r="53" spans="1:33" ht="30" customHeight="1">
      <c r="A53" s="653">
        <f t="shared" si="3"/>
        <v>38</v>
      </c>
      <c r="B53" s="950" t="s">
        <v>430</v>
      </c>
      <c r="C53" s="951">
        <v>19200000000</v>
      </c>
      <c r="D53" s="952" t="s">
        <v>80</v>
      </c>
      <c r="E53" s="891">
        <f t="shared" si="12"/>
        <v>19200000000</v>
      </c>
      <c r="F53" s="953" t="s">
        <v>451</v>
      </c>
      <c r="G53" s="954" t="s">
        <v>274</v>
      </c>
      <c r="H53" s="955" t="s">
        <v>22</v>
      </c>
      <c r="I53" s="955" t="str" cm="1">
        <f t="array" ref="I53">IF(ISBLANK(Table9[[#This Row],[Sub_type]]),"",_xlfn.XLOOKUP(Table9[[#This Row],[Sub_type]],Table5[[#All],[Key payment - receipt]],Table5[[#All],[Category]],"recheck",0))</f>
        <v>Construction expense</v>
      </c>
      <c r="J53" s="820" t="s">
        <v>388</v>
      </c>
      <c r="K53" s="972" t="s">
        <v>361</v>
      </c>
      <c r="L53" s="955" t="str">
        <f>IF(ISBLANK(Table9[[#This Row],[Source]]),"",IF(K53="SHL","VC3",IF(B53="BWD","BWID JSC",IF(B53="VC3","VC3","Subsidiaries"))))</f>
        <v>Subsidiaries</v>
      </c>
      <c r="M53" s="950"/>
      <c r="N53" s="957"/>
      <c r="O53" s="950" t="str">
        <f>IF($N53="","",_xlfn.XLOOKUP($N53,Acc_Char!$B$2:$B$515,Acc_Char!$C$2:$C$515,"recheck",0))</f>
        <v/>
      </c>
      <c r="P53" s="950" t="str">
        <f>IF($N53="","",_xlfn.XLOOKUP($N53,Acc_Char!$B$2:$B$515,Acc_Char!$I$2:$I$515,"recheck",0))</f>
        <v/>
      </c>
      <c r="Q53" s="957"/>
      <c r="R53" s="950" t="str">
        <f>IF($Q53="","",_xlfn.XLOOKUP($Q53,Acc_Char!$B$2:$B$515,Acc_Char!$C$2:$C$515,"out of group",0))</f>
        <v/>
      </c>
      <c r="S53" s="950" t="str">
        <f>IF($Q53="","",_xlfn.XLOOKUP($Q53,Acc_Char!$B$2:$B$515,Acc_Char!$I$2:$I$515,"out of group",0))</f>
        <v/>
      </c>
      <c r="W53" s="653"/>
      <c r="X53" s="950"/>
      <c r="Y53" s="973"/>
      <c r="Z53" s="950"/>
      <c r="AA53" s="959">
        <f t="shared" si="15"/>
        <v>0</v>
      </c>
      <c r="AB53" s="953"/>
      <c r="AC53" s="954"/>
      <c r="AD53" s="955"/>
      <c r="AE53" s="955" t="str" cm="1">
        <f t="array" ref="AE53">IF(ISBLANK(Table10[[#This Row],[Sub_Type]]),"",_xlfn.XLOOKUP(Table10[[#This Row],[Sub_Type]],Table5[[#All],[Key payment - receipt]],Table5[[#All],[Category]],"recheck",0))</f>
        <v/>
      </c>
      <c r="AF53" s="955"/>
      <c r="AG53" s="955" t="str" cm="1">
        <f t="array" ref="AG53">IF(ISBLANK(Table10[[#This Row],[Entity]]),"",_xlfn.XLOOKUP(Table10[[#This Row],[Entity]],Table1[[#All],[Abb.]],Table1[[#All],[Name]],"recheck",0))</f>
        <v/>
      </c>
    </row>
    <row r="54" spans="1:33" ht="30" customHeight="1">
      <c r="A54" s="653">
        <f t="shared" si="3"/>
        <v>39</v>
      </c>
      <c r="B54" s="950" t="s">
        <v>430</v>
      </c>
      <c r="C54" s="951">
        <v>9000000000</v>
      </c>
      <c r="D54" s="952" t="s">
        <v>80</v>
      </c>
      <c r="E54" s="891">
        <f t="shared" si="12"/>
        <v>9000000000</v>
      </c>
      <c r="F54" s="953" t="s">
        <v>452</v>
      </c>
      <c r="G54" s="954" t="s">
        <v>274</v>
      </c>
      <c r="H54" s="955" t="s">
        <v>22</v>
      </c>
      <c r="I54" s="955" t="str" cm="1">
        <f t="array" ref="I54">IF(ISBLANK(Table9[[#This Row],[Sub_type]]),"",_xlfn.XLOOKUP(Table9[[#This Row],[Sub_type]],Table5[[#All],[Key payment - receipt]],Table5[[#All],[Category]],"recheck",0))</f>
        <v>Construction expense</v>
      </c>
      <c r="J54" s="820" t="s">
        <v>388</v>
      </c>
      <c r="K54" s="972" t="s">
        <v>361</v>
      </c>
      <c r="L54" s="955" t="str">
        <f>IF(ISBLANK(Table9[[#This Row],[Source]]),"",IF(K54="SHL","VC3",IF(B54="BWD","BWID JSC",IF(B54="VC3","VC3","Subsidiaries"))))</f>
        <v>Subsidiaries</v>
      </c>
      <c r="M54" s="950"/>
      <c r="N54" s="957"/>
      <c r="O54" s="950" t="str">
        <f>IF($N54="","",_xlfn.XLOOKUP($N54,Acc_Char!$B$2:$B$515,Acc_Char!$C$2:$C$515,"recheck",0))</f>
        <v/>
      </c>
      <c r="P54" s="950" t="str">
        <f>IF($N54="","",_xlfn.XLOOKUP($N54,Acc_Char!$B$2:$B$515,Acc_Char!$I$2:$I$515,"recheck",0))</f>
        <v/>
      </c>
      <c r="Q54" s="957"/>
      <c r="R54" s="950" t="str">
        <f>IF($Q54="","",_xlfn.XLOOKUP($Q54,Acc_Char!$B$2:$B$515,Acc_Char!$C$2:$C$515,"out of group",0))</f>
        <v/>
      </c>
      <c r="S54" s="950" t="str">
        <f>IF($Q54="","",_xlfn.XLOOKUP($Q54,Acc_Char!$B$2:$B$515,Acc_Char!$I$2:$I$515,"out of group",0))</f>
        <v/>
      </c>
      <c r="W54" s="653"/>
      <c r="X54" s="950"/>
      <c r="Y54" s="973"/>
      <c r="Z54" s="950"/>
      <c r="AA54" s="959">
        <f t="shared" si="15"/>
        <v>0</v>
      </c>
      <c r="AB54" s="953"/>
      <c r="AC54" s="954"/>
      <c r="AD54" s="955"/>
      <c r="AE54" s="955" t="str" cm="1">
        <f t="array" ref="AE54">IF(ISBLANK(Table10[[#This Row],[Sub_Type]]),"",_xlfn.XLOOKUP(Table10[[#This Row],[Sub_Type]],Table5[[#All],[Key payment - receipt]],Table5[[#All],[Category]],"recheck",0))</f>
        <v/>
      </c>
      <c r="AF54" s="955"/>
      <c r="AG54" s="955" t="str" cm="1">
        <f t="array" ref="AG54">IF(ISBLANK(Table10[[#This Row],[Entity]]),"",_xlfn.XLOOKUP(Table10[[#This Row],[Entity]],Table1[[#All],[Abb.]],Table1[[#All],[Name]],"recheck",0))</f>
        <v/>
      </c>
    </row>
    <row r="55" spans="1:33" ht="30" customHeight="1">
      <c r="A55" s="653">
        <f t="shared" si="3"/>
        <v>40</v>
      </c>
      <c r="B55" s="950" t="s">
        <v>430</v>
      </c>
      <c r="C55" s="951">
        <v>11600000000</v>
      </c>
      <c r="D55" s="952" t="s">
        <v>80</v>
      </c>
      <c r="E55" s="891">
        <f t="shared" si="12"/>
        <v>11600000000</v>
      </c>
      <c r="F55" s="953" t="s">
        <v>453</v>
      </c>
      <c r="G55" s="954" t="s">
        <v>274</v>
      </c>
      <c r="H55" s="955" t="s">
        <v>22</v>
      </c>
      <c r="I55" s="955" t="str" cm="1">
        <f t="array" ref="I55">IF(ISBLANK(Table9[[#This Row],[Sub_type]]),"",_xlfn.XLOOKUP(Table9[[#This Row],[Sub_type]],Table5[[#All],[Key payment - receipt]],Table5[[#All],[Category]],"recheck",0))</f>
        <v>Construction expense</v>
      </c>
      <c r="J55" s="820" t="s">
        <v>388</v>
      </c>
      <c r="K55" s="972" t="s">
        <v>361</v>
      </c>
      <c r="L55" s="955" t="str">
        <f>IF(ISBLANK(Table9[[#This Row],[Source]]),"",IF(K55="SHL","VC3",IF(B55="BWD","BWID JSC",IF(B55="VC3","VC3","Subsidiaries"))))</f>
        <v>Subsidiaries</v>
      </c>
      <c r="M55" s="950"/>
      <c r="N55" s="957"/>
      <c r="O55" s="950" t="str">
        <f>IF($N55="","",_xlfn.XLOOKUP($N55,Acc_Char!$B$2:$B$515,Acc_Char!$C$2:$C$515,"recheck",0))</f>
        <v/>
      </c>
      <c r="P55" s="950" t="str">
        <f>IF($N55="","",_xlfn.XLOOKUP($N55,Acc_Char!$B$2:$B$515,Acc_Char!$I$2:$I$515,"recheck",0))</f>
        <v/>
      </c>
      <c r="Q55" s="957"/>
      <c r="R55" s="950" t="str">
        <f>IF($Q55="","",_xlfn.XLOOKUP($Q55,Acc_Char!$B$2:$B$515,Acc_Char!$C$2:$C$515,"out of group",0))</f>
        <v/>
      </c>
      <c r="S55" s="950" t="str">
        <f>IF($Q55="","",_xlfn.XLOOKUP($Q55,Acc_Char!$B$2:$B$515,Acc_Char!$I$2:$I$515,"out of group",0))</f>
        <v/>
      </c>
      <c r="W55" s="653"/>
      <c r="X55" s="950"/>
      <c r="Y55" s="973"/>
      <c r="Z55" s="950"/>
      <c r="AA55" s="959">
        <f t="shared" si="15"/>
        <v>0</v>
      </c>
      <c r="AB55" s="953"/>
      <c r="AC55" s="954"/>
      <c r="AD55" s="955"/>
      <c r="AE55" s="955" t="str" cm="1">
        <f t="array" ref="AE55">IF(ISBLANK(Table10[[#This Row],[Sub_Type]]),"",_xlfn.XLOOKUP(Table10[[#This Row],[Sub_Type]],Table5[[#All],[Key payment - receipt]],Table5[[#All],[Category]],"recheck",0))</f>
        <v/>
      </c>
      <c r="AF55" s="955"/>
      <c r="AG55" s="955" t="str" cm="1">
        <f t="array" ref="AG55">IF(ISBLANK(Table10[[#This Row],[Entity]]),"",_xlfn.XLOOKUP(Table10[[#This Row],[Entity]],Table1[[#All],[Abb.]],Table1[[#All],[Name]],"recheck",0))</f>
        <v/>
      </c>
    </row>
    <row r="56" spans="1:33" ht="30" customHeight="1">
      <c r="A56" s="653">
        <f t="shared" si="3"/>
        <v>41</v>
      </c>
      <c r="B56" s="950" t="s">
        <v>454</v>
      </c>
      <c r="C56" s="951">
        <v>45126569534</v>
      </c>
      <c r="D56" s="952" t="s">
        <v>80</v>
      </c>
      <c r="E56" s="891">
        <f t="shared" si="12"/>
        <v>45126569534</v>
      </c>
      <c r="F56" s="953" t="s">
        <v>455</v>
      </c>
      <c r="G56" s="954" t="s">
        <v>276</v>
      </c>
      <c r="H56" s="955" t="s">
        <v>22</v>
      </c>
      <c r="I56" s="955" t="str" cm="1">
        <f t="array" ref="I56">IF(ISBLANK(Table9[[#This Row],[Sub_type]]),"",_xlfn.XLOOKUP(Table9[[#This Row],[Sub_type]],Table5[[#All],[Key payment - receipt]],Table5[[#All],[Category]],"recheck",0))</f>
        <v>Construction expense</v>
      </c>
      <c r="J56" s="820" t="s">
        <v>388</v>
      </c>
      <c r="K56" s="972" t="s">
        <v>361</v>
      </c>
      <c r="L56" s="955" t="str">
        <f>IF(ISBLANK(Table9[[#This Row],[Source]]),"",IF(K56="SHL","VC3",IF(B56="BWD","BWID JSC",IF(B56="VC3","VC3","Subsidiaries"))))</f>
        <v>Subsidiaries</v>
      </c>
      <c r="M56" s="950"/>
      <c r="N56" s="957"/>
      <c r="O56" s="950" t="str">
        <f>IF($N56="","",_xlfn.XLOOKUP($N56,Acc_Char!$B$2:$B$515,Acc_Char!$C$2:$C$515,"recheck",0))</f>
        <v/>
      </c>
      <c r="P56" s="950" t="str">
        <f>IF($N56="","",_xlfn.XLOOKUP($N56,Acc_Char!$B$2:$B$515,Acc_Char!$I$2:$I$515,"recheck",0))</f>
        <v/>
      </c>
      <c r="Q56" s="957"/>
      <c r="R56" s="950" t="str">
        <f>IF($Q56="","",_xlfn.XLOOKUP($Q56,Acc_Char!$B$2:$B$515,Acc_Char!$C$2:$C$515,"out of group",0))</f>
        <v/>
      </c>
      <c r="S56" s="950" t="str">
        <f>IF($Q56="","",_xlfn.XLOOKUP($Q56,Acc_Char!$B$2:$B$515,Acc_Char!$I$2:$I$515,"out of group",0))</f>
        <v/>
      </c>
      <c r="W56" s="653"/>
      <c r="X56" s="950"/>
      <c r="Y56" s="973"/>
      <c r="Z56" s="950"/>
      <c r="AA56" s="959">
        <f t="shared" si="15"/>
        <v>0</v>
      </c>
      <c r="AB56" s="953"/>
      <c r="AC56" s="954"/>
      <c r="AD56" s="955"/>
      <c r="AE56" s="955" t="str" cm="1">
        <f t="array" ref="AE56">IF(ISBLANK(Table10[[#This Row],[Sub_Type]]),"",_xlfn.XLOOKUP(Table10[[#This Row],[Sub_Type]],Table5[[#All],[Key payment - receipt]],Table5[[#All],[Category]],"recheck",0))</f>
        <v/>
      </c>
      <c r="AF56" s="955"/>
      <c r="AG56" s="955" t="str" cm="1">
        <f t="array" ref="AG56">IF(ISBLANK(Table10[[#This Row],[Entity]]),"",_xlfn.XLOOKUP(Table10[[#This Row],[Entity]],Table1[[#All],[Abb.]],Table1[[#All],[Name]],"recheck",0))</f>
        <v/>
      </c>
    </row>
    <row r="57" spans="1:33" ht="30" customHeight="1">
      <c r="A57" s="653">
        <f t="shared" si="3"/>
        <v>42</v>
      </c>
      <c r="B57" s="950" t="s">
        <v>402</v>
      </c>
      <c r="C57" s="951">
        <v>5500000000</v>
      </c>
      <c r="D57" s="952" t="s">
        <v>80</v>
      </c>
      <c r="E57" s="891">
        <f t="shared" si="12"/>
        <v>5500000000</v>
      </c>
      <c r="F57" s="953" t="s">
        <v>419</v>
      </c>
      <c r="G57" s="954" t="s">
        <v>275</v>
      </c>
      <c r="H57" s="955" t="s">
        <v>22</v>
      </c>
      <c r="I57" s="955" t="str" cm="1">
        <f t="array" ref="I57">IF(ISBLANK(Table9[[#This Row],[Sub_type]]),"",_xlfn.XLOOKUP(Table9[[#This Row],[Sub_type]],Table5[[#All],[Key payment - receipt]],Table5[[#All],[Category]],"recheck",0))</f>
        <v>Construction expense</v>
      </c>
      <c r="J57" s="820" t="s">
        <v>388</v>
      </c>
      <c r="K57" s="972" t="s">
        <v>361</v>
      </c>
      <c r="L57" s="955" t="str">
        <f>IF(ISBLANK(Table9[[#This Row],[Source]]),"",IF(K57="SHL","VC3",IF(B57="BWD","BWID JSC",IF(B57="VC3","VC3","Subsidiaries"))))</f>
        <v>Subsidiaries</v>
      </c>
      <c r="M57" s="950"/>
      <c r="N57" s="957"/>
      <c r="O57" s="950" t="str">
        <f>IF($N57="","",_xlfn.XLOOKUP($N57,Acc_Char!$B$2:$B$515,Acc_Char!$C$2:$C$515,"recheck",0))</f>
        <v/>
      </c>
      <c r="P57" s="950" t="str">
        <f>IF($N57="","",_xlfn.XLOOKUP($N57,Acc_Char!$B$2:$B$515,Acc_Char!$I$2:$I$515,"recheck",0))</f>
        <v/>
      </c>
      <c r="Q57" s="957"/>
      <c r="R57" s="950" t="str">
        <f>IF($Q57="","",_xlfn.XLOOKUP($Q57,Acc_Char!$B$2:$B$515,Acc_Char!$C$2:$C$515,"out of group",0))</f>
        <v/>
      </c>
      <c r="S57" s="950" t="str">
        <f>IF($Q57="","",_xlfn.XLOOKUP($Q57,Acc_Char!$B$2:$B$515,Acc_Char!$I$2:$I$515,"out of group",0))</f>
        <v/>
      </c>
      <c r="W57" s="653"/>
      <c r="X57" s="950"/>
      <c r="Y57" s="973"/>
      <c r="Z57" s="950"/>
      <c r="AA57" s="959">
        <f t="shared" si="15"/>
        <v>0</v>
      </c>
      <c r="AB57" s="953"/>
      <c r="AC57" s="954"/>
      <c r="AD57" s="955"/>
      <c r="AE57" s="955" t="str" cm="1">
        <f t="array" ref="AE57">IF(ISBLANK(Table10[[#This Row],[Sub_Type]]),"",_xlfn.XLOOKUP(Table10[[#This Row],[Sub_Type]],Table5[[#All],[Key payment - receipt]],Table5[[#All],[Category]],"recheck",0))</f>
        <v/>
      </c>
      <c r="AF57" s="955"/>
      <c r="AG57" s="955" t="str" cm="1">
        <f t="array" ref="AG57">IF(ISBLANK(Table10[[#This Row],[Entity]]),"",_xlfn.XLOOKUP(Table10[[#This Row],[Entity]],Table1[[#All],[Abb.]],Table1[[#All],[Name]],"recheck",0))</f>
        <v/>
      </c>
    </row>
    <row r="58" spans="1:33" ht="30" customHeight="1">
      <c r="A58" s="653">
        <f t="shared" si="3"/>
        <v>43</v>
      </c>
      <c r="B58" s="950" t="s">
        <v>456</v>
      </c>
      <c r="C58" s="951">
        <v>2000000000</v>
      </c>
      <c r="D58" s="952" t="s">
        <v>80</v>
      </c>
      <c r="E58" s="891">
        <f t="shared" si="12"/>
        <v>2000000000</v>
      </c>
      <c r="F58" s="953" t="s">
        <v>457</v>
      </c>
      <c r="G58" s="954" t="s">
        <v>275</v>
      </c>
      <c r="H58" s="955" t="s">
        <v>55</v>
      </c>
      <c r="I58" s="955" t="str" cm="1">
        <f t="array" ref="I58">IF(ISBLANK(Table9[[#This Row],[Sub_type]]),"",_xlfn.XLOOKUP(Table9[[#This Row],[Sub_type]],Table5[[#All],[Key payment - receipt]],Table5[[#All],[Category]],"recheck",0))</f>
        <v>Loan interest</v>
      </c>
      <c r="J58" s="820" t="s">
        <v>388</v>
      </c>
      <c r="K58" s="972" t="s">
        <v>458</v>
      </c>
      <c r="L58" s="955" t="str">
        <f>IF(ISBLANK(Table9[[#This Row],[Source]]),"",IF(K58="SHL","VC3",IF(B58="BWD","BWID JSC",IF(B58="VC3","VC3","Subsidiaries"))))</f>
        <v>Subsidiaries</v>
      </c>
      <c r="M58" s="950"/>
      <c r="N58" s="957"/>
      <c r="O58" s="950" t="str">
        <f>IF($N58="","",_xlfn.XLOOKUP($N58,Acc_Char!$B$2:$B$515,Acc_Char!$C$2:$C$515,"recheck",0))</f>
        <v/>
      </c>
      <c r="P58" s="950" t="str">
        <f>IF($N58="","",_xlfn.XLOOKUP($N58,Acc_Char!$B$2:$B$515,Acc_Char!$I$2:$I$515,"recheck",0))</f>
        <v/>
      </c>
      <c r="Q58" s="957"/>
      <c r="R58" s="950" t="str">
        <f>IF($Q58="","",_xlfn.XLOOKUP($Q58,Acc_Char!$B$2:$B$515,Acc_Char!$C$2:$C$515,"out of group",0))</f>
        <v/>
      </c>
      <c r="S58" s="950" t="str">
        <f>IF($Q58="","",_xlfn.XLOOKUP($Q58,Acc_Char!$B$2:$B$515,Acc_Char!$I$2:$I$515,"out of group",0))</f>
        <v/>
      </c>
      <c r="W58" s="653"/>
      <c r="X58" s="950"/>
      <c r="Y58" s="973"/>
      <c r="Z58" s="950"/>
      <c r="AA58" s="959">
        <f t="shared" si="15"/>
        <v>0</v>
      </c>
      <c r="AB58" s="953"/>
      <c r="AC58" s="954"/>
      <c r="AD58" s="955"/>
      <c r="AE58" s="955" t="str" cm="1">
        <f t="array" ref="AE58">IF(ISBLANK(Table10[[#This Row],[Sub_Type]]),"",_xlfn.XLOOKUP(Table10[[#This Row],[Sub_Type]],Table5[[#All],[Key payment - receipt]],Table5[[#All],[Category]],"recheck",0))</f>
        <v/>
      </c>
      <c r="AF58" s="955"/>
      <c r="AG58" s="955" t="str" cm="1">
        <f t="array" ref="AG58">IF(ISBLANK(Table10[[#This Row],[Entity]]),"",_xlfn.XLOOKUP(Table10[[#This Row],[Entity]],Table1[[#All],[Abb.]],Table1[[#All],[Name]],"recheck",0))</f>
        <v/>
      </c>
    </row>
    <row r="59" spans="1:33" ht="30" customHeight="1">
      <c r="A59" s="653">
        <f t="shared" si="3"/>
        <v>44</v>
      </c>
      <c r="B59" s="950" t="s">
        <v>459</v>
      </c>
      <c r="C59" s="951">
        <v>4000000000</v>
      </c>
      <c r="D59" s="952" t="s">
        <v>80</v>
      </c>
      <c r="E59" s="891">
        <f t="shared" si="12"/>
        <v>4000000000</v>
      </c>
      <c r="F59" s="953" t="s">
        <v>460</v>
      </c>
      <c r="G59" s="954" t="s">
        <v>276</v>
      </c>
      <c r="H59" s="955" t="s">
        <v>55</v>
      </c>
      <c r="I59" s="955" t="str" cm="1">
        <f t="array" ref="I59">IF(ISBLANK(Table9[[#This Row],[Sub_type]]),"",_xlfn.XLOOKUP(Table9[[#This Row],[Sub_type]],Table5[[#All],[Key payment - receipt]],Table5[[#All],[Category]],"recheck",0))</f>
        <v>Loan interest</v>
      </c>
      <c r="J59" s="820" t="s">
        <v>388</v>
      </c>
      <c r="K59" s="972" t="s">
        <v>458</v>
      </c>
      <c r="L59" s="955" t="str">
        <f>IF(ISBLANK(Table9[[#This Row],[Source]]),"",IF(K59="SHL","VC3",IF(B59="BWD","BWID JSC",IF(B59="VC3","VC3","Subsidiaries"))))</f>
        <v>Subsidiaries</v>
      </c>
      <c r="M59" s="950"/>
      <c r="N59" s="957"/>
      <c r="O59" s="950" t="str">
        <f>IF($N59="","",_xlfn.XLOOKUP($N59,Acc_Char!$B$2:$B$515,Acc_Char!$C$2:$C$515,"recheck",0))</f>
        <v/>
      </c>
      <c r="P59" s="950" t="str">
        <f>IF($N59="","",_xlfn.XLOOKUP($N59,Acc_Char!$B$2:$B$515,Acc_Char!$I$2:$I$515,"recheck",0))</f>
        <v/>
      </c>
      <c r="Q59" s="957"/>
      <c r="R59" s="950" t="str">
        <f>IF($Q59="","",_xlfn.XLOOKUP($Q59,Acc_Char!$B$2:$B$515,Acc_Char!$C$2:$C$515,"out of group",0))</f>
        <v/>
      </c>
      <c r="S59" s="950" t="str">
        <f>IF($Q59="","",_xlfn.XLOOKUP($Q59,Acc_Char!$B$2:$B$515,Acc_Char!$I$2:$I$515,"out of group",0))</f>
        <v/>
      </c>
      <c r="W59" s="653"/>
      <c r="X59" s="950"/>
      <c r="Y59" s="973"/>
      <c r="Z59" s="950"/>
      <c r="AA59" s="959">
        <f t="shared" si="15"/>
        <v>0</v>
      </c>
      <c r="AB59" s="953"/>
      <c r="AC59" s="954"/>
      <c r="AD59" s="955"/>
      <c r="AE59" s="955" t="str" cm="1">
        <f t="array" ref="AE59">IF(ISBLANK(Table10[[#This Row],[Sub_Type]]),"",_xlfn.XLOOKUP(Table10[[#This Row],[Sub_Type]],Table5[[#All],[Key payment - receipt]],Table5[[#All],[Category]],"recheck",0))</f>
        <v/>
      </c>
      <c r="AF59" s="955"/>
      <c r="AG59" s="955" t="str" cm="1">
        <f t="array" ref="AG59">IF(ISBLANK(Table10[[#This Row],[Entity]]),"",_xlfn.XLOOKUP(Table10[[#This Row],[Entity]],Table1[[#All],[Abb.]],Table1[[#All],[Name]],"recheck",0))</f>
        <v/>
      </c>
    </row>
    <row r="60" spans="1:33" ht="30" customHeight="1">
      <c r="A60" s="653">
        <f t="shared" si="3"/>
        <v>45</v>
      </c>
      <c r="B60" s="950" t="s">
        <v>459</v>
      </c>
      <c r="C60" s="951">
        <v>68500000000</v>
      </c>
      <c r="D60" s="952" t="s">
        <v>80</v>
      </c>
      <c r="E60" s="891">
        <f t="shared" si="12"/>
        <v>68500000000</v>
      </c>
      <c r="F60" s="953" t="s">
        <v>461</v>
      </c>
      <c r="G60" s="954" t="s">
        <v>275</v>
      </c>
      <c r="H60" s="955" t="s">
        <v>22</v>
      </c>
      <c r="I60" s="955" t="str" cm="1">
        <f t="array" ref="I60">IF(ISBLANK(Table9[[#This Row],[Sub_type]]),"",_xlfn.XLOOKUP(Table9[[#This Row],[Sub_type]],Table5[[#All],[Key payment - receipt]],Table5[[#All],[Category]],"recheck",0))</f>
        <v>Construction expense</v>
      </c>
      <c r="J60" s="820" t="s">
        <v>388</v>
      </c>
      <c r="K60" s="972" t="s">
        <v>458</v>
      </c>
      <c r="L60" s="955" t="str">
        <f>IF(ISBLANK(Table9[[#This Row],[Source]]),"",IF(K60="SHL","VC3",IF(B60="BWD","BWID JSC",IF(B60="VC3","VC3","Subsidiaries"))))</f>
        <v>Subsidiaries</v>
      </c>
      <c r="M60" s="950"/>
      <c r="N60" s="957"/>
      <c r="O60" s="950" t="str">
        <f>IF($N60="","",_xlfn.XLOOKUP($N60,Acc_Char!$B$2:$B$515,Acc_Char!$C$2:$C$515,"recheck",0))</f>
        <v/>
      </c>
      <c r="P60" s="950" t="str">
        <f>IF($N60="","",_xlfn.XLOOKUP($N60,Acc_Char!$B$2:$B$515,Acc_Char!$I$2:$I$515,"recheck",0))</f>
        <v/>
      </c>
      <c r="Q60" s="957"/>
      <c r="R60" s="950" t="str">
        <f>IF($Q60="","",_xlfn.XLOOKUP($Q60,Acc_Char!$B$2:$B$515,Acc_Char!$C$2:$C$515,"out of group",0))</f>
        <v/>
      </c>
      <c r="S60" s="950" t="str">
        <f>IF($Q60="","",_xlfn.XLOOKUP($Q60,Acc_Char!$B$2:$B$515,Acc_Char!$I$2:$I$515,"out of group",0))</f>
        <v/>
      </c>
      <c r="W60" s="653"/>
      <c r="X60" s="950"/>
      <c r="Y60" s="973"/>
      <c r="Z60" s="950"/>
      <c r="AA60" s="959">
        <f t="shared" si="15"/>
        <v>0</v>
      </c>
      <c r="AB60" s="953"/>
      <c r="AC60" s="954"/>
      <c r="AD60" s="955"/>
      <c r="AE60" s="955" t="str" cm="1">
        <f t="array" ref="AE60">IF(ISBLANK(Table10[[#This Row],[Sub_Type]]),"",_xlfn.XLOOKUP(Table10[[#This Row],[Sub_Type]],Table5[[#All],[Key payment - receipt]],Table5[[#All],[Category]],"recheck",0))</f>
        <v/>
      </c>
      <c r="AF60" s="955"/>
      <c r="AG60" s="955" t="str" cm="1">
        <f t="array" ref="AG60">IF(ISBLANK(Table10[[#This Row],[Entity]]),"",_xlfn.XLOOKUP(Table10[[#This Row],[Entity]],Table1[[#All],[Abb.]],Table1[[#All],[Name]],"recheck",0))</f>
        <v/>
      </c>
    </row>
    <row r="61" spans="1:33" ht="30" customHeight="1">
      <c r="A61" s="653">
        <f t="shared" si="3"/>
        <v>46</v>
      </c>
      <c r="B61" s="950" t="s">
        <v>437</v>
      </c>
      <c r="C61" s="951">
        <v>32000000000</v>
      </c>
      <c r="D61" s="952" t="s">
        <v>80</v>
      </c>
      <c r="E61" s="891">
        <f t="shared" si="12"/>
        <v>32000000000</v>
      </c>
      <c r="F61" s="953" t="s">
        <v>462</v>
      </c>
      <c r="G61" s="954" t="s">
        <v>273</v>
      </c>
      <c r="H61" s="955" t="s">
        <v>22</v>
      </c>
      <c r="I61" s="955" t="str" cm="1">
        <f t="array" ref="I61">IF(ISBLANK(Table9[[#This Row],[Sub_type]]),"",_xlfn.XLOOKUP(Table9[[#This Row],[Sub_type]],Table5[[#All],[Key payment - receipt]],Table5[[#All],[Category]],"recheck",0))</f>
        <v>Construction expense</v>
      </c>
      <c r="J61" s="820" t="s">
        <v>388</v>
      </c>
      <c r="K61" s="972" t="s">
        <v>458</v>
      </c>
      <c r="L61" s="955" t="str">
        <f>IF(ISBLANK(Table9[[#This Row],[Source]]),"",IF(K61="SHL","VC3",IF(B61="BWD","BWID JSC",IF(B61="VC3","VC3","Subsidiaries"))))</f>
        <v>Subsidiaries</v>
      </c>
      <c r="M61" s="950"/>
      <c r="N61" s="957"/>
      <c r="O61" s="950" t="str">
        <f>IF($N61="","",_xlfn.XLOOKUP($N61,Acc_Char!$B$2:$B$515,Acc_Char!$C$2:$C$515,"recheck",0))</f>
        <v/>
      </c>
      <c r="P61" s="950" t="str">
        <f>IF($N61="","",_xlfn.XLOOKUP($N61,Acc_Char!$B$2:$B$515,Acc_Char!$I$2:$I$515,"recheck",0))</f>
        <v/>
      </c>
      <c r="Q61" s="957"/>
      <c r="R61" s="950" t="str">
        <f>IF($Q61="","",_xlfn.XLOOKUP($Q61,Acc_Char!$B$2:$B$515,Acc_Char!$C$2:$C$515,"out of group",0))</f>
        <v/>
      </c>
      <c r="S61" s="950" t="str">
        <f>IF($Q61="","",_xlfn.XLOOKUP($Q61,Acc_Char!$B$2:$B$515,Acc_Char!$I$2:$I$515,"out of group",0))</f>
        <v/>
      </c>
      <c r="W61" s="653"/>
      <c r="X61" s="950"/>
      <c r="Y61" s="973"/>
      <c r="Z61" s="950"/>
      <c r="AA61" s="959">
        <f t="shared" si="15"/>
        <v>0</v>
      </c>
      <c r="AB61" s="953"/>
      <c r="AC61" s="954"/>
      <c r="AD61" s="955"/>
      <c r="AE61" s="955" t="str" cm="1">
        <f t="array" ref="AE61">IF(ISBLANK(Table10[[#This Row],[Sub_Type]]),"",_xlfn.XLOOKUP(Table10[[#This Row],[Sub_Type]],Table5[[#All],[Key payment - receipt]],Table5[[#All],[Category]],"recheck",0))</f>
        <v/>
      </c>
      <c r="AF61" s="955"/>
      <c r="AG61" s="955" t="str" cm="1">
        <f t="array" ref="AG61">IF(ISBLANK(Table10[[#This Row],[Entity]]),"",_xlfn.XLOOKUP(Table10[[#This Row],[Entity]],Table1[[#All],[Abb.]],Table1[[#All],[Name]],"recheck",0))</f>
        <v/>
      </c>
    </row>
    <row r="62" spans="1:33" ht="30" customHeight="1">
      <c r="A62" s="653">
        <f t="shared" si="3"/>
        <v>47</v>
      </c>
      <c r="B62" s="950" t="s">
        <v>463</v>
      </c>
      <c r="C62" s="951">
        <v>49000000000</v>
      </c>
      <c r="D62" s="952" t="s">
        <v>80</v>
      </c>
      <c r="E62" s="891">
        <f t="shared" si="12"/>
        <v>49000000000</v>
      </c>
      <c r="F62" s="953" t="s">
        <v>464</v>
      </c>
      <c r="G62" s="954" t="s">
        <v>274</v>
      </c>
      <c r="H62" s="955" t="s">
        <v>22</v>
      </c>
      <c r="I62" s="955" t="str" cm="1">
        <f t="array" ref="I62">IF(ISBLANK(Table9[[#This Row],[Sub_type]]),"",_xlfn.XLOOKUP(Table9[[#This Row],[Sub_type]],Table5[[#All],[Key payment - receipt]],Table5[[#All],[Category]],"recheck",0))</f>
        <v>Construction expense</v>
      </c>
      <c r="J62" s="820" t="s">
        <v>388</v>
      </c>
      <c r="K62" s="972" t="s">
        <v>458</v>
      </c>
      <c r="L62" s="955" t="str">
        <f>IF(ISBLANK(Table9[[#This Row],[Source]]),"",IF(K62="SHL","VC3",IF(B62="BWD","BWID JSC",IF(B62="VC3","VC3","Subsidiaries"))))</f>
        <v>Subsidiaries</v>
      </c>
      <c r="M62" s="950"/>
      <c r="N62" s="957"/>
      <c r="O62" s="950" t="str">
        <f>IF($N62="","",_xlfn.XLOOKUP($N62,Acc_Char!$B$2:$B$515,Acc_Char!$C$2:$C$515,"recheck",0))</f>
        <v/>
      </c>
      <c r="P62" s="950" t="str">
        <f>IF($N62="","",_xlfn.XLOOKUP($N62,Acc_Char!$B$2:$B$515,Acc_Char!$I$2:$I$515,"recheck",0))</f>
        <v/>
      </c>
      <c r="Q62" s="957"/>
      <c r="R62" s="950" t="str">
        <f>IF($Q62="","",_xlfn.XLOOKUP($Q62,Acc_Char!$B$2:$B$515,Acc_Char!$C$2:$C$515,"out of group",0))</f>
        <v/>
      </c>
      <c r="S62" s="950" t="str">
        <f>IF($Q62="","",_xlfn.XLOOKUP($Q62,Acc_Char!$B$2:$B$515,Acc_Char!$I$2:$I$515,"out of group",0))</f>
        <v/>
      </c>
      <c r="W62" s="653"/>
      <c r="X62" s="950"/>
      <c r="Y62" s="973"/>
      <c r="Z62" s="950"/>
      <c r="AA62" s="959">
        <f t="shared" si="15"/>
        <v>0</v>
      </c>
      <c r="AB62" s="953"/>
      <c r="AC62" s="954"/>
      <c r="AD62" s="955"/>
      <c r="AE62" s="955" t="str" cm="1">
        <f t="array" ref="AE62">IF(ISBLANK(Table10[[#This Row],[Sub_Type]]),"",_xlfn.XLOOKUP(Table10[[#This Row],[Sub_Type]],Table5[[#All],[Key payment - receipt]],Table5[[#All],[Category]],"recheck",0))</f>
        <v/>
      </c>
      <c r="AF62" s="955"/>
      <c r="AG62" s="955" t="str" cm="1">
        <f t="array" ref="AG62">IF(ISBLANK(Table10[[#This Row],[Entity]]),"",_xlfn.XLOOKUP(Table10[[#This Row],[Entity]],Table1[[#All],[Abb.]],Table1[[#All],[Name]],"recheck",0))</f>
        <v/>
      </c>
    </row>
    <row r="63" spans="1:33" ht="30" customHeight="1">
      <c r="A63" s="653">
        <f t="shared" si="3"/>
        <v>48</v>
      </c>
      <c r="B63" s="950" t="s">
        <v>430</v>
      </c>
      <c r="C63" s="951">
        <v>36241269492</v>
      </c>
      <c r="D63" s="950" t="s">
        <v>80</v>
      </c>
      <c r="E63" s="891">
        <f t="shared" si="12"/>
        <v>36241269492</v>
      </c>
      <c r="F63" s="953" t="s">
        <v>464</v>
      </c>
      <c r="G63" s="954" t="s">
        <v>275</v>
      </c>
      <c r="H63" s="955" t="s">
        <v>22</v>
      </c>
      <c r="I63" s="955" t="str" cm="1">
        <f t="array" ref="I63">IF(ISBLANK(Table9[[#This Row],[Sub_type]]),"",_xlfn.XLOOKUP(Table9[[#This Row],[Sub_type]],Table5[[#All],[Key payment - receipt]],Table5[[#All],[Category]],"recheck",0))</f>
        <v>Construction expense</v>
      </c>
      <c r="J63" s="820" t="s">
        <v>388</v>
      </c>
      <c r="K63" s="972" t="s">
        <v>458</v>
      </c>
      <c r="L63" s="955" t="str">
        <f>IF(ISBLANK(Table9[[#This Row],[Source]]),"",IF(K63="SHL","VC3",IF(B63="BWD","BWID JSC",IF(B63="VC3","VC3","Subsidiaries"))))</f>
        <v>Subsidiaries</v>
      </c>
      <c r="M63" s="950"/>
      <c r="N63" s="957"/>
      <c r="O63" s="950" t="str">
        <f>IF($N63="","",_xlfn.XLOOKUP($N63,Acc_Char!$B$2:$B$515,Acc_Char!$C$2:$C$515,"recheck",0))</f>
        <v/>
      </c>
      <c r="P63" s="950" t="str">
        <f>IF($N63="","",_xlfn.XLOOKUP($N63,Acc_Char!$B$2:$B$515,Acc_Char!$I$2:$I$515,"recheck",0))</f>
        <v/>
      </c>
      <c r="Q63" s="957"/>
      <c r="R63" s="950" t="str">
        <f>IF($Q63="","",_xlfn.XLOOKUP($Q63,Acc_Char!$B$2:$B$515,Acc_Char!$C$2:$C$515,"out of group",0))</f>
        <v/>
      </c>
      <c r="S63" s="950" t="str">
        <f>IF($Q63="","",_xlfn.XLOOKUP($Q63,Acc_Char!$B$2:$B$515,Acc_Char!$I$2:$I$515,"out of group",0))</f>
        <v/>
      </c>
      <c r="W63" s="952"/>
      <c r="X63" s="959"/>
      <c r="Y63" s="953"/>
      <c r="Z63" s="954"/>
      <c r="AA63" s="955">
        <f t="shared" si="15"/>
        <v>0</v>
      </c>
      <c r="AB63" s="955"/>
      <c r="AC63" s="820"/>
      <c r="AD63" s="972"/>
      <c r="AE63" s="955" t="str" cm="1">
        <f t="array" ref="AE63">IF(ISBLANK(Table10[[#This Row],[Sub_Type]]),"",_xlfn.XLOOKUP(Table10[[#This Row],[Sub_Type]],Table5[[#All],[Key payment - receipt]],Table5[[#All],[Category]],"recheck",0))</f>
        <v/>
      </c>
      <c r="AF63" s="950"/>
      <c r="AG63" s="957" t="str" cm="1">
        <f t="array" ref="AG63">IF(ISBLANK(Table10[[#This Row],[Entity]]),"",_xlfn.XLOOKUP(Table10[[#This Row],[Entity]],Table1[[#All],[Abb.]],Table1[[#All],[Name]],"recheck",0))</f>
        <v/>
      </c>
    </row>
    <row r="64" spans="1:33" ht="30" customHeight="1">
      <c r="A64" s="653">
        <f t="shared" si="3"/>
        <v>49</v>
      </c>
      <c r="B64" s="950" t="s">
        <v>420</v>
      </c>
      <c r="C64" s="951">
        <v>85764550692</v>
      </c>
      <c r="D64" s="950" t="s">
        <v>80</v>
      </c>
      <c r="E64" s="891">
        <f t="shared" si="12"/>
        <v>85764550692</v>
      </c>
      <c r="F64" s="953" t="s">
        <v>465</v>
      </c>
      <c r="G64" s="954" t="s">
        <v>274</v>
      </c>
      <c r="H64" s="955" t="s">
        <v>22</v>
      </c>
      <c r="I64" s="955" t="str" cm="1">
        <f t="array" ref="I64">IF(ISBLANK(Table9[[#This Row],[Sub_type]]),"",_xlfn.XLOOKUP(Table9[[#This Row],[Sub_type]],Table5[[#All],[Key payment - receipt]],Table5[[#All],[Category]],"recheck",0))</f>
        <v>Construction expense</v>
      </c>
      <c r="J64" s="820" t="s">
        <v>388</v>
      </c>
      <c r="K64" s="972" t="s">
        <v>458</v>
      </c>
      <c r="L64" s="955" t="str">
        <f>IF(ISBLANK(Table9[[#This Row],[Source]]),"",IF(K64="SHL","VC3",IF(B64="BWD","BWID JSC",IF(B64="VC3","VC3","Subsidiaries"))))</f>
        <v>Subsidiaries</v>
      </c>
      <c r="M64" s="950"/>
      <c r="N64" s="957"/>
      <c r="O64" s="950" t="str">
        <f>IF($N64="","",_xlfn.XLOOKUP($N64,Acc_Char!$B$2:$B$515,Acc_Char!$C$2:$C$515,"recheck",0))</f>
        <v/>
      </c>
      <c r="P64" s="950" t="str">
        <f>IF($N64="","",_xlfn.XLOOKUP($N64,Acc_Char!$B$2:$B$515,Acc_Char!$I$2:$I$515,"recheck",0))</f>
        <v/>
      </c>
      <c r="Q64" s="957"/>
      <c r="R64" s="950" t="str">
        <f>IF($Q64="","",_xlfn.XLOOKUP($Q64,Acc_Char!$B$2:$B$515,Acc_Char!$C$2:$C$515,"out of group",0))</f>
        <v/>
      </c>
      <c r="S64" s="950" t="str">
        <f>IF($Q64="","",_xlfn.XLOOKUP($Q64,Acc_Char!$B$2:$B$515,Acc_Char!$I$2:$I$515,"out of group",0))</f>
        <v/>
      </c>
      <c r="W64" s="952"/>
      <c r="X64" s="959"/>
      <c r="Y64" s="953"/>
      <c r="Z64" s="954"/>
      <c r="AA64" s="955">
        <f>IF(Z64="VND",Y64,Y64*Fx_rate)</f>
        <v>0</v>
      </c>
      <c r="AB64" s="955"/>
      <c r="AC64" s="820"/>
      <c r="AD64" s="972"/>
      <c r="AE64" s="955"/>
      <c r="AF64" s="950"/>
      <c r="AG64" s="957" t="str" cm="1">
        <f t="array" ref="AG64">IF(ISBLANK(Table10[[#This Row],[Entity]]),"",_xlfn.XLOOKUP(Table10[[#This Row],[Entity]],Table1[[#All],[Abb.]],Table1[[#All],[Name]],"recheck",0))</f>
        <v/>
      </c>
    </row>
    <row r="65" spans="5:16384" ht="13.8">
      <c r="M65" s="950"/>
      <c r="N65" s="957"/>
      <c r="O65" s="950"/>
      <c r="P65" s="950"/>
      <c r="Q65" s="957"/>
      <c r="R65" s="950"/>
      <c r="S65" s="950"/>
      <c r="T65" s="653"/>
      <c r="U65" s="950"/>
      <c r="V65" s="951"/>
      <c r="W65" s="653"/>
      <c r="X65" s="950"/>
      <c r="Y65" s="973"/>
      <c r="Z65" s="950"/>
      <c r="AA65" s="959">
        <f t="shared" si="15"/>
        <v>0</v>
      </c>
      <c r="AB65" s="953"/>
      <c r="AC65" s="954"/>
      <c r="AD65" s="955"/>
      <c r="AE65" s="955" t="str" cm="1">
        <f t="array" ref="AE65">IF(ISBLANK(Table10[[#This Row],[Sub_Type]]),"",_xlfn.XLOOKUP(Table10[[#This Row],[Sub_Type]],Table5[[#All],[Key payment - receipt]],Table5[[#All],[Category]],"recheck",0))</f>
        <v/>
      </c>
      <c r="AF65" s="955"/>
      <c r="AG65" s="955" t="str" cm="1">
        <f t="array" ref="AG65">IF(ISBLANK(Table10[[#This Row],[Entity]]),"",_xlfn.XLOOKUP(Table10[[#This Row],[Entity]],Table1[[#All],[Abb.]],Table1[[#All],[Name]],"recheck",0))</f>
        <v/>
      </c>
      <c r="AH65" s="950"/>
      <c r="AI65" s="950"/>
      <c r="AJ65" s="957"/>
      <c r="AK65" s="950"/>
      <c r="AL65" s="950"/>
      <c r="AM65" s="653"/>
      <c r="AN65" s="950"/>
      <c r="AO65" s="951"/>
      <c r="AP65" s="952"/>
      <c r="AQ65" s="959"/>
      <c r="AR65" s="953"/>
      <c r="AS65" s="954"/>
      <c r="AT65" s="955"/>
      <c r="AU65" s="955"/>
      <c r="AV65" s="820"/>
      <c r="AW65" s="972"/>
      <c r="AX65" s="955"/>
      <c r="AY65" s="950"/>
      <c r="AZ65" s="957"/>
      <c r="BA65" s="950"/>
      <c r="BB65" s="950"/>
      <c r="BC65" s="957"/>
      <c r="BD65" s="950"/>
      <c r="BE65" s="950"/>
      <c r="BF65" s="653"/>
      <c r="BG65" s="950"/>
      <c r="BH65" s="951"/>
      <c r="BI65" s="952"/>
      <c r="BJ65" s="959"/>
      <c r="BK65" s="953"/>
      <c r="BL65" s="954"/>
      <c r="BM65" s="955"/>
      <c r="BN65" s="955"/>
      <c r="BO65" s="820"/>
      <c r="BP65" s="972"/>
      <c r="BQ65" s="955"/>
      <c r="BR65" s="950"/>
      <c r="BS65" s="957"/>
      <c r="BT65" s="950"/>
      <c r="BU65" s="950"/>
      <c r="BV65" s="957"/>
      <c r="BW65" s="950"/>
      <c r="BX65" s="950"/>
      <c r="BY65" s="653"/>
      <c r="BZ65" s="950"/>
      <c r="CA65" s="951"/>
      <c r="CB65" s="952"/>
      <c r="CC65" s="959"/>
      <c r="CD65" s="953"/>
      <c r="CE65" s="954"/>
      <c r="CF65" s="955"/>
      <c r="CG65" s="955"/>
      <c r="CH65" s="820"/>
      <c r="CI65" s="972"/>
      <c r="CJ65" s="955"/>
      <c r="CK65" s="950"/>
      <c r="CL65" s="957"/>
      <c r="CM65" s="950"/>
      <c r="CN65" s="950"/>
      <c r="CO65" s="957"/>
      <c r="CP65" s="950"/>
      <c r="CQ65" s="950"/>
      <c r="CR65" s="653"/>
      <c r="CS65" s="950"/>
      <c r="CT65" s="951"/>
      <c r="CU65" s="952"/>
      <c r="CV65" s="959"/>
      <c r="CW65" s="953"/>
      <c r="CX65" s="954"/>
      <c r="CY65" s="955"/>
      <c r="CZ65" s="955"/>
      <c r="DA65" s="820"/>
      <c r="DB65" s="972"/>
      <c r="DC65" s="955"/>
      <c r="DD65" s="950"/>
      <c r="DE65" s="957"/>
      <c r="DF65" s="950"/>
      <c r="DG65" s="950"/>
      <c r="DH65" s="957"/>
      <c r="DI65" s="950"/>
      <c r="DJ65" s="950"/>
      <c r="DK65" s="653"/>
      <c r="DL65" s="950"/>
      <c r="DM65" s="951"/>
      <c r="DN65" s="952"/>
      <c r="DO65" s="959"/>
      <c r="DP65" s="953"/>
      <c r="DQ65" s="954"/>
      <c r="DR65" s="955"/>
      <c r="DS65" s="955"/>
      <c r="DT65" s="820"/>
      <c r="DU65" s="972"/>
      <c r="DV65" s="955"/>
      <c r="DW65" s="950"/>
      <c r="DX65" s="957"/>
      <c r="DY65" s="950"/>
      <c r="DZ65" s="950"/>
      <c r="EA65" s="957"/>
      <c r="EB65" s="950"/>
      <c r="EC65" s="950"/>
      <c r="ED65" s="653"/>
      <c r="EE65" s="950"/>
      <c r="EF65" s="951"/>
      <c r="EG65" s="952"/>
      <c r="EH65" s="959"/>
      <c r="EI65" s="953"/>
      <c r="EJ65" s="954"/>
      <c r="EK65" s="955"/>
      <c r="EL65" s="955"/>
      <c r="EM65" s="820"/>
      <c r="EN65" s="972"/>
      <c r="EO65" s="955"/>
      <c r="EP65" s="950"/>
      <c r="EQ65" s="957"/>
      <c r="ER65" s="950"/>
      <c r="ES65" s="950"/>
      <c r="ET65" s="957"/>
      <c r="EU65" s="950"/>
      <c r="EV65" s="950"/>
      <c r="EW65" s="653"/>
      <c r="EX65" s="950"/>
      <c r="EY65" s="951"/>
      <c r="EZ65" s="952"/>
      <c r="FA65" s="959"/>
      <c r="FB65" s="953"/>
      <c r="FC65" s="954"/>
      <c r="FD65" s="955"/>
      <c r="FE65" s="955"/>
      <c r="FF65" s="820"/>
      <c r="FG65" s="972"/>
      <c r="FH65" s="955"/>
      <c r="FI65" s="950"/>
      <c r="FJ65" s="957"/>
      <c r="FK65" s="950"/>
      <c r="FL65" s="950"/>
      <c r="FM65" s="957"/>
      <c r="FN65" s="950"/>
      <c r="FO65" s="950"/>
      <c r="FP65" s="653"/>
      <c r="FQ65" s="950"/>
      <c r="FR65" s="951"/>
      <c r="FS65" s="952"/>
      <c r="FT65" s="959"/>
      <c r="FU65" s="953"/>
      <c r="FV65" s="954"/>
      <c r="FW65" s="955"/>
      <c r="FX65" s="955"/>
      <c r="FY65" s="820"/>
      <c r="FZ65" s="972"/>
      <c r="GA65" s="955"/>
      <c r="GB65" s="950"/>
      <c r="GC65" s="957"/>
      <c r="GD65" s="950"/>
      <c r="GE65" s="950"/>
      <c r="GF65" s="957"/>
      <c r="GG65" s="950"/>
      <c r="GH65" s="950"/>
      <c r="GI65" s="653"/>
      <c r="GJ65" s="950"/>
      <c r="GK65" s="951"/>
      <c r="GL65" s="952"/>
      <c r="GM65" s="959"/>
      <c r="GN65" s="953"/>
      <c r="GO65" s="954"/>
      <c r="GP65" s="955"/>
      <c r="GQ65" s="955"/>
      <c r="GR65" s="820"/>
      <c r="GS65" s="972"/>
      <c r="GT65" s="955"/>
      <c r="GU65" s="950"/>
      <c r="GV65" s="957"/>
      <c r="GW65" s="950"/>
      <c r="GX65" s="950"/>
      <c r="GY65" s="957"/>
      <c r="GZ65" s="950"/>
      <c r="HA65" s="950"/>
      <c r="HB65" s="653"/>
      <c r="HC65" s="950"/>
      <c r="HD65" s="951"/>
      <c r="HE65" s="952"/>
      <c r="HF65" s="959"/>
      <c r="HG65" s="953"/>
      <c r="HH65" s="954"/>
      <c r="HI65" s="955"/>
      <c r="HJ65" s="955"/>
      <c r="HK65" s="820"/>
      <c r="HL65" s="972"/>
      <c r="HM65" s="955"/>
      <c r="HN65" s="950"/>
      <c r="HO65" s="957"/>
      <c r="HP65" s="950"/>
      <c r="HQ65" s="950"/>
      <c r="HR65" s="957"/>
      <c r="HS65" s="950"/>
      <c r="HT65" s="950"/>
      <c r="HU65" s="653"/>
      <c r="HV65" s="950"/>
      <c r="HW65" s="951"/>
      <c r="HX65" s="952"/>
      <c r="HY65" s="959"/>
      <c r="HZ65" s="953"/>
      <c r="IA65" s="954"/>
      <c r="IB65" s="955"/>
      <c r="IC65" s="955"/>
      <c r="ID65" s="820"/>
      <c r="IE65" s="972"/>
      <c r="IF65" s="955"/>
      <c r="IG65" s="950"/>
      <c r="IH65" s="957"/>
      <c r="II65" s="950"/>
      <c r="IJ65" s="950"/>
      <c r="IK65" s="957"/>
      <c r="IL65" s="950"/>
      <c r="IM65" s="950"/>
      <c r="IN65" s="653"/>
      <c r="IO65" s="950"/>
      <c r="IP65" s="951"/>
      <c r="IQ65" s="952"/>
      <c r="IR65" s="959"/>
      <c r="IS65" s="953"/>
      <c r="IT65" s="954"/>
      <c r="IU65" s="955"/>
      <c r="IV65" s="955"/>
      <c r="IW65" s="820"/>
      <c r="IX65" s="972"/>
      <c r="IY65" s="955"/>
      <c r="IZ65" s="950"/>
      <c r="JA65" s="957"/>
      <c r="JB65" s="950"/>
      <c r="JC65" s="950"/>
      <c r="JD65" s="957"/>
      <c r="JE65" s="950"/>
      <c r="JF65" s="950"/>
      <c r="JG65" s="653"/>
      <c r="JH65" s="950"/>
      <c r="JI65" s="951"/>
      <c r="JJ65" s="952"/>
      <c r="JK65" s="959"/>
      <c r="JL65" s="953"/>
      <c r="JM65" s="954"/>
      <c r="JN65" s="955"/>
      <c r="JO65" s="955"/>
      <c r="JP65" s="820"/>
      <c r="JQ65" s="972"/>
      <c r="JR65" s="955"/>
      <c r="JS65" s="950"/>
      <c r="JT65" s="957"/>
      <c r="JU65" s="950"/>
      <c r="JV65" s="950"/>
      <c r="JW65" s="957"/>
      <c r="JX65" s="950"/>
      <c r="JY65" s="950"/>
      <c r="JZ65" s="653"/>
      <c r="KA65" s="950"/>
      <c r="KB65" s="951"/>
      <c r="KC65" s="952"/>
      <c r="KD65" s="959"/>
      <c r="KE65" s="953"/>
      <c r="KF65" s="954"/>
      <c r="KG65" s="955"/>
      <c r="KH65" s="955"/>
      <c r="KI65" s="820"/>
      <c r="KJ65" s="972"/>
      <c r="KK65" s="955"/>
      <c r="KL65" s="950"/>
      <c r="KM65" s="957"/>
      <c r="KN65" s="950"/>
      <c r="KO65" s="950"/>
      <c r="KP65" s="957"/>
      <c r="KQ65" s="950"/>
      <c r="KR65" s="950"/>
      <c r="KS65" s="653"/>
      <c r="KT65" s="950"/>
      <c r="KU65" s="951"/>
      <c r="KV65" s="952"/>
      <c r="KW65" s="959"/>
      <c r="KX65" s="953"/>
      <c r="KY65" s="954"/>
      <c r="KZ65" s="955"/>
      <c r="LA65" s="955"/>
      <c r="LB65" s="820"/>
      <c r="LC65" s="972"/>
      <c r="LD65" s="955"/>
      <c r="LE65" s="950"/>
      <c r="LF65" s="957"/>
      <c r="LG65" s="950"/>
      <c r="LH65" s="950"/>
      <c r="LI65" s="957"/>
      <c r="LJ65" s="950"/>
      <c r="LK65" s="950"/>
      <c r="LL65" s="653"/>
      <c r="LM65" s="950"/>
      <c r="LN65" s="951"/>
      <c r="LO65" s="952"/>
      <c r="LP65" s="959"/>
      <c r="LQ65" s="953"/>
      <c r="LR65" s="954"/>
      <c r="LS65" s="955"/>
      <c r="LT65" s="955"/>
      <c r="LU65" s="820"/>
      <c r="LV65" s="972"/>
      <c r="LW65" s="955"/>
      <c r="LX65" s="950"/>
      <c r="LY65" s="957"/>
      <c r="LZ65" s="950"/>
      <c r="MA65" s="950"/>
      <c r="MB65" s="957"/>
      <c r="MC65" s="950"/>
      <c r="MD65" s="950"/>
      <c r="ME65" s="653"/>
      <c r="MF65" s="950"/>
      <c r="MG65" s="951"/>
      <c r="MH65" s="952"/>
      <c r="MI65" s="959"/>
      <c r="MJ65" s="953"/>
      <c r="MK65" s="954"/>
      <c r="ML65" s="955"/>
      <c r="MM65" s="955"/>
      <c r="MN65" s="820"/>
      <c r="MO65" s="972"/>
      <c r="MP65" s="955"/>
      <c r="MQ65" s="950"/>
      <c r="MR65" s="957"/>
      <c r="MS65" s="950"/>
      <c r="MT65" s="950"/>
      <c r="MU65" s="957"/>
      <c r="MV65" s="950"/>
      <c r="MW65" s="950"/>
      <c r="MX65" s="653"/>
      <c r="MY65" s="950"/>
      <c r="MZ65" s="951"/>
      <c r="NA65" s="952"/>
      <c r="NB65" s="959"/>
      <c r="NC65" s="953"/>
      <c r="ND65" s="954"/>
      <c r="NE65" s="955"/>
      <c r="NF65" s="955"/>
      <c r="NG65" s="820"/>
      <c r="NH65" s="972"/>
      <c r="NI65" s="955"/>
      <c r="NJ65" s="950"/>
      <c r="NK65" s="957"/>
      <c r="NL65" s="950"/>
      <c r="NM65" s="950"/>
      <c r="NN65" s="957"/>
      <c r="NO65" s="950"/>
      <c r="NP65" s="950"/>
      <c r="NQ65" s="653"/>
      <c r="NR65" s="950"/>
      <c r="NS65" s="951"/>
      <c r="NT65" s="952"/>
      <c r="NU65" s="959"/>
      <c r="NV65" s="953"/>
      <c r="NW65" s="954"/>
      <c r="NX65" s="955"/>
      <c r="NY65" s="955"/>
      <c r="NZ65" s="820"/>
      <c r="OA65" s="972"/>
      <c r="OB65" s="955"/>
      <c r="OC65" s="950"/>
      <c r="OD65" s="957"/>
      <c r="OE65" s="950"/>
      <c r="OF65" s="950"/>
      <c r="OG65" s="957"/>
      <c r="OH65" s="950"/>
      <c r="OI65" s="950"/>
      <c r="OJ65" s="653"/>
      <c r="OK65" s="950"/>
      <c r="OL65" s="951"/>
      <c r="OM65" s="952"/>
      <c r="ON65" s="959"/>
      <c r="OO65" s="953"/>
      <c r="OP65" s="954"/>
      <c r="OQ65" s="955"/>
      <c r="OR65" s="955"/>
      <c r="OS65" s="820"/>
      <c r="OT65" s="972"/>
      <c r="OU65" s="955"/>
      <c r="OV65" s="950"/>
      <c r="OW65" s="957"/>
      <c r="OX65" s="950"/>
      <c r="OY65" s="950"/>
      <c r="OZ65" s="957"/>
      <c r="PA65" s="950"/>
      <c r="PB65" s="950"/>
      <c r="PC65" s="653"/>
      <c r="PD65" s="950"/>
      <c r="PE65" s="951"/>
      <c r="PF65" s="952"/>
      <c r="PG65" s="959"/>
      <c r="PH65" s="953"/>
      <c r="PI65" s="954"/>
      <c r="PJ65" s="955"/>
      <c r="PK65" s="955"/>
      <c r="PL65" s="820"/>
      <c r="PM65" s="972"/>
      <c r="PN65" s="955"/>
      <c r="PO65" s="950"/>
      <c r="PP65" s="957"/>
      <c r="PQ65" s="950"/>
      <c r="PR65" s="950"/>
      <c r="PS65" s="957"/>
      <c r="PT65" s="950"/>
      <c r="PU65" s="950"/>
      <c r="PV65" s="653"/>
      <c r="PW65" s="950"/>
      <c r="PX65" s="951"/>
      <c r="PY65" s="952"/>
      <c r="PZ65" s="959"/>
      <c r="QA65" s="953"/>
      <c r="QB65" s="954"/>
      <c r="QC65" s="955"/>
      <c r="QD65" s="955"/>
      <c r="QE65" s="820"/>
      <c r="QF65" s="972"/>
      <c r="QG65" s="955"/>
      <c r="QH65" s="950"/>
      <c r="QI65" s="957"/>
      <c r="QJ65" s="950"/>
      <c r="QK65" s="950"/>
      <c r="QL65" s="957"/>
      <c r="QM65" s="950"/>
      <c r="QN65" s="950"/>
      <c r="QO65" s="653"/>
      <c r="QP65" s="950"/>
      <c r="QQ65" s="951"/>
      <c r="QR65" s="952"/>
      <c r="QS65" s="959"/>
      <c r="QT65" s="953"/>
      <c r="QU65" s="954"/>
      <c r="QV65" s="955"/>
      <c r="QW65" s="955"/>
      <c r="QX65" s="820"/>
      <c r="QY65" s="972"/>
      <c r="QZ65" s="955"/>
      <c r="RA65" s="950"/>
      <c r="RB65" s="957"/>
      <c r="RC65" s="950"/>
      <c r="RD65" s="950"/>
      <c r="RE65" s="957"/>
      <c r="RF65" s="950"/>
      <c r="RG65" s="950"/>
      <c r="RH65" s="653"/>
      <c r="RI65" s="950"/>
      <c r="RJ65" s="951"/>
      <c r="RK65" s="952"/>
      <c r="RL65" s="959"/>
      <c r="RM65" s="953"/>
      <c r="RN65" s="954"/>
      <c r="RO65" s="955"/>
      <c r="RP65" s="955"/>
      <c r="RQ65" s="820"/>
      <c r="RR65" s="972"/>
      <c r="RS65" s="955"/>
      <c r="RT65" s="950"/>
      <c r="RU65" s="957"/>
      <c r="RV65" s="950"/>
      <c r="RW65" s="950"/>
      <c r="RX65" s="957"/>
      <c r="RY65" s="950"/>
      <c r="RZ65" s="950"/>
      <c r="SA65" s="653"/>
      <c r="SB65" s="950"/>
      <c r="SC65" s="951"/>
      <c r="SD65" s="952"/>
      <c r="SE65" s="959"/>
      <c r="SF65" s="953"/>
      <c r="SG65" s="954"/>
      <c r="SH65" s="955"/>
      <c r="SI65" s="955"/>
      <c r="SJ65" s="820"/>
      <c r="SK65" s="972"/>
      <c r="SL65" s="955"/>
      <c r="SM65" s="950"/>
      <c r="SN65" s="957"/>
      <c r="SO65" s="950"/>
      <c r="SP65" s="950"/>
      <c r="SQ65" s="957"/>
      <c r="SR65" s="950"/>
      <c r="SS65" s="950"/>
      <c r="ST65" s="653"/>
      <c r="SU65" s="950"/>
      <c r="SV65" s="951"/>
      <c r="SW65" s="952"/>
      <c r="SX65" s="959"/>
      <c r="SY65" s="953"/>
      <c r="SZ65" s="954"/>
      <c r="TA65" s="955"/>
      <c r="TB65" s="955"/>
      <c r="TC65" s="820"/>
      <c r="TD65" s="972"/>
      <c r="TE65" s="955"/>
      <c r="TF65" s="950"/>
      <c r="TG65" s="957"/>
      <c r="TH65" s="950"/>
      <c r="TI65" s="950"/>
      <c r="TJ65" s="957"/>
      <c r="TK65" s="950"/>
      <c r="TL65" s="950"/>
      <c r="TM65" s="653"/>
      <c r="TN65" s="950"/>
      <c r="TO65" s="951"/>
      <c r="TP65" s="952"/>
      <c r="TQ65" s="959"/>
      <c r="TR65" s="953"/>
      <c r="TS65" s="954"/>
      <c r="TT65" s="955"/>
      <c r="TU65" s="955"/>
      <c r="TV65" s="820"/>
      <c r="TW65" s="972"/>
      <c r="TX65" s="955"/>
      <c r="TY65" s="950"/>
      <c r="TZ65" s="957"/>
      <c r="UA65" s="950"/>
      <c r="UB65" s="950"/>
      <c r="UC65" s="957"/>
      <c r="UD65" s="950"/>
      <c r="UE65" s="950"/>
      <c r="UF65" s="653"/>
      <c r="UG65" s="950"/>
      <c r="UH65" s="951"/>
      <c r="UI65" s="952"/>
      <c r="UJ65" s="959"/>
      <c r="UK65" s="953"/>
      <c r="UL65" s="954"/>
      <c r="UM65" s="955"/>
      <c r="UN65" s="955"/>
      <c r="UO65" s="820"/>
      <c r="UP65" s="972"/>
      <c r="UQ65" s="955"/>
      <c r="UR65" s="950"/>
      <c r="US65" s="957"/>
      <c r="UT65" s="950"/>
      <c r="UU65" s="950"/>
      <c r="UV65" s="957"/>
      <c r="UW65" s="950"/>
      <c r="UX65" s="950"/>
      <c r="UY65" s="653"/>
      <c r="UZ65" s="950"/>
      <c r="VA65" s="951"/>
      <c r="VB65" s="952"/>
      <c r="VC65" s="959"/>
      <c r="VD65" s="953"/>
      <c r="VE65" s="954"/>
      <c r="VF65" s="955"/>
      <c r="VG65" s="955"/>
      <c r="VH65" s="820"/>
      <c r="VI65" s="972"/>
      <c r="VJ65" s="955"/>
      <c r="VK65" s="950"/>
      <c r="VL65" s="957"/>
      <c r="VM65" s="950"/>
      <c r="VN65" s="950"/>
      <c r="VO65" s="957"/>
      <c r="VP65" s="950"/>
      <c r="VQ65" s="950"/>
      <c r="VR65" s="653"/>
      <c r="VS65" s="950"/>
      <c r="VT65" s="951"/>
      <c r="VU65" s="952"/>
      <c r="VV65" s="959"/>
      <c r="VW65" s="953"/>
      <c r="VX65" s="954"/>
      <c r="VY65" s="955"/>
      <c r="VZ65" s="955"/>
      <c r="WA65" s="820"/>
      <c r="WB65" s="972"/>
      <c r="WC65" s="955"/>
      <c r="WD65" s="950"/>
      <c r="WE65" s="957"/>
      <c r="WF65" s="950"/>
      <c r="WG65" s="950"/>
      <c r="WH65" s="957"/>
      <c r="WI65" s="950"/>
      <c r="WJ65" s="950"/>
      <c r="WK65" s="653"/>
      <c r="WL65" s="950"/>
      <c r="WM65" s="951"/>
      <c r="WN65" s="952"/>
      <c r="WO65" s="959"/>
      <c r="WP65" s="953"/>
      <c r="WQ65" s="954"/>
      <c r="WR65" s="955"/>
      <c r="WS65" s="955"/>
      <c r="WT65" s="820"/>
      <c r="WU65" s="972"/>
      <c r="WV65" s="955"/>
      <c r="WW65" s="950"/>
      <c r="WX65" s="957"/>
      <c r="WY65" s="950"/>
      <c r="WZ65" s="950"/>
      <c r="XA65" s="957"/>
      <c r="XB65" s="950"/>
      <c r="XC65" s="950"/>
      <c r="XD65" s="653"/>
      <c r="XE65" s="950"/>
      <c r="XF65" s="951"/>
      <c r="XG65" s="952"/>
      <c r="XH65" s="959"/>
      <c r="XI65" s="953"/>
      <c r="XJ65" s="954"/>
      <c r="XK65" s="955"/>
      <c r="XL65" s="955"/>
      <c r="XM65" s="820"/>
      <c r="XN65" s="972"/>
      <c r="XO65" s="955"/>
      <c r="XP65" s="950"/>
      <c r="XQ65" s="957"/>
      <c r="XR65" s="950"/>
      <c r="XS65" s="950"/>
      <c r="XT65" s="957"/>
      <c r="XU65" s="950"/>
      <c r="XV65" s="950"/>
      <c r="XW65" s="653"/>
      <c r="XX65" s="950"/>
      <c r="XY65" s="951"/>
      <c r="XZ65" s="952"/>
      <c r="YA65" s="959"/>
      <c r="YB65" s="953"/>
      <c r="YC65" s="954"/>
      <c r="YD65" s="955"/>
      <c r="YE65" s="955"/>
      <c r="YF65" s="820"/>
      <c r="YG65" s="972"/>
      <c r="YH65" s="955"/>
      <c r="YI65" s="950"/>
      <c r="YJ65" s="957"/>
      <c r="YK65" s="950"/>
      <c r="YL65" s="950"/>
      <c r="YM65" s="957"/>
      <c r="YN65" s="950"/>
      <c r="YO65" s="950"/>
      <c r="YP65" s="653"/>
      <c r="YQ65" s="950"/>
      <c r="YR65" s="951"/>
      <c r="YS65" s="952"/>
      <c r="YT65" s="959"/>
      <c r="YU65" s="953"/>
      <c r="YV65" s="954"/>
      <c r="YW65" s="955"/>
      <c r="YX65" s="955"/>
      <c r="YY65" s="820"/>
      <c r="YZ65" s="972"/>
      <c r="ZA65" s="955"/>
      <c r="ZB65" s="950"/>
      <c r="ZC65" s="957"/>
      <c r="ZD65" s="950"/>
      <c r="ZE65" s="950"/>
      <c r="ZF65" s="957"/>
      <c r="ZG65" s="950"/>
      <c r="ZH65" s="950"/>
      <c r="ZI65" s="653"/>
      <c r="ZJ65" s="950"/>
      <c r="ZK65" s="951"/>
      <c r="ZL65" s="952"/>
      <c r="ZM65" s="959"/>
      <c r="ZN65" s="953"/>
      <c r="ZO65" s="954"/>
      <c r="ZP65" s="955"/>
      <c r="ZQ65" s="955"/>
      <c r="ZR65" s="820"/>
      <c r="ZS65" s="972"/>
      <c r="ZT65" s="955"/>
      <c r="ZU65" s="950"/>
      <c r="ZV65" s="957"/>
      <c r="ZW65" s="950"/>
      <c r="ZX65" s="950"/>
      <c r="ZY65" s="957"/>
      <c r="ZZ65" s="950"/>
      <c r="AAA65" s="950"/>
      <c r="AAB65" s="653"/>
      <c r="AAC65" s="950"/>
      <c r="AAD65" s="951"/>
      <c r="AAE65" s="952"/>
      <c r="AAF65" s="959"/>
      <c r="AAG65" s="953"/>
      <c r="AAH65" s="954"/>
      <c r="AAI65" s="955"/>
      <c r="AAJ65" s="955"/>
      <c r="AAK65" s="820"/>
      <c r="AAL65" s="972"/>
      <c r="AAM65" s="955"/>
      <c r="AAN65" s="950"/>
      <c r="AAO65" s="957"/>
      <c r="AAP65" s="950"/>
      <c r="AAQ65" s="950"/>
      <c r="AAR65" s="957"/>
      <c r="AAS65" s="950"/>
      <c r="AAT65" s="950"/>
      <c r="AAU65" s="653"/>
      <c r="AAV65" s="950"/>
      <c r="AAW65" s="951"/>
      <c r="AAX65" s="952"/>
      <c r="AAY65" s="959"/>
      <c r="AAZ65" s="953"/>
      <c r="ABA65" s="954"/>
      <c r="ABB65" s="955"/>
      <c r="ABC65" s="955"/>
      <c r="ABD65" s="820"/>
      <c r="ABE65" s="972"/>
      <c r="ABF65" s="955"/>
      <c r="ABG65" s="950"/>
      <c r="ABH65" s="957"/>
      <c r="ABI65" s="950"/>
      <c r="ABJ65" s="950"/>
      <c r="ABK65" s="957"/>
      <c r="ABL65" s="950"/>
      <c r="ABM65" s="950"/>
      <c r="ABN65" s="653"/>
      <c r="ABO65" s="950"/>
      <c r="ABP65" s="951"/>
      <c r="ABQ65" s="952"/>
      <c r="ABR65" s="959"/>
      <c r="ABS65" s="953"/>
      <c r="ABT65" s="954"/>
      <c r="ABU65" s="955"/>
      <c r="ABV65" s="955"/>
      <c r="ABW65" s="820"/>
      <c r="ABX65" s="972"/>
      <c r="ABY65" s="955"/>
      <c r="ABZ65" s="950"/>
      <c r="ACA65" s="957"/>
      <c r="ACB65" s="950"/>
      <c r="ACC65" s="950"/>
      <c r="ACD65" s="957"/>
      <c r="ACE65" s="950"/>
      <c r="ACF65" s="950"/>
      <c r="ACG65" s="653"/>
      <c r="ACH65" s="950"/>
      <c r="ACI65" s="951"/>
      <c r="ACJ65" s="952"/>
      <c r="ACK65" s="959"/>
      <c r="ACL65" s="953"/>
      <c r="ACM65" s="954"/>
      <c r="ACN65" s="955"/>
      <c r="ACO65" s="955"/>
      <c r="ACP65" s="820"/>
      <c r="ACQ65" s="972"/>
      <c r="ACR65" s="955"/>
      <c r="ACS65" s="950"/>
      <c r="ACT65" s="957"/>
      <c r="ACU65" s="950"/>
      <c r="ACV65" s="950"/>
      <c r="ACW65" s="957"/>
      <c r="ACX65" s="950"/>
      <c r="ACY65" s="950"/>
      <c r="ACZ65" s="653"/>
      <c r="ADA65" s="950"/>
      <c r="ADB65" s="951"/>
      <c r="ADC65" s="952"/>
      <c r="ADD65" s="959"/>
      <c r="ADE65" s="953"/>
      <c r="ADF65" s="954"/>
      <c r="ADG65" s="955"/>
      <c r="ADH65" s="955"/>
      <c r="ADI65" s="820"/>
      <c r="ADJ65" s="972"/>
      <c r="ADK65" s="955"/>
      <c r="ADL65" s="950"/>
      <c r="ADM65" s="957"/>
      <c r="ADN65" s="950"/>
      <c r="ADO65" s="950"/>
      <c r="ADP65" s="957"/>
      <c r="ADQ65" s="950"/>
      <c r="ADR65" s="950"/>
      <c r="ADS65" s="653"/>
      <c r="ADT65" s="950"/>
      <c r="ADU65" s="951"/>
      <c r="ADV65" s="952"/>
      <c r="ADW65" s="959"/>
      <c r="ADX65" s="953"/>
      <c r="ADY65" s="954"/>
      <c r="ADZ65" s="955"/>
      <c r="AEA65" s="955"/>
      <c r="AEB65" s="820"/>
      <c r="AEC65" s="972"/>
      <c r="AED65" s="955"/>
      <c r="AEE65" s="950"/>
      <c r="AEF65" s="957"/>
      <c r="AEG65" s="950"/>
      <c r="AEH65" s="950"/>
      <c r="AEI65" s="957"/>
      <c r="AEJ65" s="950"/>
      <c r="AEK65" s="950"/>
      <c r="AEL65" s="653"/>
      <c r="AEM65" s="950"/>
      <c r="AEN65" s="951"/>
      <c r="AEO65" s="952"/>
      <c r="AEP65" s="959"/>
      <c r="AEQ65" s="953"/>
      <c r="AER65" s="954"/>
      <c r="AES65" s="955"/>
      <c r="AET65" s="955"/>
      <c r="AEU65" s="820"/>
      <c r="AEV65" s="972"/>
      <c r="AEW65" s="955"/>
      <c r="AEX65" s="950"/>
      <c r="AEY65" s="957"/>
      <c r="AEZ65" s="950"/>
      <c r="AFA65" s="950"/>
      <c r="AFB65" s="957"/>
      <c r="AFC65" s="950"/>
      <c r="AFD65" s="950"/>
      <c r="AFE65" s="653"/>
      <c r="AFF65" s="950"/>
      <c r="AFG65" s="951"/>
      <c r="AFH65" s="952"/>
      <c r="AFI65" s="959"/>
      <c r="AFJ65" s="953"/>
      <c r="AFK65" s="954"/>
      <c r="AFL65" s="955"/>
      <c r="AFM65" s="955"/>
      <c r="AFN65" s="820"/>
      <c r="AFO65" s="972"/>
      <c r="AFP65" s="955"/>
      <c r="AFQ65" s="950"/>
      <c r="AFR65" s="957"/>
      <c r="AFS65" s="950"/>
      <c r="AFT65" s="950"/>
      <c r="AFU65" s="957"/>
      <c r="AFV65" s="950"/>
      <c r="AFW65" s="950"/>
      <c r="AFX65" s="653"/>
      <c r="AFY65" s="950"/>
      <c r="AFZ65" s="951"/>
      <c r="AGA65" s="952"/>
      <c r="AGB65" s="959"/>
      <c r="AGC65" s="953"/>
      <c r="AGD65" s="954"/>
      <c r="AGE65" s="955"/>
      <c r="AGF65" s="955"/>
      <c r="AGG65" s="820"/>
      <c r="AGH65" s="972"/>
      <c r="AGI65" s="955"/>
      <c r="AGJ65" s="950"/>
      <c r="AGK65" s="957"/>
      <c r="AGL65" s="950"/>
      <c r="AGM65" s="950"/>
      <c r="AGN65" s="957"/>
      <c r="AGO65" s="950"/>
      <c r="AGP65" s="950"/>
      <c r="AGQ65" s="653"/>
      <c r="AGR65" s="950"/>
      <c r="AGS65" s="951"/>
      <c r="AGT65" s="952"/>
      <c r="AGU65" s="959"/>
      <c r="AGV65" s="953"/>
      <c r="AGW65" s="954"/>
      <c r="AGX65" s="955"/>
      <c r="AGY65" s="955"/>
      <c r="AGZ65" s="820"/>
      <c r="AHA65" s="972"/>
      <c r="AHB65" s="955"/>
      <c r="AHC65" s="950"/>
      <c r="AHD65" s="957"/>
      <c r="AHE65" s="950"/>
      <c r="AHF65" s="950"/>
      <c r="AHG65" s="957"/>
      <c r="AHH65" s="950"/>
      <c r="AHI65" s="950"/>
      <c r="AHJ65" s="653"/>
      <c r="AHK65" s="950"/>
      <c r="AHL65" s="951"/>
      <c r="AHM65" s="952"/>
      <c r="AHN65" s="959"/>
      <c r="AHO65" s="953"/>
      <c r="AHP65" s="954"/>
      <c r="AHQ65" s="955"/>
      <c r="AHR65" s="955"/>
      <c r="AHS65" s="820"/>
      <c r="AHT65" s="972"/>
      <c r="AHU65" s="955"/>
      <c r="AHV65" s="950"/>
      <c r="AHW65" s="957"/>
      <c r="AHX65" s="950"/>
      <c r="AHY65" s="950"/>
      <c r="AHZ65" s="957"/>
      <c r="AIA65" s="950"/>
      <c r="AIB65" s="950"/>
      <c r="AIC65" s="653"/>
      <c r="AID65" s="950"/>
      <c r="AIE65" s="951"/>
      <c r="AIF65" s="952"/>
      <c r="AIG65" s="959"/>
      <c r="AIH65" s="953"/>
      <c r="AII65" s="954"/>
      <c r="AIJ65" s="955"/>
      <c r="AIK65" s="955"/>
      <c r="AIL65" s="820"/>
      <c r="AIM65" s="972"/>
      <c r="AIN65" s="955"/>
      <c r="AIO65" s="950"/>
      <c r="AIP65" s="957"/>
      <c r="AIQ65" s="950"/>
      <c r="AIR65" s="950"/>
      <c r="AIS65" s="957"/>
      <c r="AIT65" s="950"/>
      <c r="AIU65" s="950"/>
      <c r="AIV65" s="653"/>
      <c r="AIW65" s="950"/>
      <c r="AIX65" s="951"/>
      <c r="AIY65" s="952"/>
      <c r="AIZ65" s="959"/>
      <c r="AJA65" s="953"/>
      <c r="AJB65" s="954"/>
      <c r="AJC65" s="955"/>
      <c r="AJD65" s="955"/>
      <c r="AJE65" s="820"/>
      <c r="AJF65" s="972"/>
      <c r="AJG65" s="955"/>
      <c r="AJH65" s="950"/>
      <c r="AJI65" s="957"/>
      <c r="AJJ65" s="950"/>
      <c r="AJK65" s="950"/>
      <c r="AJL65" s="957"/>
      <c r="AJM65" s="950"/>
      <c r="AJN65" s="950"/>
      <c r="AJO65" s="653"/>
      <c r="AJP65" s="950"/>
      <c r="AJQ65" s="951"/>
      <c r="AJR65" s="952"/>
      <c r="AJS65" s="959"/>
      <c r="AJT65" s="953"/>
      <c r="AJU65" s="954"/>
      <c r="AJV65" s="955"/>
      <c r="AJW65" s="955"/>
      <c r="AJX65" s="820"/>
      <c r="AJY65" s="972"/>
      <c r="AJZ65" s="955"/>
      <c r="AKA65" s="950"/>
      <c r="AKB65" s="957"/>
      <c r="AKC65" s="950"/>
      <c r="AKD65" s="950"/>
      <c r="AKE65" s="957"/>
      <c r="AKF65" s="950"/>
      <c r="AKG65" s="950"/>
      <c r="AKH65" s="653"/>
      <c r="AKI65" s="950"/>
      <c r="AKJ65" s="951"/>
      <c r="AKK65" s="952"/>
      <c r="AKL65" s="959"/>
      <c r="AKM65" s="953"/>
      <c r="AKN65" s="954"/>
      <c r="AKO65" s="955"/>
      <c r="AKP65" s="955"/>
      <c r="AKQ65" s="820"/>
      <c r="AKR65" s="972"/>
      <c r="AKS65" s="955"/>
      <c r="AKT65" s="950"/>
      <c r="AKU65" s="957"/>
      <c r="AKV65" s="950"/>
      <c r="AKW65" s="950"/>
      <c r="AKX65" s="957"/>
      <c r="AKY65" s="950"/>
      <c r="AKZ65" s="950"/>
      <c r="ALA65" s="653"/>
      <c r="ALB65" s="950"/>
      <c r="ALC65" s="951"/>
      <c r="ALD65" s="952"/>
      <c r="ALE65" s="959"/>
      <c r="ALF65" s="953"/>
      <c r="ALG65" s="954"/>
      <c r="ALH65" s="955"/>
      <c r="ALI65" s="955"/>
      <c r="ALJ65" s="820"/>
      <c r="ALK65" s="972"/>
      <c r="ALL65" s="955"/>
      <c r="ALM65" s="950"/>
      <c r="ALN65" s="957"/>
      <c r="ALO65" s="950"/>
      <c r="ALP65" s="950"/>
      <c r="ALQ65" s="957"/>
      <c r="ALR65" s="950"/>
      <c r="ALS65" s="950"/>
      <c r="ALT65" s="653"/>
      <c r="ALU65" s="950"/>
      <c r="ALV65" s="951"/>
      <c r="ALW65" s="952"/>
      <c r="ALX65" s="959"/>
      <c r="ALY65" s="953"/>
      <c r="ALZ65" s="954"/>
      <c r="AMA65" s="955"/>
      <c r="AMB65" s="955"/>
      <c r="AMC65" s="820"/>
      <c r="AMD65" s="972"/>
      <c r="AME65" s="955"/>
      <c r="AMF65" s="950"/>
      <c r="AMG65" s="957"/>
      <c r="AMH65" s="950"/>
      <c r="AMI65" s="950"/>
      <c r="AMJ65" s="957"/>
      <c r="AMK65" s="950"/>
      <c r="AML65" s="950"/>
      <c r="AMM65" s="653"/>
      <c r="AMN65" s="950"/>
      <c r="AMO65" s="951"/>
      <c r="AMP65" s="952"/>
      <c r="AMQ65" s="959"/>
      <c r="AMR65" s="953"/>
      <c r="AMS65" s="954"/>
      <c r="AMT65" s="955"/>
      <c r="AMU65" s="955"/>
      <c r="AMV65" s="820"/>
      <c r="AMW65" s="972"/>
      <c r="AMX65" s="955"/>
      <c r="AMY65" s="950"/>
      <c r="AMZ65" s="957"/>
      <c r="ANA65" s="950"/>
      <c r="ANB65" s="950"/>
      <c r="ANC65" s="957"/>
      <c r="AND65" s="950"/>
      <c r="ANE65" s="950"/>
      <c r="ANF65" s="653"/>
      <c r="ANG65" s="950"/>
      <c r="ANH65" s="951"/>
      <c r="ANI65" s="952"/>
      <c r="ANJ65" s="959"/>
      <c r="ANK65" s="953"/>
      <c r="ANL65" s="954"/>
      <c r="ANM65" s="955"/>
      <c r="ANN65" s="955"/>
      <c r="ANO65" s="820"/>
      <c r="ANP65" s="972"/>
      <c r="ANQ65" s="955"/>
      <c r="ANR65" s="950"/>
      <c r="ANS65" s="957"/>
      <c r="ANT65" s="950"/>
      <c r="ANU65" s="950"/>
      <c r="ANV65" s="957"/>
      <c r="ANW65" s="950"/>
      <c r="ANX65" s="950"/>
      <c r="ANY65" s="653"/>
      <c r="ANZ65" s="950"/>
      <c r="AOA65" s="951"/>
      <c r="AOB65" s="952"/>
      <c r="AOC65" s="959"/>
      <c r="AOD65" s="953"/>
      <c r="AOE65" s="954"/>
      <c r="AOF65" s="955"/>
      <c r="AOG65" s="955"/>
      <c r="AOH65" s="820"/>
      <c r="AOI65" s="972"/>
      <c r="AOJ65" s="955"/>
      <c r="AOK65" s="950"/>
      <c r="AOL65" s="957"/>
      <c r="AOM65" s="950"/>
      <c r="AON65" s="950"/>
      <c r="AOO65" s="957"/>
      <c r="AOP65" s="950"/>
      <c r="AOQ65" s="950"/>
      <c r="AOR65" s="653"/>
      <c r="AOS65" s="950"/>
      <c r="AOT65" s="951"/>
      <c r="AOU65" s="952"/>
      <c r="AOV65" s="959"/>
      <c r="AOW65" s="953"/>
      <c r="AOX65" s="954"/>
      <c r="AOY65" s="955"/>
      <c r="AOZ65" s="955"/>
      <c r="APA65" s="820"/>
      <c r="APB65" s="972"/>
      <c r="APC65" s="955"/>
      <c r="APD65" s="950"/>
      <c r="APE65" s="957"/>
      <c r="APF65" s="950"/>
      <c r="APG65" s="950"/>
      <c r="APH65" s="957"/>
      <c r="API65" s="950"/>
      <c r="APJ65" s="950"/>
      <c r="APK65" s="653"/>
      <c r="APL65" s="950"/>
      <c r="APM65" s="951"/>
      <c r="APN65" s="952"/>
      <c r="APO65" s="959"/>
      <c r="APP65" s="953"/>
      <c r="APQ65" s="954"/>
      <c r="APR65" s="955"/>
      <c r="APS65" s="955"/>
      <c r="APT65" s="820"/>
      <c r="APU65" s="972"/>
      <c r="APV65" s="955"/>
      <c r="APW65" s="950"/>
      <c r="APX65" s="957"/>
      <c r="APY65" s="950"/>
      <c r="APZ65" s="950"/>
      <c r="AQA65" s="957"/>
      <c r="AQB65" s="950"/>
      <c r="AQC65" s="950"/>
      <c r="AQD65" s="653"/>
      <c r="AQE65" s="950"/>
      <c r="AQF65" s="951"/>
      <c r="AQG65" s="952"/>
      <c r="AQH65" s="959"/>
      <c r="AQI65" s="953"/>
      <c r="AQJ65" s="954"/>
      <c r="AQK65" s="955"/>
      <c r="AQL65" s="955"/>
      <c r="AQM65" s="820"/>
      <c r="AQN65" s="972"/>
      <c r="AQO65" s="955"/>
      <c r="AQP65" s="950"/>
      <c r="AQQ65" s="957"/>
      <c r="AQR65" s="950"/>
      <c r="AQS65" s="950"/>
      <c r="AQT65" s="957"/>
      <c r="AQU65" s="950"/>
      <c r="AQV65" s="950"/>
      <c r="AQW65" s="653"/>
      <c r="AQX65" s="950"/>
      <c r="AQY65" s="951"/>
      <c r="AQZ65" s="952"/>
      <c r="ARA65" s="959"/>
      <c r="ARB65" s="953"/>
      <c r="ARC65" s="954"/>
      <c r="ARD65" s="955"/>
      <c r="ARE65" s="955"/>
      <c r="ARF65" s="820"/>
      <c r="ARG65" s="972"/>
      <c r="ARH65" s="955"/>
      <c r="ARI65" s="950"/>
      <c r="ARJ65" s="957"/>
      <c r="ARK65" s="950"/>
      <c r="ARL65" s="950"/>
      <c r="ARM65" s="957"/>
      <c r="ARN65" s="950"/>
      <c r="ARO65" s="950"/>
      <c r="ARP65" s="653"/>
      <c r="ARQ65" s="950"/>
      <c r="ARR65" s="951"/>
      <c r="ARS65" s="952"/>
      <c r="ART65" s="959"/>
      <c r="ARU65" s="953"/>
      <c r="ARV65" s="954"/>
      <c r="ARW65" s="955"/>
      <c r="ARX65" s="955"/>
      <c r="ARY65" s="820"/>
      <c r="ARZ65" s="972"/>
      <c r="ASA65" s="955"/>
      <c r="ASB65" s="950"/>
      <c r="ASC65" s="957"/>
      <c r="ASD65" s="950"/>
      <c r="ASE65" s="950"/>
      <c r="ASF65" s="957"/>
      <c r="ASG65" s="950"/>
      <c r="ASH65" s="950"/>
      <c r="ASI65" s="653"/>
      <c r="ASJ65" s="950"/>
      <c r="ASK65" s="951"/>
      <c r="ASL65" s="952"/>
      <c r="ASM65" s="959"/>
      <c r="ASN65" s="953"/>
      <c r="ASO65" s="954"/>
      <c r="ASP65" s="955"/>
      <c r="ASQ65" s="955"/>
      <c r="ASR65" s="820"/>
      <c r="ASS65" s="972"/>
      <c r="AST65" s="955"/>
      <c r="ASU65" s="950"/>
      <c r="ASV65" s="957"/>
      <c r="ASW65" s="950"/>
      <c r="ASX65" s="950"/>
      <c r="ASY65" s="957"/>
      <c r="ASZ65" s="950"/>
      <c r="ATA65" s="950"/>
      <c r="ATB65" s="653"/>
      <c r="ATC65" s="950"/>
      <c r="ATD65" s="951"/>
      <c r="ATE65" s="952"/>
      <c r="ATF65" s="959"/>
      <c r="ATG65" s="953"/>
      <c r="ATH65" s="954"/>
      <c r="ATI65" s="955"/>
      <c r="ATJ65" s="955"/>
      <c r="ATK65" s="820"/>
      <c r="ATL65" s="972"/>
      <c r="ATM65" s="955"/>
      <c r="ATN65" s="950"/>
      <c r="ATO65" s="957"/>
      <c r="ATP65" s="950"/>
      <c r="ATQ65" s="950"/>
      <c r="ATR65" s="957"/>
      <c r="ATS65" s="950"/>
      <c r="ATT65" s="950"/>
      <c r="ATU65" s="653"/>
      <c r="ATV65" s="950"/>
      <c r="ATW65" s="951"/>
      <c r="ATX65" s="952"/>
      <c r="ATY65" s="959"/>
      <c r="ATZ65" s="953"/>
      <c r="AUA65" s="954"/>
      <c r="AUB65" s="955"/>
      <c r="AUC65" s="955"/>
      <c r="AUD65" s="820"/>
      <c r="AUE65" s="972"/>
      <c r="AUF65" s="955"/>
      <c r="AUG65" s="950"/>
      <c r="AUH65" s="957"/>
      <c r="AUI65" s="950"/>
      <c r="AUJ65" s="950"/>
      <c r="AUK65" s="957"/>
      <c r="AUL65" s="950"/>
      <c r="AUM65" s="950"/>
      <c r="AUN65" s="653"/>
      <c r="AUO65" s="950"/>
      <c r="AUP65" s="951"/>
      <c r="AUQ65" s="952"/>
      <c r="AUR65" s="959"/>
      <c r="AUS65" s="953"/>
      <c r="AUT65" s="954"/>
      <c r="AUU65" s="955"/>
      <c r="AUV65" s="955"/>
      <c r="AUW65" s="820"/>
      <c r="AUX65" s="972"/>
      <c r="AUY65" s="955"/>
      <c r="AUZ65" s="950"/>
      <c r="AVA65" s="957"/>
      <c r="AVB65" s="950"/>
      <c r="AVC65" s="950"/>
      <c r="AVD65" s="957"/>
      <c r="AVE65" s="950"/>
      <c r="AVF65" s="950"/>
      <c r="AVG65" s="653"/>
      <c r="AVH65" s="950"/>
      <c r="AVI65" s="951"/>
      <c r="AVJ65" s="952"/>
      <c r="AVK65" s="959"/>
      <c r="AVL65" s="953"/>
      <c r="AVM65" s="954"/>
      <c r="AVN65" s="955"/>
      <c r="AVO65" s="955"/>
      <c r="AVP65" s="820"/>
      <c r="AVQ65" s="972"/>
      <c r="AVR65" s="955"/>
      <c r="AVS65" s="950"/>
      <c r="AVT65" s="957"/>
      <c r="AVU65" s="950"/>
      <c r="AVV65" s="950"/>
      <c r="AVW65" s="957"/>
      <c r="AVX65" s="950"/>
      <c r="AVY65" s="950"/>
      <c r="AVZ65" s="653"/>
      <c r="AWA65" s="950"/>
      <c r="AWB65" s="951"/>
      <c r="AWC65" s="952"/>
      <c r="AWD65" s="959"/>
      <c r="AWE65" s="953"/>
      <c r="AWF65" s="954"/>
      <c r="AWG65" s="955"/>
      <c r="AWH65" s="955"/>
      <c r="AWI65" s="820"/>
      <c r="AWJ65" s="972"/>
      <c r="AWK65" s="955"/>
      <c r="AWL65" s="950"/>
      <c r="AWM65" s="957"/>
      <c r="AWN65" s="950"/>
      <c r="AWO65" s="950"/>
      <c r="AWP65" s="957"/>
      <c r="AWQ65" s="950"/>
      <c r="AWR65" s="950"/>
      <c r="AWS65" s="653"/>
      <c r="AWT65" s="950"/>
      <c r="AWU65" s="951"/>
      <c r="AWV65" s="952"/>
      <c r="AWW65" s="959"/>
      <c r="AWX65" s="953"/>
      <c r="AWY65" s="954"/>
      <c r="AWZ65" s="955"/>
      <c r="AXA65" s="955"/>
      <c r="AXB65" s="820"/>
      <c r="AXC65" s="972"/>
      <c r="AXD65" s="955"/>
      <c r="AXE65" s="950"/>
      <c r="AXF65" s="957"/>
      <c r="AXG65" s="950"/>
      <c r="AXH65" s="950"/>
      <c r="AXI65" s="957"/>
      <c r="AXJ65" s="950"/>
      <c r="AXK65" s="950"/>
      <c r="AXL65" s="653"/>
      <c r="AXM65" s="950"/>
      <c r="AXN65" s="951"/>
      <c r="AXO65" s="952"/>
      <c r="AXP65" s="959"/>
      <c r="AXQ65" s="953"/>
      <c r="AXR65" s="954"/>
      <c r="AXS65" s="955"/>
      <c r="AXT65" s="955"/>
      <c r="AXU65" s="820"/>
      <c r="AXV65" s="972"/>
      <c r="AXW65" s="955"/>
      <c r="AXX65" s="950"/>
      <c r="AXY65" s="957"/>
      <c r="AXZ65" s="950"/>
      <c r="AYA65" s="950"/>
      <c r="AYB65" s="957"/>
      <c r="AYC65" s="950"/>
      <c r="AYD65" s="950"/>
      <c r="AYE65" s="653"/>
      <c r="AYF65" s="950"/>
      <c r="AYG65" s="951"/>
      <c r="AYH65" s="952"/>
      <c r="AYI65" s="959"/>
      <c r="AYJ65" s="953"/>
      <c r="AYK65" s="954"/>
      <c r="AYL65" s="955"/>
      <c r="AYM65" s="955"/>
      <c r="AYN65" s="820"/>
      <c r="AYO65" s="972"/>
      <c r="AYP65" s="955"/>
      <c r="AYQ65" s="950"/>
      <c r="AYR65" s="957"/>
      <c r="AYS65" s="950"/>
      <c r="AYT65" s="950"/>
      <c r="AYU65" s="957"/>
      <c r="AYV65" s="950"/>
      <c r="AYW65" s="950"/>
      <c r="AYX65" s="653"/>
      <c r="AYY65" s="950"/>
      <c r="AYZ65" s="951"/>
      <c r="AZA65" s="952"/>
      <c r="AZB65" s="959"/>
      <c r="AZC65" s="953"/>
      <c r="AZD65" s="954"/>
      <c r="AZE65" s="955"/>
      <c r="AZF65" s="955"/>
      <c r="AZG65" s="820"/>
      <c r="AZH65" s="972"/>
      <c r="AZI65" s="955"/>
      <c r="AZJ65" s="950"/>
      <c r="AZK65" s="957"/>
      <c r="AZL65" s="950"/>
      <c r="AZM65" s="950"/>
      <c r="AZN65" s="957"/>
      <c r="AZO65" s="950"/>
      <c r="AZP65" s="950"/>
      <c r="AZQ65" s="653"/>
      <c r="AZR65" s="950"/>
      <c r="AZS65" s="951"/>
      <c r="AZT65" s="952"/>
      <c r="AZU65" s="959"/>
      <c r="AZV65" s="953"/>
      <c r="AZW65" s="954"/>
      <c r="AZX65" s="955"/>
      <c r="AZY65" s="955"/>
      <c r="AZZ65" s="820"/>
      <c r="BAA65" s="972"/>
      <c r="BAB65" s="955"/>
      <c r="BAC65" s="950"/>
      <c r="BAD65" s="957"/>
      <c r="BAE65" s="950"/>
      <c r="BAF65" s="950"/>
      <c r="BAG65" s="957"/>
      <c r="BAH65" s="950"/>
      <c r="BAI65" s="950"/>
      <c r="BAJ65" s="653"/>
      <c r="BAK65" s="950"/>
      <c r="BAL65" s="951"/>
      <c r="BAM65" s="952"/>
      <c r="BAN65" s="959"/>
      <c r="BAO65" s="953"/>
      <c r="BAP65" s="954"/>
      <c r="BAQ65" s="955"/>
      <c r="BAR65" s="955"/>
      <c r="BAS65" s="820"/>
      <c r="BAT65" s="972"/>
      <c r="BAU65" s="955"/>
      <c r="BAV65" s="950"/>
      <c r="BAW65" s="957"/>
      <c r="BAX65" s="950"/>
      <c r="BAY65" s="950"/>
      <c r="BAZ65" s="957"/>
      <c r="BBA65" s="950"/>
      <c r="BBB65" s="950"/>
      <c r="BBC65" s="653"/>
      <c r="BBD65" s="950"/>
      <c r="BBE65" s="951"/>
      <c r="BBF65" s="952"/>
      <c r="BBG65" s="959"/>
      <c r="BBH65" s="953"/>
      <c r="BBI65" s="954"/>
      <c r="BBJ65" s="955"/>
      <c r="BBK65" s="955"/>
      <c r="BBL65" s="820"/>
      <c r="BBM65" s="972"/>
      <c r="BBN65" s="955"/>
      <c r="BBO65" s="950"/>
      <c r="BBP65" s="957"/>
      <c r="BBQ65" s="950"/>
      <c r="BBR65" s="950"/>
      <c r="BBS65" s="957"/>
      <c r="BBT65" s="950"/>
      <c r="BBU65" s="950"/>
      <c r="BBV65" s="653"/>
      <c r="BBW65" s="950"/>
      <c r="BBX65" s="951"/>
      <c r="BBY65" s="952"/>
      <c r="BBZ65" s="959"/>
      <c r="BCA65" s="953"/>
      <c r="BCB65" s="954"/>
      <c r="BCC65" s="955"/>
      <c r="BCD65" s="955"/>
      <c r="BCE65" s="820"/>
      <c r="BCF65" s="972"/>
      <c r="BCG65" s="955"/>
      <c r="BCH65" s="950"/>
      <c r="BCI65" s="957"/>
      <c r="BCJ65" s="950"/>
      <c r="BCK65" s="950"/>
      <c r="BCL65" s="957"/>
      <c r="BCM65" s="950"/>
      <c r="BCN65" s="950"/>
      <c r="BCO65" s="653"/>
      <c r="BCP65" s="950"/>
      <c r="BCQ65" s="951"/>
      <c r="BCR65" s="952"/>
      <c r="BCS65" s="959"/>
      <c r="BCT65" s="953"/>
      <c r="BCU65" s="954"/>
      <c r="BCV65" s="955"/>
      <c r="BCW65" s="955"/>
      <c r="BCX65" s="820"/>
      <c r="BCY65" s="972"/>
      <c r="BCZ65" s="955"/>
      <c r="BDA65" s="950"/>
      <c r="BDB65" s="957"/>
      <c r="BDC65" s="950"/>
      <c r="BDD65" s="950"/>
      <c r="BDE65" s="957"/>
      <c r="BDF65" s="950"/>
      <c r="BDG65" s="950"/>
      <c r="BDH65" s="653"/>
      <c r="BDI65" s="950"/>
      <c r="BDJ65" s="951"/>
      <c r="BDK65" s="952"/>
      <c r="BDL65" s="959"/>
      <c r="BDM65" s="953"/>
      <c r="BDN65" s="954"/>
      <c r="BDO65" s="955"/>
      <c r="BDP65" s="955"/>
      <c r="BDQ65" s="820"/>
      <c r="BDR65" s="972"/>
      <c r="BDS65" s="955"/>
      <c r="BDT65" s="950"/>
      <c r="BDU65" s="957"/>
      <c r="BDV65" s="950"/>
      <c r="BDW65" s="950"/>
      <c r="BDX65" s="957"/>
      <c r="BDY65" s="950"/>
      <c r="BDZ65" s="950"/>
      <c r="BEA65" s="653"/>
      <c r="BEB65" s="950"/>
      <c r="BEC65" s="951"/>
      <c r="BED65" s="952"/>
      <c r="BEE65" s="959"/>
      <c r="BEF65" s="953"/>
      <c r="BEG65" s="954"/>
      <c r="BEH65" s="955"/>
      <c r="BEI65" s="955"/>
      <c r="BEJ65" s="820"/>
      <c r="BEK65" s="972"/>
      <c r="BEL65" s="955"/>
      <c r="BEM65" s="950"/>
      <c r="BEN65" s="957"/>
      <c r="BEO65" s="950"/>
      <c r="BEP65" s="950"/>
      <c r="BEQ65" s="957"/>
      <c r="BER65" s="950"/>
      <c r="BES65" s="950"/>
      <c r="BET65" s="653"/>
      <c r="BEU65" s="950"/>
      <c r="BEV65" s="951"/>
      <c r="BEW65" s="952"/>
      <c r="BEX65" s="959"/>
      <c r="BEY65" s="953"/>
      <c r="BEZ65" s="954"/>
      <c r="BFA65" s="955"/>
      <c r="BFB65" s="955"/>
      <c r="BFC65" s="820"/>
      <c r="BFD65" s="972"/>
      <c r="BFE65" s="955"/>
      <c r="BFF65" s="950"/>
      <c r="BFG65" s="957"/>
      <c r="BFH65" s="950"/>
      <c r="BFI65" s="950"/>
      <c r="BFJ65" s="957"/>
      <c r="BFK65" s="950"/>
      <c r="BFL65" s="950"/>
      <c r="BFM65" s="653"/>
      <c r="BFN65" s="950"/>
      <c r="BFO65" s="951"/>
      <c r="BFP65" s="952"/>
      <c r="BFQ65" s="959"/>
      <c r="BFR65" s="953"/>
      <c r="BFS65" s="954"/>
      <c r="BFT65" s="955"/>
      <c r="BFU65" s="955"/>
      <c r="BFV65" s="820"/>
      <c r="BFW65" s="972"/>
      <c r="BFX65" s="955"/>
      <c r="BFY65" s="950"/>
      <c r="BFZ65" s="957"/>
      <c r="BGA65" s="950"/>
      <c r="BGB65" s="950"/>
      <c r="BGC65" s="957"/>
      <c r="BGD65" s="950"/>
      <c r="BGE65" s="950"/>
      <c r="BGF65" s="653"/>
      <c r="BGG65" s="950"/>
      <c r="BGH65" s="951"/>
      <c r="BGI65" s="952"/>
      <c r="BGJ65" s="959"/>
      <c r="BGK65" s="953"/>
      <c r="BGL65" s="954"/>
      <c r="BGM65" s="955"/>
      <c r="BGN65" s="955"/>
      <c r="BGO65" s="820"/>
      <c r="BGP65" s="972"/>
      <c r="BGQ65" s="955"/>
      <c r="BGR65" s="950"/>
      <c r="BGS65" s="957"/>
      <c r="BGT65" s="950"/>
      <c r="BGU65" s="950"/>
      <c r="BGV65" s="957"/>
      <c r="BGW65" s="950"/>
      <c r="BGX65" s="950"/>
      <c r="BGY65" s="653"/>
      <c r="BGZ65" s="950"/>
      <c r="BHA65" s="951"/>
      <c r="BHB65" s="952"/>
      <c r="BHC65" s="959"/>
      <c r="BHD65" s="953"/>
      <c r="BHE65" s="954"/>
      <c r="BHF65" s="955"/>
      <c r="BHG65" s="955"/>
      <c r="BHH65" s="820"/>
      <c r="BHI65" s="972"/>
      <c r="BHJ65" s="955"/>
      <c r="BHK65" s="950"/>
      <c r="BHL65" s="957"/>
      <c r="BHM65" s="950"/>
      <c r="BHN65" s="950"/>
      <c r="BHO65" s="957"/>
      <c r="BHP65" s="950"/>
      <c r="BHQ65" s="950"/>
      <c r="BHR65" s="653"/>
      <c r="BHS65" s="950"/>
      <c r="BHT65" s="951"/>
      <c r="BHU65" s="952"/>
      <c r="BHV65" s="959"/>
      <c r="BHW65" s="953"/>
      <c r="BHX65" s="954"/>
      <c r="BHY65" s="955"/>
      <c r="BHZ65" s="955"/>
      <c r="BIA65" s="820"/>
      <c r="BIB65" s="972"/>
      <c r="BIC65" s="955"/>
      <c r="BID65" s="950"/>
      <c r="BIE65" s="957"/>
      <c r="BIF65" s="950"/>
      <c r="BIG65" s="950"/>
      <c r="BIH65" s="957"/>
      <c r="BII65" s="950"/>
      <c r="BIJ65" s="950"/>
      <c r="BIK65" s="653"/>
      <c r="BIL65" s="950"/>
      <c r="BIM65" s="951"/>
      <c r="BIN65" s="952"/>
      <c r="BIO65" s="959"/>
      <c r="BIP65" s="953"/>
      <c r="BIQ65" s="954"/>
      <c r="BIR65" s="955"/>
      <c r="BIS65" s="955"/>
      <c r="BIT65" s="820"/>
      <c r="BIU65" s="972"/>
      <c r="BIV65" s="955"/>
      <c r="BIW65" s="950"/>
      <c r="BIX65" s="957"/>
      <c r="BIY65" s="950"/>
      <c r="BIZ65" s="950"/>
      <c r="BJA65" s="957"/>
      <c r="BJB65" s="950"/>
      <c r="BJC65" s="950"/>
      <c r="BJD65" s="653"/>
      <c r="BJE65" s="950"/>
      <c r="BJF65" s="951"/>
      <c r="BJG65" s="952"/>
      <c r="BJH65" s="959"/>
      <c r="BJI65" s="953"/>
      <c r="BJJ65" s="954"/>
      <c r="BJK65" s="955"/>
      <c r="BJL65" s="955"/>
      <c r="BJM65" s="820"/>
      <c r="BJN65" s="972"/>
      <c r="BJO65" s="955"/>
      <c r="BJP65" s="950"/>
      <c r="BJQ65" s="957"/>
      <c r="BJR65" s="950"/>
      <c r="BJS65" s="950"/>
      <c r="BJT65" s="957"/>
      <c r="BJU65" s="950"/>
      <c r="BJV65" s="950"/>
      <c r="BJW65" s="653"/>
      <c r="BJX65" s="950"/>
      <c r="BJY65" s="951"/>
      <c r="BJZ65" s="952"/>
      <c r="BKA65" s="959"/>
      <c r="BKB65" s="953"/>
      <c r="BKC65" s="954"/>
      <c r="BKD65" s="955"/>
      <c r="BKE65" s="955"/>
      <c r="BKF65" s="820"/>
      <c r="BKG65" s="972"/>
      <c r="BKH65" s="955"/>
      <c r="BKI65" s="950"/>
      <c r="BKJ65" s="957"/>
      <c r="BKK65" s="950"/>
      <c r="BKL65" s="950"/>
      <c r="BKM65" s="957"/>
      <c r="BKN65" s="950"/>
      <c r="BKO65" s="950"/>
      <c r="BKP65" s="653"/>
      <c r="BKQ65" s="950"/>
      <c r="BKR65" s="951"/>
      <c r="BKS65" s="952"/>
      <c r="BKT65" s="959"/>
      <c r="BKU65" s="953"/>
      <c r="BKV65" s="954"/>
      <c r="BKW65" s="955"/>
      <c r="BKX65" s="955"/>
      <c r="BKY65" s="820"/>
      <c r="BKZ65" s="972"/>
      <c r="BLA65" s="955"/>
      <c r="BLB65" s="950"/>
      <c r="BLC65" s="957"/>
      <c r="BLD65" s="950"/>
      <c r="BLE65" s="950"/>
      <c r="BLF65" s="957"/>
      <c r="BLG65" s="950"/>
      <c r="BLH65" s="950"/>
      <c r="BLI65" s="653"/>
      <c r="BLJ65" s="950"/>
      <c r="BLK65" s="951"/>
      <c r="BLL65" s="952"/>
      <c r="BLM65" s="959"/>
      <c r="BLN65" s="953"/>
      <c r="BLO65" s="954"/>
      <c r="BLP65" s="955"/>
      <c r="BLQ65" s="955"/>
      <c r="BLR65" s="820"/>
      <c r="BLS65" s="972"/>
      <c r="BLT65" s="955"/>
      <c r="BLU65" s="950"/>
      <c r="BLV65" s="957"/>
      <c r="BLW65" s="950"/>
      <c r="BLX65" s="950"/>
      <c r="BLY65" s="957"/>
      <c r="BLZ65" s="950"/>
      <c r="BMA65" s="950"/>
      <c r="BMB65" s="653"/>
      <c r="BMC65" s="950"/>
      <c r="BMD65" s="951"/>
      <c r="BME65" s="952"/>
      <c r="BMF65" s="959"/>
      <c r="BMG65" s="953"/>
      <c r="BMH65" s="954"/>
      <c r="BMI65" s="955"/>
      <c r="BMJ65" s="955"/>
      <c r="BMK65" s="820"/>
      <c r="BML65" s="972"/>
      <c r="BMM65" s="955"/>
      <c r="BMN65" s="950"/>
      <c r="BMO65" s="957"/>
      <c r="BMP65" s="950"/>
      <c r="BMQ65" s="950"/>
      <c r="BMR65" s="957"/>
      <c r="BMS65" s="950"/>
      <c r="BMT65" s="950"/>
      <c r="BMU65" s="653"/>
      <c r="BMV65" s="950"/>
      <c r="BMW65" s="951"/>
      <c r="BMX65" s="952"/>
      <c r="BMY65" s="959"/>
      <c r="BMZ65" s="953"/>
      <c r="BNA65" s="954"/>
      <c r="BNB65" s="955"/>
      <c r="BNC65" s="955"/>
      <c r="BND65" s="820"/>
      <c r="BNE65" s="972"/>
      <c r="BNF65" s="955"/>
      <c r="BNG65" s="950"/>
      <c r="BNH65" s="957"/>
      <c r="BNI65" s="950"/>
      <c r="BNJ65" s="950"/>
      <c r="BNK65" s="957"/>
      <c r="BNL65" s="950"/>
      <c r="BNM65" s="950"/>
      <c r="BNN65" s="653"/>
      <c r="BNO65" s="950"/>
      <c r="BNP65" s="951"/>
      <c r="BNQ65" s="952"/>
      <c r="BNR65" s="959"/>
      <c r="BNS65" s="953"/>
      <c r="BNT65" s="954"/>
      <c r="BNU65" s="955"/>
      <c r="BNV65" s="955"/>
      <c r="BNW65" s="820"/>
      <c r="BNX65" s="972"/>
      <c r="BNY65" s="955"/>
      <c r="BNZ65" s="950"/>
      <c r="BOA65" s="957"/>
      <c r="BOB65" s="950"/>
      <c r="BOC65" s="950"/>
      <c r="BOD65" s="957"/>
      <c r="BOE65" s="950"/>
      <c r="BOF65" s="950"/>
      <c r="BOG65" s="653"/>
      <c r="BOH65" s="950"/>
      <c r="BOI65" s="951"/>
      <c r="BOJ65" s="952"/>
      <c r="BOK65" s="959"/>
      <c r="BOL65" s="953"/>
      <c r="BOM65" s="954"/>
      <c r="BON65" s="955"/>
      <c r="BOO65" s="955"/>
      <c r="BOP65" s="820"/>
      <c r="BOQ65" s="972"/>
      <c r="BOR65" s="955"/>
      <c r="BOS65" s="950"/>
      <c r="BOT65" s="957"/>
      <c r="BOU65" s="950"/>
      <c r="BOV65" s="950"/>
      <c r="BOW65" s="957"/>
      <c r="BOX65" s="950"/>
      <c r="BOY65" s="950"/>
      <c r="BOZ65" s="653"/>
      <c r="BPA65" s="950"/>
      <c r="BPB65" s="951"/>
      <c r="BPC65" s="952"/>
      <c r="BPD65" s="959"/>
      <c r="BPE65" s="953"/>
      <c r="BPF65" s="954"/>
      <c r="BPG65" s="955"/>
      <c r="BPH65" s="955"/>
      <c r="BPI65" s="820"/>
      <c r="BPJ65" s="972"/>
      <c r="BPK65" s="955"/>
      <c r="BPL65" s="950"/>
      <c r="BPM65" s="957"/>
      <c r="BPN65" s="950"/>
      <c r="BPO65" s="950"/>
      <c r="BPP65" s="957"/>
      <c r="BPQ65" s="950"/>
      <c r="BPR65" s="950"/>
      <c r="BPS65" s="653"/>
      <c r="BPT65" s="950"/>
      <c r="BPU65" s="951"/>
      <c r="BPV65" s="952"/>
      <c r="BPW65" s="959"/>
      <c r="BPX65" s="953"/>
      <c r="BPY65" s="954"/>
      <c r="BPZ65" s="955"/>
      <c r="BQA65" s="955"/>
      <c r="BQB65" s="820"/>
      <c r="BQC65" s="972"/>
      <c r="BQD65" s="955"/>
      <c r="BQE65" s="950"/>
      <c r="BQF65" s="957"/>
      <c r="BQG65" s="950"/>
      <c r="BQH65" s="950"/>
      <c r="BQI65" s="957"/>
      <c r="BQJ65" s="950"/>
      <c r="BQK65" s="950"/>
      <c r="BQL65" s="653"/>
      <c r="BQM65" s="950"/>
      <c r="BQN65" s="951"/>
      <c r="BQO65" s="952"/>
      <c r="BQP65" s="959"/>
      <c r="BQQ65" s="953"/>
      <c r="BQR65" s="954"/>
      <c r="BQS65" s="955"/>
      <c r="BQT65" s="955"/>
      <c r="BQU65" s="820"/>
      <c r="BQV65" s="972"/>
      <c r="BQW65" s="955"/>
      <c r="BQX65" s="950"/>
      <c r="BQY65" s="957"/>
      <c r="BQZ65" s="950"/>
      <c r="BRA65" s="950"/>
      <c r="BRB65" s="957"/>
      <c r="BRC65" s="950"/>
      <c r="BRD65" s="950"/>
      <c r="BRE65" s="653"/>
      <c r="BRF65" s="950"/>
      <c r="BRG65" s="951"/>
      <c r="BRH65" s="952"/>
      <c r="BRI65" s="959"/>
      <c r="BRJ65" s="953"/>
      <c r="BRK65" s="954"/>
      <c r="BRL65" s="955"/>
      <c r="BRM65" s="955"/>
      <c r="BRN65" s="820"/>
      <c r="BRO65" s="972"/>
      <c r="BRP65" s="955"/>
      <c r="BRQ65" s="950"/>
      <c r="BRR65" s="957"/>
      <c r="BRS65" s="950"/>
      <c r="BRT65" s="950"/>
      <c r="BRU65" s="957"/>
      <c r="BRV65" s="950"/>
      <c r="BRW65" s="950"/>
      <c r="BRX65" s="653"/>
      <c r="BRY65" s="950"/>
      <c r="BRZ65" s="951"/>
      <c r="BSA65" s="952"/>
      <c r="BSB65" s="959"/>
      <c r="BSC65" s="953"/>
      <c r="BSD65" s="954"/>
      <c r="BSE65" s="955"/>
      <c r="BSF65" s="955"/>
      <c r="BSG65" s="820"/>
      <c r="BSH65" s="972"/>
      <c r="BSI65" s="955"/>
      <c r="BSJ65" s="950"/>
      <c r="BSK65" s="957"/>
      <c r="BSL65" s="950"/>
      <c r="BSM65" s="950"/>
      <c r="BSN65" s="957"/>
      <c r="BSO65" s="950"/>
      <c r="BSP65" s="950"/>
      <c r="BSQ65" s="653"/>
      <c r="BSR65" s="950"/>
      <c r="BSS65" s="951"/>
      <c r="BST65" s="952"/>
      <c r="BSU65" s="959"/>
      <c r="BSV65" s="953"/>
      <c r="BSW65" s="954"/>
      <c r="BSX65" s="955"/>
      <c r="BSY65" s="955"/>
      <c r="BSZ65" s="820"/>
      <c r="BTA65" s="972"/>
      <c r="BTB65" s="955"/>
      <c r="BTC65" s="950"/>
      <c r="BTD65" s="957"/>
      <c r="BTE65" s="950"/>
      <c r="BTF65" s="950"/>
      <c r="BTG65" s="957"/>
      <c r="BTH65" s="950"/>
      <c r="BTI65" s="950"/>
      <c r="BTJ65" s="653"/>
      <c r="BTK65" s="950"/>
      <c r="BTL65" s="951"/>
      <c r="BTM65" s="952"/>
      <c r="BTN65" s="959"/>
      <c r="BTO65" s="953"/>
      <c r="BTP65" s="954"/>
      <c r="BTQ65" s="955"/>
      <c r="BTR65" s="955"/>
      <c r="BTS65" s="820"/>
      <c r="BTT65" s="972"/>
      <c r="BTU65" s="955"/>
      <c r="BTV65" s="950"/>
      <c r="BTW65" s="957"/>
      <c r="BTX65" s="950"/>
      <c r="BTY65" s="950"/>
      <c r="BTZ65" s="957"/>
      <c r="BUA65" s="950"/>
      <c r="BUB65" s="950"/>
      <c r="BUC65" s="653"/>
      <c r="BUD65" s="950"/>
      <c r="BUE65" s="951"/>
      <c r="BUF65" s="952"/>
      <c r="BUG65" s="959"/>
      <c r="BUH65" s="953"/>
      <c r="BUI65" s="954"/>
      <c r="BUJ65" s="955"/>
      <c r="BUK65" s="955"/>
      <c r="BUL65" s="820"/>
      <c r="BUM65" s="972"/>
      <c r="BUN65" s="955"/>
      <c r="BUO65" s="950"/>
      <c r="BUP65" s="957"/>
      <c r="BUQ65" s="950"/>
      <c r="BUR65" s="950"/>
      <c r="BUS65" s="957"/>
      <c r="BUT65" s="950"/>
      <c r="BUU65" s="950"/>
      <c r="BUV65" s="653"/>
      <c r="BUW65" s="950"/>
      <c r="BUX65" s="951"/>
      <c r="BUY65" s="952"/>
      <c r="BUZ65" s="959"/>
      <c r="BVA65" s="953"/>
      <c r="BVB65" s="954"/>
      <c r="BVC65" s="955"/>
      <c r="BVD65" s="955"/>
      <c r="BVE65" s="820"/>
      <c r="BVF65" s="972"/>
      <c r="BVG65" s="955"/>
      <c r="BVH65" s="950"/>
      <c r="BVI65" s="957"/>
      <c r="BVJ65" s="950"/>
      <c r="BVK65" s="950"/>
      <c r="BVL65" s="957"/>
      <c r="BVM65" s="950"/>
      <c r="BVN65" s="950"/>
      <c r="BVO65" s="653"/>
      <c r="BVP65" s="950"/>
      <c r="BVQ65" s="951"/>
      <c r="BVR65" s="952"/>
      <c r="BVS65" s="959"/>
      <c r="BVT65" s="953"/>
      <c r="BVU65" s="954"/>
      <c r="BVV65" s="955"/>
      <c r="BVW65" s="955"/>
      <c r="BVX65" s="820"/>
      <c r="BVY65" s="972"/>
      <c r="BVZ65" s="955"/>
      <c r="BWA65" s="950"/>
      <c r="BWB65" s="957"/>
      <c r="BWC65" s="950"/>
      <c r="BWD65" s="950"/>
      <c r="BWE65" s="957"/>
      <c r="BWF65" s="950"/>
      <c r="BWG65" s="950"/>
      <c r="BWH65" s="653"/>
      <c r="BWI65" s="950"/>
      <c r="BWJ65" s="951"/>
      <c r="BWK65" s="952"/>
      <c r="BWL65" s="959"/>
      <c r="BWM65" s="953"/>
      <c r="BWN65" s="954"/>
      <c r="BWO65" s="955"/>
      <c r="BWP65" s="955"/>
      <c r="BWQ65" s="820"/>
      <c r="BWR65" s="972"/>
      <c r="BWS65" s="955"/>
      <c r="BWT65" s="950"/>
      <c r="BWU65" s="957"/>
      <c r="BWV65" s="950"/>
      <c r="BWW65" s="950"/>
      <c r="BWX65" s="957"/>
      <c r="BWY65" s="950"/>
      <c r="BWZ65" s="950"/>
      <c r="BXA65" s="653"/>
      <c r="BXB65" s="950"/>
      <c r="BXC65" s="951"/>
      <c r="BXD65" s="952"/>
      <c r="BXE65" s="959"/>
      <c r="BXF65" s="953"/>
      <c r="BXG65" s="954"/>
      <c r="BXH65" s="955"/>
      <c r="BXI65" s="955"/>
      <c r="BXJ65" s="820"/>
      <c r="BXK65" s="972"/>
      <c r="BXL65" s="955"/>
      <c r="BXM65" s="950"/>
      <c r="BXN65" s="957"/>
      <c r="BXO65" s="950"/>
      <c r="BXP65" s="950"/>
      <c r="BXQ65" s="957"/>
      <c r="BXR65" s="950"/>
      <c r="BXS65" s="950"/>
      <c r="BXT65" s="653"/>
      <c r="BXU65" s="950"/>
      <c r="BXV65" s="951"/>
      <c r="BXW65" s="952"/>
      <c r="BXX65" s="959"/>
      <c r="BXY65" s="953"/>
      <c r="BXZ65" s="954"/>
      <c r="BYA65" s="955"/>
      <c r="BYB65" s="955"/>
      <c r="BYC65" s="820"/>
      <c r="BYD65" s="972"/>
      <c r="BYE65" s="955"/>
      <c r="BYF65" s="950"/>
      <c r="BYG65" s="957"/>
      <c r="BYH65" s="950"/>
      <c r="BYI65" s="950"/>
      <c r="BYJ65" s="957"/>
      <c r="BYK65" s="950"/>
      <c r="BYL65" s="950"/>
      <c r="BYM65" s="653"/>
      <c r="BYN65" s="950"/>
      <c r="BYO65" s="951"/>
      <c r="BYP65" s="952"/>
      <c r="BYQ65" s="959"/>
      <c r="BYR65" s="953"/>
      <c r="BYS65" s="954"/>
      <c r="BYT65" s="955"/>
      <c r="BYU65" s="955"/>
      <c r="BYV65" s="820"/>
      <c r="BYW65" s="972"/>
      <c r="BYX65" s="955"/>
      <c r="BYY65" s="950"/>
      <c r="BYZ65" s="957"/>
      <c r="BZA65" s="950"/>
      <c r="BZB65" s="950"/>
      <c r="BZC65" s="957"/>
      <c r="BZD65" s="950"/>
      <c r="BZE65" s="950"/>
      <c r="BZF65" s="653"/>
      <c r="BZG65" s="950"/>
      <c r="BZH65" s="951"/>
      <c r="BZI65" s="952"/>
      <c r="BZJ65" s="959"/>
      <c r="BZK65" s="953"/>
      <c r="BZL65" s="954"/>
      <c r="BZM65" s="955"/>
      <c r="BZN65" s="955"/>
      <c r="BZO65" s="820"/>
      <c r="BZP65" s="972"/>
      <c r="BZQ65" s="955"/>
      <c r="BZR65" s="950"/>
      <c r="BZS65" s="957"/>
      <c r="BZT65" s="950"/>
      <c r="BZU65" s="950"/>
      <c r="BZV65" s="957"/>
      <c r="BZW65" s="950"/>
      <c r="BZX65" s="950"/>
      <c r="BZY65" s="653"/>
      <c r="BZZ65" s="950"/>
      <c r="CAA65" s="951"/>
      <c r="CAB65" s="952"/>
      <c r="CAC65" s="959"/>
      <c r="CAD65" s="953"/>
      <c r="CAE65" s="954"/>
      <c r="CAF65" s="955"/>
      <c r="CAG65" s="955"/>
      <c r="CAH65" s="820"/>
      <c r="CAI65" s="972"/>
      <c r="CAJ65" s="955"/>
      <c r="CAK65" s="950"/>
      <c r="CAL65" s="957"/>
      <c r="CAM65" s="950"/>
      <c r="CAN65" s="950"/>
      <c r="CAO65" s="957"/>
      <c r="CAP65" s="950"/>
      <c r="CAQ65" s="950"/>
      <c r="CAR65" s="653"/>
      <c r="CAS65" s="950"/>
      <c r="CAT65" s="951"/>
      <c r="CAU65" s="952"/>
      <c r="CAV65" s="959"/>
      <c r="CAW65" s="953"/>
      <c r="CAX65" s="954"/>
      <c r="CAY65" s="955"/>
      <c r="CAZ65" s="955"/>
      <c r="CBA65" s="820"/>
      <c r="CBB65" s="972"/>
      <c r="CBC65" s="955"/>
      <c r="CBD65" s="950"/>
      <c r="CBE65" s="957"/>
      <c r="CBF65" s="950"/>
      <c r="CBG65" s="950"/>
      <c r="CBH65" s="957"/>
      <c r="CBI65" s="950"/>
      <c r="CBJ65" s="950"/>
      <c r="CBK65" s="653"/>
      <c r="CBL65" s="950"/>
      <c r="CBM65" s="951"/>
      <c r="CBN65" s="952"/>
      <c r="CBO65" s="959"/>
      <c r="CBP65" s="953"/>
      <c r="CBQ65" s="954"/>
      <c r="CBR65" s="955"/>
      <c r="CBS65" s="955"/>
      <c r="CBT65" s="820"/>
      <c r="CBU65" s="972"/>
      <c r="CBV65" s="955"/>
      <c r="CBW65" s="950"/>
      <c r="CBX65" s="957"/>
      <c r="CBY65" s="950"/>
      <c r="CBZ65" s="950"/>
      <c r="CCA65" s="957"/>
      <c r="CCB65" s="950"/>
      <c r="CCC65" s="950"/>
      <c r="CCD65" s="653"/>
      <c r="CCE65" s="950"/>
      <c r="CCF65" s="951"/>
      <c r="CCG65" s="952"/>
      <c r="CCH65" s="959"/>
      <c r="CCI65" s="953"/>
      <c r="CCJ65" s="954"/>
      <c r="CCK65" s="955"/>
      <c r="CCL65" s="955"/>
      <c r="CCM65" s="820"/>
      <c r="CCN65" s="972"/>
      <c r="CCO65" s="955"/>
      <c r="CCP65" s="950"/>
      <c r="CCQ65" s="957"/>
      <c r="CCR65" s="950"/>
      <c r="CCS65" s="950"/>
      <c r="CCT65" s="957"/>
      <c r="CCU65" s="950"/>
      <c r="CCV65" s="950"/>
      <c r="CCW65" s="653"/>
      <c r="CCX65" s="950"/>
      <c r="CCY65" s="951"/>
      <c r="CCZ65" s="952"/>
      <c r="CDA65" s="959"/>
      <c r="CDB65" s="953"/>
      <c r="CDC65" s="954"/>
      <c r="CDD65" s="955"/>
      <c r="CDE65" s="955"/>
      <c r="CDF65" s="820"/>
      <c r="CDG65" s="972"/>
      <c r="CDH65" s="955"/>
      <c r="CDI65" s="950"/>
      <c r="CDJ65" s="957"/>
      <c r="CDK65" s="950"/>
      <c r="CDL65" s="950"/>
      <c r="CDM65" s="957"/>
      <c r="CDN65" s="950"/>
      <c r="CDO65" s="950"/>
      <c r="CDP65" s="653"/>
      <c r="CDQ65" s="950"/>
      <c r="CDR65" s="951"/>
      <c r="CDS65" s="952"/>
      <c r="CDT65" s="959"/>
      <c r="CDU65" s="953"/>
      <c r="CDV65" s="954"/>
      <c r="CDW65" s="955"/>
      <c r="CDX65" s="955"/>
      <c r="CDY65" s="820"/>
      <c r="CDZ65" s="972"/>
      <c r="CEA65" s="955"/>
      <c r="CEB65" s="950"/>
      <c r="CEC65" s="957"/>
      <c r="CED65" s="950"/>
      <c r="CEE65" s="950"/>
      <c r="CEF65" s="957"/>
      <c r="CEG65" s="950"/>
      <c r="CEH65" s="950"/>
      <c r="CEI65" s="653"/>
      <c r="CEJ65" s="950"/>
      <c r="CEK65" s="951"/>
      <c r="CEL65" s="952"/>
      <c r="CEM65" s="959"/>
      <c r="CEN65" s="953"/>
      <c r="CEO65" s="954"/>
      <c r="CEP65" s="955"/>
      <c r="CEQ65" s="955"/>
      <c r="CER65" s="820"/>
      <c r="CES65" s="972"/>
      <c r="CET65" s="955"/>
      <c r="CEU65" s="950"/>
      <c r="CEV65" s="957"/>
      <c r="CEW65" s="950"/>
      <c r="CEX65" s="950"/>
      <c r="CEY65" s="957"/>
      <c r="CEZ65" s="950"/>
      <c r="CFA65" s="950"/>
      <c r="CFB65" s="653"/>
      <c r="CFC65" s="950"/>
      <c r="CFD65" s="951"/>
      <c r="CFE65" s="952"/>
      <c r="CFF65" s="959"/>
      <c r="CFG65" s="953"/>
      <c r="CFH65" s="954"/>
      <c r="CFI65" s="955"/>
      <c r="CFJ65" s="955"/>
      <c r="CFK65" s="820"/>
      <c r="CFL65" s="972"/>
      <c r="CFM65" s="955"/>
      <c r="CFN65" s="950"/>
      <c r="CFO65" s="957"/>
      <c r="CFP65" s="950"/>
      <c r="CFQ65" s="950"/>
      <c r="CFR65" s="957"/>
      <c r="CFS65" s="950"/>
      <c r="CFT65" s="950"/>
      <c r="CFU65" s="653"/>
      <c r="CFV65" s="950"/>
      <c r="CFW65" s="951"/>
      <c r="CFX65" s="952"/>
      <c r="CFY65" s="959"/>
      <c r="CFZ65" s="953"/>
      <c r="CGA65" s="954"/>
      <c r="CGB65" s="955"/>
      <c r="CGC65" s="955"/>
      <c r="CGD65" s="820"/>
      <c r="CGE65" s="972"/>
      <c r="CGF65" s="955"/>
      <c r="CGG65" s="950"/>
      <c r="CGH65" s="957"/>
      <c r="CGI65" s="950"/>
      <c r="CGJ65" s="950"/>
      <c r="CGK65" s="957"/>
      <c r="CGL65" s="950"/>
      <c r="CGM65" s="950"/>
      <c r="CGN65" s="653"/>
      <c r="CGO65" s="950"/>
      <c r="CGP65" s="951"/>
      <c r="CGQ65" s="952"/>
      <c r="CGR65" s="959"/>
      <c r="CGS65" s="953"/>
      <c r="CGT65" s="954"/>
      <c r="CGU65" s="955"/>
      <c r="CGV65" s="955"/>
      <c r="CGW65" s="820"/>
      <c r="CGX65" s="972"/>
      <c r="CGY65" s="955"/>
      <c r="CGZ65" s="950"/>
      <c r="CHA65" s="957"/>
      <c r="CHB65" s="950"/>
      <c r="CHC65" s="950"/>
      <c r="CHD65" s="957"/>
      <c r="CHE65" s="950"/>
      <c r="CHF65" s="950"/>
      <c r="CHG65" s="653"/>
      <c r="CHH65" s="950"/>
      <c r="CHI65" s="951"/>
      <c r="CHJ65" s="952"/>
      <c r="CHK65" s="959"/>
      <c r="CHL65" s="953"/>
      <c r="CHM65" s="954"/>
      <c r="CHN65" s="955"/>
      <c r="CHO65" s="955"/>
      <c r="CHP65" s="820"/>
      <c r="CHQ65" s="972"/>
      <c r="CHR65" s="955"/>
      <c r="CHS65" s="950"/>
      <c r="CHT65" s="957"/>
      <c r="CHU65" s="950"/>
      <c r="CHV65" s="950"/>
      <c r="CHW65" s="957"/>
      <c r="CHX65" s="950"/>
      <c r="CHY65" s="950"/>
      <c r="CHZ65" s="653"/>
      <c r="CIA65" s="950"/>
      <c r="CIB65" s="951"/>
      <c r="CIC65" s="952"/>
      <c r="CID65" s="959"/>
      <c r="CIE65" s="953"/>
      <c r="CIF65" s="954"/>
      <c r="CIG65" s="955"/>
      <c r="CIH65" s="955"/>
      <c r="CII65" s="820"/>
      <c r="CIJ65" s="972"/>
      <c r="CIK65" s="955"/>
      <c r="CIL65" s="950"/>
      <c r="CIM65" s="957"/>
      <c r="CIN65" s="950"/>
      <c r="CIO65" s="950"/>
      <c r="CIP65" s="957"/>
      <c r="CIQ65" s="950"/>
      <c r="CIR65" s="950"/>
      <c r="CIS65" s="653"/>
      <c r="CIT65" s="950"/>
      <c r="CIU65" s="951"/>
      <c r="CIV65" s="952"/>
      <c r="CIW65" s="959"/>
      <c r="CIX65" s="953"/>
      <c r="CIY65" s="954"/>
      <c r="CIZ65" s="955"/>
      <c r="CJA65" s="955"/>
      <c r="CJB65" s="820"/>
      <c r="CJC65" s="972"/>
      <c r="CJD65" s="955"/>
      <c r="CJE65" s="950"/>
      <c r="CJF65" s="957"/>
      <c r="CJG65" s="950"/>
      <c r="CJH65" s="950"/>
      <c r="CJI65" s="957"/>
      <c r="CJJ65" s="950"/>
      <c r="CJK65" s="950"/>
      <c r="CJL65" s="653"/>
      <c r="CJM65" s="950"/>
      <c r="CJN65" s="951"/>
      <c r="CJO65" s="952"/>
      <c r="CJP65" s="959"/>
      <c r="CJQ65" s="953"/>
      <c r="CJR65" s="954"/>
      <c r="CJS65" s="955"/>
      <c r="CJT65" s="955"/>
      <c r="CJU65" s="820"/>
      <c r="CJV65" s="972"/>
      <c r="CJW65" s="955"/>
      <c r="CJX65" s="950"/>
      <c r="CJY65" s="957"/>
      <c r="CJZ65" s="950"/>
      <c r="CKA65" s="950"/>
      <c r="CKB65" s="957"/>
      <c r="CKC65" s="950"/>
      <c r="CKD65" s="950"/>
      <c r="CKE65" s="653"/>
      <c r="CKF65" s="950"/>
      <c r="CKG65" s="951"/>
      <c r="CKH65" s="952"/>
      <c r="CKI65" s="959"/>
      <c r="CKJ65" s="953"/>
      <c r="CKK65" s="954"/>
      <c r="CKL65" s="955"/>
      <c r="CKM65" s="955"/>
      <c r="CKN65" s="820"/>
      <c r="CKO65" s="972"/>
      <c r="CKP65" s="955"/>
      <c r="CKQ65" s="950"/>
      <c r="CKR65" s="957"/>
      <c r="CKS65" s="950"/>
      <c r="CKT65" s="950"/>
      <c r="CKU65" s="957"/>
      <c r="CKV65" s="950"/>
      <c r="CKW65" s="950"/>
      <c r="CKX65" s="653"/>
      <c r="CKY65" s="950"/>
      <c r="CKZ65" s="951"/>
      <c r="CLA65" s="952"/>
      <c r="CLB65" s="959"/>
      <c r="CLC65" s="953"/>
      <c r="CLD65" s="954"/>
      <c r="CLE65" s="955"/>
      <c r="CLF65" s="955"/>
      <c r="CLG65" s="820"/>
      <c r="CLH65" s="972"/>
      <c r="CLI65" s="955"/>
      <c r="CLJ65" s="950"/>
      <c r="CLK65" s="957"/>
      <c r="CLL65" s="950"/>
      <c r="CLM65" s="950"/>
      <c r="CLN65" s="957"/>
      <c r="CLO65" s="950"/>
      <c r="CLP65" s="950"/>
      <c r="CLQ65" s="653"/>
      <c r="CLR65" s="950"/>
      <c r="CLS65" s="951"/>
      <c r="CLT65" s="952"/>
      <c r="CLU65" s="959"/>
      <c r="CLV65" s="953"/>
      <c r="CLW65" s="954"/>
      <c r="CLX65" s="955"/>
      <c r="CLY65" s="955"/>
      <c r="CLZ65" s="820"/>
      <c r="CMA65" s="972"/>
      <c r="CMB65" s="955"/>
      <c r="CMC65" s="950"/>
      <c r="CMD65" s="957"/>
      <c r="CME65" s="950"/>
      <c r="CMF65" s="950"/>
      <c r="CMG65" s="957"/>
      <c r="CMH65" s="950"/>
      <c r="CMI65" s="950"/>
      <c r="CMJ65" s="653"/>
      <c r="CMK65" s="950"/>
      <c r="CML65" s="951"/>
      <c r="CMM65" s="952"/>
      <c r="CMN65" s="959"/>
      <c r="CMO65" s="953"/>
      <c r="CMP65" s="954"/>
      <c r="CMQ65" s="955"/>
      <c r="CMR65" s="955"/>
      <c r="CMS65" s="820"/>
      <c r="CMT65" s="972"/>
      <c r="CMU65" s="955"/>
      <c r="CMV65" s="950"/>
      <c r="CMW65" s="957"/>
      <c r="CMX65" s="950"/>
      <c r="CMY65" s="950"/>
      <c r="CMZ65" s="957"/>
      <c r="CNA65" s="950"/>
      <c r="CNB65" s="950"/>
      <c r="CNC65" s="653"/>
      <c r="CND65" s="950"/>
      <c r="CNE65" s="951"/>
      <c r="CNF65" s="952"/>
      <c r="CNG65" s="959"/>
      <c r="CNH65" s="953"/>
      <c r="CNI65" s="954"/>
      <c r="CNJ65" s="955"/>
      <c r="CNK65" s="955"/>
      <c r="CNL65" s="820"/>
      <c r="CNM65" s="972"/>
      <c r="CNN65" s="955"/>
      <c r="CNO65" s="950"/>
      <c r="CNP65" s="957"/>
      <c r="CNQ65" s="950"/>
      <c r="CNR65" s="950"/>
      <c r="CNS65" s="957"/>
      <c r="CNT65" s="950"/>
      <c r="CNU65" s="950"/>
      <c r="CNV65" s="653"/>
      <c r="CNW65" s="950"/>
      <c r="CNX65" s="951"/>
      <c r="CNY65" s="952"/>
      <c r="CNZ65" s="959"/>
      <c r="COA65" s="953"/>
      <c r="COB65" s="954"/>
      <c r="COC65" s="955"/>
      <c r="COD65" s="955"/>
      <c r="COE65" s="820"/>
      <c r="COF65" s="972"/>
      <c r="COG65" s="955"/>
      <c r="COH65" s="950"/>
      <c r="COI65" s="957"/>
      <c r="COJ65" s="950"/>
      <c r="COK65" s="950"/>
      <c r="COL65" s="957"/>
      <c r="COM65" s="950"/>
      <c r="CON65" s="950"/>
      <c r="COO65" s="653"/>
      <c r="COP65" s="950"/>
      <c r="COQ65" s="951"/>
      <c r="COR65" s="952"/>
      <c r="COS65" s="959"/>
      <c r="COT65" s="953"/>
      <c r="COU65" s="954"/>
      <c r="COV65" s="955"/>
      <c r="COW65" s="955"/>
      <c r="COX65" s="820"/>
      <c r="COY65" s="972"/>
      <c r="COZ65" s="955"/>
      <c r="CPA65" s="950"/>
      <c r="CPB65" s="957"/>
      <c r="CPC65" s="950"/>
      <c r="CPD65" s="950"/>
      <c r="CPE65" s="957"/>
      <c r="CPF65" s="950"/>
      <c r="CPG65" s="950"/>
      <c r="CPH65" s="653"/>
      <c r="CPI65" s="950"/>
      <c r="CPJ65" s="951"/>
      <c r="CPK65" s="952"/>
      <c r="CPL65" s="959"/>
      <c r="CPM65" s="953"/>
      <c r="CPN65" s="954"/>
      <c r="CPO65" s="955"/>
      <c r="CPP65" s="955"/>
      <c r="CPQ65" s="820"/>
      <c r="CPR65" s="972"/>
      <c r="CPS65" s="955"/>
      <c r="CPT65" s="950"/>
      <c r="CPU65" s="957"/>
      <c r="CPV65" s="950"/>
      <c r="CPW65" s="950"/>
      <c r="CPX65" s="957"/>
      <c r="CPY65" s="950"/>
      <c r="CPZ65" s="950"/>
      <c r="CQA65" s="653"/>
      <c r="CQB65" s="950"/>
      <c r="CQC65" s="951"/>
      <c r="CQD65" s="952"/>
      <c r="CQE65" s="959"/>
      <c r="CQF65" s="953"/>
      <c r="CQG65" s="954"/>
      <c r="CQH65" s="955"/>
      <c r="CQI65" s="955"/>
      <c r="CQJ65" s="820"/>
      <c r="CQK65" s="972"/>
      <c r="CQL65" s="955"/>
      <c r="CQM65" s="950"/>
      <c r="CQN65" s="957"/>
      <c r="CQO65" s="950"/>
      <c r="CQP65" s="950"/>
      <c r="CQQ65" s="957"/>
      <c r="CQR65" s="950"/>
      <c r="CQS65" s="950"/>
      <c r="CQT65" s="653"/>
      <c r="CQU65" s="950"/>
      <c r="CQV65" s="951"/>
      <c r="CQW65" s="952"/>
      <c r="CQX65" s="959"/>
      <c r="CQY65" s="953"/>
      <c r="CQZ65" s="954"/>
      <c r="CRA65" s="955"/>
      <c r="CRB65" s="955"/>
      <c r="CRC65" s="820"/>
      <c r="CRD65" s="972"/>
      <c r="CRE65" s="955"/>
      <c r="CRF65" s="950"/>
      <c r="CRG65" s="957"/>
      <c r="CRH65" s="950"/>
      <c r="CRI65" s="950"/>
      <c r="CRJ65" s="957"/>
      <c r="CRK65" s="950"/>
      <c r="CRL65" s="950"/>
      <c r="CRM65" s="653"/>
      <c r="CRN65" s="950"/>
      <c r="CRO65" s="951"/>
      <c r="CRP65" s="952"/>
      <c r="CRQ65" s="959"/>
      <c r="CRR65" s="953"/>
      <c r="CRS65" s="954"/>
      <c r="CRT65" s="955"/>
      <c r="CRU65" s="955"/>
      <c r="CRV65" s="820"/>
      <c r="CRW65" s="972"/>
      <c r="CRX65" s="955"/>
      <c r="CRY65" s="950"/>
      <c r="CRZ65" s="957"/>
      <c r="CSA65" s="950"/>
      <c r="CSB65" s="950"/>
      <c r="CSC65" s="957"/>
      <c r="CSD65" s="950"/>
      <c r="CSE65" s="950"/>
      <c r="CSF65" s="653"/>
      <c r="CSG65" s="950"/>
      <c r="CSH65" s="951"/>
      <c r="CSI65" s="952"/>
      <c r="CSJ65" s="959"/>
      <c r="CSK65" s="953"/>
      <c r="CSL65" s="954"/>
      <c r="CSM65" s="955"/>
      <c r="CSN65" s="955"/>
      <c r="CSO65" s="820"/>
      <c r="CSP65" s="972"/>
      <c r="CSQ65" s="955"/>
      <c r="CSR65" s="950"/>
      <c r="CSS65" s="957"/>
      <c r="CST65" s="950"/>
      <c r="CSU65" s="950"/>
      <c r="CSV65" s="957"/>
      <c r="CSW65" s="950"/>
      <c r="CSX65" s="950"/>
      <c r="CSY65" s="653"/>
      <c r="CSZ65" s="950"/>
      <c r="CTA65" s="951"/>
      <c r="CTB65" s="952"/>
      <c r="CTC65" s="959"/>
      <c r="CTD65" s="953"/>
      <c r="CTE65" s="954"/>
      <c r="CTF65" s="955"/>
      <c r="CTG65" s="955"/>
      <c r="CTH65" s="820"/>
      <c r="CTI65" s="972"/>
      <c r="CTJ65" s="955"/>
      <c r="CTK65" s="950"/>
      <c r="CTL65" s="957"/>
      <c r="CTM65" s="950"/>
      <c r="CTN65" s="950"/>
      <c r="CTO65" s="957"/>
      <c r="CTP65" s="950"/>
      <c r="CTQ65" s="950"/>
      <c r="CTR65" s="653"/>
      <c r="CTS65" s="950"/>
      <c r="CTT65" s="951"/>
      <c r="CTU65" s="952"/>
      <c r="CTV65" s="959"/>
      <c r="CTW65" s="953"/>
      <c r="CTX65" s="954"/>
      <c r="CTY65" s="955"/>
      <c r="CTZ65" s="955"/>
      <c r="CUA65" s="820"/>
      <c r="CUB65" s="972"/>
      <c r="CUC65" s="955"/>
      <c r="CUD65" s="950"/>
      <c r="CUE65" s="957"/>
      <c r="CUF65" s="950"/>
      <c r="CUG65" s="950"/>
      <c r="CUH65" s="957"/>
      <c r="CUI65" s="950"/>
      <c r="CUJ65" s="950"/>
      <c r="CUK65" s="653"/>
      <c r="CUL65" s="950"/>
      <c r="CUM65" s="951"/>
      <c r="CUN65" s="952"/>
      <c r="CUO65" s="959"/>
      <c r="CUP65" s="953"/>
      <c r="CUQ65" s="954"/>
      <c r="CUR65" s="955"/>
      <c r="CUS65" s="955"/>
      <c r="CUT65" s="820"/>
      <c r="CUU65" s="972"/>
      <c r="CUV65" s="955"/>
      <c r="CUW65" s="950"/>
      <c r="CUX65" s="957"/>
      <c r="CUY65" s="950"/>
      <c r="CUZ65" s="950"/>
      <c r="CVA65" s="957"/>
      <c r="CVB65" s="950"/>
      <c r="CVC65" s="950"/>
      <c r="CVD65" s="653"/>
      <c r="CVE65" s="950"/>
      <c r="CVF65" s="951"/>
      <c r="CVG65" s="952"/>
      <c r="CVH65" s="959"/>
      <c r="CVI65" s="953"/>
      <c r="CVJ65" s="954"/>
      <c r="CVK65" s="955"/>
      <c r="CVL65" s="955"/>
      <c r="CVM65" s="820"/>
      <c r="CVN65" s="972"/>
      <c r="CVO65" s="955"/>
      <c r="CVP65" s="950"/>
      <c r="CVQ65" s="957"/>
      <c r="CVR65" s="950"/>
      <c r="CVS65" s="950"/>
      <c r="CVT65" s="957"/>
      <c r="CVU65" s="950"/>
      <c r="CVV65" s="950"/>
      <c r="CVW65" s="653"/>
      <c r="CVX65" s="950"/>
      <c r="CVY65" s="951"/>
      <c r="CVZ65" s="952"/>
      <c r="CWA65" s="959"/>
      <c r="CWB65" s="953"/>
      <c r="CWC65" s="954"/>
      <c r="CWD65" s="955"/>
      <c r="CWE65" s="955"/>
      <c r="CWF65" s="820"/>
      <c r="CWG65" s="972"/>
      <c r="CWH65" s="955"/>
      <c r="CWI65" s="950"/>
      <c r="CWJ65" s="957"/>
      <c r="CWK65" s="950"/>
      <c r="CWL65" s="950"/>
      <c r="CWM65" s="957"/>
      <c r="CWN65" s="950"/>
      <c r="CWO65" s="950"/>
      <c r="CWP65" s="653"/>
      <c r="CWQ65" s="950"/>
      <c r="CWR65" s="951"/>
      <c r="CWS65" s="952"/>
      <c r="CWT65" s="959"/>
      <c r="CWU65" s="953"/>
      <c r="CWV65" s="954"/>
      <c r="CWW65" s="955"/>
      <c r="CWX65" s="955"/>
      <c r="CWY65" s="820"/>
      <c r="CWZ65" s="972"/>
      <c r="CXA65" s="955"/>
      <c r="CXB65" s="950"/>
      <c r="CXC65" s="957"/>
      <c r="CXD65" s="950"/>
      <c r="CXE65" s="950"/>
      <c r="CXF65" s="957"/>
      <c r="CXG65" s="950"/>
      <c r="CXH65" s="950"/>
      <c r="CXI65" s="653"/>
      <c r="CXJ65" s="950"/>
      <c r="CXK65" s="951"/>
      <c r="CXL65" s="952"/>
      <c r="CXM65" s="959"/>
      <c r="CXN65" s="953"/>
      <c r="CXO65" s="954"/>
      <c r="CXP65" s="955"/>
      <c r="CXQ65" s="955"/>
      <c r="CXR65" s="820"/>
      <c r="CXS65" s="972"/>
      <c r="CXT65" s="955"/>
      <c r="CXU65" s="950"/>
      <c r="CXV65" s="957"/>
      <c r="CXW65" s="950"/>
      <c r="CXX65" s="950"/>
      <c r="CXY65" s="957"/>
      <c r="CXZ65" s="950"/>
      <c r="CYA65" s="950"/>
      <c r="CYB65" s="653"/>
      <c r="CYC65" s="950"/>
      <c r="CYD65" s="951"/>
      <c r="CYE65" s="952"/>
      <c r="CYF65" s="959"/>
      <c r="CYG65" s="953"/>
      <c r="CYH65" s="954"/>
      <c r="CYI65" s="955"/>
      <c r="CYJ65" s="955"/>
      <c r="CYK65" s="820"/>
      <c r="CYL65" s="972"/>
      <c r="CYM65" s="955"/>
      <c r="CYN65" s="950"/>
      <c r="CYO65" s="957"/>
      <c r="CYP65" s="950"/>
      <c r="CYQ65" s="950"/>
      <c r="CYR65" s="957"/>
      <c r="CYS65" s="950"/>
      <c r="CYT65" s="950"/>
      <c r="CYU65" s="653"/>
      <c r="CYV65" s="950"/>
      <c r="CYW65" s="951"/>
      <c r="CYX65" s="952"/>
      <c r="CYY65" s="959"/>
      <c r="CYZ65" s="953"/>
      <c r="CZA65" s="954"/>
      <c r="CZB65" s="955"/>
      <c r="CZC65" s="955"/>
      <c r="CZD65" s="820"/>
      <c r="CZE65" s="972"/>
      <c r="CZF65" s="955"/>
      <c r="CZG65" s="950"/>
      <c r="CZH65" s="957"/>
      <c r="CZI65" s="950"/>
      <c r="CZJ65" s="950"/>
      <c r="CZK65" s="957"/>
      <c r="CZL65" s="950"/>
      <c r="CZM65" s="950"/>
      <c r="CZN65" s="653"/>
      <c r="CZO65" s="950"/>
      <c r="CZP65" s="951"/>
      <c r="CZQ65" s="952"/>
      <c r="CZR65" s="959"/>
      <c r="CZS65" s="953"/>
      <c r="CZT65" s="954"/>
      <c r="CZU65" s="955"/>
      <c r="CZV65" s="955"/>
      <c r="CZW65" s="820"/>
      <c r="CZX65" s="972"/>
      <c r="CZY65" s="955"/>
      <c r="CZZ65" s="950"/>
      <c r="DAA65" s="957"/>
      <c r="DAB65" s="950"/>
      <c r="DAC65" s="950"/>
      <c r="DAD65" s="957"/>
      <c r="DAE65" s="950"/>
      <c r="DAF65" s="950"/>
      <c r="DAG65" s="653"/>
      <c r="DAH65" s="950"/>
      <c r="DAI65" s="951"/>
      <c r="DAJ65" s="952"/>
      <c r="DAK65" s="959"/>
      <c r="DAL65" s="953"/>
      <c r="DAM65" s="954"/>
      <c r="DAN65" s="955"/>
      <c r="DAO65" s="955"/>
      <c r="DAP65" s="820"/>
      <c r="DAQ65" s="972"/>
      <c r="DAR65" s="955"/>
      <c r="DAS65" s="950"/>
      <c r="DAT65" s="957"/>
      <c r="DAU65" s="950"/>
      <c r="DAV65" s="950"/>
      <c r="DAW65" s="957"/>
      <c r="DAX65" s="950"/>
      <c r="DAY65" s="950"/>
      <c r="DAZ65" s="653"/>
      <c r="DBA65" s="950"/>
      <c r="DBB65" s="951"/>
      <c r="DBC65" s="952"/>
      <c r="DBD65" s="959"/>
      <c r="DBE65" s="953"/>
      <c r="DBF65" s="954"/>
      <c r="DBG65" s="955"/>
      <c r="DBH65" s="955"/>
      <c r="DBI65" s="820"/>
      <c r="DBJ65" s="972"/>
      <c r="DBK65" s="955"/>
      <c r="DBL65" s="950"/>
      <c r="DBM65" s="957"/>
      <c r="DBN65" s="950"/>
      <c r="DBO65" s="950"/>
      <c r="DBP65" s="957"/>
      <c r="DBQ65" s="950"/>
      <c r="DBR65" s="950"/>
      <c r="DBS65" s="653"/>
      <c r="DBT65" s="950"/>
      <c r="DBU65" s="951"/>
      <c r="DBV65" s="952"/>
      <c r="DBW65" s="959"/>
      <c r="DBX65" s="953"/>
      <c r="DBY65" s="954"/>
      <c r="DBZ65" s="955"/>
      <c r="DCA65" s="955"/>
      <c r="DCB65" s="820"/>
      <c r="DCC65" s="972"/>
      <c r="DCD65" s="955"/>
      <c r="DCE65" s="950"/>
      <c r="DCF65" s="957"/>
      <c r="DCG65" s="950"/>
      <c r="DCH65" s="950"/>
      <c r="DCI65" s="957"/>
      <c r="DCJ65" s="950"/>
      <c r="DCK65" s="950"/>
      <c r="DCL65" s="653"/>
      <c r="DCM65" s="950"/>
      <c r="DCN65" s="951"/>
      <c r="DCO65" s="952"/>
      <c r="DCP65" s="959"/>
      <c r="DCQ65" s="953"/>
      <c r="DCR65" s="954"/>
      <c r="DCS65" s="955"/>
      <c r="DCT65" s="955"/>
      <c r="DCU65" s="820"/>
      <c r="DCV65" s="972"/>
      <c r="DCW65" s="955"/>
      <c r="DCX65" s="950"/>
      <c r="DCY65" s="957"/>
      <c r="DCZ65" s="950"/>
      <c r="DDA65" s="950"/>
      <c r="DDB65" s="957"/>
      <c r="DDC65" s="950"/>
      <c r="DDD65" s="950"/>
      <c r="DDE65" s="653"/>
      <c r="DDF65" s="950"/>
      <c r="DDG65" s="951"/>
      <c r="DDH65" s="952"/>
      <c r="DDI65" s="959"/>
      <c r="DDJ65" s="953"/>
      <c r="DDK65" s="954"/>
      <c r="DDL65" s="955"/>
      <c r="DDM65" s="955"/>
      <c r="DDN65" s="820"/>
      <c r="DDO65" s="972"/>
      <c r="DDP65" s="955"/>
      <c r="DDQ65" s="950"/>
      <c r="DDR65" s="957"/>
      <c r="DDS65" s="950"/>
      <c r="DDT65" s="950"/>
      <c r="DDU65" s="957"/>
      <c r="DDV65" s="950"/>
      <c r="DDW65" s="950"/>
      <c r="DDX65" s="653"/>
      <c r="DDY65" s="950"/>
      <c r="DDZ65" s="951"/>
      <c r="DEA65" s="952"/>
      <c r="DEB65" s="959"/>
      <c r="DEC65" s="953"/>
      <c r="DED65" s="954"/>
      <c r="DEE65" s="955"/>
      <c r="DEF65" s="955"/>
      <c r="DEG65" s="820"/>
      <c r="DEH65" s="972"/>
      <c r="DEI65" s="955"/>
      <c r="DEJ65" s="950"/>
      <c r="DEK65" s="957"/>
      <c r="DEL65" s="950"/>
      <c r="DEM65" s="950"/>
      <c r="DEN65" s="957"/>
      <c r="DEO65" s="950"/>
      <c r="DEP65" s="950"/>
      <c r="DEQ65" s="653"/>
      <c r="DER65" s="950"/>
      <c r="DES65" s="951"/>
      <c r="DET65" s="952"/>
      <c r="DEU65" s="959"/>
      <c r="DEV65" s="953"/>
      <c r="DEW65" s="954"/>
      <c r="DEX65" s="955"/>
      <c r="DEY65" s="955"/>
      <c r="DEZ65" s="820"/>
      <c r="DFA65" s="972"/>
      <c r="DFB65" s="955"/>
      <c r="DFC65" s="950"/>
      <c r="DFD65" s="957"/>
      <c r="DFE65" s="950"/>
      <c r="DFF65" s="950"/>
      <c r="DFG65" s="957"/>
      <c r="DFH65" s="950"/>
      <c r="DFI65" s="950"/>
      <c r="DFJ65" s="653"/>
      <c r="DFK65" s="950"/>
      <c r="DFL65" s="951"/>
      <c r="DFM65" s="952"/>
      <c r="DFN65" s="959"/>
      <c r="DFO65" s="953"/>
      <c r="DFP65" s="954"/>
      <c r="DFQ65" s="955"/>
      <c r="DFR65" s="955"/>
      <c r="DFS65" s="820"/>
      <c r="DFT65" s="972"/>
      <c r="DFU65" s="955"/>
      <c r="DFV65" s="950"/>
      <c r="DFW65" s="957"/>
      <c r="DFX65" s="950"/>
      <c r="DFY65" s="950"/>
      <c r="DFZ65" s="957"/>
      <c r="DGA65" s="950"/>
      <c r="DGB65" s="950"/>
      <c r="DGC65" s="653"/>
      <c r="DGD65" s="950"/>
      <c r="DGE65" s="951"/>
      <c r="DGF65" s="952"/>
      <c r="DGG65" s="959"/>
      <c r="DGH65" s="953"/>
      <c r="DGI65" s="954"/>
      <c r="DGJ65" s="955"/>
      <c r="DGK65" s="955"/>
      <c r="DGL65" s="820"/>
      <c r="DGM65" s="972"/>
      <c r="DGN65" s="955"/>
      <c r="DGO65" s="950"/>
      <c r="DGP65" s="957"/>
      <c r="DGQ65" s="950"/>
      <c r="DGR65" s="950"/>
      <c r="DGS65" s="957"/>
      <c r="DGT65" s="950"/>
      <c r="DGU65" s="950"/>
      <c r="DGV65" s="653"/>
      <c r="DGW65" s="950"/>
      <c r="DGX65" s="951"/>
      <c r="DGY65" s="952"/>
      <c r="DGZ65" s="959"/>
      <c r="DHA65" s="953"/>
      <c r="DHB65" s="954"/>
      <c r="DHC65" s="955"/>
      <c r="DHD65" s="955"/>
      <c r="DHE65" s="820"/>
      <c r="DHF65" s="972"/>
      <c r="DHG65" s="955"/>
      <c r="DHH65" s="950"/>
      <c r="DHI65" s="957"/>
      <c r="DHJ65" s="950"/>
      <c r="DHK65" s="950"/>
      <c r="DHL65" s="957"/>
      <c r="DHM65" s="950"/>
      <c r="DHN65" s="950"/>
      <c r="DHO65" s="653"/>
      <c r="DHP65" s="950"/>
      <c r="DHQ65" s="951"/>
      <c r="DHR65" s="952"/>
      <c r="DHS65" s="959"/>
      <c r="DHT65" s="953"/>
      <c r="DHU65" s="954"/>
      <c r="DHV65" s="955"/>
      <c r="DHW65" s="955"/>
      <c r="DHX65" s="820"/>
      <c r="DHY65" s="972"/>
      <c r="DHZ65" s="955"/>
      <c r="DIA65" s="950"/>
      <c r="DIB65" s="957"/>
      <c r="DIC65" s="950"/>
      <c r="DID65" s="950"/>
      <c r="DIE65" s="957"/>
      <c r="DIF65" s="950"/>
      <c r="DIG65" s="950"/>
      <c r="DIH65" s="653"/>
      <c r="DII65" s="950"/>
      <c r="DIJ65" s="951"/>
      <c r="DIK65" s="952"/>
      <c r="DIL65" s="959"/>
      <c r="DIM65" s="953"/>
      <c r="DIN65" s="954"/>
      <c r="DIO65" s="955"/>
      <c r="DIP65" s="955"/>
      <c r="DIQ65" s="820"/>
      <c r="DIR65" s="972"/>
      <c r="DIS65" s="955"/>
      <c r="DIT65" s="950"/>
      <c r="DIU65" s="957"/>
      <c r="DIV65" s="950"/>
      <c r="DIW65" s="950"/>
      <c r="DIX65" s="957"/>
      <c r="DIY65" s="950"/>
      <c r="DIZ65" s="950"/>
      <c r="DJA65" s="653"/>
      <c r="DJB65" s="950"/>
      <c r="DJC65" s="951"/>
      <c r="DJD65" s="952"/>
      <c r="DJE65" s="959"/>
      <c r="DJF65" s="953"/>
      <c r="DJG65" s="954"/>
      <c r="DJH65" s="955"/>
      <c r="DJI65" s="955"/>
      <c r="DJJ65" s="820"/>
      <c r="DJK65" s="972"/>
      <c r="DJL65" s="955"/>
      <c r="DJM65" s="950"/>
      <c r="DJN65" s="957"/>
      <c r="DJO65" s="950"/>
      <c r="DJP65" s="950"/>
      <c r="DJQ65" s="957"/>
      <c r="DJR65" s="950"/>
      <c r="DJS65" s="950"/>
      <c r="DJT65" s="653"/>
      <c r="DJU65" s="950"/>
      <c r="DJV65" s="951"/>
      <c r="DJW65" s="952"/>
      <c r="DJX65" s="959"/>
      <c r="DJY65" s="953"/>
      <c r="DJZ65" s="954"/>
      <c r="DKA65" s="955"/>
      <c r="DKB65" s="955"/>
      <c r="DKC65" s="820"/>
      <c r="DKD65" s="972"/>
      <c r="DKE65" s="955"/>
      <c r="DKF65" s="950"/>
      <c r="DKG65" s="957"/>
      <c r="DKH65" s="950"/>
      <c r="DKI65" s="950"/>
      <c r="DKJ65" s="957"/>
      <c r="DKK65" s="950"/>
      <c r="DKL65" s="950"/>
      <c r="DKM65" s="653"/>
      <c r="DKN65" s="950"/>
      <c r="DKO65" s="951"/>
      <c r="DKP65" s="952"/>
      <c r="DKQ65" s="959"/>
      <c r="DKR65" s="953"/>
      <c r="DKS65" s="954"/>
      <c r="DKT65" s="955"/>
      <c r="DKU65" s="955"/>
      <c r="DKV65" s="820"/>
      <c r="DKW65" s="972"/>
      <c r="DKX65" s="955"/>
      <c r="DKY65" s="950"/>
      <c r="DKZ65" s="957"/>
      <c r="DLA65" s="950"/>
      <c r="DLB65" s="950"/>
      <c r="DLC65" s="957"/>
      <c r="DLD65" s="950"/>
      <c r="DLE65" s="950"/>
      <c r="DLF65" s="653"/>
      <c r="DLG65" s="950"/>
      <c r="DLH65" s="951"/>
      <c r="DLI65" s="952"/>
      <c r="DLJ65" s="959"/>
      <c r="DLK65" s="953"/>
      <c r="DLL65" s="954"/>
      <c r="DLM65" s="955"/>
      <c r="DLN65" s="955"/>
      <c r="DLO65" s="820"/>
      <c r="DLP65" s="972"/>
      <c r="DLQ65" s="955"/>
      <c r="DLR65" s="950"/>
      <c r="DLS65" s="957"/>
      <c r="DLT65" s="950"/>
      <c r="DLU65" s="950"/>
      <c r="DLV65" s="957"/>
      <c r="DLW65" s="950"/>
      <c r="DLX65" s="950"/>
      <c r="DLY65" s="653"/>
      <c r="DLZ65" s="950"/>
      <c r="DMA65" s="951"/>
      <c r="DMB65" s="952"/>
      <c r="DMC65" s="959"/>
      <c r="DMD65" s="953"/>
      <c r="DME65" s="954"/>
      <c r="DMF65" s="955"/>
      <c r="DMG65" s="955"/>
      <c r="DMH65" s="820"/>
      <c r="DMI65" s="972"/>
      <c r="DMJ65" s="955"/>
      <c r="DMK65" s="950"/>
      <c r="DML65" s="957"/>
      <c r="DMM65" s="950"/>
      <c r="DMN65" s="950"/>
      <c r="DMO65" s="957"/>
      <c r="DMP65" s="950"/>
      <c r="DMQ65" s="950"/>
      <c r="DMR65" s="653"/>
      <c r="DMS65" s="950"/>
      <c r="DMT65" s="951"/>
      <c r="DMU65" s="952"/>
      <c r="DMV65" s="959"/>
      <c r="DMW65" s="953"/>
      <c r="DMX65" s="954"/>
      <c r="DMY65" s="955"/>
      <c r="DMZ65" s="955"/>
      <c r="DNA65" s="820"/>
      <c r="DNB65" s="972"/>
      <c r="DNC65" s="955"/>
      <c r="DND65" s="950"/>
      <c r="DNE65" s="957"/>
      <c r="DNF65" s="950"/>
      <c r="DNG65" s="950"/>
      <c r="DNH65" s="957"/>
      <c r="DNI65" s="950"/>
      <c r="DNJ65" s="950"/>
      <c r="DNK65" s="653"/>
      <c r="DNL65" s="950"/>
      <c r="DNM65" s="951"/>
      <c r="DNN65" s="952"/>
      <c r="DNO65" s="959"/>
      <c r="DNP65" s="953"/>
      <c r="DNQ65" s="954"/>
      <c r="DNR65" s="955"/>
      <c r="DNS65" s="955"/>
      <c r="DNT65" s="820"/>
      <c r="DNU65" s="972"/>
      <c r="DNV65" s="955"/>
      <c r="DNW65" s="950"/>
      <c r="DNX65" s="957"/>
      <c r="DNY65" s="950"/>
      <c r="DNZ65" s="950"/>
      <c r="DOA65" s="957"/>
      <c r="DOB65" s="950"/>
      <c r="DOC65" s="950"/>
      <c r="DOD65" s="653"/>
      <c r="DOE65" s="950"/>
      <c r="DOF65" s="951"/>
      <c r="DOG65" s="952"/>
      <c r="DOH65" s="959"/>
      <c r="DOI65" s="953"/>
      <c r="DOJ65" s="954"/>
      <c r="DOK65" s="955"/>
      <c r="DOL65" s="955"/>
      <c r="DOM65" s="820"/>
      <c r="DON65" s="972"/>
      <c r="DOO65" s="955"/>
      <c r="DOP65" s="950"/>
      <c r="DOQ65" s="957"/>
      <c r="DOR65" s="950"/>
      <c r="DOS65" s="950"/>
      <c r="DOT65" s="957"/>
      <c r="DOU65" s="950"/>
      <c r="DOV65" s="950"/>
      <c r="DOW65" s="653"/>
      <c r="DOX65" s="950"/>
      <c r="DOY65" s="951"/>
      <c r="DOZ65" s="952"/>
      <c r="DPA65" s="959"/>
      <c r="DPB65" s="953"/>
      <c r="DPC65" s="954"/>
      <c r="DPD65" s="955"/>
      <c r="DPE65" s="955"/>
      <c r="DPF65" s="820"/>
      <c r="DPG65" s="972"/>
      <c r="DPH65" s="955"/>
      <c r="DPI65" s="950"/>
      <c r="DPJ65" s="957"/>
      <c r="DPK65" s="950"/>
      <c r="DPL65" s="950"/>
      <c r="DPM65" s="957"/>
      <c r="DPN65" s="950"/>
      <c r="DPO65" s="950"/>
      <c r="DPP65" s="653"/>
      <c r="DPQ65" s="950"/>
      <c r="DPR65" s="951"/>
      <c r="DPS65" s="952"/>
      <c r="DPT65" s="959"/>
      <c r="DPU65" s="953"/>
      <c r="DPV65" s="954"/>
      <c r="DPW65" s="955"/>
      <c r="DPX65" s="955"/>
      <c r="DPY65" s="820"/>
      <c r="DPZ65" s="972"/>
      <c r="DQA65" s="955"/>
      <c r="DQB65" s="950"/>
      <c r="DQC65" s="957"/>
      <c r="DQD65" s="950"/>
      <c r="DQE65" s="950"/>
      <c r="DQF65" s="957"/>
      <c r="DQG65" s="950"/>
      <c r="DQH65" s="950"/>
      <c r="DQI65" s="653"/>
      <c r="DQJ65" s="950"/>
      <c r="DQK65" s="951"/>
      <c r="DQL65" s="952"/>
      <c r="DQM65" s="959"/>
      <c r="DQN65" s="953"/>
      <c r="DQO65" s="954"/>
      <c r="DQP65" s="955"/>
      <c r="DQQ65" s="955"/>
      <c r="DQR65" s="820"/>
      <c r="DQS65" s="972"/>
      <c r="DQT65" s="955"/>
      <c r="DQU65" s="950"/>
      <c r="DQV65" s="957"/>
      <c r="DQW65" s="950"/>
      <c r="DQX65" s="950"/>
      <c r="DQY65" s="957"/>
      <c r="DQZ65" s="950"/>
      <c r="DRA65" s="950"/>
      <c r="DRB65" s="653"/>
      <c r="DRC65" s="950"/>
      <c r="DRD65" s="951"/>
      <c r="DRE65" s="952"/>
      <c r="DRF65" s="959"/>
      <c r="DRG65" s="953"/>
      <c r="DRH65" s="954"/>
      <c r="DRI65" s="955"/>
      <c r="DRJ65" s="955"/>
      <c r="DRK65" s="820"/>
      <c r="DRL65" s="972"/>
      <c r="DRM65" s="955"/>
      <c r="DRN65" s="950"/>
      <c r="DRO65" s="957"/>
      <c r="DRP65" s="950"/>
      <c r="DRQ65" s="950"/>
      <c r="DRR65" s="957"/>
      <c r="DRS65" s="950"/>
      <c r="DRT65" s="950"/>
      <c r="DRU65" s="653"/>
      <c r="DRV65" s="950"/>
      <c r="DRW65" s="951"/>
      <c r="DRX65" s="952"/>
      <c r="DRY65" s="959"/>
      <c r="DRZ65" s="953"/>
      <c r="DSA65" s="954"/>
      <c r="DSB65" s="955"/>
      <c r="DSC65" s="955"/>
      <c r="DSD65" s="820"/>
      <c r="DSE65" s="972"/>
      <c r="DSF65" s="955"/>
      <c r="DSG65" s="950"/>
      <c r="DSH65" s="957"/>
      <c r="DSI65" s="950"/>
      <c r="DSJ65" s="950"/>
      <c r="DSK65" s="957"/>
      <c r="DSL65" s="950"/>
      <c r="DSM65" s="950"/>
      <c r="DSN65" s="653"/>
      <c r="DSO65" s="950"/>
      <c r="DSP65" s="951"/>
      <c r="DSQ65" s="952"/>
      <c r="DSR65" s="959"/>
      <c r="DSS65" s="953"/>
      <c r="DST65" s="954"/>
      <c r="DSU65" s="955"/>
      <c r="DSV65" s="955"/>
      <c r="DSW65" s="820"/>
      <c r="DSX65" s="972"/>
      <c r="DSY65" s="955"/>
      <c r="DSZ65" s="950"/>
      <c r="DTA65" s="957"/>
      <c r="DTB65" s="950"/>
      <c r="DTC65" s="950"/>
      <c r="DTD65" s="957"/>
      <c r="DTE65" s="950"/>
      <c r="DTF65" s="950"/>
      <c r="DTG65" s="653"/>
      <c r="DTH65" s="950"/>
      <c r="DTI65" s="951"/>
      <c r="DTJ65" s="952"/>
      <c r="DTK65" s="959"/>
      <c r="DTL65" s="953"/>
      <c r="DTM65" s="954"/>
      <c r="DTN65" s="955"/>
      <c r="DTO65" s="955"/>
      <c r="DTP65" s="820"/>
      <c r="DTQ65" s="972"/>
      <c r="DTR65" s="955"/>
      <c r="DTS65" s="950"/>
      <c r="DTT65" s="957"/>
      <c r="DTU65" s="950"/>
      <c r="DTV65" s="950"/>
      <c r="DTW65" s="957"/>
      <c r="DTX65" s="950"/>
      <c r="DTY65" s="950"/>
      <c r="DTZ65" s="653"/>
      <c r="DUA65" s="950"/>
      <c r="DUB65" s="951"/>
      <c r="DUC65" s="952"/>
      <c r="DUD65" s="959"/>
      <c r="DUE65" s="953"/>
      <c r="DUF65" s="954"/>
      <c r="DUG65" s="955"/>
      <c r="DUH65" s="955"/>
      <c r="DUI65" s="820"/>
      <c r="DUJ65" s="972"/>
      <c r="DUK65" s="955"/>
      <c r="DUL65" s="950"/>
      <c r="DUM65" s="957"/>
      <c r="DUN65" s="950"/>
      <c r="DUO65" s="950"/>
      <c r="DUP65" s="957"/>
      <c r="DUQ65" s="950"/>
      <c r="DUR65" s="950"/>
      <c r="DUS65" s="653"/>
      <c r="DUT65" s="950"/>
      <c r="DUU65" s="951"/>
      <c r="DUV65" s="952"/>
      <c r="DUW65" s="959"/>
      <c r="DUX65" s="953"/>
      <c r="DUY65" s="954"/>
      <c r="DUZ65" s="955"/>
      <c r="DVA65" s="955"/>
      <c r="DVB65" s="820"/>
      <c r="DVC65" s="972"/>
      <c r="DVD65" s="955"/>
      <c r="DVE65" s="950"/>
      <c r="DVF65" s="957"/>
      <c r="DVG65" s="950"/>
      <c r="DVH65" s="950"/>
      <c r="DVI65" s="957"/>
      <c r="DVJ65" s="950"/>
      <c r="DVK65" s="950"/>
      <c r="DVL65" s="653"/>
      <c r="DVM65" s="950"/>
      <c r="DVN65" s="951"/>
      <c r="DVO65" s="952"/>
      <c r="DVP65" s="959"/>
      <c r="DVQ65" s="953"/>
      <c r="DVR65" s="954"/>
      <c r="DVS65" s="955"/>
      <c r="DVT65" s="955"/>
      <c r="DVU65" s="820"/>
      <c r="DVV65" s="972"/>
      <c r="DVW65" s="955"/>
      <c r="DVX65" s="950"/>
      <c r="DVY65" s="957"/>
      <c r="DVZ65" s="950"/>
      <c r="DWA65" s="950"/>
      <c r="DWB65" s="957"/>
      <c r="DWC65" s="950"/>
      <c r="DWD65" s="950"/>
      <c r="DWE65" s="653"/>
      <c r="DWF65" s="950"/>
      <c r="DWG65" s="951"/>
      <c r="DWH65" s="952"/>
      <c r="DWI65" s="959"/>
      <c r="DWJ65" s="953"/>
      <c r="DWK65" s="954"/>
      <c r="DWL65" s="955"/>
      <c r="DWM65" s="955"/>
      <c r="DWN65" s="820"/>
      <c r="DWO65" s="972"/>
      <c r="DWP65" s="955"/>
      <c r="DWQ65" s="950"/>
      <c r="DWR65" s="957"/>
      <c r="DWS65" s="950"/>
      <c r="DWT65" s="950"/>
      <c r="DWU65" s="957"/>
      <c r="DWV65" s="950"/>
      <c r="DWW65" s="950"/>
      <c r="DWX65" s="653"/>
      <c r="DWY65" s="950"/>
      <c r="DWZ65" s="951"/>
      <c r="DXA65" s="952"/>
      <c r="DXB65" s="959"/>
      <c r="DXC65" s="953"/>
      <c r="DXD65" s="954"/>
      <c r="DXE65" s="955"/>
      <c r="DXF65" s="955"/>
      <c r="DXG65" s="820"/>
      <c r="DXH65" s="972"/>
      <c r="DXI65" s="955"/>
      <c r="DXJ65" s="950"/>
      <c r="DXK65" s="957"/>
      <c r="DXL65" s="950"/>
      <c r="DXM65" s="950"/>
      <c r="DXN65" s="957"/>
      <c r="DXO65" s="950"/>
      <c r="DXP65" s="950"/>
      <c r="DXQ65" s="653"/>
      <c r="DXR65" s="950"/>
      <c r="DXS65" s="951"/>
      <c r="DXT65" s="952"/>
      <c r="DXU65" s="959"/>
      <c r="DXV65" s="953"/>
      <c r="DXW65" s="954"/>
      <c r="DXX65" s="955"/>
      <c r="DXY65" s="955"/>
      <c r="DXZ65" s="820"/>
      <c r="DYA65" s="972"/>
      <c r="DYB65" s="955"/>
      <c r="DYC65" s="950"/>
      <c r="DYD65" s="957"/>
      <c r="DYE65" s="950"/>
      <c r="DYF65" s="950"/>
      <c r="DYG65" s="957"/>
      <c r="DYH65" s="950"/>
      <c r="DYI65" s="950"/>
      <c r="DYJ65" s="653"/>
      <c r="DYK65" s="950"/>
      <c r="DYL65" s="951"/>
      <c r="DYM65" s="952"/>
      <c r="DYN65" s="959"/>
      <c r="DYO65" s="953"/>
      <c r="DYP65" s="954"/>
      <c r="DYQ65" s="955"/>
      <c r="DYR65" s="955"/>
      <c r="DYS65" s="820"/>
      <c r="DYT65" s="972"/>
      <c r="DYU65" s="955"/>
      <c r="DYV65" s="950"/>
      <c r="DYW65" s="957"/>
      <c r="DYX65" s="950"/>
      <c r="DYY65" s="950"/>
      <c r="DYZ65" s="957"/>
      <c r="DZA65" s="950"/>
      <c r="DZB65" s="950"/>
      <c r="DZC65" s="653"/>
      <c r="DZD65" s="950"/>
      <c r="DZE65" s="951"/>
      <c r="DZF65" s="952"/>
      <c r="DZG65" s="959"/>
      <c r="DZH65" s="953"/>
      <c r="DZI65" s="954"/>
      <c r="DZJ65" s="955"/>
      <c r="DZK65" s="955"/>
      <c r="DZL65" s="820"/>
      <c r="DZM65" s="972"/>
      <c r="DZN65" s="955"/>
      <c r="DZO65" s="950"/>
      <c r="DZP65" s="957"/>
      <c r="DZQ65" s="950"/>
      <c r="DZR65" s="950"/>
      <c r="DZS65" s="957"/>
      <c r="DZT65" s="950"/>
      <c r="DZU65" s="950"/>
      <c r="DZV65" s="653"/>
      <c r="DZW65" s="950"/>
      <c r="DZX65" s="951"/>
      <c r="DZY65" s="952"/>
      <c r="DZZ65" s="959"/>
      <c r="EAA65" s="953"/>
      <c r="EAB65" s="954"/>
      <c r="EAC65" s="955"/>
      <c r="EAD65" s="955"/>
      <c r="EAE65" s="820"/>
      <c r="EAF65" s="972"/>
      <c r="EAG65" s="955"/>
      <c r="EAH65" s="950"/>
      <c r="EAI65" s="957"/>
      <c r="EAJ65" s="950"/>
      <c r="EAK65" s="950"/>
      <c r="EAL65" s="957"/>
      <c r="EAM65" s="950"/>
      <c r="EAN65" s="950"/>
      <c r="EAO65" s="653"/>
      <c r="EAP65" s="950"/>
      <c r="EAQ65" s="951"/>
      <c r="EAR65" s="952"/>
      <c r="EAS65" s="959"/>
      <c r="EAT65" s="953"/>
      <c r="EAU65" s="954"/>
      <c r="EAV65" s="955"/>
      <c r="EAW65" s="955"/>
      <c r="EAX65" s="820"/>
      <c r="EAY65" s="972"/>
      <c r="EAZ65" s="955"/>
      <c r="EBA65" s="950"/>
      <c r="EBB65" s="957"/>
      <c r="EBC65" s="950"/>
      <c r="EBD65" s="950"/>
      <c r="EBE65" s="957"/>
      <c r="EBF65" s="950"/>
      <c r="EBG65" s="950"/>
      <c r="EBH65" s="653"/>
      <c r="EBI65" s="950"/>
      <c r="EBJ65" s="951"/>
      <c r="EBK65" s="952"/>
      <c r="EBL65" s="959"/>
      <c r="EBM65" s="953"/>
      <c r="EBN65" s="954"/>
      <c r="EBO65" s="955"/>
      <c r="EBP65" s="955"/>
      <c r="EBQ65" s="820"/>
      <c r="EBR65" s="972"/>
      <c r="EBS65" s="955"/>
      <c r="EBT65" s="950"/>
      <c r="EBU65" s="957"/>
      <c r="EBV65" s="950"/>
      <c r="EBW65" s="950"/>
      <c r="EBX65" s="957"/>
      <c r="EBY65" s="950"/>
      <c r="EBZ65" s="950"/>
      <c r="ECA65" s="653"/>
      <c r="ECB65" s="950"/>
      <c r="ECC65" s="951"/>
      <c r="ECD65" s="952"/>
      <c r="ECE65" s="959"/>
      <c r="ECF65" s="953"/>
      <c r="ECG65" s="954"/>
      <c r="ECH65" s="955"/>
      <c r="ECI65" s="955"/>
      <c r="ECJ65" s="820"/>
      <c r="ECK65" s="972"/>
      <c r="ECL65" s="955"/>
      <c r="ECM65" s="950"/>
      <c r="ECN65" s="957"/>
      <c r="ECO65" s="950"/>
      <c r="ECP65" s="950"/>
      <c r="ECQ65" s="957"/>
      <c r="ECR65" s="950"/>
      <c r="ECS65" s="950"/>
      <c r="ECT65" s="653"/>
      <c r="ECU65" s="950"/>
      <c r="ECV65" s="951"/>
      <c r="ECW65" s="952"/>
      <c r="ECX65" s="959"/>
      <c r="ECY65" s="953"/>
      <c r="ECZ65" s="954"/>
      <c r="EDA65" s="955"/>
      <c r="EDB65" s="955"/>
      <c r="EDC65" s="820"/>
      <c r="EDD65" s="972"/>
      <c r="EDE65" s="955"/>
      <c r="EDF65" s="950"/>
      <c r="EDG65" s="957"/>
      <c r="EDH65" s="950"/>
      <c r="EDI65" s="950"/>
      <c r="EDJ65" s="957"/>
      <c r="EDK65" s="950"/>
      <c r="EDL65" s="950"/>
      <c r="EDM65" s="653"/>
      <c r="EDN65" s="950"/>
      <c r="EDO65" s="951"/>
      <c r="EDP65" s="952"/>
      <c r="EDQ65" s="959"/>
      <c r="EDR65" s="953"/>
      <c r="EDS65" s="954"/>
      <c r="EDT65" s="955"/>
      <c r="EDU65" s="955"/>
      <c r="EDV65" s="820"/>
      <c r="EDW65" s="972"/>
      <c r="EDX65" s="955"/>
      <c r="EDY65" s="950"/>
      <c r="EDZ65" s="957"/>
      <c r="EEA65" s="950"/>
      <c r="EEB65" s="950"/>
      <c r="EEC65" s="957"/>
      <c r="EED65" s="950"/>
      <c r="EEE65" s="950"/>
      <c r="EEF65" s="653"/>
      <c r="EEG65" s="950"/>
      <c r="EEH65" s="951"/>
      <c r="EEI65" s="952"/>
      <c r="EEJ65" s="959"/>
      <c r="EEK65" s="953"/>
      <c r="EEL65" s="954"/>
      <c r="EEM65" s="955"/>
      <c r="EEN65" s="955"/>
      <c r="EEO65" s="820"/>
      <c r="EEP65" s="972"/>
      <c r="EEQ65" s="955"/>
      <c r="EER65" s="950"/>
      <c r="EES65" s="957"/>
      <c r="EET65" s="950"/>
      <c r="EEU65" s="950"/>
      <c r="EEV65" s="957"/>
      <c r="EEW65" s="950"/>
      <c r="EEX65" s="950"/>
      <c r="EEY65" s="653"/>
      <c r="EEZ65" s="950"/>
      <c r="EFA65" s="951"/>
      <c r="EFB65" s="952"/>
      <c r="EFC65" s="959"/>
      <c r="EFD65" s="953"/>
      <c r="EFE65" s="954"/>
      <c r="EFF65" s="955"/>
      <c r="EFG65" s="955"/>
      <c r="EFH65" s="820"/>
      <c r="EFI65" s="972"/>
      <c r="EFJ65" s="955"/>
      <c r="EFK65" s="950"/>
      <c r="EFL65" s="957"/>
      <c r="EFM65" s="950"/>
      <c r="EFN65" s="950"/>
      <c r="EFO65" s="957"/>
      <c r="EFP65" s="950"/>
      <c r="EFQ65" s="950"/>
      <c r="EFR65" s="653"/>
      <c r="EFS65" s="950"/>
      <c r="EFT65" s="951"/>
      <c r="EFU65" s="952"/>
      <c r="EFV65" s="959"/>
      <c r="EFW65" s="953"/>
      <c r="EFX65" s="954"/>
      <c r="EFY65" s="955"/>
      <c r="EFZ65" s="955"/>
      <c r="EGA65" s="820"/>
      <c r="EGB65" s="972"/>
      <c r="EGC65" s="955"/>
      <c r="EGD65" s="950"/>
      <c r="EGE65" s="957"/>
      <c r="EGF65" s="950"/>
      <c r="EGG65" s="950"/>
      <c r="EGH65" s="957"/>
      <c r="EGI65" s="950"/>
      <c r="EGJ65" s="950"/>
      <c r="EGK65" s="653"/>
      <c r="EGL65" s="950"/>
      <c r="EGM65" s="951"/>
      <c r="EGN65" s="952"/>
      <c r="EGO65" s="959"/>
      <c r="EGP65" s="953"/>
      <c r="EGQ65" s="954"/>
      <c r="EGR65" s="955"/>
      <c r="EGS65" s="955"/>
      <c r="EGT65" s="820"/>
      <c r="EGU65" s="972"/>
      <c r="EGV65" s="955"/>
      <c r="EGW65" s="950"/>
      <c r="EGX65" s="957"/>
      <c r="EGY65" s="950"/>
      <c r="EGZ65" s="950"/>
      <c r="EHA65" s="957"/>
      <c r="EHB65" s="950"/>
      <c r="EHC65" s="950"/>
      <c r="EHD65" s="653"/>
      <c r="EHE65" s="950"/>
      <c r="EHF65" s="951"/>
      <c r="EHG65" s="952"/>
      <c r="EHH65" s="959"/>
      <c r="EHI65" s="953"/>
      <c r="EHJ65" s="954"/>
      <c r="EHK65" s="955"/>
      <c r="EHL65" s="955"/>
      <c r="EHM65" s="820"/>
      <c r="EHN65" s="972"/>
      <c r="EHO65" s="955"/>
      <c r="EHP65" s="950"/>
      <c r="EHQ65" s="957"/>
      <c r="EHR65" s="950"/>
      <c r="EHS65" s="950"/>
      <c r="EHT65" s="957"/>
      <c r="EHU65" s="950"/>
      <c r="EHV65" s="950"/>
      <c r="EHW65" s="653"/>
      <c r="EHX65" s="950"/>
      <c r="EHY65" s="951"/>
      <c r="EHZ65" s="952"/>
      <c r="EIA65" s="959"/>
      <c r="EIB65" s="953"/>
      <c r="EIC65" s="954"/>
      <c r="EID65" s="955"/>
      <c r="EIE65" s="955"/>
      <c r="EIF65" s="820"/>
      <c r="EIG65" s="972"/>
      <c r="EIH65" s="955"/>
      <c r="EII65" s="950"/>
      <c r="EIJ65" s="957"/>
      <c r="EIK65" s="950"/>
      <c r="EIL65" s="950"/>
      <c r="EIM65" s="957"/>
      <c r="EIN65" s="950"/>
      <c r="EIO65" s="950"/>
      <c r="EIP65" s="653"/>
      <c r="EIQ65" s="950"/>
      <c r="EIR65" s="951"/>
      <c r="EIS65" s="952"/>
      <c r="EIT65" s="959"/>
      <c r="EIU65" s="953"/>
      <c r="EIV65" s="954"/>
      <c r="EIW65" s="955"/>
      <c r="EIX65" s="955"/>
      <c r="EIY65" s="820"/>
      <c r="EIZ65" s="972"/>
      <c r="EJA65" s="955"/>
      <c r="EJB65" s="950"/>
      <c r="EJC65" s="957"/>
      <c r="EJD65" s="950"/>
      <c r="EJE65" s="950"/>
      <c r="EJF65" s="957"/>
      <c r="EJG65" s="950"/>
      <c r="EJH65" s="950"/>
      <c r="EJI65" s="653"/>
      <c r="EJJ65" s="950"/>
      <c r="EJK65" s="951"/>
      <c r="EJL65" s="952"/>
      <c r="EJM65" s="959"/>
      <c r="EJN65" s="953"/>
      <c r="EJO65" s="954"/>
      <c r="EJP65" s="955"/>
      <c r="EJQ65" s="955"/>
      <c r="EJR65" s="820"/>
      <c r="EJS65" s="972"/>
      <c r="EJT65" s="955"/>
      <c r="EJU65" s="950"/>
      <c r="EJV65" s="957"/>
      <c r="EJW65" s="950"/>
      <c r="EJX65" s="950"/>
      <c r="EJY65" s="957"/>
      <c r="EJZ65" s="950"/>
      <c r="EKA65" s="950"/>
      <c r="EKB65" s="653"/>
      <c r="EKC65" s="950"/>
      <c r="EKD65" s="951"/>
      <c r="EKE65" s="952"/>
      <c r="EKF65" s="959"/>
      <c r="EKG65" s="953"/>
      <c r="EKH65" s="954"/>
      <c r="EKI65" s="955"/>
      <c r="EKJ65" s="955"/>
      <c r="EKK65" s="820"/>
      <c r="EKL65" s="972"/>
      <c r="EKM65" s="955"/>
      <c r="EKN65" s="950"/>
      <c r="EKO65" s="957"/>
      <c r="EKP65" s="950"/>
      <c r="EKQ65" s="950"/>
      <c r="EKR65" s="957"/>
      <c r="EKS65" s="950"/>
      <c r="EKT65" s="950"/>
      <c r="EKU65" s="653"/>
      <c r="EKV65" s="950"/>
      <c r="EKW65" s="951"/>
      <c r="EKX65" s="952"/>
      <c r="EKY65" s="959"/>
      <c r="EKZ65" s="953"/>
      <c r="ELA65" s="954"/>
      <c r="ELB65" s="955"/>
      <c r="ELC65" s="955"/>
      <c r="ELD65" s="820"/>
      <c r="ELE65" s="972"/>
      <c r="ELF65" s="955"/>
      <c r="ELG65" s="950"/>
      <c r="ELH65" s="957"/>
      <c r="ELI65" s="950"/>
      <c r="ELJ65" s="950"/>
      <c r="ELK65" s="957"/>
      <c r="ELL65" s="950"/>
      <c r="ELM65" s="950"/>
      <c r="ELN65" s="653"/>
      <c r="ELO65" s="950"/>
      <c r="ELP65" s="951"/>
      <c r="ELQ65" s="952"/>
      <c r="ELR65" s="959"/>
      <c r="ELS65" s="953"/>
      <c r="ELT65" s="954"/>
      <c r="ELU65" s="955"/>
      <c r="ELV65" s="955"/>
      <c r="ELW65" s="820"/>
      <c r="ELX65" s="972"/>
      <c r="ELY65" s="955"/>
      <c r="ELZ65" s="950"/>
      <c r="EMA65" s="957"/>
      <c r="EMB65" s="950"/>
      <c r="EMC65" s="950"/>
      <c r="EMD65" s="957"/>
      <c r="EME65" s="950"/>
      <c r="EMF65" s="950"/>
      <c r="EMG65" s="653"/>
      <c r="EMH65" s="950"/>
      <c r="EMI65" s="951"/>
      <c r="EMJ65" s="952"/>
      <c r="EMK65" s="959"/>
      <c r="EML65" s="953"/>
      <c r="EMM65" s="954"/>
      <c r="EMN65" s="955"/>
      <c r="EMO65" s="955"/>
      <c r="EMP65" s="820"/>
      <c r="EMQ65" s="972"/>
      <c r="EMR65" s="955"/>
      <c r="EMS65" s="950"/>
      <c r="EMT65" s="957"/>
      <c r="EMU65" s="950"/>
      <c r="EMV65" s="950"/>
      <c r="EMW65" s="957"/>
      <c r="EMX65" s="950"/>
      <c r="EMY65" s="950"/>
      <c r="EMZ65" s="653"/>
      <c r="ENA65" s="950"/>
      <c r="ENB65" s="951"/>
      <c r="ENC65" s="952"/>
      <c r="END65" s="959"/>
      <c r="ENE65" s="953"/>
      <c r="ENF65" s="954"/>
      <c r="ENG65" s="955"/>
      <c r="ENH65" s="955"/>
      <c r="ENI65" s="820"/>
      <c r="ENJ65" s="972"/>
      <c r="ENK65" s="955"/>
      <c r="ENL65" s="950"/>
      <c r="ENM65" s="957"/>
      <c r="ENN65" s="950"/>
      <c r="ENO65" s="950"/>
      <c r="ENP65" s="957"/>
      <c r="ENQ65" s="950"/>
      <c r="ENR65" s="950"/>
      <c r="ENS65" s="653"/>
      <c r="ENT65" s="950"/>
      <c r="ENU65" s="951"/>
      <c r="ENV65" s="952"/>
      <c r="ENW65" s="959"/>
      <c r="ENX65" s="953"/>
      <c r="ENY65" s="954"/>
      <c r="ENZ65" s="955"/>
      <c r="EOA65" s="955"/>
      <c r="EOB65" s="820"/>
      <c r="EOC65" s="972"/>
      <c r="EOD65" s="955"/>
      <c r="EOE65" s="950"/>
      <c r="EOF65" s="957"/>
      <c r="EOG65" s="950"/>
      <c r="EOH65" s="950"/>
      <c r="EOI65" s="957"/>
      <c r="EOJ65" s="950"/>
      <c r="EOK65" s="950"/>
      <c r="EOL65" s="653"/>
      <c r="EOM65" s="950"/>
      <c r="EON65" s="951"/>
      <c r="EOO65" s="952"/>
      <c r="EOP65" s="959"/>
      <c r="EOQ65" s="953"/>
      <c r="EOR65" s="954"/>
      <c r="EOS65" s="955"/>
      <c r="EOT65" s="955"/>
      <c r="EOU65" s="820"/>
      <c r="EOV65" s="972"/>
      <c r="EOW65" s="955"/>
      <c r="EOX65" s="950"/>
      <c r="EOY65" s="957"/>
      <c r="EOZ65" s="950"/>
      <c r="EPA65" s="950"/>
      <c r="EPB65" s="957"/>
      <c r="EPC65" s="950"/>
      <c r="EPD65" s="950"/>
      <c r="EPE65" s="653"/>
      <c r="EPF65" s="950"/>
      <c r="EPG65" s="951"/>
      <c r="EPH65" s="952"/>
      <c r="EPI65" s="959"/>
      <c r="EPJ65" s="953"/>
      <c r="EPK65" s="954"/>
      <c r="EPL65" s="955"/>
      <c r="EPM65" s="955"/>
      <c r="EPN65" s="820"/>
      <c r="EPO65" s="972"/>
      <c r="EPP65" s="955"/>
      <c r="EPQ65" s="950"/>
      <c r="EPR65" s="957"/>
      <c r="EPS65" s="950"/>
      <c r="EPT65" s="950"/>
      <c r="EPU65" s="957"/>
      <c r="EPV65" s="950"/>
      <c r="EPW65" s="950"/>
      <c r="EPX65" s="653"/>
      <c r="EPY65" s="950"/>
      <c r="EPZ65" s="951"/>
      <c r="EQA65" s="952"/>
      <c r="EQB65" s="959"/>
      <c r="EQC65" s="953"/>
      <c r="EQD65" s="954"/>
      <c r="EQE65" s="955"/>
      <c r="EQF65" s="955"/>
      <c r="EQG65" s="820"/>
      <c r="EQH65" s="972"/>
      <c r="EQI65" s="955"/>
      <c r="EQJ65" s="950"/>
      <c r="EQK65" s="957"/>
      <c r="EQL65" s="950"/>
      <c r="EQM65" s="950"/>
      <c r="EQN65" s="957"/>
      <c r="EQO65" s="950"/>
      <c r="EQP65" s="950"/>
      <c r="EQQ65" s="653"/>
      <c r="EQR65" s="950"/>
      <c r="EQS65" s="951"/>
      <c r="EQT65" s="952"/>
      <c r="EQU65" s="959"/>
      <c r="EQV65" s="953"/>
      <c r="EQW65" s="954"/>
      <c r="EQX65" s="955"/>
      <c r="EQY65" s="955"/>
      <c r="EQZ65" s="820"/>
      <c r="ERA65" s="972"/>
      <c r="ERB65" s="955"/>
      <c r="ERC65" s="950"/>
      <c r="ERD65" s="957"/>
      <c r="ERE65" s="950"/>
      <c r="ERF65" s="950"/>
      <c r="ERG65" s="957"/>
      <c r="ERH65" s="950"/>
      <c r="ERI65" s="950"/>
      <c r="ERJ65" s="653"/>
      <c r="ERK65" s="950"/>
      <c r="ERL65" s="951"/>
      <c r="ERM65" s="952"/>
      <c r="ERN65" s="959"/>
      <c r="ERO65" s="953"/>
      <c r="ERP65" s="954"/>
      <c r="ERQ65" s="955"/>
      <c r="ERR65" s="955"/>
      <c r="ERS65" s="820"/>
      <c r="ERT65" s="972"/>
      <c r="ERU65" s="955"/>
      <c r="ERV65" s="950"/>
      <c r="ERW65" s="957"/>
      <c r="ERX65" s="950"/>
      <c r="ERY65" s="950"/>
      <c r="ERZ65" s="957"/>
      <c r="ESA65" s="950"/>
      <c r="ESB65" s="950"/>
      <c r="ESC65" s="653"/>
      <c r="ESD65" s="950"/>
      <c r="ESE65" s="951"/>
      <c r="ESF65" s="952"/>
      <c r="ESG65" s="959"/>
      <c r="ESH65" s="953"/>
      <c r="ESI65" s="954"/>
      <c r="ESJ65" s="955"/>
      <c r="ESK65" s="955"/>
      <c r="ESL65" s="820"/>
      <c r="ESM65" s="972"/>
      <c r="ESN65" s="955"/>
      <c r="ESO65" s="950"/>
      <c r="ESP65" s="957"/>
      <c r="ESQ65" s="950"/>
      <c r="ESR65" s="950"/>
      <c r="ESS65" s="957"/>
      <c r="EST65" s="950"/>
      <c r="ESU65" s="950"/>
      <c r="ESV65" s="653"/>
      <c r="ESW65" s="950"/>
      <c r="ESX65" s="951"/>
      <c r="ESY65" s="952"/>
      <c r="ESZ65" s="959"/>
      <c r="ETA65" s="953"/>
      <c r="ETB65" s="954"/>
      <c r="ETC65" s="955"/>
      <c r="ETD65" s="955"/>
      <c r="ETE65" s="820"/>
      <c r="ETF65" s="972"/>
      <c r="ETG65" s="955"/>
      <c r="ETH65" s="950"/>
      <c r="ETI65" s="957"/>
      <c r="ETJ65" s="950"/>
      <c r="ETK65" s="950"/>
      <c r="ETL65" s="957"/>
      <c r="ETM65" s="950"/>
      <c r="ETN65" s="950"/>
      <c r="ETO65" s="653"/>
      <c r="ETP65" s="950"/>
      <c r="ETQ65" s="951"/>
      <c r="ETR65" s="952"/>
      <c r="ETS65" s="959"/>
      <c r="ETT65" s="953"/>
      <c r="ETU65" s="954"/>
      <c r="ETV65" s="955"/>
      <c r="ETW65" s="955"/>
      <c r="ETX65" s="820"/>
      <c r="ETY65" s="972"/>
      <c r="ETZ65" s="955"/>
      <c r="EUA65" s="950"/>
      <c r="EUB65" s="957"/>
      <c r="EUC65" s="950"/>
      <c r="EUD65" s="950"/>
      <c r="EUE65" s="957"/>
      <c r="EUF65" s="950"/>
      <c r="EUG65" s="950"/>
      <c r="EUH65" s="653"/>
      <c r="EUI65" s="950"/>
      <c r="EUJ65" s="951"/>
      <c r="EUK65" s="952"/>
      <c r="EUL65" s="959"/>
      <c r="EUM65" s="953"/>
      <c r="EUN65" s="954"/>
      <c r="EUO65" s="955"/>
      <c r="EUP65" s="955"/>
      <c r="EUQ65" s="820"/>
      <c r="EUR65" s="972"/>
      <c r="EUS65" s="955"/>
      <c r="EUT65" s="950"/>
      <c r="EUU65" s="957"/>
      <c r="EUV65" s="950"/>
      <c r="EUW65" s="950"/>
      <c r="EUX65" s="957"/>
      <c r="EUY65" s="950"/>
      <c r="EUZ65" s="950"/>
      <c r="EVA65" s="653"/>
      <c r="EVB65" s="950"/>
      <c r="EVC65" s="951"/>
      <c r="EVD65" s="952"/>
      <c r="EVE65" s="959"/>
      <c r="EVF65" s="953"/>
      <c r="EVG65" s="954"/>
      <c r="EVH65" s="955"/>
      <c r="EVI65" s="955"/>
      <c r="EVJ65" s="820"/>
      <c r="EVK65" s="972"/>
      <c r="EVL65" s="955"/>
      <c r="EVM65" s="950"/>
      <c r="EVN65" s="957"/>
      <c r="EVO65" s="950"/>
      <c r="EVP65" s="950"/>
      <c r="EVQ65" s="957"/>
      <c r="EVR65" s="950"/>
      <c r="EVS65" s="950"/>
      <c r="EVT65" s="653"/>
      <c r="EVU65" s="950"/>
      <c r="EVV65" s="951"/>
      <c r="EVW65" s="952"/>
      <c r="EVX65" s="959"/>
      <c r="EVY65" s="953"/>
      <c r="EVZ65" s="954"/>
      <c r="EWA65" s="955"/>
      <c r="EWB65" s="955"/>
      <c r="EWC65" s="820"/>
      <c r="EWD65" s="972"/>
      <c r="EWE65" s="955"/>
      <c r="EWF65" s="950"/>
      <c r="EWG65" s="957"/>
      <c r="EWH65" s="950"/>
      <c r="EWI65" s="950"/>
      <c r="EWJ65" s="957"/>
      <c r="EWK65" s="950"/>
      <c r="EWL65" s="950"/>
      <c r="EWM65" s="653"/>
      <c r="EWN65" s="950"/>
      <c r="EWO65" s="951"/>
      <c r="EWP65" s="952"/>
      <c r="EWQ65" s="959"/>
      <c r="EWR65" s="953"/>
      <c r="EWS65" s="954"/>
      <c r="EWT65" s="955"/>
      <c r="EWU65" s="955"/>
      <c r="EWV65" s="820"/>
      <c r="EWW65" s="972"/>
      <c r="EWX65" s="955"/>
      <c r="EWY65" s="950"/>
      <c r="EWZ65" s="957"/>
      <c r="EXA65" s="950"/>
      <c r="EXB65" s="950"/>
      <c r="EXC65" s="957"/>
      <c r="EXD65" s="950"/>
      <c r="EXE65" s="950"/>
      <c r="EXF65" s="653"/>
      <c r="EXG65" s="950"/>
      <c r="EXH65" s="951"/>
      <c r="EXI65" s="952"/>
      <c r="EXJ65" s="959"/>
      <c r="EXK65" s="953"/>
      <c r="EXL65" s="954"/>
      <c r="EXM65" s="955"/>
      <c r="EXN65" s="955"/>
      <c r="EXO65" s="820"/>
      <c r="EXP65" s="972"/>
      <c r="EXQ65" s="955"/>
      <c r="EXR65" s="950"/>
      <c r="EXS65" s="957"/>
      <c r="EXT65" s="950"/>
      <c r="EXU65" s="950"/>
      <c r="EXV65" s="957"/>
      <c r="EXW65" s="950"/>
      <c r="EXX65" s="950"/>
      <c r="EXY65" s="653"/>
      <c r="EXZ65" s="950"/>
      <c r="EYA65" s="951"/>
      <c r="EYB65" s="952"/>
      <c r="EYC65" s="959"/>
      <c r="EYD65" s="953"/>
      <c r="EYE65" s="954"/>
      <c r="EYF65" s="955"/>
      <c r="EYG65" s="955"/>
      <c r="EYH65" s="820"/>
      <c r="EYI65" s="972"/>
      <c r="EYJ65" s="955"/>
      <c r="EYK65" s="950"/>
      <c r="EYL65" s="957"/>
      <c r="EYM65" s="950"/>
      <c r="EYN65" s="950"/>
      <c r="EYO65" s="957"/>
      <c r="EYP65" s="950"/>
      <c r="EYQ65" s="950"/>
      <c r="EYR65" s="653"/>
      <c r="EYS65" s="950"/>
      <c r="EYT65" s="951"/>
      <c r="EYU65" s="952"/>
      <c r="EYV65" s="959"/>
      <c r="EYW65" s="953"/>
      <c r="EYX65" s="954"/>
      <c r="EYY65" s="955"/>
      <c r="EYZ65" s="955"/>
      <c r="EZA65" s="820"/>
      <c r="EZB65" s="972"/>
      <c r="EZC65" s="955"/>
      <c r="EZD65" s="950"/>
      <c r="EZE65" s="957"/>
      <c r="EZF65" s="950"/>
      <c r="EZG65" s="950"/>
      <c r="EZH65" s="957"/>
      <c r="EZI65" s="950"/>
      <c r="EZJ65" s="950"/>
      <c r="EZK65" s="653"/>
      <c r="EZL65" s="950"/>
      <c r="EZM65" s="951"/>
      <c r="EZN65" s="952"/>
      <c r="EZO65" s="959"/>
      <c r="EZP65" s="953"/>
      <c r="EZQ65" s="954"/>
      <c r="EZR65" s="955"/>
      <c r="EZS65" s="955"/>
      <c r="EZT65" s="820"/>
      <c r="EZU65" s="972"/>
      <c r="EZV65" s="955"/>
      <c r="EZW65" s="950"/>
      <c r="EZX65" s="957"/>
      <c r="EZY65" s="950"/>
      <c r="EZZ65" s="950"/>
      <c r="FAA65" s="957"/>
      <c r="FAB65" s="950"/>
      <c r="FAC65" s="950"/>
      <c r="FAD65" s="653"/>
      <c r="FAE65" s="950"/>
      <c r="FAF65" s="951"/>
      <c r="FAG65" s="952"/>
      <c r="FAH65" s="959"/>
      <c r="FAI65" s="953"/>
      <c r="FAJ65" s="954"/>
      <c r="FAK65" s="955"/>
      <c r="FAL65" s="955"/>
      <c r="FAM65" s="820"/>
      <c r="FAN65" s="972"/>
      <c r="FAO65" s="955"/>
      <c r="FAP65" s="950"/>
      <c r="FAQ65" s="957"/>
      <c r="FAR65" s="950"/>
      <c r="FAS65" s="950"/>
      <c r="FAT65" s="957"/>
      <c r="FAU65" s="950"/>
      <c r="FAV65" s="950"/>
      <c r="FAW65" s="653"/>
      <c r="FAX65" s="950"/>
      <c r="FAY65" s="951"/>
      <c r="FAZ65" s="952"/>
      <c r="FBA65" s="959"/>
      <c r="FBB65" s="953"/>
      <c r="FBC65" s="954"/>
      <c r="FBD65" s="955"/>
      <c r="FBE65" s="955"/>
      <c r="FBF65" s="820"/>
      <c r="FBG65" s="972"/>
      <c r="FBH65" s="955"/>
      <c r="FBI65" s="950"/>
      <c r="FBJ65" s="957"/>
      <c r="FBK65" s="950"/>
      <c r="FBL65" s="950"/>
      <c r="FBM65" s="957"/>
      <c r="FBN65" s="950"/>
      <c r="FBO65" s="950"/>
      <c r="FBP65" s="653"/>
      <c r="FBQ65" s="950"/>
      <c r="FBR65" s="951"/>
      <c r="FBS65" s="952"/>
      <c r="FBT65" s="959"/>
      <c r="FBU65" s="953"/>
      <c r="FBV65" s="954"/>
      <c r="FBW65" s="955"/>
      <c r="FBX65" s="955"/>
      <c r="FBY65" s="820"/>
      <c r="FBZ65" s="972"/>
      <c r="FCA65" s="955"/>
      <c r="FCB65" s="950"/>
      <c r="FCC65" s="957"/>
      <c r="FCD65" s="950"/>
      <c r="FCE65" s="950"/>
      <c r="FCF65" s="957"/>
      <c r="FCG65" s="950"/>
      <c r="FCH65" s="950"/>
      <c r="FCI65" s="653"/>
      <c r="FCJ65" s="950"/>
      <c r="FCK65" s="951"/>
      <c r="FCL65" s="952"/>
      <c r="FCM65" s="959"/>
      <c r="FCN65" s="953"/>
      <c r="FCO65" s="954"/>
      <c r="FCP65" s="955"/>
      <c r="FCQ65" s="955"/>
      <c r="FCR65" s="820"/>
      <c r="FCS65" s="972"/>
      <c r="FCT65" s="955"/>
      <c r="FCU65" s="950"/>
      <c r="FCV65" s="957"/>
      <c r="FCW65" s="950"/>
      <c r="FCX65" s="950"/>
      <c r="FCY65" s="957"/>
      <c r="FCZ65" s="950"/>
      <c r="FDA65" s="950"/>
      <c r="FDB65" s="653"/>
      <c r="FDC65" s="950"/>
      <c r="FDD65" s="951"/>
      <c r="FDE65" s="952"/>
      <c r="FDF65" s="959"/>
      <c r="FDG65" s="953"/>
      <c r="FDH65" s="954"/>
      <c r="FDI65" s="955"/>
      <c r="FDJ65" s="955"/>
      <c r="FDK65" s="820"/>
      <c r="FDL65" s="972"/>
      <c r="FDM65" s="955"/>
      <c r="FDN65" s="950"/>
      <c r="FDO65" s="957"/>
      <c r="FDP65" s="950"/>
      <c r="FDQ65" s="950"/>
      <c r="FDR65" s="957"/>
      <c r="FDS65" s="950"/>
      <c r="FDT65" s="950"/>
      <c r="FDU65" s="653"/>
      <c r="FDV65" s="950"/>
      <c r="FDW65" s="951"/>
      <c r="FDX65" s="952"/>
      <c r="FDY65" s="959"/>
      <c r="FDZ65" s="953"/>
      <c r="FEA65" s="954"/>
      <c r="FEB65" s="955"/>
      <c r="FEC65" s="955"/>
      <c r="FED65" s="820"/>
      <c r="FEE65" s="972"/>
      <c r="FEF65" s="955"/>
      <c r="FEG65" s="950"/>
      <c r="FEH65" s="957"/>
      <c r="FEI65" s="950"/>
      <c r="FEJ65" s="950"/>
      <c r="FEK65" s="957"/>
      <c r="FEL65" s="950"/>
      <c r="FEM65" s="950"/>
      <c r="FEN65" s="653"/>
      <c r="FEO65" s="950"/>
      <c r="FEP65" s="951"/>
      <c r="FEQ65" s="952"/>
      <c r="FER65" s="959"/>
      <c r="FES65" s="953"/>
      <c r="FET65" s="954"/>
      <c r="FEU65" s="955"/>
      <c r="FEV65" s="955"/>
      <c r="FEW65" s="820"/>
      <c r="FEX65" s="972"/>
      <c r="FEY65" s="955"/>
      <c r="FEZ65" s="950"/>
      <c r="FFA65" s="957"/>
      <c r="FFB65" s="950"/>
      <c r="FFC65" s="950"/>
      <c r="FFD65" s="957"/>
      <c r="FFE65" s="950"/>
      <c r="FFF65" s="950"/>
      <c r="FFG65" s="653"/>
      <c r="FFH65" s="950"/>
      <c r="FFI65" s="951"/>
      <c r="FFJ65" s="952"/>
      <c r="FFK65" s="959"/>
      <c r="FFL65" s="953"/>
      <c r="FFM65" s="954"/>
      <c r="FFN65" s="955"/>
      <c r="FFO65" s="955"/>
      <c r="FFP65" s="820"/>
      <c r="FFQ65" s="972"/>
      <c r="FFR65" s="955"/>
      <c r="FFS65" s="950"/>
      <c r="FFT65" s="957"/>
      <c r="FFU65" s="950"/>
      <c r="FFV65" s="950"/>
      <c r="FFW65" s="957"/>
      <c r="FFX65" s="950"/>
      <c r="FFY65" s="950"/>
      <c r="FFZ65" s="653"/>
      <c r="FGA65" s="950"/>
      <c r="FGB65" s="951"/>
      <c r="FGC65" s="952"/>
      <c r="FGD65" s="959"/>
      <c r="FGE65" s="953"/>
      <c r="FGF65" s="954"/>
      <c r="FGG65" s="955"/>
      <c r="FGH65" s="955"/>
      <c r="FGI65" s="820"/>
      <c r="FGJ65" s="972"/>
      <c r="FGK65" s="955"/>
      <c r="FGL65" s="950"/>
      <c r="FGM65" s="957"/>
      <c r="FGN65" s="950"/>
      <c r="FGO65" s="950"/>
      <c r="FGP65" s="957"/>
      <c r="FGQ65" s="950"/>
      <c r="FGR65" s="950"/>
      <c r="FGS65" s="653"/>
      <c r="FGT65" s="950"/>
      <c r="FGU65" s="951"/>
      <c r="FGV65" s="952"/>
      <c r="FGW65" s="959"/>
      <c r="FGX65" s="953"/>
      <c r="FGY65" s="954"/>
      <c r="FGZ65" s="955"/>
      <c r="FHA65" s="955"/>
      <c r="FHB65" s="820"/>
      <c r="FHC65" s="972"/>
      <c r="FHD65" s="955"/>
      <c r="FHE65" s="950"/>
      <c r="FHF65" s="957"/>
      <c r="FHG65" s="950"/>
      <c r="FHH65" s="950"/>
      <c r="FHI65" s="957"/>
      <c r="FHJ65" s="950"/>
      <c r="FHK65" s="950"/>
      <c r="FHL65" s="653"/>
      <c r="FHM65" s="950"/>
      <c r="FHN65" s="951"/>
      <c r="FHO65" s="952"/>
      <c r="FHP65" s="959"/>
      <c r="FHQ65" s="953"/>
      <c r="FHR65" s="954"/>
      <c r="FHS65" s="955"/>
      <c r="FHT65" s="955"/>
      <c r="FHU65" s="820"/>
      <c r="FHV65" s="972"/>
      <c r="FHW65" s="955"/>
      <c r="FHX65" s="950"/>
      <c r="FHY65" s="957"/>
      <c r="FHZ65" s="950"/>
      <c r="FIA65" s="950"/>
      <c r="FIB65" s="957"/>
      <c r="FIC65" s="950"/>
      <c r="FID65" s="950"/>
      <c r="FIE65" s="653"/>
      <c r="FIF65" s="950"/>
      <c r="FIG65" s="951"/>
      <c r="FIH65" s="952"/>
      <c r="FII65" s="959"/>
      <c r="FIJ65" s="953"/>
      <c r="FIK65" s="954"/>
      <c r="FIL65" s="955"/>
      <c r="FIM65" s="955"/>
      <c r="FIN65" s="820"/>
      <c r="FIO65" s="972"/>
      <c r="FIP65" s="955"/>
      <c r="FIQ65" s="950"/>
      <c r="FIR65" s="957"/>
      <c r="FIS65" s="950"/>
      <c r="FIT65" s="950"/>
      <c r="FIU65" s="957"/>
      <c r="FIV65" s="950"/>
      <c r="FIW65" s="950"/>
      <c r="FIX65" s="653"/>
      <c r="FIY65" s="950"/>
      <c r="FIZ65" s="951"/>
      <c r="FJA65" s="952"/>
      <c r="FJB65" s="959"/>
      <c r="FJC65" s="953"/>
      <c r="FJD65" s="954"/>
      <c r="FJE65" s="955"/>
      <c r="FJF65" s="955"/>
      <c r="FJG65" s="820"/>
      <c r="FJH65" s="972"/>
      <c r="FJI65" s="955"/>
      <c r="FJJ65" s="950"/>
      <c r="FJK65" s="957"/>
      <c r="FJL65" s="950"/>
      <c r="FJM65" s="950"/>
      <c r="FJN65" s="957"/>
      <c r="FJO65" s="950"/>
      <c r="FJP65" s="950"/>
      <c r="FJQ65" s="653"/>
      <c r="FJR65" s="950"/>
      <c r="FJS65" s="951"/>
      <c r="FJT65" s="952"/>
      <c r="FJU65" s="959"/>
      <c r="FJV65" s="953"/>
      <c r="FJW65" s="954"/>
      <c r="FJX65" s="955"/>
      <c r="FJY65" s="955"/>
      <c r="FJZ65" s="820"/>
      <c r="FKA65" s="972"/>
      <c r="FKB65" s="955"/>
      <c r="FKC65" s="950"/>
      <c r="FKD65" s="957"/>
      <c r="FKE65" s="950"/>
      <c r="FKF65" s="950"/>
      <c r="FKG65" s="957"/>
      <c r="FKH65" s="950"/>
      <c r="FKI65" s="950"/>
      <c r="FKJ65" s="653"/>
      <c r="FKK65" s="950"/>
      <c r="FKL65" s="951"/>
      <c r="FKM65" s="952"/>
      <c r="FKN65" s="959"/>
      <c r="FKO65" s="953"/>
      <c r="FKP65" s="954"/>
      <c r="FKQ65" s="955"/>
      <c r="FKR65" s="955"/>
      <c r="FKS65" s="820"/>
      <c r="FKT65" s="972"/>
      <c r="FKU65" s="955"/>
      <c r="FKV65" s="950"/>
      <c r="FKW65" s="957"/>
      <c r="FKX65" s="950"/>
      <c r="FKY65" s="950"/>
      <c r="FKZ65" s="957"/>
      <c r="FLA65" s="950"/>
      <c r="FLB65" s="950"/>
      <c r="FLC65" s="653"/>
      <c r="FLD65" s="950"/>
      <c r="FLE65" s="951"/>
      <c r="FLF65" s="952"/>
      <c r="FLG65" s="959"/>
      <c r="FLH65" s="953"/>
      <c r="FLI65" s="954"/>
      <c r="FLJ65" s="955"/>
      <c r="FLK65" s="955"/>
      <c r="FLL65" s="820"/>
      <c r="FLM65" s="972"/>
      <c r="FLN65" s="955"/>
      <c r="FLO65" s="950"/>
      <c r="FLP65" s="957"/>
      <c r="FLQ65" s="950"/>
      <c r="FLR65" s="950"/>
      <c r="FLS65" s="957"/>
      <c r="FLT65" s="950"/>
      <c r="FLU65" s="950"/>
      <c r="FLV65" s="653"/>
      <c r="FLW65" s="950"/>
      <c r="FLX65" s="951"/>
      <c r="FLY65" s="952"/>
      <c r="FLZ65" s="959"/>
      <c r="FMA65" s="953"/>
      <c r="FMB65" s="954"/>
      <c r="FMC65" s="955"/>
      <c r="FMD65" s="955"/>
      <c r="FME65" s="820"/>
      <c r="FMF65" s="972"/>
      <c r="FMG65" s="955"/>
      <c r="FMH65" s="950"/>
      <c r="FMI65" s="957"/>
      <c r="FMJ65" s="950"/>
      <c r="FMK65" s="950"/>
      <c r="FML65" s="957"/>
      <c r="FMM65" s="950"/>
      <c r="FMN65" s="950"/>
      <c r="FMO65" s="653"/>
      <c r="FMP65" s="950"/>
      <c r="FMQ65" s="951"/>
      <c r="FMR65" s="952"/>
      <c r="FMS65" s="959"/>
      <c r="FMT65" s="953"/>
      <c r="FMU65" s="954"/>
      <c r="FMV65" s="955"/>
      <c r="FMW65" s="955"/>
      <c r="FMX65" s="820"/>
      <c r="FMY65" s="972"/>
      <c r="FMZ65" s="955"/>
      <c r="FNA65" s="950"/>
      <c r="FNB65" s="957"/>
      <c r="FNC65" s="950"/>
      <c r="FND65" s="950"/>
      <c r="FNE65" s="957"/>
      <c r="FNF65" s="950"/>
      <c r="FNG65" s="950"/>
      <c r="FNH65" s="653"/>
      <c r="FNI65" s="950"/>
      <c r="FNJ65" s="951"/>
      <c r="FNK65" s="952"/>
      <c r="FNL65" s="959"/>
      <c r="FNM65" s="953"/>
      <c r="FNN65" s="954"/>
      <c r="FNO65" s="955"/>
      <c r="FNP65" s="955"/>
      <c r="FNQ65" s="820"/>
      <c r="FNR65" s="972"/>
      <c r="FNS65" s="955"/>
      <c r="FNT65" s="950"/>
      <c r="FNU65" s="957"/>
      <c r="FNV65" s="950"/>
      <c r="FNW65" s="950"/>
      <c r="FNX65" s="957"/>
      <c r="FNY65" s="950"/>
      <c r="FNZ65" s="950"/>
      <c r="FOA65" s="653"/>
      <c r="FOB65" s="950"/>
      <c r="FOC65" s="951"/>
      <c r="FOD65" s="952"/>
      <c r="FOE65" s="959"/>
      <c r="FOF65" s="953"/>
      <c r="FOG65" s="954"/>
      <c r="FOH65" s="955"/>
      <c r="FOI65" s="955"/>
      <c r="FOJ65" s="820"/>
      <c r="FOK65" s="972"/>
      <c r="FOL65" s="955"/>
      <c r="FOM65" s="950"/>
      <c r="FON65" s="957"/>
      <c r="FOO65" s="950"/>
      <c r="FOP65" s="950"/>
      <c r="FOQ65" s="957"/>
      <c r="FOR65" s="950"/>
      <c r="FOS65" s="950"/>
      <c r="FOT65" s="653"/>
      <c r="FOU65" s="950"/>
      <c r="FOV65" s="951"/>
      <c r="FOW65" s="952"/>
      <c r="FOX65" s="959"/>
      <c r="FOY65" s="953"/>
      <c r="FOZ65" s="954"/>
      <c r="FPA65" s="955"/>
      <c r="FPB65" s="955"/>
      <c r="FPC65" s="820"/>
      <c r="FPD65" s="972"/>
      <c r="FPE65" s="955"/>
      <c r="FPF65" s="950"/>
      <c r="FPG65" s="957"/>
      <c r="FPH65" s="950"/>
      <c r="FPI65" s="950"/>
      <c r="FPJ65" s="957"/>
      <c r="FPK65" s="950"/>
      <c r="FPL65" s="950"/>
      <c r="FPM65" s="653"/>
      <c r="FPN65" s="950"/>
      <c r="FPO65" s="951"/>
      <c r="FPP65" s="952"/>
      <c r="FPQ65" s="959"/>
      <c r="FPR65" s="953"/>
      <c r="FPS65" s="954"/>
      <c r="FPT65" s="955"/>
      <c r="FPU65" s="955"/>
      <c r="FPV65" s="820"/>
      <c r="FPW65" s="972"/>
      <c r="FPX65" s="955"/>
      <c r="FPY65" s="950"/>
      <c r="FPZ65" s="957"/>
      <c r="FQA65" s="950"/>
      <c r="FQB65" s="950"/>
      <c r="FQC65" s="957"/>
      <c r="FQD65" s="950"/>
      <c r="FQE65" s="950"/>
      <c r="FQF65" s="653"/>
      <c r="FQG65" s="950"/>
      <c r="FQH65" s="951"/>
      <c r="FQI65" s="952"/>
      <c r="FQJ65" s="959"/>
      <c r="FQK65" s="953"/>
      <c r="FQL65" s="954"/>
      <c r="FQM65" s="955"/>
      <c r="FQN65" s="955"/>
      <c r="FQO65" s="820"/>
      <c r="FQP65" s="972"/>
      <c r="FQQ65" s="955"/>
      <c r="FQR65" s="950"/>
      <c r="FQS65" s="957"/>
      <c r="FQT65" s="950"/>
      <c r="FQU65" s="950"/>
      <c r="FQV65" s="957"/>
      <c r="FQW65" s="950"/>
      <c r="FQX65" s="950"/>
      <c r="FQY65" s="653"/>
      <c r="FQZ65" s="950"/>
      <c r="FRA65" s="951"/>
      <c r="FRB65" s="952"/>
      <c r="FRC65" s="959"/>
      <c r="FRD65" s="953"/>
      <c r="FRE65" s="954"/>
      <c r="FRF65" s="955"/>
      <c r="FRG65" s="955"/>
      <c r="FRH65" s="820"/>
      <c r="FRI65" s="972"/>
      <c r="FRJ65" s="955"/>
      <c r="FRK65" s="950"/>
      <c r="FRL65" s="957"/>
      <c r="FRM65" s="950"/>
      <c r="FRN65" s="950"/>
      <c r="FRO65" s="957"/>
      <c r="FRP65" s="950"/>
      <c r="FRQ65" s="950"/>
      <c r="FRR65" s="653"/>
      <c r="FRS65" s="950"/>
      <c r="FRT65" s="951"/>
      <c r="FRU65" s="952"/>
      <c r="FRV65" s="959"/>
      <c r="FRW65" s="953"/>
      <c r="FRX65" s="954"/>
      <c r="FRY65" s="955"/>
      <c r="FRZ65" s="955"/>
      <c r="FSA65" s="820"/>
      <c r="FSB65" s="972"/>
      <c r="FSC65" s="955"/>
      <c r="FSD65" s="950"/>
      <c r="FSE65" s="957"/>
      <c r="FSF65" s="950"/>
      <c r="FSG65" s="950"/>
      <c r="FSH65" s="957"/>
      <c r="FSI65" s="950"/>
      <c r="FSJ65" s="950"/>
      <c r="FSK65" s="653"/>
      <c r="FSL65" s="950"/>
      <c r="FSM65" s="951"/>
      <c r="FSN65" s="952"/>
      <c r="FSO65" s="959"/>
      <c r="FSP65" s="953"/>
      <c r="FSQ65" s="954"/>
      <c r="FSR65" s="955"/>
      <c r="FSS65" s="955"/>
      <c r="FST65" s="820"/>
      <c r="FSU65" s="972"/>
      <c r="FSV65" s="955"/>
      <c r="FSW65" s="950"/>
      <c r="FSX65" s="957"/>
      <c r="FSY65" s="950"/>
      <c r="FSZ65" s="950"/>
      <c r="FTA65" s="957"/>
      <c r="FTB65" s="950"/>
      <c r="FTC65" s="950"/>
      <c r="FTD65" s="653"/>
      <c r="FTE65" s="950"/>
      <c r="FTF65" s="951"/>
      <c r="FTG65" s="952"/>
      <c r="FTH65" s="959"/>
      <c r="FTI65" s="953"/>
      <c r="FTJ65" s="954"/>
      <c r="FTK65" s="955"/>
      <c r="FTL65" s="955"/>
      <c r="FTM65" s="820"/>
      <c r="FTN65" s="972"/>
      <c r="FTO65" s="955"/>
      <c r="FTP65" s="950"/>
      <c r="FTQ65" s="957"/>
      <c r="FTR65" s="950"/>
      <c r="FTS65" s="950"/>
      <c r="FTT65" s="957"/>
      <c r="FTU65" s="950"/>
      <c r="FTV65" s="950"/>
      <c r="FTW65" s="653"/>
      <c r="FTX65" s="950"/>
      <c r="FTY65" s="951"/>
      <c r="FTZ65" s="952"/>
      <c r="FUA65" s="959"/>
      <c r="FUB65" s="953"/>
      <c r="FUC65" s="954"/>
      <c r="FUD65" s="955"/>
      <c r="FUE65" s="955"/>
      <c r="FUF65" s="820"/>
      <c r="FUG65" s="972"/>
      <c r="FUH65" s="955"/>
      <c r="FUI65" s="950"/>
      <c r="FUJ65" s="957"/>
      <c r="FUK65" s="950"/>
      <c r="FUL65" s="950"/>
      <c r="FUM65" s="957"/>
      <c r="FUN65" s="950"/>
      <c r="FUO65" s="950"/>
      <c r="FUP65" s="653"/>
      <c r="FUQ65" s="950"/>
      <c r="FUR65" s="951"/>
      <c r="FUS65" s="952"/>
      <c r="FUT65" s="959"/>
      <c r="FUU65" s="953"/>
      <c r="FUV65" s="954"/>
      <c r="FUW65" s="955"/>
      <c r="FUX65" s="955"/>
      <c r="FUY65" s="820"/>
      <c r="FUZ65" s="972"/>
      <c r="FVA65" s="955"/>
      <c r="FVB65" s="950"/>
      <c r="FVC65" s="957"/>
      <c r="FVD65" s="950"/>
      <c r="FVE65" s="950"/>
      <c r="FVF65" s="957"/>
      <c r="FVG65" s="950"/>
      <c r="FVH65" s="950"/>
      <c r="FVI65" s="653"/>
      <c r="FVJ65" s="950"/>
      <c r="FVK65" s="951"/>
      <c r="FVL65" s="952"/>
      <c r="FVM65" s="959"/>
      <c r="FVN65" s="953"/>
      <c r="FVO65" s="954"/>
      <c r="FVP65" s="955"/>
      <c r="FVQ65" s="955"/>
      <c r="FVR65" s="820"/>
      <c r="FVS65" s="972"/>
      <c r="FVT65" s="955"/>
      <c r="FVU65" s="950"/>
      <c r="FVV65" s="957"/>
      <c r="FVW65" s="950"/>
      <c r="FVX65" s="950"/>
      <c r="FVY65" s="957"/>
      <c r="FVZ65" s="950"/>
      <c r="FWA65" s="950"/>
      <c r="FWB65" s="653"/>
      <c r="FWC65" s="950"/>
      <c r="FWD65" s="951"/>
      <c r="FWE65" s="952"/>
      <c r="FWF65" s="959"/>
      <c r="FWG65" s="953"/>
      <c r="FWH65" s="954"/>
      <c r="FWI65" s="955"/>
      <c r="FWJ65" s="955"/>
      <c r="FWK65" s="820"/>
      <c r="FWL65" s="972"/>
      <c r="FWM65" s="955"/>
      <c r="FWN65" s="950"/>
      <c r="FWO65" s="957"/>
      <c r="FWP65" s="950"/>
      <c r="FWQ65" s="950"/>
      <c r="FWR65" s="957"/>
      <c r="FWS65" s="950"/>
      <c r="FWT65" s="950"/>
      <c r="FWU65" s="653"/>
      <c r="FWV65" s="950"/>
      <c r="FWW65" s="951"/>
      <c r="FWX65" s="952"/>
      <c r="FWY65" s="959"/>
      <c r="FWZ65" s="953"/>
      <c r="FXA65" s="954"/>
      <c r="FXB65" s="955"/>
      <c r="FXC65" s="955"/>
      <c r="FXD65" s="820"/>
      <c r="FXE65" s="972"/>
      <c r="FXF65" s="955"/>
      <c r="FXG65" s="950"/>
      <c r="FXH65" s="957"/>
      <c r="FXI65" s="950"/>
      <c r="FXJ65" s="950"/>
      <c r="FXK65" s="957"/>
      <c r="FXL65" s="950"/>
      <c r="FXM65" s="950"/>
      <c r="FXN65" s="653"/>
      <c r="FXO65" s="950"/>
      <c r="FXP65" s="951"/>
      <c r="FXQ65" s="952"/>
      <c r="FXR65" s="959"/>
      <c r="FXS65" s="953"/>
      <c r="FXT65" s="954"/>
      <c r="FXU65" s="955"/>
      <c r="FXV65" s="955"/>
      <c r="FXW65" s="820"/>
      <c r="FXX65" s="972"/>
      <c r="FXY65" s="955"/>
      <c r="FXZ65" s="950"/>
      <c r="FYA65" s="957"/>
      <c r="FYB65" s="950"/>
      <c r="FYC65" s="950"/>
      <c r="FYD65" s="957"/>
      <c r="FYE65" s="950"/>
      <c r="FYF65" s="950"/>
      <c r="FYG65" s="653"/>
      <c r="FYH65" s="950"/>
      <c r="FYI65" s="951"/>
      <c r="FYJ65" s="952"/>
      <c r="FYK65" s="959"/>
      <c r="FYL65" s="953"/>
      <c r="FYM65" s="954"/>
      <c r="FYN65" s="955"/>
      <c r="FYO65" s="955"/>
      <c r="FYP65" s="820"/>
      <c r="FYQ65" s="972"/>
      <c r="FYR65" s="955"/>
      <c r="FYS65" s="950"/>
      <c r="FYT65" s="957"/>
      <c r="FYU65" s="950"/>
      <c r="FYV65" s="950"/>
      <c r="FYW65" s="957"/>
      <c r="FYX65" s="950"/>
      <c r="FYY65" s="950"/>
      <c r="FYZ65" s="653"/>
      <c r="FZA65" s="950"/>
      <c r="FZB65" s="951"/>
      <c r="FZC65" s="952"/>
      <c r="FZD65" s="959"/>
      <c r="FZE65" s="953"/>
      <c r="FZF65" s="954"/>
      <c r="FZG65" s="955"/>
      <c r="FZH65" s="955"/>
      <c r="FZI65" s="820"/>
      <c r="FZJ65" s="972"/>
      <c r="FZK65" s="955"/>
      <c r="FZL65" s="950"/>
      <c r="FZM65" s="957"/>
      <c r="FZN65" s="950"/>
      <c r="FZO65" s="950"/>
      <c r="FZP65" s="957"/>
      <c r="FZQ65" s="950"/>
      <c r="FZR65" s="950"/>
      <c r="FZS65" s="653"/>
      <c r="FZT65" s="950"/>
      <c r="FZU65" s="951"/>
      <c r="FZV65" s="952"/>
      <c r="FZW65" s="959"/>
      <c r="FZX65" s="953"/>
      <c r="FZY65" s="954"/>
      <c r="FZZ65" s="955"/>
      <c r="GAA65" s="955"/>
      <c r="GAB65" s="820"/>
      <c r="GAC65" s="972"/>
      <c r="GAD65" s="955"/>
      <c r="GAE65" s="950"/>
      <c r="GAF65" s="957"/>
      <c r="GAG65" s="950"/>
      <c r="GAH65" s="950"/>
      <c r="GAI65" s="957"/>
      <c r="GAJ65" s="950"/>
      <c r="GAK65" s="950"/>
      <c r="GAL65" s="653"/>
      <c r="GAM65" s="950"/>
      <c r="GAN65" s="951"/>
      <c r="GAO65" s="952"/>
      <c r="GAP65" s="959"/>
      <c r="GAQ65" s="953"/>
      <c r="GAR65" s="954"/>
      <c r="GAS65" s="955"/>
      <c r="GAT65" s="955"/>
      <c r="GAU65" s="820"/>
      <c r="GAV65" s="972"/>
      <c r="GAW65" s="955"/>
      <c r="GAX65" s="950"/>
      <c r="GAY65" s="957"/>
      <c r="GAZ65" s="950"/>
      <c r="GBA65" s="950"/>
      <c r="GBB65" s="957"/>
      <c r="GBC65" s="950"/>
      <c r="GBD65" s="950"/>
      <c r="GBE65" s="653"/>
      <c r="GBF65" s="950"/>
      <c r="GBG65" s="951"/>
      <c r="GBH65" s="952"/>
      <c r="GBI65" s="959"/>
      <c r="GBJ65" s="953"/>
      <c r="GBK65" s="954"/>
      <c r="GBL65" s="955"/>
      <c r="GBM65" s="955"/>
      <c r="GBN65" s="820"/>
      <c r="GBO65" s="972"/>
      <c r="GBP65" s="955"/>
      <c r="GBQ65" s="950"/>
      <c r="GBR65" s="957"/>
      <c r="GBS65" s="950"/>
      <c r="GBT65" s="950"/>
      <c r="GBU65" s="957"/>
      <c r="GBV65" s="950"/>
      <c r="GBW65" s="950"/>
      <c r="GBX65" s="653"/>
      <c r="GBY65" s="950"/>
      <c r="GBZ65" s="951"/>
      <c r="GCA65" s="952"/>
      <c r="GCB65" s="959"/>
      <c r="GCC65" s="953"/>
      <c r="GCD65" s="954"/>
      <c r="GCE65" s="955"/>
      <c r="GCF65" s="955"/>
      <c r="GCG65" s="820"/>
      <c r="GCH65" s="972"/>
      <c r="GCI65" s="955"/>
      <c r="GCJ65" s="950"/>
      <c r="GCK65" s="957"/>
      <c r="GCL65" s="950"/>
      <c r="GCM65" s="950"/>
      <c r="GCN65" s="957"/>
      <c r="GCO65" s="950"/>
      <c r="GCP65" s="950"/>
      <c r="GCQ65" s="653"/>
      <c r="GCR65" s="950"/>
      <c r="GCS65" s="951"/>
      <c r="GCT65" s="952"/>
      <c r="GCU65" s="959"/>
      <c r="GCV65" s="953"/>
      <c r="GCW65" s="954"/>
      <c r="GCX65" s="955"/>
      <c r="GCY65" s="955"/>
      <c r="GCZ65" s="820"/>
      <c r="GDA65" s="972"/>
      <c r="GDB65" s="955"/>
      <c r="GDC65" s="950"/>
      <c r="GDD65" s="957"/>
      <c r="GDE65" s="950"/>
      <c r="GDF65" s="950"/>
      <c r="GDG65" s="957"/>
      <c r="GDH65" s="950"/>
      <c r="GDI65" s="950"/>
      <c r="GDJ65" s="653"/>
      <c r="GDK65" s="950"/>
      <c r="GDL65" s="951"/>
      <c r="GDM65" s="952"/>
      <c r="GDN65" s="959"/>
      <c r="GDO65" s="953"/>
      <c r="GDP65" s="954"/>
      <c r="GDQ65" s="955"/>
      <c r="GDR65" s="955"/>
      <c r="GDS65" s="820"/>
      <c r="GDT65" s="972"/>
      <c r="GDU65" s="955"/>
      <c r="GDV65" s="950"/>
      <c r="GDW65" s="957"/>
      <c r="GDX65" s="950"/>
      <c r="GDY65" s="950"/>
      <c r="GDZ65" s="957"/>
      <c r="GEA65" s="950"/>
      <c r="GEB65" s="950"/>
      <c r="GEC65" s="653"/>
      <c r="GED65" s="950"/>
      <c r="GEE65" s="951"/>
      <c r="GEF65" s="952"/>
      <c r="GEG65" s="959"/>
      <c r="GEH65" s="953"/>
      <c r="GEI65" s="954"/>
      <c r="GEJ65" s="955"/>
      <c r="GEK65" s="955"/>
      <c r="GEL65" s="820"/>
      <c r="GEM65" s="972"/>
      <c r="GEN65" s="955"/>
      <c r="GEO65" s="950"/>
      <c r="GEP65" s="957"/>
      <c r="GEQ65" s="950"/>
      <c r="GER65" s="950"/>
      <c r="GES65" s="957"/>
      <c r="GET65" s="950"/>
      <c r="GEU65" s="950"/>
      <c r="GEV65" s="653"/>
      <c r="GEW65" s="950"/>
      <c r="GEX65" s="951"/>
      <c r="GEY65" s="952"/>
      <c r="GEZ65" s="959"/>
      <c r="GFA65" s="953"/>
      <c r="GFB65" s="954"/>
      <c r="GFC65" s="955"/>
      <c r="GFD65" s="955"/>
      <c r="GFE65" s="820"/>
      <c r="GFF65" s="972"/>
      <c r="GFG65" s="955"/>
      <c r="GFH65" s="950"/>
      <c r="GFI65" s="957"/>
      <c r="GFJ65" s="950"/>
      <c r="GFK65" s="950"/>
      <c r="GFL65" s="957"/>
      <c r="GFM65" s="950"/>
      <c r="GFN65" s="950"/>
      <c r="GFO65" s="653"/>
      <c r="GFP65" s="950"/>
      <c r="GFQ65" s="951"/>
      <c r="GFR65" s="952"/>
      <c r="GFS65" s="959"/>
      <c r="GFT65" s="953"/>
      <c r="GFU65" s="954"/>
      <c r="GFV65" s="955"/>
      <c r="GFW65" s="955"/>
      <c r="GFX65" s="820"/>
      <c r="GFY65" s="972"/>
      <c r="GFZ65" s="955"/>
      <c r="GGA65" s="950"/>
      <c r="GGB65" s="957"/>
      <c r="GGC65" s="950"/>
      <c r="GGD65" s="950"/>
      <c r="GGE65" s="957"/>
      <c r="GGF65" s="950"/>
      <c r="GGG65" s="950"/>
      <c r="GGH65" s="653"/>
      <c r="GGI65" s="950"/>
      <c r="GGJ65" s="951"/>
      <c r="GGK65" s="952"/>
      <c r="GGL65" s="959"/>
      <c r="GGM65" s="953"/>
      <c r="GGN65" s="954"/>
      <c r="GGO65" s="955"/>
      <c r="GGP65" s="955"/>
      <c r="GGQ65" s="820"/>
      <c r="GGR65" s="972"/>
      <c r="GGS65" s="955"/>
      <c r="GGT65" s="950"/>
      <c r="GGU65" s="957"/>
      <c r="GGV65" s="950"/>
      <c r="GGW65" s="950"/>
      <c r="GGX65" s="957"/>
      <c r="GGY65" s="950"/>
      <c r="GGZ65" s="950"/>
      <c r="GHA65" s="653"/>
      <c r="GHB65" s="950"/>
      <c r="GHC65" s="951"/>
      <c r="GHD65" s="952"/>
      <c r="GHE65" s="959"/>
      <c r="GHF65" s="953"/>
      <c r="GHG65" s="954"/>
      <c r="GHH65" s="955"/>
      <c r="GHI65" s="955"/>
      <c r="GHJ65" s="820"/>
      <c r="GHK65" s="972"/>
      <c r="GHL65" s="955"/>
      <c r="GHM65" s="950"/>
      <c r="GHN65" s="957"/>
      <c r="GHO65" s="950"/>
      <c r="GHP65" s="950"/>
      <c r="GHQ65" s="957"/>
      <c r="GHR65" s="950"/>
      <c r="GHS65" s="950"/>
      <c r="GHT65" s="653"/>
      <c r="GHU65" s="950"/>
      <c r="GHV65" s="951"/>
      <c r="GHW65" s="952"/>
      <c r="GHX65" s="959"/>
      <c r="GHY65" s="953"/>
      <c r="GHZ65" s="954"/>
      <c r="GIA65" s="955"/>
      <c r="GIB65" s="955"/>
      <c r="GIC65" s="820"/>
      <c r="GID65" s="972"/>
      <c r="GIE65" s="955"/>
      <c r="GIF65" s="950"/>
      <c r="GIG65" s="957"/>
      <c r="GIH65" s="950"/>
      <c r="GII65" s="950"/>
      <c r="GIJ65" s="957"/>
      <c r="GIK65" s="950"/>
      <c r="GIL65" s="950"/>
      <c r="GIM65" s="653"/>
      <c r="GIN65" s="950"/>
      <c r="GIO65" s="951"/>
      <c r="GIP65" s="952"/>
      <c r="GIQ65" s="959"/>
      <c r="GIR65" s="953"/>
      <c r="GIS65" s="954"/>
      <c r="GIT65" s="955"/>
      <c r="GIU65" s="955"/>
      <c r="GIV65" s="820"/>
      <c r="GIW65" s="972"/>
      <c r="GIX65" s="955"/>
      <c r="GIY65" s="950"/>
      <c r="GIZ65" s="957"/>
      <c r="GJA65" s="950"/>
      <c r="GJB65" s="950"/>
      <c r="GJC65" s="957"/>
      <c r="GJD65" s="950"/>
      <c r="GJE65" s="950"/>
      <c r="GJF65" s="653"/>
      <c r="GJG65" s="950"/>
      <c r="GJH65" s="951"/>
      <c r="GJI65" s="952"/>
      <c r="GJJ65" s="959"/>
      <c r="GJK65" s="953"/>
      <c r="GJL65" s="954"/>
      <c r="GJM65" s="955"/>
      <c r="GJN65" s="955"/>
      <c r="GJO65" s="820"/>
      <c r="GJP65" s="972"/>
      <c r="GJQ65" s="955"/>
      <c r="GJR65" s="950"/>
      <c r="GJS65" s="957"/>
      <c r="GJT65" s="950"/>
      <c r="GJU65" s="950"/>
      <c r="GJV65" s="957"/>
      <c r="GJW65" s="950"/>
      <c r="GJX65" s="950"/>
      <c r="GJY65" s="653"/>
      <c r="GJZ65" s="950"/>
      <c r="GKA65" s="951"/>
      <c r="GKB65" s="952"/>
      <c r="GKC65" s="959"/>
      <c r="GKD65" s="953"/>
      <c r="GKE65" s="954"/>
      <c r="GKF65" s="955"/>
      <c r="GKG65" s="955"/>
      <c r="GKH65" s="820"/>
      <c r="GKI65" s="972"/>
      <c r="GKJ65" s="955"/>
      <c r="GKK65" s="950"/>
      <c r="GKL65" s="957"/>
      <c r="GKM65" s="950"/>
      <c r="GKN65" s="950"/>
      <c r="GKO65" s="957"/>
      <c r="GKP65" s="950"/>
      <c r="GKQ65" s="950"/>
      <c r="GKR65" s="653"/>
      <c r="GKS65" s="950"/>
      <c r="GKT65" s="951"/>
      <c r="GKU65" s="952"/>
      <c r="GKV65" s="959"/>
      <c r="GKW65" s="953"/>
      <c r="GKX65" s="954"/>
      <c r="GKY65" s="955"/>
      <c r="GKZ65" s="955"/>
      <c r="GLA65" s="820"/>
      <c r="GLB65" s="972"/>
      <c r="GLC65" s="955"/>
      <c r="GLD65" s="950"/>
      <c r="GLE65" s="957"/>
      <c r="GLF65" s="950"/>
      <c r="GLG65" s="950"/>
      <c r="GLH65" s="957"/>
      <c r="GLI65" s="950"/>
      <c r="GLJ65" s="950"/>
      <c r="GLK65" s="653"/>
      <c r="GLL65" s="950"/>
      <c r="GLM65" s="951"/>
      <c r="GLN65" s="952"/>
      <c r="GLO65" s="959"/>
      <c r="GLP65" s="953"/>
      <c r="GLQ65" s="954"/>
      <c r="GLR65" s="955"/>
      <c r="GLS65" s="955"/>
      <c r="GLT65" s="820"/>
      <c r="GLU65" s="972"/>
      <c r="GLV65" s="955"/>
      <c r="GLW65" s="950"/>
      <c r="GLX65" s="957"/>
      <c r="GLY65" s="950"/>
      <c r="GLZ65" s="950"/>
      <c r="GMA65" s="957"/>
      <c r="GMB65" s="950"/>
      <c r="GMC65" s="950"/>
      <c r="GMD65" s="653"/>
      <c r="GME65" s="950"/>
      <c r="GMF65" s="951"/>
      <c r="GMG65" s="952"/>
      <c r="GMH65" s="959"/>
      <c r="GMI65" s="953"/>
      <c r="GMJ65" s="954"/>
      <c r="GMK65" s="955"/>
      <c r="GML65" s="955"/>
      <c r="GMM65" s="820"/>
      <c r="GMN65" s="972"/>
      <c r="GMO65" s="955"/>
      <c r="GMP65" s="950"/>
      <c r="GMQ65" s="957"/>
      <c r="GMR65" s="950"/>
      <c r="GMS65" s="950"/>
      <c r="GMT65" s="957"/>
      <c r="GMU65" s="950"/>
      <c r="GMV65" s="950"/>
      <c r="GMW65" s="653"/>
      <c r="GMX65" s="950"/>
      <c r="GMY65" s="951"/>
      <c r="GMZ65" s="952"/>
      <c r="GNA65" s="959"/>
      <c r="GNB65" s="953"/>
      <c r="GNC65" s="954"/>
      <c r="GND65" s="955"/>
      <c r="GNE65" s="955"/>
      <c r="GNF65" s="820"/>
      <c r="GNG65" s="972"/>
      <c r="GNH65" s="955"/>
      <c r="GNI65" s="950"/>
      <c r="GNJ65" s="957"/>
      <c r="GNK65" s="950"/>
      <c r="GNL65" s="950"/>
      <c r="GNM65" s="957"/>
      <c r="GNN65" s="950"/>
      <c r="GNO65" s="950"/>
      <c r="GNP65" s="653"/>
      <c r="GNQ65" s="950"/>
      <c r="GNR65" s="951"/>
      <c r="GNS65" s="952"/>
      <c r="GNT65" s="959"/>
      <c r="GNU65" s="953"/>
      <c r="GNV65" s="954"/>
      <c r="GNW65" s="955"/>
      <c r="GNX65" s="955"/>
      <c r="GNY65" s="820"/>
      <c r="GNZ65" s="972"/>
      <c r="GOA65" s="955"/>
      <c r="GOB65" s="950"/>
      <c r="GOC65" s="957"/>
      <c r="GOD65" s="950"/>
      <c r="GOE65" s="950"/>
      <c r="GOF65" s="957"/>
      <c r="GOG65" s="950"/>
      <c r="GOH65" s="950"/>
      <c r="GOI65" s="653"/>
      <c r="GOJ65" s="950"/>
      <c r="GOK65" s="951"/>
      <c r="GOL65" s="952"/>
      <c r="GOM65" s="959"/>
      <c r="GON65" s="953"/>
      <c r="GOO65" s="954"/>
      <c r="GOP65" s="955"/>
      <c r="GOQ65" s="955"/>
      <c r="GOR65" s="820"/>
      <c r="GOS65" s="972"/>
      <c r="GOT65" s="955"/>
      <c r="GOU65" s="950"/>
      <c r="GOV65" s="957"/>
      <c r="GOW65" s="950"/>
      <c r="GOX65" s="950"/>
      <c r="GOY65" s="957"/>
      <c r="GOZ65" s="950"/>
      <c r="GPA65" s="950"/>
      <c r="GPB65" s="653"/>
      <c r="GPC65" s="950"/>
      <c r="GPD65" s="951"/>
      <c r="GPE65" s="952"/>
      <c r="GPF65" s="959"/>
      <c r="GPG65" s="953"/>
      <c r="GPH65" s="954"/>
      <c r="GPI65" s="955"/>
      <c r="GPJ65" s="955"/>
      <c r="GPK65" s="820"/>
      <c r="GPL65" s="972"/>
      <c r="GPM65" s="955"/>
      <c r="GPN65" s="950"/>
      <c r="GPO65" s="957"/>
      <c r="GPP65" s="950"/>
      <c r="GPQ65" s="950"/>
      <c r="GPR65" s="957"/>
      <c r="GPS65" s="950"/>
      <c r="GPT65" s="950"/>
      <c r="GPU65" s="653"/>
      <c r="GPV65" s="950"/>
      <c r="GPW65" s="951"/>
      <c r="GPX65" s="952"/>
      <c r="GPY65" s="959"/>
      <c r="GPZ65" s="953"/>
      <c r="GQA65" s="954"/>
      <c r="GQB65" s="955"/>
      <c r="GQC65" s="955"/>
      <c r="GQD65" s="820"/>
      <c r="GQE65" s="972"/>
      <c r="GQF65" s="955"/>
      <c r="GQG65" s="950"/>
      <c r="GQH65" s="957"/>
      <c r="GQI65" s="950"/>
      <c r="GQJ65" s="950"/>
      <c r="GQK65" s="957"/>
      <c r="GQL65" s="950"/>
      <c r="GQM65" s="950"/>
      <c r="GQN65" s="653"/>
      <c r="GQO65" s="950"/>
      <c r="GQP65" s="951"/>
      <c r="GQQ65" s="952"/>
      <c r="GQR65" s="959"/>
      <c r="GQS65" s="953"/>
      <c r="GQT65" s="954"/>
      <c r="GQU65" s="955"/>
      <c r="GQV65" s="955"/>
      <c r="GQW65" s="820"/>
      <c r="GQX65" s="972"/>
      <c r="GQY65" s="955"/>
      <c r="GQZ65" s="950"/>
      <c r="GRA65" s="957"/>
      <c r="GRB65" s="950"/>
      <c r="GRC65" s="950"/>
      <c r="GRD65" s="957"/>
      <c r="GRE65" s="950"/>
      <c r="GRF65" s="950"/>
      <c r="GRG65" s="653"/>
      <c r="GRH65" s="950"/>
      <c r="GRI65" s="951"/>
      <c r="GRJ65" s="952"/>
      <c r="GRK65" s="959"/>
      <c r="GRL65" s="953"/>
      <c r="GRM65" s="954"/>
      <c r="GRN65" s="955"/>
      <c r="GRO65" s="955"/>
      <c r="GRP65" s="820"/>
      <c r="GRQ65" s="972"/>
      <c r="GRR65" s="955"/>
      <c r="GRS65" s="950"/>
      <c r="GRT65" s="957"/>
      <c r="GRU65" s="950"/>
      <c r="GRV65" s="950"/>
      <c r="GRW65" s="957"/>
      <c r="GRX65" s="950"/>
      <c r="GRY65" s="950"/>
      <c r="GRZ65" s="653"/>
      <c r="GSA65" s="950"/>
      <c r="GSB65" s="951"/>
      <c r="GSC65" s="952"/>
      <c r="GSD65" s="959"/>
      <c r="GSE65" s="953"/>
      <c r="GSF65" s="954"/>
      <c r="GSG65" s="955"/>
      <c r="GSH65" s="955"/>
      <c r="GSI65" s="820"/>
      <c r="GSJ65" s="972"/>
      <c r="GSK65" s="955"/>
      <c r="GSL65" s="950"/>
      <c r="GSM65" s="957"/>
      <c r="GSN65" s="950"/>
      <c r="GSO65" s="950"/>
      <c r="GSP65" s="957"/>
      <c r="GSQ65" s="950"/>
      <c r="GSR65" s="950"/>
      <c r="GSS65" s="653"/>
      <c r="GST65" s="950"/>
      <c r="GSU65" s="951"/>
      <c r="GSV65" s="952"/>
      <c r="GSW65" s="959"/>
      <c r="GSX65" s="953"/>
      <c r="GSY65" s="954"/>
      <c r="GSZ65" s="955"/>
      <c r="GTA65" s="955"/>
      <c r="GTB65" s="820"/>
      <c r="GTC65" s="972"/>
      <c r="GTD65" s="955"/>
      <c r="GTE65" s="950"/>
      <c r="GTF65" s="957"/>
      <c r="GTG65" s="950"/>
      <c r="GTH65" s="950"/>
      <c r="GTI65" s="957"/>
      <c r="GTJ65" s="950"/>
      <c r="GTK65" s="950"/>
      <c r="GTL65" s="653"/>
      <c r="GTM65" s="950"/>
      <c r="GTN65" s="951"/>
      <c r="GTO65" s="952"/>
      <c r="GTP65" s="959"/>
      <c r="GTQ65" s="953"/>
      <c r="GTR65" s="954"/>
      <c r="GTS65" s="955"/>
      <c r="GTT65" s="955"/>
      <c r="GTU65" s="820"/>
      <c r="GTV65" s="972"/>
      <c r="GTW65" s="955"/>
      <c r="GTX65" s="950"/>
      <c r="GTY65" s="957"/>
      <c r="GTZ65" s="950"/>
      <c r="GUA65" s="950"/>
      <c r="GUB65" s="957"/>
      <c r="GUC65" s="950"/>
      <c r="GUD65" s="950"/>
      <c r="GUE65" s="653"/>
      <c r="GUF65" s="950"/>
      <c r="GUG65" s="951"/>
      <c r="GUH65" s="952"/>
      <c r="GUI65" s="959"/>
      <c r="GUJ65" s="953"/>
      <c r="GUK65" s="954"/>
      <c r="GUL65" s="955"/>
      <c r="GUM65" s="955"/>
      <c r="GUN65" s="820"/>
      <c r="GUO65" s="972"/>
      <c r="GUP65" s="955"/>
      <c r="GUQ65" s="950"/>
      <c r="GUR65" s="957"/>
      <c r="GUS65" s="950"/>
      <c r="GUT65" s="950"/>
      <c r="GUU65" s="957"/>
      <c r="GUV65" s="950"/>
      <c r="GUW65" s="950"/>
      <c r="GUX65" s="653"/>
      <c r="GUY65" s="950"/>
      <c r="GUZ65" s="951"/>
      <c r="GVA65" s="952"/>
      <c r="GVB65" s="959"/>
      <c r="GVC65" s="953"/>
      <c r="GVD65" s="954"/>
      <c r="GVE65" s="955"/>
      <c r="GVF65" s="955"/>
      <c r="GVG65" s="820"/>
      <c r="GVH65" s="972"/>
      <c r="GVI65" s="955"/>
      <c r="GVJ65" s="950"/>
      <c r="GVK65" s="957"/>
      <c r="GVL65" s="950"/>
      <c r="GVM65" s="950"/>
      <c r="GVN65" s="957"/>
      <c r="GVO65" s="950"/>
      <c r="GVP65" s="950"/>
      <c r="GVQ65" s="653"/>
      <c r="GVR65" s="950"/>
      <c r="GVS65" s="951"/>
      <c r="GVT65" s="952"/>
      <c r="GVU65" s="959"/>
      <c r="GVV65" s="953"/>
      <c r="GVW65" s="954"/>
      <c r="GVX65" s="955"/>
      <c r="GVY65" s="955"/>
      <c r="GVZ65" s="820"/>
      <c r="GWA65" s="972"/>
      <c r="GWB65" s="955"/>
      <c r="GWC65" s="950"/>
      <c r="GWD65" s="957"/>
      <c r="GWE65" s="950"/>
      <c r="GWF65" s="950"/>
      <c r="GWG65" s="957"/>
      <c r="GWH65" s="950"/>
      <c r="GWI65" s="950"/>
      <c r="GWJ65" s="653"/>
      <c r="GWK65" s="950"/>
      <c r="GWL65" s="951"/>
      <c r="GWM65" s="952"/>
      <c r="GWN65" s="959"/>
      <c r="GWO65" s="953"/>
      <c r="GWP65" s="954"/>
      <c r="GWQ65" s="955"/>
      <c r="GWR65" s="955"/>
      <c r="GWS65" s="820"/>
      <c r="GWT65" s="972"/>
      <c r="GWU65" s="955"/>
      <c r="GWV65" s="950"/>
      <c r="GWW65" s="957"/>
      <c r="GWX65" s="950"/>
      <c r="GWY65" s="950"/>
      <c r="GWZ65" s="957"/>
      <c r="GXA65" s="950"/>
      <c r="GXB65" s="950"/>
      <c r="GXC65" s="653"/>
      <c r="GXD65" s="950"/>
      <c r="GXE65" s="951"/>
      <c r="GXF65" s="952"/>
      <c r="GXG65" s="959"/>
      <c r="GXH65" s="953"/>
      <c r="GXI65" s="954"/>
      <c r="GXJ65" s="955"/>
      <c r="GXK65" s="955"/>
      <c r="GXL65" s="820"/>
      <c r="GXM65" s="972"/>
      <c r="GXN65" s="955"/>
      <c r="GXO65" s="950"/>
      <c r="GXP65" s="957"/>
      <c r="GXQ65" s="950"/>
      <c r="GXR65" s="950"/>
      <c r="GXS65" s="957"/>
      <c r="GXT65" s="950"/>
      <c r="GXU65" s="950"/>
      <c r="GXV65" s="653"/>
      <c r="GXW65" s="950"/>
      <c r="GXX65" s="951"/>
      <c r="GXY65" s="952"/>
      <c r="GXZ65" s="959"/>
      <c r="GYA65" s="953"/>
      <c r="GYB65" s="954"/>
      <c r="GYC65" s="955"/>
      <c r="GYD65" s="955"/>
      <c r="GYE65" s="820"/>
      <c r="GYF65" s="972"/>
      <c r="GYG65" s="955"/>
      <c r="GYH65" s="950"/>
      <c r="GYI65" s="957"/>
      <c r="GYJ65" s="950"/>
      <c r="GYK65" s="950"/>
      <c r="GYL65" s="957"/>
      <c r="GYM65" s="950"/>
      <c r="GYN65" s="950"/>
      <c r="GYO65" s="653"/>
      <c r="GYP65" s="950"/>
      <c r="GYQ65" s="951"/>
      <c r="GYR65" s="952"/>
      <c r="GYS65" s="959"/>
      <c r="GYT65" s="953"/>
      <c r="GYU65" s="954"/>
      <c r="GYV65" s="955"/>
      <c r="GYW65" s="955"/>
      <c r="GYX65" s="820"/>
      <c r="GYY65" s="972"/>
      <c r="GYZ65" s="955"/>
      <c r="GZA65" s="950"/>
      <c r="GZB65" s="957"/>
      <c r="GZC65" s="950"/>
      <c r="GZD65" s="950"/>
      <c r="GZE65" s="957"/>
      <c r="GZF65" s="950"/>
      <c r="GZG65" s="950"/>
      <c r="GZH65" s="653"/>
      <c r="GZI65" s="950"/>
      <c r="GZJ65" s="951"/>
      <c r="GZK65" s="952"/>
      <c r="GZL65" s="959"/>
      <c r="GZM65" s="953"/>
      <c r="GZN65" s="954"/>
      <c r="GZO65" s="955"/>
      <c r="GZP65" s="955"/>
      <c r="GZQ65" s="820"/>
      <c r="GZR65" s="972"/>
      <c r="GZS65" s="955"/>
      <c r="GZT65" s="950"/>
      <c r="GZU65" s="957"/>
      <c r="GZV65" s="950"/>
      <c r="GZW65" s="950"/>
      <c r="GZX65" s="957"/>
      <c r="GZY65" s="950"/>
      <c r="GZZ65" s="950"/>
      <c r="HAA65" s="653"/>
      <c r="HAB65" s="950"/>
      <c r="HAC65" s="951"/>
      <c r="HAD65" s="952"/>
      <c r="HAE65" s="959"/>
      <c r="HAF65" s="953"/>
      <c r="HAG65" s="954"/>
      <c r="HAH65" s="955"/>
      <c r="HAI65" s="955"/>
      <c r="HAJ65" s="820"/>
      <c r="HAK65" s="972"/>
      <c r="HAL65" s="955"/>
      <c r="HAM65" s="950"/>
      <c r="HAN65" s="957"/>
      <c r="HAO65" s="950"/>
      <c r="HAP65" s="950"/>
      <c r="HAQ65" s="957"/>
      <c r="HAR65" s="950"/>
      <c r="HAS65" s="950"/>
      <c r="HAT65" s="653"/>
      <c r="HAU65" s="950"/>
      <c r="HAV65" s="951"/>
      <c r="HAW65" s="952"/>
      <c r="HAX65" s="959"/>
      <c r="HAY65" s="953"/>
      <c r="HAZ65" s="954"/>
      <c r="HBA65" s="955"/>
      <c r="HBB65" s="955"/>
      <c r="HBC65" s="820"/>
      <c r="HBD65" s="972"/>
      <c r="HBE65" s="955"/>
      <c r="HBF65" s="950"/>
      <c r="HBG65" s="957"/>
      <c r="HBH65" s="950"/>
      <c r="HBI65" s="950"/>
      <c r="HBJ65" s="957"/>
      <c r="HBK65" s="950"/>
      <c r="HBL65" s="950"/>
      <c r="HBM65" s="653"/>
      <c r="HBN65" s="950"/>
      <c r="HBO65" s="951"/>
      <c r="HBP65" s="952"/>
      <c r="HBQ65" s="959"/>
      <c r="HBR65" s="953"/>
      <c r="HBS65" s="954"/>
      <c r="HBT65" s="955"/>
      <c r="HBU65" s="955"/>
      <c r="HBV65" s="820"/>
      <c r="HBW65" s="972"/>
      <c r="HBX65" s="955"/>
      <c r="HBY65" s="950"/>
      <c r="HBZ65" s="957"/>
      <c r="HCA65" s="950"/>
      <c r="HCB65" s="950"/>
      <c r="HCC65" s="957"/>
      <c r="HCD65" s="950"/>
      <c r="HCE65" s="950"/>
      <c r="HCF65" s="653"/>
      <c r="HCG65" s="950"/>
      <c r="HCH65" s="951"/>
      <c r="HCI65" s="952"/>
      <c r="HCJ65" s="959"/>
      <c r="HCK65" s="953"/>
      <c r="HCL65" s="954"/>
      <c r="HCM65" s="955"/>
      <c r="HCN65" s="955"/>
      <c r="HCO65" s="820"/>
      <c r="HCP65" s="972"/>
      <c r="HCQ65" s="955"/>
      <c r="HCR65" s="950"/>
      <c r="HCS65" s="957"/>
      <c r="HCT65" s="950"/>
      <c r="HCU65" s="950"/>
      <c r="HCV65" s="957"/>
      <c r="HCW65" s="950"/>
      <c r="HCX65" s="950"/>
      <c r="HCY65" s="653"/>
      <c r="HCZ65" s="950"/>
      <c r="HDA65" s="951"/>
      <c r="HDB65" s="952"/>
      <c r="HDC65" s="959"/>
      <c r="HDD65" s="953"/>
      <c r="HDE65" s="954"/>
      <c r="HDF65" s="955"/>
      <c r="HDG65" s="955"/>
      <c r="HDH65" s="820"/>
      <c r="HDI65" s="972"/>
      <c r="HDJ65" s="955"/>
      <c r="HDK65" s="950"/>
      <c r="HDL65" s="957"/>
      <c r="HDM65" s="950"/>
      <c r="HDN65" s="950"/>
      <c r="HDO65" s="957"/>
      <c r="HDP65" s="950"/>
      <c r="HDQ65" s="950"/>
      <c r="HDR65" s="653"/>
      <c r="HDS65" s="950"/>
      <c r="HDT65" s="951"/>
      <c r="HDU65" s="952"/>
      <c r="HDV65" s="959"/>
      <c r="HDW65" s="953"/>
      <c r="HDX65" s="954"/>
      <c r="HDY65" s="955"/>
      <c r="HDZ65" s="955"/>
      <c r="HEA65" s="820"/>
      <c r="HEB65" s="972"/>
      <c r="HEC65" s="955"/>
      <c r="HED65" s="950"/>
      <c r="HEE65" s="957"/>
      <c r="HEF65" s="950"/>
      <c r="HEG65" s="950"/>
      <c r="HEH65" s="957"/>
      <c r="HEI65" s="950"/>
      <c r="HEJ65" s="950"/>
      <c r="HEK65" s="653"/>
      <c r="HEL65" s="950"/>
      <c r="HEM65" s="951"/>
      <c r="HEN65" s="952"/>
      <c r="HEO65" s="959"/>
      <c r="HEP65" s="953"/>
      <c r="HEQ65" s="954"/>
      <c r="HER65" s="955"/>
      <c r="HES65" s="955"/>
      <c r="HET65" s="820"/>
      <c r="HEU65" s="972"/>
      <c r="HEV65" s="955"/>
      <c r="HEW65" s="950"/>
      <c r="HEX65" s="957"/>
      <c r="HEY65" s="950"/>
      <c r="HEZ65" s="950"/>
      <c r="HFA65" s="957"/>
      <c r="HFB65" s="950"/>
      <c r="HFC65" s="950"/>
      <c r="HFD65" s="653"/>
      <c r="HFE65" s="950"/>
      <c r="HFF65" s="951"/>
      <c r="HFG65" s="952"/>
      <c r="HFH65" s="959"/>
      <c r="HFI65" s="953"/>
      <c r="HFJ65" s="954"/>
      <c r="HFK65" s="955"/>
      <c r="HFL65" s="955"/>
      <c r="HFM65" s="820"/>
      <c r="HFN65" s="972"/>
      <c r="HFO65" s="955"/>
      <c r="HFP65" s="950"/>
      <c r="HFQ65" s="957"/>
      <c r="HFR65" s="950"/>
      <c r="HFS65" s="950"/>
      <c r="HFT65" s="957"/>
      <c r="HFU65" s="950"/>
      <c r="HFV65" s="950"/>
      <c r="HFW65" s="653"/>
      <c r="HFX65" s="950"/>
      <c r="HFY65" s="951"/>
      <c r="HFZ65" s="952"/>
      <c r="HGA65" s="959"/>
      <c r="HGB65" s="953"/>
      <c r="HGC65" s="954"/>
      <c r="HGD65" s="955"/>
      <c r="HGE65" s="955"/>
      <c r="HGF65" s="820"/>
      <c r="HGG65" s="972"/>
      <c r="HGH65" s="955"/>
      <c r="HGI65" s="950"/>
      <c r="HGJ65" s="957"/>
      <c r="HGK65" s="950"/>
      <c r="HGL65" s="950"/>
      <c r="HGM65" s="957"/>
      <c r="HGN65" s="950"/>
      <c r="HGO65" s="950"/>
      <c r="HGP65" s="653"/>
      <c r="HGQ65" s="950"/>
      <c r="HGR65" s="951"/>
      <c r="HGS65" s="952"/>
      <c r="HGT65" s="959"/>
      <c r="HGU65" s="953"/>
      <c r="HGV65" s="954"/>
      <c r="HGW65" s="955"/>
      <c r="HGX65" s="955"/>
      <c r="HGY65" s="820"/>
      <c r="HGZ65" s="972"/>
      <c r="HHA65" s="955"/>
      <c r="HHB65" s="950"/>
      <c r="HHC65" s="957"/>
      <c r="HHD65" s="950"/>
      <c r="HHE65" s="950"/>
      <c r="HHF65" s="957"/>
      <c r="HHG65" s="950"/>
      <c r="HHH65" s="950"/>
      <c r="HHI65" s="653"/>
      <c r="HHJ65" s="950"/>
      <c r="HHK65" s="951"/>
      <c r="HHL65" s="952"/>
      <c r="HHM65" s="959"/>
      <c r="HHN65" s="953"/>
      <c r="HHO65" s="954"/>
      <c r="HHP65" s="955"/>
      <c r="HHQ65" s="955"/>
      <c r="HHR65" s="820"/>
      <c r="HHS65" s="972"/>
      <c r="HHT65" s="955"/>
      <c r="HHU65" s="950"/>
      <c r="HHV65" s="957"/>
      <c r="HHW65" s="950"/>
      <c r="HHX65" s="950"/>
      <c r="HHY65" s="957"/>
      <c r="HHZ65" s="950"/>
      <c r="HIA65" s="950"/>
      <c r="HIB65" s="653"/>
      <c r="HIC65" s="950"/>
      <c r="HID65" s="951"/>
      <c r="HIE65" s="952"/>
      <c r="HIF65" s="959"/>
      <c r="HIG65" s="953"/>
      <c r="HIH65" s="954"/>
      <c r="HII65" s="955"/>
      <c r="HIJ65" s="955"/>
      <c r="HIK65" s="820"/>
      <c r="HIL65" s="972"/>
      <c r="HIM65" s="955"/>
      <c r="HIN65" s="950"/>
      <c r="HIO65" s="957"/>
      <c r="HIP65" s="950"/>
      <c r="HIQ65" s="950"/>
      <c r="HIR65" s="957"/>
      <c r="HIS65" s="950"/>
      <c r="HIT65" s="950"/>
      <c r="HIU65" s="653"/>
      <c r="HIV65" s="950"/>
      <c r="HIW65" s="951"/>
      <c r="HIX65" s="952"/>
      <c r="HIY65" s="959"/>
      <c r="HIZ65" s="953"/>
      <c r="HJA65" s="954"/>
      <c r="HJB65" s="955"/>
      <c r="HJC65" s="955"/>
      <c r="HJD65" s="820"/>
      <c r="HJE65" s="972"/>
      <c r="HJF65" s="955"/>
      <c r="HJG65" s="950"/>
      <c r="HJH65" s="957"/>
      <c r="HJI65" s="950"/>
      <c r="HJJ65" s="950"/>
      <c r="HJK65" s="957"/>
      <c r="HJL65" s="950"/>
      <c r="HJM65" s="950"/>
      <c r="HJN65" s="653"/>
      <c r="HJO65" s="950"/>
      <c r="HJP65" s="951"/>
      <c r="HJQ65" s="952"/>
      <c r="HJR65" s="959"/>
      <c r="HJS65" s="953"/>
      <c r="HJT65" s="954"/>
      <c r="HJU65" s="955"/>
      <c r="HJV65" s="955"/>
      <c r="HJW65" s="820"/>
      <c r="HJX65" s="972"/>
      <c r="HJY65" s="955"/>
      <c r="HJZ65" s="950"/>
      <c r="HKA65" s="957"/>
      <c r="HKB65" s="950"/>
      <c r="HKC65" s="950"/>
      <c r="HKD65" s="957"/>
      <c r="HKE65" s="950"/>
      <c r="HKF65" s="950"/>
      <c r="HKG65" s="653"/>
      <c r="HKH65" s="950"/>
      <c r="HKI65" s="951"/>
      <c r="HKJ65" s="952"/>
      <c r="HKK65" s="959"/>
      <c r="HKL65" s="953"/>
      <c r="HKM65" s="954"/>
      <c r="HKN65" s="955"/>
      <c r="HKO65" s="955"/>
      <c r="HKP65" s="820"/>
      <c r="HKQ65" s="972"/>
      <c r="HKR65" s="955"/>
      <c r="HKS65" s="950"/>
      <c r="HKT65" s="957"/>
      <c r="HKU65" s="950"/>
      <c r="HKV65" s="950"/>
      <c r="HKW65" s="957"/>
      <c r="HKX65" s="950"/>
      <c r="HKY65" s="950"/>
      <c r="HKZ65" s="653"/>
      <c r="HLA65" s="950"/>
      <c r="HLB65" s="951"/>
      <c r="HLC65" s="952"/>
      <c r="HLD65" s="959"/>
      <c r="HLE65" s="953"/>
      <c r="HLF65" s="954"/>
      <c r="HLG65" s="955"/>
      <c r="HLH65" s="955"/>
      <c r="HLI65" s="820"/>
      <c r="HLJ65" s="972"/>
      <c r="HLK65" s="955"/>
      <c r="HLL65" s="950"/>
      <c r="HLM65" s="957"/>
      <c r="HLN65" s="950"/>
      <c r="HLO65" s="950"/>
      <c r="HLP65" s="957"/>
      <c r="HLQ65" s="950"/>
      <c r="HLR65" s="950"/>
      <c r="HLS65" s="653"/>
      <c r="HLT65" s="950"/>
      <c r="HLU65" s="951"/>
      <c r="HLV65" s="952"/>
      <c r="HLW65" s="959"/>
      <c r="HLX65" s="953"/>
      <c r="HLY65" s="954"/>
      <c r="HLZ65" s="955"/>
      <c r="HMA65" s="955"/>
      <c r="HMB65" s="820"/>
      <c r="HMC65" s="972"/>
      <c r="HMD65" s="955"/>
      <c r="HME65" s="950"/>
      <c r="HMF65" s="957"/>
      <c r="HMG65" s="950"/>
      <c r="HMH65" s="950"/>
      <c r="HMI65" s="957"/>
      <c r="HMJ65" s="950"/>
      <c r="HMK65" s="950"/>
      <c r="HML65" s="653"/>
      <c r="HMM65" s="950"/>
      <c r="HMN65" s="951"/>
      <c r="HMO65" s="952"/>
      <c r="HMP65" s="959"/>
      <c r="HMQ65" s="953"/>
      <c r="HMR65" s="954"/>
      <c r="HMS65" s="955"/>
      <c r="HMT65" s="955"/>
      <c r="HMU65" s="820"/>
      <c r="HMV65" s="972"/>
      <c r="HMW65" s="955"/>
      <c r="HMX65" s="950"/>
      <c r="HMY65" s="957"/>
      <c r="HMZ65" s="950"/>
      <c r="HNA65" s="950"/>
      <c r="HNB65" s="957"/>
      <c r="HNC65" s="950"/>
      <c r="HND65" s="950"/>
      <c r="HNE65" s="653"/>
      <c r="HNF65" s="950"/>
      <c r="HNG65" s="951"/>
      <c r="HNH65" s="952"/>
      <c r="HNI65" s="959"/>
      <c r="HNJ65" s="953"/>
      <c r="HNK65" s="954"/>
      <c r="HNL65" s="955"/>
      <c r="HNM65" s="955"/>
      <c r="HNN65" s="820"/>
      <c r="HNO65" s="972"/>
      <c r="HNP65" s="955"/>
      <c r="HNQ65" s="950"/>
      <c r="HNR65" s="957"/>
      <c r="HNS65" s="950"/>
      <c r="HNT65" s="950"/>
      <c r="HNU65" s="957"/>
      <c r="HNV65" s="950"/>
      <c r="HNW65" s="950"/>
      <c r="HNX65" s="653"/>
      <c r="HNY65" s="950"/>
      <c r="HNZ65" s="951"/>
      <c r="HOA65" s="952"/>
      <c r="HOB65" s="959"/>
      <c r="HOC65" s="953"/>
      <c r="HOD65" s="954"/>
      <c r="HOE65" s="955"/>
      <c r="HOF65" s="955"/>
      <c r="HOG65" s="820"/>
      <c r="HOH65" s="972"/>
      <c r="HOI65" s="955"/>
      <c r="HOJ65" s="950"/>
      <c r="HOK65" s="957"/>
      <c r="HOL65" s="950"/>
      <c r="HOM65" s="950"/>
      <c r="HON65" s="957"/>
      <c r="HOO65" s="950"/>
      <c r="HOP65" s="950"/>
      <c r="HOQ65" s="653"/>
      <c r="HOR65" s="950"/>
      <c r="HOS65" s="951"/>
      <c r="HOT65" s="952"/>
      <c r="HOU65" s="959"/>
      <c r="HOV65" s="953"/>
      <c r="HOW65" s="954"/>
      <c r="HOX65" s="955"/>
      <c r="HOY65" s="955"/>
      <c r="HOZ65" s="820"/>
      <c r="HPA65" s="972"/>
      <c r="HPB65" s="955"/>
      <c r="HPC65" s="950"/>
      <c r="HPD65" s="957"/>
      <c r="HPE65" s="950"/>
      <c r="HPF65" s="950"/>
      <c r="HPG65" s="957"/>
      <c r="HPH65" s="950"/>
      <c r="HPI65" s="950"/>
      <c r="HPJ65" s="653"/>
      <c r="HPK65" s="950"/>
      <c r="HPL65" s="951"/>
      <c r="HPM65" s="952"/>
      <c r="HPN65" s="959"/>
      <c r="HPO65" s="953"/>
      <c r="HPP65" s="954"/>
      <c r="HPQ65" s="955"/>
      <c r="HPR65" s="955"/>
      <c r="HPS65" s="820"/>
      <c r="HPT65" s="972"/>
      <c r="HPU65" s="955"/>
      <c r="HPV65" s="950"/>
      <c r="HPW65" s="957"/>
      <c r="HPX65" s="950"/>
      <c r="HPY65" s="950"/>
      <c r="HPZ65" s="957"/>
      <c r="HQA65" s="950"/>
      <c r="HQB65" s="950"/>
      <c r="HQC65" s="653"/>
      <c r="HQD65" s="950"/>
      <c r="HQE65" s="951"/>
      <c r="HQF65" s="952"/>
      <c r="HQG65" s="959"/>
      <c r="HQH65" s="953"/>
      <c r="HQI65" s="954"/>
      <c r="HQJ65" s="955"/>
      <c r="HQK65" s="955"/>
      <c r="HQL65" s="820"/>
      <c r="HQM65" s="972"/>
      <c r="HQN65" s="955"/>
      <c r="HQO65" s="950"/>
      <c r="HQP65" s="957"/>
      <c r="HQQ65" s="950"/>
      <c r="HQR65" s="950"/>
      <c r="HQS65" s="957"/>
      <c r="HQT65" s="950"/>
      <c r="HQU65" s="950"/>
      <c r="HQV65" s="653"/>
      <c r="HQW65" s="950"/>
      <c r="HQX65" s="951"/>
      <c r="HQY65" s="952"/>
      <c r="HQZ65" s="959"/>
      <c r="HRA65" s="953"/>
      <c r="HRB65" s="954"/>
      <c r="HRC65" s="955"/>
      <c r="HRD65" s="955"/>
      <c r="HRE65" s="820"/>
      <c r="HRF65" s="972"/>
      <c r="HRG65" s="955"/>
      <c r="HRH65" s="950"/>
      <c r="HRI65" s="957"/>
      <c r="HRJ65" s="950"/>
      <c r="HRK65" s="950"/>
      <c r="HRL65" s="957"/>
      <c r="HRM65" s="950"/>
      <c r="HRN65" s="950"/>
      <c r="HRO65" s="653"/>
      <c r="HRP65" s="950"/>
      <c r="HRQ65" s="951"/>
      <c r="HRR65" s="952"/>
      <c r="HRS65" s="959"/>
      <c r="HRT65" s="953"/>
      <c r="HRU65" s="954"/>
      <c r="HRV65" s="955"/>
      <c r="HRW65" s="955"/>
      <c r="HRX65" s="820"/>
      <c r="HRY65" s="972"/>
      <c r="HRZ65" s="955"/>
      <c r="HSA65" s="950"/>
      <c r="HSB65" s="957"/>
      <c r="HSC65" s="950"/>
      <c r="HSD65" s="950"/>
      <c r="HSE65" s="957"/>
      <c r="HSF65" s="950"/>
      <c r="HSG65" s="950"/>
      <c r="HSH65" s="653"/>
      <c r="HSI65" s="950"/>
      <c r="HSJ65" s="951"/>
      <c r="HSK65" s="952"/>
      <c r="HSL65" s="959"/>
      <c r="HSM65" s="953"/>
      <c r="HSN65" s="954"/>
      <c r="HSO65" s="955"/>
      <c r="HSP65" s="955"/>
      <c r="HSQ65" s="820"/>
      <c r="HSR65" s="972"/>
      <c r="HSS65" s="955"/>
      <c r="HST65" s="950"/>
      <c r="HSU65" s="957"/>
      <c r="HSV65" s="950"/>
      <c r="HSW65" s="950"/>
      <c r="HSX65" s="957"/>
      <c r="HSY65" s="950"/>
      <c r="HSZ65" s="950"/>
      <c r="HTA65" s="653"/>
      <c r="HTB65" s="950"/>
      <c r="HTC65" s="951"/>
      <c r="HTD65" s="952"/>
      <c r="HTE65" s="959"/>
      <c r="HTF65" s="953"/>
      <c r="HTG65" s="954"/>
      <c r="HTH65" s="955"/>
      <c r="HTI65" s="955"/>
      <c r="HTJ65" s="820"/>
      <c r="HTK65" s="972"/>
      <c r="HTL65" s="955"/>
      <c r="HTM65" s="950"/>
      <c r="HTN65" s="957"/>
      <c r="HTO65" s="950"/>
      <c r="HTP65" s="950"/>
      <c r="HTQ65" s="957"/>
      <c r="HTR65" s="950"/>
      <c r="HTS65" s="950"/>
      <c r="HTT65" s="653"/>
      <c r="HTU65" s="950"/>
      <c r="HTV65" s="951"/>
      <c r="HTW65" s="952"/>
      <c r="HTX65" s="959"/>
      <c r="HTY65" s="953"/>
      <c r="HTZ65" s="954"/>
      <c r="HUA65" s="955"/>
      <c r="HUB65" s="955"/>
      <c r="HUC65" s="820"/>
      <c r="HUD65" s="972"/>
      <c r="HUE65" s="955"/>
      <c r="HUF65" s="950"/>
      <c r="HUG65" s="957"/>
      <c r="HUH65" s="950"/>
      <c r="HUI65" s="950"/>
      <c r="HUJ65" s="957"/>
      <c r="HUK65" s="950"/>
      <c r="HUL65" s="950"/>
      <c r="HUM65" s="653"/>
      <c r="HUN65" s="950"/>
      <c r="HUO65" s="951"/>
      <c r="HUP65" s="952"/>
      <c r="HUQ65" s="959"/>
      <c r="HUR65" s="953"/>
      <c r="HUS65" s="954"/>
      <c r="HUT65" s="955"/>
      <c r="HUU65" s="955"/>
      <c r="HUV65" s="820"/>
      <c r="HUW65" s="972"/>
      <c r="HUX65" s="955"/>
      <c r="HUY65" s="950"/>
      <c r="HUZ65" s="957"/>
      <c r="HVA65" s="950"/>
      <c r="HVB65" s="950"/>
      <c r="HVC65" s="957"/>
      <c r="HVD65" s="950"/>
      <c r="HVE65" s="950"/>
      <c r="HVF65" s="653"/>
      <c r="HVG65" s="950"/>
      <c r="HVH65" s="951"/>
      <c r="HVI65" s="952"/>
      <c r="HVJ65" s="959"/>
      <c r="HVK65" s="953"/>
      <c r="HVL65" s="954"/>
      <c r="HVM65" s="955"/>
      <c r="HVN65" s="955"/>
      <c r="HVO65" s="820"/>
      <c r="HVP65" s="972"/>
      <c r="HVQ65" s="955"/>
      <c r="HVR65" s="950"/>
      <c r="HVS65" s="957"/>
      <c r="HVT65" s="950"/>
      <c r="HVU65" s="950"/>
      <c r="HVV65" s="957"/>
      <c r="HVW65" s="950"/>
      <c r="HVX65" s="950"/>
      <c r="HVY65" s="653"/>
      <c r="HVZ65" s="950"/>
      <c r="HWA65" s="951"/>
      <c r="HWB65" s="952"/>
      <c r="HWC65" s="959"/>
      <c r="HWD65" s="953"/>
      <c r="HWE65" s="954"/>
      <c r="HWF65" s="955"/>
      <c r="HWG65" s="955"/>
      <c r="HWH65" s="820"/>
      <c r="HWI65" s="972"/>
      <c r="HWJ65" s="955"/>
      <c r="HWK65" s="950"/>
      <c r="HWL65" s="957"/>
      <c r="HWM65" s="950"/>
      <c r="HWN65" s="950"/>
      <c r="HWO65" s="957"/>
      <c r="HWP65" s="950"/>
      <c r="HWQ65" s="950"/>
      <c r="HWR65" s="653"/>
      <c r="HWS65" s="950"/>
      <c r="HWT65" s="951"/>
      <c r="HWU65" s="952"/>
      <c r="HWV65" s="959"/>
      <c r="HWW65" s="953"/>
      <c r="HWX65" s="954"/>
      <c r="HWY65" s="955"/>
      <c r="HWZ65" s="955"/>
      <c r="HXA65" s="820"/>
      <c r="HXB65" s="972"/>
      <c r="HXC65" s="955"/>
      <c r="HXD65" s="950"/>
      <c r="HXE65" s="957"/>
      <c r="HXF65" s="950"/>
      <c r="HXG65" s="950"/>
      <c r="HXH65" s="957"/>
      <c r="HXI65" s="950"/>
      <c r="HXJ65" s="950"/>
      <c r="HXK65" s="653"/>
      <c r="HXL65" s="950"/>
      <c r="HXM65" s="951"/>
      <c r="HXN65" s="952"/>
      <c r="HXO65" s="959"/>
      <c r="HXP65" s="953"/>
      <c r="HXQ65" s="954"/>
      <c r="HXR65" s="955"/>
      <c r="HXS65" s="955"/>
      <c r="HXT65" s="820"/>
      <c r="HXU65" s="972"/>
      <c r="HXV65" s="955"/>
      <c r="HXW65" s="950"/>
      <c r="HXX65" s="957"/>
      <c r="HXY65" s="950"/>
      <c r="HXZ65" s="950"/>
      <c r="HYA65" s="957"/>
      <c r="HYB65" s="950"/>
      <c r="HYC65" s="950"/>
      <c r="HYD65" s="653"/>
      <c r="HYE65" s="950"/>
      <c r="HYF65" s="951"/>
      <c r="HYG65" s="952"/>
      <c r="HYH65" s="959"/>
      <c r="HYI65" s="953"/>
      <c r="HYJ65" s="954"/>
      <c r="HYK65" s="955"/>
      <c r="HYL65" s="955"/>
      <c r="HYM65" s="820"/>
      <c r="HYN65" s="972"/>
      <c r="HYO65" s="955"/>
      <c r="HYP65" s="950"/>
      <c r="HYQ65" s="957"/>
      <c r="HYR65" s="950"/>
      <c r="HYS65" s="950"/>
      <c r="HYT65" s="957"/>
      <c r="HYU65" s="950"/>
      <c r="HYV65" s="950"/>
      <c r="HYW65" s="653"/>
      <c r="HYX65" s="950"/>
      <c r="HYY65" s="951"/>
      <c r="HYZ65" s="952"/>
      <c r="HZA65" s="959"/>
      <c r="HZB65" s="953"/>
      <c r="HZC65" s="954"/>
      <c r="HZD65" s="955"/>
      <c r="HZE65" s="955"/>
      <c r="HZF65" s="820"/>
      <c r="HZG65" s="972"/>
      <c r="HZH65" s="955"/>
      <c r="HZI65" s="950"/>
      <c r="HZJ65" s="957"/>
      <c r="HZK65" s="950"/>
      <c r="HZL65" s="950"/>
      <c r="HZM65" s="957"/>
      <c r="HZN65" s="950"/>
      <c r="HZO65" s="950"/>
      <c r="HZP65" s="653"/>
      <c r="HZQ65" s="950"/>
      <c r="HZR65" s="951"/>
      <c r="HZS65" s="952"/>
      <c r="HZT65" s="959"/>
      <c r="HZU65" s="953"/>
      <c r="HZV65" s="954"/>
      <c r="HZW65" s="955"/>
      <c r="HZX65" s="955"/>
      <c r="HZY65" s="820"/>
      <c r="HZZ65" s="972"/>
      <c r="IAA65" s="955"/>
      <c r="IAB65" s="950"/>
      <c r="IAC65" s="957"/>
      <c r="IAD65" s="950"/>
      <c r="IAE65" s="950"/>
      <c r="IAF65" s="957"/>
      <c r="IAG65" s="950"/>
      <c r="IAH65" s="950"/>
      <c r="IAI65" s="653"/>
      <c r="IAJ65" s="950"/>
      <c r="IAK65" s="951"/>
      <c r="IAL65" s="952"/>
      <c r="IAM65" s="959"/>
      <c r="IAN65" s="953"/>
      <c r="IAO65" s="954"/>
      <c r="IAP65" s="955"/>
      <c r="IAQ65" s="955"/>
      <c r="IAR65" s="820"/>
      <c r="IAS65" s="972"/>
      <c r="IAT65" s="955"/>
      <c r="IAU65" s="950"/>
      <c r="IAV65" s="957"/>
      <c r="IAW65" s="950"/>
      <c r="IAX65" s="950"/>
      <c r="IAY65" s="957"/>
      <c r="IAZ65" s="950"/>
      <c r="IBA65" s="950"/>
      <c r="IBB65" s="653"/>
      <c r="IBC65" s="950"/>
      <c r="IBD65" s="951"/>
      <c r="IBE65" s="952"/>
      <c r="IBF65" s="959"/>
      <c r="IBG65" s="953"/>
      <c r="IBH65" s="954"/>
      <c r="IBI65" s="955"/>
      <c r="IBJ65" s="955"/>
      <c r="IBK65" s="820"/>
      <c r="IBL65" s="972"/>
      <c r="IBM65" s="955"/>
      <c r="IBN65" s="950"/>
      <c r="IBO65" s="957"/>
      <c r="IBP65" s="950"/>
      <c r="IBQ65" s="950"/>
      <c r="IBR65" s="957"/>
      <c r="IBS65" s="950"/>
      <c r="IBT65" s="950"/>
      <c r="IBU65" s="653"/>
      <c r="IBV65" s="950"/>
      <c r="IBW65" s="951"/>
      <c r="IBX65" s="952"/>
      <c r="IBY65" s="959"/>
      <c r="IBZ65" s="953"/>
      <c r="ICA65" s="954"/>
      <c r="ICB65" s="955"/>
      <c r="ICC65" s="955"/>
      <c r="ICD65" s="820"/>
      <c r="ICE65" s="972"/>
      <c r="ICF65" s="955"/>
      <c r="ICG65" s="950"/>
      <c r="ICH65" s="957"/>
      <c r="ICI65" s="950"/>
      <c r="ICJ65" s="950"/>
      <c r="ICK65" s="957"/>
      <c r="ICL65" s="950"/>
      <c r="ICM65" s="950"/>
      <c r="ICN65" s="653"/>
      <c r="ICO65" s="950"/>
      <c r="ICP65" s="951"/>
      <c r="ICQ65" s="952"/>
      <c r="ICR65" s="959"/>
      <c r="ICS65" s="953"/>
      <c r="ICT65" s="954"/>
      <c r="ICU65" s="955"/>
      <c r="ICV65" s="955"/>
      <c r="ICW65" s="820"/>
      <c r="ICX65" s="972"/>
      <c r="ICY65" s="955"/>
      <c r="ICZ65" s="950"/>
      <c r="IDA65" s="957"/>
      <c r="IDB65" s="950"/>
      <c r="IDC65" s="950"/>
      <c r="IDD65" s="957"/>
      <c r="IDE65" s="950"/>
      <c r="IDF65" s="950"/>
      <c r="IDG65" s="653"/>
      <c r="IDH65" s="950"/>
      <c r="IDI65" s="951"/>
      <c r="IDJ65" s="952"/>
      <c r="IDK65" s="959"/>
      <c r="IDL65" s="953"/>
      <c r="IDM65" s="954"/>
      <c r="IDN65" s="955"/>
      <c r="IDO65" s="955"/>
      <c r="IDP65" s="820"/>
      <c r="IDQ65" s="972"/>
      <c r="IDR65" s="955"/>
      <c r="IDS65" s="950"/>
      <c r="IDT65" s="957"/>
      <c r="IDU65" s="950"/>
      <c r="IDV65" s="950"/>
      <c r="IDW65" s="957"/>
      <c r="IDX65" s="950"/>
      <c r="IDY65" s="950"/>
      <c r="IDZ65" s="653"/>
      <c r="IEA65" s="950"/>
      <c r="IEB65" s="951"/>
      <c r="IEC65" s="952"/>
      <c r="IED65" s="959"/>
      <c r="IEE65" s="953"/>
      <c r="IEF65" s="954"/>
      <c r="IEG65" s="955"/>
      <c r="IEH65" s="955"/>
      <c r="IEI65" s="820"/>
      <c r="IEJ65" s="972"/>
      <c r="IEK65" s="955"/>
      <c r="IEL65" s="950"/>
      <c r="IEM65" s="957"/>
      <c r="IEN65" s="950"/>
      <c r="IEO65" s="950"/>
      <c r="IEP65" s="957"/>
      <c r="IEQ65" s="950"/>
      <c r="IER65" s="950"/>
      <c r="IES65" s="653"/>
      <c r="IET65" s="950"/>
      <c r="IEU65" s="951"/>
      <c r="IEV65" s="952"/>
      <c r="IEW65" s="959"/>
      <c r="IEX65" s="953"/>
      <c r="IEY65" s="954"/>
      <c r="IEZ65" s="955"/>
      <c r="IFA65" s="955"/>
      <c r="IFB65" s="820"/>
      <c r="IFC65" s="972"/>
      <c r="IFD65" s="955"/>
      <c r="IFE65" s="950"/>
      <c r="IFF65" s="957"/>
      <c r="IFG65" s="950"/>
      <c r="IFH65" s="950"/>
      <c r="IFI65" s="957"/>
      <c r="IFJ65" s="950"/>
      <c r="IFK65" s="950"/>
      <c r="IFL65" s="653"/>
      <c r="IFM65" s="950"/>
      <c r="IFN65" s="951"/>
      <c r="IFO65" s="952"/>
      <c r="IFP65" s="959"/>
      <c r="IFQ65" s="953"/>
      <c r="IFR65" s="954"/>
      <c r="IFS65" s="955"/>
      <c r="IFT65" s="955"/>
      <c r="IFU65" s="820"/>
      <c r="IFV65" s="972"/>
      <c r="IFW65" s="955"/>
      <c r="IFX65" s="950"/>
      <c r="IFY65" s="957"/>
      <c r="IFZ65" s="950"/>
      <c r="IGA65" s="950"/>
      <c r="IGB65" s="957"/>
      <c r="IGC65" s="950"/>
      <c r="IGD65" s="950"/>
      <c r="IGE65" s="653"/>
      <c r="IGF65" s="950"/>
      <c r="IGG65" s="951"/>
      <c r="IGH65" s="952"/>
      <c r="IGI65" s="959"/>
      <c r="IGJ65" s="953"/>
      <c r="IGK65" s="954"/>
      <c r="IGL65" s="955"/>
      <c r="IGM65" s="955"/>
      <c r="IGN65" s="820"/>
      <c r="IGO65" s="972"/>
      <c r="IGP65" s="955"/>
      <c r="IGQ65" s="950"/>
      <c r="IGR65" s="957"/>
      <c r="IGS65" s="950"/>
      <c r="IGT65" s="950"/>
      <c r="IGU65" s="957"/>
      <c r="IGV65" s="950"/>
      <c r="IGW65" s="950"/>
      <c r="IGX65" s="653"/>
      <c r="IGY65" s="950"/>
      <c r="IGZ65" s="951"/>
      <c r="IHA65" s="952"/>
      <c r="IHB65" s="959"/>
      <c r="IHC65" s="953"/>
      <c r="IHD65" s="954"/>
      <c r="IHE65" s="955"/>
      <c r="IHF65" s="955"/>
      <c r="IHG65" s="820"/>
      <c r="IHH65" s="972"/>
      <c r="IHI65" s="955"/>
      <c r="IHJ65" s="950"/>
      <c r="IHK65" s="957"/>
      <c r="IHL65" s="950"/>
      <c r="IHM65" s="950"/>
      <c r="IHN65" s="957"/>
      <c r="IHO65" s="950"/>
      <c r="IHP65" s="950"/>
      <c r="IHQ65" s="653"/>
      <c r="IHR65" s="950"/>
      <c r="IHS65" s="951"/>
      <c r="IHT65" s="952"/>
      <c r="IHU65" s="959"/>
      <c r="IHV65" s="953"/>
      <c r="IHW65" s="954"/>
      <c r="IHX65" s="955"/>
      <c r="IHY65" s="955"/>
      <c r="IHZ65" s="820"/>
      <c r="IIA65" s="972"/>
      <c r="IIB65" s="955"/>
      <c r="IIC65" s="950"/>
      <c r="IID65" s="957"/>
      <c r="IIE65" s="950"/>
      <c r="IIF65" s="950"/>
      <c r="IIG65" s="957"/>
      <c r="IIH65" s="950"/>
      <c r="III65" s="950"/>
      <c r="IIJ65" s="653"/>
      <c r="IIK65" s="950"/>
      <c r="IIL65" s="951"/>
      <c r="IIM65" s="952"/>
      <c r="IIN65" s="959"/>
      <c r="IIO65" s="953"/>
      <c r="IIP65" s="954"/>
      <c r="IIQ65" s="955"/>
      <c r="IIR65" s="955"/>
      <c r="IIS65" s="820"/>
      <c r="IIT65" s="972"/>
      <c r="IIU65" s="955"/>
      <c r="IIV65" s="950"/>
      <c r="IIW65" s="957"/>
      <c r="IIX65" s="950"/>
      <c r="IIY65" s="950"/>
      <c r="IIZ65" s="957"/>
      <c r="IJA65" s="950"/>
      <c r="IJB65" s="950"/>
      <c r="IJC65" s="653"/>
      <c r="IJD65" s="950"/>
      <c r="IJE65" s="951"/>
      <c r="IJF65" s="952"/>
      <c r="IJG65" s="959"/>
      <c r="IJH65" s="953"/>
      <c r="IJI65" s="954"/>
      <c r="IJJ65" s="955"/>
      <c r="IJK65" s="955"/>
      <c r="IJL65" s="820"/>
      <c r="IJM65" s="972"/>
      <c r="IJN65" s="955"/>
      <c r="IJO65" s="950"/>
      <c r="IJP65" s="957"/>
      <c r="IJQ65" s="950"/>
      <c r="IJR65" s="950"/>
      <c r="IJS65" s="957"/>
      <c r="IJT65" s="950"/>
      <c r="IJU65" s="950"/>
      <c r="IJV65" s="653"/>
      <c r="IJW65" s="950"/>
      <c r="IJX65" s="951"/>
      <c r="IJY65" s="952"/>
      <c r="IJZ65" s="959"/>
      <c r="IKA65" s="953"/>
      <c r="IKB65" s="954"/>
      <c r="IKC65" s="955"/>
      <c r="IKD65" s="955"/>
      <c r="IKE65" s="820"/>
      <c r="IKF65" s="972"/>
      <c r="IKG65" s="955"/>
      <c r="IKH65" s="950"/>
      <c r="IKI65" s="957"/>
      <c r="IKJ65" s="950"/>
      <c r="IKK65" s="950"/>
      <c r="IKL65" s="957"/>
      <c r="IKM65" s="950"/>
      <c r="IKN65" s="950"/>
      <c r="IKO65" s="653"/>
      <c r="IKP65" s="950"/>
      <c r="IKQ65" s="951"/>
      <c r="IKR65" s="952"/>
      <c r="IKS65" s="959"/>
      <c r="IKT65" s="953"/>
      <c r="IKU65" s="954"/>
      <c r="IKV65" s="955"/>
      <c r="IKW65" s="955"/>
      <c r="IKX65" s="820"/>
      <c r="IKY65" s="972"/>
      <c r="IKZ65" s="955"/>
      <c r="ILA65" s="950"/>
      <c r="ILB65" s="957"/>
      <c r="ILC65" s="950"/>
      <c r="ILD65" s="950"/>
      <c r="ILE65" s="957"/>
      <c r="ILF65" s="950"/>
      <c r="ILG65" s="950"/>
      <c r="ILH65" s="653"/>
      <c r="ILI65" s="950"/>
      <c r="ILJ65" s="951"/>
      <c r="ILK65" s="952"/>
      <c r="ILL65" s="959"/>
      <c r="ILM65" s="953"/>
      <c r="ILN65" s="954"/>
      <c r="ILO65" s="955"/>
      <c r="ILP65" s="955"/>
      <c r="ILQ65" s="820"/>
      <c r="ILR65" s="972"/>
      <c r="ILS65" s="955"/>
      <c r="ILT65" s="950"/>
      <c r="ILU65" s="957"/>
      <c r="ILV65" s="950"/>
      <c r="ILW65" s="950"/>
      <c r="ILX65" s="957"/>
      <c r="ILY65" s="950"/>
      <c r="ILZ65" s="950"/>
      <c r="IMA65" s="653"/>
      <c r="IMB65" s="950"/>
      <c r="IMC65" s="951"/>
      <c r="IMD65" s="952"/>
      <c r="IME65" s="959"/>
      <c r="IMF65" s="953"/>
      <c r="IMG65" s="954"/>
      <c r="IMH65" s="955"/>
      <c r="IMI65" s="955"/>
      <c r="IMJ65" s="820"/>
      <c r="IMK65" s="972"/>
      <c r="IML65" s="955"/>
      <c r="IMM65" s="950"/>
      <c r="IMN65" s="957"/>
      <c r="IMO65" s="950"/>
      <c r="IMP65" s="950"/>
      <c r="IMQ65" s="957"/>
      <c r="IMR65" s="950"/>
      <c r="IMS65" s="950"/>
      <c r="IMT65" s="653"/>
      <c r="IMU65" s="950"/>
      <c r="IMV65" s="951"/>
      <c r="IMW65" s="952"/>
      <c r="IMX65" s="959"/>
      <c r="IMY65" s="953"/>
      <c r="IMZ65" s="954"/>
      <c r="INA65" s="955"/>
      <c r="INB65" s="955"/>
      <c r="INC65" s="820"/>
      <c r="IND65" s="972"/>
      <c r="INE65" s="955"/>
      <c r="INF65" s="950"/>
      <c r="ING65" s="957"/>
      <c r="INH65" s="950"/>
      <c r="INI65" s="950"/>
      <c r="INJ65" s="957"/>
      <c r="INK65" s="950"/>
      <c r="INL65" s="950"/>
      <c r="INM65" s="653"/>
      <c r="INN65" s="950"/>
      <c r="INO65" s="951"/>
      <c r="INP65" s="952"/>
      <c r="INQ65" s="959"/>
      <c r="INR65" s="953"/>
      <c r="INS65" s="954"/>
      <c r="INT65" s="955"/>
      <c r="INU65" s="955"/>
      <c r="INV65" s="820"/>
      <c r="INW65" s="972"/>
      <c r="INX65" s="955"/>
      <c r="INY65" s="950"/>
      <c r="INZ65" s="957"/>
      <c r="IOA65" s="950"/>
      <c r="IOB65" s="950"/>
      <c r="IOC65" s="957"/>
      <c r="IOD65" s="950"/>
      <c r="IOE65" s="950"/>
      <c r="IOF65" s="653"/>
      <c r="IOG65" s="950"/>
      <c r="IOH65" s="951"/>
      <c r="IOI65" s="952"/>
      <c r="IOJ65" s="959"/>
      <c r="IOK65" s="953"/>
      <c r="IOL65" s="954"/>
      <c r="IOM65" s="955"/>
      <c r="ION65" s="955"/>
      <c r="IOO65" s="820"/>
      <c r="IOP65" s="972"/>
      <c r="IOQ65" s="955"/>
      <c r="IOR65" s="950"/>
      <c r="IOS65" s="957"/>
      <c r="IOT65" s="950"/>
      <c r="IOU65" s="950"/>
      <c r="IOV65" s="957"/>
      <c r="IOW65" s="950"/>
      <c r="IOX65" s="950"/>
      <c r="IOY65" s="653"/>
      <c r="IOZ65" s="950"/>
      <c r="IPA65" s="951"/>
      <c r="IPB65" s="952"/>
      <c r="IPC65" s="959"/>
      <c r="IPD65" s="953"/>
      <c r="IPE65" s="954"/>
      <c r="IPF65" s="955"/>
      <c r="IPG65" s="955"/>
      <c r="IPH65" s="820"/>
      <c r="IPI65" s="972"/>
      <c r="IPJ65" s="955"/>
      <c r="IPK65" s="950"/>
      <c r="IPL65" s="957"/>
      <c r="IPM65" s="950"/>
      <c r="IPN65" s="950"/>
      <c r="IPO65" s="957"/>
      <c r="IPP65" s="950"/>
      <c r="IPQ65" s="950"/>
      <c r="IPR65" s="653"/>
      <c r="IPS65" s="950"/>
      <c r="IPT65" s="951"/>
      <c r="IPU65" s="952"/>
      <c r="IPV65" s="959"/>
      <c r="IPW65" s="953"/>
      <c r="IPX65" s="954"/>
      <c r="IPY65" s="955"/>
      <c r="IPZ65" s="955"/>
      <c r="IQA65" s="820"/>
      <c r="IQB65" s="972"/>
      <c r="IQC65" s="955"/>
      <c r="IQD65" s="950"/>
      <c r="IQE65" s="957"/>
      <c r="IQF65" s="950"/>
      <c r="IQG65" s="950"/>
      <c r="IQH65" s="957"/>
      <c r="IQI65" s="950"/>
      <c r="IQJ65" s="950"/>
      <c r="IQK65" s="653"/>
      <c r="IQL65" s="950"/>
      <c r="IQM65" s="951"/>
      <c r="IQN65" s="952"/>
      <c r="IQO65" s="959"/>
      <c r="IQP65" s="953"/>
      <c r="IQQ65" s="954"/>
      <c r="IQR65" s="955"/>
      <c r="IQS65" s="955"/>
      <c r="IQT65" s="820"/>
      <c r="IQU65" s="972"/>
      <c r="IQV65" s="955"/>
      <c r="IQW65" s="950"/>
      <c r="IQX65" s="957"/>
      <c r="IQY65" s="950"/>
      <c r="IQZ65" s="950"/>
      <c r="IRA65" s="957"/>
      <c r="IRB65" s="950"/>
      <c r="IRC65" s="950"/>
      <c r="IRD65" s="653"/>
      <c r="IRE65" s="950"/>
      <c r="IRF65" s="951"/>
      <c r="IRG65" s="952"/>
      <c r="IRH65" s="959"/>
      <c r="IRI65" s="953"/>
      <c r="IRJ65" s="954"/>
      <c r="IRK65" s="955"/>
      <c r="IRL65" s="955"/>
      <c r="IRM65" s="820"/>
      <c r="IRN65" s="972"/>
      <c r="IRO65" s="955"/>
      <c r="IRP65" s="950"/>
      <c r="IRQ65" s="957"/>
      <c r="IRR65" s="950"/>
      <c r="IRS65" s="950"/>
      <c r="IRT65" s="957"/>
      <c r="IRU65" s="950"/>
      <c r="IRV65" s="950"/>
      <c r="IRW65" s="653"/>
      <c r="IRX65" s="950"/>
      <c r="IRY65" s="951"/>
      <c r="IRZ65" s="952"/>
      <c r="ISA65" s="959"/>
      <c r="ISB65" s="953"/>
      <c r="ISC65" s="954"/>
      <c r="ISD65" s="955"/>
      <c r="ISE65" s="955"/>
      <c r="ISF65" s="820"/>
      <c r="ISG65" s="972"/>
      <c r="ISH65" s="955"/>
      <c r="ISI65" s="950"/>
      <c r="ISJ65" s="957"/>
      <c r="ISK65" s="950"/>
      <c r="ISL65" s="950"/>
      <c r="ISM65" s="957"/>
      <c r="ISN65" s="950"/>
      <c r="ISO65" s="950"/>
      <c r="ISP65" s="653"/>
      <c r="ISQ65" s="950"/>
      <c r="ISR65" s="951"/>
      <c r="ISS65" s="952"/>
      <c r="IST65" s="959"/>
      <c r="ISU65" s="953"/>
      <c r="ISV65" s="954"/>
      <c r="ISW65" s="955"/>
      <c r="ISX65" s="955"/>
      <c r="ISY65" s="820"/>
      <c r="ISZ65" s="972"/>
      <c r="ITA65" s="955"/>
      <c r="ITB65" s="950"/>
      <c r="ITC65" s="957"/>
      <c r="ITD65" s="950"/>
      <c r="ITE65" s="950"/>
      <c r="ITF65" s="957"/>
      <c r="ITG65" s="950"/>
      <c r="ITH65" s="950"/>
      <c r="ITI65" s="653"/>
      <c r="ITJ65" s="950"/>
      <c r="ITK65" s="951"/>
      <c r="ITL65" s="952"/>
      <c r="ITM65" s="959"/>
      <c r="ITN65" s="953"/>
      <c r="ITO65" s="954"/>
      <c r="ITP65" s="955"/>
      <c r="ITQ65" s="955"/>
      <c r="ITR65" s="820"/>
      <c r="ITS65" s="972"/>
      <c r="ITT65" s="955"/>
      <c r="ITU65" s="950"/>
      <c r="ITV65" s="957"/>
      <c r="ITW65" s="950"/>
      <c r="ITX65" s="950"/>
      <c r="ITY65" s="957"/>
      <c r="ITZ65" s="950"/>
      <c r="IUA65" s="950"/>
      <c r="IUB65" s="653"/>
      <c r="IUC65" s="950"/>
      <c r="IUD65" s="951"/>
      <c r="IUE65" s="952"/>
      <c r="IUF65" s="959"/>
      <c r="IUG65" s="953"/>
      <c r="IUH65" s="954"/>
      <c r="IUI65" s="955"/>
      <c r="IUJ65" s="955"/>
      <c r="IUK65" s="820"/>
      <c r="IUL65" s="972"/>
      <c r="IUM65" s="955"/>
      <c r="IUN65" s="950"/>
      <c r="IUO65" s="957"/>
      <c r="IUP65" s="950"/>
      <c r="IUQ65" s="950"/>
      <c r="IUR65" s="957"/>
      <c r="IUS65" s="950"/>
      <c r="IUT65" s="950"/>
      <c r="IUU65" s="653"/>
      <c r="IUV65" s="950"/>
      <c r="IUW65" s="951"/>
      <c r="IUX65" s="952"/>
      <c r="IUY65" s="959"/>
      <c r="IUZ65" s="953"/>
      <c r="IVA65" s="954"/>
      <c r="IVB65" s="955"/>
      <c r="IVC65" s="955"/>
      <c r="IVD65" s="820"/>
      <c r="IVE65" s="972"/>
      <c r="IVF65" s="955"/>
      <c r="IVG65" s="950"/>
      <c r="IVH65" s="957"/>
      <c r="IVI65" s="950"/>
      <c r="IVJ65" s="950"/>
      <c r="IVK65" s="957"/>
      <c r="IVL65" s="950"/>
      <c r="IVM65" s="950"/>
      <c r="IVN65" s="653"/>
      <c r="IVO65" s="950"/>
      <c r="IVP65" s="951"/>
      <c r="IVQ65" s="952"/>
      <c r="IVR65" s="959"/>
      <c r="IVS65" s="953"/>
      <c r="IVT65" s="954"/>
      <c r="IVU65" s="955"/>
      <c r="IVV65" s="955"/>
      <c r="IVW65" s="820"/>
      <c r="IVX65" s="972"/>
      <c r="IVY65" s="955"/>
      <c r="IVZ65" s="950"/>
      <c r="IWA65" s="957"/>
      <c r="IWB65" s="950"/>
      <c r="IWC65" s="950"/>
      <c r="IWD65" s="957"/>
      <c r="IWE65" s="950"/>
      <c r="IWF65" s="950"/>
      <c r="IWG65" s="653"/>
      <c r="IWH65" s="950"/>
      <c r="IWI65" s="951"/>
      <c r="IWJ65" s="952"/>
      <c r="IWK65" s="959"/>
      <c r="IWL65" s="953"/>
      <c r="IWM65" s="954"/>
      <c r="IWN65" s="955"/>
      <c r="IWO65" s="955"/>
      <c r="IWP65" s="820"/>
      <c r="IWQ65" s="972"/>
      <c r="IWR65" s="955"/>
      <c r="IWS65" s="950"/>
      <c r="IWT65" s="957"/>
      <c r="IWU65" s="950"/>
      <c r="IWV65" s="950"/>
      <c r="IWW65" s="957"/>
      <c r="IWX65" s="950"/>
      <c r="IWY65" s="950"/>
      <c r="IWZ65" s="653"/>
      <c r="IXA65" s="950"/>
      <c r="IXB65" s="951"/>
      <c r="IXC65" s="952"/>
      <c r="IXD65" s="959"/>
      <c r="IXE65" s="953"/>
      <c r="IXF65" s="954"/>
      <c r="IXG65" s="955"/>
      <c r="IXH65" s="955"/>
      <c r="IXI65" s="820"/>
      <c r="IXJ65" s="972"/>
      <c r="IXK65" s="955"/>
      <c r="IXL65" s="950"/>
      <c r="IXM65" s="957"/>
      <c r="IXN65" s="950"/>
      <c r="IXO65" s="950"/>
      <c r="IXP65" s="957"/>
      <c r="IXQ65" s="950"/>
      <c r="IXR65" s="950"/>
      <c r="IXS65" s="653"/>
      <c r="IXT65" s="950"/>
      <c r="IXU65" s="951"/>
      <c r="IXV65" s="952"/>
      <c r="IXW65" s="959"/>
      <c r="IXX65" s="953"/>
      <c r="IXY65" s="954"/>
      <c r="IXZ65" s="955"/>
      <c r="IYA65" s="955"/>
      <c r="IYB65" s="820"/>
      <c r="IYC65" s="972"/>
      <c r="IYD65" s="955"/>
      <c r="IYE65" s="950"/>
      <c r="IYF65" s="957"/>
      <c r="IYG65" s="950"/>
      <c r="IYH65" s="950"/>
      <c r="IYI65" s="957"/>
      <c r="IYJ65" s="950"/>
      <c r="IYK65" s="950"/>
      <c r="IYL65" s="653"/>
      <c r="IYM65" s="950"/>
      <c r="IYN65" s="951"/>
      <c r="IYO65" s="952"/>
      <c r="IYP65" s="959"/>
      <c r="IYQ65" s="953"/>
      <c r="IYR65" s="954"/>
      <c r="IYS65" s="955"/>
      <c r="IYT65" s="955"/>
      <c r="IYU65" s="820"/>
      <c r="IYV65" s="972"/>
      <c r="IYW65" s="955"/>
      <c r="IYX65" s="950"/>
      <c r="IYY65" s="957"/>
      <c r="IYZ65" s="950"/>
      <c r="IZA65" s="950"/>
      <c r="IZB65" s="957"/>
      <c r="IZC65" s="950"/>
      <c r="IZD65" s="950"/>
      <c r="IZE65" s="653"/>
      <c r="IZF65" s="950"/>
      <c r="IZG65" s="951"/>
      <c r="IZH65" s="952"/>
      <c r="IZI65" s="959"/>
      <c r="IZJ65" s="953"/>
      <c r="IZK65" s="954"/>
      <c r="IZL65" s="955"/>
      <c r="IZM65" s="955"/>
      <c r="IZN65" s="820"/>
      <c r="IZO65" s="972"/>
      <c r="IZP65" s="955"/>
      <c r="IZQ65" s="950"/>
      <c r="IZR65" s="957"/>
      <c r="IZS65" s="950"/>
      <c r="IZT65" s="950"/>
      <c r="IZU65" s="957"/>
      <c r="IZV65" s="950"/>
      <c r="IZW65" s="950"/>
      <c r="IZX65" s="653"/>
      <c r="IZY65" s="950"/>
      <c r="IZZ65" s="951"/>
      <c r="JAA65" s="952"/>
      <c r="JAB65" s="959"/>
      <c r="JAC65" s="953"/>
      <c r="JAD65" s="954"/>
      <c r="JAE65" s="955"/>
      <c r="JAF65" s="955"/>
      <c r="JAG65" s="820"/>
      <c r="JAH65" s="972"/>
      <c r="JAI65" s="955"/>
      <c r="JAJ65" s="950"/>
      <c r="JAK65" s="957"/>
      <c r="JAL65" s="950"/>
      <c r="JAM65" s="950"/>
      <c r="JAN65" s="957"/>
      <c r="JAO65" s="950"/>
      <c r="JAP65" s="950"/>
      <c r="JAQ65" s="653"/>
      <c r="JAR65" s="950"/>
      <c r="JAS65" s="951"/>
      <c r="JAT65" s="952"/>
      <c r="JAU65" s="959"/>
      <c r="JAV65" s="953"/>
      <c r="JAW65" s="954"/>
      <c r="JAX65" s="955"/>
      <c r="JAY65" s="955"/>
      <c r="JAZ65" s="820"/>
      <c r="JBA65" s="972"/>
      <c r="JBB65" s="955"/>
      <c r="JBC65" s="950"/>
      <c r="JBD65" s="957"/>
      <c r="JBE65" s="950"/>
      <c r="JBF65" s="950"/>
      <c r="JBG65" s="957"/>
      <c r="JBH65" s="950"/>
      <c r="JBI65" s="950"/>
      <c r="JBJ65" s="653"/>
      <c r="JBK65" s="950"/>
      <c r="JBL65" s="951"/>
      <c r="JBM65" s="952"/>
      <c r="JBN65" s="959"/>
      <c r="JBO65" s="953"/>
      <c r="JBP65" s="954"/>
      <c r="JBQ65" s="955"/>
      <c r="JBR65" s="955"/>
      <c r="JBS65" s="820"/>
      <c r="JBT65" s="972"/>
      <c r="JBU65" s="955"/>
      <c r="JBV65" s="950"/>
      <c r="JBW65" s="957"/>
      <c r="JBX65" s="950"/>
      <c r="JBY65" s="950"/>
      <c r="JBZ65" s="957"/>
      <c r="JCA65" s="950"/>
      <c r="JCB65" s="950"/>
      <c r="JCC65" s="653"/>
      <c r="JCD65" s="950"/>
      <c r="JCE65" s="951"/>
      <c r="JCF65" s="952"/>
      <c r="JCG65" s="959"/>
      <c r="JCH65" s="953"/>
      <c r="JCI65" s="954"/>
      <c r="JCJ65" s="955"/>
      <c r="JCK65" s="955"/>
      <c r="JCL65" s="820"/>
      <c r="JCM65" s="972"/>
      <c r="JCN65" s="955"/>
      <c r="JCO65" s="950"/>
      <c r="JCP65" s="957"/>
      <c r="JCQ65" s="950"/>
      <c r="JCR65" s="950"/>
      <c r="JCS65" s="957"/>
      <c r="JCT65" s="950"/>
      <c r="JCU65" s="950"/>
      <c r="JCV65" s="653"/>
      <c r="JCW65" s="950"/>
      <c r="JCX65" s="951"/>
      <c r="JCY65" s="952"/>
      <c r="JCZ65" s="959"/>
      <c r="JDA65" s="953"/>
      <c r="JDB65" s="954"/>
      <c r="JDC65" s="955"/>
      <c r="JDD65" s="955"/>
      <c r="JDE65" s="820"/>
      <c r="JDF65" s="972"/>
      <c r="JDG65" s="955"/>
      <c r="JDH65" s="950"/>
      <c r="JDI65" s="957"/>
      <c r="JDJ65" s="950"/>
      <c r="JDK65" s="950"/>
      <c r="JDL65" s="957"/>
      <c r="JDM65" s="950"/>
      <c r="JDN65" s="950"/>
      <c r="JDO65" s="653"/>
      <c r="JDP65" s="950"/>
      <c r="JDQ65" s="951"/>
      <c r="JDR65" s="952"/>
      <c r="JDS65" s="959"/>
      <c r="JDT65" s="953"/>
      <c r="JDU65" s="954"/>
      <c r="JDV65" s="955"/>
      <c r="JDW65" s="955"/>
      <c r="JDX65" s="820"/>
      <c r="JDY65" s="972"/>
      <c r="JDZ65" s="955"/>
      <c r="JEA65" s="950"/>
      <c r="JEB65" s="957"/>
      <c r="JEC65" s="950"/>
      <c r="JED65" s="950"/>
      <c r="JEE65" s="957"/>
      <c r="JEF65" s="950"/>
      <c r="JEG65" s="950"/>
      <c r="JEH65" s="653"/>
      <c r="JEI65" s="950"/>
      <c r="JEJ65" s="951"/>
      <c r="JEK65" s="952"/>
      <c r="JEL65" s="959"/>
      <c r="JEM65" s="953"/>
      <c r="JEN65" s="954"/>
      <c r="JEO65" s="955"/>
      <c r="JEP65" s="955"/>
      <c r="JEQ65" s="820"/>
      <c r="JER65" s="972"/>
      <c r="JES65" s="955"/>
      <c r="JET65" s="950"/>
      <c r="JEU65" s="957"/>
      <c r="JEV65" s="950"/>
      <c r="JEW65" s="950"/>
      <c r="JEX65" s="957"/>
      <c r="JEY65" s="950"/>
      <c r="JEZ65" s="950"/>
      <c r="JFA65" s="653"/>
      <c r="JFB65" s="950"/>
      <c r="JFC65" s="951"/>
      <c r="JFD65" s="952"/>
      <c r="JFE65" s="959"/>
      <c r="JFF65" s="953"/>
      <c r="JFG65" s="954"/>
      <c r="JFH65" s="955"/>
      <c r="JFI65" s="955"/>
      <c r="JFJ65" s="820"/>
      <c r="JFK65" s="972"/>
      <c r="JFL65" s="955"/>
      <c r="JFM65" s="950"/>
      <c r="JFN65" s="957"/>
      <c r="JFO65" s="950"/>
      <c r="JFP65" s="950"/>
      <c r="JFQ65" s="957"/>
      <c r="JFR65" s="950"/>
      <c r="JFS65" s="950"/>
      <c r="JFT65" s="653"/>
      <c r="JFU65" s="950"/>
      <c r="JFV65" s="951"/>
      <c r="JFW65" s="952"/>
      <c r="JFX65" s="959"/>
      <c r="JFY65" s="953"/>
      <c r="JFZ65" s="954"/>
      <c r="JGA65" s="955"/>
      <c r="JGB65" s="955"/>
      <c r="JGC65" s="820"/>
      <c r="JGD65" s="972"/>
      <c r="JGE65" s="955"/>
      <c r="JGF65" s="950"/>
      <c r="JGG65" s="957"/>
      <c r="JGH65" s="950"/>
      <c r="JGI65" s="950"/>
      <c r="JGJ65" s="957"/>
      <c r="JGK65" s="950"/>
      <c r="JGL65" s="950"/>
      <c r="JGM65" s="653"/>
      <c r="JGN65" s="950"/>
      <c r="JGO65" s="951"/>
      <c r="JGP65" s="952"/>
      <c r="JGQ65" s="959"/>
      <c r="JGR65" s="953"/>
      <c r="JGS65" s="954"/>
      <c r="JGT65" s="955"/>
      <c r="JGU65" s="955"/>
      <c r="JGV65" s="820"/>
      <c r="JGW65" s="972"/>
      <c r="JGX65" s="955"/>
      <c r="JGY65" s="950"/>
      <c r="JGZ65" s="957"/>
      <c r="JHA65" s="950"/>
      <c r="JHB65" s="950"/>
      <c r="JHC65" s="957"/>
      <c r="JHD65" s="950"/>
      <c r="JHE65" s="950"/>
      <c r="JHF65" s="653"/>
      <c r="JHG65" s="950"/>
      <c r="JHH65" s="951"/>
      <c r="JHI65" s="952"/>
      <c r="JHJ65" s="959"/>
      <c r="JHK65" s="953"/>
      <c r="JHL65" s="954"/>
      <c r="JHM65" s="955"/>
      <c r="JHN65" s="955"/>
      <c r="JHO65" s="820"/>
      <c r="JHP65" s="972"/>
      <c r="JHQ65" s="955"/>
      <c r="JHR65" s="950"/>
      <c r="JHS65" s="957"/>
      <c r="JHT65" s="950"/>
      <c r="JHU65" s="950"/>
      <c r="JHV65" s="957"/>
      <c r="JHW65" s="950"/>
      <c r="JHX65" s="950"/>
      <c r="JHY65" s="653"/>
      <c r="JHZ65" s="950"/>
      <c r="JIA65" s="951"/>
      <c r="JIB65" s="952"/>
      <c r="JIC65" s="959"/>
      <c r="JID65" s="953"/>
      <c r="JIE65" s="954"/>
      <c r="JIF65" s="955"/>
      <c r="JIG65" s="955"/>
      <c r="JIH65" s="820"/>
      <c r="JII65" s="972"/>
      <c r="JIJ65" s="955"/>
      <c r="JIK65" s="950"/>
      <c r="JIL65" s="957"/>
      <c r="JIM65" s="950"/>
      <c r="JIN65" s="950"/>
      <c r="JIO65" s="957"/>
      <c r="JIP65" s="950"/>
      <c r="JIQ65" s="950"/>
      <c r="JIR65" s="653"/>
      <c r="JIS65" s="950"/>
      <c r="JIT65" s="951"/>
      <c r="JIU65" s="952"/>
      <c r="JIV65" s="959"/>
      <c r="JIW65" s="953"/>
      <c r="JIX65" s="954"/>
      <c r="JIY65" s="955"/>
      <c r="JIZ65" s="955"/>
      <c r="JJA65" s="820"/>
      <c r="JJB65" s="972"/>
      <c r="JJC65" s="955"/>
      <c r="JJD65" s="950"/>
      <c r="JJE65" s="957"/>
      <c r="JJF65" s="950"/>
      <c r="JJG65" s="950"/>
      <c r="JJH65" s="957"/>
      <c r="JJI65" s="950"/>
      <c r="JJJ65" s="950"/>
      <c r="JJK65" s="653"/>
      <c r="JJL65" s="950"/>
      <c r="JJM65" s="951"/>
      <c r="JJN65" s="952"/>
      <c r="JJO65" s="959"/>
      <c r="JJP65" s="953"/>
      <c r="JJQ65" s="954"/>
      <c r="JJR65" s="955"/>
      <c r="JJS65" s="955"/>
      <c r="JJT65" s="820"/>
      <c r="JJU65" s="972"/>
      <c r="JJV65" s="955"/>
      <c r="JJW65" s="950"/>
      <c r="JJX65" s="957"/>
      <c r="JJY65" s="950"/>
      <c r="JJZ65" s="950"/>
      <c r="JKA65" s="957"/>
      <c r="JKB65" s="950"/>
      <c r="JKC65" s="950"/>
      <c r="JKD65" s="653"/>
      <c r="JKE65" s="950"/>
      <c r="JKF65" s="951"/>
      <c r="JKG65" s="952"/>
      <c r="JKH65" s="959"/>
      <c r="JKI65" s="953"/>
      <c r="JKJ65" s="954"/>
      <c r="JKK65" s="955"/>
      <c r="JKL65" s="955"/>
      <c r="JKM65" s="820"/>
      <c r="JKN65" s="972"/>
      <c r="JKO65" s="955"/>
      <c r="JKP65" s="950"/>
      <c r="JKQ65" s="957"/>
      <c r="JKR65" s="950"/>
      <c r="JKS65" s="950"/>
      <c r="JKT65" s="957"/>
      <c r="JKU65" s="950"/>
      <c r="JKV65" s="950"/>
      <c r="JKW65" s="653"/>
      <c r="JKX65" s="950"/>
      <c r="JKY65" s="951"/>
      <c r="JKZ65" s="952"/>
      <c r="JLA65" s="959"/>
      <c r="JLB65" s="953"/>
      <c r="JLC65" s="954"/>
      <c r="JLD65" s="955"/>
      <c r="JLE65" s="955"/>
      <c r="JLF65" s="820"/>
      <c r="JLG65" s="972"/>
      <c r="JLH65" s="955"/>
      <c r="JLI65" s="950"/>
      <c r="JLJ65" s="957"/>
      <c r="JLK65" s="950"/>
      <c r="JLL65" s="950"/>
      <c r="JLM65" s="957"/>
      <c r="JLN65" s="950"/>
      <c r="JLO65" s="950"/>
      <c r="JLP65" s="653"/>
      <c r="JLQ65" s="950"/>
      <c r="JLR65" s="951"/>
      <c r="JLS65" s="952"/>
      <c r="JLT65" s="959"/>
      <c r="JLU65" s="953"/>
      <c r="JLV65" s="954"/>
      <c r="JLW65" s="955"/>
      <c r="JLX65" s="955"/>
      <c r="JLY65" s="820"/>
      <c r="JLZ65" s="972"/>
      <c r="JMA65" s="955"/>
      <c r="JMB65" s="950"/>
      <c r="JMC65" s="957"/>
      <c r="JMD65" s="950"/>
      <c r="JME65" s="950"/>
      <c r="JMF65" s="957"/>
      <c r="JMG65" s="950"/>
      <c r="JMH65" s="950"/>
      <c r="JMI65" s="653"/>
      <c r="JMJ65" s="950"/>
      <c r="JMK65" s="951"/>
      <c r="JML65" s="952"/>
      <c r="JMM65" s="959"/>
      <c r="JMN65" s="953"/>
      <c r="JMO65" s="954"/>
      <c r="JMP65" s="955"/>
      <c r="JMQ65" s="955"/>
      <c r="JMR65" s="820"/>
      <c r="JMS65" s="972"/>
      <c r="JMT65" s="955"/>
      <c r="JMU65" s="950"/>
      <c r="JMV65" s="957"/>
      <c r="JMW65" s="950"/>
      <c r="JMX65" s="950"/>
      <c r="JMY65" s="957"/>
      <c r="JMZ65" s="950"/>
      <c r="JNA65" s="950"/>
      <c r="JNB65" s="653"/>
      <c r="JNC65" s="950"/>
      <c r="JND65" s="951"/>
      <c r="JNE65" s="952"/>
      <c r="JNF65" s="959"/>
      <c r="JNG65" s="953"/>
      <c r="JNH65" s="954"/>
      <c r="JNI65" s="955"/>
      <c r="JNJ65" s="955"/>
      <c r="JNK65" s="820"/>
      <c r="JNL65" s="972"/>
      <c r="JNM65" s="955"/>
      <c r="JNN65" s="950"/>
      <c r="JNO65" s="957"/>
      <c r="JNP65" s="950"/>
      <c r="JNQ65" s="950"/>
      <c r="JNR65" s="957"/>
      <c r="JNS65" s="950"/>
      <c r="JNT65" s="950"/>
      <c r="JNU65" s="653"/>
      <c r="JNV65" s="950"/>
      <c r="JNW65" s="951"/>
      <c r="JNX65" s="952"/>
      <c r="JNY65" s="959"/>
      <c r="JNZ65" s="953"/>
      <c r="JOA65" s="954"/>
      <c r="JOB65" s="955"/>
      <c r="JOC65" s="955"/>
      <c r="JOD65" s="820"/>
      <c r="JOE65" s="972"/>
      <c r="JOF65" s="955"/>
      <c r="JOG65" s="950"/>
      <c r="JOH65" s="957"/>
      <c r="JOI65" s="950"/>
      <c r="JOJ65" s="950"/>
      <c r="JOK65" s="957"/>
      <c r="JOL65" s="950"/>
      <c r="JOM65" s="950"/>
      <c r="JON65" s="653"/>
      <c r="JOO65" s="950"/>
      <c r="JOP65" s="951"/>
      <c r="JOQ65" s="952"/>
      <c r="JOR65" s="959"/>
      <c r="JOS65" s="953"/>
      <c r="JOT65" s="954"/>
      <c r="JOU65" s="955"/>
      <c r="JOV65" s="955"/>
      <c r="JOW65" s="820"/>
      <c r="JOX65" s="972"/>
      <c r="JOY65" s="955"/>
      <c r="JOZ65" s="950"/>
      <c r="JPA65" s="957"/>
      <c r="JPB65" s="950"/>
      <c r="JPC65" s="950"/>
      <c r="JPD65" s="957"/>
      <c r="JPE65" s="950"/>
      <c r="JPF65" s="950"/>
      <c r="JPG65" s="653"/>
      <c r="JPH65" s="950"/>
      <c r="JPI65" s="951"/>
      <c r="JPJ65" s="952"/>
      <c r="JPK65" s="959"/>
      <c r="JPL65" s="953"/>
      <c r="JPM65" s="954"/>
      <c r="JPN65" s="955"/>
      <c r="JPO65" s="955"/>
      <c r="JPP65" s="820"/>
      <c r="JPQ65" s="972"/>
      <c r="JPR65" s="955"/>
      <c r="JPS65" s="950"/>
      <c r="JPT65" s="957"/>
      <c r="JPU65" s="950"/>
      <c r="JPV65" s="950"/>
      <c r="JPW65" s="957"/>
      <c r="JPX65" s="950"/>
      <c r="JPY65" s="950"/>
      <c r="JPZ65" s="653"/>
      <c r="JQA65" s="950"/>
      <c r="JQB65" s="951"/>
      <c r="JQC65" s="952"/>
      <c r="JQD65" s="959"/>
      <c r="JQE65" s="953"/>
      <c r="JQF65" s="954"/>
      <c r="JQG65" s="955"/>
      <c r="JQH65" s="955"/>
      <c r="JQI65" s="820"/>
      <c r="JQJ65" s="972"/>
      <c r="JQK65" s="955"/>
      <c r="JQL65" s="950"/>
      <c r="JQM65" s="957"/>
      <c r="JQN65" s="950"/>
      <c r="JQO65" s="950"/>
      <c r="JQP65" s="957"/>
      <c r="JQQ65" s="950"/>
      <c r="JQR65" s="950"/>
      <c r="JQS65" s="653"/>
      <c r="JQT65" s="950"/>
      <c r="JQU65" s="951"/>
      <c r="JQV65" s="952"/>
      <c r="JQW65" s="959"/>
      <c r="JQX65" s="953"/>
      <c r="JQY65" s="954"/>
      <c r="JQZ65" s="955"/>
      <c r="JRA65" s="955"/>
      <c r="JRB65" s="820"/>
      <c r="JRC65" s="972"/>
      <c r="JRD65" s="955"/>
      <c r="JRE65" s="950"/>
      <c r="JRF65" s="957"/>
      <c r="JRG65" s="950"/>
      <c r="JRH65" s="950"/>
      <c r="JRI65" s="957"/>
      <c r="JRJ65" s="950"/>
      <c r="JRK65" s="950"/>
      <c r="JRL65" s="653"/>
      <c r="JRM65" s="950"/>
      <c r="JRN65" s="951"/>
      <c r="JRO65" s="952"/>
      <c r="JRP65" s="959"/>
      <c r="JRQ65" s="953"/>
      <c r="JRR65" s="954"/>
      <c r="JRS65" s="955"/>
      <c r="JRT65" s="955"/>
      <c r="JRU65" s="820"/>
      <c r="JRV65" s="972"/>
      <c r="JRW65" s="955"/>
      <c r="JRX65" s="950"/>
      <c r="JRY65" s="957"/>
      <c r="JRZ65" s="950"/>
      <c r="JSA65" s="950"/>
      <c r="JSB65" s="957"/>
      <c r="JSC65" s="950"/>
      <c r="JSD65" s="950"/>
      <c r="JSE65" s="653"/>
      <c r="JSF65" s="950"/>
      <c r="JSG65" s="951"/>
      <c r="JSH65" s="952"/>
      <c r="JSI65" s="959"/>
      <c r="JSJ65" s="953"/>
      <c r="JSK65" s="954"/>
      <c r="JSL65" s="955"/>
      <c r="JSM65" s="955"/>
      <c r="JSN65" s="820"/>
      <c r="JSO65" s="972"/>
      <c r="JSP65" s="955"/>
      <c r="JSQ65" s="950"/>
      <c r="JSR65" s="957"/>
      <c r="JSS65" s="950"/>
      <c r="JST65" s="950"/>
      <c r="JSU65" s="957"/>
      <c r="JSV65" s="950"/>
      <c r="JSW65" s="950"/>
      <c r="JSX65" s="653"/>
      <c r="JSY65" s="950"/>
      <c r="JSZ65" s="951"/>
      <c r="JTA65" s="952"/>
      <c r="JTB65" s="959"/>
      <c r="JTC65" s="953"/>
      <c r="JTD65" s="954"/>
      <c r="JTE65" s="955"/>
      <c r="JTF65" s="955"/>
      <c r="JTG65" s="820"/>
      <c r="JTH65" s="972"/>
      <c r="JTI65" s="955"/>
      <c r="JTJ65" s="950"/>
      <c r="JTK65" s="957"/>
      <c r="JTL65" s="950"/>
      <c r="JTM65" s="950"/>
      <c r="JTN65" s="957"/>
      <c r="JTO65" s="950"/>
      <c r="JTP65" s="950"/>
      <c r="JTQ65" s="653"/>
      <c r="JTR65" s="950"/>
      <c r="JTS65" s="951"/>
      <c r="JTT65" s="952"/>
      <c r="JTU65" s="959"/>
      <c r="JTV65" s="953"/>
      <c r="JTW65" s="954"/>
      <c r="JTX65" s="955"/>
      <c r="JTY65" s="955"/>
      <c r="JTZ65" s="820"/>
      <c r="JUA65" s="972"/>
      <c r="JUB65" s="955"/>
      <c r="JUC65" s="950"/>
      <c r="JUD65" s="957"/>
      <c r="JUE65" s="950"/>
      <c r="JUF65" s="950"/>
      <c r="JUG65" s="957"/>
      <c r="JUH65" s="950"/>
      <c r="JUI65" s="950"/>
      <c r="JUJ65" s="653"/>
      <c r="JUK65" s="950"/>
      <c r="JUL65" s="951"/>
      <c r="JUM65" s="952"/>
      <c r="JUN65" s="959"/>
      <c r="JUO65" s="953"/>
      <c r="JUP65" s="954"/>
      <c r="JUQ65" s="955"/>
      <c r="JUR65" s="955"/>
      <c r="JUS65" s="820"/>
      <c r="JUT65" s="972"/>
      <c r="JUU65" s="955"/>
      <c r="JUV65" s="950"/>
      <c r="JUW65" s="957"/>
      <c r="JUX65" s="950"/>
      <c r="JUY65" s="950"/>
      <c r="JUZ65" s="957"/>
      <c r="JVA65" s="950"/>
      <c r="JVB65" s="950"/>
      <c r="JVC65" s="653"/>
      <c r="JVD65" s="950"/>
      <c r="JVE65" s="951"/>
      <c r="JVF65" s="952"/>
      <c r="JVG65" s="959"/>
      <c r="JVH65" s="953"/>
      <c r="JVI65" s="954"/>
      <c r="JVJ65" s="955"/>
      <c r="JVK65" s="955"/>
      <c r="JVL65" s="820"/>
      <c r="JVM65" s="972"/>
      <c r="JVN65" s="955"/>
      <c r="JVO65" s="950"/>
      <c r="JVP65" s="957"/>
      <c r="JVQ65" s="950"/>
      <c r="JVR65" s="950"/>
      <c r="JVS65" s="957"/>
      <c r="JVT65" s="950"/>
      <c r="JVU65" s="950"/>
      <c r="JVV65" s="653"/>
      <c r="JVW65" s="950"/>
      <c r="JVX65" s="951"/>
      <c r="JVY65" s="952"/>
      <c r="JVZ65" s="959"/>
      <c r="JWA65" s="953"/>
      <c r="JWB65" s="954"/>
      <c r="JWC65" s="955"/>
      <c r="JWD65" s="955"/>
      <c r="JWE65" s="820"/>
      <c r="JWF65" s="972"/>
      <c r="JWG65" s="955"/>
      <c r="JWH65" s="950"/>
      <c r="JWI65" s="957"/>
      <c r="JWJ65" s="950"/>
      <c r="JWK65" s="950"/>
      <c r="JWL65" s="957"/>
      <c r="JWM65" s="950"/>
      <c r="JWN65" s="950"/>
      <c r="JWO65" s="653"/>
      <c r="JWP65" s="950"/>
      <c r="JWQ65" s="951"/>
      <c r="JWR65" s="952"/>
      <c r="JWS65" s="959"/>
      <c r="JWT65" s="953"/>
      <c r="JWU65" s="954"/>
      <c r="JWV65" s="955"/>
      <c r="JWW65" s="955"/>
      <c r="JWX65" s="820"/>
      <c r="JWY65" s="972"/>
      <c r="JWZ65" s="955"/>
      <c r="JXA65" s="950"/>
      <c r="JXB65" s="957"/>
      <c r="JXC65" s="950"/>
      <c r="JXD65" s="950"/>
      <c r="JXE65" s="957"/>
      <c r="JXF65" s="950"/>
      <c r="JXG65" s="950"/>
      <c r="JXH65" s="653"/>
      <c r="JXI65" s="950"/>
      <c r="JXJ65" s="951"/>
      <c r="JXK65" s="952"/>
      <c r="JXL65" s="959"/>
      <c r="JXM65" s="953"/>
      <c r="JXN65" s="954"/>
      <c r="JXO65" s="955"/>
      <c r="JXP65" s="955"/>
      <c r="JXQ65" s="820"/>
      <c r="JXR65" s="972"/>
      <c r="JXS65" s="955"/>
      <c r="JXT65" s="950"/>
      <c r="JXU65" s="957"/>
      <c r="JXV65" s="950"/>
      <c r="JXW65" s="950"/>
      <c r="JXX65" s="957"/>
      <c r="JXY65" s="950"/>
      <c r="JXZ65" s="950"/>
      <c r="JYA65" s="653"/>
      <c r="JYB65" s="950"/>
      <c r="JYC65" s="951"/>
      <c r="JYD65" s="952"/>
      <c r="JYE65" s="959"/>
      <c r="JYF65" s="953"/>
      <c r="JYG65" s="954"/>
      <c r="JYH65" s="955"/>
      <c r="JYI65" s="955"/>
      <c r="JYJ65" s="820"/>
      <c r="JYK65" s="972"/>
      <c r="JYL65" s="955"/>
      <c r="JYM65" s="950"/>
      <c r="JYN65" s="957"/>
      <c r="JYO65" s="950"/>
      <c r="JYP65" s="950"/>
      <c r="JYQ65" s="957"/>
      <c r="JYR65" s="950"/>
      <c r="JYS65" s="950"/>
      <c r="JYT65" s="653"/>
      <c r="JYU65" s="950"/>
      <c r="JYV65" s="951"/>
      <c r="JYW65" s="952"/>
      <c r="JYX65" s="959"/>
      <c r="JYY65" s="953"/>
      <c r="JYZ65" s="954"/>
      <c r="JZA65" s="955"/>
      <c r="JZB65" s="955"/>
      <c r="JZC65" s="820"/>
      <c r="JZD65" s="972"/>
      <c r="JZE65" s="955"/>
      <c r="JZF65" s="950"/>
      <c r="JZG65" s="957"/>
      <c r="JZH65" s="950"/>
      <c r="JZI65" s="950"/>
      <c r="JZJ65" s="957"/>
      <c r="JZK65" s="950"/>
      <c r="JZL65" s="950"/>
      <c r="JZM65" s="653"/>
      <c r="JZN65" s="950"/>
      <c r="JZO65" s="951"/>
      <c r="JZP65" s="952"/>
      <c r="JZQ65" s="959"/>
      <c r="JZR65" s="953"/>
      <c r="JZS65" s="954"/>
      <c r="JZT65" s="955"/>
      <c r="JZU65" s="955"/>
      <c r="JZV65" s="820"/>
      <c r="JZW65" s="972"/>
      <c r="JZX65" s="955"/>
      <c r="JZY65" s="950"/>
      <c r="JZZ65" s="957"/>
      <c r="KAA65" s="950"/>
      <c r="KAB65" s="950"/>
      <c r="KAC65" s="957"/>
      <c r="KAD65" s="950"/>
      <c r="KAE65" s="950"/>
      <c r="KAF65" s="653"/>
      <c r="KAG65" s="950"/>
      <c r="KAH65" s="951"/>
      <c r="KAI65" s="952"/>
      <c r="KAJ65" s="959"/>
      <c r="KAK65" s="953"/>
      <c r="KAL65" s="954"/>
      <c r="KAM65" s="955"/>
      <c r="KAN65" s="955"/>
      <c r="KAO65" s="820"/>
      <c r="KAP65" s="972"/>
      <c r="KAQ65" s="955"/>
      <c r="KAR65" s="950"/>
      <c r="KAS65" s="957"/>
      <c r="KAT65" s="950"/>
      <c r="KAU65" s="950"/>
      <c r="KAV65" s="957"/>
      <c r="KAW65" s="950"/>
      <c r="KAX65" s="950"/>
      <c r="KAY65" s="653"/>
      <c r="KAZ65" s="950"/>
      <c r="KBA65" s="951"/>
      <c r="KBB65" s="952"/>
      <c r="KBC65" s="959"/>
      <c r="KBD65" s="953"/>
      <c r="KBE65" s="954"/>
      <c r="KBF65" s="955"/>
      <c r="KBG65" s="955"/>
      <c r="KBH65" s="820"/>
      <c r="KBI65" s="972"/>
      <c r="KBJ65" s="955"/>
      <c r="KBK65" s="950"/>
      <c r="KBL65" s="957"/>
      <c r="KBM65" s="950"/>
      <c r="KBN65" s="950"/>
      <c r="KBO65" s="957"/>
      <c r="KBP65" s="950"/>
      <c r="KBQ65" s="950"/>
      <c r="KBR65" s="653"/>
      <c r="KBS65" s="950"/>
      <c r="KBT65" s="951"/>
      <c r="KBU65" s="952"/>
      <c r="KBV65" s="959"/>
      <c r="KBW65" s="953"/>
      <c r="KBX65" s="954"/>
      <c r="KBY65" s="955"/>
      <c r="KBZ65" s="955"/>
      <c r="KCA65" s="820"/>
      <c r="KCB65" s="972"/>
      <c r="KCC65" s="955"/>
      <c r="KCD65" s="950"/>
      <c r="KCE65" s="957"/>
      <c r="KCF65" s="950"/>
      <c r="KCG65" s="950"/>
      <c r="KCH65" s="957"/>
      <c r="KCI65" s="950"/>
      <c r="KCJ65" s="950"/>
      <c r="KCK65" s="653"/>
      <c r="KCL65" s="950"/>
      <c r="KCM65" s="951"/>
      <c r="KCN65" s="952"/>
      <c r="KCO65" s="959"/>
      <c r="KCP65" s="953"/>
      <c r="KCQ65" s="954"/>
      <c r="KCR65" s="955"/>
      <c r="KCS65" s="955"/>
      <c r="KCT65" s="820"/>
      <c r="KCU65" s="972"/>
      <c r="KCV65" s="955"/>
      <c r="KCW65" s="950"/>
      <c r="KCX65" s="957"/>
      <c r="KCY65" s="950"/>
      <c r="KCZ65" s="950"/>
      <c r="KDA65" s="957"/>
      <c r="KDB65" s="950"/>
      <c r="KDC65" s="950"/>
      <c r="KDD65" s="653"/>
      <c r="KDE65" s="950"/>
      <c r="KDF65" s="951"/>
      <c r="KDG65" s="952"/>
      <c r="KDH65" s="959"/>
      <c r="KDI65" s="953"/>
      <c r="KDJ65" s="954"/>
      <c r="KDK65" s="955"/>
      <c r="KDL65" s="955"/>
      <c r="KDM65" s="820"/>
      <c r="KDN65" s="972"/>
      <c r="KDO65" s="955"/>
      <c r="KDP65" s="950"/>
      <c r="KDQ65" s="957"/>
      <c r="KDR65" s="950"/>
      <c r="KDS65" s="950"/>
      <c r="KDT65" s="957"/>
      <c r="KDU65" s="950"/>
      <c r="KDV65" s="950"/>
      <c r="KDW65" s="653"/>
      <c r="KDX65" s="950"/>
      <c r="KDY65" s="951"/>
      <c r="KDZ65" s="952"/>
      <c r="KEA65" s="959"/>
      <c r="KEB65" s="953"/>
      <c r="KEC65" s="954"/>
      <c r="KED65" s="955"/>
      <c r="KEE65" s="955"/>
      <c r="KEF65" s="820"/>
      <c r="KEG65" s="972"/>
      <c r="KEH65" s="955"/>
      <c r="KEI65" s="950"/>
      <c r="KEJ65" s="957"/>
      <c r="KEK65" s="950"/>
      <c r="KEL65" s="950"/>
      <c r="KEM65" s="957"/>
      <c r="KEN65" s="950"/>
      <c r="KEO65" s="950"/>
      <c r="KEP65" s="653"/>
      <c r="KEQ65" s="950"/>
      <c r="KER65" s="951"/>
      <c r="KES65" s="952"/>
      <c r="KET65" s="959"/>
      <c r="KEU65" s="953"/>
      <c r="KEV65" s="954"/>
      <c r="KEW65" s="955"/>
      <c r="KEX65" s="955"/>
      <c r="KEY65" s="820"/>
      <c r="KEZ65" s="972"/>
      <c r="KFA65" s="955"/>
      <c r="KFB65" s="950"/>
      <c r="KFC65" s="957"/>
      <c r="KFD65" s="950"/>
      <c r="KFE65" s="950"/>
      <c r="KFF65" s="957"/>
      <c r="KFG65" s="950"/>
      <c r="KFH65" s="950"/>
      <c r="KFI65" s="653"/>
      <c r="KFJ65" s="950"/>
      <c r="KFK65" s="951"/>
      <c r="KFL65" s="952"/>
      <c r="KFM65" s="959"/>
      <c r="KFN65" s="953"/>
      <c r="KFO65" s="954"/>
      <c r="KFP65" s="955"/>
      <c r="KFQ65" s="955"/>
      <c r="KFR65" s="820"/>
      <c r="KFS65" s="972"/>
      <c r="KFT65" s="955"/>
      <c r="KFU65" s="950"/>
      <c r="KFV65" s="957"/>
      <c r="KFW65" s="950"/>
      <c r="KFX65" s="950"/>
      <c r="KFY65" s="957"/>
      <c r="KFZ65" s="950"/>
      <c r="KGA65" s="950"/>
      <c r="KGB65" s="653"/>
      <c r="KGC65" s="950"/>
      <c r="KGD65" s="951"/>
      <c r="KGE65" s="952"/>
      <c r="KGF65" s="959"/>
      <c r="KGG65" s="953"/>
      <c r="KGH65" s="954"/>
      <c r="KGI65" s="955"/>
      <c r="KGJ65" s="955"/>
      <c r="KGK65" s="820"/>
      <c r="KGL65" s="972"/>
      <c r="KGM65" s="955"/>
      <c r="KGN65" s="950"/>
      <c r="KGO65" s="957"/>
      <c r="KGP65" s="950"/>
      <c r="KGQ65" s="950"/>
      <c r="KGR65" s="957"/>
      <c r="KGS65" s="950"/>
      <c r="KGT65" s="950"/>
      <c r="KGU65" s="653"/>
      <c r="KGV65" s="950"/>
      <c r="KGW65" s="951"/>
      <c r="KGX65" s="952"/>
      <c r="KGY65" s="959"/>
      <c r="KGZ65" s="953"/>
      <c r="KHA65" s="954"/>
      <c r="KHB65" s="955"/>
      <c r="KHC65" s="955"/>
      <c r="KHD65" s="820"/>
      <c r="KHE65" s="972"/>
      <c r="KHF65" s="955"/>
      <c r="KHG65" s="950"/>
      <c r="KHH65" s="957"/>
      <c r="KHI65" s="950"/>
      <c r="KHJ65" s="950"/>
      <c r="KHK65" s="957"/>
      <c r="KHL65" s="950"/>
      <c r="KHM65" s="950"/>
      <c r="KHN65" s="653"/>
      <c r="KHO65" s="950"/>
      <c r="KHP65" s="951"/>
      <c r="KHQ65" s="952"/>
      <c r="KHR65" s="959"/>
      <c r="KHS65" s="953"/>
      <c r="KHT65" s="954"/>
      <c r="KHU65" s="955"/>
      <c r="KHV65" s="955"/>
      <c r="KHW65" s="820"/>
      <c r="KHX65" s="972"/>
      <c r="KHY65" s="955"/>
      <c r="KHZ65" s="950"/>
      <c r="KIA65" s="957"/>
      <c r="KIB65" s="950"/>
      <c r="KIC65" s="950"/>
      <c r="KID65" s="957"/>
      <c r="KIE65" s="950"/>
      <c r="KIF65" s="950"/>
      <c r="KIG65" s="653"/>
      <c r="KIH65" s="950"/>
      <c r="KII65" s="951"/>
      <c r="KIJ65" s="952"/>
      <c r="KIK65" s="959"/>
      <c r="KIL65" s="953"/>
      <c r="KIM65" s="954"/>
      <c r="KIN65" s="955"/>
      <c r="KIO65" s="955"/>
      <c r="KIP65" s="820"/>
      <c r="KIQ65" s="972"/>
      <c r="KIR65" s="955"/>
      <c r="KIS65" s="950"/>
      <c r="KIT65" s="957"/>
      <c r="KIU65" s="950"/>
      <c r="KIV65" s="950"/>
      <c r="KIW65" s="957"/>
      <c r="KIX65" s="950"/>
      <c r="KIY65" s="950"/>
      <c r="KIZ65" s="653"/>
      <c r="KJA65" s="950"/>
      <c r="KJB65" s="951"/>
      <c r="KJC65" s="952"/>
      <c r="KJD65" s="959"/>
      <c r="KJE65" s="953"/>
      <c r="KJF65" s="954"/>
      <c r="KJG65" s="955"/>
      <c r="KJH65" s="955"/>
      <c r="KJI65" s="820"/>
      <c r="KJJ65" s="972"/>
      <c r="KJK65" s="955"/>
      <c r="KJL65" s="950"/>
      <c r="KJM65" s="957"/>
      <c r="KJN65" s="950"/>
      <c r="KJO65" s="950"/>
      <c r="KJP65" s="957"/>
      <c r="KJQ65" s="950"/>
      <c r="KJR65" s="950"/>
      <c r="KJS65" s="653"/>
      <c r="KJT65" s="950"/>
      <c r="KJU65" s="951"/>
      <c r="KJV65" s="952"/>
      <c r="KJW65" s="959"/>
      <c r="KJX65" s="953"/>
      <c r="KJY65" s="954"/>
      <c r="KJZ65" s="955"/>
      <c r="KKA65" s="955"/>
      <c r="KKB65" s="820"/>
      <c r="KKC65" s="972"/>
      <c r="KKD65" s="955"/>
      <c r="KKE65" s="950"/>
      <c r="KKF65" s="957"/>
      <c r="KKG65" s="950"/>
      <c r="KKH65" s="950"/>
      <c r="KKI65" s="957"/>
      <c r="KKJ65" s="950"/>
      <c r="KKK65" s="950"/>
      <c r="KKL65" s="653"/>
      <c r="KKM65" s="950"/>
      <c r="KKN65" s="951"/>
      <c r="KKO65" s="952"/>
      <c r="KKP65" s="959"/>
      <c r="KKQ65" s="953"/>
      <c r="KKR65" s="954"/>
      <c r="KKS65" s="955"/>
      <c r="KKT65" s="955"/>
      <c r="KKU65" s="820"/>
      <c r="KKV65" s="972"/>
      <c r="KKW65" s="955"/>
      <c r="KKX65" s="950"/>
      <c r="KKY65" s="957"/>
      <c r="KKZ65" s="950"/>
      <c r="KLA65" s="950"/>
      <c r="KLB65" s="957"/>
      <c r="KLC65" s="950"/>
      <c r="KLD65" s="950"/>
      <c r="KLE65" s="653"/>
      <c r="KLF65" s="950"/>
      <c r="KLG65" s="951"/>
      <c r="KLH65" s="952"/>
      <c r="KLI65" s="959"/>
      <c r="KLJ65" s="953"/>
      <c r="KLK65" s="954"/>
      <c r="KLL65" s="955"/>
      <c r="KLM65" s="955"/>
      <c r="KLN65" s="820"/>
      <c r="KLO65" s="972"/>
      <c r="KLP65" s="955"/>
      <c r="KLQ65" s="950"/>
      <c r="KLR65" s="957"/>
      <c r="KLS65" s="950"/>
      <c r="KLT65" s="950"/>
      <c r="KLU65" s="957"/>
      <c r="KLV65" s="950"/>
      <c r="KLW65" s="950"/>
      <c r="KLX65" s="653"/>
      <c r="KLY65" s="950"/>
      <c r="KLZ65" s="951"/>
      <c r="KMA65" s="952"/>
      <c r="KMB65" s="959"/>
      <c r="KMC65" s="953"/>
      <c r="KMD65" s="954"/>
      <c r="KME65" s="955"/>
      <c r="KMF65" s="955"/>
      <c r="KMG65" s="820"/>
      <c r="KMH65" s="972"/>
      <c r="KMI65" s="955"/>
      <c r="KMJ65" s="950"/>
      <c r="KMK65" s="957"/>
      <c r="KML65" s="950"/>
      <c r="KMM65" s="950"/>
      <c r="KMN65" s="957"/>
      <c r="KMO65" s="950"/>
      <c r="KMP65" s="950"/>
      <c r="KMQ65" s="653"/>
      <c r="KMR65" s="950"/>
      <c r="KMS65" s="951"/>
      <c r="KMT65" s="952"/>
      <c r="KMU65" s="959"/>
      <c r="KMV65" s="953"/>
      <c r="KMW65" s="954"/>
      <c r="KMX65" s="955"/>
      <c r="KMY65" s="955"/>
      <c r="KMZ65" s="820"/>
      <c r="KNA65" s="972"/>
      <c r="KNB65" s="955"/>
      <c r="KNC65" s="950"/>
      <c r="KND65" s="957"/>
      <c r="KNE65" s="950"/>
      <c r="KNF65" s="950"/>
      <c r="KNG65" s="957"/>
      <c r="KNH65" s="950"/>
      <c r="KNI65" s="950"/>
      <c r="KNJ65" s="653"/>
      <c r="KNK65" s="950"/>
      <c r="KNL65" s="951"/>
      <c r="KNM65" s="952"/>
      <c r="KNN65" s="959"/>
      <c r="KNO65" s="953"/>
      <c r="KNP65" s="954"/>
      <c r="KNQ65" s="955"/>
      <c r="KNR65" s="955"/>
      <c r="KNS65" s="820"/>
      <c r="KNT65" s="972"/>
      <c r="KNU65" s="955"/>
      <c r="KNV65" s="950"/>
      <c r="KNW65" s="957"/>
      <c r="KNX65" s="950"/>
      <c r="KNY65" s="950"/>
      <c r="KNZ65" s="957"/>
      <c r="KOA65" s="950"/>
      <c r="KOB65" s="950"/>
      <c r="KOC65" s="653"/>
      <c r="KOD65" s="950"/>
      <c r="KOE65" s="951"/>
      <c r="KOF65" s="952"/>
      <c r="KOG65" s="959"/>
      <c r="KOH65" s="953"/>
      <c r="KOI65" s="954"/>
      <c r="KOJ65" s="955"/>
      <c r="KOK65" s="955"/>
      <c r="KOL65" s="820"/>
      <c r="KOM65" s="972"/>
      <c r="KON65" s="955"/>
      <c r="KOO65" s="950"/>
      <c r="KOP65" s="957"/>
      <c r="KOQ65" s="950"/>
      <c r="KOR65" s="950"/>
      <c r="KOS65" s="957"/>
      <c r="KOT65" s="950"/>
      <c r="KOU65" s="950"/>
      <c r="KOV65" s="653"/>
      <c r="KOW65" s="950"/>
      <c r="KOX65" s="951"/>
      <c r="KOY65" s="952"/>
      <c r="KOZ65" s="959"/>
      <c r="KPA65" s="953"/>
      <c r="KPB65" s="954"/>
      <c r="KPC65" s="955"/>
      <c r="KPD65" s="955"/>
      <c r="KPE65" s="820"/>
      <c r="KPF65" s="972"/>
      <c r="KPG65" s="955"/>
      <c r="KPH65" s="950"/>
      <c r="KPI65" s="957"/>
      <c r="KPJ65" s="950"/>
      <c r="KPK65" s="950"/>
      <c r="KPL65" s="957"/>
      <c r="KPM65" s="950"/>
      <c r="KPN65" s="950"/>
      <c r="KPO65" s="653"/>
      <c r="KPP65" s="950"/>
      <c r="KPQ65" s="951"/>
      <c r="KPR65" s="952"/>
      <c r="KPS65" s="959"/>
      <c r="KPT65" s="953"/>
      <c r="KPU65" s="954"/>
      <c r="KPV65" s="955"/>
      <c r="KPW65" s="955"/>
      <c r="KPX65" s="820"/>
      <c r="KPY65" s="972"/>
      <c r="KPZ65" s="955"/>
      <c r="KQA65" s="950"/>
      <c r="KQB65" s="957"/>
      <c r="KQC65" s="950"/>
      <c r="KQD65" s="950"/>
      <c r="KQE65" s="957"/>
      <c r="KQF65" s="950"/>
      <c r="KQG65" s="950"/>
      <c r="KQH65" s="653"/>
      <c r="KQI65" s="950"/>
      <c r="KQJ65" s="951"/>
      <c r="KQK65" s="952"/>
      <c r="KQL65" s="959"/>
      <c r="KQM65" s="953"/>
      <c r="KQN65" s="954"/>
      <c r="KQO65" s="955"/>
      <c r="KQP65" s="955"/>
      <c r="KQQ65" s="820"/>
      <c r="KQR65" s="972"/>
      <c r="KQS65" s="955"/>
      <c r="KQT65" s="950"/>
      <c r="KQU65" s="957"/>
      <c r="KQV65" s="950"/>
      <c r="KQW65" s="950"/>
      <c r="KQX65" s="957"/>
      <c r="KQY65" s="950"/>
      <c r="KQZ65" s="950"/>
      <c r="KRA65" s="653"/>
      <c r="KRB65" s="950"/>
      <c r="KRC65" s="951"/>
      <c r="KRD65" s="952"/>
      <c r="KRE65" s="959"/>
      <c r="KRF65" s="953"/>
      <c r="KRG65" s="954"/>
      <c r="KRH65" s="955"/>
      <c r="KRI65" s="955"/>
      <c r="KRJ65" s="820"/>
      <c r="KRK65" s="972"/>
      <c r="KRL65" s="955"/>
      <c r="KRM65" s="950"/>
      <c r="KRN65" s="957"/>
      <c r="KRO65" s="950"/>
      <c r="KRP65" s="950"/>
      <c r="KRQ65" s="957"/>
      <c r="KRR65" s="950"/>
      <c r="KRS65" s="950"/>
      <c r="KRT65" s="653"/>
      <c r="KRU65" s="950"/>
      <c r="KRV65" s="951"/>
      <c r="KRW65" s="952"/>
      <c r="KRX65" s="959"/>
      <c r="KRY65" s="953"/>
      <c r="KRZ65" s="954"/>
      <c r="KSA65" s="955"/>
      <c r="KSB65" s="955"/>
      <c r="KSC65" s="820"/>
      <c r="KSD65" s="972"/>
      <c r="KSE65" s="955"/>
      <c r="KSF65" s="950"/>
      <c r="KSG65" s="957"/>
      <c r="KSH65" s="950"/>
      <c r="KSI65" s="950"/>
      <c r="KSJ65" s="957"/>
      <c r="KSK65" s="950"/>
      <c r="KSL65" s="950"/>
      <c r="KSM65" s="653"/>
      <c r="KSN65" s="950"/>
      <c r="KSO65" s="951"/>
      <c r="KSP65" s="952"/>
      <c r="KSQ65" s="959"/>
      <c r="KSR65" s="953"/>
      <c r="KSS65" s="954"/>
      <c r="KST65" s="955"/>
      <c r="KSU65" s="955"/>
      <c r="KSV65" s="820"/>
      <c r="KSW65" s="972"/>
      <c r="KSX65" s="955"/>
      <c r="KSY65" s="950"/>
      <c r="KSZ65" s="957"/>
      <c r="KTA65" s="950"/>
      <c r="KTB65" s="950"/>
      <c r="KTC65" s="957"/>
      <c r="KTD65" s="950"/>
      <c r="KTE65" s="950"/>
      <c r="KTF65" s="653"/>
      <c r="KTG65" s="950"/>
      <c r="KTH65" s="951"/>
      <c r="KTI65" s="952"/>
      <c r="KTJ65" s="959"/>
      <c r="KTK65" s="953"/>
      <c r="KTL65" s="954"/>
      <c r="KTM65" s="955"/>
      <c r="KTN65" s="955"/>
      <c r="KTO65" s="820"/>
      <c r="KTP65" s="972"/>
      <c r="KTQ65" s="955"/>
      <c r="KTR65" s="950"/>
      <c r="KTS65" s="957"/>
      <c r="KTT65" s="950"/>
      <c r="KTU65" s="950"/>
      <c r="KTV65" s="957"/>
      <c r="KTW65" s="950"/>
      <c r="KTX65" s="950"/>
      <c r="KTY65" s="653"/>
      <c r="KTZ65" s="950"/>
      <c r="KUA65" s="951"/>
      <c r="KUB65" s="952"/>
      <c r="KUC65" s="959"/>
      <c r="KUD65" s="953"/>
      <c r="KUE65" s="954"/>
      <c r="KUF65" s="955"/>
      <c r="KUG65" s="955"/>
      <c r="KUH65" s="820"/>
      <c r="KUI65" s="972"/>
      <c r="KUJ65" s="955"/>
      <c r="KUK65" s="950"/>
      <c r="KUL65" s="957"/>
      <c r="KUM65" s="950"/>
      <c r="KUN65" s="950"/>
      <c r="KUO65" s="957"/>
      <c r="KUP65" s="950"/>
      <c r="KUQ65" s="950"/>
      <c r="KUR65" s="653"/>
      <c r="KUS65" s="950"/>
      <c r="KUT65" s="951"/>
      <c r="KUU65" s="952"/>
      <c r="KUV65" s="959"/>
      <c r="KUW65" s="953"/>
      <c r="KUX65" s="954"/>
      <c r="KUY65" s="955"/>
      <c r="KUZ65" s="955"/>
      <c r="KVA65" s="820"/>
      <c r="KVB65" s="972"/>
      <c r="KVC65" s="955"/>
      <c r="KVD65" s="950"/>
      <c r="KVE65" s="957"/>
      <c r="KVF65" s="950"/>
      <c r="KVG65" s="950"/>
      <c r="KVH65" s="957"/>
      <c r="KVI65" s="950"/>
      <c r="KVJ65" s="950"/>
      <c r="KVK65" s="653"/>
      <c r="KVL65" s="950"/>
      <c r="KVM65" s="951"/>
      <c r="KVN65" s="952"/>
      <c r="KVO65" s="959"/>
      <c r="KVP65" s="953"/>
      <c r="KVQ65" s="954"/>
      <c r="KVR65" s="955"/>
      <c r="KVS65" s="955"/>
      <c r="KVT65" s="820"/>
      <c r="KVU65" s="972"/>
      <c r="KVV65" s="955"/>
      <c r="KVW65" s="950"/>
      <c r="KVX65" s="957"/>
      <c r="KVY65" s="950"/>
      <c r="KVZ65" s="950"/>
      <c r="KWA65" s="957"/>
      <c r="KWB65" s="950"/>
      <c r="KWC65" s="950"/>
      <c r="KWD65" s="653"/>
      <c r="KWE65" s="950"/>
      <c r="KWF65" s="951"/>
      <c r="KWG65" s="952"/>
      <c r="KWH65" s="959"/>
      <c r="KWI65" s="953"/>
      <c r="KWJ65" s="954"/>
      <c r="KWK65" s="955"/>
      <c r="KWL65" s="955"/>
      <c r="KWM65" s="820"/>
      <c r="KWN65" s="972"/>
      <c r="KWO65" s="955"/>
      <c r="KWP65" s="950"/>
      <c r="KWQ65" s="957"/>
      <c r="KWR65" s="950"/>
      <c r="KWS65" s="950"/>
      <c r="KWT65" s="957"/>
      <c r="KWU65" s="950"/>
      <c r="KWV65" s="950"/>
      <c r="KWW65" s="653"/>
      <c r="KWX65" s="950"/>
      <c r="KWY65" s="951"/>
      <c r="KWZ65" s="952"/>
      <c r="KXA65" s="959"/>
      <c r="KXB65" s="953"/>
      <c r="KXC65" s="954"/>
      <c r="KXD65" s="955"/>
      <c r="KXE65" s="955"/>
      <c r="KXF65" s="820"/>
      <c r="KXG65" s="972"/>
      <c r="KXH65" s="955"/>
      <c r="KXI65" s="950"/>
      <c r="KXJ65" s="957"/>
      <c r="KXK65" s="950"/>
      <c r="KXL65" s="950"/>
      <c r="KXM65" s="957"/>
      <c r="KXN65" s="950"/>
      <c r="KXO65" s="950"/>
      <c r="KXP65" s="653"/>
      <c r="KXQ65" s="950"/>
      <c r="KXR65" s="951"/>
      <c r="KXS65" s="952"/>
      <c r="KXT65" s="959"/>
      <c r="KXU65" s="953"/>
      <c r="KXV65" s="954"/>
      <c r="KXW65" s="955"/>
      <c r="KXX65" s="955"/>
      <c r="KXY65" s="820"/>
      <c r="KXZ65" s="972"/>
      <c r="KYA65" s="955"/>
      <c r="KYB65" s="950"/>
      <c r="KYC65" s="957"/>
      <c r="KYD65" s="950"/>
      <c r="KYE65" s="950"/>
      <c r="KYF65" s="957"/>
      <c r="KYG65" s="950"/>
      <c r="KYH65" s="950"/>
      <c r="KYI65" s="653"/>
      <c r="KYJ65" s="950"/>
      <c r="KYK65" s="951"/>
      <c r="KYL65" s="952"/>
      <c r="KYM65" s="959"/>
      <c r="KYN65" s="953"/>
      <c r="KYO65" s="954"/>
      <c r="KYP65" s="955"/>
      <c r="KYQ65" s="955"/>
      <c r="KYR65" s="820"/>
      <c r="KYS65" s="972"/>
      <c r="KYT65" s="955"/>
      <c r="KYU65" s="950"/>
      <c r="KYV65" s="957"/>
      <c r="KYW65" s="950"/>
      <c r="KYX65" s="950"/>
      <c r="KYY65" s="957"/>
      <c r="KYZ65" s="950"/>
      <c r="KZA65" s="950"/>
      <c r="KZB65" s="653"/>
      <c r="KZC65" s="950"/>
      <c r="KZD65" s="951"/>
      <c r="KZE65" s="952"/>
      <c r="KZF65" s="959"/>
      <c r="KZG65" s="953"/>
      <c r="KZH65" s="954"/>
      <c r="KZI65" s="955"/>
      <c r="KZJ65" s="955"/>
      <c r="KZK65" s="820"/>
      <c r="KZL65" s="972"/>
      <c r="KZM65" s="955"/>
      <c r="KZN65" s="950"/>
      <c r="KZO65" s="957"/>
      <c r="KZP65" s="950"/>
      <c r="KZQ65" s="950"/>
      <c r="KZR65" s="957"/>
      <c r="KZS65" s="950"/>
      <c r="KZT65" s="950"/>
      <c r="KZU65" s="653"/>
      <c r="KZV65" s="950"/>
      <c r="KZW65" s="951"/>
      <c r="KZX65" s="952"/>
      <c r="KZY65" s="959"/>
      <c r="KZZ65" s="953"/>
      <c r="LAA65" s="954"/>
      <c r="LAB65" s="955"/>
      <c r="LAC65" s="955"/>
      <c r="LAD65" s="820"/>
      <c r="LAE65" s="972"/>
      <c r="LAF65" s="955"/>
      <c r="LAG65" s="950"/>
      <c r="LAH65" s="957"/>
      <c r="LAI65" s="950"/>
      <c r="LAJ65" s="950"/>
      <c r="LAK65" s="957"/>
      <c r="LAL65" s="950"/>
      <c r="LAM65" s="950"/>
      <c r="LAN65" s="653"/>
      <c r="LAO65" s="950"/>
      <c r="LAP65" s="951"/>
      <c r="LAQ65" s="952"/>
      <c r="LAR65" s="959"/>
      <c r="LAS65" s="953"/>
      <c r="LAT65" s="954"/>
      <c r="LAU65" s="955"/>
      <c r="LAV65" s="955"/>
      <c r="LAW65" s="820"/>
      <c r="LAX65" s="972"/>
      <c r="LAY65" s="955"/>
      <c r="LAZ65" s="950"/>
      <c r="LBA65" s="957"/>
      <c r="LBB65" s="950"/>
      <c r="LBC65" s="950"/>
      <c r="LBD65" s="957"/>
      <c r="LBE65" s="950"/>
      <c r="LBF65" s="950"/>
      <c r="LBG65" s="653"/>
      <c r="LBH65" s="950"/>
      <c r="LBI65" s="951"/>
      <c r="LBJ65" s="952"/>
      <c r="LBK65" s="959"/>
      <c r="LBL65" s="953"/>
      <c r="LBM65" s="954"/>
      <c r="LBN65" s="955"/>
      <c r="LBO65" s="955"/>
      <c r="LBP65" s="820"/>
      <c r="LBQ65" s="972"/>
      <c r="LBR65" s="955"/>
      <c r="LBS65" s="950"/>
      <c r="LBT65" s="957"/>
      <c r="LBU65" s="950"/>
      <c r="LBV65" s="950"/>
      <c r="LBW65" s="957"/>
      <c r="LBX65" s="950"/>
      <c r="LBY65" s="950"/>
      <c r="LBZ65" s="653"/>
      <c r="LCA65" s="950"/>
      <c r="LCB65" s="951"/>
      <c r="LCC65" s="952"/>
      <c r="LCD65" s="959"/>
      <c r="LCE65" s="953"/>
      <c r="LCF65" s="954"/>
      <c r="LCG65" s="955"/>
      <c r="LCH65" s="955"/>
      <c r="LCI65" s="820"/>
      <c r="LCJ65" s="972"/>
      <c r="LCK65" s="955"/>
      <c r="LCL65" s="950"/>
      <c r="LCM65" s="957"/>
      <c r="LCN65" s="950"/>
      <c r="LCO65" s="950"/>
      <c r="LCP65" s="957"/>
      <c r="LCQ65" s="950"/>
      <c r="LCR65" s="950"/>
      <c r="LCS65" s="653"/>
      <c r="LCT65" s="950"/>
      <c r="LCU65" s="951"/>
      <c r="LCV65" s="952"/>
      <c r="LCW65" s="959"/>
      <c r="LCX65" s="953"/>
      <c r="LCY65" s="954"/>
      <c r="LCZ65" s="955"/>
      <c r="LDA65" s="955"/>
      <c r="LDB65" s="820"/>
      <c r="LDC65" s="972"/>
      <c r="LDD65" s="955"/>
      <c r="LDE65" s="950"/>
      <c r="LDF65" s="957"/>
      <c r="LDG65" s="950"/>
      <c r="LDH65" s="950"/>
      <c r="LDI65" s="957"/>
      <c r="LDJ65" s="950"/>
      <c r="LDK65" s="950"/>
      <c r="LDL65" s="653"/>
      <c r="LDM65" s="950"/>
      <c r="LDN65" s="951"/>
      <c r="LDO65" s="952"/>
      <c r="LDP65" s="959"/>
      <c r="LDQ65" s="953"/>
      <c r="LDR65" s="954"/>
      <c r="LDS65" s="955"/>
      <c r="LDT65" s="955"/>
      <c r="LDU65" s="820"/>
      <c r="LDV65" s="972"/>
      <c r="LDW65" s="955"/>
      <c r="LDX65" s="950"/>
      <c r="LDY65" s="957"/>
      <c r="LDZ65" s="950"/>
      <c r="LEA65" s="950"/>
      <c r="LEB65" s="957"/>
      <c r="LEC65" s="950"/>
      <c r="LED65" s="950"/>
      <c r="LEE65" s="653"/>
      <c r="LEF65" s="950"/>
      <c r="LEG65" s="951"/>
      <c r="LEH65" s="952"/>
      <c r="LEI65" s="959"/>
      <c r="LEJ65" s="953"/>
      <c r="LEK65" s="954"/>
      <c r="LEL65" s="955"/>
      <c r="LEM65" s="955"/>
      <c r="LEN65" s="820"/>
      <c r="LEO65" s="972"/>
      <c r="LEP65" s="955"/>
      <c r="LEQ65" s="950"/>
      <c r="LER65" s="957"/>
      <c r="LES65" s="950"/>
      <c r="LET65" s="950"/>
      <c r="LEU65" s="957"/>
      <c r="LEV65" s="950"/>
      <c r="LEW65" s="950"/>
      <c r="LEX65" s="653"/>
      <c r="LEY65" s="950"/>
      <c r="LEZ65" s="951"/>
      <c r="LFA65" s="952"/>
      <c r="LFB65" s="959"/>
      <c r="LFC65" s="953"/>
      <c r="LFD65" s="954"/>
      <c r="LFE65" s="955"/>
      <c r="LFF65" s="955"/>
      <c r="LFG65" s="820"/>
      <c r="LFH65" s="972"/>
      <c r="LFI65" s="955"/>
      <c r="LFJ65" s="950"/>
      <c r="LFK65" s="957"/>
      <c r="LFL65" s="950"/>
      <c r="LFM65" s="950"/>
      <c r="LFN65" s="957"/>
      <c r="LFO65" s="950"/>
      <c r="LFP65" s="950"/>
      <c r="LFQ65" s="653"/>
      <c r="LFR65" s="950"/>
      <c r="LFS65" s="951"/>
      <c r="LFT65" s="952"/>
      <c r="LFU65" s="959"/>
      <c r="LFV65" s="953"/>
      <c r="LFW65" s="954"/>
      <c r="LFX65" s="955"/>
      <c r="LFY65" s="955"/>
      <c r="LFZ65" s="820"/>
      <c r="LGA65" s="972"/>
      <c r="LGB65" s="955"/>
      <c r="LGC65" s="950"/>
      <c r="LGD65" s="957"/>
      <c r="LGE65" s="950"/>
      <c r="LGF65" s="950"/>
      <c r="LGG65" s="957"/>
      <c r="LGH65" s="950"/>
      <c r="LGI65" s="950"/>
      <c r="LGJ65" s="653"/>
      <c r="LGK65" s="950"/>
      <c r="LGL65" s="951"/>
      <c r="LGM65" s="952"/>
      <c r="LGN65" s="959"/>
      <c r="LGO65" s="953"/>
      <c r="LGP65" s="954"/>
      <c r="LGQ65" s="955"/>
      <c r="LGR65" s="955"/>
      <c r="LGS65" s="820"/>
      <c r="LGT65" s="972"/>
      <c r="LGU65" s="955"/>
      <c r="LGV65" s="950"/>
      <c r="LGW65" s="957"/>
      <c r="LGX65" s="950"/>
      <c r="LGY65" s="950"/>
      <c r="LGZ65" s="957"/>
      <c r="LHA65" s="950"/>
      <c r="LHB65" s="950"/>
      <c r="LHC65" s="653"/>
      <c r="LHD65" s="950"/>
      <c r="LHE65" s="951"/>
      <c r="LHF65" s="952"/>
      <c r="LHG65" s="959"/>
      <c r="LHH65" s="953"/>
      <c r="LHI65" s="954"/>
      <c r="LHJ65" s="955"/>
      <c r="LHK65" s="955"/>
      <c r="LHL65" s="820"/>
      <c r="LHM65" s="972"/>
      <c r="LHN65" s="955"/>
      <c r="LHO65" s="950"/>
      <c r="LHP65" s="957"/>
      <c r="LHQ65" s="950"/>
      <c r="LHR65" s="950"/>
      <c r="LHS65" s="957"/>
      <c r="LHT65" s="950"/>
      <c r="LHU65" s="950"/>
      <c r="LHV65" s="653"/>
      <c r="LHW65" s="950"/>
      <c r="LHX65" s="951"/>
      <c r="LHY65" s="952"/>
      <c r="LHZ65" s="959"/>
      <c r="LIA65" s="953"/>
      <c r="LIB65" s="954"/>
      <c r="LIC65" s="955"/>
      <c r="LID65" s="955"/>
      <c r="LIE65" s="820"/>
      <c r="LIF65" s="972"/>
      <c r="LIG65" s="955"/>
      <c r="LIH65" s="950"/>
      <c r="LII65" s="957"/>
      <c r="LIJ65" s="950"/>
      <c r="LIK65" s="950"/>
      <c r="LIL65" s="957"/>
      <c r="LIM65" s="950"/>
      <c r="LIN65" s="950"/>
      <c r="LIO65" s="653"/>
      <c r="LIP65" s="950"/>
      <c r="LIQ65" s="951"/>
      <c r="LIR65" s="952"/>
      <c r="LIS65" s="959"/>
      <c r="LIT65" s="953"/>
      <c r="LIU65" s="954"/>
      <c r="LIV65" s="955"/>
      <c r="LIW65" s="955"/>
      <c r="LIX65" s="820"/>
      <c r="LIY65" s="972"/>
      <c r="LIZ65" s="955"/>
      <c r="LJA65" s="950"/>
      <c r="LJB65" s="957"/>
      <c r="LJC65" s="950"/>
      <c r="LJD65" s="950"/>
      <c r="LJE65" s="957"/>
      <c r="LJF65" s="950"/>
      <c r="LJG65" s="950"/>
      <c r="LJH65" s="653"/>
      <c r="LJI65" s="950"/>
      <c r="LJJ65" s="951"/>
      <c r="LJK65" s="952"/>
      <c r="LJL65" s="959"/>
      <c r="LJM65" s="953"/>
      <c r="LJN65" s="954"/>
      <c r="LJO65" s="955"/>
      <c r="LJP65" s="955"/>
      <c r="LJQ65" s="820"/>
      <c r="LJR65" s="972"/>
      <c r="LJS65" s="955"/>
      <c r="LJT65" s="950"/>
      <c r="LJU65" s="957"/>
      <c r="LJV65" s="950"/>
      <c r="LJW65" s="950"/>
      <c r="LJX65" s="957"/>
      <c r="LJY65" s="950"/>
      <c r="LJZ65" s="950"/>
      <c r="LKA65" s="653"/>
      <c r="LKB65" s="950"/>
      <c r="LKC65" s="951"/>
      <c r="LKD65" s="952"/>
      <c r="LKE65" s="959"/>
      <c r="LKF65" s="953"/>
      <c r="LKG65" s="954"/>
      <c r="LKH65" s="955"/>
      <c r="LKI65" s="955"/>
      <c r="LKJ65" s="820"/>
      <c r="LKK65" s="972"/>
      <c r="LKL65" s="955"/>
      <c r="LKM65" s="950"/>
      <c r="LKN65" s="957"/>
      <c r="LKO65" s="950"/>
      <c r="LKP65" s="950"/>
      <c r="LKQ65" s="957"/>
      <c r="LKR65" s="950"/>
      <c r="LKS65" s="950"/>
      <c r="LKT65" s="653"/>
      <c r="LKU65" s="950"/>
      <c r="LKV65" s="951"/>
      <c r="LKW65" s="952"/>
      <c r="LKX65" s="959"/>
      <c r="LKY65" s="953"/>
      <c r="LKZ65" s="954"/>
      <c r="LLA65" s="955"/>
      <c r="LLB65" s="955"/>
      <c r="LLC65" s="820"/>
      <c r="LLD65" s="972"/>
      <c r="LLE65" s="955"/>
      <c r="LLF65" s="950"/>
      <c r="LLG65" s="957"/>
      <c r="LLH65" s="950"/>
      <c r="LLI65" s="950"/>
      <c r="LLJ65" s="957"/>
      <c r="LLK65" s="950"/>
      <c r="LLL65" s="950"/>
      <c r="LLM65" s="653"/>
      <c r="LLN65" s="950"/>
      <c r="LLO65" s="951"/>
      <c r="LLP65" s="952"/>
      <c r="LLQ65" s="959"/>
      <c r="LLR65" s="953"/>
      <c r="LLS65" s="954"/>
      <c r="LLT65" s="955"/>
      <c r="LLU65" s="955"/>
      <c r="LLV65" s="820"/>
      <c r="LLW65" s="972"/>
      <c r="LLX65" s="955"/>
      <c r="LLY65" s="950"/>
      <c r="LLZ65" s="957"/>
      <c r="LMA65" s="950"/>
      <c r="LMB65" s="950"/>
      <c r="LMC65" s="957"/>
      <c r="LMD65" s="950"/>
      <c r="LME65" s="950"/>
      <c r="LMF65" s="653"/>
      <c r="LMG65" s="950"/>
      <c r="LMH65" s="951"/>
      <c r="LMI65" s="952"/>
      <c r="LMJ65" s="959"/>
      <c r="LMK65" s="953"/>
      <c r="LML65" s="954"/>
      <c r="LMM65" s="955"/>
      <c r="LMN65" s="955"/>
      <c r="LMO65" s="820"/>
      <c r="LMP65" s="972"/>
      <c r="LMQ65" s="955"/>
      <c r="LMR65" s="950"/>
      <c r="LMS65" s="957"/>
      <c r="LMT65" s="950"/>
      <c r="LMU65" s="950"/>
      <c r="LMV65" s="957"/>
      <c r="LMW65" s="950"/>
      <c r="LMX65" s="950"/>
      <c r="LMY65" s="653"/>
      <c r="LMZ65" s="950"/>
      <c r="LNA65" s="951"/>
      <c r="LNB65" s="952"/>
      <c r="LNC65" s="959"/>
      <c r="LND65" s="953"/>
      <c r="LNE65" s="954"/>
      <c r="LNF65" s="955"/>
      <c r="LNG65" s="955"/>
      <c r="LNH65" s="820"/>
      <c r="LNI65" s="972"/>
      <c r="LNJ65" s="955"/>
      <c r="LNK65" s="950"/>
      <c r="LNL65" s="957"/>
      <c r="LNM65" s="950"/>
      <c r="LNN65" s="950"/>
      <c r="LNO65" s="957"/>
      <c r="LNP65" s="950"/>
      <c r="LNQ65" s="950"/>
      <c r="LNR65" s="653"/>
      <c r="LNS65" s="950"/>
      <c r="LNT65" s="951"/>
      <c r="LNU65" s="952"/>
      <c r="LNV65" s="959"/>
      <c r="LNW65" s="953"/>
      <c r="LNX65" s="954"/>
      <c r="LNY65" s="955"/>
      <c r="LNZ65" s="955"/>
      <c r="LOA65" s="820"/>
      <c r="LOB65" s="972"/>
      <c r="LOC65" s="955"/>
      <c r="LOD65" s="950"/>
      <c r="LOE65" s="957"/>
      <c r="LOF65" s="950"/>
      <c r="LOG65" s="950"/>
      <c r="LOH65" s="957"/>
      <c r="LOI65" s="950"/>
      <c r="LOJ65" s="950"/>
      <c r="LOK65" s="653"/>
      <c r="LOL65" s="950"/>
      <c r="LOM65" s="951"/>
      <c r="LON65" s="952"/>
      <c r="LOO65" s="959"/>
      <c r="LOP65" s="953"/>
      <c r="LOQ65" s="954"/>
      <c r="LOR65" s="955"/>
      <c r="LOS65" s="955"/>
      <c r="LOT65" s="820"/>
      <c r="LOU65" s="972"/>
      <c r="LOV65" s="955"/>
      <c r="LOW65" s="950"/>
      <c r="LOX65" s="957"/>
      <c r="LOY65" s="950"/>
      <c r="LOZ65" s="950"/>
      <c r="LPA65" s="957"/>
      <c r="LPB65" s="950"/>
      <c r="LPC65" s="950"/>
      <c r="LPD65" s="653"/>
      <c r="LPE65" s="950"/>
      <c r="LPF65" s="951"/>
      <c r="LPG65" s="952"/>
      <c r="LPH65" s="959"/>
      <c r="LPI65" s="953"/>
      <c r="LPJ65" s="954"/>
      <c r="LPK65" s="955"/>
      <c r="LPL65" s="955"/>
      <c r="LPM65" s="820"/>
      <c r="LPN65" s="972"/>
      <c r="LPO65" s="955"/>
      <c r="LPP65" s="950"/>
      <c r="LPQ65" s="957"/>
      <c r="LPR65" s="950"/>
      <c r="LPS65" s="950"/>
      <c r="LPT65" s="957"/>
      <c r="LPU65" s="950"/>
      <c r="LPV65" s="950"/>
      <c r="LPW65" s="653"/>
      <c r="LPX65" s="950"/>
      <c r="LPY65" s="951"/>
      <c r="LPZ65" s="952"/>
      <c r="LQA65" s="959"/>
      <c r="LQB65" s="953"/>
      <c r="LQC65" s="954"/>
      <c r="LQD65" s="955"/>
      <c r="LQE65" s="955"/>
      <c r="LQF65" s="820"/>
      <c r="LQG65" s="972"/>
      <c r="LQH65" s="955"/>
      <c r="LQI65" s="950"/>
      <c r="LQJ65" s="957"/>
      <c r="LQK65" s="950"/>
      <c r="LQL65" s="950"/>
      <c r="LQM65" s="957"/>
      <c r="LQN65" s="950"/>
      <c r="LQO65" s="950"/>
      <c r="LQP65" s="653"/>
      <c r="LQQ65" s="950"/>
      <c r="LQR65" s="951"/>
      <c r="LQS65" s="952"/>
      <c r="LQT65" s="959"/>
      <c r="LQU65" s="953"/>
      <c r="LQV65" s="954"/>
      <c r="LQW65" s="955"/>
      <c r="LQX65" s="955"/>
      <c r="LQY65" s="820"/>
      <c r="LQZ65" s="972"/>
      <c r="LRA65" s="955"/>
      <c r="LRB65" s="950"/>
      <c r="LRC65" s="957"/>
      <c r="LRD65" s="950"/>
      <c r="LRE65" s="950"/>
      <c r="LRF65" s="957"/>
      <c r="LRG65" s="950"/>
      <c r="LRH65" s="950"/>
      <c r="LRI65" s="653"/>
      <c r="LRJ65" s="950"/>
      <c r="LRK65" s="951"/>
      <c r="LRL65" s="952"/>
      <c r="LRM65" s="959"/>
      <c r="LRN65" s="953"/>
      <c r="LRO65" s="954"/>
      <c r="LRP65" s="955"/>
      <c r="LRQ65" s="955"/>
      <c r="LRR65" s="820"/>
      <c r="LRS65" s="972"/>
      <c r="LRT65" s="955"/>
      <c r="LRU65" s="950"/>
      <c r="LRV65" s="957"/>
      <c r="LRW65" s="950"/>
      <c r="LRX65" s="950"/>
      <c r="LRY65" s="957"/>
      <c r="LRZ65" s="950"/>
      <c r="LSA65" s="950"/>
      <c r="LSB65" s="653"/>
      <c r="LSC65" s="950"/>
      <c r="LSD65" s="951"/>
      <c r="LSE65" s="952"/>
      <c r="LSF65" s="959"/>
      <c r="LSG65" s="953"/>
      <c r="LSH65" s="954"/>
      <c r="LSI65" s="955"/>
      <c r="LSJ65" s="955"/>
      <c r="LSK65" s="820"/>
      <c r="LSL65" s="972"/>
      <c r="LSM65" s="955"/>
      <c r="LSN65" s="950"/>
      <c r="LSO65" s="957"/>
      <c r="LSP65" s="950"/>
      <c r="LSQ65" s="950"/>
      <c r="LSR65" s="957"/>
      <c r="LSS65" s="950"/>
      <c r="LST65" s="950"/>
      <c r="LSU65" s="653"/>
      <c r="LSV65" s="950"/>
      <c r="LSW65" s="951"/>
      <c r="LSX65" s="952"/>
      <c r="LSY65" s="959"/>
      <c r="LSZ65" s="953"/>
      <c r="LTA65" s="954"/>
      <c r="LTB65" s="955"/>
      <c r="LTC65" s="955"/>
      <c r="LTD65" s="820"/>
      <c r="LTE65" s="972"/>
      <c r="LTF65" s="955"/>
      <c r="LTG65" s="950"/>
      <c r="LTH65" s="957"/>
      <c r="LTI65" s="950"/>
      <c r="LTJ65" s="950"/>
      <c r="LTK65" s="957"/>
      <c r="LTL65" s="950"/>
      <c r="LTM65" s="950"/>
      <c r="LTN65" s="653"/>
      <c r="LTO65" s="950"/>
      <c r="LTP65" s="951"/>
      <c r="LTQ65" s="952"/>
      <c r="LTR65" s="959"/>
      <c r="LTS65" s="953"/>
      <c r="LTT65" s="954"/>
      <c r="LTU65" s="955"/>
      <c r="LTV65" s="955"/>
      <c r="LTW65" s="820"/>
      <c r="LTX65" s="972"/>
      <c r="LTY65" s="955"/>
      <c r="LTZ65" s="950"/>
      <c r="LUA65" s="957"/>
      <c r="LUB65" s="950"/>
      <c r="LUC65" s="950"/>
      <c r="LUD65" s="957"/>
      <c r="LUE65" s="950"/>
      <c r="LUF65" s="950"/>
      <c r="LUG65" s="653"/>
      <c r="LUH65" s="950"/>
      <c r="LUI65" s="951"/>
      <c r="LUJ65" s="952"/>
      <c r="LUK65" s="959"/>
      <c r="LUL65" s="953"/>
      <c r="LUM65" s="954"/>
      <c r="LUN65" s="955"/>
      <c r="LUO65" s="955"/>
      <c r="LUP65" s="820"/>
      <c r="LUQ65" s="972"/>
      <c r="LUR65" s="955"/>
      <c r="LUS65" s="950"/>
      <c r="LUT65" s="957"/>
      <c r="LUU65" s="950"/>
      <c r="LUV65" s="950"/>
      <c r="LUW65" s="957"/>
      <c r="LUX65" s="950"/>
      <c r="LUY65" s="950"/>
      <c r="LUZ65" s="653"/>
      <c r="LVA65" s="950"/>
      <c r="LVB65" s="951"/>
      <c r="LVC65" s="952"/>
      <c r="LVD65" s="959"/>
      <c r="LVE65" s="953"/>
      <c r="LVF65" s="954"/>
      <c r="LVG65" s="955"/>
      <c r="LVH65" s="955"/>
      <c r="LVI65" s="820"/>
      <c r="LVJ65" s="972"/>
      <c r="LVK65" s="955"/>
      <c r="LVL65" s="950"/>
      <c r="LVM65" s="957"/>
      <c r="LVN65" s="950"/>
      <c r="LVO65" s="950"/>
      <c r="LVP65" s="957"/>
      <c r="LVQ65" s="950"/>
      <c r="LVR65" s="950"/>
      <c r="LVS65" s="653"/>
      <c r="LVT65" s="950"/>
      <c r="LVU65" s="951"/>
      <c r="LVV65" s="952"/>
      <c r="LVW65" s="959"/>
      <c r="LVX65" s="953"/>
      <c r="LVY65" s="954"/>
      <c r="LVZ65" s="955"/>
      <c r="LWA65" s="955"/>
      <c r="LWB65" s="820"/>
      <c r="LWC65" s="972"/>
      <c r="LWD65" s="955"/>
      <c r="LWE65" s="950"/>
      <c r="LWF65" s="957"/>
      <c r="LWG65" s="950"/>
      <c r="LWH65" s="950"/>
      <c r="LWI65" s="957"/>
      <c r="LWJ65" s="950"/>
      <c r="LWK65" s="950"/>
      <c r="LWL65" s="653"/>
      <c r="LWM65" s="950"/>
      <c r="LWN65" s="951"/>
      <c r="LWO65" s="952"/>
      <c r="LWP65" s="959"/>
      <c r="LWQ65" s="953"/>
      <c r="LWR65" s="954"/>
      <c r="LWS65" s="955"/>
      <c r="LWT65" s="955"/>
      <c r="LWU65" s="820"/>
      <c r="LWV65" s="972"/>
      <c r="LWW65" s="955"/>
      <c r="LWX65" s="950"/>
      <c r="LWY65" s="957"/>
      <c r="LWZ65" s="950"/>
      <c r="LXA65" s="950"/>
      <c r="LXB65" s="957"/>
      <c r="LXC65" s="950"/>
      <c r="LXD65" s="950"/>
      <c r="LXE65" s="653"/>
      <c r="LXF65" s="950"/>
      <c r="LXG65" s="951"/>
      <c r="LXH65" s="952"/>
      <c r="LXI65" s="959"/>
      <c r="LXJ65" s="953"/>
      <c r="LXK65" s="954"/>
      <c r="LXL65" s="955"/>
      <c r="LXM65" s="955"/>
      <c r="LXN65" s="820"/>
      <c r="LXO65" s="972"/>
      <c r="LXP65" s="955"/>
      <c r="LXQ65" s="950"/>
      <c r="LXR65" s="957"/>
      <c r="LXS65" s="950"/>
      <c r="LXT65" s="950"/>
      <c r="LXU65" s="957"/>
      <c r="LXV65" s="950"/>
      <c r="LXW65" s="950"/>
      <c r="LXX65" s="653"/>
      <c r="LXY65" s="950"/>
      <c r="LXZ65" s="951"/>
      <c r="LYA65" s="952"/>
      <c r="LYB65" s="959"/>
      <c r="LYC65" s="953"/>
      <c r="LYD65" s="954"/>
      <c r="LYE65" s="955"/>
      <c r="LYF65" s="955"/>
      <c r="LYG65" s="820"/>
      <c r="LYH65" s="972"/>
      <c r="LYI65" s="955"/>
      <c r="LYJ65" s="950"/>
      <c r="LYK65" s="957"/>
      <c r="LYL65" s="950"/>
      <c r="LYM65" s="950"/>
      <c r="LYN65" s="957"/>
      <c r="LYO65" s="950"/>
      <c r="LYP65" s="950"/>
      <c r="LYQ65" s="653"/>
      <c r="LYR65" s="950"/>
      <c r="LYS65" s="951"/>
      <c r="LYT65" s="952"/>
      <c r="LYU65" s="959"/>
      <c r="LYV65" s="953"/>
      <c r="LYW65" s="954"/>
      <c r="LYX65" s="955"/>
      <c r="LYY65" s="955"/>
      <c r="LYZ65" s="820"/>
      <c r="LZA65" s="972"/>
      <c r="LZB65" s="955"/>
      <c r="LZC65" s="950"/>
      <c r="LZD65" s="957"/>
      <c r="LZE65" s="950"/>
      <c r="LZF65" s="950"/>
      <c r="LZG65" s="957"/>
      <c r="LZH65" s="950"/>
      <c r="LZI65" s="950"/>
      <c r="LZJ65" s="653"/>
      <c r="LZK65" s="950"/>
      <c r="LZL65" s="951"/>
      <c r="LZM65" s="952"/>
      <c r="LZN65" s="959"/>
      <c r="LZO65" s="953"/>
      <c r="LZP65" s="954"/>
      <c r="LZQ65" s="955"/>
      <c r="LZR65" s="955"/>
      <c r="LZS65" s="820"/>
      <c r="LZT65" s="972"/>
      <c r="LZU65" s="955"/>
      <c r="LZV65" s="950"/>
      <c r="LZW65" s="957"/>
      <c r="LZX65" s="950"/>
      <c r="LZY65" s="950"/>
      <c r="LZZ65" s="957"/>
      <c r="MAA65" s="950"/>
      <c r="MAB65" s="950"/>
      <c r="MAC65" s="653"/>
      <c r="MAD65" s="950"/>
      <c r="MAE65" s="951"/>
      <c r="MAF65" s="952"/>
      <c r="MAG65" s="959"/>
      <c r="MAH65" s="953"/>
      <c r="MAI65" s="954"/>
      <c r="MAJ65" s="955"/>
      <c r="MAK65" s="955"/>
      <c r="MAL65" s="820"/>
      <c r="MAM65" s="972"/>
      <c r="MAN65" s="955"/>
      <c r="MAO65" s="950"/>
      <c r="MAP65" s="957"/>
      <c r="MAQ65" s="950"/>
      <c r="MAR65" s="950"/>
      <c r="MAS65" s="957"/>
      <c r="MAT65" s="950"/>
      <c r="MAU65" s="950"/>
      <c r="MAV65" s="653"/>
      <c r="MAW65" s="950"/>
      <c r="MAX65" s="951"/>
      <c r="MAY65" s="952"/>
      <c r="MAZ65" s="959"/>
      <c r="MBA65" s="953"/>
      <c r="MBB65" s="954"/>
      <c r="MBC65" s="955"/>
      <c r="MBD65" s="955"/>
      <c r="MBE65" s="820"/>
      <c r="MBF65" s="972"/>
      <c r="MBG65" s="955"/>
      <c r="MBH65" s="950"/>
      <c r="MBI65" s="957"/>
      <c r="MBJ65" s="950"/>
      <c r="MBK65" s="950"/>
      <c r="MBL65" s="957"/>
      <c r="MBM65" s="950"/>
      <c r="MBN65" s="950"/>
      <c r="MBO65" s="653"/>
      <c r="MBP65" s="950"/>
      <c r="MBQ65" s="951"/>
      <c r="MBR65" s="952"/>
      <c r="MBS65" s="959"/>
      <c r="MBT65" s="953"/>
      <c r="MBU65" s="954"/>
      <c r="MBV65" s="955"/>
      <c r="MBW65" s="955"/>
      <c r="MBX65" s="820"/>
      <c r="MBY65" s="972"/>
      <c r="MBZ65" s="955"/>
      <c r="MCA65" s="950"/>
      <c r="MCB65" s="957"/>
      <c r="MCC65" s="950"/>
      <c r="MCD65" s="950"/>
      <c r="MCE65" s="957"/>
      <c r="MCF65" s="950"/>
      <c r="MCG65" s="950"/>
      <c r="MCH65" s="653"/>
      <c r="MCI65" s="950"/>
      <c r="MCJ65" s="951"/>
      <c r="MCK65" s="952"/>
      <c r="MCL65" s="959"/>
      <c r="MCM65" s="953"/>
      <c r="MCN65" s="954"/>
      <c r="MCO65" s="955"/>
      <c r="MCP65" s="955"/>
      <c r="MCQ65" s="820"/>
      <c r="MCR65" s="972"/>
      <c r="MCS65" s="955"/>
      <c r="MCT65" s="950"/>
      <c r="MCU65" s="957"/>
      <c r="MCV65" s="950"/>
      <c r="MCW65" s="950"/>
      <c r="MCX65" s="957"/>
      <c r="MCY65" s="950"/>
      <c r="MCZ65" s="950"/>
      <c r="MDA65" s="653"/>
      <c r="MDB65" s="950"/>
      <c r="MDC65" s="951"/>
      <c r="MDD65" s="952"/>
      <c r="MDE65" s="959"/>
      <c r="MDF65" s="953"/>
      <c r="MDG65" s="954"/>
      <c r="MDH65" s="955"/>
      <c r="MDI65" s="955"/>
      <c r="MDJ65" s="820"/>
      <c r="MDK65" s="972"/>
      <c r="MDL65" s="955"/>
      <c r="MDM65" s="950"/>
      <c r="MDN65" s="957"/>
      <c r="MDO65" s="950"/>
      <c r="MDP65" s="950"/>
      <c r="MDQ65" s="957"/>
      <c r="MDR65" s="950"/>
      <c r="MDS65" s="950"/>
      <c r="MDT65" s="653"/>
      <c r="MDU65" s="950"/>
      <c r="MDV65" s="951"/>
      <c r="MDW65" s="952"/>
      <c r="MDX65" s="959"/>
      <c r="MDY65" s="953"/>
      <c r="MDZ65" s="954"/>
      <c r="MEA65" s="955"/>
      <c r="MEB65" s="955"/>
      <c r="MEC65" s="820"/>
      <c r="MED65" s="972"/>
      <c r="MEE65" s="955"/>
      <c r="MEF65" s="950"/>
      <c r="MEG65" s="957"/>
      <c r="MEH65" s="950"/>
      <c r="MEI65" s="950"/>
      <c r="MEJ65" s="957"/>
      <c r="MEK65" s="950"/>
      <c r="MEL65" s="950"/>
      <c r="MEM65" s="653"/>
      <c r="MEN65" s="950"/>
      <c r="MEO65" s="951"/>
      <c r="MEP65" s="952"/>
      <c r="MEQ65" s="959"/>
      <c r="MER65" s="953"/>
      <c r="MES65" s="954"/>
      <c r="MET65" s="955"/>
      <c r="MEU65" s="955"/>
      <c r="MEV65" s="820"/>
      <c r="MEW65" s="972"/>
      <c r="MEX65" s="955"/>
      <c r="MEY65" s="950"/>
      <c r="MEZ65" s="957"/>
      <c r="MFA65" s="950"/>
      <c r="MFB65" s="950"/>
      <c r="MFC65" s="957"/>
      <c r="MFD65" s="950"/>
      <c r="MFE65" s="950"/>
      <c r="MFF65" s="653"/>
      <c r="MFG65" s="950"/>
      <c r="MFH65" s="951"/>
      <c r="MFI65" s="952"/>
      <c r="MFJ65" s="959"/>
      <c r="MFK65" s="953"/>
      <c r="MFL65" s="954"/>
      <c r="MFM65" s="955"/>
      <c r="MFN65" s="955"/>
      <c r="MFO65" s="820"/>
      <c r="MFP65" s="972"/>
      <c r="MFQ65" s="955"/>
      <c r="MFR65" s="950"/>
      <c r="MFS65" s="957"/>
      <c r="MFT65" s="950"/>
      <c r="MFU65" s="950"/>
      <c r="MFV65" s="957"/>
      <c r="MFW65" s="950"/>
      <c r="MFX65" s="950"/>
      <c r="MFY65" s="653"/>
      <c r="MFZ65" s="950"/>
      <c r="MGA65" s="951"/>
      <c r="MGB65" s="952"/>
      <c r="MGC65" s="959"/>
      <c r="MGD65" s="953"/>
      <c r="MGE65" s="954"/>
      <c r="MGF65" s="955"/>
      <c r="MGG65" s="955"/>
      <c r="MGH65" s="820"/>
      <c r="MGI65" s="972"/>
      <c r="MGJ65" s="955"/>
      <c r="MGK65" s="950"/>
      <c r="MGL65" s="957"/>
      <c r="MGM65" s="950"/>
      <c r="MGN65" s="950"/>
      <c r="MGO65" s="957"/>
      <c r="MGP65" s="950"/>
      <c r="MGQ65" s="950"/>
      <c r="MGR65" s="653"/>
      <c r="MGS65" s="950"/>
      <c r="MGT65" s="951"/>
      <c r="MGU65" s="952"/>
      <c r="MGV65" s="959"/>
      <c r="MGW65" s="953"/>
      <c r="MGX65" s="954"/>
      <c r="MGY65" s="955"/>
      <c r="MGZ65" s="955"/>
      <c r="MHA65" s="820"/>
      <c r="MHB65" s="972"/>
      <c r="MHC65" s="955"/>
      <c r="MHD65" s="950"/>
      <c r="MHE65" s="957"/>
      <c r="MHF65" s="950"/>
      <c r="MHG65" s="950"/>
      <c r="MHH65" s="957"/>
      <c r="MHI65" s="950"/>
      <c r="MHJ65" s="950"/>
      <c r="MHK65" s="653"/>
      <c r="MHL65" s="950"/>
      <c r="MHM65" s="951"/>
      <c r="MHN65" s="952"/>
      <c r="MHO65" s="959"/>
      <c r="MHP65" s="953"/>
      <c r="MHQ65" s="954"/>
      <c r="MHR65" s="955"/>
      <c r="MHS65" s="955"/>
      <c r="MHT65" s="820"/>
      <c r="MHU65" s="972"/>
      <c r="MHV65" s="955"/>
      <c r="MHW65" s="950"/>
      <c r="MHX65" s="957"/>
      <c r="MHY65" s="950"/>
      <c r="MHZ65" s="950"/>
      <c r="MIA65" s="957"/>
      <c r="MIB65" s="950"/>
      <c r="MIC65" s="950"/>
      <c r="MID65" s="653"/>
      <c r="MIE65" s="950"/>
      <c r="MIF65" s="951"/>
      <c r="MIG65" s="952"/>
      <c r="MIH65" s="959"/>
      <c r="MII65" s="953"/>
      <c r="MIJ65" s="954"/>
      <c r="MIK65" s="955"/>
      <c r="MIL65" s="955"/>
      <c r="MIM65" s="820"/>
      <c r="MIN65" s="972"/>
      <c r="MIO65" s="955"/>
      <c r="MIP65" s="950"/>
      <c r="MIQ65" s="957"/>
      <c r="MIR65" s="950"/>
      <c r="MIS65" s="950"/>
      <c r="MIT65" s="957"/>
      <c r="MIU65" s="950"/>
      <c r="MIV65" s="950"/>
      <c r="MIW65" s="653"/>
      <c r="MIX65" s="950"/>
      <c r="MIY65" s="951"/>
      <c r="MIZ65" s="952"/>
      <c r="MJA65" s="959"/>
      <c r="MJB65" s="953"/>
      <c r="MJC65" s="954"/>
      <c r="MJD65" s="955"/>
      <c r="MJE65" s="955"/>
      <c r="MJF65" s="820"/>
      <c r="MJG65" s="972"/>
      <c r="MJH65" s="955"/>
      <c r="MJI65" s="950"/>
      <c r="MJJ65" s="957"/>
      <c r="MJK65" s="950"/>
      <c r="MJL65" s="950"/>
      <c r="MJM65" s="957"/>
      <c r="MJN65" s="950"/>
      <c r="MJO65" s="950"/>
      <c r="MJP65" s="653"/>
      <c r="MJQ65" s="950"/>
      <c r="MJR65" s="951"/>
      <c r="MJS65" s="952"/>
      <c r="MJT65" s="959"/>
      <c r="MJU65" s="953"/>
      <c r="MJV65" s="954"/>
      <c r="MJW65" s="955"/>
      <c r="MJX65" s="955"/>
      <c r="MJY65" s="820"/>
      <c r="MJZ65" s="972"/>
      <c r="MKA65" s="955"/>
      <c r="MKB65" s="950"/>
      <c r="MKC65" s="957"/>
      <c r="MKD65" s="950"/>
      <c r="MKE65" s="950"/>
      <c r="MKF65" s="957"/>
      <c r="MKG65" s="950"/>
      <c r="MKH65" s="950"/>
      <c r="MKI65" s="653"/>
      <c r="MKJ65" s="950"/>
      <c r="MKK65" s="951"/>
      <c r="MKL65" s="952"/>
      <c r="MKM65" s="959"/>
      <c r="MKN65" s="953"/>
      <c r="MKO65" s="954"/>
      <c r="MKP65" s="955"/>
      <c r="MKQ65" s="955"/>
      <c r="MKR65" s="820"/>
      <c r="MKS65" s="972"/>
      <c r="MKT65" s="955"/>
      <c r="MKU65" s="950"/>
      <c r="MKV65" s="957"/>
      <c r="MKW65" s="950"/>
      <c r="MKX65" s="950"/>
      <c r="MKY65" s="957"/>
      <c r="MKZ65" s="950"/>
      <c r="MLA65" s="950"/>
      <c r="MLB65" s="653"/>
      <c r="MLC65" s="950"/>
      <c r="MLD65" s="951"/>
      <c r="MLE65" s="952"/>
      <c r="MLF65" s="959"/>
      <c r="MLG65" s="953"/>
      <c r="MLH65" s="954"/>
      <c r="MLI65" s="955"/>
      <c r="MLJ65" s="955"/>
      <c r="MLK65" s="820"/>
      <c r="MLL65" s="972"/>
      <c r="MLM65" s="955"/>
      <c r="MLN65" s="950"/>
      <c r="MLO65" s="957"/>
      <c r="MLP65" s="950"/>
      <c r="MLQ65" s="950"/>
      <c r="MLR65" s="957"/>
      <c r="MLS65" s="950"/>
      <c r="MLT65" s="950"/>
      <c r="MLU65" s="653"/>
      <c r="MLV65" s="950"/>
      <c r="MLW65" s="951"/>
      <c r="MLX65" s="952"/>
      <c r="MLY65" s="959"/>
      <c r="MLZ65" s="953"/>
      <c r="MMA65" s="954"/>
      <c r="MMB65" s="955"/>
      <c r="MMC65" s="955"/>
      <c r="MMD65" s="820"/>
      <c r="MME65" s="972"/>
      <c r="MMF65" s="955"/>
      <c r="MMG65" s="950"/>
      <c r="MMH65" s="957"/>
      <c r="MMI65" s="950"/>
      <c r="MMJ65" s="950"/>
      <c r="MMK65" s="957"/>
      <c r="MML65" s="950"/>
      <c r="MMM65" s="950"/>
      <c r="MMN65" s="653"/>
      <c r="MMO65" s="950"/>
      <c r="MMP65" s="951"/>
      <c r="MMQ65" s="952"/>
      <c r="MMR65" s="959"/>
      <c r="MMS65" s="953"/>
      <c r="MMT65" s="954"/>
      <c r="MMU65" s="955"/>
      <c r="MMV65" s="955"/>
      <c r="MMW65" s="820"/>
      <c r="MMX65" s="972"/>
      <c r="MMY65" s="955"/>
      <c r="MMZ65" s="950"/>
      <c r="MNA65" s="957"/>
      <c r="MNB65" s="950"/>
      <c r="MNC65" s="950"/>
      <c r="MND65" s="957"/>
      <c r="MNE65" s="950"/>
      <c r="MNF65" s="950"/>
      <c r="MNG65" s="653"/>
      <c r="MNH65" s="950"/>
      <c r="MNI65" s="951"/>
      <c r="MNJ65" s="952"/>
      <c r="MNK65" s="959"/>
      <c r="MNL65" s="953"/>
      <c r="MNM65" s="954"/>
      <c r="MNN65" s="955"/>
      <c r="MNO65" s="955"/>
      <c r="MNP65" s="820"/>
      <c r="MNQ65" s="972"/>
      <c r="MNR65" s="955"/>
      <c r="MNS65" s="950"/>
      <c r="MNT65" s="957"/>
      <c r="MNU65" s="950"/>
      <c r="MNV65" s="950"/>
      <c r="MNW65" s="957"/>
      <c r="MNX65" s="950"/>
      <c r="MNY65" s="950"/>
      <c r="MNZ65" s="653"/>
      <c r="MOA65" s="950"/>
      <c r="MOB65" s="951"/>
      <c r="MOC65" s="952"/>
      <c r="MOD65" s="959"/>
      <c r="MOE65" s="953"/>
      <c r="MOF65" s="954"/>
      <c r="MOG65" s="955"/>
      <c r="MOH65" s="955"/>
      <c r="MOI65" s="820"/>
      <c r="MOJ65" s="972"/>
      <c r="MOK65" s="955"/>
      <c r="MOL65" s="950"/>
      <c r="MOM65" s="957"/>
      <c r="MON65" s="950"/>
      <c r="MOO65" s="950"/>
      <c r="MOP65" s="957"/>
      <c r="MOQ65" s="950"/>
      <c r="MOR65" s="950"/>
      <c r="MOS65" s="653"/>
      <c r="MOT65" s="950"/>
      <c r="MOU65" s="951"/>
      <c r="MOV65" s="952"/>
      <c r="MOW65" s="959"/>
      <c r="MOX65" s="953"/>
      <c r="MOY65" s="954"/>
      <c r="MOZ65" s="955"/>
      <c r="MPA65" s="955"/>
      <c r="MPB65" s="820"/>
      <c r="MPC65" s="972"/>
      <c r="MPD65" s="955"/>
      <c r="MPE65" s="950"/>
      <c r="MPF65" s="957"/>
      <c r="MPG65" s="950"/>
      <c r="MPH65" s="950"/>
      <c r="MPI65" s="957"/>
      <c r="MPJ65" s="950"/>
      <c r="MPK65" s="950"/>
      <c r="MPL65" s="653"/>
      <c r="MPM65" s="950"/>
      <c r="MPN65" s="951"/>
      <c r="MPO65" s="952"/>
      <c r="MPP65" s="959"/>
      <c r="MPQ65" s="953"/>
      <c r="MPR65" s="954"/>
      <c r="MPS65" s="955"/>
      <c r="MPT65" s="955"/>
      <c r="MPU65" s="820"/>
      <c r="MPV65" s="972"/>
      <c r="MPW65" s="955"/>
      <c r="MPX65" s="950"/>
      <c r="MPY65" s="957"/>
      <c r="MPZ65" s="950"/>
      <c r="MQA65" s="950"/>
      <c r="MQB65" s="957"/>
      <c r="MQC65" s="950"/>
      <c r="MQD65" s="950"/>
      <c r="MQE65" s="653"/>
      <c r="MQF65" s="950"/>
      <c r="MQG65" s="951"/>
      <c r="MQH65" s="952"/>
      <c r="MQI65" s="959"/>
      <c r="MQJ65" s="953"/>
      <c r="MQK65" s="954"/>
      <c r="MQL65" s="955"/>
      <c r="MQM65" s="955"/>
      <c r="MQN65" s="820"/>
      <c r="MQO65" s="972"/>
      <c r="MQP65" s="955"/>
      <c r="MQQ65" s="950"/>
      <c r="MQR65" s="957"/>
      <c r="MQS65" s="950"/>
      <c r="MQT65" s="950"/>
      <c r="MQU65" s="957"/>
      <c r="MQV65" s="950"/>
      <c r="MQW65" s="950"/>
      <c r="MQX65" s="653"/>
      <c r="MQY65" s="950"/>
      <c r="MQZ65" s="951"/>
      <c r="MRA65" s="952"/>
      <c r="MRB65" s="959"/>
      <c r="MRC65" s="953"/>
      <c r="MRD65" s="954"/>
      <c r="MRE65" s="955"/>
      <c r="MRF65" s="955"/>
      <c r="MRG65" s="820"/>
      <c r="MRH65" s="972"/>
      <c r="MRI65" s="955"/>
      <c r="MRJ65" s="950"/>
      <c r="MRK65" s="957"/>
      <c r="MRL65" s="950"/>
      <c r="MRM65" s="950"/>
      <c r="MRN65" s="957"/>
      <c r="MRO65" s="950"/>
      <c r="MRP65" s="950"/>
      <c r="MRQ65" s="653"/>
      <c r="MRR65" s="950"/>
      <c r="MRS65" s="951"/>
      <c r="MRT65" s="952"/>
      <c r="MRU65" s="959"/>
      <c r="MRV65" s="953"/>
      <c r="MRW65" s="954"/>
      <c r="MRX65" s="955"/>
      <c r="MRY65" s="955"/>
      <c r="MRZ65" s="820"/>
      <c r="MSA65" s="972"/>
      <c r="MSB65" s="955"/>
      <c r="MSC65" s="950"/>
      <c r="MSD65" s="957"/>
      <c r="MSE65" s="950"/>
      <c r="MSF65" s="950"/>
      <c r="MSG65" s="957"/>
      <c r="MSH65" s="950"/>
      <c r="MSI65" s="950"/>
      <c r="MSJ65" s="653"/>
      <c r="MSK65" s="950"/>
      <c r="MSL65" s="951"/>
      <c r="MSM65" s="952"/>
      <c r="MSN65" s="959"/>
      <c r="MSO65" s="953"/>
      <c r="MSP65" s="954"/>
      <c r="MSQ65" s="955"/>
      <c r="MSR65" s="955"/>
      <c r="MSS65" s="820"/>
      <c r="MST65" s="972"/>
      <c r="MSU65" s="955"/>
      <c r="MSV65" s="950"/>
      <c r="MSW65" s="957"/>
      <c r="MSX65" s="950"/>
      <c r="MSY65" s="950"/>
      <c r="MSZ65" s="957"/>
      <c r="MTA65" s="950"/>
      <c r="MTB65" s="950"/>
      <c r="MTC65" s="653"/>
      <c r="MTD65" s="950"/>
      <c r="MTE65" s="951"/>
      <c r="MTF65" s="952"/>
      <c r="MTG65" s="959"/>
      <c r="MTH65" s="953"/>
      <c r="MTI65" s="954"/>
      <c r="MTJ65" s="955"/>
      <c r="MTK65" s="955"/>
      <c r="MTL65" s="820"/>
      <c r="MTM65" s="972"/>
      <c r="MTN65" s="955"/>
      <c r="MTO65" s="950"/>
      <c r="MTP65" s="957"/>
      <c r="MTQ65" s="950"/>
      <c r="MTR65" s="950"/>
      <c r="MTS65" s="957"/>
      <c r="MTT65" s="950"/>
      <c r="MTU65" s="950"/>
      <c r="MTV65" s="653"/>
      <c r="MTW65" s="950"/>
      <c r="MTX65" s="951"/>
      <c r="MTY65" s="952"/>
      <c r="MTZ65" s="959"/>
      <c r="MUA65" s="953"/>
      <c r="MUB65" s="954"/>
      <c r="MUC65" s="955"/>
      <c r="MUD65" s="955"/>
      <c r="MUE65" s="820"/>
      <c r="MUF65" s="972"/>
      <c r="MUG65" s="955"/>
      <c r="MUH65" s="950"/>
      <c r="MUI65" s="957"/>
      <c r="MUJ65" s="950"/>
      <c r="MUK65" s="950"/>
      <c r="MUL65" s="957"/>
      <c r="MUM65" s="950"/>
      <c r="MUN65" s="950"/>
      <c r="MUO65" s="653"/>
      <c r="MUP65" s="950"/>
      <c r="MUQ65" s="951"/>
      <c r="MUR65" s="952"/>
      <c r="MUS65" s="959"/>
      <c r="MUT65" s="953"/>
      <c r="MUU65" s="954"/>
      <c r="MUV65" s="955"/>
      <c r="MUW65" s="955"/>
      <c r="MUX65" s="820"/>
      <c r="MUY65" s="972"/>
      <c r="MUZ65" s="955"/>
      <c r="MVA65" s="950"/>
      <c r="MVB65" s="957"/>
      <c r="MVC65" s="950"/>
      <c r="MVD65" s="950"/>
      <c r="MVE65" s="957"/>
      <c r="MVF65" s="950"/>
      <c r="MVG65" s="950"/>
      <c r="MVH65" s="653"/>
      <c r="MVI65" s="950"/>
      <c r="MVJ65" s="951"/>
      <c r="MVK65" s="952"/>
      <c r="MVL65" s="959"/>
      <c r="MVM65" s="953"/>
      <c r="MVN65" s="954"/>
      <c r="MVO65" s="955"/>
      <c r="MVP65" s="955"/>
      <c r="MVQ65" s="820"/>
      <c r="MVR65" s="972"/>
      <c r="MVS65" s="955"/>
      <c r="MVT65" s="950"/>
      <c r="MVU65" s="957"/>
      <c r="MVV65" s="950"/>
      <c r="MVW65" s="950"/>
      <c r="MVX65" s="957"/>
      <c r="MVY65" s="950"/>
      <c r="MVZ65" s="950"/>
      <c r="MWA65" s="653"/>
      <c r="MWB65" s="950"/>
      <c r="MWC65" s="951"/>
      <c r="MWD65" s="952"/>
      <c r="MWE65" s="959"/>
      <c r="MWF65" s="953"/>
      <c r="MWG65" s="954"/>
      <c r="MWH65" s="955"/>
      <c r="MWI65" s="955"/>
      <c r="MWJ65" s="820"/>
      <c r="MWK65" s="972"/>
      <c r="MWL65" s="955"/>
      <c r="MWM65" s="950"/>
      <c r="MWN65" s="957"/>
      <c r="MWO65" s="950"/>
      <c r="MWP65" s="950"/>
      <c r="MWQ65" s="957"/>
      <c r="MWR65" s="950"/>
      <c r="MWS65" s="950"/>
      <c r="MWT65" s="653"/>
      <c r="MWU65" s="950"/>
      <c r="MWV65" s="951"/>
      <c r="MWW65" s="952"/>
      <c r="MWX65" s="959"/>
      <c r="MWY65" s="953"/>
      <c r="MWZ65" s="954"/>
      <c r="MXA65" s="955"/>
      <c r="MXB65" s="955"/>
      <c r="MXC65" s="820"/>
      <c r="MXD65" s="972"/>
      <c r="MXE65" s="955"/>
      <c r="MXF65" s="950"/>
      <c r="MXG65" s="957"/>
      <c r="MXH65" s="950"/>
      <c r="MXI65" s="950"/>
      <c r="MXJ65" s="957"/>
      <c r="MXK65" s="950"/>
      <c r="MXL65" s="950"/>
      <c r="MXM65" s="653"/>
      <c r="MXN65" s="950"/>
      <c r="MXO65" s="951"/>
      <c r="MXP65" s="952"/>
      <c r="MXQ65" s="959"/>
      <c r="MXR65" s="953"/>
      <c r="MXS65" s="954"/>
      <c r="MXT65" s="955"/>
      <c r="MXU65" s="955"/>
      <c r="MXV65" s="820"/>
      <c r="MXW65" s="972"/>
      <c r="MXX65" s="955"/>
      <c r="MXY65" s="950"/>
      <c r="MXZ65" s="957"/>
      <c r="MYA65" s="950"/>
      <c r="MYB65" s="950"/>
      <c r="MYC65" s="957"/>
      <c r="MYD65" s="950"/>
      <c r="MYE65" s="950"/>
      <c r="MYF65" s="653"/>
      <c r="MYG65" s="950"/>
      <c r="MYH65" s="951"/>
      <c r="MYI65" s="952"/>
      <c r="MYJ65" s="959"/>
      <c r="MYK65" s="953"/>
      <c r="MYL65" s="954"/>
      <c r="MYM65" s="955"/>
      <c r="MYN65" s="955"/>
      <c r="MYO65" s="820"/>
      <c r="MYP65" s="972"/>
      <c r="MYQ65" s="955"/>
      <c r="MYR65" s="950"/>
      <c r="MYS65" s="957"/>
      <c r="MYT65" s="950"/>
      <c r="MYU65" s="950"/>
      <c r="MYV65" s="957"/>
      <c r="MYW65" s="950"/>
      <c r="MYX65" s="950"/>
      <c r="MYY65" s="653"/>
      <c r="MYZ65" s="950"/>
      <c r="MZA65" s="951"/>
      <c r="MZB65" s="952"/>
      <c r="MZC65" s="959"/>
      <c r="MZD65" s="953"/>
      <c r="MZE65" s="954"/>
      <c r="MZF65" s="955"/>
      <c r="MZG65" s="955"/>
      <c r="MZH65" s="820"/>
      <c r="MZI65" s="972"/>
      <c r="MZJ65" s="955"/>
      <c r="MZK65" s="950"/>
      <c r="MZL65" s="957"/>
      <c r="MZM65" s="950"/>
      <c r="MZN65" s="950"/>
      <c r="MZO65" s="957"/>
      <c r="MZP65" s="950"/>
      <c r="MZQ65" s="950"/>
      <c r="MZR65" s="653"/>
      <c r="MZS65" s="950"/>
      <c r="MZT65" s="951"/>
      <c r="MZU65" s="952"/>
      <c r="MZV65" s="959"/>
      <c r="MZW65" s="953"/>
      <c r="MZX65" s="954"/>
      <c r="MZY65" s="955"/>
      <c r="MZZ65" s="955"/>
      <c r="NAA65" s="820"/>
      <c r="NAB65" s="972"/>
      <c r="NAC65" s="955"/>
      <c r="NAD65" s="950"/>
      <c r="NAE65" s="957"/>
      <c r="NAF65" s="950"/>
      <c r="NAG65" s="950"/>
      <c r="NAH65" s="957"/>
      <c r="NAI65" s="950"/>
      <c r="NAJ65" s="950"/>
      <c r="NAK65" s="653"/>
      <c r="NAL65" s="950"/>
      <c r="NAM65" s="951"/>
      <c r="NAN65" s="952"/>
      <c r="NAO65" s="959"/>
      <c r="NAP65" s="953"/>
      <c r="NAQ65" s="954"/>
      <c r="NAR65" s="955"/>
      <c r="NAS65" s="955"/>
      <c r="NAT65" s="820"/>
      <c r="NAU65" s="972"/>
      <c r="NAV65" s="955"/>
      <c r="NAW65" s="950"/>
      <c r="NAX65" s="957"/>
      <c r="NAY65" s="950"/>
      <c r="NAZ65" s="950"/>
      <c r="NBA65" s="957"/>
      <c r="NBB65" s="950"/>
      <c r="NBC65" s="950"/>
      <c r="NBD65" s="653"/>
      <c r="NBE65" s="950"/>
      <c r="NBF65" s="951"/>
      <c r="NBG65" s="952"/>
      <c r="NBH65" s="959"/>
      <c r="NBI65" s="953"/>
      <c r="NBJ65" s="954"/>
      <c r="NBK65" s="955"/>
      <c r="NBL65" s="955"/>
      <c r="NBM65" s="820"/>
      <c r="NBN65" s="972"/>
      <c r="NBO65" s="955"/>
      <c r="NBP65" s="950"/>
      <c r="NBQ65" s="957"/>
      <c r="NBR65" s="950"/>
      <c r="NBS65" s="950"/>
      <c r="NBT65" s="957"/>
      <c r="NBU65" s="950"/>
      <c r="NBV65" s="950"/>
      <c r="NBW65" s="653"/>
      <c r="NBX65" s="950"/>
      <c r="NBY65" s="951"/>
      <c r="NBZ65" s="952"/>
      <c r="NCA65" s="959"/>
      <c r="NCB65" s="953"/>
      <c r="NCC65" s="954"/>
      <c r="NCD65" s="955"/>
      <c r="NCE65" s="955"/>
      <c r="NCF65" s="820"/>
      <c r="NCG65" s="972"/>
      <c r="NCH65" s="955"/>
      <c r="NCI65" s="950"/>
      <c r="NCJ65" s="957"/>
      <c r="NCK65" s="950"/>
      <c r="NCL65" s="950"/>
      <c r="NCM65" s="957"/>
      <c r="NCN65" s="950"/>
      <c r="NCO65" s="950"/>
      <c r="NCP65" s="653"/>
      <c r="NCQ65" s="950"/>
      <c r="NCR65" s="951"/>
      <c r="NCS65" s="952"/>
      <c r="NCT65" s="959"/>
      <c r="NCU65" s="953"/>
      <c r="NCV65" s="954"/>
      <c r="NCW65" s="955"/>
      <c r="NCX65" s="955"/>
      <c r="NCY65" s="820"/>
      <c r="NCZ65" s="972"/>
      <c r="NDA65" s="955"/>
      <c r="NDB65" s="950"/>
      <c r="NDC65" s="957"/>
      <c r="NDD65" s="950"/>
      <c r="NDE65" s="950"/>
      <c r="NDF65" s="957"/>
      <c r="NDG65" s="950"/>
      <c r="NDH65" s="950"/>
      <c r="NDI65" s="653"/>
      <c r="NDJ65" s="950"/>
      <c r="NDK65" s="951"/>
      <c r="NDL65" s="952"/>
      <c r="NDM65" s="959"/>
      <c r="NDN65" s="953"/>
      <c r="NDO65" s="954"/>
      <c r="NDP65" s="955"/>
      <c r="NDQ65" s="955"/>
      <c r="NDR65" s="820"/>
      <c r="NDS65" s="972"/>
      <c r="NDT65" s="955"/>
      <c r="NDU65" s="950"/>
      <c r="NDV65" s="957"/>
      <c r="NDW65" s="950"/>
      <c r="NDX65" s="950"/>
      <c r="NDY65" s="957"/>
      <c r="NDZ65" s="950"/>
      <c r="NEA65" s="950"/>
      <c r="NEB65" s="653"/>
      <c r="NEC65" s="950"/>
      <c r="NED65" s="951"/>
      <c r="NEE65" s="952"/>
      <c r="NEF65" s="959"/>
      <c r="NEG65" s="953"/>
      <c r="NEH65" s="954"/>
      <c r="NEI65" s="955"/>
      <c r="NEJ65" s="955"/>
      <c r="NEK65" s="820"/>
      <c r="NEL65" s="972"/>
      <c r="NEM65" s="955"/>
      <c r="NEN65" s="950"/>
      <c r="NEO65" s="957"/>
      <c r="NEP65" s="950"/>
      <c r="NEQ65" s="950"/>
      <c r="NER65" s="957"/>
      <c r="NES65" s="950"/>
      <c r="NET65" s="950"/>
      <c r="NEU65" s="653"/>
      <c r="NEV65" s="950"/>
      <c r="NEW65" s="951"/>
      <c r="NEX65" s="952"/>
      <c r="NEY65" s="959"/>
      <c r="NEZ65" s="953"/>
      <c r="NFA65" s="954"/>
      <c r="NFB65" s="955"/>
      <c r="NFC65" s="955"/>
      <c r="NFD65" s="820"/>
      <c r="NFE65" s="972"/>
      <c r="NFF65" s="955"/>
      <c r="NFG65" s="950"/>
      <c r="NFH65" s="957"/>
      <c r="NFI65" s="950"/>
      <c r="NFJ65" s="950"/>
      <c r="NFK65" s="957"/>
      <c r="NFL65" s="950"/>
      <c r="NFM65" s="950"/>
      <c r="NFN65" s="653"/>
      <c r="NFO65" s="950"/>
      <c r="NFP65" s="951"/>
      <c r="NFQ65" s="952"/>
      <c r="NFR65" s="959"/>
      <c r="NFS65" s="953"/>
      <c r="NFT65" s="954"/>
      <c r="NFU65" s="955"/>
      <c r="NFV65" s="955"/>
      <c r="NFW65" s="820"/>
      <c r="NFX65" s="972"/>
      <c r="NFY65" s="955"/>
      <c r="NFZ65" s="950"/>
      <c r="NGA65" s="957"/>
      <c r="NGB65" s="950"/>
      <c r="NGC65" s="950"/>
      <c r="NGD65" s="957"/>
      <c r="NGE65" s="950"/>
      <c r="NGF65" s="950"/>
      <c r="NGG65" s="653"/>
      <c r="NGH65" s="950"/>
      <c r="NGI65" s="951"/>
      <c r="NGJ65" s="952"/>
      <c r="NGK65" s="959"/>
      <c r="NGL65" s="953"/>
      <c r="NGM65" s="954"/>
      <c r="NGN65" s="955"/>
      <c r="NGO65" s="955"/>
      <c r="NGP65" s="820"/>
      <c r="NGQ65" s="972"/>
      <c r="NGR65" s="955"/>
      <c r="NGS65" s="950"/>
      <c r="NGT65" s="957"/>
      <c r="NGU65" s="950"/>
      <c r="NGV65" s="950"/>
      <c r="NGW65" s="957"/>
      <c r="NGX65" s="950"/>
      <c r="NGY65" s="950"/>
      <c r="NGZ65" s="653"/>
      <c r="NHA65" s="950"/>
      <c r="NHB65" s="951"/>
      <c r="NHC65" s="952"/>
      <c r="NHD65" s="959"/>
      <c r="NHE65" s="953"/>
      <c r="NHF65" s="954"/>
      <c r="NHG65" s="955"/>
      <c r="NHH65" s="955"/>
      <c r="NHI65" s="820"/>
      <c r="NHJ65" s="972"/>
      <c r="NHK65" s="955"/>
      <c r="NHL65" s="950"/>
      <c r="NHM65" s="957"/>
      <c r="NHN65" s="950"/>
      <c r="NHO65" s="950"/>
      <c r="NHP65" s="957"/>
      <c r="NHQ65" s="950"/>
      <c r="NHR65" s="950"/>
      <c r="NHS65" s="653"/>
      <c r="NHT65" s="950"/>
      <c r="NHU65" s="951"/>
      <c r="NHV65" s="952"/>
      <c r="NHW65" s="959"/>
      <c r="NHX65" s="953"/>
      <c r="NHY65" s="954"/>
      <c r="NHZ65" s="955"/>
      <c r="NIA65" s="955"/>
      <c r="NIB65" s="820"/>
      <c r="NIC65" s="972"/>
      <c r="NID65" s="955"/>
      <c r="NIE65" s="950"/>
      <c r="NIF65" s="957"/>
      <c r="NIG65" s="950"/>
      <c r="NIH65" s="950"/>
      <c r="NII65" s="957"/>
      <c r="NIJ65" s="950"/>
      <c r="NIK65" s="950"/>
      <c r="NIL65" s="653"/>
      <c r="NIM65" s="950"/>
      <c r="NIN65" s="951"/>
      <c r="NIO65" s="952"/>
      <c r="NIP65" s="959"/>
      <c r="NIQ65" s="953"/>
      <c r="NIR65" s="954"/>
      <c r="NIS65" s="955"/>
      <c r="NIT65" s="955"/>
      <c r="NIU65" s="820"/>
      <c r="NIV65" s="972"/>
      <c r="NIW65" s="955"/>
      <c r="NIX65" s="950"/>
      <c r="NIY65" s="957"/>
      <c r="NIZ65" s="950"/>
      <c r="NJA65" s="950"/>
      <c r="NJB65" s="957"/>
      <c r="NJC65" s="950"/>
      <c r="NJD65" s="950"/>
      <c r="NJE65" s="653"/>
      <c r="NJF65" s="950"/>
      <c r="NJG65" s="951"/>
      <c r="NJH65" s="952"/>
      <c r="NJI65" s="959"/>
      <c r="NJJ65" s="953"/>
      <c r="NJK65" s="954"/>
      <c r="NJL65" s="955"/>
      <c r="NJM65" s="955"/>
      <c r="NJN65" s="820"/>
      <c r="NJO65" s="972"/>
      <c r="NJP65" s="955"/>
      <c r="NJQ65" s="950"/>
      <c r="NJR65" s="957"/>
      <c r="NJS65" s="950"/>
      <c r="NJT65" s="950"/>
      <c r="NJU65" s="957"/>
      <c r="NJV65" s="950"/>
      <c r="NJW65" s="950"/>
      <c r="NJX65" s="653"/>
      <c r="NJY65" s="950"/>
      <c r="NJZ65" s="951"/>
      <c r="NKA65" s="952"/>
      <c r="NKB65" s="959"/>
      <c r="NKC65" s="953"/>
      <c r="NKD65" s="954"/>
      <c r="NKE65" s="955"/>
      <c r="NKF65" s="955"/>
      <c r="NKG65" s="820"/>
      <c r="NKH65" s="972"/>
      <c r="NKI65" s="955"/>
      <c r="NKJ65" s="950"/>
      <c r="NKK65" s="957"/>
      <c r="NKL65" s="950"/>
      <c r="NKM65" s="950"/>
      <c r="NKN65" s="957"/>
      <c r="NKO65" s="950"/>
      <c r="NKP65" s="950"/>
      <c r="NKQ65" s="653"/>
      <c r="NKR65" s="950"/>
      <c r="NKS65" s="951"/>
      <c r="NKT65" s="952"/>
      <c r="NKU65" s="959"/>
      <c r="NKV65" s="953"/>
      <c r="NKW65" s="954"/>
      <c r="NKX65" s="955"/>
      <c r="NKY65" s="955"/>
      <c r="NKZ65" s="820"/>
      <c r="NLA65" s="972"/>
      <c r="NLB65" s="955"/>
      <c r="NLC65" s="950"/>
      <c r="NLD65" s="957"/>
      <c r="NLE65" s="950"/>
      <c r="NLF65" s="950"/>
      <c r="NLG65" s="957"/>
      <c r="NLH65" s="950"/>
      <c r="NLI65" s="950"/>
      <c r="NLJ65" s="653"/>
      <c r="NLK65" s="950"/>
      <c r="NLL65" s="951"/>
      <c r="NLM65" s="952"/>
      <c r="NLN65" s="959"/>
      <c r="NLO65" s="953"/>
      <c r="NLP65" s="954"/>
      <c r="NLQ65" s="955"/>
      <c r="NLR65" s="955"/>
      <c r="NLS65" s="820"/>
      <c r="NLT65" s="972"/>
      <c r="NLU65" s="955"/>
      <c r="NLV65" s="950"/>
      <c r="NLW65" s="957"/>
      <c r="NLX65" s="950"/>
      <c r="NLY65" s="950"/>
      <c r="NLZ65" s="957"/>
      <c r="NMA65" s="950"/>
      <c r="NMB65" s="950"/>
      <c r="NMC65" s="653"/>
      <c r="NMD65" s="950"/>
      <c r="NME65" s="951"/>
      <c r="NMF65" s="952"/>
      <c r="NMG65" s="959"/>
      <c r="NMH65" s="953"/>
      <c r="NMI65" s="954"/>
      <c r="NMJ65" s="955"/>
      <c r="NMK65" s="955"/>
      <c r="NML65" s="820"/>
      <c r="NMM65" s="972"/>
      <c r="NMN65" s="955"/>
      <c r="NMO65" s="950"/>
      <c r="NMP65" s="957"/>
      <c r="NMQ65" s="950"/>
      <c r="NMR65" s="950"/>
      <c r="NMS65" s="957"/>
      <c r="NMT65" s="950"/>
      <c r="NMU65" s="950"/>
      <c r="NMV65" s="653"/>
      <c r="NMW65" s="950"/>
      <c r="NMX65" s="951"/>
      <c r="NMY65" s="952"/>
      <c r="NMZ65" s="959"/>
      <c r="NNA65" s="953"/>
      <c r="NNB65" s="954"/>
      <c r="NNC65" s="955"/>
      <c r="NND65" s="955"/>
      <c r="NNE65" s="820"/>
      <c r="NNF65" s="972"/>
      <c r="NNG65" s="955"/>
      <c r="NNH65" s="950"/>
      <c r="NNI65" s="957"/>
      <c r="NNJ65" s="950"/>
      <c r="NNK65" s="950"/>
      <c r="NNL65" s="957"/>
      <c r="NNM65" s="950"/>
      <c r="NNN65" s="950"/>
      <c r="NNO65" s="653"/>
      <c r="NNP65" s="950"/>
      <c r="NNQ65" s="951"/>
      <c r="NNR65" s="952"/>
      <c r="NNS65" s="959"/>
      <c r="NNT65" s="953"/>
      <c r="NNU65" s="954"/>
      <c r="NNV65" s="955"/>
      <c r="NNW65" s="955"/>
      <c r="NNX65" s="820"/>
      <c r="NNY65" s="972"/>
      <c r="NNZ65" s="955"/>
      <c r="NOA65" s="950"/>
      <c r="NOB65" s="957"/>
      <c r="NOC65" s="950"/>
      <c r="NOD65" s="950"/>
      <c r="NOE65" s="957"/>
      <c r="NOF65" s="950"/>
      <c r="NOG65" s="950"/>
      <c r="NOH65" s="653"/>
      <c r="NOI65" s="950"/>
      <c r="NOJ65" s="951"/>
      <c r="NOK65" s="952"/>
      <c r="NOL65" s="959"/>
      <c r="NOM65" s="953"/>
      <c r="NON65" s="954"/>
      <c r="NOO65" s="955"/>
      <c r="NOP65" s="955"/>
      <c r="NOQ65" s="820"/>
      <c r="NOR65" s="972"/>
      <c r="NOS65" s="955"/>
      <c r="NOT65" s="950"/>
      <c r="NOU65" s="957"/>
      <c r="NOV65" s="950"/>
      <c r="NOW65" s="950"/>
      <c r="NOX65" s="957"/>
      <c r="NOY65" s="950"/>
      <c r="NOZ65" s="950"/>
      <c r="NPA65" s="653"/>
      <c r="NPB65" s="950"/>
      <c r="NPC65" s="951"/>
      <c r="NPD65" s="952"/>
      <c r="NPE65" s="959"/>
      <c r="NPF65" s="953"/>
      <c r="NPG65" s="954"/>
      <c r="NPH65" s="955"/>
      <c r="NPI65" s="955"/>
      <c r="NPJ65" s="820"/>
      <c r="NPK65" s="972"/>
      <c r="NPL65" s="955"/>
      <c r="NPM65" s="950"/>
      <c r="NPN65" s="957"/>
      <c r="NPO65" s="950"/>
      <c r="NPP65" s="950"/>
      <c r="NPQ65" s="957"/>
      <c r="NPR65" s="950"/>
      <c r="NPS65" s="950"/>
      <c r="NPT65" s="653"/>
      <c r="NPU65" s="950"/>
      <c r="NPV65" s="951"/>
      <c r="NPW65" s="952"/>
      <c r="NPX65" s="959"/>
      <c r="NPY65" s="953"/>
      <c r="NPZ65" s="954"/>
      <c r="NQA65" s="955"/>
      <c r="NQB65" s="955"/>
      <c r="NQC65" s="820"/>
      <c r="NQD65" s="972"/>
      <c r="NQE65" s="955"/>
      <c r="NQF65" s="950"/>
      <c r="NQG65" s="957"/>
      <c r="NQH65" s="950"/>
      <c r="NQI65" s="950"/>
      <c r="NQJ65" s="957"/>
      <c r="NQK65" s="950"/>
      <c r="NQL65" s="950"/>
      <c r="NQM65" s="653"/>
      <c r="NQN65" s="950"/>
      <c r="NQO65" s="951"/>
      <c r="NQP65" s="952"/>
      <c r="NQQ65" s="959"/>
      <c r="NQR65" s="953"/>
      <c r="NQS65" s="954"/>
      <c r="NQT65" s="955"/>
      <c r="NQU65" s="955"/>
      <c r="NQV65" s="820"/>
      <c r="NQW65" s="972"/>
      <c r="NQX65" s="955"/>
      <c r="NQY65" s="950"/>
      <c r="NQZ65" s="957"/>
      <c r="NRA65" s="950"/>
      <c r="NRB65" s="950"/>
      <c r="NRC65" s="957"/>
      <c r="NRD65" s="950"/>
      <c r="NRE65" s="950"/>
      <c r="NRF65" s="653"/>
      <c r="NRG65" s="950"/>
      <c r="NRH65" s="951"/>
      <c r="NRI65" s="952"/>
      <c r="NRJ65" s="959"/>
      <c r="NRK65" s="953"/>
      <c r="NRL65" s="954"/>
      <c r="NRM65" s="955"/>
      <c r="NRN65" s="955"/>
      <c r="NRO65" s="820"/>
      <c r="NRP65" s="972"/>
      <c r="NRQ65" s="955"/>
      <c r="NRR65" s="950"/>
      <c r="NRS65" s="957"/>
      <c r="NRT65" s="950"/>
      <c r="NRU65" s="950"/>
      <c r="NRV65" s="957"/>
      <c r="NRW65" s="950"/>
      <c r="NRX65" s="950"/>
      <c r="NRY65" s="653"/>
      <c r="NRZ65" s="950"/>
      <c r="NSA65" s="951"/>
      <c r="NSB65" s="952"/>
      <c r="NSC65" s="959"/>
      <c r="NSD65" s="953"/>
      <c r="NSE65" s="954"/>
      <c r="NSF65" s="955"/>
      <c r="NSG65" s="955"/>
      <c r="NSH65" s="820"/>
      <c r="NSI65" s="972"/>
      <c r="NSJ65" s="955"/>
      <c r="NSK65" s="950"/>
      <c r="NSL65" s="957"/>
      <c r="NSM65" s="950"/>
      <c r="NSN65" s="950"/>
      <c r="NSO65" s="957"/>
      <c r="NSP65" s="950"/>
      <c r="NSQ65" s="950"/>
      <c r="NSR65" s="653"/>
      <c r="NSS65" s="950"/>
      <c r="NST65" s="951"/>
      <c r="NSU65" s="952"/>
      <c r="NSV65" s="959"/>
      <c r="NSW65" s="953"/>
      <c r="NSX65" s="954"/>
      <c r="NSY65" s="955"/>
      <c r="NSZ65" s="955"/>
      <c r="NTA65" s="820"/>
      <c r="NTB65" s="972"/>
      <c r="NTC65" s="955"/>
      <c r="NTD65" s="950"/>
      <c r="NTE65" s="957"/>
      <c r="NTF65" s="950"/>
      <c r="NTG65" s="950"/>
      <c r="NTH65" s="957"/>
      <c r="NTI65" s="950"/>
      <c r="NTJ65" s="950"/>
      <c r="NTK65" s="653"/>
      <c r="NTL65" s="950"/>
      <c r="NTM65" s="951"/>
      <c r="NTN65" s="952"/>
      <c r="NTO65" s="959"/>
      <c r="NTP65" s="953"/>
      <c r="NTQ65" s="954"/>
      <c r="NTR65" s="955"/>
      <c r="NTS65" s="955"/>
      <c r="NTT65" s="820"/>
      <c r="NTU65" s="972"/>
      <c r="NTV65" s="955"/>
      <c r="NTW65" s="950"/>
      <c r="NTX65" s="957"/>
      <c r="NTY65" s="950"/>
      <c r="NTZ65" s="950"/>
      <c r="NUA65" s="957"/>
      <c r="NUB65" s="950"/>
      <c r="NUC65" s="950"/>
      <c r="NUD65" s="653"/>
      <c r="NUE65" s="950"/>
      <c r="NUF65" s="951"/>
      <c r="NUG65" s="952"/>
      <c r="NUH65" s="959"/>
      <c r="NUI65" s="953"/>
      <c r="NUJ65" s="954"/>
      <c r="NUK65" s="955"/>
      <c r="NUL65" s="955"/>
      <c r="NUM65" s="820"/>
      <c r="NUN65" s="972"/>
      <c r="NUO65" s="955"/>
      <c r="NUP65" s="950"/>
      <c r="NUQ65" s="957"/>
      <c r="NUR65" s="950"/>
      <c r="NUS65" s="950"/>
      <c r="NUT65" s="957"/>
      <c r="NUU65" s="950"/>
      <c r="NUV65" s="950"/>
      <c r="NUW65" s="653"/>
      <c r="NUX65" s="950"/>
      <c r="NUY65" s="951"/>
      <c r="NUZ65" s="952"/>
      <c r="NVA65" s="959"/>
      <c r="NVB65" s="953"/>
      <c r="NVC65" s="954"/>
      <c r="NVD65" s="955"/>
      <c r="NVE65" s="955"/>
      <c r="NVF65" s="820"/>
      <c r="NVG65" s="972"/>
      <c r="NVH65" s="955"/>
      <c r="NVI65" s="950"/>
      <c r="NVJ65" s="957"/>
      <c r="NVK65" s="950"/>
      <c r="NVL65" s="950"/>
      <c r="NVM65" s="957"/>
      <c r="NVN65" s="950"/>
      <c r="NVO65" s="950"/>
      <c r="NVP65" s="653"/>
      <c r="NVQ65" s="950"/>
      <c r="NVR65" s="951"/>
      <c r="NVS65" s="952"/>
      <c r="NVT65" s="959"/>
      <c r="NVU65" s="953"/>
      <c r="NVV65" s="954"/>
      <c r="NVW65" s="955"/>
      <c r="NVX65" s="955"/>
      <c r="NVY65" s="820"/>
      <c r="NVZ65" s="972"/>
      <c r="NWA65" s="955"/>
      <c r="NWB65" s="950"/>
      <c r="NWC65" s="957"/>
      <c r="NWD65" s="950"/>
      <c r="NWE65" s="950"/>
      <c r="NWF65" s="957"/>
      <c r="NWG65" s="950"/>
      <c r="NWH65" s="950"/>
      <c r="NWI65" s="653"/>
      <c r="NWJ65" s="950"/>
      <c r="NWK65" s="951"/>
      <c r="NWL65" s="952"/>
      <c r="NWM65" s="959"/>
      <c r="NWN65" s="953"/>
      <c r="NWO65" s="954"/>
      <c r="NWP65" s="955"/>
      <c r="NWQ65" s="955"/>
      <c r="NWR65" s="820"/>
      <c r="NWS65" s="972"/>
      <c r="NWT65" s="955"/>
      <c r="NWU65" s="950"/>
      <c r="NWV65" s="957"/>
      <c r="NWW65" s="950"/>
      <c r="NWX65" s="950"/>
      <c r="NWY65" s="957"/>
      <c r="NWZ65" s="950"/>
      <c r="NXA65" s="950"/>
      <c r="NXB65" s="653"/>
      <c r="NXC65" s="950"/>
      <c r="NXD65" s="951"/>
      <c r="NXE65" s="952"/>
      <c r="NXF65" s="959"/>
      <c r="NXG65" s="953"/>
      <c r="NXH65" s="954"/>
      <c r="NXI65" s="955"/>
      <c r="NXJ65" s="955"/>
      <c r="NXK65" s="820"/>
      <c r="NXL65" s="972"/>
      <c r="NXM65" s="955"/>
      <c r="NXN65" s="950"/>
      <c r="NXO65" s="957"/>
      <c r="NXP65" s="950"/>
      <c r="NXQ65" s="950"/>
      <c r="NXR65" s="957"/>
      <c r="NXS65" s="950"/>
      <c r="NXT65" s="950"/>
      <c r="NXU65" s="653"/>
      <c r="NXV65" s="950"/>
      <c r="NXW65" s="951"/>
      <c r="NXX65" s="952"/>
      <c r="NXY65" s="959"/>
      <c r="NXZ65" s="953"/>
      <c r="NYA65" s="954"/>
      <c r="NYB65" s="955"/>
      <c r="NYC65" s="955"/>
      <c r="NYD65" s="820"/>
      <c r="NYE65" s="972"/>
      <c r="NYF65" s="955"/>
      <c r="NYG65" s="950"/>
      <c r="NYH65" s="957"/>
      <c r="NYI65" s="950"/>
      <c r="NYJ65" s="950"/>
      <c r="NYK65" s="957"/>
      <c r="NYL65" s="950"/>
      <c r="NYM65" s="950"/>
      <c r="NYN65" s="653"/>
      <c r="NYO65" s="950"/>
      <c r="NYP65" s="951"/>
      <c r="NYQ65" s="952"/>
      <c r="NYR65" s="959"/>
      <c r="NYS65" s="953"/>
      <c r="NYT65" s="954"/>
      <c r="NYU65" s="955"/>
      <c r="NYV65" s="955"/>
      <c r="NYW65" s="820"/>
      <c r="NYX65" s="972"/>
      <c r="NYY65" s="955"/>
      <c r="NYZ65" s="950"/>
      <c r="NZA65" s="957"/>
      <c r="NZB65" s="950"/>
      <c r="NZC65" s="950"/>
      <c r="NZD65" s="957"/>
      <c r="NZE65" s="950"/>
      <c r="NZF65" s="950"/>
      <c r="NZG65" s="653"/>
      <c r="NZH65" s="950"/>
      <c r="NZI65" s="951"/>
      <c r="NZJ65" s="952"/>
      <c r="NZK65" s="959"/>
      <c r="NZL65" s="953"/>
      <c r="NZM65" s="954"/>
      <c r="NZN65" s="955"/>
      <c r="NZO65" s="955"/>
      <c r="NZP65" s="820"/>
      <c r="NZQ65" s="972"/>
      <c r="NZR65" s="955"/>
      <c r="NZS65" s="950"/>
      <c r="NZT65" s="957"/>
      <c r="NZU65" s="950"/>
      <c r="NZV65" s="950"/>
      <c r="NZW65" s="957"/>
      <c r="NZX65" s="950"/>
      <c r="NZY65" s="950"/>
      <c r="NZZ65" s="653"/>
      <c r="OAA65" s="950"/>
      <c r="OAB65" s="951"/>
      <c r="OAC65" s="952"/>
      <c r="OAD65" s="959"/>
      <c r="OAE65" s="953"/>
      <c r="OAF65" s="954"/>
      <c r="OAG65" s="955"/>
      <c r="OAH65" s="955"/>
      <c r="OAI65" s="820"/>
      <c r="OAJ65" s="972"/>
      <c r="OAK65" s="955"/>
      <c r="OAL65" s="950"/>
      <c r="OAM65" s="957"/>
      <c r="OAN65" s="950"/>
      <c r="OAO65" s="950"/>
      <c r="OAP65" s="957"/>
      <c r="OAQ65" s="950"/>
      <c r="OAR65" s="950"/>
      <c r="OAS65" s="653"/>
      <c r="OAT65" s="950"/>
      <c r="OAU65" s="951"/>
      <c r="OAV65" s="952"/>
      <c r="OAW65" s="959"/>
      <c r="OAX65" s="953"/>
      <c r="OAY65" s="954"/>
      <c r="OAZ65" s="955"/>
      <c r="OBA65" s="955"/>
      <c r="OBB65" s="820"/>
      <c r="OBC65" s="972"/>
      <c r="OBD65" s="955"/>
      <c r="OBE65" s="950"/>
      <c r="OBF65" s="957"/>
      <c r="OBG65" s="950"/>
      <c r="OBH65" s="950"/>
      <c r="OBI65" s="957"/>
      <c r="OBJ65" s="950"/>
      <c r="OBK65" s="950"/>
      <c r="OBL65" s="653"/>
      <c r="OBM65" s="950"/>
      <c r="OBN65" s="951"/>
      <c r="OBO65" s="952"/>
      <c r="OBP65" s="959"/>
      <c r="OBQ65" s="953"/>
      <c r="OBR65" s="954"/>
      <c r="OBS65" s="955"/>
      <c r="OBT65" s="955"/>
      <c r="OBU65" s="820"/>
      <c r="OBV65" s="972"/>
      <c r="OBW65" s="955"/>
      <c r="OBX65" s="950"/>
      <c r="OBY65" s="957"/>
      <c r="OBZ65" s="950"/>
      <c r="OCA65" s="950"/>
      <c r="OCB65" s="957"/>
      <c r="OCC65" s="950"/>
      <c r="OCD65" s="950"/>
      <c r="OCE65" s="653"/>
      <c r="OCF65" s="950"/>
      <c r="OCG65" s="951"/>
      <c r="OCH65" s="952"/>
      <c r="OCI65" s="959"/>
      <c r="OCJ65" s="953"/>
      <c r="OCK65" s="954"/>
      <c r="OCL65" s="955"/>
      <c r="OCM65" s="955"/>
      <c r="OCN65" s="820"/>
      <c r="OCO65" s="972"/>
      <c r="OCP65" s="955"/>
      <c r="OCQ65" s="950"/>
      <c r="OCR65" s="957"/>
      <c r="OCS65" s="950"/>
      <c r="OCT65" s="950"/>
      <c r="OCU65" s="957"/>
      <c r="OCV65" s="950"/>
      <c r="OCW65" s="950"/>
      <c r="OCX65" s="653"/>
      <c r="OCY65" s="950"/>
      <c r="OCZ65" s="951"/>
      <c r="ODA65" s="952"/>
      <c r="ODB65" s="959"/>
      <c r="ODC65" s="953"/>
      <c r="ODD65" s="954"/>
      <c r="ODE65" s="955"/>
      <c r="ODF65" s="955"/>
      <c r="ODG65" s="820"/>
      <c r="ODH65" s="972"/>
      <c r="ODI65" s="955"/>
      <c r="ODJ65" s="950"/>
      <c r="ODK65" s="957"/>
      <c r="ODL65" s="950"/>
      <c r="ODM65" s="950"/>
      <c r="ODN65" s="957"/>
      <c r="ODO65" s="950"/>
      <c r="ODP65" s="950"/>
      <c r="ODQ65" s="653"/>
      <c r="ODR65" s="950"/>
      <c r="ODS65" s="951"/>
      <c r="ODT65" s="952"/>
      <c r="ODU65" s="959"/>
      <c r="ODV65" s="953"/>
      <c r="ODW65" s="954"/>
      <c r="ODX65" s="955"/>
      <c r="ODY65" s="955"/>
      <c r="ODZ65" s="820"/>
      <c r="OEA65" s="972"/>
      <c r="OEB65" s="955"/>
      <c r="OEC65" s="950"/>
      <c r="OED65" s="957"/>
      <c r="OEE65" s="950"/>
      <c r="OEF65" s="950"/>
      <c r="OEG65" s="957"/>
      <c r="OEH65" s="950"/>
      <c r="OEI65" s="950"/>
      <c r="OEJ65" s="653"/>
      <c r="OEK65" s="950"/>
      <c r="OEL65" s="951"/>
      <c r="OEM65" s="952"/>
      <c r="OEN65" s="959"/>
      <c r="OEO65" s="953"/>
      <c r="OEP65" s="954"/>
      <c r="OEQ65" s="955"/>
      <c r="OER65" s="955"/>
      <c r="OES65" s="820"/>
      <c r="OET65" s="972"/>
      <c r="OEU65" s="955"/>
      <c r="OEV65" s="950"/>
      <c r="OEW65" s="957"/>
      <c r="OEX65" s="950"/>
      <c r="OEY65" s="950"/>
      <c r="OEZ65" s="957"/>
      <c r="OFA65" s="950"/>
      <c r="OFB65" s="950"/>
      <c r="OFC65" s="653"/>
      <c r="OFD65" s="950"/>
      <c r="OFE65" s="951"/>
      <c r="OFF65" s="952"/>
      <c r="OFG65" s="959"/>
      <c r="OFH65" s="953"/>
      <c r="OFI65" s="954"/>
      <c r="OFJ65" s="955"/>
      <c r="OFK65" s="955"/>
      <c r="OFL65" s="820"/>
      <c r="OFM65" s="972"/>
      <c r="OFN65" s="955"/>
      <c r="OFO65" s="950"/>
      <c r="OFP65" s="957"/>
      <c r="OFQ65" s="950"/>
      <c r="OFR65" s="950"/>
      <c r="OFS65" s="957"/>
      <c r="OFT65" s="950"/>
      <c r="OFU65" s="950"/>
      <c r="OFV65" s="653"/>
      <c r="OFW65" s="950"/>
      <c r="OFX65" s="951"/>
      <c r="OFY65" s="952"/>
      <c r="OFZ65" s="959"/>
      <c r="OGA65" s="953"/>
      <c r="OGB65" s="954"/>
      <c r="OGC65" s="955"/>
      <c r="OGD65" s="955"/>
      <c r="OGE65" s="820"/>
      <c r="OGF65" s="972"/>
      <c r="OGG65" s="955"/>
      <c r="OGH65" s="950"/>
      <c r="OGI65" s="957"/>
      <c r="OGJ65" s="950"/>
      <c r="OGK65" s="950"/>
      <c r="OGL65" s="957"/>
      <c r="OGM65" s="950"/>
      <c r="OGN65" s="950"/>
      <c r="OGO65" s="653"/>
      <c r="OGP65" s="950"/>
      <c r="OGQ65" s="951"/>
      <c r="OGR65" s="952"/>
      <c r="OGS65" s="959"/>
      <c r="OGT65" s="953"/>
      <c r="OGU65" s="954"/>
      <c r="OGV65" s="955"/>
      <c r="OGW65" s="955"/>
      <c r="OGX65" s="820"/>
      <c r="OGY65" s="972"/>
      <c r="OGZ65" s="955"/>
      <c r="OHA65" s="950"/>
      <c r="OHB65" s="957"/>
      <c r="OHC65" s="950"/>
      <c r="OHD65" s="950"/>
      <c r="OHE65" s="957"/>
      <c r="OHF65" s="950"/>
      <c r="OHG65" s="950"/>
      <c r="OHH65" s="653"/>
      <c r="OHI65" s="950"/>
      <c r="OHJ65" s="951"/>
      <c r="OHK65" s="952"/>
      <c r="OHL65" s="959"/>
      <c r="OHM65" s="953"/>
      <c r="OHN65" s="954"/>
      <c r="OHO65" s="955"/>
      <c r="OHP65" s="955"/>
      <c r="OHQ65" s="820"/>
      <c r="OHR65" s="972"/>
      <c r="OHS65" s="955"/>
      <c r="OHT65" s="950"/>
      <c r="OHU65" s="957"/>
      <c r="OHV65" s="950"/>
      <c r="OHW65" s="950"/>
      <c r="OHX65" s="957"/>
      <c r="OHY65" s="950"/>
      <c r="OHZ65" s="950"/>
      <c r="OIA65" s="653"/>
      <c r="OIB65" s="950"/>
      <c r="OIC65" s="951"/>
      <c r="OID65" s="952"/>
      <c r="OIE65" s="959"/>
      <c r="OIF65" s="953"/>
      <c r="OIG65" s="954"/>
      <c r="OIH65" s="955"/>
      <c r="OII65" s="955"/>
      <c r="OIJ65" s="820"/>
      <c r="OIK65" s="972"/>
      <c r="OIL65" s="955"/>
      <c r="OIM65" s="950"/>
      <c r="OIN65" s="957"/>
      <c r="OIO65" s="950"/>
      <c r="OIP65" s="950"/>
      <c r="OIQ65" s="957"/>
      <c r="OIR65" s="950"/>
      <c r="OIS65" s="950"/>
      <c r="OIT65" s="653"/>
      <c r="OIU65" s="950"/>
      <c r="OIV65" s="951"/>
      <c r="OIW65" s="952"/>
      <c r="OIX65" s="959"/>
      <c r="OIY65" s="953"/>
      <c r="OIZ65" s="954"/>
      <c r="OJA65" s="955"/>
      <c r="OJB65" s="955"/>
      <c r="OJC65" s="820"/>
      <c r="OJD65" s="972"/>
      <c r="OJE65" s="955"/>
      <c r="OJF65" s="950"/>
      <c r="OJG65" s="957"/>
      <c r="OJH65" s="950"/>
      <c r="OJI65" s="950"/>
      <c r="OJJ65" s="957"/>
      <c r="OJK65" s="950"/>
      <c r="OJL65" s="950"/>
      <c r="OJM65" s="653"/>
      <c r="OJN65" s="950"/>
      <c r="OJO65" s="951"/>
      <c r="OJP65" s="952"/>
      <c r="OJQ65" s="959"/>
      <c r="OJR65" s="953"/>
      <c r="OJS65" s="954"/>
      <c r="OJT65" s="955"/>
      <c r="OJU65" s="955"/>
      <c r="OJV65" s="820"/>
      <c r="OJW65" s="972"/>
      <c r="OJX65" s="955"/>
      <c r="OJY65" s="950"/>
      <c r="OJZ65" s="957"/>
      <c r="OKA65" s="950"/>
      <c r="OKB65" s="950"/>
      <c r="OKC65" s="957"/>
      <c r="OKD65" s="950"/>
      <c r="OKE65" s="950"/>
      <c r="OKF65" s="653"/>
      <c r="OKG65" s="950"/>
      <c r="OKH65" s="951"/>
      <c r="OKI65" s="952"/>
      <c r="OKJ65" s="959"/>
      <c r="OKK65" s="953"/>
      <c r="OKL65" s="954"/>
      <c r="OKM65" s="955"/>
      <c r="OKN65" s="955"/>
      <c r="OKO65" s="820"/>
      <c r="OKP65" s="972"/>
      <c r="OKQ65" s="955"/>
      <c r="OKR65" s="950"/>
      <c r="OKS65" s="957"/>
      <c r="OKT65" s="950"/>
      <c r="OKU65" s="950"/>
      <c r="OKV65" s="957"/>
      <c r="OKW65" s="950"/>
      <c r="OKX65" s="950"/>
      <c r="OKY65" s="653"/>
      <c r="OKZ65" s="950"/>
      <c r="OLA65" s="951"/>
      <c r="OLB65" s="952"/>
      <c r="OLC65" s="959"/>
      <c r="OLD65" s="953"/>
      <c r="OLE65" s="954"/>
      <c r="OLF65" s="955"/>
      <c r="OLG65" s="955"/>
      <c r="OLH65" s="820"/>
      <c r="OLI65" s="972"/>
      <c r="OLJ65" s="955"/>
      <c r="OLK65" s="950"/>
      <c r="OLL65" s="957"/>
      <c r="OLM65" s="950"/>
      <c r="OLN65" s="950"/>
      <c r="OLO65" s="957"/>
      <c r="OLP65" s="950"/>
      <c r="OLQ65" s="950"/>
      <c r="OLR65" s="653"/>
      <c r="OLS65" s="950"/>
      <c r="OLT65" s="951"/>
      <c r="OLU65" s="952"/>
      <c r="OLV65" s="959"/>
      <c r="OLW65" s="953"/>
      <c r="OLX65" s="954"/>
      <c r="OLY65" s="955"/>
      <c r="OLZ65" s="955"/>
      <c r="OMA65" s="820"/>
      <c r="OMB65" s="972"/>
      <c r="OMC65" s="955"/>
      <c r="OMD65" s="950"/>
      <c r="OME65" s="957"/>
      <c r="OMF65" s="950"/>
      <c r="OMG65" s="950"/>
      <c r="OMH65" s="957"/>
      <c r="OMI65" s="950"/>
      <c r="OMJ65" s="950"/>
      <c r="OMK65" s="653"/>
      <c r="OML65" s="950"/>
      <c r="OMM65" s="951"/>
      <c r="OMN65" s="952"/>
      <c r="OMO65" s="959"/>
      <c r="OMP65" s="953"/>
      <c r="OMQ65" s="954"/>
      <c r="OMR65" s="955"/>
      <c r="OMS65" s="955"/>
      <c r="OMT65" s="820"/>
      <c r="OMU65" s="972"/>
      <c r="OMV65" s="955"/>
      <c r="OMW65" s="950"/>
      <c r="OMX65" s="957"/>
      <c r="OMY65" s="950"/>
      <c r="OMZ65" s="950"/>
      <c r="ONA65" s="957"/>
      <c r="ONB65" s="950"/>
      <c r="ONC65" s="950"/>
      <c r="OND65" s="653"/>
      <c r="ONE65" s="950"/>
      <c r="ONF65" s="951"/>
      <c r="ONG65" s="952"/>
      <c r="ONH65" s="959"/>
      <c r="ONI65" s="953"/>
      <c r="ONJ65" s="954"/>
      <c r="ONK65" s="955"/>
      <c r="ONL65" s="955"/>
      <c r="ONM65" s="820"/>
      <c r="ONN65" s="972"/>
      <c r="ONO65" s="955"/>
      <c r="ONP65" s="950"/>
      <c r="ONQ65" s="957"/>
      <c r="ONR65" s="950"/>
      <c r="ONS65" s="950"/>
      <c r="ONT65" s="957"/>
      <c r="ONU65" s="950"/>
      <c r="ONV65" s="950"/>
      <c r="ONW65" s="653"/>
      <c r="ONX65" s="950"/>
      <c r="ONY65" s="951"/>
      <c r="ONZ65" s="952"/>
      <c r="OOA65" s="959"/>
      <c r="OOB65" s="953"/>
      <c r="OOC65" s="954"/>
      <c r="OOD65" s="955"/>
      <c r="OOE65" s="955"/>
      <c r="OOF65" s="820"/>
      <c r="OOG65" s="972"/>
      <c r="OOH65" s="955"/>
      <c r="OOI65" s="950"/>
      <c r="OOJ65" s="957"/>
      <c r="OOK65" s="950"/>
      <c r="OOL65" s="950"/>
      <c r="OOM65" s="957"/>
      <c r="OON65" s="950"/>
      <c r="OOO65" s="950"/>
      <c r="OOP65" s="653"/>
      <c r="OOQ65" s="950"/>
      <c r="OOR65" s="951"/>
      <c r="OOS65" s="952"/>
      <c r="OOT65" s="959"/>
      <c r="OOU65" s="953"/>
      <c r="OOV65" s="954"/>
      <c r="OOW65" s="955"/>
      <c r="OOX65" s="955"/>
      <c r="OOY65" s="820"/>
      <c r="OOZ65" s="972"/>
      <c r="OPA65" s="955"/>
      <c r="OPB65" s="950"/>
      <c r="OPC65" s="957"/>
      <c r="OPD65" s="950"/>
      <c r="OPE65" s="950"/>
      <c r="OPF65" s="957"/>
      <c r="OPG65" s="950"/>
      <c r="OPH65" s="950"/>
      <c r="OPI65" s="653"/>
      <c r="OPJ65" s="950"/>
      <c r="OPK65" s="951"/>
      <c r="OPL65" s="952"/>
      <c r="OPM65" s="959"/>
      <c r="OPN65" s="953"/>
      <c r="OPO65" s="954"/>
      <c r="OPP65" s="955"/>
      <c r="OPQ65" s="955"/>
      <c r="OPR65" s="820"/>
      <c r="OPS65" s="972"/>
      <c r="OPT65" s="955"/>
      <c r="OPU65" s="950"/>
      <c r="OPV65" s="957"/>
      <c r="OPW65" s="950"/>
      <c r="OPX65" s="950"/>
      <c r="OPY65" s="957"/>
      <c r="OPZ65" s="950"/>
      <c r="OQA65" s="950"/>
      <c r="OQB65" s="653"/>
      <c r="OQC65" s="950"/>
      <c r="OQD65" s="951"/>
      <c r="OQE65" s="952"/>
      <c r="OQF65" s="959"/>
      <c r="OQG65" s="953"/>
      <c r="OQH65" s="954"/>
      <c r="OQI65" s="955"/>
      <c r="OQJ65" s="955"/>
      <c r="OQK65" s="820"/>
      <c r="OQL65" s="972"/>
      <c r="OQM65" s="955"/>
      <c r="OQN65" s="950"/>
      <c r="OQO65" s="957"/>
      <c r="OQP65" s="950"/>
      <c r="OQQ65" s="950"/>
      <c r="OQR65" s="957"/>
      <c r="OQS65" s="950"/>
      <c r="OQT65" s="950"/>
      <c r="OQU65" s="653"/>
      <c r="OQV65" s="950"/>
      <c r="OQW65" s="951"/>
      <c r="OQX65" s="952"/>
      <c r="OQY65" s="959"/>
      <c r="OQZ65" s="953"/>
      <c r="ORA65" s="954"/>
      <c r="ORB65" s="955"/>
      <c r="ORC65" s="955"/>
      <c r="ORD65" s="820"/>
      <c r="ORE65" s="972"/>
      <c r="ORF65" s="955"/>
      <c r="ORG65" s="950"/>
      <c r="ORH65" s="957"/>
      <c r="ORI65" s="950"/>
      <c r="ORJ65" s="950"/>
      <c r="ORK65" s="957"/>
      <c r="ORL65" s="950"/>
      <c r="ORM65" s="950"/>
      <c r="ORN65" s="653"/>
      <c r="ORO65" s="950"/>
      <c r="ORP65" s="951"/>
      <c r="ORQ65" s="952"/>
      <c r="ORR65" s="959"/>
      <c r="ORS65" s="953"/>
      <c r="ORT65" s="954"/>
      <c r="ORU65" s="955"/>
      <c r="ORV65" s="955"/>
      <c r="ORW65" s="820"/>
      <c r="ORX65" s="972"/>
      <c r="ORY65" s="955"/>
      <c r="ORZ65" s="950"/>
      <c r="OSA65" s="957"/>
      <c r="OSB65" s="950"/>
      <c r="OSC65" s="950"/>
      <c r="OSD65" s="957"/>
      <c r="OSE65" s="950"/>
      <c r="OSF65" s="950"/>
      <c r="OSG65" s="653"/>
      <c r="OSH65" s="950"/>
      <c r="OSI65" s="951"/>
      <c r="OSJ65" s="952"/>
      <c r="OSK65" s="959"/>
      <c r="OSL65" s="953"/>
      <c r="OSM65" s="954"/>
      <c r="OSN65" s="955"/>
      <c r="OSO65" s="955"/>
      <c r="OSP65" s="820"/>
      <c r="OSQ65" s="972"/>
      <c r="OSR65" s="955"/>
      <c r="OSS65" s="950"/>
      <c r="OST65" s="957"/>
      <c r="OSU65" s="950"/>
      <c r="OSV65" s="950"/>
      <c r="OSW65" s="957"/>
      <c r="OSX65" s="950"/>
      <c r="OSY65" s="950"/>
      <c r="OSZ65" s="653"/>
      <c r="OTA65" s="950"/>
      <c r="OTB65" s="951"/>
      <c r="OTC65" s="952"/>
      <c r="OTD65" s="959"/>
      <c r="OTE65" s="953"/>
      <c r="OTF65" s="954"/>
      <c r="OTG65" s="955"/>
      <c r="OTH65" s="955"/>
      <c r="OTI65" s="820"/>
      <c r="OTJ65" s="972"/>
      <c r="OTK65" s="955"/>
      <c r="OTL65" s="950"/>
      <c r="OTM65" s="957"/>
      <c r="OTN65" s="950"/>
      <c r="OTO65" s="950"/>
      <c r="OTP65" s="957"/>
      <c r="OTQ65" s="950"/>
      <c r="OTR65" s="950"/>
      <c r="OTS65" s="653"/>
      <c r="OTT65" s="950"/>
      <c r="OTU65" s="951"/>
      <c r="OTV65" s="952"/>
      <c r="OTW65" s="959"/>
      <c r="OTX65" s="953"/>
      <c r="OTY65" s="954"/>
      <c r="OTZ65" s="955"/>
      <c r="OUA65" s="955"/>
      <c r="OUB65" s="820"/>
      <c r="OUC65" s="972"/>
      <c r="OUD65" s="955"/>
      <c r="OUE65" s="950"/>
      <c r="OUF65" s="957"/>
      <c r="OUG65" s="950"/>
      <c r="OUH65" s="950"/>
      <c r="OUI65" s="957"/>
      <c r="OUJ65" s="950"/>
      <c r="OUK65" s="950"/>
      <c r="OUL65" s="653"/>
      <c r="OUM65" s="950"/>
      <c r="OUN65" s="951"/>
      <c r="OUO65" s="952"/>
      <c r="OUP65" s="959"/>
      <c r="OUQ65" s="953"/>
      <c r="OUR65" s="954"/>
      <c r="OUS65" s="955"/>
      <c r="OUT65" s="955"/>
      <c r="OUU65" s="820"/>
      <c r="OUV65" s="972"/>
      <c r="OUW65" s="955"/>
      <c r="OUX65" s="950"/>
      <c r="OUY65" s="957"/>
      <c r="OUZ65" s="950"/>
      <c r="OVA65" s="950"/>
      <c r="OVB65" s="957"/>
      <c r="OVC65" s="950"/>
      <c r="OVD65" s="950"/>
      <c r="OVE65" s="653"/>
      <c r="OVF65" s="950"/>
      <c r="OVG65" s="951"/>
      <c r="OVH65" s="952"/>
      <c r="OVI65" s="959"/>
      <c r="OVJ65" s="953"/>
      <c r="OVK65" s="954"/>
      <c r="OVL65" s="955"/>
      <c r="OVM65" s="955"/>
      <c r="OVN65" s="820"/>
      <c r="OVO65" s="972"/>
      <c r="OVP65" s="955"/>
      <c r="OVQ65" s="950"/>
      <c r="OVR65" s="957"/>
      <c r="OVS65" s="950"/>
      <c r="OVT65" s="950"/>
      <c r="OVU65" s="957"/>
      <c r="OVV65" s="950"/>
      <c r="OVW65" s="950"/>
      <c r="OVX65" s="653"/>
      <c r="OVY65" s="950"/>
      <c r="OVZ65" s="951"/>
      <c r="OWA65" s="952"/>
      <c r="OWB65" s="959"/>
      <c r="OWC65" s="953"/>
      <c r="OWD65" s="954"/>
      <c r="OWE65" s="955"/>
      <c r="OWF65" s="955"/>
      <c r="OWG65" s="820"/>
      <c r="OWH65" s="972"/>
      <c r="OWI65" s="955"/>
      <c r="OWJ65" s="950"/>
      <c r="OWK65" s="957"/>
      <c r="OWL65" s="950"/>
      <c r="OWM65" s="950"/>
      <c r="OWN65" s="957"/>
      <c r="OWO65" s="950"/>
      <c r="OWP65" s="950"/>
      <c r="OWQ65" s="653"/>
      <c r="OWR65" s="950"/>
      <c r="OWS65" s="951"/>
      <c r="OWT65" s="952"/>
      <c r="OWU65" s="959"/>
      <c r="OWV65" s="953"/>
      <c r="OWW65" s="954"/>
      <c r="OWX65" s="955"/>
      <c r="OWY65" s="955"/>
      <c r="OWZ65" s="820"/>
      <c r="OXA65" s="972"/>
      <c r="OXB65" s="955"/>
      <c r="OXC65" s="950"/>
      <c r="OXD65" s="957"/>
      <c r="OXE65" s="950"/>
      <c r="OXF65" s="950"/>
      <c r="OXG65" s="957"/>
      <c r="OXH65" s="950"/>
      <c r="OXI65" s="950"/>
      <c r="OXJ65" s="653"/>
      <c r="OXK65" s="950"/>
      <c r="OXL65" s="951"/>
      <c r="OXM65" s="952"/>
      <c r="OXN65" s="959"/>
      <c r="OXO65" s="953"/>
      <c r="OXP65" s="954"/>
      <c r="OXQ65" s="955"/>
      <c r="OXR65" s="955"/>
      <c r="OXS65" s="820"/>
      <c r="OXT65" s="972"/>
      <c r="OXU65" s="955"/>
      <c r="OXV65" s="950"/>
      <c r="OXW65" s="957"/>
      <c r="OXX65" s="950"/>
      <c r="OXY65" s="950"/>
      <c r="OXZ65" s="957"/>
      <c r="OYA65" s="950"/>
      <c r="OYB65" s="950"/>
      <c r="OYC65" s="653"/>
      <c r="OYD65" s="950"/>
      <c r="OYE65" s="951"/>
      <c r="OYF65" s="952"/>
      <c r="OYG65" s="959"/>
      <c r="OYH65" s="953"/>
      <c r="OYI65" s="954"/>
      <c r="OYJ65" s="955"/>
      <c r="OYK65" s="955"/>
      <c r="OYL65" s="820"/>
      <c r="OYM65" s="972"/>
      <c r="OYN65" s="955"/>
      <c r="OYO65" s="950"/>
      <c r="OYP65" s="957"/>
      <c r="OYQ65" s="950"/>
      <c r="OYR65" s="950"/>
      <c r="OYS65" s="957"/>
      <c r="OYT65" s="950"/>
      <c r="OYU65" s="950"/>
      <c r="OYV65" s="653"/>
      <c r="OYW65" s="950"/>
      <c r="OYX65" s="951"/>
      <c r="OYY65" s="952"/>
      <c r="OYZ65" s="959"/>
      <c r="OZA65" s="953"/>
      <c r="OZB65" s="954"/>
      <c r="OZC65" s="955"/>
      <c r="OZD65" s="955"/>
      <c r="OZE65" s="820"/>
      <c r="OZF65" s="972"/>
      <c r="OZG65" s="955"/>
      <c r="OZH65" s="950"/>
      <c r="OZI65" s="957"/>
      <c r="OZJ65" s="950"/>
      <c r="OZK65" s="950"/>
      <c r="OZL65" s="957"/>
      <c r="OZM65" s="950"/>
      <c r="OZN65" s="950"/>
      <c r="OZO65" s="653"/>
      <c r="OZP65" s="950"/>
      <c r="OZQ65" s="951"/>
      <c r="OZR65" s="952"/>
      <c r="OZS65" s="959"/>
      <c r="OZT65" s="953"/>
      <c r="OZU65" s="954"/>
      <c r="OZV65" s="955"/>
      <c r="OZW65" s="955"/>
      <c r="OZX65" s="820"/>
      <c r="OZY65" s="972"/>
      <c r="OZZ65" s="955"/>
      <c r="PAA65" s="950"/>
      <c r="PAB65" s="957"/>
      <c r="PAC65" s="950"/>
      <c r="PAD65" s="950"/>
      <c r="PAE65" s="957"/>
      <c r="PAF65" s="950"/>
      <c r="PAG65" s="950"/>
      <c r="PAH65" s="653"/>
      <c r="PAI65" s="950"/>
      <c r="PAJ65" s="951"/>
      <c r="PAK65" s="952"/>
      <c r="PAL65" s="959"/>
      <c r="PAM65" s="953"/>
      <c r="PAN65" s="954"/>
      <c r="PAO65" s="955"/>
      <c r="PAP65" s="955"/>
      <c r="PAQ65" s="820"/>
      <c r="PAR65" s="972"/>
      <c r="PAS65" s="955"/>
      <c r="PAT65" s="950"/>
      <c r="PAU65" s="957"/>
      <c r="PAV65" s="950"/>
      <c r="PAW65" s="950"/>
      <c r="PAX65" s="957"/>
      <c r="PAY65" s="950"/>
      <c r="PAZ65" s="950"/>
      <c r="PBA65" s="653"/>
      <c r="PBB65" s="950"/>
      <c r="PBC65" s="951"/>
      <c r="PBD65" s="952"/>
      <c r="PBE65" s="959"/>
      <c r="PBF65" s="953"/>
      <c r="PBG65" s="954"/>
      <c r="PBH65" s="955"/>
      <c r="PBI65" s="955"/>
      <c r="PBJ65" s="820"/>
      <c r="PBK65" s="972"/>
      <c r="PBL65" s="955"/>
      <c r="PBM65" s="950"/>
      <c r="PBN65" s="957"/>
      <c r="PBO65" s="950"/>
      <c r="PBP65" s="950"/>
      <c r="PBQ65" s="957"/>
      <c r="PBR65" s="950"/>
      <c r="PBS65" s="950"/>
      <c r="PBT65" s="653"/>
      <c r="PBU65" s="950"/>
      <c r="PBV65" s="951"/>
      <c r="PBW65" s="952"/>
      <c r="PBX65" s="959"/>
      <c r="PBY65" s="953"/>
      <c r="PBZ65" s="954"/>
      <c r="PCA65" s="955"/>
      <c r="PCB65" s="955"/>
      <c r="PCC65" s="820"/>
      <c r="PCD65" s="972"/>
      <c r="PCE65" s="955"/>
      <c r="PCF65" s="950"/>
      <c r="PCG65" s="957"/>
      <c r="PCH65" s="950"/>
      <c r="PCI65" s="950"/>
      <c r="PCJ65" s="957"/>
      <c r="PCK65" s="950"/>
      <c r="PCL65" s="950"/>
      <c r="PCM65" s="653"/>
      <c r="PCN65" s="950"/>
      <c r="PCO65" s="951"/>
      <c r="PCP65" s="952"/>
      <c r="PCQ65" s="959"/>
      <c r="PCR65" s="953"/>
      <c r="PCS65" s="954"/>
      <c r="PCT65" s="955"/>
      <c r="PCU65" s="955"/>
      <c r="PCV65" s="820"/>
      <c r="PCW65" s="972"/>
      <c r="PCX65" s="955"/>
      <c r="PCY65" s="950"/>
      <c r="PCZ65" s="957"/>
      <c r="PDA65" s="950"/>
      <c r="PDB65" s="950"/>
      <c r="PDC65" s="957"/>
      <c r="PDD65" s="950"/>
      <c r="PDE65" s="950"/>
      <c r="PDF65" s="653"/>
      <c r="PDG65" s="950"/>
      <c r="PDH65" s="951"/>
      <c r="PDI65" s="952"/>
      <c r="PDJ65" s="959"/>
      <c r="PDK65" s="953"/>
      <c r="PDL65" s="954"/>
      <c r="PDM65" s="955"/>
      <c r="PDN65" s="955"/>
      <c r="PDO65" s="820"/>
      <c r="PDP65" s="972"/>
      <c r="PDQ65" s="955"/>
      <c r="PDR65" s="950"/>
      <c r="PDS65" s="957"/>
      <c r="PDT65" s="950"/>
      <c r="PDU65" s="950"/>
      <c r="PDV65" s="957"/>
      <c r="PDW65" s="950"/>
      <c r="PDX65" s="950"/>
      <c r="PDY65" s="653"/>
      <c r="PDZ65" s="950"/>
      <c r="PEA65" s="951"/>
      <c r="PEB65" s="952"/>
      <c r="PEC65" s="959"/>
      <c r="PED65" s="953"/>
      <c r="PEE65" s="954"/>
      <c r="PEF65" s="955"/>
      <c r="PEG65" s="955"/>
      <c r="PEH65" s="820"/>
      <c r="PEI65" s="972"/>
      <c r="PEJ65" s="955"/>
      <c r="PEK65" s="950"/>
      <c r="PEL65" s="957"/>
      <c r="PEM65" s="950"/>
      <c r="PEN65" s="950"/>
      <c r="PEO65" s="957"/>
      <c r="PEP65" s="950"/>
      <c r="PEQ65" s="950"/>
      <c r="PER65" s="653"/>
      <c r="PES65" s="950"/>
      <c r="PET65" s="951"/>
      <c r="PEU65" s="952"/>
      <c r="PEV65" s="959"/>
      <c r="PEW65" s="953"/>
      <c r="PEX65" s="954"/>
      <c r="PEY65" s="955"/>
      <c r="PEZ65" s="955"/>
      <c r="PFA65" s="820"/>
      <c r="PFB65" s="972"/>
      <c r="PFC65" s="955"/>
      <c r="PFD65" s="950"/>
      <c r="PFE65" s="957"/>
      <c r="PFF65" s="950"/>
      <c r="PFG65" s="950"/>
      <c r="PFH65" s="957"/>
      <c r="PFI65" s="950"/>
      <c r="PFJ65" s="950"/>
      <c r="PFK65" s="653"/>
      <c r="PFL65" s="950"/>
      <c r="PFM65" s="951"/>
      <c r="PFN65" s="952"/>
      <c r="PFO65" s="959"/>
      <c r="PFP65" s="953"/>
      <c r="PFQ65" s="954"/>
      <c r="PFR65" s="955"/>
      <c r="PFS65" s="955"/>
      <c r="PFT65" s="820"/>
      <c r="PFU65" s="972"/>
      <c r="PFV65" s="955"/>
      <c r="PFW65" s="950"/>
      <c r="PFX65" s="957"/>
      <c r="PFY65" s="950"/>
      <c r="PFZ65" s="950"/>
      <c r="PGA65" s="957"/>
      <c r="PGB65" s="950"/>
      <c r="PGC65" s="950"/>
      <c r="PGD65" s="653"/>
      <c r="PGE65" s="950"/>
      <c r="PGF65" s="951"/>
      <c r="PGG65" s="952"/>
      <c r="PGH65" s="959"/>
      <c r="PGI65" s="953"/>
      <c r="PGJ65" s="954"/>
      <c r="PGK65" s="955"/>
      <c r="PGL65" s="955"/>
      <c r="PGM65" s="820"/>
      <c r="PGN65" s="972"/>
      <c r="PGO65" s="955"/>
      <c r="PGP65" s="950"/>
      <c r="PGQ65" s="957"/>
      <c r="PGR65" s="950"/>
      <c r="PGS65" s="950"/>
      <c r="PGT65" s="957"/>
      <c r="PGU65" s="950"/>
      <c r="PGV65" s="950"/>
      <c r="PGW65" s="653"/>
      <c r="PGX65" s="950"/>
      <c r="PGY65" s="951"/>
      <c r="PGZ65" s="952"/>
      <c r="PHA65" s="959"/>
      <c r="PHB65" s="953"/>
      <c r="PHC65" s="954"/>
      <c r="PHD65" s="955"/>
      <c r="PHE65" s="955"/>
      <c r="PHF65" s="820"/>
      <c r="PHG65" s="972"/>
      <c r="PHH65" s="955"/>
      <c r="PHI65" s="950"/>
      <c r="PHJ65" s="957"/>
      <c r="PHK65" s="950"/>
      <c r="PHL65" s="950"/>
      <c r="PHM65" s="957"/>
      <c r="PHN65" s="950"/>
      <c r="PHO65" s="950"/>
      <c r="PHP65" s="653"/>
      <c r="PHQ65" s="950"/>
      <c r="PHR65" s="951"/>
      <c r="PHS65" s="952"/>
      <c r="PHT65" s="959"/>
      <c r="PHU65" s="953"/>
      <c r="PHV65" s="954"/>
      <c r="PHW65" s="955"/>
      <c r="PHX65" s="955"/>
      <c r="PHY65" s="820"/>
      <c r="PHZ65" s="972"/>
      <c r="PIA65" s="955"/>
      <c r="PIB65" s="950"/>
      <c r="PIC65" s="957"/>
      <c r="PID65" s="950"/>
      <c r="PIE65" s="950"/>
      <c r="PIF65" s="957"/>
      <c r="PIG65" s="950"/>
      <c r="PIH65" s="950"/>
      <c r="PII65" s="653"/>
      <c r="PIJ65" s="950"/>
      <c r="PIK65" s="951"/>
      <c r="PIL65" s="952"/>
      <c r="PIM65" s="959"/>
      <c r="PIN65" s="953"/>
      <c r="PIO65" s="954"/>
      <c r="PIP65" s="955"/>
      <c r="PIQ65" s="955"/>
      <c r="PIR65" s="820"/>
      <c r="PIS65" s="972"/>
      <c r="PIT65" s="955"/>
      <c r="PIU65" s="950"/>
      <c r="PIV65" s="957"/>
      <c r="PIW65" s="950"/>
      <c r="PIX65" s="950"/>
      <c r="PIY65" s="957"/>
      <c r="PIZ65" s="950"/>
      <c r="PJA65" s="950"/>
      <c r="PJB65" s="653"/>
      <c r="PJC65" s="950"/>
      <c r="PJD65" s="951"/>
      <c r="PJE65" s="952"/>
      <c r="PJF65" s="959"/>
      <c r="PJG65" s="953"/>
      <c r="PJH65" s="954"/>
      <c r="PJI65" s="955"/>
      <c r="PJJ65" s="955"/>
      <c r="PJK65" s="820"/>
      <c r="PJL65" s="972"/>
      <c r="PJM65" s="955"/>
      <c r="PJN65" s="950"/>
      <c r="PJO65" s="957"/>
      <c r="PJP65" s="950"/>
      <c r="PJQ65" s="950"/>
      <c r="PJR65" s="957"/>
      <c r="PJS65" s="950"/>
      <c r="PJT65" s="950"/>
      <c r="PJU65" s="653"/>
      <c r="PJV65" s="950"/>
      <c r="PJW65" s="951"/>
      <c r="PJX65" s="952"/>
      <c r="PJY65" s="959"/>
      <c r="PJZ65" s="953"/>
      <c r="PKA65" s="954"/>
      <c r="PKB65" s="955"/>
      <c r="PKC65" s="955"/>
      <c r="PKD65" s="820"/>
      <c r="PKE65" s="972"/>
      <c r="PKF65" s="955"/>
      <c r="PKG65" s="950"/>
      <c r="PKH65" s="957"/>
      <c r="PKI65" s="950"/>
      <c r="PKJ65" s="950"/>
      <c r="PKK65" s="957"/>
      <c r="PKL65" s="950"/>
      <c r="PKM65" s="950"/>
      <c r="PKN65" s="653"/>
      <c r="PKO65" s="950"/>
      <c r="PKP65" s="951"/>
      <c r="PKQ65" s="952"/>
      <c r="PKR65" s="959"/>
      <c r="PKS65" s="953"/>
      <c r="PKT65" s="954"/>
      <c r="PKU65" s="955"/>
      <c r="PKV65" s="955"/>
      <c r="PKW65" s="820"/>
      <c r="PKX65" s="972"/>
      <c r="PKY65" s="955"/>
      <c r="PKZ65" s="950"/>
      <c r="PLA65" s="957"/>
      <c r="PLB65" s="950"/>
      <c r="PLC65" s="950"/>
      <c r="PLD65" s="957"/>
      <c r="PLE65" s="950"/>
      <c r="PLF65" s="950"/>
      <c r="PLG65" s="653"/>
      <c r="PLH65" s="950"/>
      <c r="PLI65" s="951"/>
      <c r="PLJ65" s="952"/>
      <c r="PLK65" s="959"/>
      <c r="PLL65" s="953"/>
      <c r="PLM65" s="954"/>
      <c r="PLN65" s="955"/>
      <c r="PLO65" s="955"/>
      <c r="PLP65" s="820"/>
      <c r="PLQ65" s="972"/>
      <c r="PLR65" s="955"/>
      <c r="PLS65" s="950"/>
      <c r="PLT65" s="957"/>
      <c r="PLU65" s="950"/>
      <c r="PLV65" s="950"/>
      <c r="PLW65" s="957"/>
      <c r="PLX65" s="950"/>
      <c r="PLY65" s="950"/>
      <c r="PLZ65" s="653"/>
      <c r="PMA65" s="950"/>
      <c r="PMB65" s="951"/>
      <c r="PMC65" s="952"/>
      <c r="PMD65" s="959"/>
      <c r="PME65" s="953"/>
      <c r="PMF65" s="954"/>
      <c r="PMG65" s="955"/>
      <c r="PMH65" s="955"/>
      <c r="PMI65" s="820"/>
      <c r="PMJ65" s="972"/>
      <c r="PMK65" s="955"/>
      <c r="PML65" s="950"/>
      <c r="PMM65" s="957"/>
      <c r="PMN65" s="950"/>
      <c r="PMO65" s="950"/>
      <c r="PMP65" s="957"/>
      <c r="PMQ65" s="950"/>
      <c r="PMR65" s="950"/>
      <c r="PMS65" s="653"/>
      <c r="PMT65" s="950"/>
      <c r="PMU65" s="951"/>
      <c r="PMV65" s="952"/>
      <c r="PMW65" s="959"/>
      <c r="PMX65" s="953"/>
      <c r="PMY65" s="954"/>
      <c r="PMZ65" s="955"/>
      <c r="PNA65" s="955"/>
      <c r="PNB65" s="820"/>
      <c r="PNC65" s="972"/>
      <c r="PND65" s="955"/>
      <c r="PNE65" s="950"/>
      <c r="PNF65" s="957"/>
      <c r="PNG65" s="950"/>
      <c r="PNH65" s="950"/>
      <c r="PNI65" s="957"/>
      <c r="PNJ65" s="950"/>
      <c r="PNK65" s="950"/>
      <c r="PNL65" s="653"/>
      <c r="PNM65" s="950"/>
      <c r="PNN65" s="951"/>
      <c r="PNO65" s="952"/>
      <c r="PNP65" s="959"/>
      <c r="PNQ65" s="953"/>
      <c r="PNR65" s="954"/>
      <c r="PNS65" s="955"/>
      <c r="PNT65" s="955"/>
      <c r="PNU65" s="820"/>
      <c r="PNV65" s="972"/>
      <c r="PNW65" s="955"/>
      <c r="PNX65" s="950"/>
      <c r="PNY65" s="957"/>
      <c r="PNZ65" s="950"/>
      <c r="POA65" s="950"/>
      <c r="POB65" s="957"/>
      <c r="POC65" s="950"/>
      <c r="POD65" s="950"/>
      <c r="POE65" s="653"/>
      <c r="POF65" s="950"/>
      <c r="POG65" s="951"/>
      <c r="POH65" s="952"/>
      <c r="POI65" s="959"/>
      <c r="POJ65" s="953"/>
      <c r="POK65" s="954"/>
      <c r="POL65" s="955"/>
      <c r="POM65" s="955"/>
      <c r="PON65" s="820"/>
      <c r="POO65" s="972"/>
      <c r="POP65" s="955"/>
      <c r="POQ65" s="950"/>
      <c r="POR65" s="957"/>
      <c r="POS65" s="950"/>
      <c r="POT65" s="950"/>
      <c r="POU65" s="957"/>
      <c r="POV65" s="950"/>
      <c r="POW65" s="950"/>
      <c r="POX65" s="653"/>
      <c r="POY65" s="950"/>
      <c r="POZ65" s="951"/>
      <c r="PPA65" s="952"/>
      <c r="PPB65" s="959"/>
      <c r="PPC65" s="953"/>
      <c r="PPD65" s="954"/>
      <c r="PPE65" s="955"/>
      <c r="PPF65" s="955"/>
      <c r="PPG65" s="820"/>
      <c r="PPH65" s="972"/>
      <c r="PPI65" s="955"/>
      <c r="PPJ65" s="950"/>
      <c r="PPK65" s="957"/>
      <c r="PPL65" s="950"/>
      <c r="PPM65" s="950"/>
      <c r="PPN65" s="957"/>
      <c r="PPO65" s="950"/>
      <c r="PPP65" s="950"/>
      <c r="PPQ65" s="653"/>
      <c r="PPR65" s="950"/>
      <c r="PPS65" s="951"/>
      <c r="PPT65" s="952"/>
      <c r="PPU65" s="959"/>
      <c r="PPV65" s="953"/>
      <c r="PPW65" s="954"/>
      <c r="PPX65" s="955"/>
      <c r="PPY65" s="955"/>
      <c r="PPZ65" s="820"/>
      <c r="PQA65" s="972"/>
      <c r="PQB65" s="955"/>
      <c r="PQC65" s="950"/>
      <c r="PQD65" s="957"/>
      <c r="PQE65" s="950"/>
      <c r="PQF65" s="950"/>
      <c r="PQG65" s="957"/>
      <c r="PQH65" s="950"/>
      <c r="PQI65" s="950"/>
      <c r="PQJ65" s="653"/>
      <c r="PQK65" s="950"/>
      <c r="PQL65" s="951"/>
      <c r="PQM65" s="952"/>
      <c r="PQN65" s="959"/>
      <c r="PQO65" s="953"/>
      <c r="PQP65" s="954"/>
      <c r="PQQ65" s="955"/>
      <c r="PQR65" s="955"/>
      <c r="PQS65" s="820"/>
      <c r="PQT65" s="972"/>
      <c r="PQU65" s="955"/>
      <c r="PQV65" s="950"/>
      <c r="PQW65" s="957"/>
      <c r="PQX65" s="950"/>
      <c r="PQY65" s="950"/>
      <c r="PQZ65" s="957"/>
      <c r="PRA65" s="950"/>
      <c r="PRB65" s="950"/>
      <c r="PRC65" s="653"/>
      <c r="PRD65" s="950"/>
      <c r="PRE65" s="951"/>
      <c r="PRF65" s="952"/>
      <c r="PRG65" s="959"/>
      <c r="PRH65" s="953"/>
      <c r="PRI65" s="954"/>
      <c r="PRJ65" s="955"/>
      <c r="PRK65" s="955"/>
      <c r="PRL65" s="820"/>
      <c r="PRM65" s="972"/>
      <c r="PRN65" s="955"/>
      <c r="PRO65" s="950"/>
      <c r="PRP65" s="957"/>
      <c r="PRQ65" s="950"/>
      <c r="PRR65" s="950"/>
      <c r="PRS65" s="957"/>
      <c r="PRT65" s="950"/>
      <c r="PRU65" s="950"/>
      <c r="PRV65" s="653"/>
      <c r="PRW65" s="950"/>
      <c r="PRX65" s="951"/>
      <c r="PRY65" s="952"/>
      <c r="PRZ65" s="959"/>
      <c r="PSA65" s="953"/>
      <c r="PSB65" s="954"/>
      <c r="PSC65" s="955"/>
      <c r="PSD65" s="955"/>
      <c r="PSE65" s="820"/>
      <c r="PSF65" s="972"/>
      <c r="PSG65" s="955"/>
      <c r="PSH65" s="950"/>
      <c r="PSI65" s="957"/>
      <c r="PSJ65" s="950"/>
      <c r="PSK65" s="950"/>
      <c r="PSL65" s="957"/>
      <c r="PSM65" s="950"/>
      <c r="PSN65" s="950"/>
      <c r="PSO65" s="653"/>
      <c r="PSP65" s="950"/>
      <c r="PSQ65" s="951"/>
      <c r="PSR65" s="952"/>
      <c r="PSS65" s="959"/>
      <c r="PST65" s="953"/>
      <c r="PSU65" s="954"/>
      <c r="PSV65" s="955"/>
      <c r="PSW65" s="955"/>
      <c r="PSX65" s="820"/>
      <c r="PSY65" s="972"/>
      <c r="PSZ65" s="955"/>
      <c r="PTA65" s="950"/>
      <c r="PTB65" s="957"/>
      <c r="PTC65" s="950"/>
      <c r="PTD65" s="950"/>
      <c r="PTE65" s="957"/>
      <c r="PTF65" s="950"/>
      <c r="PTG65" s="950"/>
      <c r="PTH65" s="653"/>
      <c r="PTI65" s="950"/>
      <c r="PTJ65" s="951"/>
      <c r="PTK65" s="952"/>
      <c r="PTL65" s="959"/>
      <c r="PTM65" s="953"/>
      <c r="PTN65" s="954"/>
      <c r="PTO65" s="955"/>
      <c r="PTP65" s="955"/>
      <c r="PTQ65" s="820"/>
      <c r="PTR65" s="972"/>
      <c r="PTS65" s="955"/>
      <c r="PTT65" s="950"/>
      <c r="PTU65" s="957"/>
      <c r="PTV65" s="950"/>
      <c r="PTW65" s="950"/>
      <c r="PTX65" s="957"/>
      <c r="PTY65" s="950"/>
      <c r="PTZ65" s="950"/>
      <c r="PUA65" s="653"/>
      <c r="PUB65" s="950"/>
      <c r="PUC65" s="951"/>
      <c r="PUD65" s="952"/>
      <c r="PUE65" s="959"/>
      <c r="PUF65" s="953"/>
      <c r="PUG65" s="954"/>
      <c r="PUH65" s="955"/>
      <c r="PUI65" s="955"/>
      <c r="PUJ65" s="820"/>
      <c r="PUK65" s="972"/>
      <c r="PUL65" s="955"/>
      <c r="PUM65" s="950"/>
      <c r="PUN65" s="957"/>
      <c r="PUO65" s="950"/>
      <c r="PUP65" s="950"/>
      <c r="PUQ65" s="957"/>
      <c r="PUR65" s="950"/>
      <c r="PUS65" s="950"/>
      <c r="PUT65" s="653"/>
      <c r="PUU65" s="950"/>
      <c r="PUV65" s="951"/>
      <c r="PUW65" s="952"/>
      <c r="PUX65" s="959"/>
      <c r="PUY65" s="953"/>
      <c r="PUZ65" s="954"/>
      <c r="PVA65" s="955"/>
      <c r="PVB65" s="955"/>
      <c r="PVC65" s="820"/>
      <c r="PVD65" s="972"/>
      <c r="PVE65" s="955"/>
      <c r="PVF65" s="950"/>
      <c r="PVG65" s="957"/>
      <c r="PVH65" s="950"/>
      <c r="PVI65" s="950"/>
      <c r="PVJ65" s="957"/>
      <c r="PVK65" s="950"/>
      <c r="PVL65" s="950"/>
      <c r="PVM65" s="653"/>
      <c r="PVN65" s="950"/>
      <c r="PVO65" s="951"/>
      <c r="PVP65" s="952"/>
      <c r="PVQ65" s="959"/>
      <c r="PVR65" s="953"/>
      <c r="PVS65" s="954"/>
      <c r="PVT65" s="955"/>
      <c r="PVU65" s="955"/>
      <c r="PVV65" s="820"/>
      <c r="PVW65" s="972"/>
      <c r="PVX65" s="955"/>
      <c r="PVY65" s="950"/>
      <c r="PVZ65" s="957"/>
      <c r="PWA65" s="950"/>
      <c r="PWB65" s="950"/>
      <c r="PWC65" s="957"/>
      <c r="PWD65" s="950"/>
      <c r="PWE65" s="950"/>
      <c r="PWF65" s="653"/>
      <c r="PWG65" s="950"/>
      <c r="PWH65" s="951"/>
      <c r="PWI65" s="952"/>
      <c r="PWJ65" s="959"/>
      <c r="PWK65" s="953"/>
      <c r="PWL65" s="954"/>
      <c r="PWM65" s="955"/>
      <c r="PWN65" s="955"/>
      <c r="PWO65" s="820"/>
      <c r="PWP65" s="972"/>
      <c r="PWQ65" s="955"/>
      <c r="PWR65" s="950"/>
      <c r="PWS65" s="957"/>
      <c r="PWT65" s="950"/>
      <c r="PWU65" s="950"/>
      <c r="PWV65" s="957"/>
      <c r="PWW65" s="950"/>
      <c r="PWX65" s="950"/>
      <c r="PWY65" s="653"/>
      <c r="PWZ65" s="950"/>
      <c r="PXA65" s="951"/>
      <c r="PXB65" s="952"/>
      <c r="PXC65" s="959"/>
      <c r="PXD65" s="953"/>
      <c r="PXE65" s="954"/>
      <c r="PXF65" s="955"/>
      <c r="PXG65" s="955"/>
      <c r="PXH65" s="820"/>
      <c r="PXI65" s="972"/>
      <c r="PXJ65" s="955"/>
      <c r="PXK65" s="950"/>
      <c r="PXL65" s="957"/>
      <c r="PXM65" s="950"/>
      <c r="PXN65" s="950"/>
      <c r="PXO65" s="957"/>
      <c r="PXP65" s="950"/>
      <c r="PXQ65" s="950"/>
      <c r="PXR65" s="653"/>
      <c r="PXS65" s="950"/>
      <c r="PXT65" s="951"/>
      <c r="PXU65" s="952"/>
      <c r="PXV65" s="959"/>
      <c r="PXW65" s="953"/>
      <c r="PXX65" s="954"/>
      <c r="PXY65" s="955"/>
      <c r="PXZ65" s="955"/>
      <c r="PYA65" s="820"/>
      <c r="PYB65" s="972"/>
      <c r="PYC65" s="955"/>
      <c r="PYD65" s="950"/>
      <c r="PYE65" s="957"/>
      <c r="PYF65" s="950"/>
      <c r="PYG65" s="950"/>
      <c r="PYH65" s="957"/>
      <c r="PYI65" s="950"/>
      <c r="PYJ65" s="950"/>
      <c r="PYK65" s="653"/>
      <c r="PYL65" s="950"/>
      <c r="PYM65" s="951"/>
      <c r="PYN65" s="952"/>
      <c r="PYO65" s="959"/>
      <c r="PYP65" s="953"/>
      <c r="PYQ65" s="954"/>
      <c r="PYR65" s="955"/>
      <c r="PYS65" s="955"/>
      <c r="PYT65" s="820"/>
      <c r="PYU65" s="972"/>
      <c r="PYV65" s="955"/>
      <c r="PYW65" s="950"/>
      <c r="PYX65" s="957"/>
      <c r="PYY65" s="950"/>
      <c r="PYZ65" s="950"/>
      <c r="PZA65" s="957"/>
      <c r="PZB65" s="950"/>
      <c r="PZC65" s="950"/>
      <c r="PZD65" s="653"/>
      <c r="PZE65" s="950"/>
      <c r="PZF65" s="951"/>
      <c r="PZG65" s="952"/>
      <c r="PZH65" s="959"/>
      <c r="PZI65" s="953"/>
      <c r="PZJ65" s="954"/>
      <c r="PZK65" s="955"/>
      <c r="PZL65" s="955"/>
      <c r="PZM65" s="820"/>
      <c r="PZN65" s="972"/>
      <c r="PZO65" s="955"/>
      <c r="PZP65" s="950"/>
      <c r="PZQ65" s="957"/>
      <c r="PZR65" s="950"/>
      <c r="PZS65" s="950"/>
      <c r="PZT65" s="957"/>
      <c r="PZU65" s="950"/>
      <c r="PZV65" s="950"/>
      <c r="PZW65" s="653"/>
      <c r="PZX65" s="950"/>
      <c r="PZY65" s="951"/>
      <c r="PZZ65" s="952"/>
      <c r="QAA65" s="959"/>
      <c r="QAB65" s="953"/>
      <c r="QAC65" s="954"/>
      <c r="QAD65" s="955"/>
      <c r="QAE65" s="955"/>
      <c r="QAF65" s="820"/>
      <c r="QAG65" s="972"/>
      <c r="QAH65" s="955"/>
      <c r="QAI65" s="950"/>
      <c r="QAJ65" s="957"/>
      <c r="QAK65" s="950"/>
      <c r="QAL65" s="950"/>
      <c r="QAM65" s="957"/>
      <c r="QAN65" s="950"/>
      <c r="QAO65" s="950"/>
      <c r="QAP65" s="653"/>
      <c r="QAQ65" s="950"/>
      <c r="QAR65" s="951"/>
      <c r="QAS65" s="952"/>
      <c r="QAT65" s="959"/>
      <c r="QAU65" s="953"/>
      <c r="QAV65" s="954"/>
      <c r="QAW65" s="955"/>
      <c r="QAX65" s="955"/>
      <c r="QAY65" s="820"/>
      <c r="QAZ65" s="972"/>
      <c r="QBA65" s="955"/>
      <c r="QBB65" s="950"/>
      <c r="QBC65" s="957"/>
      <c r="QBD65" s="950"/>
      <c r="QBE65" s="950"/>
      <c r="QBF65" s="957"/>
      <c r="QBG65" s="950"/>
      <c r="QBH65" s="950"/>
      <c r="QBI65" s="653"/>
      <c r="QBJ65" s="950"/>
      <c r="QBK65" s="951"/>
      <c r="QBL65" s="952"/>
      <c r="QBM65" s="959"/>
      <c r="QBN65" s="953"/>
      <c r="QBO65" s="954"/>
      <c r="QBP65" s="955"/>
      <c r="QBQ65" s="955"/>
      <c r="QBR65" s="820"/>
      <c r="QBS65" s="972"/>
      <c r="QBT65" s="955"/>
      <c r="QBU65" s="950"/>
      <c r="QBV65" s="957"/>
      <c r="QBW65" s="950"/>
      <c r="QBX65" s="950"/>
      <c r="QBY65" s="957"/>
      <c r="QBZ65" s="950"/>
      <c r="QCA65" s="950"/>
      <c r="QCB65" s="653"/>
      <c r="QCC65" s="950"/>
      <c r="QCD65" s="951"/>
      <c r="QCE65" s="952"/>
      <c r="QCF65" s="959"/>
      <c r="QCG65" s="953"/>
      <c r="QCH65" s="954"/>
      <c r="QCI65" s="955"/>
      <c r="QCJ65" s="955"/>
      <c r="QCK65" s="820"/>
      <c r="QCL65" s="972"/>
      <c r="QCM65" s="955"/>
      <c r="QCN65" s="950"/>
      <c r="QCO65" s="957"/>
      <c r="QCP65" s="950"/>
      <c r="QCQ65" s="950"/>
      <c r="QCR65" s="957"/>
      <c r="QCS65" s="950"/>
      <c r="QCT65" s="950"/>
      <c r="QCU65" s="653"/>
      <c r="QCV65" s="950"/>
      <c r="QCW65" s="951"/>
      <c r="QCX65" s="952"/>
      <c r="QCY65" s="959"/>
      <c r="QCZ65" s="953"/>
      <c r="QDA65" s="954"/>
      <c r="QDB65" s="955"/>
      <c r="QDC65" s="955"/>
      <c r="QDD65" s="820"/>
      <c r="QDE65" s="972"/>
      <c r="QDF65" s="955"/>
      <c r="QDG65" s="950"/>
      <c r="QDH65" s="957"/>
      <c r="QDI65" s="950"/>
      <c r="QDJ65" s="950"/>
      <c r="QDK65" s="957"/>
      <c r="QDL65" s="950"/>
      <c r="QDM65" s="950"/>
      <c r="QDN65" s="653"/>
      <c r="QDO65" s="950"/>
      <c r="QDP65" s="951"/>
      <c r="QDQ65" s="952"/>
      <c r="QDR65" s="959"/>
      <c r="QDS65" s="953"/>
      <c r="QDT65" s="954"/>
      <c r="QDU65" s="955"/>
      <c r="QDV65" s="955"/>
      <c r="QDW65" s="820"/>
      <c r="QDX65" s="972"/>
      <c r="QDY65" s="955"/>
      <c r="QDZ65" s="950"/>
      <c r="QEA65" s="957"/>
      <c r="QEB65" s="950"/>
      <c r="QEC65" s="950"/>
      <c r="QED65" s="957"/>
      <c r="QEE65" s="950"/>
      <c r="QEF65" s="950"/>
      <c r="QEG65" s="653"/>
      <c r="QEH65" s="950"/>
      <c r="QEI65" s="951"/>
      <c r="QEJ65" s="952"/>
      <c r="QEK65" s="959"/>
      <c r="QEL65" s="953"/>
      <c r="QEM65" s="954"/>
      <c r="QEN65" s="955"/>
      <c r="QEO65" s="955"/>
      <c r="QEP65" s="820"/>
      <c r="QEQ65" s="972"/>
      <c r="QER65" s="955"/>
      <c r="QES65" s="950"/>
      <c r="QET65" s="957"/>
      <c r="QEU65" s="950"/>
      <c r="QEV65" s="950"/>
      <c r="QEW65" s="957"/>
      <c r="QEX65" s="950"/>
      <c r="QEY65" s="950"/>
      <c r="QEZ65" s="653"/>
      <c r="QFA65" s="950"/>
      <c r="QFB65" s="951"/>
      <c r="QFC65" s="952"/>
      <c r="QFD65" s="959"/>
      <c r="QFE65" s="953"/>
      <c r="QFF65" s="954"/>
      <c r="QFG65" s="955"/>
      <c r="QFH65" s="955"/>
      <c r="QFI65" s="820"/>
      <c r="QFJ65" s="972"/>
      <c r="QFK65" s="955"/>
      <c r="QFL65" s="950"/>
      <c r="QFM65" s="957"/>
      <c r="QFN65" s="950"/>
      <c r="QFO65" s="950"/>
      <c r="QFP65" s="957"/>
      <c r="QFQ65" s="950"/>
      <c r="QFR65" s="950"/>
      <c r="QFS65" s="653"/>
      <c r="QFT65" s="950"/>
      <c r="QFU65" s="951"/>
      <c r="QFV65" s="952"/>
      <c r="QFW65" s="959"/>
      <c r="QFX65" s="953"/>
      <c r="QFY65" s="954"/>
      <c r="QFZ65" s="955"/>
      <c r="QGA65" s="955"/>
      <c r="QGB65" s="820"/>
      <c r="QGC65" s="972"/>
      <c r="QGD65" s="955"/>
      <c r="QGE65" s="950"/>
      <c r="QGF65" s="957"/>
      <c r="QGG65" s="950"/>
      <c r="QGH65" s="950"/>
      <c r="QGI65" s="957"/>
      <c r="QGJ65" s="950"/>
      <c r="QGK65" s="950"/>
      <c r="QGL65" s="653"/>
      <c r="QGM65" s="950"/>
      <c r="QGN65" s="951"/>
      <c r="QGO65" s="952"/>
      <c r="QGP65" s="959"/>
      <c r="QGQ65" s="953"/>
      <c r="QGR65" s="954"/>
      <c r="QGS65" s="955"/>
      <c r="QGT65" s="955"/>
      <c r="QGU65" s="820"/>
      <c r="QGV65" s="972"/>
      <c r="QGW65" s="955"/>
      <c r="QGX65" s="950"/>
      <c r="QGY65" s="957"/>
      <c r="QGZ65" s="950"/>
      <c r="QHA65" s="950"/>
      <c r="QHB65" s="957"/>
      <c r="QHC65" s="950"/>
      <c r="QHD65" s="950"/>
      <c r="QHE65" s="653"/>
      <c r="QHF65" s="950"/>
      <c r="QHG65" s="951"/>
      <c r="QHH65" s="952"/>
      <c r="QHI65" s="959"/>
      <c r="QHJ65" s="953"/>
      <c r="QHK65" s="954"/>
      <c r="QHL65" s="955"/>
      <c r="QHM65" s="955"/>
      <c r="QHN65" s="820"/>
      <c r="QHO65" s="972"/>
      <c r="QHP65" s="955"/>
      <c r="QHQ65" s="950"/>
      <c r="QHR65" s="957"/>
      <c r="QHS65" s="950"/>
      <c r="QHT65" s="950"/>
      <c r="QHU65" s="957"/>
      <c r="QHV65" s="950"/>
      <c r="QHW65" s="950"/>
      <c r="QHX65" s="653"/>
      <c r="QHY65" s="950"/>
      <c r="QHZ65" s="951"/>
      <c r="QIA65" s="952"/>
      <c r="QIB65" s="959"/>
      <c r="QIC65" s="953"/>
      <c r="QID65" s="954"/>
      <c r="QIE65" s="955"/>
      <c r="QIF65" s="955"/>
      <c r="QIG65" s="820"/>
      <c r="QIH65" s="972"/>
      <c r="QII65" s="955"/>
      <c r="QIJ65" s="950"/>
      <c r="QIK65" s="957"/>
      <c r="QIL65" s="950"/>
      <c r="QIM65" s="950"/>
      <c r="QIN65" s="957"/>
      <c r="QIO65" s="950"/>
      <c r="QIP65" s="950"/>
      <c r="QIQ65" s="653"/>
      <c r="QIR65" s="950"/>
      <c r="QIS65" s="951"/>
      <c r="QIT65" s="952"/>
      <c r="QIU65" s="959"/>
      <c r="QIV65" s="953"/>
      <c r="QIW65" s="954"/>
      <c r="QIX65" s="955"/>
      <c r="QIY65" s="955"/>
      <c r="QIZ65" s="820"/>
      <c r="QJA65" s="972"/>
      <c r="QJB65" s="955"/>
      <c r="QJC65" s="950"/>
      <c r="QJD65" s="957"/>
      <c r="QJE65" s="950"/>
      <c r="QJF65" s="950"/>
      <c r="QJG65" s="957"/>
      <c r="QJH65" s="950"/>
      <c r="QJI65" s="950"/>
      <c r="QJJ65" s="653"/>
      <c r="QJK65" s="950"/>
      <c r="QJL65" s="951"/>
      <c r="QJM65" s="952"/>
      <c r="QJN65" s="959"/>
      <c r="QJO65" s="953"/>
      <c r="QJP65" s="954"/>
      <c r="QJQ65" s="955"/>
      <c r="QJR65" s="955"/>
      <c r="QJS65" s="820"/>
      <c r="QJT65" s="972"/>
      <c r="QJU65" s="955"/>
      <c r="QJV65" s="950"/>
      <c r="QJW65" s="957"/>
      <c r="QJX65" s="950"/>
      <c r="QJY65" s="950"/>
      <c r="QJZ65" s="957"/>
      <c r="QKA65" s="950"/>
      <c r="QKB65" s="950"/>
      <c r="QKC65" s="653"/>
      <c r="QKD65" s="950"/>
      <c r="QKE65" s="951"/>
      <c r="QKF65" s="952"/>
      <c r="QKG65" s="959"/>
      <c r="QKH65" s="953"/>
      <c r="QKI65" s="954"/>
      <c r="QKJ65" s="955"/>
      <c r="QKK65" s="955"/>
      <c r="QKL65" s="820"/>
      <c r="QKM65" s="972"/>
      <c r="QKN65" s="955"/>
      <c r="QKO65" s="950"/>
      <c r="QKP65" s="957"/>
      <c r="QKQ65" s="950"/>
      <c r="QKR65" s="950"/>
      <c r="QKS65" s="957"/>
      <c r="QKT65" s="950"/>
      <c r="QKU65" s="950"/>
      <c r="QKV65" s="653"/>
      <c r="QKW65" s="950"/>
      <c r="QKX65" s="951"/>
      <c r="QKY65" s="952"/>
      <c r="QKZ65" s="959"/>
      <c r="QLA65" s="953"/>
      <c r="QLB65" s="954"/>
      <c r="QLC65" s="955"/>
      <c r="QLD65" s="955"/>
      <c r="QLE65" s="820"/>
      <c r="QLF65" s="972"/>
      <c r="QLG65" s="955"/>
      <c r="QLH65" s="950"/>
      <c r="QLI65" s="957"/>
      <c r="QLJ65" s="950"/>
      <c r="QLK65" s="950"/>
      <c r="QLL65" s="957"/>
      <c r="QLM65" s="950"/>
      <c r="QLN65" s="950"/>
      <c r="QLO65" s="653"/>
      <c r="QLP65" s="950"/>
      <c r="QLQ65" s="951"/>
      <c r="QLR65" s="952"/>
      <c r="QLS65" s="959"/>
      <c r="QLT65" s="953"/>
      <c r="QLU65" s="954"/>
      <c r="QLV65" s="955"/>
      <c r="QLW65" s="955"/>
      <c r="QLX65" s="820"/>
      <c r="QLY65" s="972"/>
      <c r="QLZ65" s="955"/>
      <c r="QMA65" s="950"/>
      <c r="QMB65" s="957"/>
      <c r="QMC65" s="950"/>
      <c r="QMD65" s="950"/>
      <c r="QME65" s="957"/>
      <c r="QMF65" s="950"/>
      <c r="QMG65" s="950"/>
      <c r="QMH65" s="653"/>
      <c r="QMI65" s="950"/>
      <c r="QMJ65" s="951"/>
      <c r="QMK65" s="952"/>
      <c r="QML65" s="959"/>
      <c r="QMM65" s="953"/>
      <c r="QMN65" s="954"/>
      <c r="QMO65" s="955"/>
      <c r="QMP65" s="955"/>
      <c r="QMQ65" s="820"/>
      <c r="QMR65" s="972"/>
      <c r="QMS65" s="955"/>
      <c r="QMT65" s="950"/>
      <c r="QMU65" s="957"/>
      <c r="QMV65" s="950"/>
      <c r="QMW65" s="950"/>
      <c r="QMX65" s="957"/>
      <c r="QMY65" s="950"/>
      <c r="QMZ65" s="950"/>
      <c r="QNA65" s="653"/>
      <c r="QNB65" s="950"/>
      <c r="QNC65" s="951"/>
      <c r="QND65" s="952"/>
      <c r="QNE65" s="959"/>
      <c r="QNF65" s="953"/>
      <c r="QNG65" s="954"/>
      <c r="QNH65" s="955"/>
      <c r="QNI65" s="955"/>
      <c r="QNJ65" s="820"/>
      <c r="QNK65" s="972"/>
      <c r="QNL65" s="955"/>
      <c r="QNM65" s="950"/>
      <c r="QNN65" s="957"/>
      <c r="QNO65" s="950"/>
      <c r="QNP65" s="950"/>
      <c r="QNQ65" s="957"/>
      <c r="QNR65" s="950"/>
      <c r="QNS65" s="950"/>
      <c r="QNT65" s="653"/>
      <c r="QNU65" s="950"/>
      <c r="QNV65" s="951"/>
      <c r="QNW65" s="952"/>
      <c r="QNX65" s="959"/>
      <c r="QNY65" s="953"/>
      <c r="QNZ65" s="954"/>
      <c r="QOA65" s="955"/>
      <c r="QOB65" s="955"/>
      <c r="QOC65" s="820"/>
      <c r="QOD65" s="972"/>
      <c r="QOE65" s="955"/>
      <c r="QOF65" s="950"/>
      <c r="QOG65" s="957"/>
      <c r="QOH65" s="950"/>
      <c r="QOI65" s="950"/>
      <c r="QOJ65" s="957"/>
      <c r="QOK65" s="950"/>
      <c r="QOL65" s="950"/>
      <c r="QOM65" s="653"/>
      <c r="QON65" s="950"/>
      <c r="QOO65" s="951"/>
      <c r="QOP65" s="952"/>
      <c r="QOQ65" s="959"/>
      <c r="QOR65" s="953"/>
      <c r="QOS65" s="954"/>
      <c r="QOT65" s="955"/>
      <c r="QOU65" s="955"/>
      <c r="QOV65" s="820"/>
      <c r="QOW65" s="972"/>
      <c r="QOX65" s="955"/>
      <c r="QOY65" s="950"/>
      <c r="QOZ65" s="957"/>
      <c r="QPA65" s="950"/>
      <c r="QPB65" s="950"/>
      <c r="QPC65" s="957"/>
      <c r="QPD65" s="950"/>
      <c r="QPE65" s="950"/>
      <c r="QPF65" s="653"/>
      <c r="QPG65" s="950"/>
      <c r="QPH65" s="951"/>
      <c r="QPI65" s="952"/>
      <c r="QPJ65" s="959"/>
      <c r="QPK65" s="953"/>
      <c r="QPL65" s="954"/>
      <c r="QPM65" s="955"/>
      <c r="QPN65" s="955"/>
      <c r="QPO65" s="820"/>
      <c r="QPP65" s="972"/>
      <c r="QPQ65" s="955"/>
      <c r="QPR65" s="950"/>
      <c r="QPS65" s="957"/>
      <c r="QPT65" s="950"/>
      <c r="QPU65" s="950"/>
      <c r="QPV65" s="957"/>
      <c r="QPW65" s="950"/>
      <c r="QPX65" s="950"/>
      <c r="QPY65" s="653"/>
      <c r="QPZ65" s="950"/>
      <c r="QQA65" s="951"/>
      <c r="QQB65" s="952"/>
      <c r="QQC65" s="959"/>
      <c r="QQD65" s="953"/>
      <c r="QQE65" s="954"/>
      <c r="QQF65" s="955"/>
      <c r="QQG65" s="955"/>
      <c r="QQH65" s="820"/>
      <c r="QQI65" s="972"/>
      <c r="QQJ65" s="955"/>
      <c r="QQK65" s="950"/>
      <c r="QQL65" s="957"/>
      <c r="QQM65" s="950"/>
      <c r="QQN65" s="950"/>
      <c r="QQO65" s="957"/>
      <c r="QQP65" s="950"/>
      <c r="QQQ65" s="950"/>
      <c r="QQR65" s="653"/>
      <c r="QQS65" s="950"/>
      <c r="QQT65" s="951"/>
      <c r="QQU65" s="952"/>
      <c r="QQV65" s="959"/>
      <c r="QQW65" s="953"/>
      <c r="QQX65" s="954"/>
      <c r="QQY65" s="955"/>
      <c r="QQZ65" s="955"/>
      <c r="QRA65" s="820"/>
      <c r="QRB65" s="972"/>
      <c r="QRC65" s="955"/>
      <c r="QRD65" s="950"/>
      <c r="QRE65" s="957"/>
      <c r="QRF65" s="950"/>
      <c r="QRG65" s="950"/>
      <c r="QRH65" s="957"/>
      <c r="QRI65" s="950"/>
      <c r="QRJ65" s="950"/>
      <c r="QRK65" s="653"/>
      <c r="QRL65" s="950"/>
      <c r="QRM65" s="951"/>
      <c r="QRN65" s="952"/>
      <c r="QRO65" s="959"/>
      <c r="QRP65" s="953"/>
      <c r="QRQ65" s="954"/>
      <c r="QRR65" s="955"/>
      <c r="QRS65" s="955"/>
      <c r="QRT65" s="820"/>
      <c r="QRU65" s="972"/>
      <c r="QRV65" s="955"/>
      <c r="QRW65" s="950"/>
      <c r="QRX65" s="957"/>
      <c r="QRY65" s="950"/>
      <c r="QRZ65" s="950"/>
      <c r="QSA65" s="957"/>
      <c r="QSB65" s="950"/>
      <c r="QSC65" s="950"/>
      <c r="QSD65" s="653"/>
      <c r="QSE65" s="950"/>
      <c r="QSF65" s="951"/>
      <c r="QSG65" s="952"/>
      <c r="QSH65" s="959"/>
      <c r="QSI65" s="953"/>
      <c r="QSJ65" s="954"/>
      <c r="QSK65" s="955"/>
      <c r="QSL65" s="955"/>
      <c r="QSM65" s="820"/>
      <c r="QSN65" s="972"/>
      <c r="QSO65" s="955"/>
      <c r="QSP65" s="950"/>
      <c r="QSQ65" s="957"/>
      <c r="QSR65" s="950"/>
      <c r="QSS65" s="950"/>
      <c r="QST65" s="957"/>
      <c r="QSU65" s="950"/>
      <c r="QSV65" s="950"/>
      <c r="QSW65" s="653"/>
      <c r="QSX65" s="950"/>
      <c r="QSY65" s="951"/>
      <c r="QSZ65" s="952"/>
      <c r="QTA65" s="959"/>
      <c r="QTB65" s="953"/>
      <c r="QTC65" s="954"/>
      <c r="QTD65" s="955"/>
      <c r="QTE65" s="955"/>
      <c r="QTF65" s="820"/>
      <c r="QTG65" s="972"/>
      <c r="QTH65" s="955"/>
      <c r="QTI65" s="950"/>
      <c r="QTJ65" s="957"/>
      <c r="QTK65" s="950"/>
      <c r="QTL65" s="950"/>
      <c r="QTM65" s="957"/>
      <c r="QTN65" s="950"/>
      <c r="QTO65" s="950"/>
      <c r="QTP65" s="653"/>
      <c r="QTQ65" s="950"/>
      <c r="QTR65" s="951"/>
      <c r="QTS65" s="952"/>
      <c r="QTT65" s="959"/>
      <c r="QTU65" s="953"/>
      <c r="QTV65" s="954"/>
      <c r="QTW65" s="955"/>
      <c r="QTX65" s="955"/>
      <c r="QTY65" s="820"/>
      <c r="QTZ65" s="972"/>
      <c r="QUA65" s="955"/>
      <c r="QUB65" s="950"/>
      <c r="QUC65" s="957"/>
      <c r="QUD65" s="950"/>
      <c r="QUE65" s="950"/>
      <c r="QUF65" s="957"/>
      <c r="QUG65" s="950"/>
      <c r="QUH65" s="950"/>
      <c r="QUI65" s="653"/>
      <c r="QUJ65" s="950"/>
      <c r="QUK65" s="951"/>
      <c r="QUL65" s="952"/>
      <c r="QUM65" s="959"/>
      <c r="QUN65" s="953"/>
      <c r="QUO65" s="954"/>
      <c r="QUP65" s="955"/>
      <c r="QUQ65" s="955"/>
      <c r="QUR65" s="820"/>
      <c r="QUS65" s="972"/>
      <c r="QUT65" s="955"/>
      <c r="QUU65" s="950"/>
      <c r="QUV65" s="957"/>
      <c r="QUW65" s="950"/>
      <c r="QUX65" s="950"/>
      <c r="QUY65" s="957"/>
      <c r="QUZ65" s="950"/>
      <c r="QVA65" s="950"/>
      <c r="QVB65" s="653"/>
      <c r="QVC65" s="950"/>
      <c r="QVD65" s="951"/>
      <c r="QVE65" s="952"/>
      <c r="QVF65" s="959"/>
      <c r="QVG65" s="953"/>
      <c r="QVH65" s="954"/>
      <c r="QVI65" s="955"/>
      <c r="QVJ65" s="955"/>
      <c r="QVK65" s="820"/>
      <c r="QVL65" s="972"/>
      <c r="QVM65" s="955"/>
      <c r="QVN65" s="950"/>
      <c r="QVO65" s="957"/>
      <c r="QVP65" s="950"/>
      <c r="QVQ65" s="950"/>
      <c r="QVR65" s="957"/>
      <c r="QVS65" s="950"/>
      <c r="QVT65" s="950"/>
      <c r="QVU65" s="653"/>
      <c r="QVV65" s="950"/>
      <c r="QVW65" s="951"/>
      <c r="QVX65" s="952"/>
      <c r="QVY65" s="959"/>
      <c r="QVZ65" s="953"/>
      <c r="QWA65" s="954"/>
      <c r="QWB65" s="955"/>
      <c r="QWC65" s="955"/>
      <c r="QWD65" s="820"/>
      <c r="QWE65" s="972"/>
      <c r="QWF65" s="955"/>
      <c r="QWG65" s="950"/>
      <c r="QWH65" s="957"/>
      <c r="QWI65" s="950"/>
      <c r="QWJ65" s="950"/>
      <c r="QWK65" s="957"/>
      <c r="QWL65" s="950"/>
      <c r="QWM65" s="950"/>
      <c r="QWN65" s="653"/>
      <c r="QWO65" s="950"/>
      <c r="QWP65" s="951"/>
      <c r="QWQ65" s="952"/>
      <c r="QWR65" s="959"/>
      <c r="QWS65" s="953"/>
      <c r="QWT65" s="954"/>
      <c r="QWU65" s="955"/>
      <c r="QWV65" s="955"/>
      <c r="QWW65" s="820"/>
      <c r="QWX65" s="972"/>
      <c r="QWY65" s="955"/>
      <c r="QWZ65" s="950"/>
      <c r="QXA65" s="957"/>
      <c r="QXB65" s="950"/>
      <c r="QXC65" s="950"/>
      <c r="QXD65" s="957"/>
      <c r="QXE65" s="950"/>
      <c r="QXF65" s="950"/>
      <c r="QXG65" s="653"/>
      <c r="QXH65" s="950"/>
      <c r="QXI65" s="951"/>
      <c r="QXJ65" s="952"/>
      <c r="QXK65" s="959"/>
      <c r="QXL65" s="953"/>
      <c r="QXM65" s="954"/>
      <c r="QXN65" s="955"/>
      <c r="QXO65" s="955"/>
      <c r="QXP65" s="820"/>
      <c r="QXQ65" s="972"/>
      <c r="QXR65" s="955"/>
      <c r="QXS65" s="950"/>
      <c r="QXT65" s="957"/>
      <c r="QXU65" s="950"/>
      <c r="QXV65" s="950"/>
      <c r="QXW65" s="957"/>
      <c r="QXX65" s="950"/>
      <c r="QXY65" s="950"/>
      <c r="QXZ65" s="653"/>
      <c r="QYA65" s="950"/>
      <c r="QYB65" s="951"/>
      <c r="QYC65" s="952"/>
      <c r="QYD65" s="959"/>
      <c r="QYE65" s="953"/>
      <c r="QYF65" s="954"/>
      <c r="QYG65" s="955"/>
      <c r="QYH65" s="955"/>
      <c r="QYI65" s="820"/>
      <c r="QYJ65" s="972"/>
      <c r="QYK65" s="955"/>
      <c r="QYL65" s="950"/>
      <c r="QYM65" s="957"/>
      <c r="QYN65" s="950"/>
      <c r="QYO65" s="950"/>
      <c r="QYP65" s="957"/>
      <c r="QYQ65" s="950"/>
      <c r="QYR65" s="950"/>
      <c r="QYS65" s="653"/>
      <c r="QYT65" s="950"/>
      <c r="QYU65" s="951"/>
      <c r="QYV65" s="952"/>
      <c r="QYW65" s="959"/>
      <c r="QYX65" s="953"/>
      <c r="QYY65" s="954"/>
      <c r="QYZ65" s="955"/>
      <c r="QZA65" s="955"/>
      <c r="QZB65" s="820"/>
      <c r="QZC65" s="972"/>
      <c r="QZD65" s="955"/>
      <c r="QZE65" s="950"/>
      <c r="QZF65" s="957"/>
      <c r="QZG65" s="950"/>
      <c r="QZH65" s="950"/>
      <c r="QZI65" s="957"/>
      <c r="QZJ65" s="950"/>
      <c r="QZK65" s="950"/>
      <c r="QZL65" s="653"/>
      <c r="QZM65" s="950"/>
      <c r="QZN65" s="951"/>
      <c r="QZO65" s="952"/>
      <c r="QZP65" s="959"/>
      <c r="QZQ65" s="953"/>
      <c r="QZR65" s="954"/>
      <c r="QZS65" s="955"/>
      <c r="QZT65" s="955"/>
      <c r="QZU65" s="820"/>
      <c r="QZV65" s="972"/>
      <c r="QZW65" s="955"/>
      <c r="QZX65" s="950"/>
      <c r="QZY65" s="957"/>
      <c r="QZZ65" s="950"/>
      <c r="RAA65" s="950"/>
      <c r="RAB65" s="957"/>
      <c r="RAC65" s="950"/>
      <c r="RAD65" s="950"/>
      <c r="RAE65" s="653"/>
      <c r="RAF65" s="950"/>
      <c r="RAG65" s="951"/>
      <c r="RAH65" s="952"/>
      <c r="RAI65" s="959"/>
      <c r="RAJ65" s="953"/>
      <c r="RAK65" s="954"/>
      <c r="RAL65" s="955"/>
      <c r="RAM65" s="955"/>
      <c r="RAN65" s="820"/>
      <c r="RAO65" s="972"/>
      <c r="RAP65" s="955"/>
      <c r="RAQ65" s="950"/>
      <c r="RAR65" s="957"/>
      <c r="RAS65" s="950"/>
      <c r="RAT65" s="950"/>
      <c r="RAU65" s="957"/>
      <c r="RAV65" s="950"/>
      <c r="RAW65" s="950"/>
      <c r="RAX65" s="653"/>
      <c r="RAY65" s="950"/>
      <c r="RAZ65" s="951"/>
      <c r="RBA65" s="952"/>
      <c r="RBB65" s="959"/>
      <c r="RBC65" s="953"/>
      <c r="RBD65" s="954"/>
      <c r="RBE65" s="955"/>
      <c r="RBF65" s="955"/>
      <c r="RBG65" s="820"/>
      <c r="RBH65" s="972"/>
      <c r="RBI65" s="955"/>
      <c r="RBJ65" s="950"/>
      <c r="RBK65" s="957"/>
      <c r="RBL65" s="950"/>
      <c r="RBM65" s="950"/>
      <c r="RBN65" s="957"/>
      <c r="RBO65" s="950"/>
      <c r="RBP65" s="950"/>
      <c r="RBQ65" s="653"/>
      <c r="RBR65" s="950"/>
      <c r="RBS65" s="951"/>
      <c r="RBT65" s="952"/>
      <c r="RBU65" s="959"/>
      <c r="RBV65" s="953"/>
      <c r="RBW65" s="954"/>
      <c r="RBX65" s="955"/>
      <c r="RBY65" s="955"/>
      <c r="RBZ65" s="820"/>
      <c r="RCA65" s="972"/>
      <c r="RCB65" s="955"/>
      <c r="RCC65" s="950"/>
      <c r="RCD65" s="957"/>
      <c r="RCE65" s="950"/>
      <c r="RCF65" s="950"/>
      <c r="RCG65" s="957"/>
      <c r="RCH65" s="950"/>
      <c r="RCI65" s="950"/>
      <c r="RCJ65" s="653"/>
      <c r="RCK65" s="950"/>
      <c r="RCL65" s="951"/>
      <c r="RCM65" s="952"/>
      <c r="RCN65" s="959"/>
      <c r="RCO65" s="953"/>
      <c r="RCP65" s="954"/>
      <c r="RCQ65" s="955"/>
      <c r="RCR65" s="955"/>
      <c r="RCS65" s="820"/>
      <c r="RCT65" s="972"/>
      <c r="RCU65" s="955"/>
      <c r="RCV65" s="950"/>
      <c r="RCW65" s="957"/>
      <c r="RCX65" s="950"/>
      <c r="RCY65" s="950"/>
      <c r="RCZ65" s="957"/>
      <c r="RDA65" s="950"/>
      <c r="RDB65" s="950"/>
      <c r="RDC65" s="653"/>
      <c r="RDD65" s="950"/>
      <c r="RDE65" s="951"/>
      <c r="RDF65" s="952"/>
      <c r="RDG65" s="959"/>
      <c r="RDH65" s="953"/>
      <c r="RDI65" s="954"/>
      <c r="RDJ65" s="955"/>
      <c r="RDK65" s="955"/>
      <c r="RDL65" s="820"/>
      <c r="RDM65" s="972"/>
      <c r="RDN65" s="955"/>
      <c r="RDO65" s="950"/>
      <c r="RDP65" s="957"/>
      <c r="RDQ65" s="950"/>
      <c r="RDR65" s="950"/>
      <c r="RDS65" s="957"/>
      <c r="RDT65" s="950"/>
      <c r="RDU65" s="950"/>
      <c r="RDV65" s="653"/>
      <c r="RDW65" s="950"/>
      <c r="RDX65" s="951"/>
      <c r="RDY65" s="952"/>
      <c r="RDZ65" s="959"/>
      <c r="REA65" s="953"/>
      <c r="REB65" s="954"/>
      <c r="REC65" s="955"/>
      <c r="RED65" s="955"/>
      <c r="REE65" s="820"/>
      <c r="REF65" s="972"/>
      <c r="REG65" s="955"/>
      <c r="REH65" s="950"/>
      <c r="REI65" s="957"/>
      <c r="REJ65" s="950"/>
      <c r="REK65" s="950"/>
      <c r="REL65" s="957"/>
      <c r="REM65" s="950"/>
      <c r="REN65" s="950"/>
      <c r="REO65" s="653"/>
      <c r="REP65" s="950"/>
      <c r="REQ65" s="951"/>
      <c r="RER65" s="952"/>
      <c r="RES65" s="959"/>
      <c r="RET65" s="953"/>
      <c r="REU65" s="954"/>
      <c r="REV65" s="955"/>
      <c r="REW65" s="955"/>
      <c r="REX65" s="820"/>
      <c r="REY65" s="972"/>
      <c r="REZ65" s="955"/>
      <c r="RFA65" s="950"/>
      <c r="RFB65" s="957"/>
      <c r="RFC65" s="950"/>
      <c r="RFD65" s="950"/>
      <c r="RFE65" s="957"/>
      <c r="RFF65" s="950"/>
      <c r="RFG65" s="950"/>
      <c r="RFH65" s="653"/>
      <c r="RFI65" s="950"/>
      <c r="RFJ65" s="951"/>
      <c r="RFK65" s="952"/>
      <c r="RFL65" s="959"/>
      <c r="RFM65" s="953"/>
      <c r="RFN65" s="954"/>
      <c r="RFO65" s="955"/>
      <c r="RFP65" s="955"/>
      <c r="RFQ65" s="820"/>
      <c r="RFR65" s="972"/>
      <c r="RFS65" s="955"/>
      <c r="RFT65" s="950"/>
      <c r="RFU65" s="957"/>
      <c r="RFV65" s="950"/>
      <c r="RFW65" s="950"/>
      <c r="RFX65" s="957"/>
      <c r="RFY65" s="950"/>
      <c r="RFZ65" s="950"/>
      <c r="RGA65" s="653"/>
      <c r="RGB65" s="950"/>
      <c r="RGC65" s="951"/>
      <c r="RGD65" s="952"/>
      <c r="RGE65" s="959"/>
      <c r="RGF65" s="953"/>
      <c r="RGG65" s="954"/>
      <c r="RGH65" s="955"/>
      <c r="RGI65" s="955"/>
      <c r="RGJ65" s="820"/>
      <c r="RGK65" s="972"/>
      <c r="RGL65" s="955"/>
      <c r="RGM65" s="950"/>
      <c r="RGN65" s="957"/>
      <c r="RGO65" s="950"/>
      <c r="RGP65" s="950"/>
      <c r="RGQ65" s="957"/>
      <c r="RGR65" s="950"/>
      <c r="RGS65" s="950"/>
      <c r="RGT65" s="653"/>
      <c r="RGU65" s="950"/>
      <c r="RGV65" s="951"/>
      <c r="RGW65" s="952"/>
      <c r="RGX65" s="959"/>
      <c r="RGY65" s="953"/>
      <c r="RGZ65" s="954"/>
      <c r="RHA65" s="955"/>
      <c r="RHB65" s="955"/>
      <c r="RHC65" s="820"/>
      <c r="RHD65" s="972"/>
      <c r="RHE65" s="955"/>
      <c r="RHF65" s="950"/>
      <c r="RHG65" s="957"/>
      <c r="RHH65" s="950"/>
      <c r="RHI65" s="950"/>
      <c r="RHJ65" s="957"/>
      <c r="RHK65" s="950"/>
      <c r="RHL65" s="950"/>
      <c r="RHM65" s="653"/>
      <c r="RHN65" s="950"/>
      <c r="RHO65" s="951"/>
      <c r="RHP65" s="952"/>
      <c r="RHQ65" s="959"/>
      <c r="RHR65" s="953"/>
      <c r="RHS65" s="954"/>
      <c r="RHT65" s="955"/>
      <c r="RHU65" s="955"/>
      <c r="RHV65" s="820"/>
      <c r="RHW65" s="972"/>
      <c r="RHX65" s="955"/>
      <c r="RHY65" s="950"/>
      <c r="RHZ65" s="957"/>
      <c r="RIA65" s="950"/>
      <c r="RIB65" s="950"/>
      <c r="RIC65" s="957"/>
      <c r="RID65" s="950"/>
      <c r="RIE65" s="950"/>
      <c r="RIF65" s="653"/>
      <c r="RIG65" s="950"/>
      <c r="RIH65" s="951"/>
      <c r="RII65" s="952"/>
      <c r="RIJ65" s="959"/>
      <c r="RIK65" s="953"/>
      <c r="RIL65" s="954"/>
      <c r="RIM65" s="955"/>
      <c r="RIN65" s="955"/>
      <c r="RIO65" s="820"/>
      <c r="RIP65" s="972"/>
      <c r="RIQ65" s="955"/>
      <c r="RIR65" s="950"/>
      <c r="RIS65" s="957"/>
      <c r="RIT65" s="950"/>
      <c r="RIU65" s="950"/>
      <c r="RIV65" s="957"/>
      <c r="RIW65" s="950"/>
      <c r="RIX65" s="950"/>
      <c r="RIY65" s="653"/>
      <c r="RIZ65" s="950"/>
      <c r="RJA65" s="951"/>
      <c r="RJB65" s="952"/>
      <c r="RJC65" s="959"/>
      <c r="RJD65" s="953"/>
      <c r="RJE65" s="954"/>
      <c r="RJF65" s="955"/>
      <c r="RJG65" s="955"/>
      <c r="RJH65" s="820"/>
      <c r="RJI65" s="972"/>
      <c r="RJJ65" s="955"/>
      <c r="RJK65" s="950"/>
      <c r="RJL65" s="957"/>
      <c r="RJM65" s="950"/>
      <c r="RJN65" s="950"/>
      <c r="RJO65" s="957"/>
      <c r="RJP65" s="950"/>
      <c r="RJQ65" s="950"/>
      <c r="RJR65" s="653"/>
      <c r="RJS65" s="950"/>
      <c r="RJT65" s="951"/>
      <c r="RJU65" s="952"/>
      <c r="RJV65" s="959"/>
      <c r="RJW65" s="953"/>
      <c r="RJX65" s="954"/>
      <c r="RJY65" s="955"/>
      <c r="RJZ65" s="955"/>
      <c r="RKA65" s="820"/>
      <c r="RKB65" s="972"/>
      <c r="RKC65" s="955"/>
      <c r="RKD65" s="950"/>
      <c r="RKE65" s="957"/>
      <c r="RKF65" s="950"/>
      <c r="RKG65" s="950"/>
      <c r="RKH65" s="957"/>
      <c r="RKI65" s="950"/>
      <c r="RKJ65" s="950"/>
      <c r="RKK65" s="653"/>
      <c r="RKL65" s="950"/>
      <c r="RKM65" s="951"/>
      <c r="RKN65" s="952"/>
      <c r="RKO65" s="959"/>
      <c r="RKP65" s="953"/>
      <c r="RKQ65" s="954"/>
      <c r="RKR65" s="955"/>
      <c r="RKS65" s="955"/>
      <c r="RKT65" s="820"/>
      <c r="RKU65" s="972"/>
      <c r="RKV65" s="955"/>
      <c r="RKW65" s="950"/>
      <c r="RKX65" s="957"/>
      <c r="RKY65" s="950"/>
      <c r="RKZ65" s="950"/>
      <c r="RLA65" s="957"/>
      <c r="RLB65" s="950"/>
      <c r="RLC65" s="950"/>
      <c r="RLD65" s="653"/>
      <c r="RLE65" s="950"/>
      <c r="RLF65" s="951"/>
      <c r="RLG65" s="952"/>
      <c r="RLH65" s="959"/>
      <c r="RLI65" s="953"/>
      <c r="RLJ65" s="954"/>
      <c r="RLK65" s="955"/>
      <c r="RLL65" s="955"/>
      <c r="RLM65" s="820"/>
      <c r="RLN65" s="972"/>
      <c r="RLO65" s="955"/>
      <c r="RLP65" s="950"/>
      <c r="RLQ65" s="957"/>
      <c r="RLR65" s="950"/>
      <c r="RLS65" s="950"/>
      <c r="RLT65" s="957"/>
      <c r="RLU65" s="950"/>
      <c r="RLV65" s="950"/>
      <c r="RLW65" s="653"/>
      <c r="RLX65" s="950"/>
      <c r="RLY65" s="951"/>
      <c r="RLZ65" s="952"/>
      <c r="RMA65" s="959"/>
      <c r="RMB65" s="953"/>
      <c r="RMC65" s="954"/>
      <c r="RMD65" s="955"/>
      <c r="RME65" s="955"/>
      <c r="RMF65" s="820"/>
      <c r="RMG65" s="972"/>
      <c r="RMH65" s="955"/>
      <c r="RMI65" s="950"/>
      <c r="RMJ65" s="957"/>
      <c r="RMK65" s="950"/>
      <c r="RML65" s="950"/>
      <c r="RMM65" s="957"/>
      <c r="RMN65" s="950"/>
      <c r="RMO65" s="950"/>
      <c r="RMP65" s="653"/>
      <c r="RMQ65" s="950"/>
      <c r="RMR65" s="951"/>
      <c r="RMS65" s="952"/>
      <c r="RMT65" s="959"/>
      <c r="RMU65" s="953"/>
      <c r="RMV65" s="954"/>
      <c r="RMW65" s="955"/>
      <c r="RMX65" s="955"/>
      <c r="RMY65" s="820"/>
      <c r="RMZ65" s="972"/>
      <c r="RNA65" s="955"/>
      <c r="RNB65" s="950"/>
      <c r="RNC65" s="957"/>
      <c r="RND65" s="950"/>
      <c r="RNE65" s="950"/>
      <c r="RNF65" s="957"/>
      <c r="RNG65" s="950"/>
      <c r="RNH65" s="950"/>
      <c r="RNI65" s="653"/>
      <c r="RNJ65" s="950"/>
      <c r="RNK65" s="951"/>
      <c r="RNL65" s="952"/>
      <c r="RNM65" s="959"/>
      <c r="RNN65" s="953"/>
      <c r="RNO65" s="954"/>
      <c r="RNP65" s="955"/>
      <c r="RNQ65" s="955"/>
      <c r="RNR65" s="820"/>
      <c r="RNS65" s="972"/>
      <c r="RNT65" s="955"/>
      <c r="RNU65" s="950"/>
      <c r="RNV65" s="957"/>
      <c r="RNW65" s="950"/>
      <c r="RNX65" s="950"/>
      <c r="RNY65" s="957"/>
      <c r="RNZ65" s="950"/>
      <c r="ROA65" s="950"/>
      <c r="ROB65" s="653"/>
      <c r="ROC65" s="950"/>
      <c r="ROD65" s="951"/>
      <c r="ROE65" s="952"/>
      <c r="ROF65" s="959"/>
      <c r="ROG65" s="953"/>
      <c r="ROH65" s="954"/>
      <c r="ROI65" s="955"/>
      <c r="ROJ65" s="955"/>
      <c r="ROK65" s="820"/>
      <c r="ROL65" s="972"/>
      <c r="ROM65" s="955"/>
      <c r="RON65" s="950"/>
      <c r="ROO65" s="957"/>
      <c r="ROP65" s="950"/>
      <c r="ROQ65" s="950"/>
      <c r="ROR65" s="957"/>
      <c r="ROS65" s="950"/>
      <c r="ROT65" s="950"/>
      <c r="ROU65" s="653"/>
      <c r="ROV65" s="950"/>
      <c r="ROW65" s="951"/>
      <c r="ROX65" s="952"/>
      <c r="ROY65" s="959"/>
      <c r="ROZ65" s="953"/>
      <c r="RPA65" s="954"/>
      <c r="RPB65" s="955"/>
      <c r="RPC65" s="955"/>
      <c r="RPD65" s="820"/>
      <c r="RPE65" s="972"/>
      <c r="RPF65" s="955"/>
      <c r="RPG65" s="950"/>
      <c r="RPH65" s="957"/>
      <c r="RPI65" s="950"/>
      <c r="RPJ65" s="950"/>
      <c r="RPK65" s="957"/>
      <c r="RPL65" s="950"/>
      <c r="RPM65" s="950"/>
      <c r="RPN65" s="653"/>
      <c r="RPO65" s="950"/>
      <c r="RPP65" s="951"/>
      <c r="RPQ65" s="952"/>
      <c r="RPR65" s="959"/>
      <c r="RPS65" s="953"/>
      <c r="RPT65" s="954"/>
      <c r="RPU65" s="955"/>
      <c r="RPV65" s="955"/>
      <c r="RPW65" s="820"/>
      <c r="RPX65" s="972"/>
      <c r="RPY65" s="955"/>
      <c r="RPZ65" s="950"/>
      <c r="RQA65" s="957"/>
      <c r="RQB65" s="950"/>
      <c r="RQC65" s="950"/>
      <c r="RQD65" s="957"/>
      <c r="RQE65" s="950"/>
      <c r="RQF65" s="950"/>
      <c r="RQG65" s="653"/>
      <c r="RQH65" s="950"/>
      <c r="RQI65" s="951"/>
      <c r="RQJ65" s="952"/>
      <c r="RQK65" s="959"/>
      <c r="RQL65" s="953"/>
      <c r="RQM65" s="954"/>
      <c r="RQN65" s="955"/>
      <c r="RQO65" s="955"/>
      <c r="RQP65" s="820"/>
      <c r="RQQ65" s="972"/>
      <c r="RQR65" s="955"/>
      <c r="RQS65" s="950"/>
      <c r="RQT65" s="957"/>
      <c r="RQU65" s="950"/>
      <c r="RQV65" s="950"/>
      <c r="RQW65" s="957"/>
      <c r="RQX65" s="950"/>
      <c r="RQY65" s="950"/>
      <c r="RQZ65" s="653"/>
      <c r="RRA65" s="950"/>
      <c r="RRB65" s="951"/>
      <c r="RRC65" s="952"/>
      <c r="RRD65" s="959"/>
      <c r="RRE65" s="953"/>
      <c r="RRF65" s="954"/>
      <c r="RRG65" s="955"/>
      <c r="RRH65" s="955"/>
      <c r="RRI65" s="820"/>
      <c r="RRJ65" s="972"/>
      <c r="RRK65" s="955"/>
      <c r="RRL65" s="950"/>
      <c r="RRM65" s="957"/>
      <c r="RRN65" s="950"/>
      <c r="RRO65" s="950"/>
      <c r="RRP65" s="957"/>
      <c r="RRQ65" s="950"/>
      <c r="RRR65" s="950"/>
      <c r="RRS65" s="653"/>
      <c r="RRT65" s="950"/>
      <c r="RRU65" s="951"/>
      <c r="RRV65" s="952"/>
      <c r="RRW65" s="959"/>
      <c r="RRX65" s="953"/>
      <c r="RRY65" s="954"/>
      <c r="RRZ65" s="955"/>
      <c r="RSA65" s="955"/>
      <c r="RSB65" s="820"/>
      <c r="RSC65" s="972"/>
      <c r="RSD65" s="955"/>
      <c r="RSE65" s="950"/>
      <c r="RSF65" s="957"/>
      <c r="RSG65" s="950"/>
      <c r="RSH65" s="950"/>
      <c r="RSI65" s="957"/>
      <c r="RSJ65" s="950"/>
      <c r="RSK65" s="950"/>
      <c r="RSL65" s="653"/>
      <c r="RSM65" s="950"/>
      <c r="RSN65" s="951"/>
      <c r="RSO65" s="952"/>
      <c r="RSP65" s="959"/>
      <c r="RSQ65" s="953"/>
      <c r="RSR65" s="954"/>
      <c r="RSS65" s="955"/>
      <c r="RST65" s="955"/>
      <c r="RSU65" s="820"/>
      <c r="RSV65" s="972"/>
      <c r="RSW65" s="955"/>
      <c r="RSX65" s="950"/>
      <c r="RSY65" s="957"/>
      <c r="RSZ65" s="950"/>
      <c r="RTA65" s="950"/>
      <c r="RTB65" s="957"/>
      <c r="RTC65" s="950"/>
      <c r="RTD65" s="950"/>
      <c r="RTE65" s="653"/>
      <c r="RTF65" s="950"/>
      <c r="RTG65" s="951"/>
      <c r="RTH65" s="952"/>
      <c r="RTI65" s="959"/>
      <c r="RTJ65" s="953"/>
      <c r="RTK65" s="954"/>
      <c r="RTL65" s="955"/>
      <c r="RTM65" s="955"/>
      <c r="RTN65" s="820"/>
      <c r="RTO65" s="972"/>
      <c r="RTP65" s="955"/>
      <c r="RTQ65" s="950"/>
      <c r="RTR65" s="957"/>
      <c r="RTS65" s="950"/>
      <c r="RTT65" s="950"/>
      <c r="RTU65" s="957"/>
      <c r="RTV65" s="950"/>
      <c r="RTW65" s="950"/>
      <c r="RTX65" s="653"/>
      <c r="RTY65" s="950"/>
      <c r="RTZ65" s="951"/>
      <c r="RUA65" s="952"/>
      <c r="RUB65" s="959"/>
      <c r="RUC65" s="953"/>
      <c r="RUD65" s="954"/>
      <c r="RUE65" s="955"/>
      <c r="RUF65" s="955"/>
      <c r="RUG65" s="820"/>
      <c r="RUH65" s="972"/>
      <c r="RUI65" s="955"/>
      <c r="RUJ65" s="950"/>
      <c r="RUK65" s="957"/>
      <c r="RUL65" s="950"/>
      <c r="RUM65" s="950"/>
      <c r="RUN65" s="957"/>
      <c r="RUO65" s="950"/>
      <c r="RUP65" s="950"/>
      <c r="RUQ65" s="653"/>
      <c r="RUR65" s="950"/>
      <c r="RUS65" s="951"/>
      <c r="RUT65" s="952"/>
      <c r="RUU65" s="959"/>
      <c r="RUV65" s="953"/>
      <c r="RUW65" s="954"/>
      <c r="RUX65" s="955"/>
      <c r="RUY65" s="955"/>
      <c r="RUZ65" s="820"/>
      <c r="RVA65" s="972"/>
      <c r="RVB65" s="955"/>
      <c r="RVC65" s="950"/>
      <c r="RVD65" s="957"/>
      <c r="RVE65" s="950"/>
      <c r="RVF65" s="950"/>
      <c r="RVG65" s="957"/>
      <c r="RVH65" s="950"/>
      <c r="RVI65" s="950"/>
      <c r="RVJ65" s="653"/>
      <c r="RVK65" s="950"/>
      <c r="RVL65" s="951"/>
      <c r="RVM65" s="952"/>
      <c r="RVN65" s="959"/>
      <c r="RVO65" s="953"/>
      <c r="RVP65" s="954"/>
      <c r="RVQ65" s="955"/>
      <c r="RVR65" s="955"/>
      <c r="RVS65" s="820"/>
      <c r="RVT65" s="972"/>
      <c r="RVU65" s="955"/>
      <c r="RVV65" s="950"/>
      <c r="RVW65" s="957"/>
      <c r="RVX65" s="950"/>
      <c r="RVY65" s="950"/>
      <c r="RVZ65" s="957"/>
      <c r="RWA65" s="950"/>
      <c r="RWB65" s="950"/>
      <c r="RWC65" s="653"/>
      <c r="RWD65" s="950"/>
      <c r="RWE65" s="951"/>
      <c r="RWF65" s="952"/>
      <c r="RWG65" s="959"/>
      <c r="RWH65" s="953"/>
      <c r="RWI65" s="954"/>
      <c r="RWJ65" s="955"/>
      <c r="RWK65" s="955"/>
      <c r="RWL65" s="820"/>
      <c r="RWM65" s="972"/>
      <c r="RWN65" s="955"/>
      <c r="RWO65" s="950"/>
      <c r="RWP65" s="957"/>
      <c r="RWQ65" s="950"/>
      <c r="RWR65" s="950"/>
      <c r="RWS65" s="957"/>
      <c r="RWT65" s="950"/>
      <c r="RWU65" s="950"/>
      <c r="RWV65" s="653"/>
      <c r="RWW65" s="950"/>
      <c r="RWX65" s="951"/>
      <c r="RWY65" s="952"/>
      <c r="RWZ65" s="959"/>
      <c r="RXA65" s="953"/>
      <c r="RXB65" s="954"/>
      <c r="RXC65" s="955"/>
      <c r="RXD65" s="955"/>
      <c r="RXE65" s="820"/>
      <c r="RXF65" s="972"/>
      <c r="RXG65" s="955"/>
      <c r="RXH65" s="950"/>
      <c r="RXI65" s="957"/>
      <c r="RXJ65" s="950"/>
      <c r="RXK65" s="950"/>
      <c r="RXL65" s="957"/>
      <c r="RXM65" s="950"/>
      <c r="RXN65" s="950"/>
      <c r="RXO65" s="653"/>
      <c r="RXP65" s="950"/>
      <c r="RXQ65" s="951"/>
      <c r="RXR65" s="952"/>
      <c r="RXS65" s="959"/>
      <c r="RXT65" s="953"/>
      <c r="RXU65" s="954"/>
      <c r="RXV65" s="955"/>
      <c r="RXW65" s="955"/>
      <c r="RXX65" s="820"/>
      <c r="RXY65" s="972"/>
      <c r="RXZ65" s="955"/>
      <c r="RYA65" s="950"/>
      <c r="RYB65" s="957"/>
      <c r="RYC65" s="950"/>
      <c r="RYD65" s="950"/>
      <c r="RYE65" s="957"/>
      <c r="RYF65" s="950"/>
      <c r="RYG65" s="950"/>
      <c r="RYH65" s="653"/>
      <c r="RYI65" s="950"/>
      <c r="RYJ65" s="951"/>
      <c r="RYK65" s="952"/>
      <c r="RYL65" s="959"/>
      <c r="RYM65" s="953"/>
      <c r="RYN65" s="954"/>
      <c r="RYO65" s="955"/>
      <c r="RYP65" s="955"/>
      <c r="RYQ65" s="820"/>
      <c r="RYR65" s="972"/>
      <c r="RYS65" s="955"/>
      <c r="RYT65" s="950"/>
      <c r="RYU65" s="957"/>
      <c r="RYV65" s="950"/>
      <c r="RYW65" s="950"/>
      <c r="RYX65" s="957"/>
      <c r="RYY65" s="950"/>
      <c r="RYZ65" s="950"/>
      <c r="RZA65" s="653"/>
      <c r="RZB65" s="950"/>
      <c r="RZC65" s="951"/>
      <c r="RZD65" s="952"/>
      <c r="RZE65" s="959"/>
      <c r="RZF65" s="953"/>
      <c r="RZG65" s="954"/>
      <c r="RZH65" s="955"/>
      <c r="RZI65" s="955"/>
      <c r="RZJ65" s="820"/>
      <c r="RZK65" s="972"/>
      <c r="RZL65" s="955"/>
      <c r="RZM65" s="950"/>
      <c r="RZN65" s="957"/>
      <c r="RZO65" s="950"/>
      <c r="RZP65" s="950"/>
      <c r="RZQ65" s="957"/>
      <c r="RZR65" s="950"/>
      <c r="RZS65" s="950"/>
      <c r="RZT65" s="653"/>
      <c r="RZU65" s="950"/>
      <c r="RZV65" s="951"/>
      <c r="RZW65" s="952"/>
      <c r="RZX65" s="959"/>
      <c r="RZY65" s="953"/>
      <c r="RZZ65" s="954"/>
      <c r="SAA65" s="955"/>
      <c r="SAB65" s="955"/>
      <c r="SAC65" s="820"/>
      <c r="SAD65" s="972"/>
      <c r="SAE65" s="955"/>
      <c r="SAF65" s="950"/>
      <c r="SAG65" s="957"/>
      <c r="SAH65" s="950"/>
      <c r="SAI65" s="950"/>
      <c r="SAJ65" s="957"/>
      <c r="SAK65" s="950"/>
      <c r="SAL65" s="950"/>
      <c r="SAM65" s="653"/>
      <c r="SAN65" s="950"/>
      <c r="SAO65" s="951"/>
      <c r="SAP65" s="952"/>
      <c r="SAQ65" s="959"/>
      <c r="SAR65" s="953"/>
      <c r="SAS65" s="954"/>
      <c r="SAT65" s="955"/>
      <c r="SAU65" s="955"/>
      <c r="SAV65" s="820"/>
      <c r="SAW65" s="972"/>
      <c r="SAX65" s="955"/>
      <c r="SAY65" s="950"/>
      <c r="SAZ65" s="957"/>
      <c r="SBA65" s="950"/>
      <c r="SBB65" s="950"/>
      <c r="SBC65" s="957"/>
      <c r="SBD65" s="950"/>
      <c r="SBE65" s="950"/>
      <c r="SBF65" s="653"/>
      <c r="SBG65" s="950"/>
      <c r="SBH65" s="951"/>
      <c r="SBI65" s="952"/>
      <c r="SBJ65" s="959"/>
      <c r="SBK65" s="953"/>
      <c r="SBL65" s="954"/>
      <c r="SBM65" s="955"/>
      <c r="SBN65" s="955"/>
      <c r="SBO65" s="820"/>
      <c r="SBP65" s="972"/>
      <c r="SBQ65" s="955"/>
      <c r="SBR65" s="950"/>
      <c r="SBS65" s="957"/>
      <c r="SBT65" s="950"/>
      <c r="SBU65" s="950"/>
      <c r="SBV65" s="957"/>
      <c r="SBW65" s="950"/>
      <c r="SBX65" s="950"/>
      <c r="SBY65" s="653"/>
      <c r="SBZ65" s="950"/>
      <c r="SCA65" s="951"/>
      <c r="SCB65" s="952"/>
      <c r="SCC65" s="959"/>
      <c r="SCD65" s="953"/>
      <c r="SCE65" s="954"/>
      <c r="SCF65" s="955"/>
      <c r="SCG65" s="955"/>
      <c r="SCH65" s="820"/>
      <c r="SCI65" s="972"/>
      <c r="SCJ65" s="955"/>
      <c r="SCK65" s="950"/>
      <c r="SCL65" s="957"/>
      <c r="SCM65" s="950"/>
      <c r="SCN65" s="950"/>
      <c r="SCO65" s="957"/>
      <c r="SCP65" s="950"/>
      <c r="SCQ65" s="950"/>
      <c r="SCR65" s="653"/>
      <c r="SCS65" s="950"/>
      <c r="SCT65" s="951"/>
      <c r="SCU65" s="952"/>
      <c r="SCV65" s="959"/>
      <c r="SCW65" s="953"/>
      <c r="SCX65" s="954"/>
      <c r="SCY65" s="955"/>
      <c r="SCZ65" s="955"/>
      <c r="SDA65" s="820"/>
      <c r="SDB65" s="972"/>
      <c r="SDC65" s="955"/>
      <c r="SDD65" s="950"/>
      <c r="SDE65" s="957"/>
      <c r="SDF65" s="950"/>
      <c r="SDG65" s="950"/>
      <c r="SDH65" s="957"/>
      <c r="SDI65" s="950"/>
      <c r="SDJ65" s="950"/>
      <c r="SDK65" s="653"/>
      <c r="SDL65" s="950"/>
      <c r="SDM65" s="951"/>
      <c r="SDN65" s="952"/>
      <c r="SDO65" s="959"/>
      <c r="SDP65" s="953"/>
      <c r="SDQ65" s="954"/>
      <c r="SDR65" s="955"/>
      <c r="SDS65" s="955"/>
      <c r="SDT65" s="820"/>
      <c r="SDU65" s="972"/>
      <c r="SDV65" s="955"/>
      <c r="SDW65" s="950"/>
      <c r="SDX65" s="957"/>
      <c r="SDY65" s="950"/>
      <c r="SDZ65" s="950"/>
      <c r="SEA65" s="957"/>
      <c r="SEB65" s="950"/>
      <c r="SEC65" s="950"/>
      <c r="SED65" s="653"/>
      <c r="SEE65" s="950"/>
      <c r="SEF65" s="951"/>
      <c r="SEG65" s="952"/>
      <c r="SEH65" s="959"/>
      <c r="SEI65" s="953"/>
      <c r="SEJ65" s="954"/>
      <c r="SEK65" s="955"/>
      <c r="SEL65" s="955"/>
      <c r="SEM65" s="820"/>
      <c r="SEN65" s="972"/>
      <c r="SEO65" s="955"/>
      <c r="SEP65" s="950"/>
      <c r="SEQ65" s="957"/>
      <c r="SER65" s="950"/>
      <c r="SES65" s="950"/>
      <c r="SET65" s="957"/>
      <c r="SEU65" s="950"/>
      <c r="SEV65" s="950"/>
      <c r="SEW65" s="653"/>
      <c r="SEX65" s="950"/>
      <c r="SEY65" s="951"/>
      <c r="SEZ65" s="952"/>
      <c r="SFA65" s="959"/>
      <c r="SFB65" s="953"/>
      <c r="SFC65" s="954"/>
      <c r="SFD65" s="955"/>
      <c r="SFE65" s="955"/>
      <c r="SFF65" s="820"/>
      <c r="SFG65" s="972"/>
      <c r="SFH65" s="955"/>
      <c r="SFI65" s="950"/>
      <c r="SFJ65" s="957"/>
      <c r="SFK65" s="950"/>
      <c r="SFL65" s="950"/>
      <c r="SFM65" s="957"/>
      <c r="SFN65" s="950"/>
      <c r="SFO65" s="950"/>
      <c r="SFP65" s="653"/>
      <c r="SFQ65" s="950"/>
      <c r="SFR65" s="951"/>
      <c r="SFS65" s="952"/>
      <c r="SFT65" s="959"/>
      <c r="SFU65" s="953"/>
      <c r="SFV65" s="954"/>
      <c r="SFW65" s="955"/>
      <c r="SFX65" s="955"/>
      <c r="SFY65" s="820"/>
      <c r="SFZ65" s="972"/>
      <c r="SGA65" s="955"/>
      <c r="SGB65" s="950"/>
      <c r="SGC65" s="957"/>
      <c r="SGD65" s="950"/>
      <c r="SGE65" s="950"/>
      <c r="SGF65" s="957"/>
      <c r="SGG65" s="950"/>
      <c r="SGH65" s="950"/>
      <c r="SGI65" s="653"/>
      <c r="SGJ65" s="950"/>
      <c r="SGK65" s="951"/>
      <c r="SGL65" s="952"/>
      <c r="SGM65" s="959"/>
      <c r="SGN65" s="953"/>
      <c r="SGO65" s="954"/>
      <c r="SGP65" s="955"/>
      <c r="SGQ65" s="955"/>
      <c r="SGR65" s="820"/>
      <c r="SGS65" s="972"/>
      <c r="SGT65" s="955"/>
      <c r="SGU65" s="950"/>
      <c r="SGV65" s="957"/>
      <c r="SGW65" s="950"/>
      <c r="SGX65" s="950"/>
      <c r="SGY65" s="957"/>
      <c r="SGZ65" s="950"/>
      <c r="SHA65" s="950"/>
      <c r="SHB65" s="653"/>
      <c r="SHC65" s="950"/>
      <c r="SHD65" s="951"/>
      <c r="SHE65" s="952"/>
      <c r="SHF65" s="959"/>
      <c r="SHG65" s="953"/>
      <c r="SHH65" s="954"/>
      <c r="SHI65" s="955"/>
      <c r="SHJ65" s="955"/>
      <c r="SHK65" s="820"/>
      <c r="SHL65" s="972"/>
      <c r="SHM65" s="955"/>
      <c r="SHN65" s="950"/>
      <c r="SHO65" s="957"/>
      <c r="SHP65" s="950"/>
      <c r="SHQ65" s="950"/>
      <c r="SHR65" s="957"/>
      <c r="SHS65" s="950"/>
      <c r="SHT65" s="950"/>
      <c r="SHU65" s="653"/>
      <c r="SHV65" s="950"/>
      <c r="SHW65" s="951"/>
      <c r="SHX65" s="952"/>
      <c r="SHY65" s="959"/>
      <c r="SHZ65" s="953"/>
      <c r="SIA65" s="954"/>
      <c r="SIB65" s="955"/>
      <c r="SIC65" s="955"/>
      <c r="SID65" s="820"/>
      <c r="SIE65" s="972"/>
      <c r="SIF65" s="955"/>
      <c r="SIG65" s="950"/>
      <c r="SIH65" s="957"/>
      <c r="SII65" s="950"/>
      <c r="SIJ65" s="950"/>
      <c r="SIK65" s="957"/>
      <c r="SIL65" s="950"/>
      <c r="SIM65" s="950"/>
      <c r="SIN65" s="653"/>
      <c r="SIO65" s="950"/>
      <c r="SIP65" s="951"/>
      <c r="SIQ65" s="952"/>
      <c r="SIR65" s="959"/>
      <c r="SIS65" s="953"/>
      <c r="SIT65" s="954"/>
      <c r="SIU65" s="955"/>
      <c r="SIV65" s="955"/>
      <c r="SIW65" s="820"/>
      <c r="SIX65" s="972"/>
      <c r="SIY65" s="955"/>
      <c r="SIZ65" s="950"/>
      <c r="SJA65" s="957"/>
      <c r="SJB65" s="950"/>
      <c r="SJC65" s="950"/>
      <c r="SJD65" s="957"/>
      <c r="SJE65" s="950"/>
      <c r="SJF65" s="950"/>
      <c r="SJG65" s="653"/>
      <c r="SJH65" s="950"/>
      <c r="SJI65" s="951"/>
      <c r="SJJ65" s="952"/>
      <c r="SJK65" s="959"/>
      <c r="SJL65" s="953"/>
      <c r="SJM65" s="954"/>
      <c r="SJN65" s="955"/>
      <c r="SJO65" s="955"/>
      <c r="SJP65" s="820"/>
      <c r="SJQ65" s="972"/>
      <c r="SJR65" s="955"/>
      <c r="SJS65" s="950"/>
      <c r="SJT65" s="957"/>
      <c r="SJU65" s="950"/>
      <c r="SJV65" s="950"/>
      <c r="SJW65" s="957"/>
      <c r="SJX65" s="950"/>
      <c r="SJY65" s="950"/>
      <c r="SJZ65" s="653"/>
      <c r="SKA65" s="950"/>
      <c r="SKB65" s="951"/>
      <c r="SKC65" s="952"/>
      <c r="SKD65" s="959"/>
      <c r="SKE65" s="953"/>
      <c r="SKF65" s="954"/>
      <c r="SKG65" s="955"/>
      <c r="SKH65" s="955"/>
      <c r="SKI65" s="820"/>
      <c r="SKJ65" s="972"/>
      <c r="SKK65" s="955"/>
      <c r="SKL65" s="950"/>
      <c r="SKM65" s="957"/>
      <c r="SKN65" s="950"/>
      <c r="SKO65" s="950"/>
      <c r="SKP65" s="957"/>
      <c r="SKQ65" s="950"/>
      <c r="SKR65" s="950"/>
      <c r="SKS65" s="653"/>
      <c r="SKT65" s="950"/>
      <c r="SKU65" s="951"/>
      <c r="SKV65" s="952"/>
      <c r="SKW65" s="959"/>
      <c r="SKX65" s="953"/>
      <c r="SKY65" s="954"/>
      <c r="SKZ65" s="955"/>
      <c r="SLA65" s="955"/>
      <c r="SLB65" s="820"/>
      <c r="SLC65" s="972"/>
      <c r="SLD65" s="955"/>
      <c r="SLE65" s="950"/>
      <c r="SLF65" s="957"/>
      <c r="SLG65" s="950"/>
      <c r="SLH65" s="950"/>
      <c r="SLI65" s="957"/>
      <c r="SLJ65" s="950"/>
      <c r="SLK65" s="950"/>
      <c r="SLL65" s="653"/>
      <c r="SLM65" s="950"/>
      <c r="SLN65" s="951"/>
      <c r="SLO65" s="952"/>
      <c r="SLP65" s="959"/>
      <c r="SLQ65" s="953"/>
      <c r="SLR65" s="954"/>
      <c r="SLS65" s="955"/>
      <c r="SLT65" s="955"/>
      <c r="SLU65" s="820"/>
      <c r="SLV65" s="972"/>
      <c r="SLW65" s="955"/>
      <c r="SLX65" s="950"/>
      <c r="SLY65" s="957"/>
      <c r="SLZ65" s="950"/>
      <c r="SMA65" s="950"/>
      <c r="SMB65" s="957"/>
      <c r="SMC65" s="950"/>
      <c r="SMD65" s="950"/>
      <c r="SME65" s="653"/>
      <c r="SMF65" s="950"/>
      <c r="SMG65" s="951"/>
      <c r="SMH65" s="952"/>
      <c r="SMI65" s="959"/>
      <c r="SMJ65" s="953"/>
      <c r="SMK65" s="954"/>
      <c r="SML65" s="955"/>
      <c r="SMM65" s="955"/>
      <c r="SMN65" s="820"/>
      <c r="SMO65" s="972"/>
      <c r="SMP65" s="955"/>
      <c r="SMQ65" s="950"/>
      <c r="SMR65" s="957"/>
      <c r="SMS65" s="950"/>
      <c r="SMT65" s="950"/>
      <c r="SMU65" s="957"/>
      <c r="SMV65" s="950"/>
      <c r="SMW65" s="950"/>
      <c r="SMX65" s="653"/>
      <c r="SMY65" s="950"/>
      <c r="SMZ65" s="951"/>
      <c r="SNA65" s="952"/>
      <c r="SNB65" s="959"/>
      <c r="SNC65" s="953"/>
      <c r="SND65" s="954"/>
      <c r="SNE65" s="955"/>
      <c r="SNF65" s="955"/>
      <c r="SNG65" s="820"/>
      <c r="SNH65" s="972"/>
      <c r="SNI65" s="955"/>
      <c r="SNJ65" s="950"/>
      <c r="SNK65" s="957"/>
      <c r="SNL65" s="950"/>
      <c r="SNM65" s="950"/>
      <c r="SNN65" s="957"/>
      <c r="SNO65" s="950"/>
      <c r="SNP65" s="950"/>
      <c r="SNQ65" s="653"/>
      <c r="SNR65" s="950"/>
      <c r="SNS65" s="951"/>
      <c r="SNT65" s="952"/>
      <c r="SNU65" s="959"/>
      <c r="SNV65" s="953"/>
      <c r="SNW65" s="954"/>
      <c r="SNX65" s="955"/>
      <c r="SNY65" s="955"/>
      <c r="SNZ65" s="820"/>
      <c r="SOA65" s="972"/>
      <c r="SOB65" s="955"/>
      <c r="SOC65" s="950"/>
      <c r="SOD65" s="957"/>
      <c r="SOE65" s="950"/>
      <c r="SOF65" s="950"/>
      <c r="SOG65" s="957"/>
      <c r="SOH65" s="950"/>
      <c r="SOI65" s="950"/>
      <c r="SOJ65" s="653"/>
      <c r="SOK65" s="950"/>
      <c r="SOL65" s="951"/>
      <c r="SOM65" s="952"/>
      <c r="SON65" s="959"/>
      <c r="SOO65" s="953"/>
      <c r="SOP65" s="954"/>
      <c r="SOQ65" s="955"/>
      <c r="SOR65" s="955"/>
      <c r="SOS65" s="820"/>
      <c r="SOT65" s="972"/>
      <c r="SOU65" s="955"/>
      <c r="SOV65" s="950"/>
      <c r="SOW65" s="957"/>
      <c r="SOX65" s="950"/>
      <c r="SOY65" s="950"/>
      <c r="SOZ65" s="957"/>
      <c r="SPA65" s="950"/>
      <c r="SPB65" s="950"/>
      <c r="SPC65" s="653"/>
      <c r="SPD65" s="950"/>
      <c r="SPE65" s="951"/>
      <c r="SPF65" s="952"/>
      <c r="SPG65" s="959"/>
      <c r="SPH65" s="953"/>
      <c r="SPI65" s="954"/>
      <c r="SPJ65" s="955"/>
      <c r="SPK65" s="955"/>
      <c r="SPL65" s="820"/>
      <c r="SPM65" s="972"/>
      <c r="SPN65" s="955"/>
      <c r="SPO65" s="950"/>
      <c r="SPP65" s="957"/>
      <c r="SPQ65" s="950"/>
      <c r="SPR65" s="950"/>
      <c r="SPS65" s="957"/>
      <c r="SPT65" s="950"/>
      <c r="SPU65" s="950"/>
      <c r="SPV65" s="653"/>
      <c r="SPW65" s="950"/>
      <c r="SPX65" s="951"/>
      <c r="SPY65" s="952"/>
      <c r="SPZ65" s="959"/>
      <c r="SQA65" s="953"/>
      <c r="SQB65" s="954"/>
      <c r="SQC65" s="955"/>
      <c r="SQD65" s="955"/>
      <c r="SQE65" s="820"/>
      <c r="SQF65" s="972"/>
      <c r="SQG65" s="955"/>
      <c r="SQH65" s="950"/>
      <c r="SQI65" s="957"/>
      <c r="SQJ65" s="950"/>
      <c r="SQK65" s="950"/>
      <c r="SQL65" s="957"/>
      <c r="SQM65" s="950"/>
      <c r="SQN65" s="950"/>
      <c r="SQO65" s="653"/>
      <c r="SQP65" s="950"/>
      <c r="SQQ65" s="951"/>
      <c r="SQR65" s="952"/>
      <c r="SQS65" s="959"/>
      <c r="SQT65" s="953"/>
      <c r="SQU65" s="954"/>
      <c r="SQV65" s="955"/>
      <c r="SQW65" s="955"/>
      <c r="SQX65" s="820"/>
      <c r="SQY65" s="972"/>
      <c r="SQZ65" s="955"/>
      <c r="SRA65" s="950"/>
      <c r="SRB65" s="957"/>
      <c r="SRC65" s="950"/>
      <c r="SRD65" s="950"/>
      <c r="SRE65" s="957"/>
      <c r="SRF65" s="950"/>
      <c r="SRG65" s="950"/>
      <c r="SRH65" s="653"/>
      <c r="SRI65" s="950"/>
      <c r="SRJ65" s="951"/>
      <c r="SRK65" s="952"/>
      <c r="SRL65" s="959"/>
      <c r="SRM65" s="953"/>
      <c r="SRN65" s="954"/>
      <c r="SRO65" s="955"/>
      <c r="SRP65" s="955"/>
      <c r="SRQ65" s="820"/>
      <c r="SRR65" s="972"/>
      <c r="SRS65" s="955"/>
      <c r="SRT65" s="950"/>
      <c r="SRU65" s="957"/>
      <c r="SRV65" s="950"/>
      <c r="SRW65" s="950"/>
      <c r="SRX65" s="957"/>
      <c r="SRY65" s="950"/>
      <c r="SRZ65" s="950"/>
      <c r="SSA65" s="653"/>
      <c r="SSB65" s="950"/>
      <c r="SSC65" s="951"/>
      <c r="SSD65" s="952"/>
      <c r="SSE65" s="959"/>
      <c r="SSF65" s="953"/>
      <c r="SSG65" s="954"/>
      <c r="SSH65" s="955"/>
      <c r="SSI65" s="955"/>
      <c r="SSJ65" s="820"/>
      <c r="SSK65" s="972"/>
      <c r="SSL65" s="955"/>
      <c r="SSM65" s="950"/>
      <c r="SSN65" s="957"/>
      <c r="SSO65" s="950"/>
      <c r="SSP65" s="950"/>
      <c r="SSQ65" s="957"/>
      <c r="SSR65" s="950"/>
      <c r="SSS65" s="950"/>
      <c r="SST65" s="653"/>
      <c r="SSU65" s="950"/>
      <c r="SSV65" s="951"/>
      <c r="SSW65" s="952"/>
      <c r="SSX65" s="959"/>
      <c r="SSY65" s="953"/>
      <c r="SSZ65" s="954"/>
      <c r="STA65" s="955"/>
      <c r="STB65" s="955"/>
      <c r="STC65" s="820"/>
      <c r="STD65" s="972"/>
      <c r="STE65" s="955"/>
      <c r="STF65" s="950"/>
      <c r="STG65" s="957"/>
      <c r="STH65" s="950"/>
      <c r="STI65" s="950"/>
      <c r="STJ65" s="957"/>
      <c r="STK65" s="950"/>
      <c r="STL65" s="950"/>
      <c r="STM65" s="653"/>
      <c r="STN65" s="950"/>
      <c r="STO65" s="951"/>
      <c r="STP65" s="952"/>
      <c r="STQ65" s="959"/>
      <c r="STR65" s="953"/>
      <c r="STS65" s="954"/>
      <c r="STT65" s="955"/>
      <c r="STU65" s="955"/>
      <c r="STV65" s="820"/>
      <c r="STW65" s="972"/>
      <c r="STX65" s="955"/>
      <c r="STY65" s="950"/>
      <c r="STZ65" s="957"/>
      <c r="SUA65" s="950"/>
      <c r="SUB65" s="950"/>
      <c r="SUC65" s="957"/>
      <c r="SUD65" s="950"/>
      <c r="SUE65" s="950"/>
      <c r="SUF65" s="653"/>
      <c r="SUG65" s="950"/>
      <c r="SUH65" s="951"/>
      <c r="SUI65" s="952"/>
      <c r="SUJ65" s="959"/>
      <c r="SUK65" s="953"/>
      <c r="SUL65" s="954"/>
      <c r="SUM65" s="955"/>
      <c r="SUN65" s="955"/>
      <c r="SUO65" s="820"/>
      <c r="SUP65" s="972"/>
      <c r="SUQ65" s="955"/>
      <c r="SUR65" s="950"/>
      <c r="SUS65" s="957"/>
      <c r="SUT65" s="950"/>
      <c r="SUU65" s="950"/>
      <c r="SUV65" s="957"/>
      <c r="SUW65" s="950"/>
      <c r="SUX65" s="950"/>
      <c r="SUY65" s="653"/>
      <c r="SUZ65" s="950"/>
      <c r="SVA65" s="951"/>
      <c r="SVB65" s="952"/>
      <c r="SVC65" s="959"/>
      <c r="SVD65" s="953"/>
      <c r="SVE65" s="954"/>
      <c r="SVF65" s="955"/>
      <c r="SVG65" s="955"/>
      <c r="SVH65" s="820"/>
      <c r="SVI65" s="972"/>
      <c r="SVJ65" s="955"/>
      <c r="SVK65" s="950"/>
      <c r="SVL65" s="957"/>
      <c r="SVM65" s="950"/>
      <c r="SVN65" s="950"/>
      <c r="SVO65" s="957"/>
      <c r="SVP65" s="950"/>
      <c r="SVQ65" s="950"/>
      <c r="SVR65" s="653"/>
      <c r="SVS65" s="950"/>
      <c r="SVT65" s="951"/>
      <c r="SVU65" s="952"/>
      <c r="SVV65" s="959"/>
      <c r="SVW65" s="953"/>
      <c r="SVX65" s="954"/>
      <c r="SVY65" s="955"/>
      <c r="SVZ65" s="955"/>
      <c r="SWA65" s="820"/>
      <c r="SWB65" s="972"/>
      <c r="SWC65" s="955"/>
      <c r="SWD65" s="950"/>
      <c r="SWE65" s="957"/>
      <c r="SWF65" s="950"/>
      <c r="SWG65" s="950"/>
      <c r="SWH65" s="957"/>
      <c r="SWI65" s="950"/>
      <c r="SWJ65" s="950"/>
      <c r="SWK65" s="653"/>
      <c r="SWL65" s="950"/>
      <c r="SWM65" s="951"/>
      <c r="SWN65" s="952"/>
      <c r="SWO65" s="959"/>
      <c r="SWP65" s="953"/>
      <c r="SWQ65" s="954"/>
      <c r="SWR65" s="955"/>
      <c r="SWS65" s="955"/>
      <c r="SWT65" s="820"/>
      <c r="SWU65" s="972"/>
      <c r="SWV65" s="955"/>
      <c r="SWW65" s="950"/>
      <c r="SWX65" s="957"/>
      <c r="SWY65" s="950"/>
      <c r="SWZ65" s="950"/>
      <c r="SXA65" s="957"/>
      <c r="SXB65" s="950"/>
      <c r="SXC65" s="950"/>
      <c r="SXD65" s="653"/>
      <c r="SXE65" s="950"/>
      <c r="SXF65" s="951"/>
      <c r="SXG65" s="952"/>
      <c r="SXH65" s="959"/>
      <c r="SXI65" s="953"/>
      <c r="SXJ65" s="954"/>
      <c r="SXK65" s="955"/>
      <c r="SXL65" s="955"/>
      <c r="SXM65" s="820"/>
      <c r="SXN65" s="972"/>
      <c r="SXO65" s="955"/>
      <c r="SXP65" s="950"/>
      <c r="SXQ65" s="957"/>
      <c r="SXR65" s="950"/>
      <c r="SXS65" s="950"/>
      <c r="SXT65" s="957"/>
      <c r="SXU65" s="950"/>
      <c r="SXV65" s="950"/>
      <c r="SXW65" s="653"/>
      <c r="SXX65" s="950"/>
      <c r="SXY65" s="951"/>
      <c r="SXZ65" s="952"/>
      <c r="SYA65" s="959"/>
      <c r="SYB65" s="953"/>
      <c r="SYC65" s="954"/>
      <c r="SYD65" s="955"/>
      <c r="SYE65" s="955"/>
      <c r="SYF65" s="820"/>
      <c r="SYG65" s="972"/>
      <c r="SYH65" s="955"/>
      <c r="SYI65" s="950"/>
      <c r="SYJ65" s="957"/>
      <c r="SYK65" s="950"/>
      <c r="SYL65" s="950"/>
      <c r="SYM65" s="957"/>
      <c r="SYN65" s="950"/>
      <c r="SYO65" s="950"/>
      <c r="SYP65" s="653"/>
      <c r="SYQ65" s="950"/>
      <c r="SYR65" s="951"/>
      <c r="SYS65" s="952"/>
      <c r="SYT65" s="959"/>
      <c r="SYU65" s="953"/>
      <c r="SYV65" s="954"/>
      <c r="SYW65" s="955"/>
      <c r="SYX65" s="955"/>
      <c r="SYY65" s="820"/>
      <c r="SYZ65" s="972"/>
      <c r="SZA65" s="955"/>
      <c r="SZB65" s="950"/>
      <c r="SZC65" s="957"/>
      <c r="SZD65" s="950"/>
      <c r="SZE65" s="950"/>
      <c r="SZF65" s="957"/>
      <c r="SZG65" s="950"/>
      <c r="SZH65" s="950"/>
      <c r="SZI65" s="653"/>
      <c r="SZJ65" s="950"/>
      <c r="SZK65" s="951"/>
      <c r="SZL65" s="952"/>
      <c r="SZM65" s="959"/>
      <c r="SZN65" s="953"/>
      <c r="SZO65" s="954"/>
      <c r="SZP65" s="955"/>
      <c r="SZQ65" s="955"/>
      <c r="SZR65" s="820"/>
      <c r="SZS65" s="972"/>
      <c r="SZT65" s="955"/>
      <c r="SZU65" s="950"/>
      <c r="SZV65" s="957"/>
      <c r="SZW65" s="950"/>
      <c r="SZX65" s="950"/>
      <c r="SZY65" s="957"/>
      <c r="SZZ65" s="950"/>
      <c r="TAA65" s="950"/>
      <c r="TAB65" s="653"/>
      <c r="TAC65" s="950"/>
      <c r="TAD65" s="951"/>
      <c r="TAE65" s="952"/>
      <c r="TAF65" s="959"/>
      <c r="TAG65" s="953"/>
      <c r="TAH65" s="954"/>
      <c r="TAI65" s="955"/>
      <c r="TAJ65" s="955"/>
      <c r="TAK65" s="820"/>
      <c r="TAL65" s="972"/>
      <c r="TAM65" s="955"/>
      <c r="TAN65" s="950"/>
      <c r="TAO65" s="957"/>
      <c r="TAP65" s="950"/>
      <c r="TAQ65" s="950"/>
      <c r="TAR65" s="957"/>
      <c r="TAS65" s="950"/>
      <c r="TAT65" s="950"/>
      <c r="TAU65" s="653"/>
      <c r="TAV65" s="950"/>
      <c r="TAW65" s="951"/>
      <c r="TAX65" s="952"/>
      <c r="TAY65" s="959"/>
      <c r="TAZ65" s="953"/>
      <c r="TBA65" s="954"/>
      <c r="TBB65" s="955"/>
      <c r="TBC65" s="955"/>
      <c r="TBD65" s="820"/>
      <c r="TBE65" s="972"/>
      <c r="TBF65" s="955"/>
      <c r="TBG65" s="950"/>
      <c r="TBH65" s="957"/>
      <c r="TBI65" s="950"/>
      <c r="TBJ65" s="950"/>
      <c r="TBK65" s="957"/>
      <c r="TBL65" s="950"/>
      <c r="TBM65" s="950"/>
      <c r="TBN65" s="653"/>
      <c r="TBO65" s="950"/>
      <c r="TBP65" s="951"/>
      <c r="TBQ65" s="952"/>
      <c r="TBR65" s="959"/>
      <c r="TBS65" s="953"/>
      <c r="TBT65" s="954"/>
      <c r="TBU65" s="955"/>
      <c r="TBV65" s="955"/>
      <c r="TBW65" s="820"/>
      <c r="TBX65" s="972"/>
      <c r="TBY65" s="955"/>
      <c r="TBZ65" s="950"/>
      <c r="TCA65" s="957"/>
      <c r="TCB65" s="950"/>
      <c r="TCC65" s="950"/>
      <c r="TCD65" s="957"/>
      <c r="TCE65" s="950"/>
      <c r="TCF65" s="950"/>
      <c r="TCG65" s="653"/>
      <c r="TCH65" s="950"/>
      <c r="TCI65" s="951"/>
      <c r="TCJ65" s="952"/>
      <c r="TCK65" s="959"/>
      <c r="TCL65" s="953"/>
      <c r="TCM65" s="954"/>
      <c r="TCN65" s="955"/>
      <c r="TCO65" s="955"/>
      <c r="TCP65" s="820"/>
      <c r="TCQ65" s="972"/>
      <c r="TCR65" s="955"/>
      <c r="TCS65" s="950"/>
      <c r="TCT65" s="957"/>
      <c r="TCU65" s="950"/>
      <c r="TCV65" s="950"/>
      <c r="TCW65" s="957"/>
      <c r="TCX65" s="950"/>
      <c r="TCY65" s="950"/>
      <c r="TCZ65" s="653"/>
      <c r="TDA65" s="950"/>
      <c r="TDB65" s="951"/>
      <c r="TDC65" s="952"/>
      <c r="TDD65" s="959"/>
      <c r="TDE65" s="953"/>
      <c r="TDF65" s="954"/>
      <c r="TDG65" s="955"/>
      <c r="TDH65" s="955"/>
      <c r="TDI65" s="820"/>
      <c r="TDJ65" s="972"/>
      <c r="TDK65" s="955"/>
      <c r="TDL65" s="950"/>
      <c r="TDM65" s="957"/>
      <c r="TDN65" s="950"/>
      <c r="TDO65" s="950"/>
      <c r="TDP65" s="957"/>
      <c r="TDQ65" s="950"/>
      <c r="TDR65" s="950"/>
      <c r="TDS65" s="653"/>
      <c r="TDT65" s="950"/>
      <c r="TDU65" s="951"/>
      <c r="TDV65" s="952"/>
      <c r="TDW65" s="959"/>
      <c r="TDX65" s="953"/>
      <c r="TDY65" s="954"/>
      <c r="TDZ65" s="955"/>
      <c r="TEA65" s="955"/>
      <c r="TEB65" s="820"/>
      <c r="TEC65" s="972"/>
      <c r="TED65" s="955"/>
      <c r="TEE65" s="950"/>
      <c r="TEF65" s="957"/>
      <c r="TEG65" s="950"/>
      <c r="TEH65" s="950"/>
      <c r="TEI65" s="957"/>
      <c r="TEJ65" s="950"/>
      <c r="TEK65" s="950"/>
      <c r="TEL65" s="653"/>
      <c r="TEM65" s="950"/>
      <c r="TEN65" s="951"/>
      <c r="TEO65" s="952"/>
      <c r="TEP65" s="959"/>
      <c r="TEQ65" s="953"/>
      <c r="TER65" s="954"/>
      <c r="TES65" s="955"/>
      <c r="TET65" s="955"/>
      <c r="TEU65" s="820"/>
      <c r="TEV65" s="972"/>
      <c r="TEW65" s="955"/>
      <c r="TEX65" s="950"/>
      <c r="TEY65" s="957"/>
      <c r="TEZ65" s="950"/>
      <c r="TFA65" s="950"/>
      <c r="TFB65" s="957"/>
      <c r="TFC65" s="950"/>
      <c r="TFD65" s="950"/>
      <c r="TFE65" s="653"/>
      <c r="TFF65" s="950"/>
      <c r="TFG65" s="951"/>
      <c r="TFH65" s="952"/>
      <c r="TFI65" s="959"/>
      <c r="TFJ65" s="953"/>
      <c r="TFK65" s="954"/>
      <c r="TFL65" s="955"/>
      <c r="TFM65" s="955"/>
      <c r="TFN65" s="820"/>
      <c r="TFO65" s="972"/>
      <c r="TFP65" s="955"/>
      <c r="TFQ65" s="950"/>
      <c r="TFR65" s="957"/>
      <c r="TFS65" s="950"/>
      <c r="TFT65" s="950"/>
      <c r="TFU65" s="957"/>
      <c r="TFV65" s="950"/>
      <c r="TFW65" s="950"/>
      <c r="TFX65" s="653"/>
      <c r="TFY65" s="950"/>
      <c r="TFZ65" s="951"/>
      <c r="TGA65" s="952"/>
      <c r="TGB65" s="959"/>
      <c r="TGC65" s="953"/>
      <c r="TGD65" s="954"/>
      <c r="TGE65" s="955"/>
      <c r="TGF65" s="955"/>
      <c r="TGG65" s="820"/>
      <c r="TGH65" s="972"/>
      <c r="TGI65" s="955"/>
      <c r="TGJ65" s="950"/>
      <c r="TGK65" s="957"/>
      <c r="TGL65" s="950"/>
      <c r="TGM65" s="950"/>
      <c r="TGN65" s="957"/>
      <c r="TGO65" s="950"/>
      <c r="TGP65" s="950"/>
      <c r="TGQ65" s="653"/>
      <c r="TGR65" s="950"/>
      <c r="TGS65" s="951"/>
      <c r="TGT65" s="952"/>
      <c r="TGU65" s="959"/>
      <c r="TGV65" s="953"/>
      <c r="TGW65" s="954"/>
      <c r="TGX65" s="955"/>
      <c r="TGY65" s="955"/>
      <c r="TGZ65" s="820"/>
      <c r="THA65" s="972"/>
      <c r="THB65" s="955"/>
      <c r="THC65" s="950"/>
      <c r="THD65" s="957"/>
      <c r="THE65" s="950"/>
      <c r="THF65" s="950"/>
      <c r="THG65" s="957"/>
      <c r="THH65" s="950"/>
      <c r="THI65" s="950"/>
      <c r="THJ65" s="653"/>
      <c r="THK65" s="950"/>
      <c r="THL65" s="951"/>
      <c r="THM65" s="952"/>
      <c r="THN65" s="959"/>
      <c r="THO65" s="953"/>
      <c r="THP65" s="954"/>
      <c r="THQ65" s="955"/>
      <c r="THR65" s="955"/>
      <c r="THS65" s="820"/>
      <c r="THT65" s="972"/>
      <c r="THU65" s="955"/>
      <c r="THV65" s="950"/>
      <c r="THW65" s="957"/>
      <c r="THX65" s="950"/>
      <c r="THY65" s="950"/>
      <c r="THZ65" s="957"/>
      <c r="TIA65" s="950"/>
      <c r="TIB65" s="950"/>
      <c r="TIC65" s="653"/>
      <c r="TID65" s="950"/>
      <c r="TIE65" s="951"/>
      <c r="TIF65" s="952"/>
      <c r="TIG65" s="959"/>
      <c r="TIH65" s="953"/>
      <c r="TII65" s="954"/>
      <c r="TIJ65" s="955"/>
      <c r="TIK65" s="955"/>
      <c r="TIL65" s="820"/>
      <c r="TIM65" s="972"/>
      <c r="TIN65" s="955"/>
      <c r="TIO65" s="950"/>
      <c r="TIP65" s="957"/>
      <c r="TIQ65" s="950"/>
      <c r="TIR65" s="950"/>
      <c r="TIS65" s="957"/>
      <c r="TIT65" s="950"/>
      <c r="TIU65" s="950"/>
      <c r="TIV65" s="653"/>
      <c r="TIW65" s="950"/>
      <c r="TIX65" s="951"/>
      <c r="TIY65" s="952"/>
      <c r="TIZ65" s="959"/>
      <c r="TJA65" s="953"/>
      <c r="TJB65" s="954"/>
      <c r="TJC65" s="955"/>
      <c r="TJD65" s="955"/>
      <c r="TJE65" s="820"/>
      <c r="TJF65" s="972"/>
      <c r="TJG65" s="955"/>
      <c r="TJH65" s="950"/>
      <c r="TJI65" s="957"/>
      <c r="TJJ65" s="950"/>
      <c r="TJK65" s="950"/>
      <c r="TJL65" s="957"/>
      <c r="TJM65" s="950"/>
      <c r="TJN65" s="950"/>
      <c r="TJO65" s="653"/>
      <c r="TJP65" s="950"/>
      <c r="TJQ65" s="951"/>
      <c r="TJR65" s="952"/>
      <c r="TJS65" s="959"/>
      <c r="TJT65" s="953"/>
      <c r="TJU65" s="954"/>
      <c r="TJV65" s="955"/>
      <c r="TJW65" s="955"/>
      <c r="TJX65" s="820"/>
      <c r="TJY65" s="972"/>
      <c r="TJZ65" s="955"/>
      <c r="TKA65" s="950"/>
      <c r="TKB65" s="957"/>
      <c r="TKC65" s="950"/>
      <c r="TKD65" s="950"/>
      <c r="TKE65" s="957"/>
      <c r="TKF65" s="950"/>
      <c r="TKG65" s="950"/>
      <c r="TKH65" s="653"/>
      <c r="TKI65" s="950"/>
      <c r="TKJ65" s="951"/>
      <c r="TKK65" s="952"/>
      <c r="TKL65" s="959"/>
      <c r="TKM65" s="953"/>
      <c r="TKN65" s="954"/>
      <c r="TKO65" s="955"/>
      <c r="TKP65" s="955"/>
      <c r="TKQ65" s="820"/>
      <c r="TKR65" s="972"/>
      <c r="TKS65" s="955"/>
      <c r="TKT65" s="950"/>
      <c r="TKU65" s="957"/>
      <c r="TKV65" s="950"/>
      <c r="TKW65" s="950"/>
      <c r="TKX65" s="957"/>
      <c r="TKY65" s="950"/>
      <c r="TKZ65" s="950"/>
      <c r="TLA65" s="653"/>
      <c r="TLB65" s="950"/>
      <c r="TLC65" s="951"/>
      <c r="TLD65" s="952"/>
      <c r="TLE65" s="959"/>
      <c r="TLF65" s="953"/>
      <c r="TLG65" s="954"/>
      <c r="TLH65" s="955"/>
      <c r="TLI65" s="955"/>
      <c r="TLJ65" s="820"/>
      <c r="TLK65" s="972"/>
      <c r="TLL65" s="955"/>
      <c r="TLM65" s="950"/>
      <c r="TLN65" s="957"/>
      <c r="TLO65" s="950"/>
      <c r="TLP65" s="950"/>
      <c r="TLQ65" s="957"/>
      <c r="TLR65" s="950"/>
      <c r="TLS65" s="950"/>
      <c r="TLT65" s="653"/>
      <c r="TLU65" s="950"/>
      <c r="TLV65" s="951"/>
      <c r="TLW65" s="952"/>
      <c r="TLX65" s="959"/>
      <c r="TLY65" s="953"/>
      <c r="TLZ65" s="954"/>
      <c r="TMA65" s="955"/>
      <c r="TMB65" s="955"/>
      <c r="TMC65" s="820"/>
      <c r="TMD65" s="972"/>
      <c r="TME65" s="955"/>
      <c r="TMF65" s="950"/>
      <c r="TMG65" s="957"/>
      <c r="TMH65" s="950"/>
      <c r="TMI65" s="950"/>
      <c r="TMJ65" s="957"/>
      <c r="TMK65" s="950"/>
      <c r="TML65" s="950"/>
      <c r="TMM65" s="653"/>
      <c r="TMN65" s="950"/>
      <c r="TMO65" s="951"/>
      <c r="TMP65" s="952"/>
      <c r="TMQ65" s="959"/>
      <c r="TMR65" s="953"/>
      <c r="TMS65" s="954"/>
      <c r="TMT65" s="955"/>
      <c r="TMU65" s="955"/>
      <c r="TMV65" s="820"/>
      <c r="TMW65" s="972"/>
      <c r="TMX65" s="955"/>
      <c r="TMY65" s="950"/>
      <c r="TMZ65" s="957"/>
      <c r="TNA65" s="950"/>
      <c r="TNB65" s="950"/>
      <c r="TNC65" s="957"/>
      <c r="TND65" s="950"/>
      <c r="TNE65" s="950"/>
      <c r="TNF65" s="653"/>
      <c r="TNG65" s="950"/>
      <c r="TNH65" s="951"/>
      <c r="TNI65" s="952"/>
      <c r="TNJ65" s="959"/>
      <c r="TNK65" s="953"/>
      <c r="TNL65" s="954"/>
      <c r="TNM65" s="955"/>
      <c r="TNN65" s="955"/>
      <c r="TNO65" s="820"/>
      <c r="TNP65" s="972"/>
      <c r="TNQ65" s="955"/>
      <c r="TNR65" s="950"/>
      <c r="TNS65" s="957"/>
      <c r="TNT65" s="950"/>
      <c r="TNU65" s="950"/>
      <c r="TNV65" s="957"/>
      <c r="TNW65" s="950"/>
      <c r="TNX65" s="950"/>
      <c r="TNY65" s="653"/>
      <c r="TNZ65" s="950"/>
      <c r="TOA65" s="951"/>
      <c r="TOB65" s="952"/>
      <c r="TOC65" s="959"/>
      <c r="TOD65" s="953"/>
      <c r="TOE65" s="954"/>
      <c r="TOF65" s="955"/>
      <c r="TOG65" s="955"/>
      <c r="TOH65" s="820"/>
      <c r="TOI65" s="972"/>
      <c r="TOJ65" s="955"/>
      <c r="TOK65" s="950"/>
      <c r="TOL65" s="957"/>
      <c r="TOM65" s="950"/>
      <c r="TON65" s="950"/>
      <c r="TOO65" s="957"/>
      <c r="TOP65" s="950"/>
      <c r="TOQ65" s="950"/>
      <c r="TOR65" s="653"/>
      <c r="TOS65" s="950"/>
      <c r="TOT65" s="951"/>
      <c r="TOU65" s="952"/>
      <c r="TOV65" s="959"/>
      <c r="TOW65" s="953"/>
      <c r="TOX65" s="954"/>
      <c r="TOY65" s="955"/>
      <c r="TOZ65" s="955"/>
      <c r="TPA65" s="820"/>
      <c r="TPB65" s="972"/>
      <c r="TPC65" s="955"/>
      <c r="TPD65" s="950"/>
      <c r="TPE65" s="957"/>
      <c r="TPF65" s="950"/>
      <c r="TPG65" s="950"/>
      <c r="TPH65" s="957"/>
      <c r="TPI65" s="950"/>
      <c r="TPJ65" s="950"/>
      <c r="TPK65" s="653"/>
      <c r="TPL65" s="950"/>
      <c r="TPM65" s="951"/>
      <c r="TPN65" s="952"/>
      <c r="TPO65" s="959"/>
      <c r="TPP65" s="953"/>
      <c r="TPQ65" s="954"/>
      <c r="TPR65" s="955"/>
      <c r="TPS65" s="955"/>
      <c r="TPT65" s="820"/>
      <c r="TPU65" s="972"/>
      <c r="TPV65" s="955"/>
      <c r="TPW65" s="950"/>
      <c r="TPX65" s="957"/>
      <c r="TPY65" s="950"/>
      <c r="TPZ65" s="950"/>
      <c r="TQA65" s="957"/>
      <c r="TQB65" s="950"/>
      <c r="TQC65" s="950"/>
      <c r="TQD65" s="653"/>
      <c r="TQE65" s="950"/>
      <c r="TQF65" s="951"/>
      <c r="TQG65" s="952"/>
      <c r="TQH65" s="959"/>
      <c r="TQI65" s="953"/>
      <c r="TQJ65" s="954"/>
      <c r="TQK65" s="955"/>
      <c r="TQL65" s="955"/>
      <c r="TQM65" s="820"/>
      <c r="TQN65" s="972"/>
      <c r="TQO65" s="955"/>
      <c r="TQP65" s="950"/>
      <c r="TQQ65" s="957"/>
      <c r="TQR65" s="950"/>
      <c r="TQS65" s="950"/>
      <c r="TQT65" s="957"/>
      <c r="TQU65" s="950"/>
      <c r="TQV65" s="950"/>
      <c r="TQW65" s="653"/>
      <c r="TQX65" s="950"/>
      <c r="TQY65" s="951"/>
      <c r="TQZ65" s="952"/>
      <c r="TRA65" s="959"/>
      <c r="TRB65" s="953"/>
      <c r="TRC65" s="954"/>
      <c r="TRD65" s="955"/>
      <c r="TRE65" s="955"/>
      <c r="TRF65" s="820"/>
      <c r="TRG65" s="972"/>
      <c r="TRH65" s="955"/>
      <c r="TRI65" s="950"/>
      <c r="TRJ65" s="957"/>
      <c r="TRK65" s="950"/>
      <c r="TRL65" s="950"/>
      <c r="TRM65" s="957"/>
      <c r="TRN65" s="950"/>
      <c r="TRO65" s="950"/>
      <c r="TRP65" s="653"/>
      <c r="TRQ65" s="950"/>
      <c r="TRR65" s="951"/>
      <c r="TRS65" s="952"/>
      <c r="TRT65" s="959"/>
      <c r="TRU65" s="953"/>
      <c r="TRV65" s="954"/>
      <c r="TRW65" s="955"/>
      <c r="TRX65" s="955"/>
      <c r="TRY65" s="820"/>
      <c r="TRZ65" s="972"/>
      <c r="TSA65" s="955"/>
      <c r="TSB65" s="950"/>
      <c r="TSC65" s="957"/>
      <c r="TSD65" s="950"/>
      <c r="TSE65" s="950"/>
      <c r="TSF65" s="957"/>
      <c r="TSG65" s="950"/>
      <c r="TSH65" s="950"/>
      <c r="TSI65" s="653"/>
      <c r="TSJ65" s="950"/>
      <c r="TSK65" s="951"/>
      <c r="TSL65" s="952"/>
      <c r="TSM65" s="959"/>
      <c r="TSN65" s="953"/>
      <c r="TSO65" s="954"/>
      <c r="TSP65" s="955"/>
      <c r="TSQ65" s="955"/>
      <c r="TSR65" s="820"/>
      <c r="TSS65" s="972"/>
      <c r="TST65" s="955"/>
      <c r="TSU65" s="950"/>
      <c r="TSV65" s="957"/>
      <c r="TSW65" s="950"/>
      <c r="TSX65" s="950"/>
      <c r="TSY65" s="957"/>
      <c r="TSZ65" s="950"/>
      <c r="TTA65" s="950"/>
      <c r="TTB65" s="653"/>
      <c r="TTC65" s="950"/>
      <c r="TTD65" s="951"/>
      <c r="TTE65" s="952"/>
      <c r="TTF65" s="959"/>
      <c r="TTG65" s="953"/>
      <c r="TTH65" s="954"/>
      <c r="TTI65" s="955"/>
      <c r="TTJ65" s="955"/>
      <c r="TTK65" s="820"/>
      <c r="TTL65" s="972"/>
      <c r="TTM65" s="955"/>
      <c r="TTN65" s="950"/>
      <c r="TTO65" s="957"/>
      <c r="TTP65" s="950"/>
      <c r="TTQ65" s="950"/>
      <c r="TTR65" s="957"/>
      <c r="TTS65" s="950"/>
      <c r="TTT65" s="950"/>
      <c r="TTU65" s="653"/>
      <c r="TTV65" s="950"/>
      <c r="TTW65" s="951"/>
      <c r="TTX65" s="952"/>
      <c r="TTY65" s="959"/>
      <c r="TTZ65" s="953"/>
      <c r="TUA65" s="954"/>
      <c r="TUB65" s="955"/>
      <c r="TUC65" s="955"/>
      <c r="TUD65" s="820"/>
      <c r="TUE65" s="972"/>
      <c r="TUF65" s="955"/>
      <c r="TUG65" s="950"/>
      <c r="TUH65" s="957"/>
      <c r="TUI65" s="950"/>
      <c r="TUJ65" s="950"/>
      <c r="TUK65" s="957"/>
      <c r="TUL65" s="950"/>
      <c r="TUM65" s="950"/>
      <c r="TUN65" s="653"/>
      <c r="TUO65" s="950"/>
      <c r="TUP65" s="951"/>
      <c r="TUQ65" s="952"/>
      <c r="TUR65" s="959"/>
      <c r="TUS65" s="953"/>
      <c r="TUT65" s="954"/>
      <c r="TUU65" s="955"/>
      <c r="TUV65" s="955"/>
      <c r="TUW65" s="820"/>
      <c r="TUX65" s="972"/>
      <c r="TUY65" s="955"/>
      <c r="TUZ65" s="950"/>
      <c r="TVA65" s="957"/>
      <c r="TVB65" s="950"/>
      <c r="TVC65" s="950"/>
      <c r="TVD65" s="957"/>
      <c r="TVE65" s="950"/>
      <c r="TVF65" s="950"/>
      <c r="TVG65" s="653"/>
      <c r="TVH65" s="950"/>
      <c r="TVI65" s="951"/>
      <c r="TVJ65" s="952"/>
      <c r="TVK65" s="959"/>
      <c r="TVL65" s="953"/>
      <c r="TVM65" s="954"/>
      <c r="TVN65" s="955"/>
      <c r="TVO65" s="955"/>
      <c r="TVP65" s="820"/>
      <c r="TVQ65" s="972"/>
      <c r="TVR65" s="955"/>
      <c r="TVS65" s="950"/>
      <c r="TVT65" s="957"/>
      <c r="TVU65" s="950"/>
      <c r="TVV65" s="950"/>
      <c r="TVW65" s="957"/>
      <c r="TVX65" s="950"/>
      <c r="TVY65" s="950"/>
      <c r="TVZ65" s="653"/>
      <c r="TWA65" s="950"/>
      <c r="TWB65" s="951"/>
      <c r="TWC65" s="952"/>
      <c r="TWD65" s="959"/>
      <c r="TWE65" s="953"/>
      <c r="TWF65" s="954"/>
      <c r="TWG65" s="955"/>
      <c r="TWH65" s="955"/>
      <c r="TWI65" s="820"/>
      <c r="TWJ65" s="972"/>
      <c r="TWK65" s="955"/>
      <c r="TWL65" s="950"/>
      <c r="TWM65" s="957"/>
      <c r="TWN65" s="950"/>
      <c r="TWO65" s="950"/>
      <c r="TWP65" s="957"/>
      <c r="TWQ65" s="950"/>
      <c r="TWR65" s="950"/>
      <c r="TWS65" s="653"/>
      <c r="TWT65" s="950"/>
      <c r="TWU65" s="951"/>
      <c r="TWV65" s="952"/>
      <c r="TWW65" s="959"/>
      <c r="TWX65" s="953"/>
      <c r="TWY65" s="954"/>
      <c r="TWZ65" s="955"/>
      <c r="TXA65" s="955"/>
      <c r="TXB65" s="820"/>
      <c r="TXC65" s="972"/>
      <c r="TXD65" s="955"/>
      <c r="TXE65" s="950"/>
      <c r="TXF65" s="957"/>
      <c r="TXG65" s="950"/>
      <c r="TXH65" s="950"/>
      <c r="TXI65" s="957"/>
      <c r="TXJ65" s="950"/>
      <c r="TXK65" s="950"/>
      <c r="TXL65" s="653"/>
      <c r="TXM65" s="950"/>
      <c r="TXN65" s="951"/>
      <c r="TXO65" s="952"/>
      <c r="TXP65" s="959"/>
      <c r="TXQ65" s="953"/>
      <c r="TXR65" s="954"/>
      <c r="TXS65" s="955"/>
      <c r="TXT65" s="955"/>
      <c r="TXU65" s="820"/>
      <c r="TXV65" s="972"/>
      <c r="TXW65" s="955"/>
      <c r="TXX65" s="950"/>
      <c r="TXY65" s="957"/>
      <c r="TXZ65" s="950"/>
      <c r="TYA65" s="950"/>
      <c r="TYB65" s="957"/>
      <c r="TYC65" s="950"/>
      <c r="TYD65" s="950"/>
      <c r="TYE65" s="653"/>
      <c r="TYF65" s="950"/>
      <c r="TYG65" s="951"/>
      <c r="TYH65" s="952"/>
      <c r="TYI65" s="959"/>
      <c r="TYJ65" s="953"/>
      <c r="TYK65" s="954"/>
      <c r="TYL65" s="955"/>
      <c r="TYM65" s="955"/>
      <c r="TYN65" s="820"/>
      <c r="TYO65" s="972"/>
      <c r="TYP65" s="955"/>
      <c r="TYQ65" s="950"/>
      <c r="TYR65" s="957"/>
      <c r="TYS65" s="950"/>
      <c r="TYT65" s="950"/>
      <c r="TYU65" s="957"/>
      <c r="TYV65" s="950"/>
      <c r="TYW65" s="950"/>
      <c r="TYX65" s="653"/>
      <c r="TYY65" s="950"/>
      <c r="TYZ65" s="951"/>
      <c r="TZA65" s="952"/>
      <c r="TZB65" s="959"/>
      <c r="TZC65" s="953"/>
      <c r="TZD65" s="954"/>
      <c r="TZE65" s="955"/>
      <c r="TZF65" s="955"/>
      <c r="TZG65" s="820"/>
      <c r="TZH65" s="972"/>
      <c r="TZI65" s="955"/>
      <c r="TZJ65" s="950"/>
      <c r="TZK65" s="957"/>
      <c r="TZL65" s="950"/>
      <c r="TZM65" s="950"/>
      <c r="TZN65" s="957"/>
      <c r="TZO65" s="950"/>
      <c r="TZP65" s="950"/>
      <c r="TZQ65" s="653"/>
      <c r="TZR65" s="950"/>
      <c r="TZS65" s="951"/>
      <c r="TZT65" s="952"/>
      <c r="TZU65" s="959"/>
      <c r="TZV65" s="953"/>
      <c r="TZW65" s="954"/>
      <c r="TZX65" s="955"/>
      <c r="TZY65" s="955"/>
      <c r="TZZ65" s="820"/>
      <c r="UAA65" s="972"/>
      <c r="UAB65" s="955"/>
      <c r="UAC65" s="950"/>
      <c r="UAD65" s="957"/>
      <c r="UAE65" s="950"/>
      <c r="UAF65" s="950"/>
      <c r="UAG65" s="957"/>
      <c r="UAH65" s="950"/>
      <c r="UAI65" s="950"/>
      <c r="UAJ65" s="653"/>
      <c r="UAK65" s="950"/>
      <c r="UAL65" s="951"/>
      <c r="UAM65" s="952"/>
      <c r="UAN65" s="959"/>
      <c r="UAO65" s="953"/>
      <c r="UAP65" s="954"/>
      <c r="UAQ65" s="955"/>
      <c r="UAR65" s="955"/>
      <c r="UAS65" s="820"/>
      <c r="UAT65" s="972"/>
      <c r="UAU65" s="955"/>
      <c r="UAV65" s="950"/>
      <c r="UAW65" s="957"/>
      <c r="UAX65" s="950"/>
      <c r="UAY65" s="950"/>
      <c r="UAZ65" s="957"/>
      <c r="UBA65" s="950"/>
      <c r="UBB65" s="950"/>
      <c r="UBC65" s="653"/>
      <c r="UBD65" s="950"/>
      <c r="UBE65" s="951"/>
      <c r="UBF65" s="952"/>
      <c r="UBG65" s="959"/>
      <c r="UBH65" s="953"/>
      <c r="UBI65" s="954"/>
      <c r="UBJ65" s="955"/>
      <c r="UBK65" s="955"/>
      <c r="UBL65" s="820"/>
      <c r="UBM65" s="972"/>
      <c r="UBN65" s="955"/>
      <c r="UBO65" s="950"/>
      <c r="UBP65" s="957"/>
      <c r="UBQ65" s="950"/>
      <c r="UBR65" s="950"/>
      <c r="UBS65" s="957"/>
      <c r="UBT65" s="950"/>
      <c r="UBU65" s="950"/>
      <c r="UBV65" s="653"/>
      <c r="UBW65" s="950"/>
      <c r="UBX65" s="951"/>
      <c r="UBY65" s="952"/>
      <c r="UBZ65" s="959"/>
      <c r="UCA65" s="953"/>
      <c r="UCB65" s="954"/>
      <c r="UCC65" s="955"/>
      <c r="UCD65" s="955"/>
      <c r="UCE65" s="820"/>
      <c r="UCF65" s="972"/>
      <c r="UCG65" s="955"/>
      <c r="UCH65" s="950"/>
      <c r="UCI65" s="957"/>
      <c r="UCJ65" s="950"/>
      <c r="UCK65" s="950"/>
      <c r="UCL65" s="957"/>
      <c r="UCM65" s="950"/>
      <c r="UCN65" s="950"/>
      <c r="UCO65" s="653"/>
      <c r="UCP65" s="950"/>
      <c r="UCQ65" s="951"/>
      <c r="UCR65" s="952"/>
      <c r="UCS65" s="959"/>
      <c r="UCT65" s="953"/>
      <c r="UCU65" s="954"/>
      <c r="UCV65" s="955"/>
      <c r="UCW65" s="955"/>
      <c r="UCX65" s="820"/>
      <c r="UCY65" s="972"/>
      <c r="UCZ65" s="955"/>
      <c r="UDA65" s="950"/>
      <c r="UDB65" s="957"/>
      <c r="UDC65" s="950"/>
      <c r="UDD65" s="950"/>
      <c r="UDE65" s="957"/>
      <c r="UDF65" s="950"/>
      <c r="UDG65" s="950"/>
      <c r="UDH65" s="653"/>
      <c r="UDI65" s="950"/>
      <c r="UDJ65" s="951"/>
      <c r="UDK65" s="952"/>
      <c r="UDL65" s="959"/>
      <c r="UDM65" s="953"/>
      <c r="UDN65" s="954"/>
      <c r="UDO65" s="955"/>
      <c r="UDP65" s="955"/>
      <c r="UDQ65" s="820"/>
      <c r="UDR65" s="972"/>
      <c r="UDS65" s="955"/>
      <c r="UDT65" s="950"/>
      <c r="UDU65" s="957"/>
      <c r="UDV65" s="950"/>
      <c r="UDW65" s="950"/>
      <c r="UDX65" s="957"/>
      <c r="UDY65" s="950"/>
      <c r="UDZ65" s="950"/>
      <c r="UEA65" s="653"/>
      <c r="UEB65" s="950"/>
      <c r="UEC65" s="951"/>
      <c r="UED65" s="952"/>
      <c r="UEE65" s="959"/>
      <c r="UEF65" s="953"/>
      <c r="UEG65" s="954"/>
      <c r="UEH65" s="955"/>
      <c r="UEI65" s="955"/>
      <c r="UEJ65" s="820"/>
      <c r="UEK65" s="972"/>
      <c r="UEL65" s="955"/>
      <c r="UEM65" s="950"/>
      <c r="UEN65" s="957"/>
      <c r="UEO65" s="950"/>
      <c r="UEP65" s="950"/>
      <c r="UEQ65" s="957"/>
      <c r="UER65" s="950"/>
      <c r="UES65" s="950"/>
      <c r="UET65" s="653"/>
      <c r="UEU65" s="950"/>
      <c r="UEV65" s="951"/>
      <c r="UEW65" s="952"/>
      <c r="UEX65" s="959"/>
      <c r="UEY65" s="953"/>
      <c r="UEZ65" s="954"/>
      <c r="UFA65" s="955"/>
      <c r="UFB65" s="955"/>
      <c r="UFC65" s="820"/>
      <c r="UFD65" s="972"/>
      <c r="UFE65" s="955"/>
      <c r="UFF65" s="950"/>
      <c r="UFG65" s="957"/>
      <c r="UFH65" s="950"/>
      <c r="UFI65" s="950"/>
      <c r="UFJ65" s="957"/>
      <c r="UFK65" s="950"/>
      <c r="UFL65" s="950"/>
      <c r="UFM65" s="653"/>
      <c r="UFN65" s="950"/>
      <c r="UFO65" s="951"/>
      <c r="UFP65" s="952"/>
      <c r="UFQ65" s="959"/>
      <c r="UFR65" s="953"/>
      <c r="UFS65" s="954"/>
      <c r="UFT65" s="955"/>
      <c r="UFU65" s="955"/>
      <c r="UFV65" s="820"/>
      <c r="UFW65" s="972"/>
      <c r="UFX65" s="955"/>
      <c r="UFY65" s="950"/>
      <c r="UFZ65" s="957"/>
      <c r="UGA65" s="950"/>
      <c r="UGB65" s="950"/>
      <c r="UGC65" s="957"/>
      <c r="UGD65" s="950"/>
      <c r="UGE65" s="950"/>
      <c r="UGF65" s="653"/>
      <c r="UGG65" s="950"/>
      <c r="UGH65" s="951"/>
      <c r="UGI65" s="952"/>
      <c r="UGJ65" s="959"/>
      <c r="UGK65" s="953"/>
      <c r="UGL65" s="954"/>
      <c r="UGM65" s="955"/>
      <c r="UGN65" s="955"/>
      <c r="UGO65" s="820"/>
      <c r="UGP65" s="972"/>
      <c r="UGQ65" s="955"/>
      <c r="UGR65" s="950"/>
      <c r="UGS65" s="957"/>
      <c r="UGT65" s="950"/>
      <c r="UGU65" s="950"/>
      <c r="UGV65" s="957"/>
      <c r="UGW65" s="950"/>
      <c r="UGX65" s="950"/>
      <c r="UGY65" s="653"/>
      <c r="UGZ65" s="950"/>
      <c r="UHA65" s="951"/>
      <c r="UHB65" s="952"/>
      <c r="UHC65" s="959"/>
      <c r="UHD65" s="953"/>
      <c r="UHE65" s="954"/>
      <c r="UHF65" s="955"/>
      <c r="UHG65" s="955"/>
      <c r="UHH65" s="820"/>
      <c r="UHI65" s="972"/>
      <c r="UHJ65" s="955"/>
      <c r="UHK65" s="950"/>
      <c r="UHL65" s="957"/>
      <c r="UHM65" s="950"/>
      <c r="UHN65" s="950"/>
      <c r="UHO65" s="957"/>
      <c r="UHP65" s="950"/>
      <c r="UHQ65" s="950"/>
      <c r="UHR65" s="653"/>
      <c r="UHS65" s="950"/>
      <c r="UHT65" s="951"/>
      <c r="UHU65" s="952"/>
      <c r="UHV65" s="959"/>
      <c r="UHW65" s="953"/>
      <c r="UHX65" s="954"/>
      <c r="UHY65" s="955"/>
      <c r="UHZ65" s="955"/>
      <c r="UIA65" s="820"/>
      <c r="UIB65" s="972"/>
      <c r="UIC65" s="955"/>
      <c r="UID65" s="950"/>
      <c r="UIE65" s="957"/>
      <c r="UIF65" s="950"/>
      <c r="UIG65" s="950"/>
      <c r="UIH65" s="957"/>
      <c r="UII65" s="950"/>
      <c r="UIJ65" s="950"/>
      <c r="UIK65" s="653"/>
      <c r="UIL65" s="950"/>
      <c r="UIM65" s="951"/>
      <c r="UIN65" s="952"/>
      <c r="UIO65" s="959"/>
      <c r="UIP65" s="953"/>
      <c r="UIQ65" s="954"/>
      <c r="UIR65" s="955"/>
      <c r="UIS65" s="955"/>
      <c r="UIT65" s="820"/>
      <c r="UIU65" s="972"/>
      <c r="UIV65" s="955"/>
      <c r="UIW65" s="950"/>
      <c r="UIX65" s="957"/>
      <c r="UIY65" s="950"/>
      <c r="UIZ65" s="950"/>
      <c r="UJA65" s="957"/>
      <c r="UJB65" s="950"/>
      <c r="UJC65" s="950"/>
      <c r="UJD65" s="653"/>
      <c r="UJE65" s="950"/>
      <c r="UJF65" s="951"/>
      <c r="UJG65" s="952"/>
      <c r="UJH65" s="959"/>
      <c r="UJI65" s="953"/>
      <c r="UJJ65" s="954"/>
      <c r="UJK65" s="955"/>
      <c r="UJL65" s="955"/>
      <c r="UJM65" s="820"/>
      <c r="UJN65" s="972"/>
      <c r="UJO65" s="955"/>
      <c r="UJP65" s="950"/>
      <c r="UJQ65" s="957"/>
      <c r="UJR65" s="950"/>
      <c r="UJS65" s="950"/>
      <c r="UJT65" s="957"/>
      <c r="UJU65" s="950"/>
      <c r="UJV65" s="950"/>
      <c r="UJW65" s="653"/>
      <c r="UJX65" s="950"/>
      <c r="UJY65" s="951"/>
      <c r="UJZ65" s="952"/>
      <c r="UKA65" s="959"/>
      <c r="UKB65" s="953"/>
      <c r="UKC65" s="954"/>
      <c r="UKD65" s="955"/>
      <c r="UKE65" s="955"/>
      <c r="UKF65" s="820"/>
      <c r="UKG65" s="972"/>
      <c r="UKH65" s="955"/>
      <c r="UKI65" s="950"/>
      <c r="UKJ65" s="957"/>
      <c r="UKK65" s="950"/>
      <c r="UKL65" s="950"/>
      <c r="UKM65" s="957"/>
      <c r="UKN65" s="950"/>
      <c r="UKO65" s="950"/>
      <c r="UKP65" s="653"/>
      <c r="UKQ65" s="950"/>
      <c r="UKR65" s="951"/>
      <c r="UKS65" s="952"/>
      <c r="UKT65" s="959"/>
      <c r="UKU65" s="953"/>
      <c r="UKV65" s="954"/>
      <c r="UKW65" s="955"/>
      <c r="UKX65" s="955"/>
      <c r="UKY65" s="820"/>
      <c r="UKZ65" s="972"/>
      <c r="ULA65" s="955"/>
      <c r="ULB65" s="950"/>
      <c r="ULC65" s="957"/>
      <c r="ULD65" s="950"/>
      <c r="ULE65" s="950"/>
      <c r="ULF65" s="957"/>
      <c r="ULG65" s="950"/>
      <c r="ULH65" s="950"/>
      <c r="ULI65" s="653"/>
      <c r="ULJ65" s="950"/>
      <c r="ULK65" s="951"/>
      <c r="ULL65" s="952"/>
      <c r="ULM65" s="959"/>
      <c r="ULN65" s="953"/>
      <c r="ULO65" s="954"/>
      <c r="ULP65" s="955"/>
      <c r="ULQ65" s="955"/>
      <c r="ULR65" s="820"/>
      <c r="ULS65" s="972"/>
      <c r="ULT65" s="955"/>
      <c r="ULU65" s="950"/>
      <c r="ULV65" s="957"/>
      <c r="ULW65" s="950"/>
      <c r="ULX65" s="950"/>
      <c r="ULY65" s="957"/>
      <c r="ULZ65" s="950"/>
      <c r="UMA65" s="950"/>
      <c r="UMB65" s="653"/>
      <c r="UMC65" s="950"/>
      <c r="UMD65" s="951"/>
      <c r="UME65" s="952"/>
      <c r="UMF65" s="959"/>
      <c r="UMG65" s="953"/>
      <c r="UMH65" s="954"/>
      <c r="UMI65" s="955"/>
      <c r="UMJ65" s="955"/>
      <c r="UMK65" s="820"/>
      <c r="UML65" s="972"/>
      <c r="UMM65" s="955"/>
      <c r="UMN65" s="950"/>
      <c r="UMO65" s="957"/>
      <c r="UMP65" s="950"/>
      <c r="UMQ65" s="950"/>
      <c r="UMR65" s="957"/>
      <c r="UMS65" s="950"/>
      <c r="UMT65" s="950"/>
      <c r="UMU65" s="653"/>
      <c r="UMV65" s="950"/>
      <c r="UMW65" s="951"/>
      <c r="UMX65" s="952"/>
      <c r="UMY65" s="959"/>
      <c r="UMZ65" s="953"/>
      <c r="UNA65" s="954"/>
      <c r="UNB65" s="955"/>
      <c r="UNC65" s="955"/>
      <c r="UND65" s="820"/>
      <c r="UNE65" s="972"/>
      <c r="UNF65" s="955"/>
      <c r="UNG65" s="950"/>
      <c r="UNH65" s="957"/>
      <c r="UNI65" s="950"/>
      <c r="UNJ65" s="950"/>
      <c r="UNK65" s="957"/>
      <c r="UNL65" s="950"/>
      <c r="UNM65" s="950"/>
      <c r="UNN65" s="653"/>
      <c r="UNO65" s="950"/>
      <c r="UNP65" s="951"/>
      <c r="UNQ65" s="952"/>
      <c r="UNR65" s="959"/>
      <c r="UNS65" s="953"/>
      <c r="UNT65" s="954"/>
      <c r="UNU65" s="955"/>
      <c r="UNV65" s="955"/>
      <c r="UNW65" s="820"/>
      <c r="UNX65" s="972"/>
      <c r="UNY65" s="955"/>
      <c r="UNZ65" s="950"/>
      <c r="UOA65" s="957"/>
      <c r="UOB65" s="950"/>
      <c r="UOC65" s="950"/>
      <c r="UOD65" s="957"/>
      <c r="UOE65" s="950"/>
      <c r="UOF65" s="950"/>
      <c r="UOG65" s="653"/>
      <c r="UOH65" s="950"/>
      <c r="UOI65" s="951"/>
      <c r="UOJ65" s="952"/>
      <c r="UOK65" s="959"/>
      <c r="UOL65" s="953"/>
      <c r="UOM65" s="954"/>
      <c r="UON65" s="955"/>
      <c r="UOO65" s="955"/>
      <c r="UOP65" s="820"/>
      <c r="UOQ65" s="972"/>
      <c r="UOR65" s="955"/>
      <c r="UOS65" s="950"/>
      <c r="UOT65" s="957"/>
      <c r="UOU65" s="950"/>
      <c r="UOV65" s="950"/>
      <c r="UOW65" s="957"/>
      <c r="UOX65" s="950"/>
      <c r="UOY65" s="950"/>
      <c r="UOZ65" s="653"/>
      <c r="UPA65" s="950"/>
      <c r="UPB65" s="951"/>
      <c r="UPC65" s="952"/>
      <c r="UPD65" s="959"/>
      <c r="UPE65" s="953"/>
      <c r="UPF65" s="954"/>
      <c r="UPG65" s="955"/>
      <c r="UPH65" s="955"/>
      <c r="UPI65" s="820"/>
      <c r="UPJ65" s="972"/>
      <c r="UPK65" s="955"/>
      <c r="UPL65" s="950"/>
      <c r="UPM65" s="957"/>
      <c r="UPN65" s="950"/>
      <c r="UPO65" s="950"/>
      <c r="UPP65" s="957"/>
      <c r="UPQ65" s="950"/>
      <c r="UPR65" s="950"/>
      <c r="UPS65" s="653"/>
      <c r="UPT65" s="950"/>
      <c r="UPU65" s="951"/>
      <c r="UPV65" s="952"/>
      <c r="UPW65" s="959"/>
      <c r="UPX65" s="953"/>
      <c r="UPY65" s="954"/>
      <c r="UPZ65" s="955"/>
      <c r="UQA65" s="955"/>
      <c r="UQB65" s="820"/>
      <c r="UQC65" s="972"/>
      <c r="UQD65" s="955"/>
      <c r="UQE65" s="950"/>
      <c r="UQF65" s="957"/>
      <c r="UQG65" s="950"/>
      <c r="UQH65" s="950"/>
      <c r="UQI65" s="957"/>
      <c r="UQJ65" s="950"/>
      <c r="UQK65" s="950"/>
      <c r="UQL65" s="653"/>
      <c r="UQM65" s="950"/>
      <c r="UQN65" s="951"/>
      <c r="UQO65" s="952"/>
      <c r="UQP65" s="959"/>
      <c r="UQQ65" s="953"/>
      <c r="UQR65" s="954"/>
      <c r="UQS65" s="955"/>
      <c r="UQT65" s="955"/>
      <c r="UQU65" s="820"/>
      <c r="UQV65" s="972"/>
      <c r="UQW65" s="955"/>
      <c r="UQX65" s="950"/>
      <c r="UQY65" s="957"/>
      <c r="UQZ65" s="950"/>
      <c r="URA65" s="950"/>
      <c r="URB65" s="957"/>
      <c r="URC65" s="950"/>
      <c r="URD65" s="950"/>
      <c r="URE65" s="653"/>
      <c r="URF65" s="950"/>
      <c r="URG65" s="951"/>
      <c r="URH65" s="952"/>
      <c r="URI65" s="959"/>
      <c r="URJ65" s="953"/>
      <c r="URK65" s="954"/>
      <c r="URL65" s="955"/>
      <c r="URM65" s="955"/>
      <c r="URN65" s="820"/>
      <c r="URO65" s="972"/>
      <c r="URP65" s="955"/>
      <c r="URQ65" s="950"/>
      <c r="URR65" s="957"/>
      <c r="URS65" s="950"/>
      <c r="URT65" s="950"/>
      <c r="URU65" s="957"/>
      <c r="URV65" s="950"/>
      <c r="URW65" s="950"/>
      <c r="URX65" s="653"/>
      <c r="URY65" s="950"/>
      <c r="URZ65" s="951"/>
      <c r="USA65" s="952"/>
      <c r="USB65" s="959"/>
      <c r="USC65" s="953"/>
      <c r="USD65" s="954"/>
      <c r="USE65" s="955"/>
      <c r="USF65" s="955"/>
      <c r="USG65" s="820"/>
      <c r="USH65" s="972"/>
      <c r="USI65" s="955"/>
      <c r="USJ65" s="950"/>
      <c r="USK65" s="957"/>
      <c r="USL65" s="950"/>
      <c r="USM65" s="950"/>
      <c r="USN65" s="957"/>
      <c r="USO65" s="950"/>
      <c r="USP65" s="950"/>
      <c r="USQ65" s="653"/>
      <c r="USR65" s="950"/>
      <c r="USS65" s="951"/>
      <c r="UST65" s="952"/>
      <c r="USU65" s="959"/>
      <c r="USV65" s="953"/>
      <c r="USW65" s="954"/>
      <c r="USX65" s="955"/>
      <c r="USY65" s="955"/>
      <c r="USZ65" s="820"/>
      <c r="UTA65" s="972"/>
      <c r="UTB65" s="955"/>
      <c r="UTC65" s="950"/>
      <c r="UTD65" s="957"/>
      <c r="UTE65" s="950"/>
      <c r="UTF65" s="950"/>
      <c r="UTG65" s="957"/>
      <c r="UTH65" s="950"/>
      <c r="UTI65" s="950"/>
      <c r="UTJ65" s="653"/>
      <c r="UTK65" s="950"/>
      <c r="UTL65" s="951"/>
      <c r="UTM65" s="952"/>
      <c r="UTN65" s="959"/>
      <c r="UTO65" s="953"/>
      <c r="UTP65" s="954"/>
      <c r="UTQ65" s="955"/>
      <c r="UTR65" s="955"/>
      <c r="UTS65" s="820"/>
      <c r="UTT65" s="972"/>
      <c r="UTU65" s="955"/>
      <c r="UTV65" s="950"/>
      <c r="UTW65" s="957"/>
      <c r="UTX65" s="950"/>
      <c r="UTY65" s="950"/>
      <c r="UTZ65" s="957"/>
      <c r="UUA65" s="950"/>
      <c r="UUB65" s="950"/>
      <c r="UUC65" s="653"/>
      <c r="UUD65" s="950"/>
      <c r="UUE65" s="951"/>
      <c r="UUF65" s="952"/>
      <c r="UUG65" s="959"/>
      <c r="UUH65" s="953"/>
      <c r="UUI65" s="954"/>
      <c r="UUJ65" s="955"/>
      <c r="UUK65" s="955"/>
      <c r="UUL65" s="820"/>
      <c r="UUM65" s="972"/>
      <c r="UUN65" s="955"/>
      <c r="UUO65" s="950"/>
      <c r="UUP65" s="957"/>
      <c r="UUQ65" s="950"/>
      <c r="UUR65" s="950"/>
      <c r="UUS65" s="957"/>
      <c r="UUT65" s="950"/>
      <c r="UUU65" s="950"/>
      <c r="UUV65" s="653"/>
      <c r="UUW65" s="950"/>
      <c r="UUX65" s="951"/>
      <c r="UUY65" s="952"/>
      <c r="UUZ65" s="959"/>
      <c r="UVA65" s="953"/>
      <c r="UVB65" s="954"/>
      <c r="UVC65" s="955"/>
      <c r="UVD65" s="955"/>
      <c r="UVE65" s="820"/>
      <c r="UVF65" s="972"/>
      <c r="UVG65" s="955"/>
      <c r="UVH65" s="950"/>
      <c r="UVI65" s="957"/>
      <c r="UVJ65" s="950"/>
      <c r="UVK65" s="950"/>
      <c r="UVL65" s="957"/>
      <c r="UVM65" s="950"/>
      <c r="UVN65" s="950"/>
      <c r="UVO65" s="653"/>
      <c r="UVP65" s="950"/>
      <c r="UVQ65" s="951"/>
      <c r="UVR65" s="952"/>
      <c r="UVS65" s="959"/>
      <c r="UVT65" s="953"/>
      <c r="UVU65" s="954"/>
      <c r="UVV65" s="955"/>
      <c r="UVW65" s="955"/>
      <c r="UVX65" s="820"/>
      <c r="UVY65" s="972"/>
      <c r="UVZ65" s="955"/>
      <c r="UWA65" s="950"/>
      <c r="UWB65" s="957"/>
      <c r="UWC65" s="950"/>
      <c r="UWD65" s="950"/>
      <c r="UWE65" s="957"/>
      <c r="UWF65" s="950"/>
      <c r="UWG65" s="950"/>
      <c r="UWH65" s="653"/>
      <c r="UWI65" s="950"/>
      <c r="UWJ65" s="951"/>
      <c r="UWK65" s="952"/>
      <c r="UWL65" s="959"/>
      <c r="UWM65" s="953"/>
      <c r="UWN65" s="954"/>
      <c r="UWO65" s="955"/>
      <c r="UWP65" s="955"/>
      <c r="UWQ65" s="820"/>
      <c r="UWR65" s="972"/>
      <c r="UWS65" s="955"/>
      <c r="UWT65" s="950"/>
      <c r="UWU65" s="957"/>
      <c r="UWV65" s="950"/>
      <c r="UWW65" s="950"/>
      <c r="UWX65" s="957"/>
      <c r="UWY65" s="950"/>
      <c r="UWZ65" s="950"/>
      <c r="UXA65" s="653"/>
      <c r="UXB65" s="950"/>
      <c r="UXC65" s="951"/>
      <c r="UXD65" s="952"/>
      <c r="UXE65" s="959"/>
      <c r="UXF65" s="953"/>
      <c r="UXG65" s="954"/>
      <c r="UXH65" s="955"/>
      <c r="UXI65" s="955"/>
      <c r="UXJ65" s="820"/>
      <c r="UXK65" s="972"/>
      <c r="UXL65" s="955"/>
      <c r="UXM65" s="950"/>
      <c r="UXN65" s="957"/>
      <c r="UXO65" s="950"/>
      <c r="UXP65" s="950"/>
      <c r="UXQ65" s="957"/>
      <c r="UXR65" s="950"/>
      <c r="UXS65" s="950"/>
      <c r="UXT65" s="653"/>
      <c r="UXU65" s="950"/>
      <c r="UXV65" s="951"/>
      <c r="UXW65" s="952"/>
      <c r="UXX65" s="959"/>
      <c r="UXY65" s="953"/>
      <c r="UXZ65" s="954"/>
      <c r="UYA65" s="955"/>
      <c r="UYB65" s="955"/>
      <c r="UYC65" s="820"/>
      <c r="UYD65" s="972"/>
      <c r="UYE65" s="955"/>
      <c r="UYF65" s="950"/>
      <c r="UYG65" s="957"/>
      <c r="UYH65" s="950"/>
      <c r="UYI65" s="950"/>
      <c r="UYJ65" s="957"/>
      <c r="UYK65" s="950"/>
      <c r="UYL65" s="950"/>
      <c r="UYM65" s="653"/>
      <c r="UYN65" s="950"/>
      <c r="UYO65" s="951"/>
      <c r="UYP65" s="952"/>
      <c r="UYQ65" s="959"/>
      <c r="UYR65" s="953"/>
      <c r="UYS65" s="954"/>
      <c r="UYT65" s="955"/>
      <c r="UYU65" s="955"/>
      <c r="UYV65" s="820"/>
      <c r="UYW65" s="972"/>
      <c r="UYX65" s="955"/>
      <c r="UYY65" s="950"/>
      <c r="UYZ65" s="957"/>
      <c r="UZA65" s="950"/>
      <c r="UZB65" s="950"/>
      <c r="UZC65" s="957"/>
      <c r="UZD65" s="950"/>
      <c r="UZE65" s="950"/>
      <c r="UZF65" s="653"/>
      <c r="UZG65" s="950"/>
      <c r="UZH65" s="951"/>
      <c r="UZI65" s="952"/>
      <c r="UZJ65" s="959"/>
      <c r="UZK65" s="953"/>
      <c r="UZL65" s="954"/>
      <c r="UZM65" s="955"/>
      <c r="UZN65" s="955"/>
      <c r="UZO65" s="820"/>
      <c r="UZP65" s="972"/>
      <c r="UZQ65" s="955"/>
      <c r="UZR65" s="950"/>
      <c r="UZS65" s="957"/>
      <c r="UZT65" s="950"/>
      <c r="UZU65" s="950"/>
      <c r="UZV65" s="957"/>
      <c r="UZW65" s="950"/>
      <c r="UZX65" s="950"/>
      <c r="UZY65" s="653"/>
      <c r="UZZ65" s="950"/>
      <c r="VAA65" s="951"/>
      <c r="VAB65" s="952"/>
      <c r="VAC65" s="959"/>
      <c r="VAD65" s="953"/>
      <c r="VAE65" s="954"/>
      <c r="VAF65" s="955"/>
      <c r="VAG65" s="955"/>
      <c r="VAH65" s="820"/>
      <c r="VAI65" s="972"/>
      <c r="VAJ65" s="955"/>
      <c r="VAK65" s="950"/>
      <c r="VAL65" s="957"/>
      <c r="VAM65" s="950"/>
      <c r="VAN65" s="950"/>
      <c r="VAO65" s="957"/>
      <c r="VAP65" s="950"/>
      <c r="VAQ65" s="950"/>
      <c r="VAR65" s="653"/>
      <c r="VAS65" s="950"/>
      <c r="VAT65" s="951"/>
      <c r="VAU65" s="952"/>
      <c r="VAV65" s="959"/>
      <c r="VAW65" s="953"/>
      <c r="VAX65" s="954"/>
      <c r="VAY65" s="955"/>
      <c r="VAZ65" s="955"/>
      <c r="VBA65" s="820"/>
      <c r="VBB65" s="972"/>
      <c r="VBC65" s="955"/>
      <c r="VBD65" s="950"/>
      <c r="VBE65" s="957"/>
      <c r="VBF65" s="950"/>
      <c r="VBG65" s="950"/>
      <c r="VBH65" s="957"/>
      <c r="VBI65" s="950"/>
      <c r="VBJ65" s="950"/>
      <c r="VBK65" s="653"/>
      <c r="VBL65" s="950"/>
      <c r="VBM65" s="951"/>
      <c r="VBN65" s="952"/>
      <c r="VBO65" s="959"/>
      <c r="VBP65" s="953"/>
      <c r="VBQ65" s="954"/>
      <c r="VBR65" s="955"/>
      <c r="VBS65" s="955"/>
      <c r="VBT65" s="820"/>
      <c r="VBU65" s="972"/>
      <c r="VBV65" s="955"/>
      <c r="VBW65" s="950"/>
      <c r="VBX65" s="957"/>
      <c r="VBY65" s="950"/>
      <c r="VBZ65" s="950"/>
      <c r="VCA65" s="957"/>
      <c r="VCB65" s="950"/>
      <c r="VCC65" s="950"/>
      <c r="VCD65" s="653"/>
      <c r="VCE65" s="950"/>
      <c r="VCF65" s="951"/>
      <c r="VCG65" s="952"/>
      <c r="VCH65" s="959"/>
      <c r="VCI65" s="953"/>
      <c r="VCJ65" s="954"/>
      <c r="VCK65" s="955"/>
      <c r="VCL65" s="955"/>
      <c r="VCM65" s="820"/>
      <c r="VCN65" s="972"/>
      <c r="VCO65" s="955"/>
      <c r="VCP65" s="950"/>
      <c r="VCQ65" s="957"/>
      <c r="VCR65" s="950"/>
      <c r="VCS65" s="950"/>
      <c r="VCT65" s="957"/>
      <c r="VCU65" s="950"/>
      <c r="VCV65" s="950"/>
      <c r="VCW65" s="653"/>
      <c r="VCX65" s="950"/>
      <c r="VCY65" s="951"/>
      <c r="VCZ65" s="952"/>
      <c r="VDA65" s="959"/>
      <c r="VDB65" s="953"/>
      <c r="VDC65" s="954"/>
      <c r="VDD65" s="955"/>
      <c r="VDE65" s="955"/>
      <c r="VDF65" s="820"/>
      <c r="VDG65" s="972"/>
      <c r="VDH65" s="955"/>
      <c r="VDI65" s="950"/>
      <c r="VDJ65" s="957"/>
      <c r="VDK65" s="950"/>
      <c r="VDL65" s="950"/>
      <c r="VDM65" s="957"/>
      <c r="VDN65" s="950"/>
      <c r="VDO65" s="950"/>
      <c r="VDP65" s="653"/>
      <c r="VDQ65" s="950"/>
      <c r="VDR65" s="951"/>
      <c r="VDS65" s="952"/>
      <c r="VDT65" s="959"/>
      <c r="VDU65" s="953"/>
      <c r="VDV65" s="954"/>
      <c r="VDW65" s="955"/>
      <c r="VDX65" s="955"/>
      <c r="VDY65" s="820"/>
      <c r="VDZ65" s="972"/>
      <c r="VEA65" s="955"/>
      <c r="VEB65" s="950"/>
      <c r="VEC65" s="957"/>
      <c r="VED65" s="950"/>
      <c r="VEE65" s="950"/>
      <c r="VEF65" s="957"/>
      <c r="VEG65" s="950"/>
      <c r="VEH65" s="950"/>
      <c r="VEI65" s="653"/>
      <c r="VEJ65" s="950"/>
      <c r="VEK65" s="951"/>
      <c r="VEL65" s="952"/>
      <c r="VEM65" s="959"/>
      <c r="VEN65" s="953"/>
      <c r="VEO65" s="954"/>
      <c r="VEP65" s="955"/>
      <c r="VEQ65" s="955"/>
      <c r="VER65" s="820"/>
      <c r="VES65" s="972"/>
      <c r="VET65" s="955"/>
      <c r="VEU65" s="950"/>
      <c r="VEV65" s="957"/>
      <c r="VEW65" s="950"/>
      <c r="VEX65" s="950"/>
      <c r="VEY65" s="957"/>
      <c r="VEZ65" s="950"/>
      <c r="VFA65" s="950"/>
      <c r="VFB65" s="653"/>
      <c r="VFC65" s="950"/>
      <c r="VFD65" s="951"/>
      <c r="VFE65" s="952"/>
      <c r="VFF65" s="959"/>
      <c r="VFG65" s="953"/>
      <c r="VFH65" s="954"/>
      <c r="VFI65" s="955"/>
      <c r="VFJ65" s="955"/>
      <c r="VFK65" s="820"/>
      <c r="VFL65" s="972"/>
      <c r="VFM65" s="955"/>
      <c r="VFN65" s="950"/>
      <c r="VFO65" s="957"/>
      <c r="VFP65" s="950"/>
      <c r="VFQ65" s="950"/>
      <c r="VFR65" s="957"/>
      <c r="VFS65" s="950"/>
      <c r="VFT65" s="950"/>
      <c r="VFU65" s="653"/>
      <c r="VFV65" s="950"/>
      <c r="VFW65" s="951"/>
      <c r="VFX65" s="952"/>
      <c r="VFY65" s="959"/>
      <c r="VFZ65" s="953"/>
      <c r="VGA65" s="954"/>
      <c r="VGB65" s="955"/>
      <c r="VGC65" s="955"/>
      <c r="VGD65" s="820"/>
      <c r="VGE65" s="972"/>
      <c r="VGF65" s="955"/>
      <c r="VGG65" s="950"/>
      <c r="VGH65" s="957"/>
      <c r="VGI65" s="950"/>
      <c r="VGJ65" s="950"/>
      <c r="VGK65" s="957"/>
      <c r="VGL65" s="950"/>
      <c r="VGM65" s="950"/>
      <c r="VGN65" s="653"/>
      <c r="VGO65" s="950"/>
      <c r="VGP65" s="951"/>
      <c r="VGQ65" s="952"/>
      <c r="VGR65" s="959"/>
      <c r="VGS65" s="953"/>
      <c r="VGT65" s="954"/>
      <c r="VGU65" s="955"/>
      <c r="VGV65" s="955"/>
      <c r="VGW65" s="820"/>
      <c r="VGX65" s="972"/>
      <c r="VGY65" s="955"/>
      <c r="VGZ65" s="950"/>
      <c r="VHA65" s="957"/>
      <c r="VHB65" s="950"/>
      <c r="VHC65" s="950"/>
      <c r="VHD65" s="957"/>
      <c r="VHE65" s="950"/>
      <c r="VHF65" s="950"/>
      <c r="VHG65" s="653"/>
      <c r="VHH65" s="950"/>
      <c r="VHI65" s="951"/>
      <c r="VHJ65" s="952"/>
      <c r="VHK65" s="959"/>
      <c r="VHL65" s="953"/>
      <c r="VHM65" s="954"/>
      <c r="VHN65" s="955"/>
      <c r="VHO65" s="955"/>
      <c r="VHP65" s="820"/>
      <c r="VHQ65" s="972"/>
      <c r="VHR65" s="955"/>
      <c r="VHS65" s="950"/>
      <c r="VHT65" s="957"/>
      <c r="VHU65" s="950"/>
      <c r="VHV65" s="950"/>
      <c r="VHW65" s="957"/>
      <c r="VHX65" s="950"/>
      <c r="VHY65" s="950"/>
      <c r="VHZ65" s="653"/>
      <c r="VIA65" s="950"/>
      <c r="VIB65" s="951"/>
      <c r="VIC65" s="952"/>
      <c r="VID65" s="959"/>
      <c r="VIE65" s="953"/>
      <c r="VIF65" s="954"/>
      <c r="VIG65" s="955"/>
      <c r="VIH65" s="955"/>
      <c r="VII65" s="820"/>
      <c r="VIJ65" s="972"/>
      <c r="VIK65" s="955"/>
      <c r="VIL65" s="950"/>
      <c r="VIM65" s="957"/>
      <c r="VIN65" s="950"/>
      <c r="VIO65" s="950"/>
      <c r="VIP65" s="957"/>
      <c r="VIQ65" s="950"/>
      <c r="VIR65" s="950"/>
      <c r="VIS65" s="653"/>
      <c r="VIT65" s="950"/>
      <c r="VIU65" s="951"/>
      <c r="VIV65" s="952"/>
      <c r="VIW65" s="959"/>
      <c r="VIX65" s="953"/>
      <c r="VIY65" s="954"/>
      <c r="VIZ65" s="955"/>
      <c r="VJA65" s="955"/>
      <c r="VJB65" s="820"/>
      <c r="VJC65" s="972"/>
      <c r="VJD65" s="955"/>
      <c r="VJE65" s="950"/>
      <c r="VJF65" s="957"/>
      <c r="VJG65" s="950"/>
      <c r="VJH65" s="950"/>
      <c r="VJI65" s="957"/>
      <c r="VJJ65" s="950"/>
      <c r="VJK65" s="950"/>
      <c r="VJL65" s="653"/>
      <c r="VJM65" s="950"/>
      <c r="VJN65" s="951"/>
      <c r="VJO65" s="952"/>
      <c r="VJP65" s="959"/>
      <c r="VJQ65" s="953"/>
      <c r="VJR65" s="954"/>
      <c r="VJS65" s="955"/>
      <c r="VJT65" s="955"/>
      <c r="VJU65" s="820"/>
      <c r="VJV65" s="972"/>
      <c r="VJW65" s="955"/>
      <c r="VJX65" s="950"/>
      <c r="VJY65" s="957"/>
      <c r="VJZ65" s="950"/>
      <c r="VKA65" s="950"/>
      <c r="VKB65" s="957"/>
      <c r="VKC65" s="950"/>
      <c r="VKD65" s="950"/>
      <c r="VKE65" s="653"/>
      <c r="VKF65" s="950"/>
      <c r="VKG65" s="951"/>
      <c r="VKH65" s="952"/>
      <c r="VKI65" s="959"/>
      <c r="VKJ65" s="953"/>
      <c r="VKK65" s="954"/>
      <c r="VKL65" s="955"/>
      <c r="VKM65" s="955"/>
      <c r="VKN65" s="820"/>
      <c r="VKO65" s="972"/>
      <c r="VKP65" s="955"/>
      <c r="VKQ65" s="950"/>
      <c r="VKR65" s="957"/>
      <c r="VKS65" s="950"/>
      <c r="VKT65" s="950"/>
      <c r="VKU65" s="957"/>
      <c r="VKV65" s="950"/>
      <c r="VKW65" s="950"/>
      <c r="VKX65" s="653"/>
      <c r="VKY65" s="950"/>
      <c r="VKZ65" s="951"/>
      <c r="VLA65" s="952"/>
      <c r="VLB65" s="959"/>
      <c r="VLC65" s="953"/>
      <c r="VLD65" s="954"/>
      <c r="VLE65" s="955"/>
      <c r="VLF65" s="955"/>
      <c r="VLG65" s="820"/>
      <c r="VLH65" s="972"/>
      <c r="VLI65" s="955"/>
      <c r="VLJ65" s="950"/>
      <c r="VLK65" s="957"/>
      <c r="VLL65" s="950"/>
      <c r="VLM65" s="950"/>
      <c r="VLN65" s="957"/>
      <c r="VLO65" s="950"/>
      <c r="VLP65" s="950"/>
      <c r="VLQ65" s="653"/>
      <c r="VLR65" s="950"/>
      <c r="VLS65" s="951"/>
      <c r="VLT65" s="952"/>
      <c r="VLU65" s="959"/>
      <c r="VLV65" s="953"/>
      <c r="VLW65" s="954"/>
      <c r="VLX65" s="955"/>
      <c r="VLY65" s="955"/>
      <c r="VLZ65" s="820"/>
      <c r="VMA65" s="972"/>
      <c r="VMB65" s="955"/>
      <c r="VMC65" s="950"/>
      <c r="VMD65" s="957"/>
      <c r="VME65" s="950"/>
      <c r="VMF65" s="950"/>
      <c r="VMG65" s="957"/>
      <c r="VMH65" s="950"/>
      <c r="VMI65" s="950"/>
      <c r="VMJ65" s="653"/>
      <c r="VMK65" s="950"/>
      <c r="VML65" s="951"/>
      <c r="VMM65" s="952"/>
      <c r="VMN65" s="959"/>
      <c r="VMO65" s="953"/>
      <c r="VMP65" s="954"/>
      <c r="VMQ65" s="955"/>
      <c r="VMR65" s="955"/>
      <c r="VMS65" s="820"/>
      <c r="VMT65" s="972"/>
      <c r="VMU65" s="955"/>
      <c r="VMV65" s="950"/>
      <c r="VMW65" s="957"/>
      <c r="VMX65" s="950"/>
      <c r="VMY65" s="950"/>
      <c r="VMZ65" s="957"/>
      <c r="VNA65" s="950"/>
      <c r="VNB65" s="950"/>
      <c r="VNC65" s="653"/>
      <c r="VND65" s="950"/>
      <c r="VNE65" s="951"/>
      <c r="VNF65" s="952"/>
      <c r="VNG65" s="959"/>
      <c r="VNH65" s="953"/>
      <c r="VNI65" s="954"/>
      <c r="VNJ65" s="955"/>
      <c r="VNK65" s="955"/>
      <c r="VNL65" s="820"/>
      <c r="VNM65" s="972"/>
      <c r="VNN65" s="955"/>
      <c r="VNO65" s="950"/>
      <c r="VNP65" s="957"/>
      <c r="VNQ65" s="950"/>
      <c r="VNR65" s="950"/>
      <c r="VNS65" s="957"/>
      <c r="VNT65" s="950"/>
      <c r="VNU65" s="950"/>
      <c r="VNV65" s="653"/>
      <c r="VNW65" s="950"/>
      <c r="VNX65" s="951"/>
      <c r="VNY65" s="952"/>
      <c r="VNZ65" s="959"/>
      <c r="VOA65" s="953"/>
      <c r="VOB65" s="954"/>
      <c r="VOC65" s="955"/>
      <c r="VOD65" s="955"/>
      <c r="VOE65" s="820"/>
      <c r="VOF65" s="972"/>
      <c r="VOG65" s="955"/>
      <c r="VOH65" s="950"/>
      <c r="VOI65" s="957"/>
      <c r="VOJ65" s="950"/>
      <c r="VOK65" s="950"/>
      <c r="VOL65" s="957"/>
      <c r="VOM65" s="950"/>
      <c r="VON65" s="950"/>
      <c r="VOO65" s="653"/>
      <c r="VOP65" s="950"/>
      <c r="VOQ65" s="951"/>
      <c r="VOR65" s="952"/>
      <c r="VOS65" s="959"/>
      <c r="VOT65" s="953"/>
      <c r="VOU65" s="954"/>
      <c r="VOV65" s="955"/>
      <c r="VOW65" s="955"/>
      <c r="VOX65" s="820"/>
      <c r="VOY65" s="972"/>
      <c r="VOZ65" s="955"/>
      <c r="VPA65" s="950"/>
      <c r="VPB65" s="957"/>
      <c r="VPC65" s="950"/>
      <c r="VPD65" s="950"/>
      <c r="VPE65" s="957"/>
      <c r="VPF65" s="950"/>
      <c r="VPG65" s="950"/>
      <c r="VPH65" s="653"/>
      <c r="VPI65" s="950"/>
      <c r="VPJ65" s="951"/>
      <c r="VPK65" s="952"/>
      <c r="VPL65" s="959"/>
      <c r="VPM65" s="953"/>
      <c r="VPN65" s="954"/>
      <c r="VPO65" s="955"/>
      <c r="VPP65" s="955"/>
      <c r="VPQ65" s="820"/>
      <c r="VPR65" s="972"/>
      <c r="VPS65" s="955"/>
      <c r="VPT65" s="950"/>
      <c r="VPU65" s="957"/>
      <c r="VPV65" s="950"/>
      <c r="VPW65" s="950"/>
      <c r="VPX65" s="957"/>
      <c r="VPY65" s="950"/>
      <c r="VPZ65" s="950"/>
      <c r="VQA65" s="653"/>
      <c r="VQB65" s="950"/>
      <c r="VQC65" s="951"/>
      <c r="VQD65" s="952"/>
      <c r="VQE65" s="959"/>
      <c r="VQF65" s="953"/>
      <c r="VQG65" s="954"/>
      <c r="VQH65" s="955"/>
      <c r="VQI65" s="955"/>
      <c r="VQJ65" s="820"/>
      <c r="VQK65" s="972"/>
      <c r="VQL65" s="955"/>
      <c r="VQM65" s="950"/>
      <c r="VQN65" s="957"/>
      <c r="VQO65" s="950"/>
      <c r="VQP65" s="950"/>
      <c r="VQQ65" s="957"/>
      <c r="VQR65" s="950"/>
      <c r="VQS65" s="950"/>
      <c r="VQT65" s="653"/>
      <c r="VQU65" s="950"/>
      <c r="VQV65" s="951"/>
      <c r="VQW65" s="952"/>
      <c r="VQX65" s="959"/>
      <c r="VQY65" s="953"/>
      <c r="VQZ65" s="954"/>
      <c r="VRA65" s="955"/>
      <c r="VRB65" s="955"/>
      <c r="VRC65" s="820"/>
      <c r="VRD65" s="972"/>
      <c r="VRE65" s="955"/>
      <c r="VRF65" s="950"/>
      <c r="VRG65" s="957"/>
      <c r="VRH65" s="950"/>
      <c r="VRI65" s="950"/>
      <c r="VRJ65" s="957"/>
      <c r="VRK65" s="950"/>
      <c r="VRL65" s="950"/>
      <c r="VRM65" s="653"/>
      <c r="VRN65" s="950"/>
      <c r="VRO65" s="951"/>
      <c r="VRP65" s="952"/>
      <c r="VRQ65" s="959"/>
      <c r="VRR65" s="953"/>
      <c r="VRS65" s="954"/>
      <c r="VRT65" s="955"/>
      <c r="VRU65" s="955"/>
      <c r="VRV65" s="820"/>
      <c r="VRW65" s="972"/>
      <c r="VRX65" s="955"/>
      <c r="VRY65" s="950"/>
      <c r="VRZ65" s="957"/>
      <c r="VSA65" s="950"/>
      <c r="VSB65" s="950"/>
      <c r="VSC65" s="957"/>
      <c r="VSD65" s="950"/>
      <c r="VSE65" s="950"/>
      <c r="VSF65" s="653"/>
      <c r="VSG65" s="950"/>
      <c r="VSH65" s="951"/>
      <c r="VSI65" s="952"/>
      <c r="VSJ65" s="959"/>
      <c r="VSK65" s="953"/>
      <c r="VSL65" s="954"/>
      <c r="VSM65" s="955"/>
      <c r="VSN65" s="955"/>
      <c r="VSO65" s="820"/>
      <c r="VSP65" s="972"/>
      <c r="VSQ65" s="955"/>
      <c r="VSR65" s="950"/>
      <c r="VSS65" s="957"/>
      <c r="VST65" s="950"/>
      <c r="VSU65" s="950"/>
      <c r="VSV65" s="957"/>
      <c r="VSW65" s="950"/>
      <c r="VSX65" s="950"/>
      <c r="VSY65" s="653"/>
      <c r="VSZ65" s="950"/>
      <c r="VTA65" s="951"/>
      <c r="VTB65" s="952"/>
      <c r="VTC65" s="959"/>
      <c r="VTD65" s="953"/>
      <c r="VTE65" s="954"/>
      <c r="VTF65" s="955"/>
      <c r="VTG65" s="955"/>
      <c r="VTH65" s="820"/>
      <c r="VTI65" s="972"/>
      <c r="VTJ65" s="955"/>
      <c r="VTK65" s="950"/>
      <c r="VTL65" s="957"/>
      <c r="VTM65" s="950"/>
      <c r="VTN65" s="950"/>
      <c r="VTO65" s="957"/>
      <c r="VTP65" s="950"/>
      <c r="VTQ65" s="950"/>
      <c r="VTR65" s="653"/>
      <c r="VTS65" s="950"/>
      <c r="VTT65" s="951"/>
      <c r="VTU65" s="952"/>
      <c r="VTV65" s="959"/>
      <c r="VTW65" s="953"/>
      <c r="VTX65" s="954"/>
      <c r="VTY65" s="955"/>
      <c r="VTZ65" s="955"/>
      <c r="VUA65" s="820"/>
      <c r="VUB65" s="972"/>
      <c r="VUC65" s="955"/>
      <c r="VUD65" s="950"/>
      <c r="VUE65" s="957"/>
      <c r="VUF65" s="950"/>
      <c r="VUG65" s="950"/>
      <c r="VUH65" s="957"/>
      <c r="VUI65" s="950"/>
      <c r="VUJ65" s="950"/>
      <c r="VUK65" s="653"/>
      <c r="VUL65" s="950"/>
      <c r="VUM65" s="951"/>
      <c r="VUN65" s="952"/>
      <c r="VUO65" s="959"/>
      <c r="VUP65" s="953"/>
      <c r="VUQ65" s="954"/>
      <c r="VUR65" s="955"/>
      <c r="VUS65" s="955"/>
      <c r="VUT65" s="820"/>
      <c r="VUU65" s="972"/>
      <c r="VUV65" s="955"/>
      <c r="VUW65" s="950"/>
      <c r="VUX65" s="957"/>
      <c r="VUY65" s="950"/>
      <c r="VUZ65" s="950"/>
      <c r="VVA65" s="957"/>
      <c r="VVB65" s="950"/>
      <c r="VVC65" s="950"/>
      <c r="VVD65" s="653"/>
      <c r="VVE65" s="950"/>
      <c r="VVF65" s="951"/>
      <c r="VVG65" s="952"/>
      <c r="VVH65" s="959"/>
      <c r="VVI65" s="953"/>
      <c r="VVJ65" s="954"/>
      <c r="VVK65" s="955"/>
      <c r="VVL65" s="955"/>
      <c r="VVM65" s="820"/>
      <c r="VVN65" s="972"/>
      <c r="VVO65" s="955"/>
      <c r="VVP65" s="950"/>
      <c r="VVQ65" s="957"/>
      <c r="VVR65" s="950"/>
      <c r="VVS65" s="950"/>
      <c r="VVT65" s="957"/>
      <c r="VVU65" s="950"/>
      <c r="VVV65" s="950"/>
      <c r="VVW65" s="653"/>
      <c r="VVX65" s="950"/>
      <c r="VVY65" s="951"/>
      <c r="VVZ65" s="952"/>
      <c r="VWA65" s="959"/>
      <c r="VWB65" s="953"/>
      <c r="VWC65" s="954"/>
      <c r="VWD65" s="955"/>
      <c r="VWE65" s="955"/>
      <c r="VWF65" s="820"/>
      <c r="VWG65" s="972"/>
      <c r="VWH65" s="955"/>
      <c r="VWI65" s="950"/>
      <c r="VWJ65" s="957"/>
      <c r="VWK65" s="950"/>
      <c r="VWL65" s="950"/>
      <c r="VWM65" s="957"/>
      <c r="VWN65" s="950"/>
      <c r="VWO65" s="950"/>
      <c r="VWP65" s="653"/>
      <c r="VWQ65" s="950"/>
      <c r="VWR65" s="951"/>
      <c r="VWS65" s="952"/>
      <c r="VWT65" s="959"/>
      <c r="VWU65" s="953"/>
      <c r="VWV65" s="954"/>
      <c r="VWW65" s="955"/>
      <c r="VWX65" s="955"/>
      <c r="VWY65" s="820"/>
      <c r="VWZ65" s="972"/>
      <c r="VXA65" s="955"/>
      <c r="VXB65" s="950"/>
      <c r="VXC65" s="957"/>
      <c r="VXD65" s="950"/>
      <c r="VXE65" s="950"/>
      <c r="VXF65" s="957"/>
      <c r="VXG65" s="950"/>
      <c r="VXH65" s="950"/>
      <c r="VXI65" s="653"/>
      <c r="VXJ65" s="950"/>
      <c r="VXK65" s="951"/>
      <c r="VXL65" s="952"/>
      <c r="VXM65" s="959"/>
      <c r="VXN65" s="953"/>
      <c r="VXO65" s="954"/>
      <c r="VXP65" s="955"/>
      <c r="VXQ65" s="955"/>
      <c r="VXR65" s="820"/>
      <c r="VXS65" s="972"/>
      <c r="VXT65" s="955"/>
      <c r="VXU65" s="950"/>
      <c r="VXV65" s="957"/>
      <c r="VXW65" s="950"/>
      <c r="VXX65" s="950"/>
      <c r="VXY65" s="957"/>
      <c r="VXZ65" s="950"/>
      <c r="VYA65" s="950"/>
      <c r="VYB65" s="653"/>
      <c r="VYC65" s="950"/>
      <c r="VYD65" s="951"/>
      <c r="VYE65" s="952"/>
      <c r="VYF65" s="959"/>
      <c r="VYG65" s="953"/>
      <c r="VYH65" s="954"/>
      <c r="VYI65" s="955"/>
      <c r="VYJ65" s="955"/>
      <c r="VYK65" s="820"/>
      <c r="VYL65" s="972"/>
      <c r="VYM65" s="955"/>
      <c r="VYN65" s="950"/>
      <c r="VYO65" s="957"/>
      <c r="VYP65" s="950"/>
      <c r="VYQ65" s="950"/>
      <c r="VYR65" s="957"/>
      <c r="VYS65" s="950"/>
      <c r="VYT65" s="950"/>
      <c r="VYU65" s="653"/>
      <c r="VYV65" s="950"/>
      <c r="VYW65" s="951"/>
      <c r="VYX65" s="952"/>
      <c r="VYY65" s="959"/>
      <c r="VYZ65" s="953"/>
      <c r="VZA65" s="954"/>
      <c r="VZB65" s="955"/>
      <c r="VZC65" s="955"/>
      <c r="VZD65" s="820"/>
      <c r="VZE65" s="972"/>
      <c r="VZF65" s="955"/>
      <c r="VZG65" s="950"/>
      <c r="VZH65" s="957"/>
      <c r="VZI65" s="950"/>
      <c r="VZJ65" s="950"/>
      <c r="VZK65" s="957"/>
      <c r="VZL65" s="950"/>
      <c r="VZM65" s="950"/>
      <c r="VZN65" s="653"/>
      <c r="VZO65" s="950"/>
      <c r="VZP65" s="951"/>
      <c r="VZQ65" s="952"/>
      <c r="VZR65" s="959"/>
      <c r="VZS65" s="953"/>
      <c r="VZT65" s="954"/>
      <c r="VZU65" s="955"/>
      <c r="VZV65" s="955"/>
      <c r="VZW65" s="820"/>
      <c r="VZX65" s="972"/>
      <c r="VZY65" s="955"/>
      <c r="VZZ65" s="950"/>
      <c r="WAA65" s="957"/>
      <c r="WAB65" s="950"/>
      <c r="WAC65" s="950"/>
      <c r="WAD65" s="957"/>
      <c r="WAE65" s="950"/>
      <c r="WAF65" s="950"/>
      <c r="WAG65" s="653"/>
      <c r="WAH65" s="950"/>
      <c r="WAI65" s="951"/>
      <c r="WAJ65" s="952"/>
      <c r="WAK65" s="959"/>
      <c r="WAL65" s="953"/>
      <c r="WAM65" s="954"/>
      <c r="WAN65" s="955"/>
      <c r="WAO65" s="955"/>
      <c r="WAP65" s="820"/>
      <c r="WAQ65" s="972"/>
      <c r="WAR65" s="955"/>
      <c r="WAS65" s="950"/>
      <c r="WAT65" s="957"/>
      <c r="WAU65" s="950"/>
      <c r="WAV65" s="950"/>
      <c r="WAW65" s="957"/>
      <c r="WAX65" s="950"/>
      <c r="WAY65" s="950"/>
      <c r="WAZ65" s="653"/>
      <c r="WBA65" s="950"/>
      <c r="WBB65" s="951"/>
      <c r="WBC65" s="952"/>
      <c r="WBD65" s="959"/>
      <c r="WBE65" s="953"/>
      <c r="WBF65" s="954"/>
      <c r="WBG65" s="955"/>
      <c r="WBH65" s="955"/>
      <c r="WBI65" s="820"/>
      <c r="WBJ65" s="972"/>
      <c r="WBK65" s="955"/>
      <c r="WBL65" s="950"/>
      <c r="WBM65" s="957"/>
      <c r="WBN65" s="950"/>
      <c r="WBO65" s="950"/>
      <c r="WBP65" s="957"/>
      <c r="WBQ65" s="950"/>
      <c r="WBR65" s="950"/>
      <c r="WBS65" s="653"/>
      <c r="WBT65" s="950"/>
      <c r="WBU65" s="951"/>
      <c r="WBV65" s="952"/>
      <c r="WBW65" s="959"/>
      <c r="WBX65" s="953"/>
      <c r="WBY65" s="954"/>
      <c r="WBZ65" s="955"/>
      <c r="WCA65" s="955"/>
      <c r="WCB65" s="820"/>
      <c r="WCC65" s="972"/>
      <c r="WCD65" s="955"/>
      <c r="WCE65" s="950"/>
      <c r="WCF65" s="957"/>
      <c r="WCG65" s="950"/>
      <c r="WCH65" s="950"/>
      <c r="WCI65" s="957"/>
      <c r="WCJ65" s="950"/>
      <c r="WCK65" s="950"/>
      <c r="WCL65" s="653"/>
      <c r="WCM65" s="950"/>
      <c r="WCN65" s="951"/>
      <c r="WCO65" s="952"/>
      <c r="WCP65" s="959"/>
      <c r="WCQ65" s="953"/>
      <c r="WCR65" s="954"/>
      <c r="WCS65" s="955"/>
      <c r="WCT65" s="955"/>
      <c r="WCU65" s="820"/>
      <c r="WCV65" s="972"/>
      <c r="WCW65" s="955"/>
      <c r="WCX65" s="950"/>
      <c r="WCY65" s="957"/>
      <c r="WCZ65" s="950"/>
      <c r="WDA65" s="950"/>
      <c r="WDB65" s="957"/>
      <c r="WDC65" s="950"/>
      <c r="WDD65" s="950"/>
      <c r="WDE65" s="653"/>
      <c r="WDF65" s="950"/>
      <c r="WDG65" s="951"/>
      <c r="WDH65" s="952"/>
      <c r="WDI65" s="959"/>
      <c r="WDJ65" s="953"/>
      <c r="WDK65" s="954"/>
      <c r="WDL65" s="955"/>
      <c r="WDM65" s="955"/>
      <c r="WDN65" s="820"/>
      <c r="WDO65" s="972"/>
      <c r="WDP65" s="955"/>
      <c r="WDQ65" s="950"/>
      <c r="WDR65" s="957"/>
      <c r="WDS65" s="950"/>
      <c r="WDT65" s="950"/>
      <c r="WDU65" s="957"/>
      <c r="WDV65" s="950"/>
      <c r="WDW65" s="950"/>
      <c r="WDX65" s="653"/>
      <c r="WDY65" s="950"/>
      <c r="WDZ65" s="951"/>
      <c r="WEA65" s="952"/>
      <c r="WEB65" s="959"/>
      <c r="WEC65" s="953"/>
      <c r="WED65" s="954"/>
      <c r="WEE65" s="955"/>
      <c r="WEF65" s="955"/>
      <c r="WEG65" s="820"/>
      <c r="WEH65" s="972"/>
      <c r="WEI65" s="955"/>
      <c r="WEJ65" s="950"/>
      <c r="WEK65" s="957"/>
      <c r="WEL65" s="950"/>
      <c r="WEM65" s="950"/>
      <c r="WEN65" s="957"/>
      <c r="WEO65" s="950"/>
      <c r="WEP65" s="950"/>
      <c r="WEQ65" s="653"/>
      <c r="WER65" s="950"/>
      <c r="WES65" s="951"/>
      <c r="WET65" s="952"/>
      <c r="WEU65" s="959"/>
      <c r="WEV65" s="953"/>
      <c r="WEW65" s="954"/>
      <c r="WEX65" s="955"/>
      <c r="WEY65" s="955"/>
      <c r="WEZ65" s="820"/>
      <c r="WFA65" s="972"/>
      <c r="WFB65" s="955"/>
      <c r="WFC65" s="950"/>
      <c r="WFD65" s="957"/>
      <c r="WFE65" s="950"/>
      <c r="WFF65" s="950"/>
      <c r="WFG65" s="957"/>
      <c r="WFH65" s="950"/>
      <c r="WFI65" s="950"/>
      <c r="WFJ65" s="653"/>
      <c r="WFK65" s="950"/>
      <c r="WFL65" s="951"/>
      <c r="WFM65" s="952"/>
      <c r="WFN65" s="959"/>
      <c r="WFO65" s="953"/>
      <c r="WFP65" s="954"/>
      <c r="WFQ65" s="955"/>
      <c r="WFR65" s="955"/>
      <c r="WFS65" s="820"/>
      <c r="WFT65" s="972"/>
      <c r="WFU65" s="955"/>
      <c r="WFV65" s="950"/>
      <c r="WFW65" s="957"/>
      <c r="WFX65" s="950"/>
      <c r="WFY65" s="950"/>
      <c r="WFZ65" s="957"/>
      <c r="WGA65" s="950"/>
      <c r="WGB65" s="950"/>
      <c r="WGC65" s="653"/>
      <c r="WGD65" s="950"/>
      <c r="WGE65" s="951"/>
      <c r="WGF65" s="952"/>
      <c r="WGG65" s="959"/>
      <c r="WGH65" s="953"/>
      <c r="WGI65" s="954"/>
      <c r="WGJ65" s="955"/>
      <c r="WGK65" s="955"/>
      <c r="WGL65" s="820"/>
      <c r="WGM65" s="972"/>
      <c r="WGN65" s="955"/>
      <c r="WGO65" s="950"/>
      <c r="WGP65" s="957"/>
      <c r="WGQ65" s="950"/>
      <c r="WGR65" s="950"/>
      <c r="WGS65" s="957"/>
      <c r="WGT65" s="950"/>
      <c r="WGU65" s="950"/>
      <c r="WGV65" s="653"/>
      <c r="WGW65" s="950"/>
      <c r="WGX65" s="951"/>
      <c r="WGY65" s="952"/>
      <c r="WGZ65" s="959"/>
      <c r="WHA65" s="953"/>
      <c r="WHB65" s="954"/>
      <c r="WHC65" s="955"/>
      <c r="WHD65" s="955"/>
      <c r="WHE65" s="820"/>
      <c r="WHF65" s="972"/>
      <c r="WHG65" s="955"/>
      <c r="WHH65" s="950"/>
      <c r="WHI65" s="957"/>
      <c r="WHJ65" s="950"/>
      <c r="WHK65" s="950"/>
      <c r="WHL65" s="957"/>
      <c r="WHM65" s="950"/>
      <c r="WHN65" s="950"/>
      <c r="WHO65" s="653"/>
      <c r="WHP65" s="950"/>
      <c r="WHQ65" s="951"/>
      <c r="WHR65" s="952"/>
      <c r="WHS65" s="959"/>
      <c r="WHT65" s="953"/>
      <c r="WHU65" s="954"/>
      <c r="WHV65" s="955"/>
      <c r="WHW65" s="955"/>
      <c r="WHX65" s="820"/>
      <c r="WHY65" s="972"/>
      <c r="WHZ65" s="955"/>
      <c r="WIA65" s="950"/>
      <c r="WIB65" s="957"/>
      <c r="WIC65" s="950"/>
      <c r="WID65" s="950"/>
      <c r="WIE65" s="957"/>
      <c r="WIF65" s="950"/>
      <c r="WIG65" s="950"/>
      <c r="WIH65" s="653"/>
      <c r="WII65" s="950"/>
      <c r="WIJ65" s="951"/>
      <c r="WIK65" s="952"/>
      <c r="WIL65" s="959"/>
      <c r="WIM65" s="953"/>
      <c r="WIN65" s="954"/>
      <c r="WIO65" s="955"/>
      <c r="WIP65" s="955"/>
      <c r="WIQ65" s="820"/>
      <c r="WIR65" s="972"/>
      <c r="WIS65" s="955"/>
      <c r="WIT65" s="950"/>
      <c r="WIU65" s="957"/>
      <c r="WIV65" s="950"/>
      <c r="WIW65" s="950"/>
      <c r="WIX65" s="957"/>
      <c r="WIY65" s="950"/>
      <c r="WIZ65" s="950"/>
      <c r="WJA65" s="653"/>
      <c r="WJB65" s="950"/>
      <c r="WJC65" s="951"/>
      <c r="WJD65" s="952"/>
      <c r="WJE65" s="959"/>
      <c r="WJF65" s="953"/>
      <c r="WJG65" s="954"/>
      <c r="WJH65" s="955"/>
      <c r="WJI65" s="955"/>
      <c r="WJJ65" s="820"/>
      <c r="WJK65" s="972"/>
      <c r="WJL65" s="955"/>
      <c r="WJM65" s="950"/>
      <c r="WJN65" s="957"/>
      <c r="WJO65" s="950"/>
      <c r="WJP65" s="950"/>
      <c r="WJQ65" s="957"/>
      <c r="WJR65" s="950"/>
      <c r="WJS65" s="950"/>
      <c r="WJT65" s="653"/>
      <c r="WJU65" s="950"/>
      <c r="WJV65" s="951"/>
      <c r="WJW65" s="952"/>
      <c r="WJX65" s="959"/>
      <c r="WJY65" s="953"/>
      <c r="WJZ65" s="954"/>
      <c r="WKA65" s="955"/>
      <c r="WKB65" s="955"/>
      <c r="WKC65" s="820"/>
      <c r="WKD65" s="972"/>
      <c r="WKE65" s="955"/>
      <c r="WKF65" s="950"/>
      <c r="WKG65" s="957"/>
      <c r="WKH65" s="950"/>
      <c r="WKI65" s="950"/>
      <c r="WKJ65" s="957"/>
      <c r="WKK65" s="950"/>
      <c r="WKL65" s="950"/>
      <c r="WKM65" s="653"/>
      <c r="WKN65" s="950"/>
      <c r="WKO65" s="951"/>
      <c r="WKP65" s="952"/>
      <c r="WKQ65" s="959"/>
      <c r="WKR65" s="953"/>
      <c r="WKS65" s="954"/>
      <c r="WKT65" s="955"/>
      <c r="WKU65" s="955"/>
      <c r="WKV65" s="820"/>
      <c r="WKW65" s="972"/>
      <c r="WKX65" s="955"/>
      <c r="WKY65" s="950"/>
      <c r="WKZ65" s="957"/>
      <c r="WLA65" s="950"/>
      <c r="WLB65" s="950"/>
      <c r="WLC65" s="957"/>
      <c r="WLD65" s="950"/>
      <c r="WLE65" s="950"/>
      <c r="WLF65" s="653"/>
      <c r="WLG65" s="950"/>
      <c r="WLH65" s="951"/>
      <c r="WLI65" s="952"/>
      <c r="WLJ65" s="959"/>
      <c r="WLK65" s="953"/>
      <c r="WLL65" s="954"/>
      <c r="WLM65" s="955"/>
      <c r="WLN65" s="955"/>
      <c r="WLO65" s="820"/>
      <c r="WLP65" s="972"/>
      <c r="WLQ65" s="955"/>
      <c r="WLR65" s="950"/>
      <c r="WLS65" s="957"/>
      <c r="WLT65" s="950"/>
      <c r="WLU65" s="950"/>
      <c r="WLV65" s="957"/>
      <c r="WLW65" s="950"/>
      <c r="WLX65" s="950"/>
      <c r="WLY65" s="653"/>
      <c r="WLZ65" s="950"/>
      <c r="WMA65" s="951"/>
      <c r="WMB65" s="952"/>
      <c r="WMC65" s="959"/>
      <c r="WMD65" s="953"/>
      <c r="WME65" s="954"/>
      <c r="WMF65" s="955"/>
      <c r="WMG65" s="955"/>
      <c r="WMH65" s="820"/>
      <c r="WMI65" s="972"/>
      <c r="WMJ65" s="955"/>
      <c r="WMK65" s="950"/>
      <c r="WML65" s="957"/>
      <c r="WMM65" s="950"/>
      <c r="WMN65" s="950"/>
      <c r="WMO65" s="957"/>
      <c r="WMP65" s="950"/>
      <c r="WMQ65" s="950"/>
      <c r="WMR65" s="653"/>
      <c r="WMS65" s="950"/>
      <c r="WMT65" s="951"/>
      <c r="WMU65" s="952"/>
      <c r="WMV65" s="959"/>
      <c r="WMW65" s="953"/>
      <c r="WMX65" s="954"/>
      <c r="WMY65" s="955"/>
      <c r="WMZ65" s="955"/>
      <c r="WNA65" s="820"/>
      <c r="WNB65" s="972"/>
      <c r="WNC65" s="955"/>
      <c r="WND65" s="950"/>
      <c r="WNE65" s="957"/>
      <c r="WNF65" s="950"/>
      <c r="WNG65" s="950"/>
      <c r="WNH65" s="957"/>
      <c r="WNI65" s="950"/>
      <c r="WNJ65" s="950"/>
      <c r="WNK65" s="653"/>
      <c r="WNL65" s="950"/>
      <c r="WNM65" s="951"/>
      <c r="WNN65" s="952"/>
      <c r="WNO65" s="959"/>
      <c r="WNP65" s="953"/>
      <c r="WNQ65" s="954"/>
      <c r="WNR65" s="955"/>
      <c r="WNS65" s="955"/>
      <c r="WNT65" s="820"/>
      <c r="WNU65" s="972"/>
      <c r="WNV65" s="955"/>
      <c r="WNW65" s="950"/>
      <c r="WNX65" s="957"/>
      <c r="WNY65" s="950"/>
      <c r="WNZ65" s="950"/>
      <c r="WOA65" s="957"/>
      <c r="WOB65" s="950"/>
      <c r="WOC65" s="950"/>
      <c r="WOD65" s="653"/>
      <c r="WOE65" s="950"/>
      <c r="WOF65" s="951"/>
      <c r="WOG65" s="952"/>
      <c r="WOH65" s="959"/>
      <c r="WOI65" s="953"/>
      <c r="WOJ65" s="954"/>
      <c r="WOK65" s="955"/>
      <c r="WOL65" s="955"/>
      <c r="WOM65" s="820"/>
      <c r="WON65" s="972"/>
      <c r="WOO65" s="955"/>
      <c r="WOP65" s="950"/>
      <c r="WOQ65" s="957"/>
      <c r="WOR65" s="950"/>
      <c r="WOS65" s="950"/>
      <c r="WOT65" s="957"/>
      <c r="WOU65" s="950"/>
      <c r="WOV65" s="950"/>
      <c r="WOW65" s="653"/>
      <c r="WOX65" s="950"/>
      <c r="WOY65" s="951"/>
      <c r="WOZ65" s="952"/>
      <c r="WPA65" s="959"/>
      <c r="WPB65" s="953"/>
      <c r="WPC65" s="954"/>
      <c r="WPD65" s="955"/>
      <c r="WPE65" s="955"/>
      <c r="WPF65" s="820"/>
      <c r="WPG65" s="972"/>
      <c r="WPH65" s="955"/>
      <c r="WPI65" s="950"/>
      <c r="WPJ65" s="957"/>
      <c r="WPK65" s="950"/>
      <c r="WPL65" s="950"/>
      <c r="WPM65" s="957"/>
      <c r="WPN65" s="950"/>
      <c r="WPO65" s="950"/>
      <c r="WPP65" s="653"/>
      <c r="WPQ65" s="950"/>
      <c r="WPR65" s="951"/>
      <c r="WPS65" s="952"/>
      <c r="WPT65" s="959"/>
      <c r="WPU65" s="953"/>
      <c r="WPV65" s="954"/>
      <c r="WPW65" s="955"/>
      <c r="WPX65" s="955"/>
      <c r="WPY65" s="820"/>
      <c r="WPZ65" s="972"/>
      <c r="WQA65" s="955"/>
      <c r="WQB65" s="950"/>
      <c r="WQC65" s="957"/>
      <c r="WQD65" s="950"/>
      <c r="WQE65" s="950"/>
      <c r="WQF65" s="957"/>
      <c r="WQG65" s="950"/>
      <c r="WQH65" s="950"/>
      <c r="WQI65" s="653"/>
      <c r="WQJ65" s="950"/>
      <c r="WQK65" s="951"/>
      <c r="WQL65" s="952"/>
      <c r="WQM65" s="959"/>
      <c r="WQN65" s="953"/>
      <c r="WQO65" s="954"/>
      <c r="WQP65" s="955"/>
      <c r="WQQ65" s="955"/>
      <c r="WQR65" s="820"/>
      <c r="WQS65" s="972"/>
      <c r="WQT65" s="955"/>
      <c r="WQU65" s="950"/>
      <c r="WQV65" s="957"/>
      <c r="WQW65" s="950"/>
      <c r="WQX65" s="950"/>
      <c r="WQY65" s="957"/>
      <c r="WQZ65" s="950"/>
      <c r="WRA65" s="950"/>
      <c r="WRB65" s="653"/>
      <c r="WRC65" s="950"/>
      <c r="WRD65" s="951"/>
      <c r="WRE65" s="952"/>
      <c r="WRF65" s="959"/>
      <c r="WRG65" s="953"/>
      <c r="WRH65" s="954"/>
      <c r="WRI65" s="955"/>
      <c r="WRJ65" s="955"/>
      <c r="WRK65" s="820"/>
      <c r="WRL65" s="972"/>
      <c r="WRM65" s="955"/>
      <c r="WRN65" s="950"/>
      <c r="WRO65" s="957"/>
      <c r="WRP65" s="950"/>
      <c r="WRQ65" s="950"/>
      <c r="WRR65" s="957"/>
      <c r="WRS65" s="950"/>
      <c r="WRT65" s="950"/>
      <c r="WRU65" s="653"/>
      <c r="WRV65" s="950"/>
      <c r="WRW65" s="951"/>
      <c r="WRX65" s="952"/>
      <c r="WRY65" s="959"/>
      <c r="WRZ65" s="953"/>
      <c r="WSA65" s="954"/>
      <c r="WSB65" s="955"/>
      <c r="WSC65" s="955"/>
      <c r="WSD65" s="820"/>
      <c r="WSE65" s="972"/>
      <c r="WSF65" s="955"/>
      <c r="WSG65" s="950"/>
      <c r="WSH65" s="957"/>
      <c r="WSI65" s="950"/>
      <c r="WSJ65" s="950"/>
      <c r="WSK65" s="957"/>
      <c r="WSL65" s="950"/>
      <c r="WSM65" s="950"/>
      <c r="WSN65" s="653"/>
      <c r="WSO65" s="950"/>
      <c r="WSP65" s="951"/>
      <c r="WSQ65" s="952"/>
      <c r="WSR65" s="959"/>
      <c r="WSS65" s="953"/>
      <c r="WST65" s="954"/>
      <c r="WSU65" s="955"/>
      <c r="WSV65" s="955"/>
      <c r="WSW65" s="820"/>
      <c r="WSX65" s="972"/>
      <c r="WSY65" s="955"/>
      <c r="WSZ65" s="950"/>
      <c r="WTA65" s="957"/>
      <c r="WTB65" s="950"/>
      <c r="WTC65" s="950"/>
      <c r="WTD65" s="957"/>
      <c r="WTE65" s="950"/>
      <c r="WTF65" s="950"/>
      <c r="WTG65" s="653"/>
      <c r="WTH65" s="950"/>
      <c r="WTI65" s="951"/>
      <c r="WTJ65" s="952"/>
      <c r="WTK65" s="959"/>
      <c r="WTL65" s="953"/>
      <c r="WTM65" s="954"/>
      <c r="WTN65" s="955"/>
      <c r="WTO65" s="955"/>
      <c r="WTP65" s="820"/>
      <c r="WTQ65" s="972"/>
      <c r="WTR65" s="955"/>
      <c r="WTS65" s="950"/>
      <c r="WTT65" s="957"/>
      <c r="WTU65" s="950"/>
      <c r="WTV65" s="950"/>
      <c r="WTW65" s="957"/>
      <c r="WTX65" s="950"/>
      <c r="WTY65" s="950"/>
      <c r="WTZ65" s="653"/>
      <c r="WUA65" s="950"/>
      <c r="WUB65" s="951"/>
      <c r="WUC65" s="952"/>
      <c r="WUD65" s="959"/>
      <c r="WUE65" s="953"/>
      <c r="WUF65" s="954"/>
      <c r="WUG65" s="955"/>
      <c r="WUH65" s="955"/>
      <c r="WUI65" s="820"/>
      <c r="WUJ65" s="972"/>
      <c r="WUK65" s="955"/>
      <c r="WUL65" s="950"/>
      <c r="WUM65" s="957"/>
      <c r="WUN65" s="950"/>
      <c r="WUO65" s="950"/>
      <c r="WUP65" s="957"/>
      <c r="WUQ65" s="950"/>
      <c r="WUR65" s="950"/>
      <c r="WUS65" s="653"/>
      <c r="WUT65" s="950"/>
      <c r="WUU65" s="951"/>
      <c r="WUV65" s="952"/>
      <c r="WUW65" s="959"/>
      <c r="WUX65" s="953"/>
      <c r="WUY65" s="954"/>
      <c r="WUZ65" s="955"/>
      <c r="WVA65" s="955"/>
      <c r="WVB65" s="820"/>
      <c r="WVC65" s="972"/>
      <c r="WVD65" s="955"/>
      <c r="WVE65" s="950"/>
      <c r="WVF65" s="957"/>
      <c r="WVG65" s="950"/>
      <c r="WVH65" s="950"/>
      <c r="WVI65" s="957"/>
      <c r="WVJ65" s="950"/>
      <c r="WVK65" s="950"/>
      <c r="WVL65" s="653"/>
      <c r="WVM65" s="950"/>
      <c r="WVN65" s="951"/>
      <c r="WVO65" s="952"/>
      <c r="WVP65" s="959"/>
      <c r="WVQ65" s="953"/>
      <c r="WVR65" s="954"/>
      <c r="WVS65" s="955"/>
      <c r="WVT65" s="955"/>
      <c r="WVU65" s="820"/>
      <c r="WVV65" s="972"/>
      <c r="WVW65" s="955"/>
      <c r="WVX65" s="950"/>
      <c r="WVY65" s="957"/>
      <c r="WVZ65" s="950"/>
      <c r="WWA65" s="950"/>
      <c r="WWB65" s="957"/>
      <c r="WWC65" s="950"/>
      <c r="WWD65" s="950"/>
      <c r="WWE65" s="653"/>
      <c r="WWF65" s="950"/>
      <c r="WWG65" s="951"/>
      <c r="WWH65" s="952"/>
      <c r="WWI65" s="959"/>
      <c r="WWJ65" s="953"/>
      <c r="WWK65" s="954"/>
      <c r="WWL65" s="955"/>
      <c r="WWM65" s="955"/>
      <c r="WWN65" s="820"/>
      <c r="WWO65" s="972"/>
      <c r="WWP65" s="955"/>
      <c r="WWQ65" s="950"/>
      <c r="WWR65" s="957"/>
      <c r="WWS65" s="950"/>
      <c r="WWT65" s="950"/>
      <c r="WWU65" s="957"/>
      <c r="WWV65" s="950"/>
      <c r="WWW65" s="950"/>
      <c r="WWX65" s="653"/>
      <c r="WWY65" s="950"/>
      <c r="WWZ65" s="951"/>
      <c r="WXA65" s="952"/>
      <c r="WXB65" s="959"/>
      <c r="WXC65" s="953"/>
      <c r="WXD65" s="954"/>
      <c r="WXE65" s="955"/>
      <c r="WXF65" s="955"/>
      <c r="WXG65" s="820"/>
      <c r="WXH65" s="972"/>
      <c r="WXI65" s="955"/>
      <c r="WXJ65" s="950"/>
      <c r="WXK65" s="957"/>
      <c r="WXL65" s="950"/>
      <c r="WXM65" s="950"/>
      <c r="WXN65" s="957"/>
      <c r="WXO65" s="950"/>
      <c r="WXP65" s="950"/>
      <c r="WXQ65" s="653"/>
      <c r="WXR65" s="950"/>
      <c r="WXS65" s="951"/>
      <c r="WXT65" s="952"/>
      <c r="WXU65" s="959"/>
      <c r="WXV65" s="953"/>
      <c r="WXW65" s="954"/>
      <c r="WXX65" s="955"/>
      <c r="WXY65" s="955"/>
      <c r="WXZ65" s="820"/>
      <c r="WYA65" s="972"/>
      <c r="WYB65" s="955"/>
      <c r="WYC65" s="950"/>
      <c r="WYD65" s="957"/>
      <c r="WYE65" s="950"/>
      <c r="WYF65" s="950"/>
      <c r="WYG65" s="957"/>
      <c r="WYH65" s="950"/>
      <c r="WYI65" s="950"/>
      <c r="WYJ65" s="653"/>
      <c r="WYK65" s="950"/>
      <c r="WYL65" s="951"/>
      <c r="WYM65" s="952"/>
      <c r="WYN65" s="959"/>
      <c r="WYO65" s="953"/>
      <c r="WYP65" s="954"/>
      <c r="WYQ65" s="955"/>
      <c r="WYR65" s="955"/>
      <c r="WYS65" s="820"/>
      <c r="WYT65" s="972"/>
      <c r="WYU65" s="955"/>
      <c r="WYV65" s="950"/>
      <c r="WYW65" s="957"/>
      <c r="WYX65" s="950"/>
      <c r="WYY65" s="950"/>
      <c r="WYZ65" s="957"/>
      <c r="WZA65" s="950"/>
      <c r="WZB65" s="950"/>
      <c r="WZC65" s="653"/>
      <c r="WZD65" s="950"/>
      <c r="WZE65" s="951"/>
      <c r="WZF65" s="952"/>
      <c r="WZG65" s="959"/>
      <c r="WZH65" s="953"/>
      <c r="WZI65" s="954"/>
      <c r="WZJ65" s="955"/>
      <c r="WZK65" s="955"/>
      <c r="WZL65" s="820"/>
      <c r="WZM65" s="972"/>
      <c r="WZN65" s="955"/>
      <c r="WZO65" s="950"/>
      <c r="WZP65" s="957"/>
      <c r="WZQ65" s="950"/>
      <c r="WZR65" s="950"/>
      <c r="WZS65" s="957"/>
      <c r="WZT65" s="950"/>
      <c r="WZU65" s="950"/>
      <c r="WZV65" s="653"/>
      <c r="WZW65" s="950"/>
      <c r="WZX65" s="951"/>
      <c r="WZY65" s="952"/>
      <c r="WZZ65" s="959"/>
      <c r="XAA65" s="953"/>
      <c r="XAB65" s="954"/>
      <c r="XAC65" s="955"/>
      <c r="XAD65" s="955"/>
      <c r="XAE65" s="820"/>
      <c r="XAF65" s="972"/>
      <c r="XAG65" s="955"/>
      <c r="XAH65" s="950"/>
      <c r="XAI65" s="957"/>
      <c r="XAJ65" s="950"/>
      <c r="XAK65" s="950"/>
      <c r="XAL65" s="957"/>
      <c r="XAM65" s="950"/>
      <c r="XAN65" s="950"/>
      <c r="XAO65" s="653"/>
      <c r="XAP65" s="950"/>
      <c r="XAQ65" s="951"/>
      <c r="XAR65" s="952"/>
      <c r="XAS65" s="959"/>
      <c r="XAT65" s="953"/>
      <c r="XAU65" s="954"/>
      <c r="XAV65" s="955"/>
      <c r="XAW65" s="955"/>
      <c r="XAX65" s="820"/>
      <c r="XAY65" s="972"/>
      <c r="XAZ65" s="955"/>
      <c r="XBA65" s="950"/>
      <c r="XBB65" s="957"/>
      <c r="XBC65" s="950"/>
      <c r="XBD65" s="950"/>
      <c r="XBE65" s="957"/>
      <c r="XBF65" s="950"/>
      <c r="XBG65" s="950"/>
      <c r="XBH65" s="653"/>
      <c r="XBI65" s="950"/>
      <c r="XBJ65" s="951"/>
      <c r="XBK65" s="952"/>
      <c r="XBL65" s="959"/>
      <c r="XBM65" s="953"/>
      <c r="XBN65" s="954"/>
      <c r="XBO65" s="955"/>
      <c r="XBP65" s="955"/>
      <c r="XBQ65" s="820"/>
      <c r="XBR65" s="972"/>
      <c r="XBS65" s="955"/>
      <c r="XBT65" s="950"/>
      <c r="XBU65" s="957"/>
      <c r="XBV65" s="950"/>
      <c r="XBW65" s="950"/>
      <c r="XBX65" s="957"/>
      <c r="XBY65" s="950"/>
      <c r="XBZ65" s="950"/>
      <c r="XCA65" s="653"/>
      <c r="XCB65" s="950"/>
      <c r="XCC65" s="951"/>
      <c r="XCD65" s="952"/>
      <c r="XCE65" s="959"/>
      <c r="XCF65" s="953"/>
      <c r="XCG65" s="954"/>
      <c r="XCH65" s="955"/>
      <c r="XCI65" s="955"/>
      <c r="XCJ65" s="820"/>
      <c r="XCK65" s="972"/>
      <c r="XCL65" s="955"/>
      <c r="XCM65" s="950"/>
      <c r="XCN65" s="957"/>
      <c r="XCO65" s="950"/>
      <c r="XCP65" s="950"/>
      <c r="XCQ65" s="957"/>
      <c r="XCR65" s="950"/>
      <c r="XCS65" s="950"/>
      <c r="XCT65" s="653"/>
      <c r="XCU65" s="950"/>
      <c r="XCV65" s="951"/>
      <c r="XCW65" s="952"/>
      <c r="XCX65" s="959"/>
      <c r="XCY65" s="953"/>
      <c r="XCZ65" s="954"/>
      <c r="XDA65" s="955"/>
      <c r="XDB65" s="955"/>
      <c r="XDC65" s="820"/>
      <c r="XDD65" s="972"/>
      <c r="XDE65" s="955"/>
      <c r="XDF65" s="950"/>
      <c r="XDG65" s="957"/>
      <c r="XDH65" s="950"/>
      <c r="XDI65" s="950"/>
      <c r="XDJ65" s="957"/>
      <c r="XDK65" s="950"/>
      <c r="XDL65" s="950"/>
      <c r="XDM65" s="653"/>
      <c r="XDN65" s="950"/>
      <c r="XDO65" s="951"/>
      <c r="XDP65" s="952"/>
      <c r="XDQ65" s="959"/>
      <c r="XDR65" s="953"/>
      <c r="XDS65" s="954"/>
      <c r="XDT65" s="955"/>
      <c r="XDU65" s="955"/>
      <c r="XDV65" s="820"/>
      <c r="XDW65" s="972"/>
      <c r="XDX65" s="955"/>
      <c r="XDY65" s="950"/>
      <c r="XDZ65" s="957"/>
      <c r="XEA65" s="950"/>
      <c r="XEB65" s="950"/>
      <c r="XEC65" s="957"/>
      <c r="XED65" s="950"/>
      <c r="XEE65" s="950"/>
      <c r="XEF65" s="653"/>
      <c r="XEG65" s="950"/>
      <c r="XEH65" s="951"/>
      <c r="XEI65" s="952"/>
      <c r="XEJ65" s="959"/>
      <c r="XEK65" s="953"/>
      <c r="XEL65" s="954"/>
      <c r="XEM65" s="955"/>
      <c r="XEN65" s="955"/>
      <c r="XEO65" s="820"/>
      <c r="XEP65" s="972"/>
      <c r="XEQ65" s="955"/>
      <c r="XER65" s="950"/>
      <c r="XES65" s="957"/>
      <c r="XET65" s="950"/>
      <c r="XEU65" s="950"/>
      <c r="XEV65" s="957"/>
      <c r="XEW65" s="950"/>
      <c r="XEX65" s="950"/>
      <c r="XEY65" s="653"/>
      <c r="XEZ65" s="950"/>
      <c r="XFA65" s="951"/>
      <c r="XFB65" s="952"/>
      <c r="XFC65" s="959"/>
      <c r="XFD65" s="953"/>
    </row>
    <row r="66" spans="5:16384">
      <c r="E66" s="125">
        <f t="shared" ref="E66:E72" si="16">IF(D66="VND",C66,C66/Fx_rate)</f>
        <v>0</v>
      </c>
      <c r="W66" s="653"/>
      <c r="X66" s="950"/>
      <c r="Y66" s="973"/>
      <c r="Z66" s="950"/>
      <c r="AA66" s="959">
        <f t="shared" si="15"/>
        <v>0</v>
      </c>
      <c r="AB66" s="953"/>
      <c r="AC66" s="954"/>
      <c r="AD66" s="955"/>
      <c r="AE66" s="955" t="str" cm="1">
        <f t="array" ref="AE66">IF(ISBLANK(Table10[[#This Row],[Sub_Type]]),"",_xlfn.XLOOKUP(Table10[[#This Row],[Sub_Type]],Table5[[#All],[Key payment - receipt]],Table5[[#All],[Category]],"recheck",0))</f>
        <v/>
      </c>
      <c r="AF66" s="955"/>
      <c r="AG66" s="955" t="str" cm="1">
        <f t="array" ref="AG66">IF(ISBLANK(Table10[[#This Row],[Entity]]),"",_xlfn.XLOOKUP(Table10[[#This Row],[Entity]],Table1[[#All],[Abb.]],Table1[[#All],[Name]],"recheck",0))</f>
        <v/>
      </c>
    </row>
    <row r="67" spans="5:16384">
      <c r="E67" s="125">
        <f t="shared" si="16"/>
        <v>0</v>
      </c>
      <c r="W67" s="653"/>
      <c r="X67" s="950"/>
      <c r="Y67" s="973"/>
      <c r="Z67" s="950"/>
      <c r="AA67" s="959">
        <f t="shared" si="15"/>
        <v>0</v>
      </c>
      <c r="AB67" s="953"/>
      <c r="AC67" s="954"/>
      <c r="AD67" s="955"/>
      <c r="AE67" s="955" t="str" cm="1">
        <f t="array" ref="AE67">IF(ISBLANK(Table10[[#This Row],[Sub_Type]]),"",_xlfn.XLOOKUP(Table10[[#This Row],[Sub_Type]],Table5[[#All],[Key payment - receipt]],Table5[[#All],[Category]],"recheck",0))</f>
        <v/>
      </c>
      <c r="AF67" s="955"/>
      <c r="AG67" s="955" t="str" cm="1">
        <f t="array" ref="AG67">IF(ISBLANK(Table10[[#This Row],[Entity]]),"",_xlfn.XLOOKUP(Table10[[#This Row],[Entity]],Table1[[#All],[Abb.]],Table1[[#All],[Name]],"recheck",0))</f>
        <v/>
      </c>
    </row>
    <row r="68" spans="5:16384">
      <c r="E68" s="125">
        <f t="shared" si="16"/>
        <v>0</v>
      </c>
      <c r="W68" s="653"/>
      <c r="X68" s="950"/>
      <c r="Y68" s="973"/>
      <c r="Z68" s="950"/>
      <c r="AA68" s="959">
        <f t="shared" si="15"/>
        <v>0</v>
      </c>
      <c r="AB68" s="953"/>
      <c r="AC68" s="954"/>
      <c r="AD68" s="955"/>
      <c r="AE68" s="955" t="str" cm="1">
        <f t="array" ref="AE68">IF(ISBLANK(Table10[[#This Row],[Sub_Type]]),"",_xlfn.XLOOKUP(Table10[[#This Row],[Sub_Type]],Table5[[#All],[Key payment - receipt]],Table5[[#All],[Category]],"recheck",0))</f>
        <v/>
      </c>
      <c r="AF68" s="955"/>
      <c r="AG68" s="955" t="str" cm="1">
        <f t="array" ref="AG68">IF(ISBLANK(Table10[[#This Row],[Entity]]),"",_xlfn.XLOOKUP(Table10[[#This Row],[Entity]],Table1[[#All],[Abb.]],Table1[[#All],[Name]],"recheck",0))</f>
        <v/>
      </c>
    </row>
    <row r="69" spans="5:16384">
      <c r="E69" s="125">
        <f t="shared" si="16"/>
        <v>0</v>
      </c>
      <c r="W69" s="653"/>
      <c r="X69" s="950"/>
      <c r="Y69" s="973"/>
      <c r="Z69" s="950"/>
      <c r="AA69" s="959">
        <f t="shared" si="15"/>
        <v>0</v>
      </c>
      <c r="AB69" s="953"/>
      <c r="AC69" s="954"/>
      <c r="AD69" s="955"/>
      <c r="AE69" s="955" t="str" cm="1">
        <f t="array" ref="AE69">IF(ISBLANK(Table10[[#This Row],[Sub_Type]]),"",_xlfn.XLOOKUP(Table10[[#This Row],[Sub_Type]],Table5[[#All],[Key payment - receipt]],Table5[[#All],[Category]],"recheck",0))</f>
        <v/>
      </c>
      <c r="AF69" s="955"/>
      <c r="AG69" s="955" t="str" cm="1">
        <f t="array" ref="AG69">IF(ISBLANK(Table10[[#This Row],[Entity]]),"",_xlfn.XLOOKUP(Table10[[#This Row],[Entity]],Table1[[#All],[Abb.]],Table1[[#All],[Name]],"recheck",0))</f>
        <v/>
      </c>
    </row>
    <row r="70" spans="5:16384">
      <c r="E70" s="125">
        <f t="shared" si="16"/>
        <v>0</v>
      </c>
      <c r="W70" s="653"/>
      <c r="X70" s="950"/>
      <c r="Y70" s="973"/>
      <c r="Z70" s="950"/>
      <c r="AA70" s="959">
        <f t="shared" si="15"/>
        <v>0</v>
      </c>
      <c r="AB70" s="953"/>
      <c r="AC70" s="954"/>
      <c r="AD70" s="955"/>
      <c r="AE70" s="955" t="str" cm="1">
        <f t="array" ref="AE70">IF(ISBLANK(Table10[[#This Row],[Sub_Type]]),"",_xlfn.XLOOKUP(Table10[[#This Row],[Sub_Type]],Table5[[#All],[Key payment - receipt]],Table5[[#All],[Category]],"recheck",0))</f>
        <v/>
      </c>
      <c r="AF70" s="955"/>
      <c r="AG70" s="955" t="str" cm="1">
        <f t="array" ref="AG70">IF(ISBLANK(Table10[[#This Row],[Entity]]),"",_xlfn.XLOOKUP(Table10[[#This Row],[Entity]],Table1[[#All],[Abb.]],Table1[[#All],[Name]],"recheck",0))</f>
        <v/>
      </c>
    </row>
    <row r="71" spans="5:16384">
      <c r="E71" s="125">
        <f t="shared" si="16"/>
        <v>0</v>
      </c>
      <c r="W71" s="653"/>
      <c r="X71" s="950"/>
      <c r="Y71" s="973"/>
      <c r="Z71" s="950"/>
      <c r="AA71" s="959">
        <f t="shared" si="15"/>
        <v>0</v>
      </c>
      <c r="AB71" s="953"/>
      <c r="AC71" s="954"/>
      <c r="AD71" s="955"/>
      <c r="AE71" s="955" t="str" cm="1">
        <f t="array" ref="AE71">IF(ISBLANK(Table10[[#This Row],[Sub_Type]]),"",_xlfn.XLOOKUP(Table10[[#This Row],[Sub_Type]],Table5[[#All],[Key payment - receipt]],Table5[[#All],[Category]],"recheck",0))</f>
        <v/>
      </c>
      <c r="AF71" s="955"/>
      <c r="AG71" s="955" t="str" cm="1">
        <f t="array" ref="AG71">IF(ISBLANK(Table10[[#This Row],[Entity]]),"",_xlfn.XLOOKUP(Table10[[#This Row],[Entity]],Table1[[#All],[Abb.]],Table1[[#All],[Name]],"recheck",0))</f>
        <v/>
      </c>
    </row>
    <row r="72" spans="5:16384">
      <c r="E72" s="125">
        <f t="shared" si="16"/>
        <v>0</v>
      </c>
      <c r="W72" s="653"/>
      <c r="X72" s="950"/>
      <c r="Y72" s="973"/>
      <c r="Z72" s="950"/>
      <c r="AA72" s="959">
        <f t="shared" si="15"/>
        <v>0</v>
      </c>
      <c r="AB72" s="953"/>
      <c r="AC72" s="954"/>
      <c r="AD72" s="955"/>
      <c r="AE72" s="955" t="str" cm="1">
        <f t="array" ref="AE72">IF(ISBLANK(Table10[[#This Row],[Sub_Type]]),"",_xlfn.XLOOKUP(Table10[[#This Row],[Sub_Type]],Table5[[#All],[Key payment - receipt]],Table5[[#All],[Category]],"recheck",0))</f>
        <v/>
      </c>
      <c r="AF72" s="955"/>
      <c r="AG72" s="955" t="str" cm="1">
        <f t="array" ref="AG72">IF(ISBLANK(Table10[[#This Row],[Entity]]),"",_xlfn.XLOOKUP(Table10[[#This Row],[Entity]],Table1[[#All],[Abb.]],Table1[[#All],[Name]],"recheck",0))</f>
        <v/>
      </c>
    </row>
    <row r="73" spans="5:16384">
      <c r="E73" s="125">
        <f t="shared" ref="E73:E104" si="17">IF(D73="VND",C73,C73/Fx_rate)</f>
        <v>0</v>
      </c>
      <c r="W73" s="653"/>
      <c r="X73" s="950"/>
      <c r="Y73" s="973"/>
      <c r="Z73" s="950"/>
      <c r="AA73" s="959">
        <f t="shared" si="15"/>
        <v>0</v>
      </c>
      <c r="AB73" s="953"/>
      <c r="AC73" s="954"/>
      <c r="AD73" s="955"/>
      <c r="AE73" s="955" t="str" cm="1">
        <f t="array" ref="AE73">IF(ISBLANK(Table10[[#This Row],[Sub_Type]]),"",_xlfn.XLOOKUP(Table10[[#This Row],[Sub_Type]],Table5[[#All],[Key payment - receipt]],Table5[[#All],[Category]],"recheck",0))</f>
        <v/>
      </c>
      <c r="AF73" s="955"/>
      <c r="AG73" s="955" t="str" cm="1">
        <f t="array" ref="AG73">IF(ISBLANK(Table10[[#This Row],[Entity]]),"",_xlfn.XLOOKUP(Table10[[#This Row],[Entity]],Table1[[#All],[Abb.]],Table1[[#All],[Name]],"recheck",0))</f>
        <v/>
      </c>
    </row>
    <row r="74" spans="5:16384">
      <c r="E74" s="125">
        <f t="shared" si="17"/>
        <v>0</v>
      </c>
      <c r="W74" s="653"/>
      <c r="X74" s="950"/>
      <c r="Y74" s="973"/>
      <c r="Z74" s="950"/>
      <c r="AA74" s="959">
        <f t="shared" si="15"/>
        <v>0</v>
      </c>
      <c r="AB74" s="953"/>
      <c r="AC74" s="954"/>
      <c r="AD74" s="955"/>
      <c r="AE74" s="955" t="str" cm="1">
        <f t="array" ref="AE74">IF(ISBLANK(Table10[[#This Row],[Sub_Type]]),"",_xlfn.XLOOKUP(Table10[[#This Row],[Sub_Type]],Table5[[#All],[Key payment - receipt]],Table5[[#All],[Category]],"recheck",0))</f>
        <v/>
      </c>
      <c r="AF74" s="955"/>
      <c r="AG74" s="955" t="str" cm="1">
        <f t="array" ref="AG74">IF(ISBLANK(Table10[[#This Row],[Entity]]),"",_xlfn.XLOOKUP(Table10[[#This Row],[Entity]],Table1[[#All],[Abb.]],Table1[[#All],[Name]],"recheck",0))</f>
        <v/>
      </c>
    </row>
    <row r="75" spans="5:16384">
      <c r="E75" s="125">
        <f t="shared" si="17"/>
        <v>0</v>
      </c>
      <c r="W75" s="653"/>
      <c r="X75" s="950"/>
      <c r="Y75" s="973"/>
      <c r="Z75" s="950"/>
      <c r="AA75" s="959">
        <f t="shared" si="15"/>
        <v>0</v>
      </c>
      <c r="AB75" s="953"/>
      <c r="AC75" s="954"/>
      <c r="AD75" s="955"/>
      <c r="AE75" s="955" t="str" cm="1">
        <f t="array" ref="AE75">IF(ISBLANK(Table10[[#This Row],[Sub_Type]]),"",_xlfn.XLOOKUP(Table10[[#This Row],[Sub_Type]],Table5[[#All],[Key payment - receipt]],Table5[[#All],[Category]],"recheck",0))</f>
        <v/>
      </c>
      <c r="AF75" s="955"/>
      <c r="AG75" s="955" t="str" cm="1">
        <f t="array" ref="AG75">IF(ISBLANK(Table10[[#This Row],[Entity]]),"",_xlfn.XLOOKUP(Table10[[#This Row],[Entity]],Table1[[#All],[Abb.]],Table1[[#All],[Name]],"recheck",0))</f>
        <v/>
      </c>
    </row>
    <row r="76" spans="5:16384">
      <c r="E76" s="125">
        <f t="shared" si="17"/>
        <v>0</v>
      </c>
      <c r="W76" s="653"/>
      <c r="X76" s="950"/>
      <c r="Y76" s="973"/>
      <c r="Z76" s="950"/>
      <c r="AA76" s="959">
        <f t="shared" si="15"/>
        <v>0</v>
      </c>
      <c r="AB76" s="953"/>
      <c r="AC76" s="954"/>
      <c r="AD76" s="955"/>
      <c r="AE76" s="955" t="str" cm="1">
        <f t="array" ref="AE76">IF(ISBLANK(Table10[[#This Row],[Sub_Type]]),"",_xlfn.XLOOKUP(Table10[[#This Row],[Sub_Type]],Table5[[#All],[Key payment - receipt]],Table5[[#All],[Category]],"recheck",0))</f>
        <v/>
      </c>
      <c r="AF76" s="955"/>
      <c r="AG76" s="955" t="str" cm="1">
        <f t="array" ref="AG76">IF(ISBLANK(Table10[[#This Row],[Entity]]),"",_xlfn.XLOOKUP(Table10[[#This Row],[Entity]],Table1[[#All],[Abb.]],Table1[[#All],[Name]],"recheck",0))</f>
        <v/>
      </c>
    </row>
    <row r="77" spans="5:16384">
      <c r="E77" s="125">
        <f t="shared" si="17"/>
        <v>0</v>
      </c>
      <c r="W77" s="653"/>
      <c r="X77" s="950"/>
      <c r="Y77" s="973"/>
      <c r="Z77" s="950"/>
      <c r="AA77" s="959">
        <f t="shared" ref="AA77:AA84" si="18">IF(Z77="VND",Y77,Y77*Fx_rate)</f>
        <v>0</v>
      </c>
      <c r="AB77" s="953"/>
      <c r="AC77" s="954"/>
      <c r="AD77" s="955"/>
      <c r="AE77" s="955" t="str" cm="1">
        <f t="array" ref="AE77">IF(ISBLANK(Table10[[#This Row],[Sub_Type]]),"",_xlfn.XLOOKUP(Table10[[#This Row],[Sub_Type]],Table5[[#All],[Key payment - receipt]],Table5[[#All],[Category]],"recheck",0))</f>
        <v/>
      </c>
      <c r="AF77" s="955"/>
      <c r="AG77" s="955" t="str" cm="1">
        <f t="array" ref="AG77">IF(ISBLANK(Table10[[#This Row],[Entity]]),"",_xlfn.XLOOKUP(Table10[[#This Row],[Entity]],Table1[[#All],[Abb.]],Table1[[#All],[Name]],"recheck",0))</f>
        <v/>
      </c>
    </row>
    <row r="78" spans="5:16384">
      <c r="E78" s="125">
        <f t="shared" si="17"/>
        <v>0</v>
      </c>
      <c r="W78" s="653"/>
      <c r="X78" s="950"/>
      <c r="Y78" s="973"/>
      <c r="Z78" s="950"/>
      <c r="AA78" s="959">
        <f t="shared" si="18"/>
        <v>0</v>
      </c>
      <c r="AB78" s="953"/>
      <c r="AC78" s="954"/>
      <c r="AD78" s="955"/>
      <c r="AE78" s="955" t="str" cm="1">
        <f t="array" ref="AE78">IF(ISBLANK(Table10[[#This Row],[Sub_Type]]),"",_xlfn.XLOOKUP(Table10[[#This Row],[Sub_Type]],Table5[[#All],[Key payment - receipt]],Table5[[#All],[Category]],"recheck",0))</f>
        <v/>
      </c>
      <c r="AF78" s="955"/>
      <c r="AG78" s="955" t="str" cm="1">
        <f t="array" ref="AG78">IF(ISBLANK(Table10[[#This Row],[Entity]]),"",_xlfn.XLOOKUP(Table10[[#This Row],[Entity]],Table1[[#All],[Abb.]],Table1[[#All],[Name]],"recheck",0))</f>
        <v/>
      </c>
    </row>
    <row r="79" spans="5:16384">
      <c r="E79" s="125">
        <f t="shared" si="17"/>
        <v>0</v>
      </c>
      <c r="W79" s="653"/>
      <c r="X79" s="950"/>
      <c r="Y79" s="973"/>
      <c r="Z79" s="950"/>
      <c r="AA79" s="959">
        <f t="shared" si="18"/>
        <v>0</v>
      </c>
      <c r="AB79" s="953"/>
      <c r="AC79" s="954"/>
      <c r="AD79" s="955"/>
      <c r="AE79" s="955" t="str" cm="1">
        <f t="array" ref="AE79">IF(ISBLANK(Table10[[#This Row],[Sub_Type]]),"",_xlfn.XLOOKUP(Table10[[#This Row],[Sub_Type]],Table5[[#All],[Key payment - receipt]],Table5[[#All],[Category]],"recheck",0))</f>
        <v/>
      </c>
      <c r="AF79" s="955"/>
      <c r="AG79" s="955" t="str" cm="1">
        <f t="array" ref="AG79">IF(ISBLANK(Table10[[#This Row],[Entity]]),"",_xlfn.XLOOKUP(Table10[[#This Row],[Entity]],Table1[[#All],[Abb.]],Table1[[#All],[Name]],"recheck",0))</f>
        <v/>
      </c>
    </row>
    <row r="80" spans="5:16384">
      <c r="E80" s="125">
        <f t="shared" si="17"/>
        <v>0</v>
      </c>
      <c r="W80" s="653"/>
      <c r="X80" s="950"/>
      <c r="Y80" s="973"/>
      <c r="Z80" s="950"/>
      <c r="AA80" s="959">
        <f t="shared" si="18"/>
        <v>0</v>
      </c>
      <c r="AB80" s="953"/>
      <c r="AC80" s="954"/>
      <c r="AD80" s="955"/>
      <c r="AE80" s="955" t="str" cm="1">
        <f t="array" ref="AE80">IF(ISBLANK(Table10[[#This Row],[Sub_Type]]),"",_xlfn.XLOOKUP(Table10[[#This Row],[Sub_Type]],Table5[[#All],[Key payment - receipt]],Table5[[#All],[Category]],"recheck",0))</f>
        <v/>
      </c>
      <c r="AF80" s="955"/>
      <c r="AG80" s="955" t="str" cm="1">
        <f t="array" ref="AG80">IF(ISBLANK(Table10[[#This Row],[Entity]]),"",_xlfn.XLOOKUP(Table10[[#This Row],[Entity]],Table1[[#All],[Abb.]],Table1[[#All],[Name]],"recheck",0))</f>
        <v/>
      </c>
    </row>
    <row r="81" spans="5:33">
      <c r="E81" s="125">
        <f t="shared" si="17"/>
        <v>0</v>
      </c>
      <c r="W81" s="653"/>
      <c r="X81" s="950"/>
      <c r="Y81" s="973"/>
      <c r="Z81" s="950"/>
      <c r="AA81" s="959">
        <f t="shared" si="18"/>
        <v>0</v>
      </c>
      <c r="AB81" s="953"/>
      <c r="AC81" s="954"/>
      <c r="AD81" s="955"/>
      <c r="AE81" s="955" t="str" cm="1">
        <f t="array" ref="AE81">IF(ISBLANK(Table10[[#This Row],[Sub_Type]]),"",_xlfn.XLOOKUP(Table10[[#This Row],[Sub_Type]],Table5[[#All],[Key payment - receipt]],Table5[[#All],[Category]],"recheck",0))</f>
        <v/>
      </c>
      <c r="AF81" s="955"/>
      <c r="AG81" s="955" t="str" cm="1">
        <f t="array" ref="AG81">IF(ISBLANK(Table10[[#This Row],[Entity]]),"",_xlfn.XLOOKUP(Table10[[#This Row],[Entity]],Table1[[#All],[Abb.]],Table1[[#All],[Name]],"recheck",0))</f>
        <v/>
      </c>
    </row>
    <row r="82" spans="5:33">
      <c r="E82" s="125">
        <f t="shared" si="17"/>
        <v>0</v>
      </c>
      <c r="W82" s="653"/>
      <c r="X82" s="950"/>
      <c r="Y82" s="973"/>
      <c r="Z82" s="950"/>
      <c r="AA82" s="959">
        <f t="shared" si="18"/>
        <v>0</v>
      </c>
      <c r="AB82" s="953"/>
      <c r="AC82" s="954"/>
      <c r="AD82" s="955"/>
      <c r="AE82" s="955" t="str" cm="1">
        <f t="array" ref="AE82">IF(ISBLANK(Table10[[#This Row],[Sub_Type]]),"",_xlfn.XLOOKUP(Table10[[#This Row],[Sub_Type]],Table5[[#All],[Key payment - receipt]],Table5[[#All],[Category]],"recheck",0))</f>
        <v/>
      </c>
      <c r="AF82" s="955"/>
      <c r="AG82" s="955" t="str" cm="1">
        <f t="array" ref="AG82">IF(ISBLANK(Table10[[#This Row],[Entity]]),"",_xlfn.XLOOKUP(Table10[[#This Row],[Entity]],Table1[[#All],[Abb.]],Table1[[#All],[Name]],"recheck",0))</f>
        <v/>
      </c>
    </row>
    <row r="83" spans="5:33">
      <c r="E83" s="125">
        <f t="shared" si="17"/>
        <v>0</v>
      </c>
      <c r="W83" s="653"/>
      <c r="X83" s="950"/>
      <c r="Y83" s="973"/>
      <c r="Z83" s="950"/>
      <c r="AA83" s="959">
        <f t="shared" si="18"/>
        <v>0</v>
      </c>
      <c r="AB83" s="953"/>
      <c r="AC83" s="954"/>
      <c r="AD83" s="955"/>
      <c r="AE83" s="955" t="str" cm="1">
        <f t="array" ref="AE83">IF(ISBLANK(Table10[[#This Row],[Sub_Type]]),"",_xlfn.XLOOKUP(Table10[[#This Row],[Sub_Type]],Table5[[#All],[Key payment - receipt]],Table5[[#All],[Category]],"recheck",0))</f>
        <v/>
      </c>
      <c r="AF83" s="955"/>
      <c r="AG83" s="955" t="str" cm="1">
        <f t="array" ref="AG83">IF(ISBLANK(Table10[[#This Row],[Entity]]),"",_xlfn.XLOOKUP(Table10[[#This Row],[Entity]],Table1[[#All],[Abb.]],Table1[[#All],[Name]],"recheck",0))</f>
        <v/>
      </c>
    </row>
    <row r="84" spans="5:33">
      <c r="E84" s="125">
        <f t="shared" si="17"/>
        <v>0</v>
      </c>
      <c r="W84" s="653"/>
      <c r="X84" s="950"/>
      <c r="Y84" s="973"/>
      <c r="Z84" s="950"/>
      <c r="AA84" s="959">
        <f t="shared" si="18"/>
        <v>0</v>
      </c>
      <c r="AB84" s="953"/>
      <c r="AC84" s="954"/>
      <c r="AD84" s="955"/>
      <c r="AE84" s="955" t="str" cm="1">
        <f t="array" ref="AE84">IF(ISBLANK(Table10[[#This Row],[Sub_Type]]),"",_xlfn.XLOOKUP(Table10[[#This Row],[Sub_Type]],Table5[[#All],[Key payment - receipt]],Table5[[#All],[Category]],"recheck",0))</f>
        <v/>
      </c>
      <c r="AF84" s="955"/>
      <c r="AG84" s="955" t="str" cm="1">
        <f t="array" ref="AG84">IF(ISBLANK(Table10[[#This Row],[Entity]]),"",_xlfn.XLOOKUP(Table10[[#This Row],[Entity]],Table1[[#All],[Abb.]],Table1[[#All],[Name]],"recheck",0))</f>
        <v/>
      </c>
    </row>
    <row r="85" spans="5:33">
      <c r="E85" s="125">
        <f t="shared" si="17"/>
        <v>0</v>
      </c>
      <c r="AA85" s="31">
        <f t="shared" ref="AA85:AA100" si="19">IF(Z85="VND",Y85,Y85/Fx_rate)</f>
        <v>0</v>
      </c>
    </row>
    <row r="86" spans="5:33">
      <c r="E86" s="125">
        <f t="shared" si="17"/>
        <v>0</v>
      </c>
      <c r="AA86" s="31">
        <f t="shared" si="19"/>
        <v>0</v>
      </c>
    </row>
    <row r="87" spans="5:33">
      <c r="E87" s="125">
        <f t="shared" si="17"/>
        <v>0</v>
      </c>
      <c r="AA87" s="31">
        <f t="shared" si="19"/>
        <v>0</v>
      </c>
    </row>
    <row r="88" spans="5:33">
      <c r="E88" s="125">
        <f t="shared" si="17"/>
        <v>0</v>
      </c>
      <c r="AA88" s="31">
        <f t="shared" si="19"/>
        <v>0</v>
      </c>
    </row>
    <row r="89" spans="5:33">
      <c r="E89" s="125">
        <f t="shared" si="17"/>
        <v>0</v>
      </c>
      <c r="AA89" s="31">
        <f t="shared" si="19"/>
        <v>0</v>
      </c>
    </row>
    <row r="90" spans="5:33">
      <c r="E90" s="125">
        <f t="shared" si="17"/>
        <v>0</v>
      </c>
      <c r="AA90" s="31">
        <f t="shared" si="19"/>
        <v>0</v>
      </c>
    </row>
    <row r="91" spans="5:33">
      <c r="E91" s="125">
        <f t="shared" si="17"/>
        <v>0</v>
      </c>
      <c r="AA91" s="31">
        <f t="shared" si="19"/>
        <v>0</v>
      </c>
    </row>
    <row r="92" spans="5:33">
      <c r="E92" s="125">
        <f t="shared" si="17"/>
        <v>0</v>
      </c>
      <c r="AA92" s="31">
        <f t="shared" si="19"/>
        <v>0</v>
      </c>
    </row>
    <row r="93" spans="5:33">
      <c r="E93" s="125">
        <f t="shared" si="17"/>
        <v>0</v>
      </c>
      <c r="AA93" s="31">
        <f t="shared" si="19"/>
        <v>0</v>
      </c>
    </row>
    <row r="94" spans="5:33">
      <c r="E94" s="125">
        <f t="shared" si="17"/>
        <v>0</v>
      </c>
      <c r="AA94" s="31">
        <f t="shared" si="19"/>
        <v>0</v>
      </c>
    </row>
    <row r="95" spans="5:33">
      <c r="E95" s="125">
        <f t="shared" si="17"/>
        <v>0</v>
      </c>
      <c r="AA95" s="31">
        <f t="shared" si="19"/>
        <v>0</v>
      </c>
    </row>
    <row r="96" spans="5:33">
      <c r="E96" s="125">
        <f t="shared" si="17"/>
        <v>0</v>
      </c>
      <c r="AA96" s="31">
        <f t="shared" si="19"/>
        <v>0</v>
      </c>
    </row>
    <row r="97" spans="5:27">
      <c r="E97" s="125">
        <f t="shared" si="17"/>
        <v>0</v>
      </c>
      <c r="AA97" s="31">
        <f t="shared" si="19"/>
        <v>0</v>
      </c>
    </row>
    <row r="98" spans="5:27">
      <c r="E98" s="125">
        <f t="shared" si="17"/>
        <v>0</v>
      </c>
      <c r="AA98" s="31">
        <f t="shared" si="19"/>
        <v>0</v>
      </c>
    </row>
    <row r="99" spans="5:27">
      <c r="E99" s="125">
        <f t="shared" si="17"/>
        <v>0</v>
      </c>
      <c r="AA99" s="31">
        <f t="shared" si="19"/>
        <v>0</v>
      </c>
    </row>
    <row r="100" spans="5:27">
      <c r="E100" s="125">
        <f t="shared" si="17"/>
        <v>0</v>
      </c>
      <c r="AA100" s="31">
        <f t="shared" si="19"/>
        <v>0</v>
      </c>
    </row>
    <row r="101" spans="5:27">
      <c r="E101" s="125">
        <f t="shared" si="17"/>
        <v>0</v>
      </c>
      <c r="AA101" s="31">
        <f t="shared" ref="AA101:AA132" si="20">IF(Z101="VND",Y101,Y101/Fx_rate)</f>
        <v>0</v>
      </c>
    </row>
    <row r="102" spans="5:27">
      <c r="E102" s="125">
        <f t="shared" si="17"/>
        <v>0</v>
      </c>
      <c r="AA102" s="31">
        <f t="shared" si="20"/>
        <v>0</v>
      </c>
    </row>
    <row r="103" spans="5:27">
      <c r="E103" s="125">
        <f t="shared" si="17"/>
        <v>0</v>
      </c>
      <c r="AA103" s="31">
        <f t="shared" si="20"/>
        <v>0</v>
      </c>
    </row>
    <row r="104" spans="5:27">
      <c r="E104" s="125">
        <f t="shared" si="17"/>
        <v>0</v>
      </c>
      <c r="AA104" s="31">
        <f t="shared" si="20"/>
        <v>0</v>
      </c>
    </row>
    <row r="105" spans="5:27">
      <c r="E105" s="125">
        <f t="shared" ref="E105:E136" si="21">IF(D105="VND",C105,C105/Fx_rate)</f>
        <v>0</v>
      </c>
      <c r="AA105" s="31">
        <f t="shared" si="20"/>
        <v>0</v>
      </c>
    </row>
    <row r="106" spans="5:27">
      <c r="E106" s="125">
        <f t="shared" si="21"/>
        <v>0</v>
      </c>
      <c r="AA106" s="31">
        <f t="shared" si="20"/>
        <v>0</v>
      </c>
    </row>
    <row r="107" spans="5:27">
      <c r="E107" s="125">
        <f t="shared" si="21"/>
        <v>0</v>
      </c>
      <c r="AA107" s="31">
        <f t="shared" si="20"/>
        <v>0</v>
      </c>
    </row>
    <row r="108" spans="5:27">
      <c r="E108" s="125">
        <f t="shared" si="21"/>
        <v>0</v>
      </c>
      <c r="AA108" s="31">
        <f t="shared" si="20"/>
        <v>0</v>
      </c>
    </row>
    <row r="109" spans="5:27">
      <c r="E109" s="125">
        <f t="shared" si="21"/>
        <v>0</v>
      </c>
      <c r="AA109" s="31">
        <f t="shared" si="20"/>
        <v>0</v>
      </c>
    </row>
    <row r="110" spans="5:27">
      <c r="E110" s="125">
        <f t="shared" si="21"/>
        <v>0</v>
      </c>
      <c r="AA110" s="31">
        <f t="shared" si="20"/>
        <v>0</v>
      </c>
    </row>
    <row r="111" spans="5:27">
      <c r="E111" s="125">
        <f t="shared" si="21"/>
        <v>0</v>
      </c>
      <c r="AA111" s="31">
        <f t="shared" si="20"/>
        <v>0</v>
      </c>
    </row>
    <row r="112" spans="5:27">
      <c r="E112" s="125">
        <f t="shared" si="21"/>
        <v>0</v>
      </c>
      <c r="AA112" s="31">
        <f t="shared" si="20"/>
        <v>0</v>
      </c>
    </row>
    <row r="113" spans="5:27">
      <c r="E113" s="125">
        <f t="shared" si="21"/>
        <v>0</v>
      </c>
      <c r="AA113" s="31">
        <f t="shared" si="20"/>
        <v>0</v>
      </c>
    </row>
    <row r="114" spans="5:27">
      <c r="E114" s="125">
        <f t="shared" si="21"/>
        <v>0</v>
      </c>
      <c r="AA114" s="31">
        <f t="shared" si="20"/>
        <v>0</v>
      </c>
    </row>
    <row r="115" spans="5:27">
      <c r="E115" s="125">
        <f t="shared" si="21"/>
        <v>0</v>
      </c>
      <c r="AA115" s="31">
        <f t="shared" si="20"/>
        <v>0</v>
      </c>
    </row>
    <row r="116" spans="5:27">
      <c r="E116" s="125">
        <f t="shared" si="21"/>
        <v>0</v>
      </c>
      <c r="AA116" s="31">
        <f t="shared" si="20"/>
        <v>0</v>
      </c>
    </row>
    <row r="117" spans="5:27">
      <c r="E117" s="125">
        <f t="shared" si="21"/>
        <v>0</v>
      </c>
      <c r="AA117" s="31">
        <f t="shared" si="20"/>
        <v>0</v>
      </c>
    </row>
    <row r="118" spans="5:27">
      <c r="E118" s="125">
        <f t="shared" si="21"/>
        <v>0</v>
      </c>
      <c r="AA118" s="31">
        <f t="shared" si="20"/>
        <v>0</v>
      </c>
    </row>
    <row r="119" spans="5:27">
      <c r="E119" s="125">
        <f t="shared" si="21"/>
        <v>0</v>
      </c>
      <c r="AA119" s="31">
        <f t="shared" si="20"/>
        <v>0</v>
      </c>
    </row>
    <row r="120" spans="5:27">
      <c r="E120" s="125">
        <f t="shared" si="21"/>
        <v>0</v>
      </c>
      <c r="AA120" s="31">
        <f t="shared" si="20"/>
        <v>0</v>
      </c>
    </row>
    <row r="121" spans="5:27">
      <c r="E121" s="125">
        <f t="shared" si="21"/>
        <v>0</v>
      </c>
      <c r="AA121" s="31">
        <f t="shared" si="20"/>
        <v>0</v>
      </c>
    </row>
    <row r="122" spans="5:27">
      <c r="E122" s="125">
        <f t="shared" si="21"/>
        <v>0</v>
      </c>
      <c r="AA122" s="31">
        <f t="shared" si="20"/>
        <v>0</v>
      </c>
    </row>
    <row r="123" spans="5:27">
      <c r="E123" s="125">
        <f t="shared" si="21"/>
        <v>0</v>
      </c>
      <c r="AA123" s="31">
        <f t="shared" si="20"/>
        <v>0</v>
      </c>
    </row>
    <row r="124" spans="5:27">
      <c r="E124" s="125">
        <f t="shared" si="21"/>
        <v>0</v>
      </c>
      <c r="AA124" s="31">
        <f t="shared" si="20"/>
        <v>0</v>
      </c>
    </row>
    <row r="125" spans="5:27">
      <c r="E125" s="125">
        <f t="shared" si="21"/>
        <v>0</v>
      </c>
      <c r="AA125" s="31">
        <f t="shared" si="20"/>
        <v>0</v>
      </c>
    </row>
    <row r="126" spans="5:27">
      <c r="E126" s="125">
        <f t="shared" si="21"/>
        <v>0</v>
      </c>
      <c r="AA126" s="31">
        <f t="shared" si="20"/>
        <v>0</v>
      </c>
    </row>
    <row r="127" spans="5:27">
      <c r="E127" s="125">
        <f t="shared" si="21"/>
        <v>0</v>
      </c>
      <c r="AA127" s="31">
        <f t="shared" si="20"/>
        <v>0</v>
      </c>
    </row>
    <row r="128" spans="5:27">
      <c r="E128" s="125">
        <f t="shared" si="21"/>
        <v>0</v>
      </c>
      <c r="AA128" s="31">
        <f t="shared" si="20"/>
        <v>0</v>
      </c>
    </row>
    <row r="129" spans="1:27">
      <c r="E129" s="125">
        <f t="shared" si="21"/>
        <v>0</v>
      </c>
      <c r="AA129" s="31">
        <f t="shared" si="20"/>
        <v>0</v>
      </c>
    </row>
    <row r="130" spans="1:27">
      <c r="E130" s="125">
        <f t="shared" si="21"/>
        <v>0</v>
      </c>
      <c r="AA130" s="31">
        <f t="shared" si="20"/>
        <v>0</v>
      </c>
    </row>
    <row r="131" spans="1:27">
      <c r="E131" s="125">
        <f t="shared" si="21"/>
        <v>0</v>
      </c>
      <c r="AA131" s="31">
        <f t="shared" si="20"/>
        <v>0</v>
      </c>
    </row>
    <row r="132" spans="1:27">
      <c r="E132" s="125">
        <f t="shared" si="21"/>
        <v>0</v>
      </c>
      <c r="AA132" s="31">
        <f t="shared" si="20"/>
        <v>0</v>
      </c>
    </row>
    <row r="133" spans="1:27">
      <c r="E133" s="125">
        <f t="shared" si="21"/>
        <v>0</v>
      </c>
      <c r="AA133" s="31">
        <f t="shared" ref="AA133:AA164" si="22">IF(Z133="VND",Y133,Y133/Fx_rate)</f>
        <v>0</v>
      </c>
    </row>
    <row r="134" spans="1:27">
      <c r="E134" s="125">
        <f t="shared" si="21"/>
        <v>0</v>
      </c>
      <c r="AA134" s="31">
        <f t="shared" si="22"/>
        <v>0</v>
      </c>
    </row>
    <row r="135" spans="1:27">
      <c r="E135" s="125">
        <f t="shared" si="21"/>
        <v>0</v>
      </c>
      <c r="AA135" s="31">
        <f t="shared" si="22"/>
        <v>0</v>
      </c>
    </row>
    <row r="136" spans="1:27">
      <c r="E136" s="125">
        <f t="shared" si="21"/>
        <v>0</v>
      </c>
      <c r="AA136" s="31">
        <f t="shared" si="22"/>
        <v>0</v>
      </c>
    </row>
    <row r="137" spans="1:27">
      <c r="E137" s="125">
        <f t="shared" ref="E137:E138" si="23">IF(D137="VND",C137,C137/Fx_rate)</f>
        <v>0</v>
      </c>
      <c r="AA137" s="31">
        <f t="shared" si="22"/>
        <v>0</v>
      </c>
    </row>
    <row r="138" spans="1:27">
      <c r="E138" s="125">
        <f t="shared" si="23"/>
        <v>0</v>
      </c>
      <c r="AA138" s="31">
        <f t="shared" si="22"/>
        <v>0</v>
      </c>
    </row>
    <row r="139" spans="1:27">
      <c r="A139" s="7" t="s">
        <v>466</v>
      </c>
      <c r="B139" s="7" t="s">
        <v>466</v>
      </c>
      <c r="C139" s="7" t="s">
        <v>466</v>
      </c>
      <c r="D139" s="7" t="s">
        <v>466</v>
      </c>
      <c r="E139" s="7" t="s">
        <v>466</v>
      </c>
      <c r="F139" s="7" t="s">
        <v>466</v>
      </c>
      <c r="G139" s="7" t="s">
        <v>466</v>
      </c>
      <c r="H139" s="7" t="s">
        <v>466</v>
      </c>
      <c r="I139" s="7"/>
      <c r="J139" s="7" t="s">
        <v>466</v>
      </c>
      <c r="K139" s="7" t="s">
        <v>466</v>
      </c>
      <c r="L139" s="7" t="s">
        <v>466</v>
      </c>
      <c r="AA139" s="31">
        <f t="shared" si="22"/>
        <v>0</v>
      </c>
    </row>
    <row r="140" spans="1:27">
      <c r="AA140" s="31">
        <f t="shared" si="22"/>
        <v>0</v>
      </c>
    </row>
    <row r="141" spans="1:27">
      <c r="AA141" s="31">
        <f t="shared" si="22"/>
        <v>0</v>
      </c>
    </row>
    <row r="142" spans="1:27">
      <c r="AA142" s="31">
        <f t="shared" si="22"/>
        <v>0</v>
      </c>
    </row>
    <row r="143" spans="1:27">
      <c r="AA143" s="31">
        <f t="shared" si="22"/>
        <v>0</v>
      </c>
    </row>
    <row r="144" spans="1:27">
      <c r="AA144" s="31">
        <f t="shared" si="22"/>
        <v>0</v>
      </c>
    </row>
    <row r="145" spans="27:27">
      <c r="AA145" s="31">
        <f t="shared" si="22"/>
        <v>0</v>
      </c>
    </row>
    <row r="146" spans="27:27">
      <c r="AA146" s="31">
        <f t="shared" si="22"/>
        <v>0</v>
      </c>
    </row>
    <row r="147" spans="27:27">
      <c r="AA147" s="31">
        <f t="shared" si="22"/>
        <v>0</v>
      </c>
    </row>
    <row r="148" spans="27:27">
      <c r="AA148" s="31">
        <f t="shared" si="22"/>
        <v>0</v>
      </c>
    </row>
    <row r="149" spans="27:27">
      <c r="AA149" s="31">
        <f t="shared" si="22"/>
        <v>0</v>
      </c>
    </row>
    <row r="150" spans="27:27">
      <c r="AA150" s="31">
        <f t="shared" si="22"/>
        <v>0</v>
      </c>
    </row>
    <row r="151" spans="27:27">
      <c r="AA151" s="31">
        <f t="shared" si="22"/>
        <v>0</v>
      </c>
    </row>
    <row r="152" spans="27:27">
      <c r="AA152" s="31">
        <f t="shared" si="22"/>
        <v>0</v>
      </c>
    </row>
    <row r="153" spans="27:27">
      <c r="AA153" s="31">
        <f t="shared" si="22"/>
        <v>0</v>
      </c>
    </row>
    <row r="154" spans="27:27">
      <c r="AA154" s="31">
        <f t="shared" si="22"/>
        <v>0</v>
      </c>
    </row>
    <row r="155" spans="27:27">
      <c r="AA155" s="31">
        <f t="shared" si="22"/>
        <v>0</v>
      </c>
    </row>
    <row r="156" spans="27:27">
      <c r="AA156" s="31">
        <f t="shared" si="22"/>
        <v>0</v>
      </c>
    </row>
    <row r="157" spans="27:27">
      <c r="AA157" s="31">
        <f t="shared" si="22"/>
        <v>0</v>
      </c>
    </row>
    <row r="158" spans="27:27">
      <c r="AA158" s="31">
        <f t="shared" si="22"/>
        <v>0</v>
      </c>
    </row>
    <row r="159" spans="27:27">
      <c r="AA159" s="31">
        <f t="shared" si="22"/>
        <v>0</v>
      </c>
    </row>
    <row r="160" spans="27:27">
      <c r="AA160" s="31">
        <f t="shared" si="22"/>
        <v>0</v>
      </c>
    </row>
    <row r="161" spans="27:27">
      <c r="AA161" s="31">
        <f t="shared" si="22"/>
        <v>0</v>
      </c>
    </row>
    <row r="162" spans="27:27">
      <c r="AA162" s="31">
        <f t="shared" si="22"/>
        <v>0</v>
      </c>
    </row>
    <row r="163" spans="27:27">
      <c r="AA163" s="31">
        <f t="shared" si="22"/>
        <v>0</v>
      </c>
    </row>
    <row r="164" spans="27:27">
      <c r="AA164" s="31">
        <f t="shared" si="22"/>
        <v>0</v>
      </c>
    </row>
    <row r="165" spans="27:27">
      <c r="AA165" s="31">
        <f t="shared" ref="AA165:AA196" si="24">IF(Z165="VND",Y165,Y165/Fx_rate)</f>
        <v>0</v>
      </c>
    </row>
    <row r="166" spans="27:27">
      <c r="AA166" s="31">
        <f t="shared" si="24"/>
        <v>0</v>
      </c>
    </row>
    <row r="167" spans="27:27">
      <c r="AA167" s="31">
        <f t="shared" si="24"/>
        <v>0</v>
      </c>
    </row>
    <row r="168" spans="27:27">
      <c r="AA168" s="31">
        <f t="shared" si="24"/>
        <v>0</v>
      </c>
    </row>
    <row r="169" spans="27:27">
      <c r="AA169" s="31">
        <f t="shared" si="24"/>
        <v>0</v>
      </c>
    </row>
    <row r="170" spans="27:27">
      <c r="AA170" s="31">
        <f t="shared" si="24"/>
        <v>0</v>
      </c>
    </row>
    <row r="171" spans="27:27">
      <c r="AA171" s="31">
        <f t="shared" si="24"/>
        <v>0</v>
      </c>
    </row>
    <row r="172" spans="27:27">
      <c r="AA172" s="31">
        <f t="shared" si="24"/>
        <v>0</v>
      </c>
    </row>
    <row r="173" spans="27:27">
      <c r="AA173" s="31">
        <f t="shared" si="24"/>
        <v>0</v>
      </c>
    </row>
    <row r="174" spans="27:27">
      <c r="AA174" s="31">
        <f t="shared" si="24"/>
        <v>0</v>
      </c>
    </row>
    <row r="175" spans="27:27">
      <c r="AA175" s="31">
        <f t="shared" si="24"/>
        <v>0</v>
      </c>
    </row>
    <row r="176" spans="27:27">
      <c r="AA176" s="31">
        <f t="shared" si="24"/>
        <v>0</v>
      </c>
    </row>
    <row r="177" spans="27:27">
      <c r="AA177" s="31">
        <f t="shared" si="24"/>
        <v>0</v>
      </c>
    </row>
    <row r="178" spans="27:27">
      <c r="AA178" s="31">
        <f t="shared" si="24"/>
        <v>0</v>
      </c>
    </row>
    <row r="179" spans="27:27">
      <c r="AA179" s="31">
        <f t="shared" si="24"/>
        <v>0</v>
      </c>
    </row>
    <row r="180" spans="27:27">
      <c r="AA180" s="31">
        <f t="shared" si="24"/>
        <v>0</v>
      </c>
    </row>
    <row r="181" spans="27:27">
      <c r="AA181" s="31">
        <f t="shared" si="24"/>
        <v>0</v>
      </c>
    </row>
    <row r="182" spans="27:27">
      <c r="AA182" s="31">
        <f t="shared" si="24"/>
        <v>0</v>
      </c>
    </row>
    <row r="183" spans="27:27">
      <c r="AA183" s="31">
        <f t="shared" si="24"/>
        <v>0</v>
      </c>
    </row>
    <row r="184" spans="27:27">
      <c r="AA184" s="31">
        <f t="shared" si="24"/>
        <v>0</v>
      </c>
    </row>
    <row r="185" spans="27:27">
      <c r="AA185" s="31">
        <f t="shared" si="24"/>
        <v>0</v>
      </c>
    </row>
    <row r="186" spans="27:27">
      <c r="AA186" s="31">
        <f t="shared" si="24"/>
        <v>0</v>
      </c>
    </row>
    <row r="187" spans="27:27">
      <c r="AA187" s="31">
        <f t="shared" si="24"/>
        <v>0</v>
      </c>
    </row>
    <row r="188" spans="27:27">
      <c r="AA188" s="31">
        <f t="shared" si="24"/>
        <v>0</v>
      </c>
    </row>
    <row r="189" spans="27:27">
      <c r="AA189" s="31">
        <f t="shared" si="24"/>
        <v>0</v>
      </c>
    </row>
    <row r="190" spans="27:27">
      <c r="AA190" s="31">
        <f t="shared" si="24"/>
        <v>0</v>
      </c>
    </row>
    <row r="191" spans="27:27">
      <c r="AA191" s="31">
        <f t="shared" si="24"/>
        <v>0</v>
      </c>
    </row>
    <row r="192" spans="27:27">
      <c r="AA192" s="31">
        <f t="shared" si="24"/>
        <v>0</v>
      </c>
    </row>
    <row r="193" spans="20:34">
      <c r="AA193" s="31">
        <f t="shared" si="24"/>
        <v>0</v>
      </c>
    </row>
    <row r="194" spans="20:34">
      <c r="AA194" s="31">
        <f t="shared" si="24"/>
        <v>0</v>
      </c>
    </row>
    <row r="195" spans="20:34">
      <c r="AA195" s="31">
        <f t="shared" si="24"/>
        <v>0</v>
      </c>
    </row>
    <row r="196" spans="20:34">
      <c r="AA196" s="31">
        <f t="shared" si="24"/>
        <v>0</v>
      </c>
    </row>
    <row r="197" spans="20:34">
      <c r="AA197" s="31">
        <f t="shared" ref="AA197:AA198" si="25">IF(Z197="VND",Y197,Y197/Fx_rate)</f>
        <v>0</v>
      </c>
    </row>
    <row r="198" spans="20:34">
      <c r="AA198" s="31">
        <f t="shared" si="25"/>
        <v>0</v>
      </c>
    </row>
    <row r="199" spans="20:34">
      <c r="W199" s="7" t="s">
        <v>466</v>
      </c>
      <c r="X199" s="7" t="s">
        <v>466</v>
      </c>
      <c r="Y199" s="7" t="s">
        <v>466</v>
      </c>
      <c r="Z199" s="7" t="s">
        <v>466</v>
      </c>
      <c r="AA199" s="7" t="s">
        <v>466</v>
      </c>
      <c r="AB199" s="7" t="s">
        <v>466</v>
      </c>
      <c r="AC199" s="7" t="s">
        <v>466</v>
      </c>
      <c r="AD199" s="7" t="s">
        <v>466</v>
      </c>
      <c r="AE199" s="7"/>
      <c r="AF199" s="7" t="s">
        <v>466</v>
      </c>
      <c r="AG199" s="7" t="s">
        <v>466</v>
      </c>
    </row>
    <row r="200" spans="20:34">
      <c r="T200" s="7" t="s">
        <v>466</v>
      </c>
      <c r="V200" s="7" t="s">
        <v>466</v>
      </c>
      <c r="AH200" s="7" t="s">
        <v>466</v>
      </c>
    </row>
  </sheetData>
  <conditionalFormatting sqref="D15:D62 W63:W64 D64 AP65 BI65 CB65 CU65 DN65 EG65 EZ65 FS65 GL65 HE65 HX65 IQ65 JJ65 KC65 KV65 LO65 MH65 NA65 NT65 OM65 PF65 PY65 QR65 RK65 SD65 SW65 TP65 UI65 VB65 VU65 WN65 XG65 XZ65 YS65 ZL65 AAE65 AAX65 ABQ65 ACJ65 ADC65 ADV65 AEO65 AFH65 AGA65 AGT65 AHM65 AIF65 AIY65 AJR65 AKK65 ALD65 ALW65 AMP65 ANI65 AOB65 AOU65 APN65 AQG65 AQZ65 ARS65 ASL65 ATE65 ATX65 AUQ65 AVJ65 AWC65 AWV65 AXO65 AYH65 AZA65 AZT65 BAM65 BBF65 BBY65 BCR65 BDK65 BED65 BEW65 BFP65 BGI65 BHB65 BHU65 BIN65 BJG65 BJZ65 BKS65 BLL65 BME65 BMX65 BNQ65 BOJ65 BPC65 BPV65 BQO65 BRH65 BSA65 BST65 BTM65 BUF65 BUY65 BVR65 BWK65 BXD65 BXW65 BYP65 BZI65 CAB65 CAU65 CBN65 CCG65 CCZ65 CDS65 CEL65 CFE65 CFX65 CGQ65 CHJ65 CIC65 CIV65 CJO65 CKH65 CLA65 CLT65 CMM65 CNF65 CNY65 COR65 CPK65 CQD65 CQW65 CRP65 CSI65 CTB65 CTU65 CUN65 CVG65 CVZ65 CWS65 CXL65 CYE65 CYX65 CZQ65 DAJ65 DBC65 DBV65 DCO65 DDH65 DEA65 DET65 DFM65 DGF65 DGY65 DHR65 DIK65 DJD65 DJW65 DKP65 DLI65 DMB65 DMU65 DNN65 DOG65 DOZ65 DPS65 DQL65 DRE65 DRX65 DSQ65 DTJ65 DUC65 DUV65 DVO65 DWH65 DXA65 DXT65 DYM65 DZF65 DZY65 EAR65 EBK65 ECD65 ECW65 EDP65 EEI65 EFB65 EFU65 EGN65 EHG65 EHZ65 EIS65 EJL65 EKE65 EKX65 ELQ65 EMJ65 ENC65 ENV65 EOO65 EPH65 EQA65 EQT65 ERM65 ESF65 ESY65 ETR65 EUK65 EVD65 EVW65 EWP65 EXI65 EYB65 EYU65 EZN65 FAG65 FAZ65 FBS65 FCL65 FDE65 FDX65 FEQ65 FFJ65 FGC65 FGV65 FHO65 FIH65 FJA65 FJT65 FKM65 FLF65 FLY65 FMR65 FNK65 FOD65 FOW65 FPP65 FQI65 FRB65 FRU65 FSN65 FTG65 FTZ65 FUS65 FVL65 FWE65 FWX65 FXQ65 FYJ65 FZC65 FZV65 GAO65 GBH65 GCA65 GCT65 GDM65 GEF65 GEY65 GFR65 GGK65 GHD65 GHW65 GIP65 GJI65 GKB65 GKU65 GLN65 GMG65 GMZ65 GNS65 GOL65 GPE65 GPX65 GQQ65 GRJ65 GSC65 GSV65 GTO65 GUH65 GVA65 GVT65 GWM65 GXF65 GXY65 GYR65 GZK65 HAD65 HAW65 HBP65 HCI65 HDB65 HDU65 HEN65 HFG65 HFZ65 HGS65 HHL65 HIE65 HIX65 HJQ65 HKJ65 HLC65 HLV65 HMO65 HNH65 HOA65 HOT65 HPM65 HQF65 HQY65 HRR65 HSK65 HTD65 HTW65 HUP65 HVI65 HWB65 HWU65 HXN65 HYG65 HYZ65 HZS65 IAL65 IBE65 IBX65 ICQ65 IDJ65 IEC65 IEV65 IFO65 IGH65 IHA65 IHT65 IIM65 IJF65 IJY65 IKR65 ILK65 IMD65 IMW65 INP65 IOI65 IPB65 IPU65 IQN65 IRG65 IRZ65 ISS65 ITL65 IUE65 IUX65 IVQ65 IWJ65 IXC65 IXV65 IYO65 IZH65 JAA65 JAT65 JBM65 JCF65 JCY65 JDR65 JEK65 JFD65 JFW65 JGP65 JHI65 JIB65 JIU65 JJN65 JKG65 JKZ65 JLS65 JML65 JNE65 JNX65 JOQ65 JPJ65 JQC65 JQV65 JRO65 JSH65 JTA65 JTT65 JUM65 JVF65 JVY65 JWR65 JXK65 JYD65 JYW65 JZP65 KAI65 KBB65 KBU65 KCN65 KDG65 KDZ65 KES65 KFL65 KGE65 KGX65 KHQ65 KIJ65 KJC65 KJV65 KKO65 KLH65 KMA65 KMT65 KNM65 KOF65 KOY65 KPR65 KQK65 KRD65 KRW65 KSP65 KTI65 KUB65 KUU65 KVN65 KWG65 KWZ65 KXS65 KYL65 KZE65 KZX65 LAQ65 LBJ65 LCC65 LCV65 LDO65 LEH65 LFA65 LFT65 LGM65 LHF65 LHY65 LIR65 LJK65 LKD65 LKW65 LLP65 LMI65 LNB65 LNU65 LON65 LPG65 LPZ65 LQS65 LRL65 LSE65 LSX65 LTQ65 LUJ65 LVC65 LVV65 LWO65 LXH65 LYA65 LYT65 LZM65 MAF65 MAY65 MBR65 MCK65 MDD65 MDW65 MEP65 MFI65 MGB65 MGU65 MHN65 MIG65 MIZ65 MJS65 MKL65 MLE65 MLX65 MMQ65 MNJ65 MOC65 MOV65 MPO65 MQH65 MRA65 MRT65 MSM65 MTF65 MTY65 MUR65 MVK65 MWD65 MWW65 MXP65 MYI65 MZB65 MZU65 NAN65 NBG65 NBZ65 NCS65 NDL65 NEE65 NEX65 NFQ65 NGJ65 NHC65 NHV65 NIO65 NJH65 NKA65 NKT65 NLM65 NMF65 NMY65 NNR65 NOK65 NPD65 NPW65 NQP65 NRI65 NSB65 NSU65 NTN65 NUG65 NUZ65 NVS65 NWL65 NXE65 NXX65 NYQ65 NZJ65 OAC65 OAV65 OBO65 OCH65 ODA65 ODT65 OEM65 OFF65 OFY65 OGR65 OHK65 OID65 OIW65 OJP65 OKI65 OLB65 OLU65 OMN65 ONG65 ONZ65 OOS65 OPL65 OQE65 OQX65 ORQ65 OSJ65 OTC65 OTV65 OUO65 OVH65 OWA65 OWT65 OXM65 OYF65 OYY65 OZR65 PAK65 PBD65 PBW65 PCP65 PDI65 PEB65 PEU65 PFN65 PGG65 PGZ65 PHS65 PIL65 PJE65 PJX65 PKQ65 PLJ65 PMC65 PMV65 PNO65 POH65 PPA65 PPT65 PQM65 PRF65 PRY65 PSR65 PTK65 PUD65 PUW65 PVP65 PWI65 PXB65 PXU65 PYN65 PZG65 PZZ65 QAS65 QBL65 QCE65 QCX65 QDQ65 QEJ65 QFC65 QFV65 QGO65 QHH65 QIA65 QIT65 QJM65 QKF65 QKY65 QLR65 QMK65 QND65 QNW65 QOP65 QPI65 QQB65 QQU65 QRN65 QSG65 QSZ65 QTS65 QUL65 QVE65 QVX65 QWQ65 QXJ65 QYC65 QYV65 QZO65 RAH65 RBA65 RBT65 RCM65 RDF65 RDY65 RER65 RFK65 RGD65 RGW65 RHP65 RII65 RJB65 RJU65 RKN65 RLG65 RLZ65 RMS65 RNL65 ROE65 ROX65 RPQ65 RQJ65 RRC65 RRV65 RSO65 RTH65 RUA65 RUT65 RVM65 RWF65 RWY65 RXR65 RYK65 RZD65 RZW65 SAP65 SBI65 SCB65 SCU65 SDN65 SEG65 SEZ65 SFS65 SGL65 SHE65 SHX65 SIQ65 SJJ65 SKC65 SKV65 SLO65 SMH65 SNA65 SNT65 SOM65 SPF65 SPY65 SQR65 SRK65 SSD65 SSW65 STP65 SUI65 SVB65 SVU65 SWN65 SXG65 SXZ65 SYS65 SZL65 TAE65 TAX65 TBQ65 TCJ65 TDC65 TDV65 TEO65 TFH65 TGA65 TGT65 THM65 TIF65 TIY65 TJR65 TKK65 TLD65 TLW65 TMP65 TNI65 TOB65 TOU65 TPN65 TQG65 TQZ65 TRS65 TSL65 TTE65 TTX65 TUQ65 TVJ65 TWC65 TWV65 TXO65 TYH65 TZA65 TZT65 UAM65 UBF65 UBY65 UCR65 UDK65 UED65 UEW65 UFP65 UGI65 UHB65 UHU65 UIN65 UJG65 UJZ65 UKS65 ULL65 UME65 UMX65 UNQ65 UOJ65 UPC65 UPV65 UQO65 URH65 USA65 UST65 UTM65 UUF65 UUY65 UVR65 UWK65 UXD65 UXW65 UYP65 UZI65 VAB65 VAU65 VBN65 VCG65 VCZ65 VDS65 VEL65 VFE65 VFX65 VGQ65 VHJ65 VIC65 VIV65 VJO65 VKH65 VLA65 VLT65 VMM65 VNF65 VNY65 VOR65 VPK65 VQD65 VQW65 VRP65 VSI65 VTB65 VTU65 VUN65 VVG65 VVZ65 VWS65 VXL65 VYE65 VYX65 VZQ65 WAJ65 WBC65 WBV65 WCO65 WDH65 WEA65 WET65 WFM65 WGF65 WGY65 WHR65 WIK65 WJD65 WJW65 WKP65 WLI65 WMB65 WMU65 WNN65 WOG65 WOZ65 WPS65 WQL65 WRE65 WRX65 WSQ65 WTJ65 WUC65 WUV65 WVO65 WWH65 WXA65 WXT65 WYM65 WZF65 WZY65 XAR65 XBK65 XCD65 XCW65 XDP65 XEI65 XFB65">
    <cfRule type="cellIs" dxfId="24" priority="18" operator="equal">
      <formula>"USD"</formula>
    </cfRule>
  </conditionalFormatting>
  <conditionalFormatting sqref="K51:K64">
    <cfRule type="cellIs" dxfId="23" priority="1" operator="equal">
      <formula>"Contribution"</formula>
    </cfRule>
    <cfRule type="cellIs" dxfId="22" priority="2" operator="equal">
      <formula>"Bank Loan"</formula>
    </cfRule>
    <cfRule type="cellIs" dxfId="21" priority="3" operator="equal">
      <formula>"SHL"</formula>
    </cfRule>
  </conditionalFormatting>
  <dataValidations count="3">
    <dataValidation type="list" allowBlank="1" showInputMessage="1" showErrorMessage="1" sqref="AU15:AU27 AF15:AF24 AF27:AF84 J15:J64" xr:uid="{EA3101FF-487B-47AD-8DF5-0D7935906EFD}">
      <formula1>"PLANNED, DELAYED, DONE"</formula1>
    </dataValidation>
    <dataValidation type="list" allowBlank="1" showInputMessage="1" showErrorMessage="1" sqref="N23:N27" xr:uid="{61E9B151-8D0C-47FB-847C-280FFC7650A5}">
      <formula1>_xlfn.ANCHORARRAY($O$23)</formula1>
    </dataValidation>
    <dataValidation type="list" allowBlank="1" showInputMessage="1" showErrorMessage="1" sqref="K15:K50" xr:uid="{D35A6BF5-8021-46D0-B404-6A4CD146D940}">
      <formula1>"Equity, SHL, Bank Loan, Contribution"</formula1>
    </dataValidation>
  </dataValidations>
  <pageMargins left="0.7" right="0.7" top="0.75" bottom="0.75" header="0.3" footer="0.3"/>
  <pageSetup orientation="portrait" r:id="rId1"/>
  <tableParts count="3">
    <tablePart r:id="rId2"/>
    <tablePart r:id="rId3"/>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7F9C3885-545A-408E-B200-7EAC70E3B1D3}">
          <x14:formula1>
            <xm:f>OFFSET(Def!$Q$4,COUNTIFS(Def!$S:$S,"Payment"),0,COUNTIFS(Def!$S:$S,"Receipt"),1)</xm:f>
          </x14:formula1>
          <xm:sqref>AS17:AS27 AD15:AD20 AD22:AD24 AD27:AD84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CE652-76E6-4CE1-A641-29E3B2D7DFF1}">
  <sheetPr>
    <tabColor rgb="FFFFFF00"/>
  </sheetPr>
  <dimension ref="A1:AC1001"/>
  <sheetViews>
    <sheetView tabSelected="1" zoomScale="73" zoomScaleNormal="100" workbookViewId="0">
      <pane xSplit="4" ySplit="3" topLeftCell="E892" activePane="bottomRight" state="frozen"/>
      <selection pane="topRight" activeCell="A17" sqref="A17"/>
      <selection pane="bottomLeft" activeCell="A17" sqref="A17"/>
      <selection pane="bottomRight" activeCell="D911" sqref="D911"/>
    </sheetView>
  </sheetViews>
  <sheetFormatPr defaultColWidth="9.44140625" defaultRowHeight="13.8"/>
  <cols>
    <col min="1" max="1" width="22.5546875" style="37" customWidth="1"/>
    <col min="2" max="2" width="29.44140625" style="37" customWidth="1"/>
    <col min="3" max="3" width="30.5546875" style="45" bestFit="1" customWidth="1"/>
    <col min="4" max="4" width="18" style="2" customWidth="1"/>
    <col min="5" max="5" width="15.44140625" style="7" bestFit="1" customWidth="1"/>
    <col min="6" max="6" width="21.21875" style="1419" customWidth="1"/>
    <col min="7" max="7" width="19.77734375" style="31" customWidth="1"/>
    <col min="8" max="8" width="14.5546875" style="2" bestFit="1" customWidth="1"/>
    <col min="9" max="9" width="19.5546875" style="2" customWidth="1"/>
    <col min="10" max="10" width="32.44140625" style="2" bestFit="1" customWidth="1"/>
    <col min="11" max="11" width="26.5546875" style="32" customWidth="1"/>
    <col min="12" max="12" width="14.5546875" style="2" bestFit="1" customWidth="1"/>
    <col min="13" max="16" width="9.44140625" style="2"/>
    <col min="17" max="17" width="13.44140625" style="2" customWidth="1"/>
    <col min="18" max="23" width="38.5546875" style="2" bestFit="1" customWidth="1"/>
    <col min="24" max="25" width="45.44140625" style="2" bestFit="1" customWidth="1"/>
    <col min="26" max="26" width="33.44140625" style="2" bestFit="1" customWidth="1"/>
    <col min="27" max="27" width="32.5546875" style="2" bestFit="1" customWidth="1"/>
    <col min="28" max="28" width="34" style="2" bestFit="1" customWidth="1"/>
    <col min="29" max="29" width="33.5546875" style="2" bestFit="1" customWidth="1"/>
    <col min="30" max="30" width="10.5546875" style="2" bestFit="1" customWidth="1"/>
    <col min="31" max="16384" width="9.44140625" style="2"/>
  </cols>
  <sheetData>
    <row r="1" spans="1:17" ht="14.4">
      <c r="F1" s="637"/>
      <c r="G1" s="637"/>
      <c r="H1" s="462"/>
      <c r="I1" s="462"/>
    </row>
    <row r="2" spans="1:17">
      <c r="A2" s="1102" t="s">
        <v>467</v>
      </c>
      <c r="B2" s="1103" t="s">
        <v>468</v>
      </c>
      <c r="C2" s="1104" t="s">
        <v>5389</v>
      </c>
      <c r="G2" s="1410">
        <f>SUBTOTAL(9,(G4:G1001))</f>
        <v>90789.840000000215</v>
      </c>
      <c r="H2" s="1009"/>
      <c r="I2" s="1105"/>
      <c r="J2" s="1105"/>
      <c r="M2" s="44"/>
      <c r="N2" s="44"/>
    </row>
    <row r="3" spans="1:17" ht="28.8">
      <c r="A3" s="1010" t="s">
        <v>313</v>
      </c>
      <c r="B3" s="1010" t="s">
        <v>314</v>
      </c>
      <c r="C3" s="1010" t="s">
        <v>315</v>
      </c>
      <c r="D3" s="1010" t="s">
        <v>304</v>
      </c>
      <c r="E3" s="1010" t="s">
        <v>316</v>
      </c>
      <c r="F3" s="1411" t="s">
        <v>323</v>
      </c>
      <c r="G3" s="1411" t="s">
        <v>331</v>
      </c>
      <c r="H3" s="1011" t="s">
        <v>289</v>
      </c>
      <c r="I3" s="1011" t="s">
        <v>334</v>
      </c>
      <c r="J3" s="1011" t="s">
        <v>69</v>
      </c>
      <c r="L3" s="49"/>
      <c r="M3" s="49"/>
      <c r="N3" s="49"/>
      <c r="O3" s="49"/>
      <c r="P3" s="49"/>
      <c r="Q3" s="49"/>
    </row>
    <row r="4" spans="1:17" s="448" customFormat="1">
      <c r="A4" s="987" t="s">
        <v>469</v>
      </c>
      <c r="B4" s="988" t="s">
        <v>92</v>
      </c>
      <c r="C4" s="1106" t="s">
        <v>470</v>
      </c>
      <c r="D4" s="1012" t="s">
        <v>308</v>
      </c>
      <c r="E4" s="1013" t="s">
        <v>80</v>
      </c>
      <c r="F4" s="1412">
        <v>38115079</v>
      </c>
      <c r="G4" s="1413">
        <v>0</v>
      </c>
      <c r="H4" s="1014" t="s">
        <v>8</v>
      </c>
      <c r="I4" s="1014" t="s">
        <v>114</v>
      </c>
      <c r="J4" s="1014" t="s">
        <v>92</v>
      </c>
      <c r="K4" s="803"/>
      <c r="L4" s="803"/>
    </row>
    <row r="5" spans="1:17" s="448" customFormat="1">
      <c r="A5" s="987" t="s">
        <v>469</v>
      </c>
      <c r="B5" s="988" t="s">
        <v>92</v>
      </c>
      <c r="C5" s="1106" t="s">
        <v>471</v>
      </c>
      <c r="D5" s="1009" t="s">
        <v>308</v>
      </c>
      <c r="E5" s="1015" t="s">
        <v>81</v>
      </c>
      <c r="F5" s="1412">
        <v>0</v>
      </c>
      <c r="G5" s="1413">
        <v>66.999999999999986</v>
      </c>
      <c r="H5" s="1014" t="s">
        <v>8</v>
      </c>
      <c r="I5" s="1014" t="s">
        <v>114</v>
      </c>
      <c r="J5" s="1014" t="s">
        <v>92</v>
      </c>
      <c r="K5" s="803"/>
    </row>
    <row r="6" spans="1:17" s="448" customFormat="1">
      <c r="A6" s="987" t="s">
        <v>469</v>
      </c>
      <c r="B6" s="988" t="s">
        <v>89</v>
      </c>
      <c r="C6" s="1107" t="s">
        <v>472</v>
      </c>
      <c r="D6" s="1009" t="s">
        <v>308</v>
      </c>
      <c r="E6" s="1015" t="s">
        <v>80</v>
      </c>
      <c r="F6" s="1414">
        <v>429573040</v>
      </c>
      <c r="G6" s="1413">
        <v>0</v>
      </c>
      <c r="H6" s="1014" t="s">
        <v>8</v>
      </c>
      <c r="I6" s="1014" t="s">
        <v>112</v>
      </c>
      <c r="J6" s="1014" t="s">
        <v>89</v>
      </c>
      <c r="K6" s="804"/>
      <c r="L6" s="805"/>
    </row>
    <row r="7" spans="1:17" s="448" customFormat="1">
      <c r="A7" s="987" t="s">
        <v>469</v>
      </c>
      <c r="B7" s="988" t="s">
        <v>89</v>
      </c>
      <c r="C7" s="1107" t="s">
        <v>473</v>
      </c>
      <c r="D7" s="1009" t="s">
        <v>308</v>
      </c>
      <c r="E7" s="1015" t="s">
        <v>81</v>
      </c>
      <c r="F7" s="1413">
        <v>0</v>
      </c>
      <c r="G7" s="1413">
        <v>642.68999999999994</v>
      </c>
      <c r="H7" s="1014" t="s">
        <v>8</v>
      </c>
      <c r="I7" s="1014" t="s">
        <v>112</v>
      </c>
      <c r="J7" s="1014" t="s">
        <v>89</v>
      </c>
      <c r="K7" s="803"/>
    </row>
    <row r="8" spans="1:17" s="448" customFormat="1">
      <c r="A8" s="987" t="s">
        <v>469</v>
      </c>
      <c r="B8" s="988" t="s">
        <v>91</v>
      </c>
      <c r="C8" s="1107" t="s">
        <v>474</v>
      </c>
      <c r="D8" s="1009" t="s">
        <v>307</v>
      </c>
      <c r="E8" s="1015" t="s">
        <v>81</v>
      </c>
      <c r="F8" s="1412">
        <v>0</v>
      </c>
      <c r="G8" s="1413">
        <v>748.6</v>
      </c>
      <c r="H8" s="1014" t="s">
        <v>8</v>
      </c>
      <c r="I8" s="1014" t="s">
        <v>112</v>
      </c>
      <c r="J8" s="1014" t="s">
        <v>91</v>
      </c>
      <c r="K8" s="803"/>
    </row>
    <row r="9" spans="1:17" s="448" customFormat="1">
      <c r="A9" s="987" t="s">
        <v>469</v>
      </c>
      <c r="B9" s="988" t="s">
        <v>91</v>
      </c>
      <c r="C9" s="1107" t="s">
        <v>475</v>
      </c>
      <c r="D9" s="1009" t="s">
        <v>307</v>
      </c>
      <c r="E9" s="1015" t="s">
        <v>80</v>
      </c>
      <c r="F9" s="1412">
        <v>43003425</v>
      </c>
      <c r="G9" s="1413">
        <v>0</v>
      </c>
      <c r="H9" s="1014" t="s">
        <v>8</v>
      </c>
      <c r="I9" s="1014" t="s">
        <v>112</v>
      </c>
      <c r="J9" s="1014" t="s">
        <v>91</v>
      </c>
      <c r="K9" s="803"/>
    </row>
    <row r="10" spans="1:17" s="448" customFormat="1">
      <c r="A10" s="987" t="s">
        <v>469</v>
      </c>
      <c r="B10" s="988" t="s">
        <v>91</v>
      </c>
      <c r="C10" s="1107" t="s">
        <v>476</v>
      </c>
      <c r="D10" s="1009" t="s">
        <v>308</v>
      </c>
      <c r="E10" s="1015" t="s">
        <v>81</v>
      </c>
      <c r="F10" s="1414">
        <v>0</v>
      </c>
      <c r="G10" s="1413">
        <v>319.76</v>
      </c>
      <c r="H10" s="1014" t="s">
        <v>8</v>
      </c>
      <c r="I10" s="1014" t="s">
        <v>112</v>
      </c>
      <c r="J10" s="1014" t="s">
        <v>91</v>
      </c>
      <c r="K10" s="806"/>
      <c r="L10" s="807"/>
    </row>
    <row r="11" spans="1:17" s="448" customFormat="1">
      <c r="A11" s="987" t="s">
        <v>469</v>
      </c>
      <c r="B11" s="988" t="s">
        <v>91</v>
      </c>
      <c r="C11" s="1107" t="s">
        <v>5390</v>
      </c>
      <c r="D11" s="1009" t="s">
        <v>310</v>
      </c>
      <c r="E11" s="1015" t="s">
        <v>80</v>
      </c>
      <c r="F11" s="1413">
        <v>100000000</v>
      </c>
      <c r="G11" s="1413">
        <v>0</v>
      </c>
      <c r="H11" s="1014" t="s">
        <v>8</v>
      </c>
      <c r="I11" s="1014" t="s">
        <v>112</v>
      </c>
      <c r="J11" s="1014" t="s">
        <v>91</v>
      </c>
      <c r="K11" s="806"/>
    </row>
    <row r="12" spans="1:17" s="448" customFormat="1">
      <c r="A12" s="987" t="s">
        <v>469</v>
      </c>
      <c r="B12" s="988" t="s">
        <v>91</v>
      </c>
      <c r="C12" s="1107" t="s">
        <v>477</v>
      </c>
      <c r="D12" s="1009" t="s">
        <v>308</v>
      </c>
      <c r="E12" s="1015" t="s">
        <v>80</v>
      </c>
      <c r="F12" s="1412">
        <v>39111001</v>
      </c>
      <c r="G12" s="1413">
        <v>0</v>
      </c>
      <c r="H12" s="1014" t="s">
        <v>8</v>
      </c>
      <c r="I12" s="1014" t="s">
        <v>112</v>
      </c>
      <c r="J12" s="1014" t="s">
        <v>91</v>
      </c>
      <c r="K12" s="806"/>
    </row>
    <row r="13" spans="1:17" s="448" customFormat="1">
      <c r="A13" s="987" t="s">
        <v>469</v>
      </c>
      <c r="B13" s="988" t="s">
        <v>91</v>
      </c>
      <c r="C13" s="1107" t="s">
        <v>5391</v>
      </c>
      <c r="D13" s="1009" t="s">
        <v>310</v>
      </c>
      <c r="E13" s="1015" t="s">
        <v>80</v>
      </c>
      <c r="F13" s="1413">
        <v>100000000</v>
      </c>
      <c r="G13" s="1413">
        <v>0</v>
      </c>
      <c r="H13" s="1014" t="s">
        <v>8</v>
      </c>
      <c r="I13" s="1014" t="s">
        <v>112</v>
      </c>
      <c r="J13" s="1014" t="s">
        <v>91</v>
      </c>
      <c r="K13" s="806"/>
    </row>
    <row r="14" spans="1:17" s="448" customFormat="1">
      <c r="A14" s="987" t="s">
        <v>469</v>
      </c>
      <c r="B14" s="988" t="s">
        <v>85</v>
      </c>
      <c r="C14" s="1107" t="s">
        <v>478</v>
      </c>
      <c r="D14" s="1009" t="s">
        <v>308</v>
      </c>
      <c r="E14" s="1015" t="s">
        <v>80</v>
      </c>
      <c r="F14" s="1413">
        <v>29039515</v>
      </c>
      <c r="G14" s="1413">
        <v>0</v>
      </c>
      <c r="H14" s="1014" t="s">
        <v>8</v>
      </c>
      <c r="I14" s="1014" t="s">
        <v>110</v>
      </c>
      <c r="J14" s="1014" t="s">
        <v>85</v>
      </c>
      <c r="K14" s="806"/>
    </row>
    <row r="15" spans="1:17" s="448" customFormat="1">
      <c r="A15" s="987" t="s">
        <v>469</v>
      </c>
      <c r="B15" s="988" t="s">
        <v>85</v>
      </c>
      <c r="C15" s="1107" t="s">
        <v>479</v>
      </c>
      <c r="D15" s="1009" t="s">
        <v>308</v>
      </c>
      <c r="E15" s="1015" t="s">
        <v>81</v>
      </c>
      <c r="F15" s="1412">
        <v>0</v>
      </c>
      <c r="G15" s="1413">
        <v>200</v>
      </c>
      <c r="H15" s="1014" t="s">
        <v>8</v>
      </c>
      <c r="I15" s="1014" t="s">
        <v>110</v>
      </c>
      <c r="J15" s="1014" t="s">
        <v>85</v>
      </c>
      <c r="K15" s="806"/>
    </row>
    <row r="16" spans="1:17" s="448" customFormat="1">
      <c r="A16" s="987" t="s">
        <v>469</v>
      </c>
      <c r="B16" s="988" t="s">
        <v>153</v>
      </c>
      <c r="C16" s="1107" t="s">
        <v>480</v>
      </c>
      <c r="D16" s="1009" t="s">
        <v>310</v>
      </c>
      <c r="E16" s="1015" t="s">
        <v>80</v>
      </c>
      <c r="F16" s="1412">
        <v>6000000000</v>
      </c>
      <c r="G16" s="1413">
        <v>0</v>
      </c>
      <c r="H16" s="1014" t="s">
        <v>8</v>
      </c>
      <c r="I16" s="1014" t="s">
        <v>110</v>
      </c>
      <c r="J16" s="1014" t="s">
        <v>87</v>
      </c>
      <c r="K16" s="806"/>
    </row>
    <row r="17" spans="1:11" s="448" customFormat="1">
      <c r="A17" s="987" t="s">
        <v>469</v>
      </c>
      <c r="B17" s="988" t="s">
        <v>153</v>
      </c>
      <c r="C17" s="1107" t="s">
        <v>481</v>
      </c>
      <c r="D17" s="1009" t="s">
        <v>308</v>
      </c>
      <c r="E17" s="1015" t="s">
        <v>80</v>
      </c>
      <c r="F17" s="1412">
        <v>1422275903</v>
      </c>
      <c r="G17" s="1413">
        <v>0</v>
      </c>
      <c r="H17" s="1014" t="s">
        <v>8</v>
      </c>
      <c r="I17" s="1014" t="s">
        <v>110</v>
      </c>
      <c r="J17" s="1014" t="s">
        <v>87</v>
      </c>
      <c r="K17" s="806"/>
    </row>
    <row r="18" spans="1:11" s="448" customFormat="1">
      <c r="A18" s="987" t="s">
        <v>469</v>
      </c>
      <c r="B18" s="988" t="s">
        <v>153</v>
      </c>
      <c r="C18" s="1107" t="s">
        <v>482</v>
      </c>
      <c r="D18" s="1009" t="s">
        <v>308</v>
      </c>
      <c r="E18" s="1015" t="s">
        <v>81</v>
      </c>
      <c r="F18" s="1412">
        <v>0</v>
      </c>
      <c r="G18" s="1413">
        <v>1503.92</v>
      </c>
      <c r="H18" s="1014" t="s">
        <v>8</v>
      </c>
      <c r="I18" s="1014" t="s">
        <v>110</v>
      </c>
      <c r="J18" s="1014" t="s">
        <v>87</v>
      </c>
      <c r="K18" s="806"/>
    </row>
    <row r="19" spans="1:11" s="448" customFormat="1">
      <c r="A19" s="987" t="s">
        <v>469</v>
      </c>
      <c r="B19" s="988" t="s">
        <v>155</v>
      </c>
      <c r="C19" s="1107" t="s">
        <v>483</v>
      </c>
      <c r="D19" s="1009" t="s">
        <v>308</v>
      </c>
      <c r="E19" s="1015" t="s">
        <v>80</v>
      </c>
      <c r="F19" s="1412">
        <v>16228220</v>
      </c>
      <c r="G19" s="1413">
        <v>0</v>
      </c>
      <c r="H19" s="1014" t="s">
        <v>8</v>
      </c>
      <c r="I19" s="1014" t="s">
        <v>110</v>
      </c>
      <c r="J19" s="1014" t="s">
        <v>87</v>
      </c>
      <c r="K19" s="806"/>
    </row>
    <row r="20" spans="1:11" s="448" customFormat="1">
      <c r="A20" s="987" t="s">
        <v>469</v>
      </c>
      <c r="B20" s="988" t="s">
        <v>155</v>
      </c>
      <c r="C20" s="1107" t="s">
        <v>484</v>
      </c>
      <c r="D20" s="1009" t="s">
        <v>308</v>
      </c>
      <c r="E20" s="1015" t="s">
        <v>81</v>
      </c>
      <c r="F20" s="1412">
        <v>0</v>
      </c>
      <c r="G20" s="1413">
        <v>200</v>
      </c>
      <c r="H20" s="1014" t="s">
        <v>8</v>
      </c>
      <c r="I20" s="1014" t="s">
        <v>110</v>
      </c>
      <c r="J20" s="1014" t="s">
        <v>87</v>
      </c>
      <c r="K20" s="806"/>
    </row>
    <row r="21" spans="1:11" s="448" customFormat="1">
      <c r="A21" s="987" t="s">
        <v>469</v>
      </c>
      <c r="B21" s="988" t="s">
        <v>88</v>
      </c>
      <c r="C21" s="1107" t="s">
        <v>485</v>
      </c>
      <c r="D21" s="1009" t="s">
        <v>308</v>
      </c>
      <c r="E21" s="1015" t="s">
        <v>81</v>
      </c>
      <c r="F21" s="1412">
        <v>0</v>
      </c>
      <c r="G21" s="1413">
        <v>0</v>
      </c>
      <c r="H21" s="1014" t="s">
        <v>8</v>
      </c>
      <c r="I21" s="1014" t="s">
        <v>110</v>
      </c>
      <c r="J21" s="1014" t="s">
        <v>88</v>
      </c>
      <c r="K21" s="806"/>
    </row>
    <row r="22" spans="1:11" s="448" customFormat="1">
      <c r="A22" s="987" t="s">
        <v>469</v>
      </c>
      <c r="B22" s="988" t="s">
        <v>86</v>
      </c>
      <c r="C22" s="1107" t="s">
        <v>486</v>
      </c>
      <c r="D22" s="1009" t="s">
        <v>308</v>
      </c>
      <c r="E22" s="1015" t="s">
        <v>80</v>
      </c>
      <c r="F22" s="1412">
        <v>90867500</v>
      </c>
      <c r="G22" s="1413">
        <v>0</v>
      </c>
      <c r="H22" s="1014" t="s">
        <v>8</v>
      </c>
      <c r="I22" s="1014" t="s">
        <v>110</v>
      </c>
      <c r="J22" s="1014" t="s">
        <v>86</v>
      </c>
      <c r="K22" s="806"/>
    </row>
    <row r="23" spans="1:11" s="448" customFormat="1">
      <c r="A23" s="987" t="s">
        <v>469</v>
      </c>
      <c r="B23" s="988" t="s">
        <v>487</v>
      </c>
      <c r="C23" s="1107" t="s">
        <v>488</v>
      </c>
      <c r="D23" s="1009" t="s">
        <v>308</v>
      </c>
      <c r="E23" s="1015" t="s">
        <v>80</v>
      </c>
      <c r="F23" s="1412">
        <v>65472067</v>
      </c>
      <c r="G23" s="1413">
        <v>0</v>
      </c>
      <c r="H23" s="1014" t="s">
        <v>8</v>
      </c>
      <c r="I23" s="1014" t="s">
        <v>259</v>
      </c>
      <c r="J23" s="1014" t="s">
        <v>99</v>
      </c>
      <c r="K23" s="806"/>
    </row>
    <row r="24" spans="1:11" s="448" customFormat="1">
      <c r="A24" s="987" t="s">
        <v>469</v>
      </c>
      <c r="B24" s="988" t="s">
        <v>487</v>
      </c>
      <c r="C24" s="1107" t="s">
        <v>489</v>
      </c>
      <c r="D24" s="1009" t="s">
        <v>308</v>
      </c>
      <c r="E24" s="1015" t="s">
        <v>81</v>
      </c>
      <c r="F24" s="1412">
        <v>0</v>
      </c>
      <c r="G24" s="1413">
        <v>0.03</v>
      </c>
      <c r="H24" s="1014" t="s">
        <v>8</v>
      </c>
      <c r="I24" s="1014" t="s">
        <v>259</v>
      </c>
      <c r="J24" s="1014" t="s">
        <v>99</v>
      </c>
      <c r="K24" s="806"/>
    </row>
    <row r="25" spans="1:11" s="448" customFormat="1">
      <c r="A25" s="987" t="s">
        <v>469</v>
      </c>
      <c r="B25" s="988" t="s">
        <v>96</v>
      </c>
      <c r="C25" s="1107" t="s">
        <v>490</v>
      </c>
      <c r="D25" s="1009" t="s">
        <v>308</v>
      </c>
      <c r="E25" s="1015" t="s">
        <v>80</v>
      </c>
      <c r="F25" s="1412">
        <v>13672907</v>
      </c>
      <c r="G25" s="1413">
        <v>0</v>
      </c>
      <c r="H25" s="1014" t="s">
        <v>8</v>
      </c>
      <c r="I25" s="1014" t="s">
        <v>118</v>
      </c>
      <c r="J25" s="1014" t="s">
        <v>96</v>
      </c>
      <c r="K25" s="806"/>
    </row>
    <row r="26" spans="1:11" s="448" customFormat="1">
      <c r="A26" s="987" t="s">
        <v>469</v>
      </c>
      <c r="B26" s="988" t="s">
        <v>96</v>
      </c>
      <c r="C26" s="1107" t="s">
        <v>491</v>
      </c>
      <c r="D26" s="1009" t="s">
        <v>308</v>
      </c>
      <c r="E26" s="1015" t="s">
        <v>81</v>
      </c>
      <c r="F26" s="1413">
        <v>0</v>
      </c>
      <c r="G26" s="1413">
        <v>51.599999999999987</v>
      </c>
      <c r="H26" s="1014" t="s">
        <v>8</v>
      </c>
      <c r="I26" s="1014" t="s">
        <v>118</v>
      </c>
      <c r="J26" s="1014" t="s">
        <v>96</v>
      </c>
      <c r="K26" s="806"/>
    </row>
    <row r="27" spans="1:11" s="448" customFormat="1">
      <c r="A27" s="987" t="s">
        <v>469</v>
      </c>
      <c r="B27" s="988" t="s">
        <v>338</v>
      </c>
      <c r="C27" s="1107" t="s">
        <v>492</v>
      </c>
      <c r="D27" s="1009" t="s">
        <v>308</v>
      </c>
      <c r="E27" s="1015" t="s">
        <v>80</v>
      </c>
      <c r="F27" s="1412">
        <v>1367012</v>
      </c>
      <c r="G27" s="1413">
        <v>0</v>
      </c>
      <c r="H27" s="1014" t="s">
        <v>8</v>
      </c>
      <c r="I27" s="1014" t="s">
        <v>199</v>
      </c>
      <c r="J27" s="1014" t="s">
        <v>338</v>
      </c>
      <c r="K27" s="806"/>
    </row>
    <row r="28" spans="1:11" s="448" customFormat="1">
      <c r="A28" s="987" t="s">
        <v>469</v>
      </c>
      <c r="B28" s="988" t="s">
        <v>95</v>
      </c>
      <c r="C28" s="1107" t="s">
        <v>493</v>
      </c>
      <c r="D28" s="1009" t="s">
        <v>308</v>
      </c>
      <c r="E28" s="1015" t="s">
        <v>80</v>
      </c>
      <c r="F28" s="1413">
        <v>69627514</v>
      </c>
      <c r="G28" s="1413">
        <v>0</v>
      </c>
      <c r="H28" s="1014" t="s">
        <v>8</v>
      </c>
      <c r="I28" s="1014" t="s">
        <v>116</v>
      </c>
      <c r="J28" s="1014" t="s">
        <v>95</v>
      </c>
      <c r="K28" s="806"/>
    </row>
    <row r="29" spans="1:11" s="448" customFormat="1">
      <c r="A29" s="987" t="s">
        <v>469</v>
      </c>
      <c r="B29" s="988" t="s">
        <v>95</v>
      </c>
      <c r="C29" s="1107" t="s">
        <v>494</v>
      </c>
      <c r="D29" s="1009" t="s">
        <v>308</v>
      </c>
      <c r="E29" s="1015" t="s">
        <v>81</v>
      </c>
      <c r="F29" s="1412">
        <v>0</v>
      </c>
      <c r="G29" s="1413">
        <v>150</v>
      </c>
      <c r="H29" s="1014" t="s">
        <v>8</v>
      </c>
      <c r="I29" s="1014" t="s">
        <v>116</v>
      </c>
      <c r="J29" s="1014" t="s">
        <v>95</v>
      </c>
      <c r="K29" s="806"/>
    </row>
    <row r="30" spans="1:11" s="448" customFormat="1">
      <c r="A30" s="987" t="s">
        <v>469</v>
      </c>
      <c r="B30" s="988" t="s">
        <v>339</v>
      </c>
      <c r="C30" s="1107" t="s">
        <v>495</v>
      </c>
      <c r="D30" s="1009" t="s">
        <v>308</v>
      </c>
      <c r="E30" s="1015" t="s">
        <v>80</v>
      </c>
      <c r="F30" s="1412">
        <v>69320954</v>
      </c>
      <c r="G30" s="1413">
        <v>0</v>
      </c>
      <c r="H30" s="1014" t="s">
        <v>8</v>
      </c>
      <c r="I30" s="1014" t="s">
        <v>200</v>
      </c>
      <c r="J30" s="1014" t="s">
        <v>339</v>
      </c>
      <c r="K30" s="806"/>
    </row>
    <row r="31" spans="1:11" s="448" customFormat="1">
      <c r="A31" s="987" t="s">
        <v>469</v>
      </c>
      <c r="B31" s="988" t="s">
        <v>339</v>
      </c>
      <c r="C31" s="1107" t="s">
        <v>496</v>
      </c>
      <c r="D31" s="1009" t="s">
        <v>308</v>
      </c>
      <c r="E31" s="1015" t="s">
        <v>81</v>
      </c>
      <c r="F31" s="1412">
        <v>0</v>
      </c>
      <c r="G31" s="1413">
        <v>0</v>
      </c>
      <c r="H31" s="1014" t="s">
        <v>8</v>
      </c>
      <c r="I31" s="1014" t="s">
        <v>200</v>
      </c>
      <c r="J31" s="1014" t="s">
        <v>339</v>
      </c>
      <c r="K31" s="806"/>
    </row>
    <row r="32" spans="1:11" s="448" customFormat="1">
      <c r="A32" s="987" t="s">
        <v>335</v>
      </c>
      <c r="B32" s="988" t="s">
        <v>85</v>
      </c>
      <c r="C32" s="1107" t="s">
        <v>497</v>
      </c>
      <c r="D32" s="1009" t="s">
        <v>308</v>
      </c>
      <c r="E32" s="1015" t="s">
        <v>81</v>
      </c>
      <c r="F32" s="1412">
        <v>0</v>
      </c>
      <c r="G32" s="1413">
        <v>29510.41</v>
      </c>
      <c r="H32" s="1014" t="s">
        <v>10</v>
      </c>
      <c r="I32" s="1014" t="s">
        <v>110</v>
      </c>
      <c r="J32" s="1014" t="s">
        <v>85</v>
      </c>
      <c r="K32" s="806"/>
    </row>
    <row r="33" spans="1:12" s="448" customFormat="1">
      <c r="A33" s="987" t="s">
        <v>469</v>
      </c>
      <c r="B33" s="988" t="s">
        <v>98</v>
      </c>
      <c r="C33" s="1107" t="s">
        <v>498</v>
      </c>
      <c r="D33" s="1009" t="s">
        <v>308</v>
      </c>
      <c r="E33" s="1015" t="s">
        <v>80</v>
      </c>
      <c r="F33" s="1413">
        <v>375292939</v>
      </c>
      <c r="G33" s="1413">
        <v>0</v>
      </c>
      <c r="H33" s="1014" t="s">
        <v>8</v>
      </c>
      <c r="I33" s="1014" t="s">
        <v>198</v>
      </c>
      <c r="J33" s="1014" t="s">
        <v>98</v>
      </c>
      <c r="K33" s="806"/>
    </row>
    <row r="34" spans="1:12" s="448" customFormat="1">
      <c r="A34" s="987" t="s">
        <v>499</v>
      </c>
      <c r="B34" s="988" t="s">
        <v>85</v>
      </c>
      <c r="C34" s="1107" t="s">
        <v>500</v>
      </c>
      <c r="D34" s="1009" t="s">
        <v>308</v>
      </c>
      <c r="E34" s="1015" t="s">
        <v>80</v>
      </c>
      <c r="F34" s="1413">
        <v>3189257680</v>
      </c>
      <c r="G34" s="1413">
        <v>0</v>
      </c>
      <c r="H34" s="1014" t="s">
        <v>10</v>
      </c>
      <c r="I34" s="1014" t="s">
        <v>110</v>
      </c>
      <c r="J34" s="1014" t="s">
        <v>85</v>
      </c>
      <c r="K34" s="806"/>
    </row>
    <row r="35" spans="1:12" s="448" customFormat="1">
      <c r="A35" s="987" t="s">
        <v>499</v>
      </c>
      <c r="B35" s="988" t="s">
        <v>85</v>
      </c>
      <c r="C35" s="1107" t="s">
        <v>501</v>
      </c>
      <c r="D35" s="1009" t="s">
        <v>308</v>
      </c>
      <c r="E35" s="1015" t="s">
        <v>81</v>
      </c>
      <c r="F35" s="1414">
        <v>0</v>
      </c>
      <c r="G35" s="1413">
        <v>276.64</v>
      </c>
      <c r="H35" s="1014" t="s">
        <v>10</v>
      </c>
      <c r="I35" s="1014" t="s">
        <v>110</v>
      </c>
      <c r="J35" s="1014" t="s">
        <v>85</v>
      </c>
      <c r="K35" s="806"/>
      <c r="L35" s="808"/>
    </row>
    <row r="36" spans="1:12" s="448" customFormat="1">
      <c r="A36" s="987" t="s">
        <v>499</v>
      </c>
      <c r="B36" s="988" t="s">
        <v>85</v>
      </c>
      <c r="C36" s="1107" t="s">
        <v>502</v>
      </c>
      <c r="D36" s="1009" t="s">
        <v>310</v>
      </c>
      <c r="E36" s="1015" t="s">
        <v>80</v>
      </c>
      <c r="F36" s="1412">
        <v>0</v>
      </c>
      <c r="G36" s="1413">
        <v>0</v>
      </c>
      <c r="H36" s="1014" t="s">
        <v>10</v>
      </c>
      <c r="I36" s="1014" t="s">
        <v>110</v>
      </c>
      <c r="J36" s="1014" t="s">
        <v>85</v>
      </c>
      <c r="K36" s="806"/>
    </row>
    <row r="37" spans="1:12" s="448" customFormat="1">
      <c r="A37" s="987" t="s">
        <v>503</v>
      </c>
      <c r="B37" s="988" t="s">
        <v>85</v>
      </c>
      <c r="C37" s="1107" t="s">
        <v>504</v>
      </c>
      <c r="D37" s="1009" t="s">
        <v>308</v>
      </c>
      <c r="E37" s="1015" t="s">
        <v>80</v>
      </c>
      <c r="F37" s="1413">
        <v>3068428982</v>
      </c>
      <c r="G37" s="1413">
        <v>0</v>
      </c>
      <c r="H37" s="1014" t="s">
        <v>10</v>
      </c>
      <c r="I37" s="1014" t="s">
        <v>110</v>
      </c>
      <c r="J37" s="1014" t="s">
        <v>85</v>
      </c>
      <c r="K37" s="806"/>
    </row>
    <row r="38" spans="1:12" s="448" customFormat="1">
      <c r="A38" s="987" t="s">
        <v>503</v>
      </c>
      <c r="B38" s="988" t="s">
        <v>85</v>
      </c>
      <c r="C38" s="1107" t="s">
        <v>505</v>
      </c>
      <c r="D38" s="1009" t="s">
        <v>308</v>
      </c>
      <c r="E38" s="1015" t="s">
        <v>81</v>
      </c>
      <c r="F38" s="1414">
        <v>0</v>
      </c>
      <c r="G38" s="1413">
        <v>0</v>
      </c>
      <c r="H38" s="1014" t="s">
        <v>10</v>
      </c>
      <c r="I38" s="1014" t="s">
        <v>110</v>
      </c>
      <c r="J38" s="1014" t="s">
        <v>85</v>
      </c>
      <c r="K38" s="806"/>
      <c r="L38" s="805"/>
    </row>
    <row r="39" spans="1:12" s="448" customFormat="1">
      <c r="A39" s="987" t="s">
        <v>506</v>
      </c>
      <c r="B39" s="988" t="s">
        <v>85</v>
      </c>
      <c r="C39" s="1107" t="s">
        <v>507</v>
      </c>
      <c r="D39" s="1009" t="s">
        <v>308</v>
      </c>
      <c r="E39" s="1015" t="s">
        <v>80</v>
      </c>
      <c r="F39" s="1412">
        <v>2814603527</v>
      </c>
      <c r="G39" s="1413">
        <v>0</v>
      </c>
      <c r="H39" s="1014" t="s">
        <v>10</v>
      </c>
      <c r="I39" s="1014" t="s">
        <v>110</v>
      </c>
      <c r="J39" s="1014" t="s">
        <v>85</v>
      </c>
      <c r="K39" s="806"/>
    </row>
    <row r="40" spans="1:12" s="448" customFormat="1">
      <c r="A40" s="987" t="s">
        <v>503</v>
      </c>
      <c r="B40" s="988" t="s">
        <v>85</v>
      </c>
      <c r="C40" s="1107" t="s">
        <v>508</v>
      </c>
      <c r="D40" s="1009" t="s">
        <v>310</v>
      </c>
      <c r="E40" s="1015" t="s">
        <v>80</v>
      </c>
      <c r="F40" s="1412">
        <v>0</v>
      </c>
      <c r="G40" s="1413">
        <v>0</v>
      </c>
      <c r="H40" s="1014" t="s">
        <v>10</v>
      </c>
      <c r="I40" s="1014" t="s">
        <v>110</v>
      </c>
      <c r="J40" s="1014" t="s">
        <v>85</v>
      </c>
      <c r="K40" s="806"/>
    </row>
    <row r="41" spans="1:12" s="448" customFormat="1">
      <c r="A41" s="987" t="s">
        <v>506</v>
      </c>
      <c r="B41" s="988" t="s">
        <v>85</v>
      </c>
      <c r="C41" s="1107" t="s">
        <v>509</v>
      </c>
      <c r="D41" s="1009" t="s">
        <v>308</v>
      </c>
      <c r="E41" s="1015" t="s">
        <v>81</v>
      </c>
      <c r="F41" s="1412">
        <v>0</v>
      </c>
      <c r="G41" s="1413">
        <v>0</v>
      </c>
      <c r="H41" s="1014" t="s">
        <v>10</v>
      </c>
      <c r="I41" s="1014" t="s">
        <v>110</v>
      </c>
      <c r="J41" s="1014" t="s">
        <v>85</v>
      </c>
      <c r="K41" s="806"/>
    </row>
    <row r="42" spans="1:12" s="448" customFormat="1">
      <c r="A42" s="987" t="s">
        <v>510</v>
      </c>
      <c r="B42" s="988" t="s">
        <v>85</v>
      </c>
      <c r="C42" s="1107" t="s">
        <v>511</v>
      </c>
      <c r="D42" s="1009" t="s">
        <v>308</v>
      </c>
      <c r="E42" s="1015" t="s">
        <v>80</v>
      </c>
      <c r="F42" s="1412">
        <v>2343977042</v>
      </c>
      <c r="G42" s="1413">
        <v>0</v>
      </c>
      <c r="H42" s="1014" t="s">
        <v>10</v>
      </c>
      <c r="I42" s="1014" t="s">
        <v>110</v>
      </c>
      <c r="J42" s="1014" t="s">
        <v>85</v>
      </c>
      <c r="K42" s="806"/>
    </row>
    <row r="43" spans="1:12" s="448" customFormat="1">
      <c r="A43" s="987" t="s">
        <v>510</v>
      </c>
      <c r="B43" s="988" t="s">
        <v>85</v>
      </c>
      <c r="C43" s="1107" t="s">
        <v>512</v>
      </c>
      <c r="D43" s="1009" t="s">
        <v>308</v>
      </c>
      <c r="E43" s="1015" t="s">
        <v>81</v>
      </c>
      <c r="F43" s="1414">
        <v>0</v>
      </c>
      <c r="G43" s="1413">
        <v>0</v>
      </c>
      <c r="H43" s="1014" t="s">
        <v>10</v>
      </c>
      <c r="I43" s="1014" t="s">
        <v>110</v>
      </c>
      <c r="J43" s="1014" t="s">
        <v>85</v>
      </c>
      <c r="K43" s="806"/>
      <c r="L43" s="807"/>
    </row>
    <row r="44" spans="1:12" s="448" customFormat="1">
      <c r="A44" s="987" t="s">
        <v>513</v>
      </c>
      <c r="B44" s="988" t="s">
        <v>91</v>
      </c>
      <c r="C44" s="1106" t="s">
        <v>514</v>
      </c>
      <c r="D44" s="1009" t="s">
        <v>308</v>
      </c>
      <c r="E44" s="1015" t="s">
        <v>80</v>
      </c>
      <c r="F44" s="1412">
        <v>3536463117</v>
      </c>
      <c r="G44" s="1413">
        <v>0</v>
      </c>
      <c r="H44" s="1014" t="s">
        <v>10</v>
      </c>
      <c r="I44" s="1014" t="s">
        <v>112</v>
      </c>
      <c r="J44" s="1014" t="s">
        <v>91</v>
      </c>
      <c r="K44" s="806"/>
    </row>
    <row r="45" spans="1:12" s="448" customFormat="1">
      <c r="A45" s="987" t="s">
        <v>513</v>
      </c>
      <c r="B45" s="988" t="s">
        <v>91</v>
      </c>
      <c r="C45" s="1107" t="s">
        <v>5386</v>
      </c>
      <c r="D45" s="1009" t="s">
        <v>310</v>
      </c>
      <c r="E45" s="1015" t="s">
        <v>80</v>
      </c>
      <c r="F45" s="1413">
        <v>1128000000</v>
      </c>
      <c r="G45" s="1413">
        <v>0</v>
      </c>
      <c r="H45" s="1014" t="s">
        <v>10</v>
      </c>
      <c r="I45" s="1014" t="s">
        <v>112</v>
      </c>
      <c r="J45" s="1014" t="s">
        <v>91</v>
      </c>
      <c r="K45" s="806"/>
    </row>
    <row r="46" spans="1:12" s="448" customFormat="1">
      <c r="A46" s="987" t="s">
        <v>513</v>
      </c>
      <c r="B46" s="988" t="s">
        <v>91</v>
      </c>
      <c r="C46" s="1107" t="s">
        <v>515</v>
      </c>
      <c r="D46" s="1009" t="s">
        <v>308</v>
      </c>
      <c r="E46" s="1015" t="s">
        <v>81</v>
      </c>
      <c r="F46" s="1412">
        <v>0</v>
      </c>
      <c r="G46" s="1413">
        <v>0</v>
      </c>
      <c r="H46" s="1014" t="s">
        <v>10</v>
      </c>
      <c r="I46" s="1014" t="s">
        <v>112</v>
      </c>
      <c r="J46" s="1014" t="s">
        <v>91</v>
      </c>
      <c r="K46" s="806"/>
    </row>
    <row r="47" spans="1:12" s="448" customFormat="1">
      <c r="A47" s="987" t="s">
        <v>516</v>
      </c>
      <c r="B47" s="988" t="s">
        <v>92</v>
      </c>
      <c r="C47" s="1107" t="s">
        <v>517</v>
      </c>
      <c r="D47" s="1009" t="s">
        <v>308</v>
      </c>
      <c r="E47" s="1015" t="s">
        <v>80</v>
      </c>
      <c r="F47" s="1412">
        <v>1630860712</v>
      </c>
      <c r="G47" s="1413">
        <v>0</v>
      </c>
      <c r="H47" s="1014" t="s">
        <v>10</v>
      </c>
      <c r="I47" s="1014" t="s">
        <v>114</v>
      </c>
      <c r="J47" s="1014" t="s">
        <v>92</v>
      </c>
      <c r="K47" s="806"/>
    </row>
    <row r="48" spans="1:12" s="448" customFormat="1">
      <c r="A48" s="987" t="s">
        <v>518</v>
      </c>
      <c r="B48" s="988" t="s">
        <v>95</v>
      </c>
      <c r="C48" s="1107" t="s">
        <v>519</v>
      </c>
      <c r="D48" s="1009" t="s">
        <v>308</v>
      </c>
      <c r="E48" s="1015" t="s">
        <v>80</v>
      </c>
      <c r="F48" s="1412">
        <v>0</v>
      </c>
      <c r="G48" s="1413">
        <v>0</v>
      </c>
      <c r="H48" s="1014" t="s">
        <v>10</v>
      </c>
      <c r="I48" s="1014" t="s">
        <v>116</v>
      </c>
      <c r="J48" s="1014" t="s">
        <v>95</v>
      </c>
      <c r="K48" s="806"/>
    </row>
    <row r="49" spans="1:11" s="448" customFormat="1">
      <c r="A49" s="987" t="s">
        <v>520</v>
      </c>
      <c r="B49" s="988" t="s">
        <v>86</v>
      </c>
      <c r="C49" s="1107" t="s">
        <v>521</v>
      </c>
      <c r="D49" s="1009" t="s">
        <v>308</v>
      </c>
      <c r="E49" s="1015" t="s">
        <v>80</v>
      </c>
      <c r="F49" s="1412">
        <v>72518111</v>
      </c>
      <c r="G49" s="1413">
        <v>0</v>
      </c>
      <c r="H49" s="1014" t="s">
        <v>10</v>
      </c>
      <c r="I49" s="1014" t="s">
        <v>110</v>
      </c>
      <c r="J49" s="1014" t="s">
        <v>86</v>
      </c>
      <c r="K49" s="806"/>
    </row>
    <row r="50" spans="1:11" s="448" customFormat="1">
      <c r="A50" s="987" t="s">
        <v>522</v>
      </c>
      <c r="B50" s="988" t="s">
        <v>95</v>
      </c>
      <c r="C50" s="1107" t="s">
        <v>523</v>
      </c>
      <c r="D50" s="1009" t="s">
        <v>308</v>
      </c>
      <c r="E50" s="1015" t="s">
        <v>80</v>
      </c>
      <c r="F50" s="1412">
        <v>1047085420</v>
      </c>
      <c r="G50" s="1413">
        <v>0</v>
      </c>
      <c r="H50" s="1014" t="s">
        <v>10</v>
      </c>
      <c r="I50" s="1014" t="s">
        <v>116</v>
      </c>
      <c r="J50" s="1014" t="s">
        <v>95</v>
      </c>
      <c r="K50" s="806"/>
    </row>
    <row r="51" spans="1:11" s="448" customFormat="1">
      <c r="A51" s="987" t="s">
        <v>524</v>
      </c>
      <c r="B51" s="988" t="s">
        <v>86</v>
      </c>
      <c r="C51" s="1107" t="s">
        <v>525</v>
      </c>
      <c r="D51" s="1009" t="s">
        <v>308</v>
      </c>
      <c r="E51" s="1015" t="s">
        <v>80</v>
      </c>
      <c r="F51" s="1413">
        <v>5509929</v>
      </c>
      <c r="G51" s="1413">
        <v>0</v>
      </c>
      <c r="H51" s="1014" t="s">
        <v>10</v>
      </c>
      <c r="I51" s="1014" t="s">
        <v>110</v>
      </c>
      <c r="J51" s="1014" t="s">
        <v>86</v>
      </c>
      <c r="K51" s="806"/>
    </row>
    <row r="52" spans="1:11" s="448" customFormat="1">
      <c r="A52" s="987" t="s">
        <v>526</v>
      </c>
      <c r="B52" s="988" t="s">
        <v>527</v>
      </c>
      <c r="C52" s="1107" t="s">
        <v>528</v>
      </c>
      <c r="D52" s="1009" t="s">
        <v>308</v>
      </c>
      <c r="E52" s="1015" t="s">
        <v>80</v>
      </c>
      <c r="F52" s="1413">
        <v>132115989</v>
      </c>
      <c r="G52" s="1413">
        <v>0</v>
      </c>
      <c r="H52" s="1014" t="s">
        <v>10</v>
      </c>
      <c r="I52" s="1014" t="s">
        <v>259</v>
      </c>
      <c r="J52" s="1014" t="s">
        <v>99</v>
      </c>
      <c r="K52" s="806"/>
    </row>
    <row r="53" spans="1:11" s="448" customFormat="1">
      <c r="A53" s="987" t="s">
        <v>526</v>
      </c>
      <c r="B53" s="988" t="s">
        <v>89</v>
      </c>
      <c r="C53" s="1107" t="s">
        <v>529</v>
      </c>
      <c r="D53" s="1009" t="s">
        <v>308</v>
      </c>
      <c r="E53" s="1015" t="s">
        <v>80</v>
      </c>
      <c r="F53" s="1412">
        <v>1231989818</v>
      </c>
      <c r="G53" s="1413">
        <v>0</v>
      </c>
      <c r="H53" s="1014" t="s">
        <v>10</v>
      </c>
      <c r="I53" s="1014" t="s">
        <v>112</v>
      </c>
      <c r="J53" s="1014" t="s">
        <v>89</v>
      </c>
      <c r="K53" s="806"/>
    </row>
    <row r="54" spans="1:11" s="448" customFormat="1">
      <c r="A54" s="987" t="s">
        <v>526</v>
      </c>
      <c r="B54" s="988" t="s">
        <v>89</v>
      </c>
      <c r="C54" s="1107" t="s">
        <v>530</v>
      </c>
      <c r="D54" s="1009" t="s">
        <v>308</v>
      </c>
      <c r="E54" s="1015" t="s">
        <v>81</v>
      </c>
      <c r="F54" s="1413">
        <v>0</v>
      </c>
      <c r="G54" s="1413">
        <v>0</v>
      </c>
      <c r="H54" s="1014" t="s">
        <v>10</v>
      </c>
      <c r="I54" s="1014" t="s">
        <v>112</v>
      </c>
      <c r="J54" s="1014" t="s">
        <v>89</v>
      </c>
      <c r="K54" s="806"/>
    </row>
    <row r="55" spans="1:11" s="448" customFormat="1">
      <c r="A55" s="987" t="s">
        <v>526</v>
      </c>
      <c r="B55" s="988" t="s">
        <v>89</v>
      </c>
      <c r="C55" s="1107" t="s">
        <v>531</v>
      </c>
      <c r="D55" s="1009" t="s">
        <v>310</v>
      </c>
      <c r="E55" s="1015" t="s">
        <v>80</v>
      </c>
      <c r="F55" s="1414">
        <v>0</v>
      </c>
      <c r="G55" s="1413">
        <v>0</v>
      </c>
      <c r="H55" s="1014" t="s">
        <v>10</v>
      </c>
      <c r="I55" s="1014" t="s">
        <v>112</v>
      </c>
      <c r="J55" s="1014" t="s">
        <v>89</v>
      </c>
      <c r="K55" s="806"/>
    </row>
    <row r="56" spans="1:11" s="448" customFormat="1">
      <c r="A56" s="987" t="s">
        <v>532</v>
      </c>
      <c r="B56" s="988" t="s">
        <v>98</v>
      </c>
      <c r="C56" s="1107" t="s">
        <v>533</v>
      </c>
      <c r="D56" s="1009" t="s">
        <v>308</v>
      </c>
      <c r="E56" s="1015" t="s">
        <v>80</v>
      </c>
      <c r="F56" s="1412">
        <v>3379265156</v>
      </c>
      <c r="G56" s="1413">
        <v>0</v>
      </c>
      <c r="H56" s="1014" t="s">
        <v>10</v>
      </c>
      <c r="I56" s="1014" t="s">
        <v>198</v>
      </c>
      <c r="J56" s="1014" t="s">
        <v>98</v>
      </c>
      <c r="K56" s="806"/>
    </row>
    <row r="57" spans="1:11" s="448" customFormat="1">
      <c r="A57" s="987" t="s">
        <v>532</v>
      </c>
      <c r="B57" s="988" t="s">
        <v>98</v>
      </c>
      <c r="C57" s="1107" t="s">
        <v>534</v>
      </c>
      <c r="D57" s="1009" t="s">
        <v>308</v>
      </c>
      <c r="E57" s="1015" t="s">
        <v>80</v>
      </c>
      <c r="F57" s="1412">
        <v>371758604</v>
      </c>
      <c r="G57" s="1413">
        <v>0</v>
      </c>
      <c r="H57" s="1014" t="s">
        <v>10</v>
      </c>
      <c r="I57" s="1014" t="s">
        <v>198</v>
      </c>
      <c r="J57" s="1014" t="s">
        <v>98</v>
      </c>
      <c r="K57" s="806"/>
    </row>
    <row r="58" spans="1:11" s="448" customFormat="1">
      <c r="A58" s="987" t="s">
        <v>532</v>
      </c>
      <c r="B58" s="988" t="s">
        <v>338</v>
      </c>
      <c r="C58" s="1107" t="s">
        <v>535</v>
      </c>
      <c r="D58" s="1009" t="s">
        <v>308</v>
      </c>
      <c r="E58" s="1015" t="s">
        <v>80</v>
      </c>
      <c r="F58" s="1412">
        <v>77563682</v>
      </c>
      <c r="G58" s="1413">
        <v>0</v>
      </c>
      <c r="H58" s="1014" t="s">
        <v>10</v>
      </c>
      <c r="I58" s="1014" t="s">
        <v>199</v>
      </c>
      <c r="J58" s="1014" t="s">
        <v>338</v>
      </c>
      <c r="K58" s="806"/>
    </row>
    <row r="59" spans="1:11" s="448" customFormat="1">
      <c r="A59" s="987" t="s">
        <v>532</v>
      </c>
      <c r="B59" s="988" t="s">
        <v>91</v>
      </c>
      <c r="C59" s="1107" t="s">
        <v>536</v>
      </c>
      <c r="D59" s="1009" t="s">
        <v>308</v>
      </c>
      <c r="E59" s="1015" t="s">
        <v>81</v>
      </c>
      <c r="F59" s="1412">
        <v>0</v>
      </c>
      <c r="G59" s="1413">
        <v>0</v>
      </c>
      <c r="H59" s="1014" t="s">
        <v>10</v>
      </c>
      <c r="I59" s="1014" t="s">
        <v>112</v>
      </c>
      <c r="J59" s="1014" t="s">
        <v>91</v>
      </c>
      <c r="K59" s="806"/>
    </row>
    <row r="60" spans="1:11" s="448" customFormat="1">
      <c r="A60" s="987" t="s">
        <v>537</v>
      </c>
      <c r="B60" s="988" t="s">
        <v>91</v>
      </c>
      <c r="C60" s="1107" t="s">
        <v>538</v>
      </c>
      <c r="D60" s="1009" t="s">
        <v>308</v>
      </c>
      <c r="E60" s="1015" t="s">
        <v>81</v>
      </c>
      <c r="F60" s="1412">
        <v>0</v>
      </c>
      <c r="G60" s="1413">
        <v>0</v>
      </c>
      <c r="H60" s="1014" t="s">
        <v>10</v>
      </c>
      <c r="I60" s="1014" t="s">
        <v>112</v>
      </c>
      <c r="J60" s="1014" t="s">
        <v>91</v>
      </c>
      <c r="K60" s="806"/>
    </row>
    <row r="61" spans="1:11" s="448" customFormat="1">
      <c r="A61" s="987" t="s">
        <v>537</v>
      </c>
      <c r="B61" s="988" t="s">
        <v>91</v>
      </c>
      <c r="C61" s="1107" t="s">
        <v>539</v>
      </c>
      <c r="D61" s="1009" t="s">
        <v>308</v>
      </c>
      <c r="E61" s="1015" t="s">
        <v>80</v>
      </c>
      <c r="F61" s="1412">
        <v>14864338</v>
      </c>
      <c r="G61" s="1413">
        <v>0</v>
      </c>
      <c r="H61" s="1014" t="s">
        <v>10</v>
      </c>
      <c r="I61" s="1014" t="s">
        <v>112</v>
      </c>
      <c r="J61" s="1014" t="s">
        <v>91</v>
      </c>
      <c r="K61" s="806"/>
    </row>
    <row r="62" spans="1:11" s="448" customFormat="1">
      <c r="A62" s="987" t="s">
        <v>537</v>
      </c>
      <c r="B62" s="988" t="s">
        <v>92</v>
      </c>
      <c r="C62" s="1107" t="s">
        <v>540</v>
      </c>
      <c r="D62" s="1009" t="s">
        <v>308</v>
      </c>
      <c r="E62" s="1015" t="s">
        <v>80</v>
      </c>
      <c r="F62" s="1413">
        <v>3994617</v>
      </c>
      <c r="G62" s="1413">
        <v>0</v>
      </c>
      <c r="H62" s="1014" t="s">
        <v>10</v>
      </c>
      <c r="I62" s="1014" t="s">
        <v>114</v>
      </c>
      <c r="J62" s="1014" t="s">
        <v>92</v>
      </c>
      <c r="K62" s="806"/>
    </row>
    <row r="63" spans="1:11" s="448" customFormat="1">
      <c r="A63" s="987" t="s">
        <v>541</v>
      </c>
      <c r="B63" s="988" t="s">
        <v>86</v>
      </c>
      <c r="C63" s="1106" t="s">
        <v>542</v>
      </c>
      <c r="D63" s="1009" t="s">
        <v>310</v>
      </c>
      <c r="E63" s="1015" t="s">
        <v>80</v>
      </c>
      <c r="F63" s="1412">
        <v>2883354342</v>
      </c>
      <c r="G63" s="1413">
        <v>0</v>
      </c>
      <c r="H63" s="1014" t="s">
        <v>10</v>
      </c>
      <c r="I63" s="1014" t="s">
        <v>110</v>
      </c>
      <c r="J63" s="1014" t="s">
        <v>86</v>
      </c>
      <c r="K63" s="806"/>
    </row>
    <row r="64" spans="1:11" s="448" customFormat="1">
      <c r="A64" s="987" t="s">
        <v>541</v>
      </c>
      <c r="B64" s="988" t="s">
        <v>86</v>
      </c>
      <c r="C64" s="1106" t="s">
        <v>543</v>
      </c>
      <c r="D64" s="1009" t="s">
        <v>308</v>
      </c>
      <c r="E64" s="1015" t="s">
        <v>80</v>
      </c>
      <c r="F64" s="1412">
        <v>2389512653</v>
      </c>
      <c r="G64" s="1413">
        <v>0</v>
      </c>
      <c r="H64" s="1014" t="s">
        <v>10</v>
      </c>
      <c r="I64" s="1014" t="s">
        <v>110</v>
      </c>
      <c r="J64" s="1014" t="s">
        <v>86</v>
      </c>
      <c r="K64" s="806"/>
    </row>
    <row r="65" spans="1:11" s="448" customFormat="1">
      <c r="A65" s="987" t="s">
        <v>544</v>
      </c>
      <c r="B65" s="988" t="s">
        <v>85</v>
      </c>
      <c r="C65" s="1106" t="s">
        <v>545</v>
      </c>
      <c r="D65" s="1009" t="s">
        <v>308</v>
      </c>
      <c r="E65" s="1015" t="s">
        <v>80</v>
      </c>
      <c r="F65" s="1414">
        <v>172905696</v>
      </c>
      <c r="G65" s="1413">
        <v>0</v>
      </c>
      <c r="H65" s="1014" t="s">
        <v>10</v>
      </c>
      <c r="I65" s="1014" t="s">
        <v>110</v>
      </c>
      <c r="J65" s="1014" t="s">
        <v>85</v>
      </c>
      <c r="K65" s="806"/>
    </row>
    <row r="66" spans="1:11" s="448" customFormat="1">
      <c r="A66" s="987" t="s">
        <v>546</v>
      </c>
      <c r="B66" s="988" t="s">
        <v>92</v>
      </c>
      <c r="C66" s="1107" t="s">
        <v>547</v>
      </c>
      <c r="D66" s="1009" t="s">
        <v>308</v>
      </c>
      <c r="E66" s="1015" t="s">
        <v>80</v>
      </c>
      <c r="F66" s="1412">
        <v>4087680891</v>
      </c>
      <c r="G66" s="1413">
        <v>0</v>
      </c>
      <c r="H66" s="1014" t="s">
        <v>10</v>
      </c>
      <c r="I66" s="1014" t="s">
        <v>114</v>
      </c>
      <c r="J66" s="1014" t="s">
        <v>92</v>
      </c>
      <c r="K66" s="806"/>
    </row>
    <row r="67" spans="1:11" s="448" customFormat="1">
      <c r="A67" s="987" t="s">
        <v>548</v>
      </c>
      <c r="B67" s="988" t="s">
        <v>92</v>
      </c>
      <c r="C67" s="1107" t="s">
        <v>549</v>
      </c>
      <c r="D67" s="1009" t="s">
        <v>308</v>
      </c>
      <c r="E67" s="1015" t="s">
        <v>80</v>
      </c>
      <c r="F67" s="1412">
        <v>1456436782</v>
      </c>
      <c r="G67" s="1413">
        <v>0</v>
      </c>
      <c r="H67" s="1014" t="s">
        <v>10</v>
      </c>
      <c r="I67" s="1014" t="s">
        <v>114</v>
      </c>
      <c r="J67" s="1014" t="s">
        <v>92</v>
      </c>
      <c r="K67" s="806"/>
    </row>
    <row r="68" spans="1:11" s="448" customFormat="1">
      <c r="A68" s="987" t="s">
        <v>548</v>
      </c>
      <c r="B68" s="988" t="s">
        <v>92</v>
      </c>
      <c r="C68" s="1106" t="s">
        <v>550</v>
      </c>
      <c r="D68" s="1009" t="s">
        <v>308</v>
      </c>
      <c r="E68" s="1015" t="s">
        <v>81</v>
      </c>
      <c r="F68" s="1413">
        <v>0</v>
      </c>
      <c r="G68" s="1413">
        <v>131.89000000000004</v>
      </c>
      <c r="H68" s="1014" t="s">
        <v>10</v>
      </c>
      <c r="I68" s="1014" t="s">
        <v>114</v>
      </c>
      <c r="J68" s="1014" t="s">
        <v>92</v>
      </c>
      <c r="K68" s="806"/>
    </row>
    <row r="69" spans="1:11" s="448" customFormat="1">
      <c r="A69" s="987" t="s">
        <v>548</v>
      </c>
      <c r="B69" s="988" t="s">
        <v>92</v>
      </c>
      <c r="C69" s="1107" t="s">
        <v>551</v>
      </c>
      <c r="D69" s="1009" t="s">
        <v>310</v>
      </c>
      <c r="E69" s="1015" t="s">
        <v>80</v>
      </c>
      <c r="F69" s="1412">
        <v>5000000000</v>
      </c>
      <c r="G69" s="1413">
        <v>0</v>
      </c>
      <c r="H69" s="1014" t="s">
        <v>10</v>
      </c>
      <c r="I69" s="1014" t="s">
        <v>114</v>
      </c>
      <c r="J69" s="1014" t="s">
        <v>92</v>
      </c>
      <c r="K69" s="806"/>
    </row>
    <row r="70" spans="1:11" s="448" customFormat="1">
      <c r="A70" s="987" t="s">
        <v>335</v>
      </c>
      <c r="B70" s="988" t="s">
        <v>94</v>
      </c>
      <c r="C70" s="1107" t="s">
        <v>337</v>
      </c>
      <c r="D70" s="1009" t="s">
        <v>308</v>
      </c>
      <c r="E70" s="1015" t="s">
        <v>81</v>
      </c>
      <c r="F70" s="1412">
        <v>0</v>
      </c>
      <c r="G70" s="1413">
        <v>143.39999999999566</v>
      </c>
      <c r="H70" s="1014" t="s">
        <v>10</v>
      </c>
      <c r="I70" s="1014" t="s">
        <v>114</v>
      </c>
      <c r="J70" s="1014" t="s">
        <v>94</v>
      </c>
      <c r="K70" s="806"/>
    </row>
    <row r="71" spans="1:11" s="448" customFormat="1">
      <c r="A71" s="987" t="s">
        <v>335</v>
      </c>
      <c r="B71" s="988" t="s">
        <v>94</v>
      </c>
      <c r="C71" s="1107" t="s">
        <v>336</v>
      </c>
      <c r="D71" s="1009" t="s">
        <v>308</v>
      </c>
      <c r="E71" s="1015" t="s">
        <v>80</v>
      </c>
      <c r="F71" s="1414">
        <v>96106553</v>
      </c>
      <c r="G71" s="1413">
        <v>0</v>
      </c>
      <c r="H71" s="1014" t="s">
        <v>10</v>
      </c>
      <c r="I71" s="1014" t="s">
        <v>114</v>
      </c>
      <c r="J71" s="1014" t="s">
        <v>94</v>
      </c>
      <c r="K71" s="806"/>
    </row>
    <row r="72" spans="1:11" s="448" customFormat="1">
      <c r="A72" s="987" t="s">
        <v>552</v>
      </c>
      <c r="B72" s="988" t="s">
        <v>96</v>
      </c>
      <c r="C72" s="1107" t="s">
        <v>553</v>
      </c>
      <c r="D72" s="1009" t="s">
        <v>308</v>
      </c>
      <c r="E72" s="1015" t="s">
        <v>80</v>
      </c>
      <c r="F72" s="1412">
        <v>38567564</v>
      </c>
      <c r="G72" s="1413">
        <v>0</v>
      </c>
      <c r="H72" s="1014" t="s">
        <v>10</v>
      </c>
      <c r="I72" s="1014" t="s">
        <v>118</v>
      </c>
      <c r="J72" s="1014" t="s">
        <v>96</v>
      </c>
      <c r="K72" s="806"/>
    </row>
    <row r="73" spans="1:11" s="448" customFormat="1">
      <c r="A73" s="987" t="s">
        <v>554</v>
      </c>
      <c r="B73" s="988" t="s">
        <v>88</v>
      </c>
      <c r="C73" s="1107" t="s">
        <v>555</v>
      </c>
      <c r="D73" s="1009" t="s">
        <v>308</v>
      </c>
      <c r="E73" s="1015" t="s">
        <v>80</v>
      </c>
      <c r="F73" s="1412">
        <v>2849653916</v>
      </c>
      <c r="G73" s="1413">
        <v>0</v>
      </c>
      <c r="H73" s="1014" t="s">
        <v>10</v>
      </c>
      <c r="I73" s="1014" t="s">
        <v>110</v>
      </c>
      <c r="J73" s="1014" t="s">
        <v>88</v>
      </c>
      <c r="K73" s="806"/>
    </row>
    <row r="74" spans="1:11" s="448" customFormat="1">
      <c r="A74" s="987" t="s">
        <v>554</v>
      </c>
      <c r="B74" s="988" t="s">
        <v>88</v>
      </c>
      <c r="C74" s="1107" t="s">
        <v>556</v>
      </c>
      <c r="D74" s="1009" t="s">
        <v>310</v>
      </c>
      <c r="E74" s="1015" t="s">
        <v>80</v>
      </c>
      <c r="F74" s="1414">
        <v>0</v>
      </c>
      <c r="G74" s="1413">
        <v>0</v>
      </c>
      <c r="H74" s="1014" t="s">
        <v>10</v>
      </c>
      <c r="I74" s="1014" t="s">
        <v>110</v>
      </c>
      <c r="J74" s="1014" t="s">
        <v>88</v>
      </c>
      <c r="K74" s="806"/>
    </row>
    <row r="75" spans="1:11" s="448" customFormat="1">
      <c r="A75" s="987" t="s">
        <v>557</v>
      </c>
      <c r="B75" s="988" t="s">
        <v>95</v>
      </c>
      <c r="C75" s="1107" t="s">
        <v>558</v>
      </c>
      <c r="D75" s="1009" t="s">
        <v>308</v>
      </c>
      <c r="E75" s="1015" t="s">
        <v>80</v>
      </c>
      <c r="F75" s="1414">
        <v>64326416</v>
      </c>
      <c r="G75" s="1413">
        <v>0</v>
      </c>
      <c r="H75" s="1014" t="s">
        <v>10</v>
      </c>
      <c r="I75" s="1014" t="s">
        <v>116</v>
      </c>
      <c r="J75" s="1014" t="s">
        <v>95</v>
      </c>
      <c r="K75" s="806"/>
    </row>
    <row r="76" spans="1:11" s="448" customFormat="1">
      <c r="A76" s="987" t="s">
        <v>559</v>
      </c>
      <c r="B76" s="988" t="s">
        <v>85</v>
      </c>
      <c r="C76" s="1107" t="s">
        <v>560</v>
      </c>
      <c r="D76" s="1009" t="s">
        <v>308</v>
      </c>
      <c r="E76" s="1015" t="s">
        <v>80</v>
      </c>
      <c r="F76" s="1412">
        <v>18425371</v>
      </c>
      <c r="G76" s="1413">
        <v>0</v>
      </c>
      <c r="H76" s="1014" t="s">
        <v>10</v>
      </c>
      <c r="I76" s="1014" t="s">
        <v>110</v>
      </c>
      <c r="J76" s="1014" t="s">
        <v>85</v>
      </c>
      <c r="K76" s="806"/>
    </row>
    <row r="77" spans="1:11" s="448" customFormat="1">
      <c r="A77" s="987" t="s">
        <v>561</v>
      </c>
      <c r="B77" s="988" t="s">
        <v>85</v>
      </c>
      <c r="C77" s="1106" t="s">
        <v>562</v>
      </c>
      <c r="D77" s="1009" t="s">
        <v>308</v>
      </c>
      <c r="E77" s="1015" t="s">
        <v>80</v>
      </c>
      <c r="F77" s="1412">
        <v>170955371</v>
      </c>
      <c r="G77" s="1413">
        <v>0</v>
      </c>
      <c r="H77" s="1014" t="s">
        <v>10</v>
      </c>
      <c r="I77" s="1014" t="s">
        <v>110</v>
      </c>
      <c r="J77" s="1014" t="s">
        <v>85</v>
      </c>
      <c r="K77" s="806"/>
    </row>
    <row r="78" spans="1:11" s="448" customFormat="1">
      <c r="A78" s="987" t="s">
        <v>563</v>
      </c>
      <c r="B78" s="988" t="s">
        <v>85</v>
      </c>
      <c r="C78" s="1107" t="s">
        <v>564</v>
      </c>
      <c r="D78" s="1009" t="s">
        <v>308</v>
      </c>
      <c r="E78" s="1015" t="s">
        <v>80</v>
      </c>
      <c r="F78" s="1414">
        <v>18983305</v>
      </c>
      <c r="G78" s="1413">
        <v>0</v>
      </c>
      <c r="H78" s="1014" t="s">
        <v>10</v>
      </c>
      <c r="I78" s="1014" t="s">
        <v>110</v>
      </c>
      <c r="J78" s="1014" t="s">
        <v>85</v>
      </c>
      <c r="K78" s="806"/>
    </row>
    <row r="79" spans="1:11" s="448" customFormat="1">
      <c r="A79" s="987" t="s">
        <v>565</v>
      </c>
      <c r="B79" s="988" t="s">
        <v>85</v>
      </c>
      <c r="C79" s="1107" t="s">
        <v>566</v>
      </c>
      <c r="D79" s="1009" t="s">
        <v>308</v>
      </c>
      <c r="E79" s="1015" t="s">
        <v>80</v>
      </c>
      <c r="F79" s="1414">
        <v>41428998</v>
      </c>
      <c r="G79" s="1413">
        <v>0</v>
      </c>
      <c r="H79" s="1014" t="s">
        <v>10</v>
      </c>
      <c r="I79" s="1014" t="s">
        <v>110</v>
      </c>
      <c r="J79" s="1014" t="s">
        <v>85</v>
      </c>
      <c r="K79" s="806"/>
    </row>
    <row r="80" spans="1:11" s="448" customFormat="1">
      <c r="A80" s="987" t="s">
        <v>567</v>
      </c>
      <c r="B80" s="988" t="s">
        <v>93</v>
      </c>
      <c r="C80" s="1107" t="s">
        <v>568</v>
      </c>
      <c r="D80" s="1009" t="s">
        <v>308</v>
      </c>
      <c r="E80" s="1015" t="s">
        <v>80</v>
      </c>
      <c r="F80" s="1412">
        <v>3056513144</v>
      </c>
      <c r="G80" s="1413">
        <v>0</v>
      </c>
      <c r="H80" s="1014" t="s">
        <v>10</v>
      </c>
      <c r="I80" s="1014" t="s">
        <v>114</v>
      </c>
      <c r="J80" s="1014" t="s">
        <v>93</v>
      </c>
      <c r="K80" s="806"/>
    </row>
    <row r="81" spans="1:11" s="448" customFormat="1">
      <c r="A81" s="987" t="s">
        <v>567</v>
      </c>
      <c r="B81" s="988" t="s">
        <v>93</v>
      </c>
      <c r="C81" s="1107" t="s">
        <v>569</v>
      </c>
      <c r="D81" s="1009" t="s">
        <v>310</v>
      </c>
      <c r="E81" s="1015" t="s">
        <v>80</v>
      </c>
      <c r="F81" s="1412">
        <v>1418000000</v>
      </c>
      <c r="G81" s="1413">
        <v>0</v>
      </c>
      <c r="H81" s="1014" t="s">
        <v>10</v>
      </c>
      <c r="I81" s="1014" t="s">
        <v>114</v>
      </c>
      <c r="J81" s="1014" t="s">
        <v>93</v>
      </c>
      <c r="K81" s="806"/>
    </row>
    <row r="82" spans="1:11" s="448" customFormat="1">
      <c r="A82" s="987" t="s">
        <v>570</v>
      </c>
      <c r="B82" s="988" t="s">
        <v>571</v>
      </c>
      <c r="C82" s="1107" t="s">
        <v>572</v>
      </c>
      <c r="D82" s="1009" t="s">
        <v>308</v>
      </c>
      <c r="E82" s="1015" t="s">
        <v>80</v>
      </c>
      <c r="F82" s="1412">
        <v>0</v>
      </c>
      <c r="G82" s="1413">
        <v>0</v>
      </c>
      <c r="H82" s="1014" t="s">
        <v>10</v>
      </c>
      <c r="I82" s="1014" t="s">
        <v>259</v>
      </c>
      <c r="J82" s="1014" t="s">
        <v>99</v>
      </c>
      <c r="K82" s="806"/>
    </row>
    <row r="83" spans="1:11" s="448" customFormat="1">
      <c r="A83" s="987" t="s">
        <v>570</v>
      </c>
      <c r="B83" s="988" t="s">
        <v>571</v>
      </c>
      <c r="C83" s="1107" t="s">
        <v>573</v>
      </c>
      <c r="D83" s="1009" t="s">
        <v>308</v>
      </c>
      <c r="E83" s="1015" t="s">
        <v>80</v>
      </c>
      <c r="F83" s="1412">
        <v>146779</v>
      </c>
      <c r="G83" s="1413">
        <v>0</v>
      </c>
      <c r="H83" s="1014" t="s">
        <v>10</v>
      </c>
      <c r="I83" s="1014" t="s">
        <v>259</v>
      </c>
      <c r="J83" s="1014" t="s">
        <v>99</v>
      </c>
      <c r="K83" s="806"/>
    </row>
    <row r="84" spans="1:11" s="448" customFormat="1">
      <c r="A84" s="987" t="s">
        <v>570</v>
      </c>
      <c r="B84" s="988" t="s">
        <v>91</v>
      </c>
      <c r="C84" s="1107" t="s">
        <v>574</v>
      </c>
      <c r="D84" s="1009" t="s">
        <v>308</v>
      </c>
      <c r="E84" s="1015" t="s">
        <v>80</v>
      </c>
      <c r="F84" s="1412">
        <v>10566779309</v>
      </c>
      <c r="G84" s="1413">
        <v>0</v>
      </c>
      <c r="H84" s="1014" t="s">
        <v>10</v>
      </c>
      <c r="I84" s="1014" t="s">
        <v>112</v>
      </c>
      <c r="J84" s="1014" t="s">
        <v>91</v>
      </c>
      <c r="K84" s="806"/>
    </row>
    <row r="85" spans="1:11" s="448" customFormat="1">
      <c r="A85" s="987" t="s">
        <v>570</v>
      </c>
      <c r="B85" s="988" t="s">
        <v>91</v>
      </c>
      <c r="C85" s="1107" t="s">
        <v>575</v>
      </c>
      <c r="D85" s="1009" t="s">
        <v>308</v>
      </c>
      <c r="E85" s="1015" t="s">
        <v>81</v>
      </c>
      <c r="F85" s="1414">
        <v>0</v>
      </c>
      <c r="G85" s="1413">
        <v>5642.5699999999979</v>
      </c>
      <c r="H85" s="1014" t="s">
        <v>10</v>
      </c>
      <c r="I85" s="1014" t="s">
        <v>112</v>
      </c>
      <c r="J85" s="1014" t="s">
        <v>91</v>
      </c>
      <c r="K85" s="806"/>
    </row>
    <row r="86" spans="1:11" s="448" customFormat="1">
      <c r="A86" s="987" t="s">
        <v>576</v>
      </c>
      <c r="B86" s="988" t="s">
        <v>86</v>
      </c>
      <c r="C86" s="1107" t="s">
        <v>577</v>
      </c>
      <c r="D86" s="1009" t="s">
        <v>308</v>
      </c>
      <c r="E86" s="1015" t="s">
        <v>80</v>
      </c>
      <c r="F86" s="1412">
        <v>13439784</v>
      </c>
      <c r="G86" s="1413">
        <v>0</v>
      </c>
      <c r="H86" s="1014" t="s">
        <v>10</v>
      </c>
      <c r="I86" s="1014" t="s">
        <v>110</v>
      </c>
      <c r="J86" s="1014" t="s">
        <v>86</v>
      </c>
      <c r="K86" s="806"/>
    </row>
    <row r="87" spans="1:11" s="448" customFormat="1">
      <c r="A87" s="987" t="s">
        <v>576</v>
      </c>
      <c r="B87" s="988" t="s">
        <v>86</v>
      </c>
      <c r="C87" s="1107" t="s">
        <v>578</v>
      </c>
      <c r="D87" s="1009" t="s">
        <v>308</v>
      </c>
      <c r="E87" s="1015" t="s">
        <v>81</v>
      </c>
      <c r="F87" s="1412">
        <v>0</v>
      </c>
      <c r="G87" s="1413">
        <v>0</v>
      </c>
      <c r="H87" s="1014" t="s">
        <v>10</v>
      </c>
      <c r="I87" s="1014" t="s">
        <v>110</v>
      </c>
      <c r="J87" s="1014" t="s">
        <v>86</v>
      </c>
      <c r="K87" s="806"/>
    </row>
    <row r="88" spans="1:11" s="448" customFormat="1">
      <c r="A88" s="987" t="s">
        <v>579</v>
      </c>
      <c r="B88" s="988" t="s">
        <v>86</v>
      </c>
      <c r="C88" s="1107" t="s">
        <v>580</v>
      </c>
      <c r="D88" s="1009" t="s">
        <v>308</v>
      </c>
      <c r="E88" s="1015" t="s">
        <v>80</v>
      </c>
      <c r="F88" s="1412">
        <v>15339591</v>
      </c>
      <c r="G88" s="1413">
        <v>0</v>
      </c>
      <c r="H88" s="1014" t="s">
        <v>10</v>
      </c>
      <c r="I88" s="1014" t="s">
        <v>110</v>
      </c>
      <c r="J88" s="1014" t="s">
        <v>86</v>
      </c>
      <c r="K88" s="806"/>
    </row>
    <row r="89" spans="1:11" s="448" customFormat="1">
      <c r="A89" s="987" t="s">
        <v>579</v>
      </c>
      <c r="B89" s="988" t="s">
        <v>86</v>
      </c>
      <c r="C89" s="1107" t="s">
        <v>581</v>
      </c>
      <c r="D89" s="1009" t="s">
        <v>308</v>
      </c>
      <c r="E89" s="1015" t="s">
        <v>81</v>
      </c>
      <c r="F89" s="1412">
        <v>0</v>
      </c>
      <c r="G89" s="1413">
        <v>0</v>
      </c>
      <c r="H89" s="1014" t="s">
        <v>10</v>
      </c>
      <c r="I89" s="1014" t="s">
        <v>110</v>
      </c>
      <c r="J89" s="1014" t="s">
        <v>86</v>
      </c>
      <c r="K89" s="806"/>
    </row>
    <row r="90" spans="1:11" s="448" customFormat="1">
      <c r="A90" s="987" t="s">
        <v>582</v>
      </c>
      <c r="B90" s="988" t="s">
        <v>86</v>
      </c>
      <c r="C90" s="1107" t="s">
        <v>583</v>
      </c>
      <c r="D90" s="1009" t="s">
        <v>308</v>
      </c>
      <c r="E90" s="1015" t="s">
        <v>80</v>
      </c>
      <c r="F90" s="1412">
        <v>172543116</v>
      </c>
      <c r="G90" s="1413">
        <v>0</v>
      </c>
      <c r="H90" s="1014" t="s">
        <v>67</v>
      </c>
      <c r="I90" s="1014" t="s">
        <v>110</v>
      </c>
      <c r="J90" s="1014" t="s">
        <v>86</v>
      </c>
      <c r="K90" s="806"/>
    </row>
    <row r="91" spans="1:11" s="448" customFormat="1">
      <c r="A91" s="987" t="s">
        <v>582</v>
      </c>
      <c r="B91" s="988" t="s">
        <v>86</v>
      </c>
      <c r="C91" s="1107" t="s">
        <v>584</v>
      </c>
      <c r="D91" s="1009" t="s">
        <v>309</v>
      </c>
      <c r="E91" s="1015" t="s">
        <v>81</v>
      </c>
      <c r="F91" s="1414">
        <v>0</v>
      </c>
      <c r="G91" s="1413">
        <v>0</v>
      </c>
      <c r="H91" s="1014" t="s">
        <v>67</v>
      </c>
      <c r="I91" s="1014" t="s">
        <v>110</v>
      </c>
      <c r="J91" s="1014" t="s">
        <v>86</v>
      </c>
      <c r="K91" s="806"/>
    </row>
    <row r="92" spans="1:11" s="448" customFormat="1">
      <c r="A92" s="987" t="s">
        <v>582</v>
      </c>
      <c r="B92" s="988" t="s">
        <v>86</v>
      </c>
      <c r="C92" s="1107" t="s">
        <v>585</v>
      </c>
      <c r="D92" s="1009" t="s">
        <v>308</v>
      </c>
      <c r="E92" s="1015" t="s">
        <v>81</v>
      </c>
      <c r="F92" s="1414">
        <v>0</v>
      </c>
      <c r="G92" s="1413">
        <v>541.76</v>
      </c>
      <c r="H92" s="1014" t="s">
        <v>67</v>
      </c>
      <c r="I92" s="1014" t="s">
        <v>110</v>
      </c>
      <c r="J92" s="1014" t="s">
        <v>86</v>
      </c>
      <c r="K92" s="806"/>
    </row>
    <row r="93" spans="1:11" s="448" customFormat="1">
      <c r="A93" s="987" t="s">
        <v>582</v>
      </c>
      <c r="B93" s="988" t="s">
        <v>155</v>
      </c>
      <c r="C93" s="1107" t="s">
        <v>586</v>
      </c>
      <c r="D93" s="1009" t="s">
        <v>308</v>
      </c>
      <c r="E93" s="1015" t="s">
        <v>80</v>
      </c>
      <c r="F93" s="1413">
        <v>343824630</v>
      </c>
      <c r="G93" s="1413">
        <v>0</v>
      </c>
      <c r="H93" s="1014" t="s">
        <v>67</v>
      </c>
      <c r="I93" s="1014" t="s">
        <v>110</v>
      </c>
      <c r="J93" s="1014" t="s">
        <v>87</v>
      </c>
      <c r="K93" s="806"/>
    </row>
    <row r="94" spans="1:11" s="448" customFormat="1">
      <c r="A94" s="987" t="s">
        <v>582</v>
      </c>
      <c r="B94" s="988" t="s">
        <v>85</v>
      </c>
      <c r="C94" s="1107" t="s">
        <v>587</v>
      </c>
      <c r="D94" s="1009" t="s">
        <v>308</v>
      </c>
      <c r="E94" s="1015" t="s">
        <v>80</v>
      </c>
      <c r="F94" s="1414">
        <v>40385168617</v>
      </c>
      <c r="G94" s="1413">
        <v>0</v>
      </c>
      <c r="H94" s="1014" t="s">
        <v>67</v>
      </c>
      <c r="I94" s="1014" t="s">
        <v>110</v>
      </c>
      <c r="J94" s="1014" t="s">
        <v>85</v>
      </c>
      <c r="K94" s="806"/>
    </row>
    <row r="95" spans="1:11" s="448" customFormat="1">
      <c r="A95" s="987" t="s">
        <v>582</v>
      </c>
      <c r="B95" s="988" t="s">
        <v>85</v>
      </c>
      <c r="C95" s="1107" t="s">
        <v>588</v>
      </c>
      <c r="D95" s="1009" t="s">
        <v>308</v>
      </c>
      <c r="E95" s="1015" t="s">
        <v>81</v>
      </c>
      <c r="F95" s="1412">
        <v>0</v>
      </c>
      <c r="G95" s="1413">
        <v>438.53</v>
      </c>
      <c r="H95" s="1014" t="s">
        <v>67</v>
      </c>
      <c r="I95" s="1014" t="s">
        <v>110</v>
      </c>
      <c r="J95" s="1014" t="s">
        <v>85</v>
      </c>
      <c r="K95" s="806"/>
    </row>
    <row r="96" spans="1:11" s="448" customFormat="1">
      <c r="A96" s="987" t="s">
        <v>582</v>
      </c>
      <c r="B96" s="988" t="s">
        <v>153</v>
      </c>
      <c r="C96" s="1107" t="s">
        <v>589</v>
      </c>
      <c r="D96" s="1009" t="s">
        <v>308</v>
      </c>
      <c r="E96" s="1015" t="s">
        <v>80</v>
      </c>
      <c r="F96" s="1413">
        <v>9682550172</v>
      </c>
      <c r="G96" s="1413">
        <v>0</v>
      </c>
      <c r="H96" s="1014" t="s">
        <v>67</v>
      </c>
      <c r="I96" s="1014" t="s">
        <v>110</v>
      </c>
      <c r="J96" s="1014" t="s">
        <v>87</v>
      </c>
      <c r="K96" s="806"/>
    </row>
    <row r="97" spans="1:11" s="448" customFormat="1">
      <c r="A97" s="987" t="s">
        <v>582</v>
      </c>
      <c r="B97" s="988" t="s">
        <v>153</v>
      </c>
      <c r="C97" s="1107" t="s">
        <v>590</v>
      </c>
      <c r="D97" s="1009" t="s">
        <v>308</v>
      </c>
      <c r="E97" s="1015" t="s">
        <v>81</v>
      </c>
      <c r="F97" s="1413">
        <v>0</v>
      </c>
      <c r="G97" s="1413">
        <v>1812.22</v>
      </c>
      <c r="H97" s="1014" t="s">
        <v>67</v>
      </c>
      <c r="I97" s="1014" t="s">
        <v>110</v>
      </c>
      <c r="J97" s="1014" t="s">
        <v>87</v>
      </c>
      <c r="K97" s="806"/>
    </row>
    <row r="98" spans="1:11" s="448" customFormat="1">
      <c r="A98" s="987" t="s">
        <v>582</v>
      </c>
      <c r="B98" s="988" t="s">
        <v>91</v>
      </c>
      <c r="C98" s="1107" t="s">
        <v>591</v>
      </c>
      <c r="D98" s="1009" t="s">
        <v>308</v>
      </c>
      <c r="E98" s="1015" t="s">
        <v>80</v>
      </c>
      <c r="F98" s="1412">
        <v>5415885621</v>
      </c>
      <c r="G98" s="1413">
        <v>0</v>
      </c>
      <c r="H98" s="1014" t="s">
        <v>67</v>
      </c>
      <c r="I98" s="1014" t="s">
        <v>112</v>
      </c>
      <c r="J98" s="1014" t="s">
        <v>91</v>
      </c>
      <c r="K98" s="806"/>
    </row>
    <row r="99" spans="1:11" s="448" customFormat="1">
      <c r="A99" s="987" t="s">
        <v>582</v>
      </c>
      <c r="B99" s="988" t="s">
        <v>91</v>
      </c>
      <c r="C99" s="1107" t="s">
        <v>592</v>
      </c>
      <c r="D99" s="1009" t="s">
        <v>308</v>
      </c>
      <c r="E99" s="1015" t="s">
        <v>81</v>
      </c>
      <c r="F99" s="1412">
        <v>0</v>
      </c>
      <c r="G99" s="1413">
        <v>92.500000000000014</v>
      </c>
      <c r="H99" s="1014" t="s">
        <v>67</v>
      </c>
      <c r="I99" s="1014" t="s">
        <v>112</v>
      </c>
      <c r="J99" s="1014" t="s">
        <v>91</v>
      </c>
      <c r="K99" s="806"/>
    </row>
    <row r="100" spans="1:11" s="448" customFormat="1">
      <c r="A100" s="987" t="s">
        <v>582</v>
      </c>
      <c r="B100" s="988" t="s">
        <v>89</v>
      </c>
      <c r="C100" s="1107" t="s">
        <v>593</v>
      </c>
      <c r="D100" s="1009" t="s">
        <v>308</v>
      </c>
      <c r="E100" s="1015" t="s">
        <v>80</v>
      </c>
      <c r="F100" s="1413">
        <v>2034926215</v>
      </c>
      <c r="G100" s="1413">
        <v>0</v>
      </c>
      <c r="H100" s="1014" t="s">
        <v>67</v>
      </c>
      <c r="I100" s="1014" t="s">
        <v>112</v>
      </c>
      <c r="J100" s="1014" t="s">
        <v>89</v>
      </c>
      <c r="K100" s="806"/>
    </row>
    <row r="101" spans="1:11" s="448" customFormat="1">
      <c r="A101" s="987" t="s">
        <v>582</v>
      </c>
      <c r="B101" s="988" t="s">
        <v>89</v>
      </c>
      <c r="C101" s="1107" t="s">
        <v>594</v>
      </c>
      <c r="D101" s="1009" t="s">
        <v>308</v>
      </c>
      <c r="E101" s="1015" t="s">
        <v>81</v>
      </c>
      <c r="F101" s="1412">
        <v>0</v>
      </c>
      <c r="G101" s="1413">
        <v>606.19999999999982</v>
      </c>
      <c r="H101" s="1014" t="s">
        <v>67</v>
      </c>
      <c r="I101" s="1014" t="s">
        <v>112</v>
      </c>
      <c r="J101" s="1014" t="s">
        <v>89</v>
      </c>
      <c r="K101" s="806"/>
    </row>
    <row r="102" spans="1:11" s="448" customFormat="1">
      <c r="A102" s="987" t="s">
        <v>582</v>
      </c>
      <c r="B102" s="988" t="s">
        <v>97</v>
      </c>
      <c r="C102" s="1107" t="s">
        <v>595</v>
      </c>
      <c r="D102" s="1009" t="s">
        <v>308</v>
      </c>
      <c r="E102" s="1015" t="s">
        <v>80</v>
      </c>
      <c r="F102" s="1413">
        <v>7958304</v>
      </c>
      <c r="G102" s="1413">
        <v>0</v>
      </c>
      <c r="H102" s="1014" t="s">
        <v>67</v>
      </c>
      <c r="I102" s="1014" t="s">
        <v>119</v>
      </c>
      <c r="J102" s="1014" t="s">
        <v>97</v>
      </c>
      <c r="K102" s="806"/>
    </row>
    <row r="103" spans="1:11" s="448" customFormat="1">
      <c r="A103" s="987" t="s">
        <v>582</v>
      </c>
      <c r="B103" s="988" t="s">
        <v>97</v>
      </c>
      <c r="C103" s="1107" t="s">
        <v>596</v>
      </c>
      <c r="D103" s="1009" t="s">
        <v>308</v>
      </c>
      <c r="E103" s="1015" t="s">
        <v>81</v>
      </c>
      <c r="F103" s="1414">
        <v>0</v>
      </c>
      <c r="G103" s="1413">
        <v>90</v>
      </c>
      <c r="H103" s="1014" t="s">
        <v>67</v>
      </c>
      <c r="I103" s="1014" t="s">
        <v>119</v>
      </c>
      <c r="J103" s="1014" t="s">
        <v>97</v>
      </c>
      <c r="K103" s="806"/>
    </row>
    <row r="104" spans="1:11" s="448" customFormat="1">
      <c r="A104" s="987" t="s">
        <v>582</v>
      </c>
      <c r="B104" s="988" t="s">
        <v>95</v>
      </c>
      <c r="C104" s="1107" t="s">
        <v>597</v>
      </c>
      <c r="D104" s="1009" t="s">
        <v>308</v>
      </c>
      <c r="E104" s="1015" t="s">
        <v>80</v>
      </c>
      <c r="F104" s="1412">
        <v>56483173</v>
      </c>
      <c r="G104" s="1413">
        <v>0</v>
      </c>
      <c r="H104" s="1014" t="s">
        <v>67</v>
      </c>
      <c r="I104" s="1014" t="s">
        <v>116</v>
      </c>
      <c r="J104" s="1014" t="s">
        <v>95</v>
      </c>
      <c r="K104" s="806"/>
    </row>
    <row r="105" spans="1:11" s="448" customFormat="1">
      <c r="A105" s="987" t="s">
        <v>582</v>
      </c>
      <c r="B105" s="988" t="s">
        <v>95</v>
      </c>
      <c r="C105" s="1107" t="s">
        <v>598</v>
      </c>
      <c r="D105" s="1009" t="s">
        <v>308</v>
      </c>
      <c r="E105" s="1015" t="s">
        <v>81</v>
      </c>
      <c r="F105" s="1413">
        <v>0</v>
      </c>
      <c r="G105" s="1413">
        <v>100</v>
      </c>
      <c r="H105" s="1014" t="s">
        <v>67</v>
      </c>
      <c r="I105" s="1014" t="s">
        <v>116</v>
      </c>
      <c r="J105" s="1014" t="s">
        <v>95</v>
      </c>
      <c r="K105" s="806"/>
    </row>
    <row r="106" spans="1:11" s="448" customFormat="1">
      <c r="A106" s="987" t="s">
        <v>582</v>
      </c>
      <c r="B106" s="988" t="s">
        <v>96</v>
      </c>
      <c r="C106" s="1107" t="s">
        <v>599</v>
      </c>
      <c r="D106" s="1009" t="s">
        <v>308</v>
      </c>
      <c r="E106" s="1015" t="s">
        <v>80</v>
      </c>
      <c r="F106" s="1412">
        <v>187619615</v>
      </c>
      <c r="G106" s="1413">
        <v>0</v>
      </c>
      <c r="H106" s="1014" t="s">
        <v>67</v>
      </c>
      <c r="I106" s="1014" t="s">
        <v>118</v>
      </c>
      <c r="J106" s="1014" t="s">
        <v>96</v>
      </c>
      <c r="K106" s="806"/>
    </row>
    <row r="107" spans="1:11" s="448" customFormat="1">
      <c r="A107" s="987" t="s">
        <v>582</v>
      </c>
      <c r="B107" s="988" t="s">
        <v>96</v>
      </c>
      <c r="C107" s="1107" t="s">
        <v>600</v>
      </c>
      <c r="D107" s="1009" t="s">
        <v>308</v>
      </c>
      <c r="E107" s="1015" t="s">
        <v>81</v>
      </c>
      <c r="F107" s="1413">
        <v>0</v>
      </c>
      <c r="G107" s="1413">
        <v>100</v>
      </c>
      <c r="H107" s="1014" t="s">
        <v>67</v>
      </c>
      <c r="I107" s="1014" t="s">
        <v>118</v>
      </c>
      <c r="J107" s="1014" t="s">
        <v>96</v>
      </c>
      <c r="K107" s="806"/>
    </row>
    <row r="108" spans="1:11" s="448" customFormat="1">
      <c r="A108" s="987" t="s">
        <v>582</v>
      </c>
      <c r="B108" s="988" t="s">
        <v>92</v>
      </c>
      <c r="C108" s="1107" t="s">
        <v>601</v>
      </c>
      <c r="D108" s="1009" t="s">
        <v>308</v>
      </c>
      <c r="E108" s="1015" t="s">
        <v>80</v>
      </c>
      <c r="F108" s="1412">
        <v>5452184673</v>
      </c>
      <c r="G108" s="1413">
        <v>0</v>
      </c>
      <c r="H108" s="1014" t="s">
        <v>67</v>
      </c>
      <c r="I108" s="1014" t="s">
        <v>114</v>
      </c>
      <c r="J108" s="1014" t="s">
        <v>92</v>
      </c>
      <c r="K108" s="806"/>
    </row>
    <row r="109" spans="1:11" s="448" customFormat="1">
      <c r="A109" s="987" t="s">
        <v>582</v>
      </c>
      <c r="B109" s="988" t="s">
        <v>92</v>
      </c>
      <c r="C109" s="1107" t="s">
        <v>602</v>
      </c>
      <c r="D109" s="1009" t="s">
        <v>308</v>
      </c>
      <c r="E109" s="1015" t="s">
        <v>81</v>
      </c>
      <c r="F109" s="1413">
        <v>0</v>
      </c>
      <c r="G109" s="1413">
        <v>213.81000000000006</v>
      </c>
      <c r="H109" s="1014" t="s">
        <v>67</v>
      </c>
      <c r="I109" s="1014" t="s">
        <v>114</v>
      </c>
      <c r="J109" s="1014" t="s">
        <v>92</v>
      </c>
      <c r="K109" s="806"/>
    </row>
    <row r="110" spans="1:11" s="448" customFormat="1">
      <c r="A110" s="987" t="s">
        <v>582</v>
      </c>
      <c r="B110" s="988" t="s">
        <v>92</v>
      </c>
      <c r="C110" s="1107" t="s">
        <v>603</v>
      </c>
      <c r="D110" s="1009" t="s">
        <v>309</v>
      </c>
      <c r="E110" s="1015" t="s">
        <v>81</v>
      </c>
      <c r="F110" s="1414">
        <v>0</v>
      </c>
      <c r="G110" s="1413">
        <v>0</v>
      </c>
      <c r="H110" s="1014" t="s">
        <v>67</v>
      </c>
      <c r="I110" s="1014" t="s">
        <v>114</v>
      </c>
      <c r="J110" s="1014" t="s">
        <v>92</v>
      </c>
      <c r="K110" s="806"/>
    </row>
    <row r="111" spans="1:11" s="448" customFormat="1">
      <c r="A111" s="987" t="s">
        <v>582</v>
      </c>
      <c r="B111" s="988" t="s">
        <v>339</v>
      </c>
      <c r="C111" s="1107" t="s">
        <v>604</v>
      </c>
      <c r="D111" s="1009" t="s">
        <v>308</v>
      </c>
      <c r="E111" s="1015" t="s">
        <v>80</v>
      </c>
      <c r="F111" s="1412">
        <v>253471960</v>
      </c>
      <c r="G111" s="1413">
        <v>0</v>
      </c>
      <c r="H111" s="1014" t="s">
        <v>67</v>
      </c>
      <c r="I111" s="1014" t="s">
        <v>200</v>
      </c>
      <c r="J111" s="1014" t="s">
        <v>339</v>
      </c>
      <c r="K111" s="806"/>
    </row>
    <row r="112" spans="1:11" s="448" customFormat="1">
      <c r="A112" s="987" t="s">
        <v>582</v>
      </c>
      <c r="B112" s="988" t="s">
        <v>339</v>
      </c>
      <c r="C112" s="1107" t="s">
        <v>605</v>
      </c>
      <c r="D112" s="1009" t="s">
        <v>308</v>
      </c>
      <c r="E112" s="1015" t="s">
        <v>81</v>
      </c>
      <c r="F112" s="1412">
        <v>0</v>
      </c>
      <c r="G112" s="1413">
        <v>0</v>
      </c>
      <c r="H112" s="1014" t="s">
        <v>67</v>
      </c>
      <c r="I112" s="1014" t="s">
        <v>200</v>
      </c>
      <c r="J112" s="1014" t="s">
        <v>339</v>
      </c>
      <c r="K112" s="806"/>
    </row>
    <row r="113" spans="1:11" s="448" customFormat="1">
      <c r="A113" s="987" t="s">
        <v>606</v>
      </c>
      <c r="B113" s="988" t="s">
        <v>153</v>
      </c>
      <c r="C113" s="1107" t="s">
        <v>607</v>
      </c>
      <c r="D113" s="1009" t="s">
        <v>308</v>
      </c>
      <c r="E113" s="1015" t="s">
        <v>80</v>
      </c>
      <c r="F113" s="1413">
        <v>13463043</v>
      </c>
      <c r="G113" s="1413">
        <v>0</v>
      </c>
      <c r="H113" s="1014" t="s">
        <v>10</v>
      </c>
      <c r="I113" s="1014" t="s">
        <v>110</v>
      </c>
      <c r="J113" s="1014" t="s">
        <v>87</v>
      </c>
      <c r="K113" s="806"/>
    </row>
    <row r="114" spans="1:11" s="448" customFormat="1">
      <c r="A114" s="987" t="s">
        <v>606</v>
      </c>
      <c r="B114" s="988" t="s">
        <v>153</v>
      </c>
      <c r="C114" s="1107" t="s">
        <v>608</v>
      </c>
      <c r="D114" s="1009" t="s">
        <v>308</v>
      </c>
      <c r="E114" s="1015" t="s">
        <v>81</v>
      </c>
      <c r="F114" s="1412">
        <v>0</v>
      </c>
      <c r="G114" s="1413">
        <v>0</v>
      </c>
      <c r="H114" s="1014" t="s">
        <v>10</v>
      </c>
      <c r="I114" s="1014" t="s">
        <v>110</v>
      </c>
      <c r="J114" s="1014" t="s">
        <v>87</v>
      </c>
      <c r="K114" s="806"/>
    </row>
    <row r="115" spans="1:11" s="448" customFormat="1">
      <c r="A115" s="987" t="s">
        <v>609</v>
      </c>
      <c r="B115" s="988" t="s">
        <v>85</v>
      </c>
      <c r="C115" s="1107" t="s">
        <v>610</v>
      </c>
      <c r="D115" s="1009" t="s">
        <v>308</v>
      </c>
      <c r="E115" s="1015" t="s">
        <v>80</v>
      </c>
      <c r="F115" s="1414">
        <v>10986980172</v>
      </c>
      <c r="G115" s="1413">
        <v>0</v>
      </c>
      <c r="H115" s="1014" t="s">
        <v>10</v>
      </c>
      <c r="I115" s="1014" t="s">
        <v>110</v>
      </c>
      <c r="J115" s="1014" t="s">
        <v>85</v>
      </c>
      <c r="K115" s="806"/>
    </row>
    <row r="116" spans="1:11" s="448" customFormat="1">
      <c r="A116" s="987" t="s">
        <v>611</v>
      </c>
      <c r="B116" s="988" t="s">
        <v>153</v>
      </c>
      <c r="C116" s="1107" t="s">
        <v>612</v>
      </c>
      <c r="D116" s="1009" t="s">
        <v>308</v>
      </c>
      <c r="E116" s="1015" t="s">
        <v>80</v>
      </c>
      <c r="F116" s="1412">
        <v>11350990</v>
      </c>
      <c r="G116" s="1413">
        <v>0</v>
      </c>
      <c r="H116" s="1014" t="s">
        <v>10</v>
      </c>
      <c r="I116" s="1014" t="s">
        <v>110</v>
      </c>
      <c r="J116" s="1014" t="s">
        <v>87</v>
      </c>
      <c r="K116" s="806"/>
    </row>
    <row r="117" spans="1:11" s="448" customFormat="1">
      <c r="A117" s="987" t="s">
        <v>611</v>
      </c>
      <c r="B117" s="988" t="s">
        <v>153</v>
      </c>
      <c r="C117" s="1106" t="s">
        <v>613</v>
      </c>
      <c r="D117" s="1009" t="s">
        <v>308</v>
      </c>
      <c r="E117" s="1015" t="s">
        <v>81</v>
      </c>
      <c r="F117" s="1414">
        <v>0</v>
      </c>
      <c r="G117" s="1413">
        <v>0</v>
      </c>
      <c r="H117" s="1014" t="s">
        <v>10</v>
      </c>
      <c r="I117" s="1014" t="s">
        <v>110</v>
      </c>
      <c r="J117" s="1014" t="s">
        <v>87</v>
      </c>
      <c r="K117" s="806"/>
    </row>
    <row r="118" spans="1:11" s="448" customFormat="1">
      <c r="A118" s="987" t="s">
        <v>614</v>
      </c>
      <c r="B118" s="988" t="s">
        <v>88</v>
      </c>
      <c r="C118" s="1107" t="s">
        <v>615</v>
      </c>
      <c r="D118" s="1009" t="s">
        <v>308</v>
      </c>
      <c r="E118" s="1015" t="s">
        <v>80</v>
      </c>
      <c r="F118" s="1412">
        <v>2298489593</v>
      </c>
      <c r="G118" s="1413">
        <v>0</v>
      </c>
      <c r="H118" s="1014" t="s">
        <v>10</v>
      </c>
      <c r="I118" s="1014" t="s">
        <v>110</v>
      </c>
      <c r="J118" s="1014" t="s">
        <v>88</v>
      </c>
      <c r="K118" s="806"/>
    </row>
    <row r="119" spans="1:11" s="448" customFormat="1">
      <c r="A119" s="987" t="s">
        <v>614</v>
      </c>
      <c r="B119" s="988" t="s">
        <v>88</v>
      </c>
      <c r="C119" s="1107" t="s">
        <v>616</v>
      </c>
      <c r="D119" s="1009" t="s">
        <v>308</v>
      </c>
      <c r="E119" s="1015" t="s">
        <v>81</v>
      </c>
      <c r="F119" s="1412">
        <v>0</v>
      </c>
      <c r="G119" s="1413">
        <v>0</v>
      </c>
      <c r="H119" s="1014" t="s">
        <v>10</v>
      </c>
      <c r="I119" s="1014" t="s">
        <v>110</v>
      </c>
      <c r="J119" s="1014" t="s">
        <v>88</v>
      </c>
      <c r="K119" s="806"/>
    </row>
    <row r="120" spans="1:11" s="448" customFormat="1">
      <c r="A120" s="987" t="s">
        <v>617</v>
      </c>
      <c r="B120" s="988" t="s">
        <v>92</v>
      </c>
      <c r="C120" s="1107" t="s">
        <v>618</v>
      </c>
      <c r="D120" s="1009" t="s">
        <v>308</v>
      </c>
      <c r="E120" s="1015" t="s">
        <v>80</v>
      </c>
      <c r="F120" s="1412">
        <v>29270061338</v>
      </c>
      <c r="G120" s="1413">
        <v>0</v>
      </c>
      <c r="H120" s="1014" t="s">
        <v>10</v>
      </c>
      <c r="I120" s="1014" t="s">
        <v>114</v>
      </c>
      <c r="J120" s="1014" t="s">
        <v>92</v>
      </c>
      <c r="K120" s="806"/>
    </row>
    <row r="121" spans="1:11" s="448" customFormat="1">
      <c r="A121" s="987" t="s">
        <v>617</v>
      </c>
      <c r="B121" s="988" t="s">
        <v>92</v>
      </c>
      <c r="C121" s="1107" t="s">
        <v>619</v>
      </c>
      <c r="D121" s="1009" t="s">
        <v>310</v>
      </c>
      <c r="E121" s="1015" t="s">
        <v>80</v>
      </c>
      <c r="F121" s="1412">
        <v>2000000000</v>
      </c>
      <c r="G121" s="1413">
        <v>0</v>
      </c>
      <c r="H121" s="1014" t="s">
        <v>10</v>
      </c>
      <c r="I121" s="1014" t="s">
        <v>114</v>
      </c>
      <c r="J121" s="1014" t="s">
        <v>92</v>
      </c>
      <c r="K121" s="806"/>
    </row>
    <row r="122" spans="1:11" s="448" customFormat="1">
      <c r="A122" s="987" t="s">
        <v>620</v>
      </c>
      <c r="B122" s="988" t="s">
        <v>85</v>
      </c>
      <c r="C122" s="1107" t="s">
        <v>621</v>
      </c>
      <c r="D122" s="1009" t="s">
        <v>308</v>
      </c>
      <c r="E122" s="1015" t="s">
        <v>80</v>
      </c>
      <c r="F122" s="1412">
        <v>40099279</v>
      </c>
      <c r="G122" s="1413">
        <v>0</v>
      </c>
      <c r="H122" s="1014" t="s">
        <v>10</v>
      </c>
      <c r="I122" s="1014" t="s">
        <v>110</v>
      </c>
      <c r="J122" s="1014" t="s">
        <v>85</v>
      </c>
      <c r="K122" s="806"/>
    </row>
    <row r="123" spans="1:11" s="448" customFormat="1">
      <c r="A123" s="987" t="s">
        <v>620</v>
      </c>
      <c r="B123" s="988" t="s">
        <v>85</v>
      </c>
      <c r="C123" s="1107" t="s">
        <v>622</v>
      </c>
      <c r="D123" s="1009" t="s">
        <v>308</v>
      </c>
      <c r="E123" s="1015" t="s">
        <v>81</v>
      </c>
      <c r="F123" s="1412">
        <v>0</v>
      </c>
      <c r="G123" s="1413">
        <v>0</v>
      </c>
      <c r="H123" s="1014" t="s">
        <v>10</v>
      </c>
      <c r="I123" s="1014" t="s">
        <v>110</v>
      </c>
      <c r="J123" s="1014" t="s">
        <v>85</v>
      </c>
      <c r="K123" s="806"/>
    </row>
    <row r="124" spans="1:11" s="448" customFormat="1">
      <c r="A124" s="987" t="s">
        <v>620</v>
      </c>
      <c r="B124" s="988" t="s">
        <v>95</v>
      </c>
      <c r="C124" s="1107" t="s">
        <v>623</v>
      </c>
      <c r="D124" s="1009" t="s">
        <v>308</v>
      </c>
      <c r="E124" s="1015" t="s">
        <v>80</v>
      </c>
      <c r="F124" s="1415">
        <v>136622</v>
      </c>
      <c r="G124" s="1413">
        <v>0</v>
      </c>
      <c r="H124" s="1014" t="s">
        <v>10</v>
      </c>
      <c r="I124" s="1014" t="s">
        <v>116</v>
      </c>
      <c r="J124" s="1014" t="s">
        <v>95</v>
      </c>
      <c r="K124" s="806"/>
    </row>
    <row r="125" spans="1:11" s="448" customFormat="1">
      <c r="A125" s="987" t="s">
        <v>624</v>
      </c>
      <c r="B125" s="988" t="s">
        <v>85</v>
      </c>
      <c r="C125" s="1107" t="s">
        <v>625</v>
      </c>
      <c r="D125" s="1009" t="s">
        <v>308</v>
      </c>
      <c r="E125" s="1015" t="s">
        <v>80</v>
      </c>
      <c r="F125" s="1412">
        <v>24135447</v>
      </c>
      <c r="G125" s="1413">
        <v>0</v>
      </c>
      <c r="H125" s="1014" t="s">
        <v>10</v>
      </c>
      <c r="I125" s="1014" t="s">
        <v>110</v>
      </c>
      <c r="J125" s="1014" t="s">
        <v>85</v>
      </c>
      <c r="K125" s="806"/>
    </row>
    <row r="126" spans="1:11" s="448" customFormat="1">
      <c r="A126" s="987" t="s">
        <v>626</v>
      </c>
      <c r="B126" s="988" t="s">
        <v>85</v>
      </c>
      <c r="C126" s="1107" t="s">
        <v>627</v>
      </c>
      <c r="D126" s="1009" t="s">
        <v>308</v>
      </c>
      <c r="E126" s="1015" t="s">
        <v>80</v>
      </c>
      <c r="F126" s="1412">
        <v>31357113</v>
      </c>
      <c r="G126" s="1413">
        <v>0</v>
      </c>
      <c r="H126" s="1014" t="s">
        <v>10</v>
      </c>
      <c r="I126" s="1014" t="s">
        <v>110</v>
      </c>
      <c r="J126" s="1014" t="s">
        <v>85</v>
      </c>
      <c r="K126" s="806"/>
    </row>
    <row r="127" spans="1:11" s="448" customFormat="1">
      <c r="A127" s="987" t="s">
        <v>626</v>
      </c>
      <c r="B127" s="988" t="s">
        <v>85</v>
      </c>
      <c r="C127" s="1107" t="s">
        <v>628</v>
      </c>
      <c r="D127" s="1009" t="s">
        <v>308</v>
      </c>
      <c r="E127" s="1015" t="s">
        <v>81</v>
      </c>
      <c r="F127" s="1412">
        <v>0</v>
      </c>
      <c r="G127" s="1413">
        <v>0</v>
      </c>
      <c r="H127" s="1014" t="s">
        <v>10</v>
      </c>
      <c r="I127" s="1014" t="s">
        <v>110</v>
      </c>
      <c r="J127" s="1014" t="s">
        <v>85</v>
      </c>
      <c r="K127" s="806"/>
    </row>
    <row r="128" spans="1:11" s="448" customFormat="1">
      <c r="A128" s="987" t="s">
        <v>626</v>
      </c>
      <c r="B128" s="988" t="s">
        <v>95</v>
      </c>
      <c r="C128" s="1107" t="s">
        <v>629</v>
      </c>
      <c r="D128" s="1009" t="s">
        <v>308</v>
      </c>
      <c r="E128" s="1015" t="s">
        <v>80</v>
      </c>
      <c r="F128" s="1412">
        <v>5658311</v>
      </c>
      <c r="G128" s="1413">
        <v>0</v>
      </c>
      <c r="H128" s="1014" t="s">
        <v>10</v>
      </c>
      <c r="I128" s="1014" t="s">
        <v>116</v>
      </c>
      <c r="J128" s="1014" t="s">
        <v>95</v>
      </c>
      <c r="K128" s="806"/>
    </row>
    <row r="129" spans="1:11" s="448" customFormat="1">
      <c r="A129" s="987" t="s">
        <v>630</v>
      </c>
      <c r="B129" s="988" t="s">
        <v>85</v>
      </c>
      <c r="C129" s="1107" t="s">
        <v>631</v>
      </c>
      <c r="D129" s="1009" t="s">
        <v>308</v>
      </c>
      <c r="E129" s="1015" t="s">
        <v>80</v>
      </c>
      <c r="F129" s="1414">
        <v>18436599</v>
      </c>
      <c r="G129" s="1413">
        <v>0</v>
      </c>
      <c r="H129" s="1014" t="s">
        <v>10</v>
      </c>
      <c r="I129" s="1014" t="s">
        <v>110</v>
      </c>
      <c r="J129" s="1014" t="s">
        <v>85</v>
      </c>
      <c r="K129" s="806"/>
    </row>
    <row r="130" spans="1:11" s="448" customFormat="1">
      <c r="A130" s="987" t="s">
        <v>630</v>
      </c>
      <c r="B130" s="988" t="s">
        <v>85</v>
      </c>
      <c r="C130" s="1107" t="s">
        <v>632</v>
      </c>
      <c r="D130" s="1009" t="s">
        <v>308</v>
      </c>
      <c r="E130" s="1015" t="s">
        <v>81</v>
      </c>
      <c r="F130" s="1412">
        <v>0</v>
      </c>
      <c r="G130" s="1413">
        <v>179.18</v>
      </c>
      <c r="H130" s="1014" t="s">
        <v>10</v>
      </c>
      <c r="I130" s="1014" t="s">
        <v>110</v>
      </c>
      <c r="J130" s="1014" t="s">
        <v>85</v>
      </c>
      <c r="K130" s="806"/>
    </row>
    <row r="131" spans="1:11" s="448" customFormat="1">
      <c r="A131" s="987" t="s">
        <v>630</v>
      </c>
      <c r="B131" s="988" t="s">
        <v>85</v>
      </c>
      <c r="C131" s="1107" t="s">
        <v>633</v>
      </c>
      <c r="D131" s="1009" t="s">
        <v>307</v>
      </c>
      <c r="E131" s="1015" t="s">
        <v>81</v>
      </c>
      <c r="F131" s="1412">
        <v>0</v>
      </c>
      <c r="G131" s="1413">
        <v>0</v>
      </c>
      <c r="H131" s="1014" t="s">
        <v>10</v>
      </c>
      <c r="I131" s="1014" t="s">
        <v>110</v>
      </c>
      <c r="J131" s="1014" t="s">
        <v>85</v>
      </c>
      <c r="K131" s="806"/>
    </row>
    <row r="132" spans="1:11" s="448" customFormat="1">
      <c r="A132" s="987" t="s">
        <v>634</v>
      </c>
      <c r="B132" s="988" t="s">
        <v>85</v>
      </c>
      <c r="C132" s="1107" t="s">
        <v>635</v>
      </c>
      <c r="D132" s="1009" t="s">
        <v>308</v>
      </c>
      <c r="E132" s="1015" t="s">
        <v>80</v>
      </c>
      <c r="F132" s="1413">
        <v>3025156654</v>
      </c>
      <c r="G132" s="1413">
        <v>0</v>
      </c>
      <c r="H132" s="1014" t="s">
        <v>10</v>
      </c>
      <c r="I132" s="1014" t="s">
        <v>110</v>
      </c>
      <c r="J132" s="1014" t="s">
        <v>85</v>
      </c>
      <c r="K132" s="806"/>
    </row>
    <row r="133" spans="1:11" s="448" customFormat="1">
      <c r="A133" s="987" t="s">
        <v>634</v>
      </c>
      <c r="B133" s="988" t="s">
        <v>85</v>
      </c>
      <c r="C133" s="1107" t="s">
        <v>636</v>
      </c>
      <c r="D133" s="1009" t="s">
        <v>308</v>
      </c>
      <c r="E133" s="1015" t="s">
        <v>81</v>
      </c>
      <c r="F133" s="1412">
        <v>0</v>
      </c>
      <c r="G133" s="1413">
        <v>176.18</v>
      </c>
      <c r="H133" s="1014" t="s">
        <v>10</v>
      </c>
      <c r="I133" s="1014" t="s">
        <v>110</v>
      </c>
      <c r="J133" s="1014" t="s">
        <v>85</v>
      </c>
      <c r="K133" s="806"/>
    </row>
    <row r="134" spans="1:11" s="448" customFormat="1">
      <c r="A134" s="987" t="s">
        <v>634</v>
      </c>
      <c r="B134" s="988" t="s">
        <v>85</v>
      </c>
      <c r="C134" s="1107" t="s">
        <v>637</v>
      </c>
      <c r="D134" s="1009" t="s">
        <v>307</v>
      </c>
      <c r="E134" s="1015" t="s">
        <v>81</v>
      </c>
      <c r="F134" s="1413">
        <v>0</v>
      </c>
      <c r="G134" s="1413">
        <v>0</v>
      </c>
      <c r="H134" s="1014" t="s">
        <v>10</v>
      </c>
      <c r="I134" s="1014" t="s">
        <v>110</v>
      </c>
      <c r="J134" s="1014" t="s">
        <v>85</v>
      </c>
      <c r="K134" s="806"/>
    </row>
    <row r="135" spans="1:11" s="448" customFormat="1">
      <c r="A135" s="987" t="s">
        <v>638</v>
      </c>
      <c r="B135" s="988" t="s">
        <v>85</v>
      </c>
      <c r="C135" s="1107" t="s">
        <v>639</v>
      </c>
      <c r="D135" s="1009" t="s">
        <v>308</v>
      </c>
      <c r="E135" s="1015" t="s">
        <v>80</v>
      </c>
      <c r="F135" s="1412">
        <v>62023630</v>
      </c>
      <c r="G135" s="1413">
        <v>0</v>
      </c>
      <c r="H135" s="1014" t="s">
        <v>10</v>
      </c>
      <c r="I135" s="1014" t="s">
        <v>110</v>
      </c>
      <c r="J135" s="1014" t="s">
        <v>85</v>
      </c>
      <c r="K135" s="806"/>
    </row>
    <row r="136" spans="1:11" s="448" customFormat="1">
      <c r="A136" s="987" t="s">
        <v>638</v>
      </c>
      <c r="B136" s="988" t="s">
        <v>85</v>
      </c>
      <c r="C136" s="1107" t="s">
        <v>640</v>
      </c>
      <c r="D136" s="1009" t="s">
        <v>308</v>
      </c>
      <c r="E136" s="1015" t="s">
        <v>81</v>
      </c>
      <c r="F136" s="1413">
        <v>0</v>
      </c>
      <c r="G136" s="1413">
        <v>0</v>
      </c>
      <c r="H136" s="1014" t="s">
        <v>10</v>
      </c>
      <c r="I136" s="1014" t="s">
        <v>110</v>
      </c>
      <c r="J136" s="1014" t="s">
        <v>85</v>
      </c>
      <c r="K136" s="806"/>
    </row>
    <row r="137" spans="1:11" s="448" customFormat="1">
      <c r="A137" s="987" t="s">
        <v>641</v>
      </c>
      <c r="B137" s="988" t="s">
        <v>85</v>
      </c>
      <c r="C137" s="1107" t="s">
        <v>642</v>
      </c>
      <c r="D137" s="1009" t="s">
        <v>308</v>
      </c>
      <c r="E137" s="1015" t="s">
        <v>80</v>
      </c>
      <c r="F137" s="1412">
        <v>4640123</v>
      </c>
      <c r="G137" s="1413">
        <v>0</v>
      </c>
      <c r="H137" s="1014" t="s">
        <v>10</v>
      </c>
      <c r="I137" s="1014" t="s">
        <v>110</v>
      </c>
      <c r="J137" s="1014" t="s">
        <v>85</v>
      </c>
      <c r="K137" s="806"/>
    </row>
    <row r="138" spans="1:11" s="448" customFormat="1">
      <c r="A138" s="987" t="s">
        <v>641</v>
      </c>
      <c r="B138" s="988" t="s">
        <v>85</v>
      </c>
      <c r="C138" s="1107" t="s">
        <v>643</v>
      </c>
      <c r="D138" s="1009" t="s">
        <v>308</v>
      </c>
      <c r="E138" s="1015" t="s">
        <v>81</v>
      </c>
      <c r="F138" s="1413">
        <v>0</v>
      </c>
      <c r="G138" s="1413">
        <v>0</v>
      </c>
      <c r="H138" s="1014" t="s">
        <v>10</v>
      </c>
      <c r="I138" s="1014" t="s">
        <v>110</v>
      </c>
      <c r="J138" s="1014" t="s">
        <v>85</v>
      </c>
      <c r="K138" s="806"/>
    </row>
    <row r="139" spans="1:11" s="448" customFormat="1">
      <c r="A139" s="987" t="s">
        <v>641</v>
      </c>
      <c r="B139" s="988" t="s">
        <v>95</v>
      </c>
      <c r="C139" s="1107" t="s">
        <v>644</v>
      </c>
      <c r="D139" s="1009" t="s">
        <v>308</v>
      </c>
      <c r="E139" s="1015" t="s">
        <v>80</v>
      </c>
      <c r="F139" s="1413">
        <v>3297571</v>
      </c>
      <c r="G139" s="1413">
        <v>0</v>
      </c>
      <c r="H139" s="1014" t="s">
        <v>10</v>
      </c>
      <c r="I139" s="1014" t="s">
        <v>116</v>
      </c>
      <c r="J139" s="1014" t="s">
        <v>95</v>
      </c>
      <c r="K139" s="806"/>
    </row>
    <row r="140" spans="1:11" s="448" customFormat="1">
      <c r="A140" s="987" t="s">
        <v>645</v>
      </c>
      <c r="B140" s="988" t="s">
        <v>85</v>
      </c>
      <c r="C140" s="1107" t="s">
        <v>646</v>
      </c>
      <c r="D140" s="1009" t="s">
        <v>308</v>
      </c>
      <c r="E140" s="1015" t="s">
        <v>80</v>
      </c>
      <c r="F140" s="1413">
        <v>838745016</v>
      </c>
      <c r="G140" s="1413">
        <v>0</v>
      </c>
      <c r="H140" s="1014" t="s">
        <v>10</v>
      </c>
      <c r="I140" s="1014" t="s">
        <v>110</v>
      </c>
      <c r="J140" s="1014" t="s">
        <v>85</v>
      </c>
      <c r="K140" s="806"/>
    </row>
    <row r="141" spans="1:11" s="448" customFormat="1">
      <c r="A141" s="987" t="s">
        <v>645</v>
      </c>
      <c r="B141" s="988" t="s">
        <v>85</v>
      </c>
      <c r="C141" s="1107" t="s">
        <v>647</v>
      </c>
      <c r="D141" s="1009" t="s">
        <v>308</v>
      </c>
      <c r="E141" s="1015" t="s">
        <v>81</v>
      </c>
      <c r="F141" s="1412">
        <v>0</v>
      </c>
      <c r="G141" s="1413">
        <v>338.74</v>
      </c>
      <c r="H141" s="1014" t="s">
        <v>10</v>
      </c>
      <c r="I141" s="1014" t="s">
        <v>110</v>
      </c>
      <c r="J141" s="1014" t="s">
        <v>85</v>
      </c>
      <c r="K141" s="806"/>
    </row>
    <row r="142" spans="1:11" s="448" customFormat="1">
      <c r="A142" s="987" t="s">
        <v>645</v>
      </c>
      <c r="B142" s="988" t="s">
        <v>98</v>
      </c>
      <c r="C142" s="1107" t="s">
        <v>648</v>
      </c>
      <c r="D142" s="1009" t="s">
        <v>308</v>
      </c>
      <c r="E142" s="1015" t="s">
        <v>80</v>
      </c>
      <c r="F142" s="1412">
        <v>63950670</v>
      </c>
      <c r="G142" s="1413">
        <v>0</v>
      </c>
      <c r="H142" s="1014" t="s">
        <v>10</v>
      </c>
      <c r="I142" s="1014" t="s">
        <v>198</v>
      </c>
      <c r="J142" s="1014" t="s">
        <v>98</v>
      </c>
      <c r="K142" s="806"/>
    </row>
    <row r="143" spans="1:11" s="448" customFormat="1">
      <c r="A143" s="987" t="s">
        <v>645</v>
      </c>
      <c r="B143" s="988" t="s">
        <v>98</v>
      </c>
      <c r="C143" s="1107" t="s">
        <v>649</v>
      </c>
      <c r="D143" s="1009" t="s">
        <v>308</v>
      </c>
      <c r="E143" s="1015" t="s">
        <v>81</v>
      </c>
      <c r="F143" s="1412">
        <v>0</v>
      </c>
      <c r="G143" s="1413">
        <v>0</v>
      </c>
      <c r="H143" s="1014" t="s">
        <v>10</v>
      </c>
      <c r="I143" s="1014" t="s">
        <v>198</v>
      </c>
      <c r="J143" s="1014" t="s">
        <v>98</v>
      </c>
      <c r="K143" s="806"/>
    </row>
    <row r="144" spans="1:11" s="448" customFormat="1">
      <c r="A144" s="987" t="s">
        <v>645</v>
      </c>
      <c r="B144" s="988" t="s">
        <v>98</v>
      </c>
      <c r="C144" s="1107" t="s">
        <v>650</v>
      </c>
      <c r="D144" s="1009" t="s">
        <v>309</v>
      </c>
      <c r="E144" s="1015" t="s">
        <v>81</v>
      </c>
      <c r="F144" s="1413">
        <v>0</v>
      </c>
      <c r="G144" s="1413">
        <v>0</v>
      </c>
      <c r="H144" s="1014" t="s">
        <v>10</v>
      </c>
      <c r="I144" s="1014" t="s">
        <v>198</v>
      </c>
      <c r="J144" s="1014" t="s">
        <v>98</v>
      </c>
      <c r="K144" s="806"/>
    </row>
    <row r="145" spans="1:11" s="448" customFormat="1">
      <c r="A145" s="987" t="s">
        <v>645</v>
      </c>
      <c r="B145" s="988" t="s">
        <v>98</v>
      </c>
      <c r="C145" s="1107" t="s">
        <v>651</v>
      </c>
      <c r="D145" s="1009" t="s">
        <v>311</v>
      </c>
      <c r="E145" s="1015" t="s">
        <v>81</v>
      </c>
      <c r="F145" s="1414">
        <v>0</v>
      </c>
      <c r="G145" s="1413">
        <v>0</v>
      </c>
      <c r="H145" s="1014" t="s">
        <v>10</v>
      </c>
      <c r="I145" s="1014" t="s">
        <v>198</v>
      </c>
      <c r="J145" s="1014" t="s">
        <v>98</v>
      </c>
      <c r="K145" s="806"/>
    </row>
    <row r="146" spans="1:11" s="448" customFormat="1">
      <c r="A146" s="987" t="s">
        <v>645</v>
      </c>
      <c r="B146" s="988" t="s">
        <v>98</v>
      </c>
      <c r="C146" s="1107" t="s">
        <v>652</v>
      </c>
      <c r="D146" s="1009" t="s">
        <v>311</v>
      </c>
      <c r="E146" s="1015" t="s">
        <v>81</v>
      </c>
      <c r="F146" s="1413">
        <v>0</v>
      </c>
      <c r="G146" s="1413">
        <v>0</v>
      </c>
      <c r="H146" s="1014" t="s">
        <v>10</v>
      </c>
      <c r="I146" s="1014" t="s">
        <v>198</v>
      </c>
      <c r="J146" s="1014" t="s">
        <v>98</v>
      </c>
      <c r="K146" s="806"/>
    </row>
    <row r="147" spans="1:11" s="448" customFormat="1">
      <c r="A147" s="987" t="s">
        <v>653</v>
      </c>
      <c r="B147" s="988" t="s">
        <v>85</v>
      </c>
      <c r="C147" s="1107" t="s">
        <v>654</v>
      </c>
      <c r="D147" s="1009" t="s">
        <v>308</v>
      </c>
      <c r="E147" s="1015" t="s">
        <v>80</v>
      </c>
      <c r="F147" s="1414">
        <v>5994124</v>
      </c>
      <c r="G147" s="1413">
        <v>0</v>
      </c>
      <c r="H147" s="1014" t="s">
        <v>10</v>
      </c>
      <c r="I147" s="1014" t="s">
        <v>110</v>
      </c>
      <c r="J147" s="1014" t="s">
        <v>85</v>
      </c>
      <c r="K147" s="806"/>
    </row>
    <row r="148" spans="1:11" s="448" customFormat="1">
      <c r="A148" s="987" t="s">
        <v>653</v>
      </c>
      <c r="B148" s="988" t="s">
        <v>85</v>
      </c>
      <c r="C148" s="1107" t="s">
        <v>655</v>
      </c>
      <c r="D148" s="1009" t="s">
        <v>308</v>
      </c>
      <c r="E148" s="1015" t="s">
        <v>81</v>
      </c>
      <c r="F148" s="1412">
        <v>0</v>
      </c>
      <c r="G148" s="1413">
        <v>0</v>
      </c>
      <c r="H148" s="1014" t="s">
        <v>10</v>
      </c>
      <c r="I148" s="1014" t="s">
        <v>110</v>
      </c>
      <c r="J148" s="1014" t="s">
        <v>85</v>
      </c>
      <c r="K148" s="806"/>
    </row>
    <row r="149" spans="1:11" s="448" customFormat="1">
      <c r="A149" s="987" t="s">
        <v>656</v>
      </c>
      <c r="B149" s="988" t="s">
        <v>85</v>
      </c>
      <c r="C149" s="1107" t="s">
        <v>657</v>
      </c>
      <c r="D149" s="1009" t="s">
        <v>308</v>
      </c>
      <c r="E149" s="1015" t="s">
        <v>80</v>
      </c>
      <c r="F149" s="1413">
        <v>142859750</v>
      </c>
      <c r="G149" s="1413">
        <v>0</v>
      </c>
      <c r="H149" s="1014" t="s">
        <v>10</v>
      </c>
      <c r="I149" s="1014" t="s">
        <v>110</v>
      </c>
      <c r="J149" s="1014" t="s">
        <v>85</v>
      </c>
      <c r="K149" s="806"/>
    </row>
    <row r="150" spans="1:11" s="448" customFormat="1">
      <c r="A150" s="987" t="s">
        <v>656</v>
      </c>
      <c r="B150" s="988" t="s">
        <v>85</v>
      </c>
      <c r="C150" s="1107" t="s">
        <v>658</v>
      </c>
      <c r="D150" s="1009" t="s">
        <v>308</v>
      </c>
      <c r="E150" s="1015" t="s">
        <v>81</v>
      </c>
      <c r="F150" s="1412">
        <v>0</v>
      </c>
      <c r="G150" s="1413">
        <v>0</v>
      </c>
      <c r="H150" s="1014" t="s">
        <v>10</v>
      </c>
      <c r="I150" s="1014" t="s">
        <v>110</v>
      </c>
      <c r="J150" s="1014" t="s">
        <v>85</v>
      </c>
      <c r="K150" s="806"/>
    </row>
    <row r="151" spans="1:11" s="448" customFormat="1">
      <c r="A151" s="987" t="s">
        <v>659</v>
      </c>
      <c r="B151" s="988" t="s">
        <v>91</v>
      </c>
      <c r="C151" s="1107" t="s">
        <v>660</v>
      </c>
      <c r="D151" s="1009" t="s">
        <v>308</v>
      </c>
      <c r="E151" s="1015" t="s">
        <v>80</v>
      </c>
      <c r="F151" s="1412">
        <v>2567566</v>
      </c>
      <c r="G151" s="1413">
        <v>0</v>
      </c>
      <c r="H151" s="1014" t="s">
        <v>10</v>
      </c>
      <c r="I151" s="1014" t="s">
        <v>112</v>
      </c>
      <c r="J151" s="1014" t="s">
        <v>91</v>
      </c>
      <c r="K151" s="806"/>
    </row>
    <row r="152" spans="1:11" s="448" customFormat="1">
      <c r="A152" s="987" t="s">
        <v>659</v>
      </c>
      <c r="B152" s="988" t="s">
        <v>91</v>
      </c>
      <c r="C152" s="1107" t="s">
        <v>661</v>
      </c>
      <c r="D152" s="1009" t="s">
        <v>308</v>
      </c>
      <c r="E152" s="1015" t="s">
        <v>81</v>
      </c>
      <c r="F152" s="1413">
        <v>0</v>
      </c>
      <c r="G152" s="1413">
        <v>0</v>
      </c>
      <c r="H152" s="1014" t="s">
        <v>10</v>
      </c>
      <c r="I152" s="1014" t="s">
        <v>112</v>
      </c>
      <c r="J152" s="1014" t="s">
        <v>91</v>
      </c>
      <c r="K152" s="806"/>
    </row>
    <row r="153" spans="1:11" s="448" customFormat="1">
      <c r="A153" s="987" t="s">
        <v>662</v>
      </c>
      <c r="B153" s="988" t="s">
        <v>85</v>
      </c>
      <c r="C153" s="1107" t="s">
        <v>663</v>
      </c>
      <c r="D153" s="1009" t="s">
        <v>308</v>
      </c>
      <c r="E153" s="1015" t="s">
        <v>80</v>
      </c>
      <c r="F153" s="1412">
        <v>5063301</v>
      </c>
      <c r="G153" s="1413">
        <v>0</v>
      </c>
      <c r="H153" s="1014" t="s">
        <v>10</v>
      </c>
      <c r="I153" s="1014" t="s">
        <v>110</v>
      </c>
      <c r="J153" s="1014" t="s">
        <v>85</v>
      </c>
      <c r="K153" s="806"/>
    </row>
    <row r="154" spans="1:11" s="448" customFormat="1">
      <c r="A154" s="987" t="s">
        <v>662</v>
      </c>
      <c r="B154" s="988" t="s">
        <v>85</v>
      </c>
      <c r="C154" s="1107" t="s">
        <v>664</v>
      </c>
      <c r="D154" s="1009" t="s">
        <v>308</v>
      </c>
      <c r="E154" s="1015" t="s">
        <v>81</v>
      </c>
      <c r="F154" s="1412">
        <v>0</v>
      </c>
      <c r="G154" s="1413">
        <v>0</v>
      </c>
      <c r="H154" s="1014" t="s">
        <v>10</v>
      </c>
      <c r="I154" s="1014" t="s">
        <v>110</v>
      </c>
      <c r="J154" s="1014" t="s">
        <v>85</v>
      </c>
      <c r="K154" s="806"/>
    </row>
    <row r="155" spans="1:11" s="448" customFormat="1">
      <c r="A155" s="987" t="s">
        <v>665</v>
      </c>
      <c r="B155" s="988" t="s">
        <v>85</v>
      </c>
      <c r="C155" s="1107" t="s">
        <v>666</v>
      </c>
      <c r="D155" s="1009" t="s">
        <v>308</v>
      </c>
      <c r="E155" s="1015" t="s">
        <v>80</v>
      </c>
      <c r="F155" s="1413">
        <v>3715870505</v>
      </c>
      <c r="G155" s="1413">
        <v>0</v>
      </c>
      <c r="H155" s="1014" t="s">
        <v>10</v>
      </c>
      <c r="I155" s="1014" t="s">
        <v>110</v>
      </c>
      <c r="J155" s="1014" t="s">
        <v>85</v>
      </c>
      <c r="K155" s="806"/>
    </row>
    <row r="156" spans="1:11" s="448" customFormat="1">
      <c r="A156" s="987" t="s">
        <v>665</v>
      </c>
      <c r="B156" s="988" t="s">
        <v>85</v>
      </c>
      <c r="C156" s="1107" t="s">
        <v>667</v>
      </c>
      <c r="D156" s="1009" t="s">
        <v>308</v>
      </c>
      <c r="E156" s="1015" t="s">
        <v>81</v>
      </c>
      <c r="F156" s="1413">
        <v>0</v>
      </c>
      <c r="G156" s="1413">
        <v>192.16</v>
      </c>
      <c r="H156" s="1014" t="s">
        <v>10</v>
      </c>
      <c r="I156" s="1014" t="s">
        <v>110</v>
      </c>
      <c r="J156" s="1014" t="s">
        <v>85</v>
      </c>
      <c r="K156" s="806"/>
    </row>
    <row r="157" spans="1:11" s="448" customFormat="1">
      <c r="A157" s="987" t="s">
        <v>668</v>
      </c>
      <c r="B157" s="988" t="s">
        <v>86</v>
      </c>
      <c r="C157" s="1107" t="s">
        <v>669</v>
      </c>
      <c r="D157" s="1009" t="s">
        <v>308</v>
      </c>
      <c r="E157" s="1015" t="s">
        <v>80</v>
      </c>
      <c r="F157" s="1413">
        <v>4725481875</v>
      </c>
      <c r="G157" s="1413">
        <v>0</v>
      </c>
      <c r="H157" s="1014" t="s">
        <v>10</v>
      </c>
      <c r="I157" s="1014" t="s">
        <v>110</v>
      </c>
      <c r="J157" s="1014" t="s">
        <v>86</v>
      </c>
      <c r="K157" s="806"/>
    </row>
    <row r="158" spans="1:11" s="448" customFormat="1">
      <c r="A158" s="987" t="s">
        <v>668</v>
      </c>
      <c r="B158" s="988" t="s">
        <v>86</v>
      </c>
      <c r="C158" s="1107" t="s">
        <v>670</v>
      </c>
      <c r="D158" s="1009" t="s">
        <v>310</v>
      </c>
      <c r="E158" s="1015" t="s">
        <v>80</v>
      </c>
      <c r="F158" s="1414">
        <v>2900000000</v>
      </c>
      <c r="G158" s="1413">
        <v>0</v>
      </c>
      <c r="H158" s="1014" t="s">
        <v>10</v>
      </c>
      <c r="I158" s="1014" t="s">
        <v>110</v>
      </c>
      <c r="J158" s="1014" t="s">
        <v>86</v>
      </c>
      <c r="K158" s="806"/>
    </row>
    <row r="159" spans="1:11" s="448" customFormat="1">
      <c r="A159" s="987" t="s">
        <v>671</v>
      </c>
      <c r="B159" s="988" t="s">
        <v>85</v>
      </c>
      <c r="C159" s="1107" t="s">
        <v>672</v>
      </c>
      <c r="D159" s="1009" t="s">
        <v>308</v>
      </c>
      <c r="E159" s="1015" t="s">
        <v>80</v>
      </c>
      <c r="F159" s="1414">
        <v>41643993</v>
      </c>
      <c r="G159" s="1413">
        <v>0</v>
      </c>
      <c r="H159" s="1014" t="s">
        <v>10</v>
      </c>
      <c r="I159" s="1014" t="s">
        <v>110</v>
      </c>
      <c r="J159" s="1014" t="s">
        <v>85</v>
      </c>
      <c r="K159" s="806"/>
    </row>
    <row r="160" spans="1:11" s="448" customFormat="1">
      <c r="A160" s="987" t="s">
        <v>673</v>
      </c>
      <c r="B160" s="988" t="s">
        <v>85</v>
      </c>
      <c r="C160" s="1107" t="s">
        <v>674</v>
      </c>
      <c r="D160" s="1009" t="s">
        <v>308</v>
      </c>
      <c r="E160" s="1015" t="s">
        <v>80</v>
      </c>
      <c r="F160" s="1415">
        <v>37689429</v>
      </c>
      <c r="G160" s="1413">
        <v>0</v>
      </c>
      <c r="H160" s="1014" t="s">
        <v>10</v>
      </c>
      <c r="I160" s="1014" t="s">
        <v>110</v>
      </c>
      <c r="J160" s="1014" t="s">
        <v>85</v>
      </c>
      <c r="K160" s="806"/>
    </row>
    <row r="161" spans="1:11" s="448" customFormat="1">
      <c r="A161" s="987" t="s">
        <v>673</v>
      </c>
      <c r="B161" s="988" t="s">
        <v>95</v>
      </c>
      <c r="C161" s="1107" t="s">
        <v>675</v>
      </c>
      <c r="D161" s="1009" t="s">
        <v>308</v>
      </c>
      <c r="E161" s="1015" t="s">
        <v>80</v>
      </c>
      <c r="F161" s="1412">
        <v>4195253</v>
      </c>
      <c r="G161" s="1413">
        <v>0</v>
      </c>
      <c r="H161" s="1014" t="s">
        <v>10</v>
      </c>
      <c r="I161" s="1014" t="s">
        <v>116</v>
      </c>
      <c r="J161" s="1014" t="s">
        <v>95</v>
      </c>
      <c r="K161" s="806"/>
    </row>
    <row r="162" spans="1:11" s="448" customFormat="1">
      <c r="A162" s="987" t="s">
        <v>676</v>
      </c>
      <c r="B162" s="988" t="s">
        <v>85</v>
      </c>
      <c r="C162" s="1107" t="s">
        <v>677</v>
      </c>
      <c r="D162" s="1009" t="s">
        <v>308</v>
      </c>
      <c r="E162" s="1015" t="s">
        <v>80</v>
      </c>
      <c r="F162" s="1412">
        <v>38032666</v>
      </c>
      <c r="G162" s="1413">
        <v>0</v>
      </c>
      <c r="H162" s="1014" t="s">
        <v>10</v>
      </c>
      <c r="I162" s="1014" t="s">
        <v>110</v>
      </c>
      <c r="J162" s="1014" t="s">
        <v>85</v>
      </c>
      <c r="K162" s="806"/>
    </row>
    <row r="163" spans="1:11" s="448" customFormat="1">
      <c r="A163" s="987" t="s">
        <v>678</v>
      </c>
      <c r="B163" s="988" t="s">
        <v>85</v>
      </c>
      <c r="C163" s="1107" t="s">
        <v>679</v>
      </c>
      <c r="D163" s="1009" t="s">
        <v>308</v>
      </c>
      <c r="E163" s="1015" t="s">
        <v>80</v>
      </c>
      <c r="F163" s="1412">
        <v>40682768</v>
      </c>
      <c r="G163" s="1413">
        <v>0</v>
      </c>
      <c r="H163" s="1014" t="s">
        <v>10</v>
      </c>
      <c r="I163" s="1014" t="s">
        <v>110</v>
      </c>
      <c r="J163" s="1014" t="s">
        <v>85</v>
      </c>
      <c r="K163" s="806"/>
    </row>
    <row r="164" spans="1:11" s="448" customFormat="1">
      <c r="A164" s="987" t="s">
        <v>680</v>
      </c>
      <c r="B164" s="988" t="s">
        <v>85</v>
      </c>
      <c r="C164" s="1107" t="s">
        <v>681</v>
      </c>
      <c r="D164" s="1009" t="s">
        <v>308</v>
      </c>
      <c r="E164" s="1015" t="s">
        <v>80</v>
      </c>
      <c r="F164" s="1412">
        <v>30107417</v>
      </c>
      <c r="G164" s="1413">
        <v>0</v>
      </c>
      <c r="H164" s="1014" t="s">
        <v>10</v>
      </c>
      <c r="I164" s="1014" t="s">
        <v>110</v>
      </c>
      <c r="J164" s="1014" t="s">
        <v>85</v>
      </c>
      <c r="K164" s="806"/>
    </row>
    <row r="165" spans="1:11" s="448" customFormat="1">
      <c r="A165" s="987" t="s">
        <v>680</v>
      </c>
      <c r="B165" s="988" t="s">
        <v>95</v>
      </c>
      <c r="C165" s="1107" t="s">
        <v>682</v>
      </c>
      <c r="D165" s="1009" t="s">
        <v>308</v>
      </c>
      <c r="E165" s="1015" t="s">
        <v>80</v>
      </c>
      <c r="F165" s="1413">
        <v>5427044</v>
      </c>
      <c r="G165" s="1413">
        <v>0</v>
      </c>
      <c r="H165" s="1014" t="s">
        <v>10</v>
      </c>
      <c r="I165" s="1014" t="s">
        <v>116</v>
      </c>
      <c r="J165" s="1014" t="s">
        <v>95</v>
      </c>
      <c r="K165" s="806"/>
    </row>
    <row r="166" spans="1:11" s="448" customFormat="1">
      <c r="A166" s="987" t="s">
        <v>683</v>
      </c>
      <c r="B166" s="988" t="s">
        <v>85</v>
      </c>
      <c r="C166" s="1107" t="s">
        <v>684</v>
      </c>
      <c r="D166" s="1009" t="s">
        <v>308</v>
      </c>
      <c r="E166" s="1015" t="s">
        <v>80</v>
      </c>
      <c r="F166" s="1413">
        <v>113728883</v>
      </c>
      <c r="G166" s="1413">
        <v>0</v>
      </c>
      <c r="H166" s="1014" t="s">
        <v>10</v>
      </c>
      <c r="I166" s="1014" t="s">
        <v>110</v>
      </c>
      <c r="J166" s="1014" t="s">
        <v>85</v>
      </c>
      <c r="K166" s="806"/>
    </row>
    <row r="167" spans="1:11" s="448" customFormat="1">
      <c r="A167" s="987" t="s">
        <v>683</v>
      </c>
      <c r="B167" s="988" t="s">
        <v>85</v>
      </c>
      <c r="C167" s="1107" t="s">
        <v>685</v>
      </c>
      <c r="D167" s="1009" t="s">
        <v>308</v>
      </c>
      <c r="E167" s="1015" t="s">
        <v>81</v>
      </c>
      <c r="F167" s="1413">
        <v>0</v>
      </c>
      <c r="G167" s="1413">
        <v>0</v>
      </c>
      <c r="H167" s="1014" t="s">
        <v>10</v>
      </c>
      <c r="I167" s="1014" t="s">
        <v>110</v>
      </c>
      <c r="J167" s="1014" t="s">
        <v>85</v>
      </c>
      <c r="K167" s="806"/>
    </row>
    <row r="168" spans="1:11" s="448" customFormat="1">
      <c r="A168" s="987" t="s">
        <v>686</v>
      </c>
      <c r="B168" s="988" t="s">
        <v>85</v>
      </c>
      <c r="C168" s="1107" t="s">
        <v>687</v>
      </c>
      <c r="D168" s="1009" t="s">
        <v>308</v>
      </c>
      <c r="E168" s="1015" t="s">
        <v>80</v>
      </c>
      <c r="F168" s="1413">
        <v>61289794</v>
      </c>
      <c r="G168" s="1413">
        <v>0</v>
      </c>
      <c r="H168" s="1014" t="s">
        <v>10</v>
      </c>
      <c r="I168" s="1014" t="s">
        <v>110</v>
      </c>
      <c r="J168" s="1014" t="s">
        <v>85</v>
      </c>
      <c r="K168" s="806"/>
    </row>
    <row r="169" spans="1:11" s="448" customFormat="1">
      <c r="A169" s="987" t="s">
        <v>688</v>
      </c>
      <c r="B169" s="988" t="s">
        <v>85</v>
      </c>
      <c r="C169" s="1107" t="s">
        <v>689</v>
      </c>
      <c r="D169" s="1009" t="s">
        <v>308</v>
      </c>
      <c r="E169" s="1015" t="s">
        <v>80</v>
      </c>
      <c r="F169" s="1413">
        <v>46367488</v>
      </c>
      <c r="G169" s="1413">
        <v>0</v>
      </c>
      <c r="H169" s="1014" t="s">
        <v>10</v>
      </c>
      <c r="I169" s="1014" t="s">
        <v>110</v>
      </c>
      <c r="J169" s="1014" t="s">
        <v>85</v>
      </c>
      <c r="K169" s="806"/>
    </row>
    <row r="170" spans="1:11" s="448" customFormat="1">
      <c r="A170" s="987" t="s">
        <v>688</v>
      </c>
      <c r="B170" s="988" t="s">
        <v>85</v>
      </c>
      <c r="C170" s="1107" t="s">
        <v>690</v>
      </c>
      <c r="D170" s="1009" t="s">
        <v>308</v>
      </c>
      <c r="E170" s="1015" t="s">
        <v>81</v>
      </c>
      <c r="F170" s="1412">
        <v>0</v>
      </c>
      <c r="G170" s="1413">
        <v>0</v>
      </c>
      <c r="H170" s="1014" t="s">
        <v>10</v>
      </c>
      <c r="I170" s="1014" t="s">
        <v>110</v>
      </c>
      <c r="J170" s="1014" t="s">
        <v>85</v>
      </c>
      <c r="K170" s="806"/>
    </row>
    <row r="171" spans="1:11" s="448" customFormat="1">
      <c r="A171" s="987" t="s">
        <v>691</v>
      </c>
      <c r="B171" s="988" t="s">
        <v>85</v>
      </c>
      <c r="C171" s="1107" t="s">
        <v>692</v>
      </c>
      <c r="D171" s="1009" t="s">
        <v>308</v>
      </c>
      <c r="E171" s="1015" t="s">
        <v>80</v>
      </c>
      <c r="F171" s="1413">
        <v>58665716</v>
      </c>
      <c r="G171" s="1413">
        <v>0</v>
      </c>
      <c r="H171" s="1014" t="s">
        <v>10</v>
      </c>
      <c r="I171" s="1014" t="s">
        <v>110</v>
      </c>
      <c r="J171" s="1014" t="s">
        <v>85</v>
      </c>
      <c r="K171" s="806"/>
    </row>
    <row r="172" spans="1:11" s="448" customFormat="1">
      <c r="A172" s="987" t="s">
        <v>693</v>
      </c>
      <c r="B172" s="988" t="s">
        <v>85</v>
      </c>
      <c r="C172" s="1107" t="s">
        <v>694</v>
      </c>
      <c r="D172" s="1009" t="s">
        <v>308</v>
      </c>
      <c r="E172" s="1015" t="s">
        <v>80</v>
      </c>
      <c r="F172" s="1413">
        <v>160411146</v>
      </c>
      <c r="G172" s="1413">
        <v>0</v>
      </c>
      <c r="H172" s="1014" t="s">
        <v>10</v>
      </c>
      <c r="I172" s="1014" t="s">
        <v>110</v>
      </c>
      <c r="J172" s="1014" t="s">
        <v>85</v>
      </c>
      <c r="K172" s="806"/>
    </row>
    <row r="173" spans="1:11" s="448" customFormat="1">
      <c r="A173" s="987" t="s">
        <v>695</v>
      </c>
      <c r="B173" s="988" t="s">
        <v>340</v>
      </c>
      <c r="C173" s="1107" t="s">
        <v>696</v>
      </c>
      <c r="D173" s="1009" t="s">
        <v>308</v>
      </c>
      <c r="E173" s="1015" t="s">
        <v>80</v>
      </c>
      <c r="F173" s="1412">
        <v>109487802</v>
      </c>
      <c r="G173" s="1413">
        <v>0</v>
      </c>
      <c r="H173" s="1014" t="s">
        <v>10</v>
      </c>
      <c r="I173" s="1014" t="s">
        <v>200</v>
      </c>
      <c r="J173" s="1014" t="s">
        <v>340</v>
      </c>
      <c r="K173" s="806"/>
    </row>
    <row r="174" spans="1:11" s="448" customFormat="1">
      <c r="A174" s="987" t="s">
        <v>697</v>
      </c>
      <c r="B174" s="988" t="s">
        <v>85</v>
      </c>
      <c r="C174" s="1107" t="s">
        <v>698</v>
      </c>
      <c r="D174" s="1009" t="s">
        <v>308</v>
      </c>
      <c r="E174" s="1015" t="s">
        <v>80</v>
      </c>
      <c r="F174" s="1413">
        <v>4297566899</v>
      </c>
      <c r="G174" s="1413">
        <v>0</v>
      </c>
      <c r="H174" s="1014" t="s">
        <v>10</v>
      </c>
      <c r="I174" s="1014" t="s">
        <v>110</v>
      </c>
      <c r="J174" s="1014" t="s">
        <v>85</v>
      </c>
      <c r="K174" s="806"/>
    </row>
    <row r="175" spans="1:11" s="448" customFormat="1">
      <c r="A175" s="987" t="s">
        <v>699</v>
      </c>
      <c r="B175" s="988" t="s">
        <v>153</v>
      </c>
      <c r="C175" s="1107" t="s">
        <v>700</v>
      </c>
      <c r="D175" s="1009" t="s">
        <v>308</v>
      </c>
      <c r="E175" s="1015" t="s">
        <v>80</v>
      </c>
      <c r="F175" s="1413">
        <v>913729780</v>
      </c>
      <c r="G175" s="1413">
        <v>0</v>
      </c>
      <c r="H175" s="1014" t="s">
        <v>10</v>
      </c>
      <c r="I175" s="1014" t="s">
        <v>110</v>
      </c>
      <c r="J175" s="1014" t="s">
        <v>87</v>
      </c>
      <c r="K175" s="806"/>
    </row>
    <row r="176" spans="1:11" s="448" customFormat="1">
      <c r="A176" s="987" t="s">
        <v>701</v>
      </c>
      <c r="B176" s="988" t="s">
        <v>153</v>
      </c>
      <c r="C176" s="1107" t="s">
        <v>702</v>
      </c>
      <c r="D176" s="1009" t="s">
        <v>308</v>
      </c>
      <c r="E176" s="1015" t="s">
        <v>80</v>
      </c>
      <c r="F176" s="1414">
        <v>3479818157</v>
      </c>
      <c r="G176" s="1413">
        <v>0</v>
      </c>
      <c r="H176" s="1014" t="s">
        <v>10</v>
      </c>
      <c r="I176" s="1014" t="s">
        <v>110</v>
      </c>
      <c r="J176" s="1014" t="s">
        <v>87</v>
      </c>
      <c r="K176" s="806"/>
    </row>
    <row r="177" spans="1:11" s="448" customFormat="1">
      <c r="A177" s="987" t="s">
        <v>703</v>
      </c>
      <c r="B177" s="988" t="s">
        <v>86</v>
      </c>
      <c r="C177" s="1107" t="s">
        <v>704</v>
      </c>
      <c r="D177" s="1009" t="s">
        <v>310</v>
      </c>
      <c r="E177" s="1015" t="s">
        <v>80</v>
      </c>
      <c r="F177" s="1412">
        <v>1738000000</v>
      </c>
      <c r="G177" s="1413">
        <v>0</v>
      </c>
      <c r="H177" s="1014" t="s">
        <v>10</v>
      </c>
      <c r="I177" s="1014" t="s">
        <v>110</v>
      </c>
      <c r="J177" s="1014" t="s">
        <v>86</v>
      </c>
      <c r="K177" s="806"/>
    </row>
    <row r="178" spans="1:11" s="448" customFormat="1">
      <c r="A178" s="987" t="s">
        <v>703</v>
      </c>
      <c r="B178" s="988" t="s">
        <v>86</v>
      </c>
      <c r="C178" s="1107" t="s">
        <v>705</v>
      </c>
      <c r="D178" s="1009" t="s">
        <v>308</v>
      </c>
      <c r="E178" s="1015" t="s">
        <v>80</v>
      </c>
      <c r="F178" s="1413">
        <v>153302378</v>
      </c>
      <c r="G178" s="1413">
        <v>0</v>
      </c>
      <c r="H178" s="1014" t="s">
        <v>10</v>
      </c>
      <c r="I178" s="1014" t="s">
        <v>110</v>
      </c>
      <c r="J178" s="1014" t="s">
        <v>86</v>
      </c>
      <c r="K178" s="806"/>
    </row>
    <row r="179" spans="1:11" s="448" customFormat="1">
      <c r="A179" s="987" t="s">
        <v>706</v>
      </c>
      <c r="B179" s="988" t="s">
        <v>85</v>
      </c>
      <c r="C179" s="1107" t="s">
        <v>707</v>
      </c>
      <c r="D179" s="1009" t="s">
        <v>308</v>
      </c>
      <c r="E179" s="1015" t="s">
        <v>80</v>
      </c>
      <c r="F179" s="1413">
        <v>3851923526</v>
      </c>
      <c r="G179" s="1413">
        <v>0</v>
      </c>
      <c r="H179" s="1014" t="s">
        <v>10</v>
      </c>
      <c r="I179" s="1014" t="s">
        <v>110</v>
      </c>
      <c r="J179" s="1014" t="s">
        <v>85</v>
      </c>
      <c r="K179" s="806"/>
    </row>
    <row r="180" spans="1:11" s="448" customFormat="1">
      <c r="A180" s="987" t="s">
        <v>708</v>
      </c>
      <c r="B180" s="988" t="s">
        <v>85</v>
      </c>
      <c r="C180" s="1107" t="s">
        <v>709</v>
      </c>
      <c r="D180" s="1009" t="s">
        <v>308</v>
      </c>
      <c r="E180" s="1015" t="s">
        <v>80</v>
      </c>
      <c r="F180" s="1413">
        <v>2379657249</v>
      </c>
      <c r="G180" s="1413">
        <v>0</v>
      </c>
      <c r="H180" s="1014" t="s">
        <v>10</v>
      </c>
      <c r="I180" s="1014" t="s">
        <v>110</v>
      </c>
      <c r="J180" s="1014" t="s">
        <v>85</v>
      </c>
      <c r="K180" s="806"/>
    </row>
    <row r="181" spans="1:11" s="448" customFormat="1">
      <c r="A181" s="987" t="s">
        <v>710</v>
      </c>
      <c r="B181" s="988" t="s">
        <v>85</v>
      </c>
      <c r="C181" s="1107" t="s">
        <v>711</v>
      </c>
      <c r="D181" s="1009" t="s">
        <v>308</v>
      </c>
      <c r="E181" s="1015" t="s">
        <v>80</v>
      </c>
      <c r="F181" s="1412">
        <v>3750248370</v>
      </c>
      <c r="G181" s="1413">
        <v>0</v>
      </c>
      <c r="H181" s="1014" t="s">
        <v>10</v>
      </c>
      <c r="I181" s="1014" t="s">
        <v>110</v>
      </c>
      <c r="J181" s="1014" t="s">
        <v>85</v>
      </c>
      <c r="K181" s="806"/>
    </row>
    <row r="182" spans="1:11" s="448" customFormat="1">
      <c r="A182" s="987" t="s">
        <v>712</v>
      </c>
      <c r="B182" s="988" t="s">
        <v>85</v>
      </c>
      <c r="C182" s="1107" t="s">
        <v>713</v>
      </c>
      <c r="D182" s="1009" t="s">
        <v>308</v>
      </c>
      <c r="E182" s="1015" t="s">
        <v>80</v>
      </c>
      <c r="F182" s="1413">
        <v>1727149096</v>
      </c>
      <c r="G182" s="1413">
        <v>0</v>
      </c>
      <c r="H182" s="1014" t="s">
        <v>10</v>
      </c>
      <c r="I182" s="1014" t="s">
        <v>110</v>
      </c>
      <c r="J182" s="1014" t="s">
        <v>85</v>
      </c>
      <c r="K182" s="806"/>
    </row>
    <row r="183" spans="1:11" s="448" customFormat="1">
      <c r="A183" s="987" t="s">
        <v>714</v>
      </c>
      <c r="B183" s="988" t="s">
        <v>153</v>
      </c>
      <c r="C183" s="1107" t="s">
        <v>715</v>
      </c>
      <c r="D183" s="1009" t="s">
        <v>308</v>
      </c>
      <c r="E183" s="1015" t="s">
        <v>80</v>
      </c>
      <c r="F183" s="1413">
        <v>1889192517</v>
      </c>
      <c r="G183" s="1413">
        <v>0</v>
      </c>
      <c r="H183" s="1014" t="s">
        <v>10</v>
      </c>
      <c r="I183" s="1014" t="s">
        <v>110</v>
      </c>
      <c r="J183" s="1014" t="s">
        <v>87</v>
      </c>
      <c r="K183" s="806"/>
    </row>
    <row r="184" spans="1:11" s="448" customFormat="1">
      <c r="A184" s="987" t="s">
        <v>716</v>
      </c>
      <c r="B184" s="988" t="s">
        <v>153</v>
      </c>
      <c r="C184" s="1107" t="s">
        <v>717</v>
      </c>
      <c r="D184" s="1009" t="s">
        <v>308</v>
      </c>
      <c r="E184" s="1015" t="s">
        <v>80</v>
      </c>
      <c r="F184" s="1413">
        <v>2536453733</v>
      </c>
      <c r="G184" s="1413">
        <v>0</v>
      </c>
      <c r="H184" s="1014" t="s">
        <v>10</v>
      </c>
      <c r="I184" s="1014" t="s">
        <v>110</v>
      </c>
      <c r="J184" s="1014" t="s">
        <v>87</v>
      </c>
      <c r="K184" s="806"/>
    </row>
    <row r="185" spans="1:11" s="448" customFormat="1">
      <c r="A185" s="987" t="s">
        <v>718</v>
      </c>
      <c r="B185" s="988" t="s">
        <v>92</v>
      </c>
      <c r="C185" s="1107" t="s">
        <v>719</v>
      </c>
      <c r="D185" s="1009" t="s">
        <v>308</v>
      </c>
      <c r="E185" s="1015" t="s">
        <v>80</v>
      </c>
      <c r="F185" s="1413">
        <v>53505836</v>
      </c>
      <c r="G185" s="1413">
        <v>0</v>
      </c>
      <c r="H185" s="1014" t="s">
        <v>10</v>
      </c>
      <c r="I185" s="1014" t="s">
        <v>114</v>
      </c>
      <c r="J185" s="1014" t="s">
        <v>92</v>
      </c>
      <c r="K185" s="806"/>
    </row>
    <row r="186" spans="1:11" s="448" customFormat="1">
      <c r="A186" s="987" t="s">
        <v>720</v>
      </c>
      <c r="B186" s="988" t="s">
        <v>92</v>
      </c>
      <c r="C186" s="1107" t="s">
        <v>721</v>
      </c>
      <c r="D186" s="1009" t="s">
        <v>308</v>
      </c>
      <c r="E186" s="1015" t="s">
        <v>80</v>
      </c>
      <c r="F186" s="1412">
        <v>3709826</v>
      </c>
      <c r="G186" s="1413">
        <v>0</v>
      </c>
      <c r="H186" s="1014" t="s">
        <v>10</v>
      </c>
      <c r="I186" s="1014" t="s">
        <v>114</v>
      </c>
      <c r="J186" s="1014" t="s">
        <v>92</v>
      </c>
      <c r="K186" s="806"/>
    </row>
    <row r="187" spans="1:11" s="448" customFormat="1">
      <c r="A187" s="987" t="s">
        <v>720</v>
      </c>
      <c r="B187" s="988" t="s">
        <v>95</v>
      </c>
      <c r="C187" s="1107" t="s">
        <v>722</v>
      </c>
      <c r="D187" s="1009" t="s">
        <v>308</v>
      </c>
      <c r="E187" s="1015" t="s">
        <v>80</v>
      </c>
      <c r="F187" s="1413">
        <v>15669570</v>
      </c>
      <c r="G187" s="1413">
        <v>0</v>
      </c>
      <c r="H187" s="1014" t="s">
        <v>10</v>
      </c>
      <c r="I187" s="1014" t="s">
        <v>116</v>
      </c>
      <c r="J187" s="1014" t="s">
        <v>95</v>
      </c>
      <c r="K187" s="806"/>
    </row>
    <row r="188" spans="1:11" s="448" customFormat="1">
      <c r="A188" s="987" t="s">
        <v>723</v>
      </c>
      <c r="B188" s="988" t="s">
        <v>92</v>
      </c>
      <c r="C188" s="1107" t="s">
        <v>724</v>
      </c>
      <c r="D188" s="1009" t="s">
        <v>308</v>
      </c>
      <c r="E188" s="1015" t="s">
        <v>80</v>
      </c>
      <c r="F188" s="1412">
        <v>43077904</v>
      </c>
      <c r="G188" s="1413">
        <v>0</v>
      </c>
      <c r="H188" s="1014" t="s">
        <v>10</v>
      </c>
      <c r="I188" s="1014" t="s">
        <v>114</v>
      </c>
      <c r="J188" s="1014" t="s">
        <v>92</v>
      </c>
      <c r="K188" s="806"/>
    </row>
    <row r="189" spans="1:11" s="448" customFormat="1">
      <c r="A189" s="987" t="s">
        <v>725</v>
      </c>
      <c r="B189" s="988" t="s">
        <v>726</v>
      </c>
      <c r="C189" s="1107" t="s">
        <v>727</v>
      </c>
      <c r="D189" s="1009" t="s">
        <v>308</v>
      </c>
      <c r="E189" s="1015" t="s">
        <v>80</v>
      </c>
      <c r="F189" s="1415">
        <v>46513695</v>
      </c>
      <c r="G189" s="1413">
        <v>0</v>
      </c>
      <c r="H189" s="1014" t="s">
        <v>10</v>
      </c>
      <c r="I189" s="1014" t="s">
        <v>259</v>
      </c>
      <c r="J189" s="1014" t="s">
        <v>99</v>
      </c>
      <c r="K189" s="806"/>
    </row>
    <row r="190" spans="1:11" s="448" customFormat="1">
      <c r="A190" s="987" t="s">
        <v>728</v>
      </c>
      <c r="B190" s="988" t="s">
        <v>726</v>
      </c>
      <c r="C190" s="1107" t="s">
        <v>729</v>
      </c>
      <c r="D190" s="1009" t="s">
        <v>308</v>
      </c>
      <c r="E190" s="1015" t="s">
        <v>80</v>
      </c>
      <c r="F190" s="1415">
        <v>46513695</v>
      </c>
      <c r="G190" s="1413">
        <v>0</v>
      </c>
      <c r="H190" s="1014" t="s">
        <v>10</v>
      </c>
      <c r="I190" s="1014" t="s">
        <v>259</v>
      </c>
      <c r="J190" s="1014" t="s">
        <v>99</v>
      </c>
      <c r="K190" s="806"/>
    </row>
    <row r="191" spans="1:11" s="448" customFormat="1">
      <c r="A191" s="987" t="s">
        <v>730</v>
      </c>
      <c r="B191" s="988" t="s">
        <v>726</v>
      </c>
      <c r="C191" s="1107" t="s">
        <v>731</v>
      </c>
      <c r="D191" s="1009" t="s">
        <v>308</v>
      </c>
      <c r="E191" s="1015" t="s">
        <v>80</v>
      </c>
      <c r="F191" s="1412">
        <v>32597964</v>
      </c>
      <c r="G191" s="1413">
        <v>0</v>
      </c>
      <c r="H191" s="1014" t="s">
        <v>10</v>
      </c>
      <c r="I191" s="1014" t="s">
        <v>259</v>
      </c>
      <c r="J191" s="1014" t="s">
        <v>99</v>
      </c>
      <c r="K191" s="806"/>
    </row>
    <row r="192" spans="1:11" s="448" customFormat="1">
      <c r="A192" s="987" t="s">
        <v>732</v>
      </c>
      <c r="B192" s="988" t="s">
        <v>92</v>
      </c>
      <c r="C192" s="1107" t="s">
        <v>733</v>
      </c>
      <c r="D192" s="1009" t="s">
        <v>308</v>
      </c>
      <c r="E192" s="1015" t="s">
        <v>80</v>
      </c>
      <c r="F192" s="1414">
        <v>43096159</v>
      </c>
      <c r="G192" s="1413">
        <v>0</v>
      </c>
      <c r="H192" s="1014" t="s">
        <v>10</v>
      </c>
      <c r="I192" s="1014" t="s">
        <v>114</v>
      </c>
      <c r="J192" s="1014" t="s">
        <v>92</v>
      </c>
      <c r="K192" s="806"/>
    </row>
    <row r="193" spans="1:11" s="448" customFormat="1">
      <c r="A193" s="987" t="s">
        <v>734</v>
      </c>
      <c r="B193" s="988" t="s">
        <v>92</v>
      </c>
      <c r="C193" s="1107" t="s">
        <v>735</v>
      </c>
      <c r="D193" s="1009" t="s">
        <v>308</v>
      </c>
      <c r="E193" s="1015" t="s">
        <v>80</v>
      </c>
      <c r="F193" s="1415">
        <v>7023651</v>
      </c>
      <c r="G193" s="1413">
        <v>0</v>
      </c>
      <c r="H193" s="1014" t="s">
        <v>10</v>
      </c>
      <c r="I193" s="1014" t="s">
        <v>114</v>
      </c>
      <c r="J193" s="1014" t="s">
        <v>92</v>
      </c>
      <c r="K193" s="806"/>
    </row>
    <row r="194" spans="1:11" s="448" customFormat="1">
      <c r="A194" s="987" t="s">
        <v>734</v>
      </c>
      <c r="B194" s="988" t="s">
        <v>95</v>
      </c>
      <c r="C194" s="1107" t="s">
        <v>736</v>
      </c>
      <c r="D194" s="1009" t="s">
        <v>308</v>
      </c>
      <c r="E194" s="1015" t="s">
        <v>80</v>
      </c>
      <c r="F194" s="1412">
        <v>14436115</v>
      </c>
      <c r="G194" s="1413">
        <v>0</v>
      </c>
      <c r="H194" s="1014" t="s">
        <v>10</v>
      </c>
      <c r="I194" s="1014" t="s">
        <v>116</v>
      </c>
      <c r="J194" s="1014" t="s">
        <v>95</v>
      </c>
      <c r="K194" s="806"/>
    </row>
    <row r="195" spans="1:11" s="448" customFormat="1">
      <c r="A195" s="987" t="s">
        <v>737</v>
      </c>
      <c r="B195" s="988" t="s">
        <v>92</v>
      </c>
      <c r="C195" s="1107" t="s">
        <v>738</v>
      </c>
      <c r="D195" s="1009" t="s">
        <v>308</v>
      </c>
      <c r="E195" s="1015" t="s">
        <v>80</v>
      </c>
      <c r="F195" s="1413">
        <v>44816694</v>
      </c>
      <c r="G195" s="1413">
        <v>0</v>
      </c>
      <c r="H195" s="1014" t="s">
        <v>10</v>
      </c>
      <c r="I195" s="1014" t="s">
        <v>114</v>
      </c>
      <c r="J195" s="1014" t="s">
        <v>92</v>
      </c>
      <c r="K195" s="806"/>
    </row>
    <row r="196" spans="1:11" s="448" customFormat="1">
      <c r="A196" s="987" t="s">
        <v>739</v>
      </c>
      <c r="B196" s="988" t="s">
        <v>85</v>
      </c>
      <c r="C196" s="1107" t="s">
        <v>740</v>
      </c>
      <c r="D196" s="1009" t="s">
        <v>308</v>
      </c>
      <c r="E196" s="1015" t="s">
        <v>80</v>
      </c>
      <c r="F196" s="1412">
        <v>112887792</v>
      </c>
      <c r="G196" s="1413">
        <v>0</v>
      </c>
      <c r="H196" s="1014" t="s">
        <v>10</v>
      </c>
      <c r="I196" s="1014" t="s">
        <v>110</v>
      </c>
      <c r="J196" s="1014" t="s">
        <v>85</v>
      </c>
      <c r="K196" s="806"/>
    </row>
    <row r="197" spans="1:11" s="448" customFormat="1">
      <c r="A197" s="987" t="s">
        <v>739</v>
      </c>
      <c r="B197" s="988" t="s">
        <v>85</v>
      </c>
      <c r="C197" s="1107" t="s">
        <v>741</v>
      </c>
      <c r="D197" s="1009" t="s">
        <v>310</v>
      </c>
      <c r="E197" s="1015" t="s">
        <v>80</v>
      </c>
      <c r="F197" s="1414">
        <v>5112305361</v>
      </c>
      <c r="G197" s="1413">
        <v>0</v>
      </c>
      <c r="H197" s="1014" t="s">
        <v>10</v>
      </c>
      <c r="I197" s="1014" t="s">
        <v>110</v>
      </c>
      <c r="J197" s="1014" t="s">
        <v>85</v>
      </c>
      <c r="K197" s="806"/>
    </row>
    <row r="198" spans="1:11" s="448" customFormat="1">
      <c r="A198" s="987" t="s">
        <v>742</v>
      </c>
      <c r="B198" s="988" t="s">
        <v>85</v>
      </c>
      <c r="C198" s="1106" t="s">
        <v>743</v>
      </c>
      <c r="D198" s="1009" t="s">
        <v>308</v>
      </c>
      <c r="E198" s="1015" t="s">
        <v>80</v>
      </c>
      <c r="F198" s="1413">
        <v>28787799</v>
      </c>
      <c r="G198" s="1413">
        <v>0</v>
      </c>
      <c r="H198" s="1014" t="s">
        <v>10</v>
      </c>
      <c r="I198" s="1014" t="s">
        <v>110</v>
      </c>
      <c r="J198" s="1014" t="s">
        <v>85</v>
      </c>
      <c r="K198" s="806"/>
    </row>
    <row r="199" spans="1:11" s="448" customFormat="1">
      <c r="A199" s="987" t="s">
        <v>744</v>
      </c>
      <c r="B199" s="988" t="s">
        <v>85</v>
      </c>
      <c r="C199" s="1107" t="s">
        <v>745</v>
      </c>
      <c r="D199" s="1009" t="s">
        <v>308</v>
      </c>
      <c r="E199" s="1015" t="s">
        <v>80</v>
      </c>
      <c r="F199" s="1413">
        <v>32624209</v>
      </c>
      <c r="G199" s="1413">
        <v>0</v>
      </c>
      <c r="H199" s="1014" t="s">
        <v>10</v>
      </c>
      <c r="I199" s="1014" t="s">
        <v>110</v>
      </c>
      <c r="J199" s="1014" t="s">
        <v>85</v>
      </c>
      <c r="K199" s="806"/>
    </row>
    <row r="200" spans="1:11" s="448" customFormat="1">
      <c r="A200" s="987" t="s">
        <v>746</v>
      </c>
      <c r="B200" s="988" t="s">
        <v>92</v>
      </c>
      <c r="C200" s="1107" t="s">
        <v>747</v>
      </c>
      <c r="D200" s="1009" t="s">
        <v>308</v>
      </c>
      <c r="E200" s="1015" t="s">
        <v>80</v>
      </c>
      <c r="F200" s="1413">
        <v>6785472989</v>
      </c>
      <c r="G200" s="1413">
        <v>0</v>
      </c>
      <c r="H200" s="1014" t="s">
        <v>10</v>
      </c>
      <c r="I200" s="1014" t="s">
        <v>114</v>
      </c>
      <c r="J200" s="1014" t="s">
        <v>92</v>
      </c>
      <c r="K200" s="806"/>
    </row>
    <row r="201" spans="1:11" s="448" customFormat="1">
      <c r="A201" s="987" t="s">
        <v>748</v>
      </c>
      <c r="B201" s="988" t="s">
        <v>88</v>
      </c>
      <c r="C201" s="1107" t="s">
        <v>749</v>
      </c>
      <c r="D201" s="1009" t="s">
        <v>308</v>
      </c>
      <c r="E201" s="1015" t="s">
        <v>80</v>
      </c>
      <c r="F201" s="1415">
        <v>651514584</v>
      </c>
      <c r="G201" s="1413">
        <v>0</v>
      </c>
      <c r="H201" s="1014" t="s">
        <v>10</v>
      </c>
      <c r="I201" s="1014" t="s">
        <v>110</v>
      </c>
      <c r="J201" s="1014" t="s">
        <v>88</v>
      </c>
      <c r="K201" s="806"/>
    </row>
    <row r="202" spans="1:11" s="448" customFormat="1">
      <c r="A202" s="987" t="s">
        <v>750</v>
      </c>
      <c r="B202" s="988" t="s">
        <v>88</v>
      </c>
      <c r="C202" s="1106" t="s">
        <v>751</v>
      </c>
      <c r="D202" s="1009" t="s">
        <v>308</v>
      </c>
      <c r="E202" s="1015" t="s">
        <v>80</v>
      </c>
      <c r="F202" s="1414">
        <v>271414389</v>
      </c>
      <c r="G202" s="1413">
        <v>0</v>
      </c>
      <c r="H202" s="1014" t="s">
        <v>10</v>
      </c>
      <c r="I202" s="1014" t="s">
        <v>110</v>
      </c>
      <c r="J202" s="1014" t="s">
        <v>88</v>
      </c>
      <c r="K202" s="806"/>
    </row>
    <row r="203" spans="1:11" s="448" customFormat="1">
      <c r="A203" s="987" t="s">
        <v>752</v>
      </c>
      <c r="B203" s="988" t="s">
        <v>85</v>
      </c>
      <c r="C203" s="1107" t="s">
        <v>753</v>
      </c>
      <c r="D203" s="1009" t="s">
        <v>308</v>
      </c>
      <c r="E203" s="1015" t="s">
        <v>80</v>
      </c>
      <c r="F203" s="1413">
        <v>793714325</v>
      </c>
      <c r="G203" s="1413">
        <v>0</v>
      </c>
      <c r="H203" s="1014" t="s">
        <v>10</v>
      </c>
      <c r="I203" s="1014" t="s">
        <v>110</v>
      </c>
      <c r="J203" s="1014" t="s">
        <v>85</v>
      </c>
      <c r="K203" s="806"/>
    </row>
    <row r="204" spans="1:11" s="448" customFormat="1">
      <c r="A204" s="987" t="s">
        <v>754</v>
      </c>
      <c r="B204" s="988" t="s">
        <v>92</v>
      </c>
      <c r="C204" s="1107" t="s">
        <v>755</v>
      </c>
      <c r="D204" s="1009" t="s">
        <v>308</v>
      </c>
      <c r="E204" s="1015" t="s">
        <v>80</v>
      </c>
      <c r="F204" s="1413">
        <v>1640822101</v>
      </c>
      <c r="G204" s="1413">
        <v>0</v>
      </c>
      <c r="H204" s="1014" t="s">
        <v>10</v>
      </c>
      <c r="I204" s="1014" t="s">
        <v>114</v>
      </c>
      <c r="J204" s="1014" t="s">
        <v>92</v>
      </c>
      <c r="K204" s="806"/>
    </row>
    <row r="205" spans="1:11" s="448" customFormat="1">
      <c r="A205" s="987" t="s">
        <v>695</v>
      </c>
      <c r="B205" s="988" t="s">
        <v>92</v>
      </c>
      <c r="C205" s="1106" t="s">
        <v>756</v>
      </c>
      <c r="D205" s="1009" t="s">
        <v>308</v>
      </c>
      <c r="E205" s="1015" t="s">
        <v>80</v>
      </c>
      <c r="F205" s="1413">
        <v>73691341</v>
      </c>
      <c r="G205" s="1413">
        <v>0</v>
      </c>
      <c r="H205" s="1014" t="s">
        <v>10</v>
      </c>
      <c r="I205" s="1014" t="s">
        <v>114</v>
      </c>
      <c r="J205" s="1014" t="s">
        <v>92</v>
      </c>
      <c r="K205" s="806"/>
    </row>
    <row r="206" spans="1:11" s="448" customFormat="1">
      <c r="A206" s="987" t="s">
        <v>541</v>
      </c>
      <c r="B206" s="988" t="s">
        <v>86</v>
      </c>
      <c r="C206" s="1107" t="s">
        <v>757</v>
      </c>
      <c r="D206" s="1009" t="s">
        <v>308</v>
      </c>
      <c r="E206" s="1015" t="s">
        <v>81</v>
      </c>
      <c r="F206" s="1412">
        <v>0</v>
      </c>
      <c r="G206" s="1413">
        <v>0</v>
      </c>
      <c r="H206" s="1014" t="s">
        <v>10</v>
      </c>
      <c r="I206" s="1014" t="s">
        <v>110</v>
      </c>
      <c r="J206" s="1014" t="s">
        <v>86</v>
      </c>
      <c r="K206" s="806"/>
    </row>
    <row r="207" spans="1:11" s="448" customFormat="1">
      <c r="A207" s="987" t="s">
        <v>516</v>
      </c>
      <c r="B207" s="988" t="s">
        <v>92</v>
      </c>
      <c r="C207" s="1107" t="s">
        <v>758</v>
      </c>
      <c r="D207" s="1009" t="s">
        <v>308</v>
      </c>
      <c r="E207" s="1015" t="s">
        <v>81</v>
      </c>
      <c r="F207" s="1413">
        <v>0</v>
      </c>
      <c r="G207" s="1413">
        <v>33.999999999999986</v>
      </c>
      <c r="H207" s="1014" t="s">
        <v>10</v>
      </c>
      <c r="I207" s="1014" t="s">
        <v>114</v>
      </c>
      <c r="J207" s="1014" t="s">
        <v>92</v>
      </c>
      <c r="K207" s="806"/>
    </row>
    <row r="208" spans="1:11" s="448" customFormat="1">
      <c r="A208" s="987" t="s">
        <v>518</v>
      </c>
      <c r="B208" s="988" t="s">
        <v>85</v>
      </c>
      <c r="C208" s="1107" t="s">
        <v>759</v>
      </c>
      <c r="D208" s="1009" t="s">
        <v>308</v>
      </c>
      <c r="E208" s="1015" t="s">
        <v>80</v>
      </c>
      <c r="F208" s="1413">
        <v>14514708</v>
      </c>
      <c r="G208" s="1413">
        <v>0</v>
      </c>
      <c r="H208" s="1014" t="s">
        <v>10</v>
      </c>
      <c r="I208" s="1014" t="s">
        <v>110</v>
      </c>
      <c r="J208" s="1014" t="s">
        <v>85</v>
      </c>
      <c r="K208" s="806"/>
    </row>
    <row r="209" spans="1:11" s="448" customFormat="1">
      <c r="A209" s="987" t="s">
        <v>522</v>
      </c>
      <c r="B209" s="988" t="s">
        <v>85</v>
      </c>
      <c r="C209" s="1107" t="s">
        <v>760</v>
      </c>
      <c r="D209" s="1009" t="s">
        <v>308</v>
      </c>
      <c r="E209" s="1015" t="s">
        <v>80</v>
      </c>
      <c r="F209" s="1414">
        <v>62758562</v>
      </c>
      <c r="G209" s="1413">
        <v>0</v>
      </c>
      <c r="H209" s="1014" t="s">
        <v>10</v>
      </c>
      <c r="I209" s="1014" t="s">
        <v>110</v>
      </c>
      <c r="J209" s="1014" t="s">
        <v>85</v>
      </c>
      <c r="K209" s="806"/>
    </row>
    <row r="210" spans="1:11" s="448" customFormat="1">
      <c r="A210" s="987" t="s">
        <v>761</v>
      </c>
      <c r="B210" s="988" t="s">
        <v>89</v>
      </c>
      <c r="C210" s="1107" t="s">
        <v>762</v>
      </c>
      <c r="D210" s="1009" t="s">
        <v>308</v>
      </c>
      <c r="E210" s="1015" t="s">
        <v>80</v>
      </c>
      <c r="F210" s="1414">
        <v>2364678264</v>
      </c>
      <c r="G210" s="1413">
        <v>0</v>
      </c>
      <c r="H210" s="1014" t="s">
        <v>10</v>
      </c>
      <c r="I210" s="1014" t="s">
        <v>112</v>
      </c>
      <c r="J210" s="1014" t="s">
        <v>89</v>
      </c>
      <c r="K210" s="806"/>
    </row>
    <row r="211" spans="1:11" s="448" customFormat="1">
      <c r="A211" s="987" t="s">
        <v>469</v>
      </c>
      <c r="B211" s="988" t="s">
        <v>86</v>
      </c>
      <c r="C211" s="1107" t="s">
        <v>763</v>
      </c>
      <c r="D211" s="1009" t="s">
        <v>308</v>
      </c>
      <c r="E211" s="1015" t="s">
        <v>81</v>
      </c>
      <c r="F211" s="1412">
        <v>0</v>
      </c>
      <c r="G211" s="1413">
        <v>748.33</v>
      </c>
      <c r="H211" s="1014" t="s">
        <v>8</v>
      </c>
      <c r="I211" s="1014" t="s">
        <v>110</v>
      </c>
      <c r="J211" s="1014" t="s">
        <v>86</v>
      </c>
      <c r="K211" s="806"/>
    </row>
    <row r="212" spans="1:11" s="448" customFormat="1">
      <c r="A212" s="987" t="s">
        <v>469</v>
      </c>
      <c r="B212" s="988" t="s">
        <v>88</v>
      </c>
      <c r="C212" s="1107" t="s">
        <v>764</v>
      </c>
      <c r="D212" s="1009" t="s">
        <v>308</v>
      </c>
      <c r="E212" s="1015" t="s">
        <v>81</v>
      </c>
      <c r="F212" s="1414">
        <v>0</v>
      </c>
      <c r="G212" s="1413">
        <v>769</v>
      </c>
      <c r="H212" s="1014" t="s">
        <v>8</v>
      </c>
      <c r="I212" s="1014" t="s">
        <v>110</v>
      </c>
      <c r="J212" s="1014" t="s">
        <v>88</v>
      </c>
      <c r="K212" s="806"/>
    </row>
    <row r="213" spans="1:11" s="448" customFormat="1">
      <c r="A213" s="987" t="s">
        <v>582</v>
      </c>
      <c r="B213" s="988" t="s">
        <v>88</v>
      </c>
      <c r="C213" s="1107" t="s">
        <v>765</v>
      </c>
      <c r="D213" s="1009" t="s">
        <v>308</v>
      </c>
      <c r="E213" s="1015" t="s">
        <v>81</v>
      </c>
      <c r="F213" s="1413">
        <v>0</v>
      </c>
      <c r="G213" s="1413">
        <v>0</v>
      </c>
      <c r="H213" s="1014" t="s">
        <v>67</v>
      </c>
      <c r="I213" s="1014" t="s">
        <v>110</v>
      </c>
      <c r="J213" s="1014" t="s">
        <v>88</v>
      </c>
      <c r="K213" s="806"/>
    </row>
    <row r="214" spans="1:11" s="448" customFormat="1">
      <c r="A214" s="987" t="s">
        <v>609</v>
      </c>
      <c r="B214" s="988" t="s">
        <v>85</v>
      </c>
      <c r="C214" s="1107" t="s">
        <v>766</v>
      </c>
      <c r="D214" s="1009" t="s">
        <v>308</v>
      </c>
      <c r="E214" s="1015" t="s">
        <v>80</v>
      </c>
      <c r="F214" s="1414">
        <v>2567083</v>
      </c>
      <c r="G214" s="1413">
        <v>0</v>
      </c>
      <c r="H214" s="1014" t="s">
        <v>10</v>
      </c>
      <c r="I214" s="1014" t="s">
        <v>110</v>
      </c>
      <c r="J214" s="1014" t="s">
        <v>85</v>
      </c>
      <c r="K214" s="806"/>
    </row>
    <row r="215" spans="1:11" s="448" customFormat="1">
      <c r="A215" s="987" t="s">
        <v>565</v>
      </c>
      <c r="B215" s="988" t="s">
        <v>95</v>
      </c>
      <c r="C215" s="1107" t="s">
        <v>767</v>
      </c>
      <c r="D215" s="1009" t="s">
        <v>308</v>
      </c>
      <c r="E215" s="1015" t="s">
        <v>80</v>
      </c>
      <c r="F215" s="1413">
        <v>2685777</v>
      </c>
      <c r="G215" s="1413">
        <v>0</v>
      </c>
      <c r="H215" s="1014" t="s">
        <v>10</v>
      </c>
      <c r="I215" s="1014" t="s">
        <v>116</v>
      </c>
      <c r="J215" s="1014" t="s">
        <v>95</v>
      </c>
      <c r="K215" s="806"/>
    </row>
    <row r="216" spans="1:11" s="448" customFormat="1">
      <c r="A216" s="987" t="s">
        <v>768</v>
      </c>
      <c r="B216" s="988" t="s">
        <v>85</v>
      </c>
      <c r="C216" s="1108" t="s">
        <v>769</v>
      </c>
      <c r="D216" s="1009" t="s">
        <v>308</v>
      </c>
      <c r="E216" s="1015" t="s">
        <v>80</v>
      </c>
      <c r="F216" s="1414">
        <v>12046744</v>
      </c>
      <c r="G216" s="1413">
        <v>0</v>
      </c>
      <c r="H216" s="1014" t="s">
        <v>10</v>
      </c>
      <c r="I216" s="1014" t="s">
        <v>110</v>
      </c>
      <c r="J216" s="1014" t="s">
        <v>85</v>
      </c>
      <c r="K216" s="806"/>
    </row>
    <row r="217" spans="1:11" s="448" customFormat="1">
      <c r="A217" s="987" t="s">
        <v>770</v>
      </c>
      <c r="B217" s="988" t="s">
        <v>85</v>
      </c>
      <c r="C217" s="1108" t="s">
        <v>771</v>
      </c>
      <c r="D217" s="1009" t="s">
        <v>308</v>
      </c>
      <c r="E217" s="1015" t="s">
        <v>80</v>
      </c>
      <c r="F217" s="1413">
        <v>18282889</v>
      </c>
      <c r="G217" s="1413">
        <v>0</v>
      </c>
      <c r="H217" s="1014" t="s">
        <v>10</v>
      </c>
      <c r="I217" s="1014" t="s">
        <v>110</v>
      </c>
      <c r="J217" s="1014" t="s">
        <v>85</v>
      </c>
      <c r="K217" s="806"/>
    </row>
    <row r="218" spans="1:11" s="448" customFormat="1">
      <c r="A218" s="987" t="s">
        <v>772</v>
      </c>
      <c r="B218" s="988" t="s">
        <v>85</v>
      </c>
      <c r="C218" s="1108" t="s">
        <v>773</v>
      </c>
      <c r="D218" s="1009" t="s">
        <v>308</v>
      </c>
      <c r="E218" s="1015" t="s">
        <v>80</v>
      </c>
      <c r="F218" s="1412">
        <v>22980600</v>
      </c>
      <c r="G218" s="1413">
        <v>0</v>
      </c>
      <c r="H218" s="1014" t="s">
        <v>10</v>
      </c>
      <c r="I218" s="1014" t="s">
        <v>110</v>
      </c>
      <c r="J218" s="1014" t="s">
        <v>85</v>
      </c>
      <c r="K218" s="806"/>
    </row>
    <row r="219" spans="1:11" s="448" customFormat="1">
      <c r="A219" s="987" t="s">
        <v>774</v>
      </c>
      <c r="B219" s="988" t="s">
        <v>85</v>
      </c>
      <c r="C219" s="1108" t="s">
        <v>775</v>
      </c>
      <c r="D219" s="1009" t="s">
        <v>308</v>
      </c>
      <c r="E219" s="1015" t="s">
        <v>80</v>
      </c>
      <c r="F219" s="1415">
        <v>2023854526</v>
      </c>
      <c r="G219" s="1413">
        <v>0</v>
      </c>
      <c r="H219" s="1014" t="s">
        <v>10</v>
      </c>
      <c r="I219" s="1014" t="s">
        <v>110</v>
      </c>
      <c r="J219" s="1014" t="s">
        <v>85</v>
      </c>
      <c r="K219" s="806"/>
    </row>
    <row r="220" spans="1:11" s="448" customFormat="1">
      <c r="A220" s="987" t="s">
        <v>776</v>
      </c>
      <c r="B220" s="988" t="s">
        <v>85</v>
      </c>
      <c r="C220" s="1108" t="s">
        <v>777</v>
      </c>
      <c r="D220" s="1009" t="s">
        <v>308</v>
      </c>
      <c r="E220" s="1015" t="s">
        <v>80</v>
      </c>
      <c r="F220" s="1412">
        <v>34957686</v>
      </c>
      <c r="G220" s="1413">
        <v>0</v>
      </c>
      <c r="H220" s="1014" t="s">
        <v>10</v>
      </c>
      <c r="I220" s="1014" t="s">
        <v>110</v>
      </c>
      <c r="J220" s="1014" t="s">
        <v>85</v>
      </c>
      <c r="K220" s="806"/>
    </row>
    <row r="221" spans="1:11" s="448" customFormat="1">
      <c r="A221" s="987" t="s">
        <v>778</v>
      </c>
      <c r="B221" s="988" t="s">
        <v>85</v>
      </c>
      <c r="C221" s="1108" t="s">
        <v>779</v>
      </c>
      <c r="D221" s="1009" t="s">
        <v>308</v>
      </c>
      <c r="E221" s="1015" t="s">
        <v>80</v>
      </c>
      <c r="F221" s="1412">
        <v>75319381</v>
      </c>
      <c r="G221" s="1413">
        <v>0</v>
      </c>
      <c r="H221" s="1014" t="s">
        <v>10</v>
      </c>
      <c r="I221" s="1014" t="s">
        <v>110</v>
      </c>
      <c r="J221" s="1014" t="s">
        <v>85</v>
      </c>
      <c r="K221" s="806"/>
    </row>
    <row r="222" spans="1:11" s="448" customFormat="1">
      <c r="A222" s="987" t="s">
        <v>780</v>
      </c>
      <c r="B222" s="988" t="s">
        <v>85</v>
      </c>
      <c r="C222" s="1108" t="s">
        <v>781</v>
      </c>
      <c r="D222" s="1009" t="s">
        <v>308</v>
      </c>
      <c r="E222" s="1015" t="s">
        <v>80</v>
      </c>
      <c r="F222" s="1413">
        <v>25263086</v>
      </c>
      <c r="G222" s="1413">
        <v>0</v>
      </c>
      <c r="H222" s="1014" t="s">
        <v>10</v>
      </c>
      <c r="I222" s="1014" t="s">
        <v>110</v>
      </c>
      <c r="J222" s="1014" t="s">
        <v>85</v>
      </c>
      <c r="K222" s="806"/>
    </row>
    <row r="223" spans="1:11" s="448" customFormat="1">
      <c r="A223" s="987" t="s">
        <v>782</v>
      </c>
      <c r="B223" s="988" t="s">
        <v>85</v>
      </c>
      <c r="C223" s="1108" t="s">
        <v>783</v>
      </c>
      <c r="D223" s="1009" t="s">
        <v>308</v>
      </c>
      <c r="E223" s="1015" t="s">
        <v>80</v>
      </c>
      <c r="F223" s="1412">
        <v>118035185</v>
      </c>
      <c r="G223" s="1413">
        <v>0</v>
      </c>
      <c r="H223" s="1014" t="s">
        <v>10</v>
      </c>
      <c r="I223" s="1014" t="s">
        <v>110</v>
      </c>
      <c r="J223" s="1014" t="s">
        <v>85</v>
      </c>
      <c r="K223" s="806"/>
    </row>
    <row r="224" spans="1:11" s="448" customFormat="1">
      <c r="A224" s="987" t="s">
        <v>784</v>
      </c>
      <c r="B224" s="988" t="s">
        <v>85</v>
      </c>
      <c r="C224" s="1108" t="s">
        <v>785</v>
      </c>
      <c r="D224" s="1009" t="s">
        <v>308</v>
      </c>
      <c r="E224" s="1015" t="s">
        <v>80</v>
      </c>
      <c r="F224" s="1413">
        <v>40254255</v>
      </c>
      <c r="G224" s="1413">
        <v>0</v>
      </c>
      <c r="H224" s="1014" t="s">
        <v>10</v>
      </c>
      <c r="I224" s="1014" t="s">
        <v>110</v>
      </c>
      <c r="J224" s="1014" t="s">
        <v>85</v>
      </c>
      <c r="K224" s="806"/>
    </row>
    <row r="225" spans="1:29" s="448" customFormat="1" ht="14.4">
      <c r="A225" s="987" t="s">
        <v>786</v>
      </c>
      <c r="B225" s="988" t="s">
        <v>85</v>
      </c>
      <c r="C225" s="1108" t="s">
        <v>787</v>
      </c>
      <c r="D225" s="1009" t="s">
        <v>308</v>
      </c>
      <c r="E225" s="1015" t="s">
        <v>80</v>
      </c>
      <c r="F225" s="1413">
        <v>79260179</v>
      </c>
      <c r="G225" s="1413">
        <v>0</v>
      </c>
      <c r="H225" s="1014" t="s">
        <v>10</v>
      </c>
      <c r="I225" s="1014" t="s">
        <v>110</v>
      </c>
      <c r="J225" s="1014" t="s">
        <v>85</v>
      </c>
      <c r="K225" s="806"/>
      <c r="Q225" s="24"/>
      <c r="R225" s="24"/>
    </row>
    <row r="226" spans="1:29" s="448" customFormat="1">
      <c r="A226" s="987" t="s">
        <v>788</v>
      </c>
      <c r="B226" s="988" t="s">
        <v>85</v>
      </c>
      <c r="C226" s="1108" t="s">
        <v>789</v>
      </c>
      <c r="D226" s="1009" t="s">
        <v>308</v>
      </c>
      <c r="E226" s="1015" t="s">
        <v>80</v>
      </c>
      <c r="F226" s="1412">
        <v>110950995</v>
      </c>
      <c r="G226" s="1413">
        <v>0</v>
      </c>
      <c r="H226" s="1014" t="s">
        <v>10</v>
      </c>
      <c r="I226" s="1014" t="s">
        <v>110</v>
      </c>
      <c r="J226" s="1014" t="s">
        <v>85</v>
      </c>
      <c r="K226" s="806"/>
    </row>
    <row r="227" spans="1:29" s="448" customFormat="1" ht="14.4">
      <c r="A227" s="987" t="s">
        <v>790</v>
      </c>
      <c r="B227" s="988" t="s">
        <v>85</v>
      </c>
      <c r="C227" s="1108" t="s">
        <v>791</v>
      </c>
      <c r="D227" s="1009" t="s">
        <v>308</v>
      </c>
      <c r="E227" s="1015" t="s">
        <v>80</v>
      </c>
      <c r="F227" s="1413">
        <v>64326384</v>
      </c>
      <c r="G227" s="1413">
        <v>0</v>
      </c>
      <c r="H227" s="1014" t="s">
        <v>10</v>
      </c>
      <c r="I227" s="1014" t="s">
        <v>110</v>
      </c>
      <c r="J227" s="1014" t="s">
        <v>85</v>
      </c>
      <c r="K227" s="806"/>
      <c r="Q227" s="24"/>
      <c r="R227" s="24"/>
      <c r="S227" s="24"/>
      <c r="T227" s="24"/>
      <c r="U227" s="24"/>
      <c r="V227" s="24"/>
      <c r="W227" s="24"/>
      <c r="X227" s="24"/>
      <c r="Y227" s="24"/>
      <c r="Z227" s="24"/>
      <c r="AA227" s="24"/>
      <c r="AB227" s="24"/>
      <c r="AC227" s="24"/>
    </row>
    <row r="228" spans="1:29" s="448" customFormat="1" ht="14.4">
      <c r="A228" s="987" t="s">
        <v>792</v>
      </c>
      <c r="B228" s="988" t="s">
        <v>85</v>
      </c>
      <c r="C228" s="1108" t="s">
        <v>793</v>
      </c>
      <c r="D228" s="1009" t="s">
        <v>308</v>
      </c>
      <c r="E228" s="1015" t="s">
        <v>80</v>
      </c>
      <c r="F228" s="1412">
        <v>109241629</v>
      </c>
      <c r="G228" s="1413">
        <v>0</v>
      </c>
      <c r="H228" s="1014" t="s">
        <v>10</v>
      </c>
      <c r="I228" s="1014" t="s">
        <v>110</v>
      </c>
      <c r="J228" s="1014" t="s">
        <v>85</v>
      </c>
      <c r="K228" s="806"/>
      <c r="Q228" s="24"/>
      <c r="R228" s="24"/>
      <c r="S228" s="24"/>
      <c r="T228" s="24"/>
      <c r="U228" s="24"/>
      <c r="V228" s="24"/>
      <c r="W228" s="24"/>
      <c r="X228" s="24"/>
      <c r="Y228" s="24"/>
      <c r="Z228" s="24"/>
      <c r="AA228" s="24"/>
      <c r="AB228" s="24"/>
      <c r="AC228" s="24"/>
    </row>
    <row r="229" spans="1:29" s="448" customFormat="1" ht="14.4">
      <c r="A229" s="987" t="s">
        <v>794</v>
      </c>
      <c r="B229" s="988" t="s">
        <v>85</v>
      </c>
      <c r="C229" s="1108" t="s">
        <v>795</v>
      </c>
      <c r="D229" s="1009" t="s">
        <v>308</v>
      </c>
      <c r="E229" s="1015" t="s">
        <v>80</v>
      </c>
      <c r="F229" s="1413">
        <v>62789396</v>
      </c>
      <c r="G229" s="1413">
        <v>0</v>
      </c>
      <c r="H229" s="1014" t="s">
        <v>10</v>
      </c>
      <c r="I229" s="1014" t="s">
        <v>110</v>
      </c>
      <c r="J229" s="1014" t="s">
        <v>85</v>
      </c>
      <c r="K229" s="806"/>
      <c r="Q229" s="24"/>
      <c r="R229" s="24"/>
      <c r="S229" s="24"/>
      <c r="T229" s="24"/>
      <c r="U229" s="24"/>
      <c r="V229" s="24"/>
      <c r="W229" s="24"/>
      <c r="X229" s="24"/>
      <c r="Y229" s="24"/>
      <c r="Z229" s="24"/>
      <c r="AA229" s="24"/>
      <c r="AB229" s="24"/>
      <c r="AC229" s="24"/>
    </row>
    <row r="230" spans="1:29" s="448" customFormat="1" ht="14.4">
      <c r="A230" s="987" t="s">
        <v>796</v>
      </c>
      <c r="B230" s="988" t="s">
        <v>85</v>
      </c>
      <c r="C230" s="1108" t="s">
        <v>797</v>
      </c>
      <c r="D230" s="1009" t="s">
        <v>308</v>
      </c>
      <c r="E230" s="1015" t="s">
        <v>80</v>
      </c>
      <c r="F230" s="1413">
        <v>56648890</v>
      </c>
      <c r="G230" s="1413">
        <v>0</v>
      </c>
      <c r="H230" s="1014" t="s">
        <v>10</v>
      </c>
      <c r="I230" s="1014" t="s">
        <v>110</v>
      </c>
      <c r="J230" s="1014" t="s">
        <v>85</v>
      </c>
      <c r="K230" s="806"/>
      <c r="Q230" s="24"/>
      <c r="R230" s="24"/>
      <c r="S230" s="24"/>
      <c r="T230" s="24"/>
      <c r="U230" s="24"/>
      <c r="V230" s="24"/>
      <c r="W230" s="24"/>
      <c r="X230" s="24"/>
      <c r="Y230" s="24"/>
      <c r="Z230" s="24"/>
      <c r="AA230" s="24"/>
      <c r="AB230" s="24"/>
      <c r="AC230" s="24"/>
    </row>
    <row r="231" spans="1:29" s="448" customFormat="1" ht="14.4">
      <c r="A231" s="987" t="s">
        <v>520</v>
      </c>
      <c r="B231" s="988" t="s">
        <v>95</v>
      </c>
      <c r="C231" s="1108" t="s">
        <v>798</v>
      </c>
      <c r="D231" s="1009" t="s">
        <v>308</v>
      </c>
      <c r="E231" s="1015" t="s">
        <v>80</v>
      </c>
      <c r="F231" s="1415">
        <v>2986250</v>
      </c>
      <c r="G231" s="1413">
        <v>0</v>
      </c>
      <c r="H231" s="1014" t="s">
        <v>10</v>
      </c>
      <c r="I231" s="1014" t="s">
        <v>116</v>
      </c>
      <c r="J231" s="1014" t="s">
        <v>95</v>
      </c>
      <c r="K231" s="806"/>
      <c r="Q231" s="24"/>
      <c r="R231" s="24"/>
      <c r="S231" s="24"/>
      <c r="T231" s="24"/>
      <c r="U231" s="24"/>
      <c r="V231" s="24"/>
      <c r="W231" s="24"/>
      <c r="X231" s="24"/>
      <c r="Y231" s="24"/>
      <c r="Z231" s="24"/>
      <c r="AA231" s="24"/>
      <c r="AB231" s="24"/>
      <c r="AC231" s="24"/>
    </row>
    <row r="232" spans="1:29" s="448" customFormat="1" ht="14.4">
      <c r="A232" s="987" t="s">
        <v>524</v>
      </c>
      <c r="B232" s="988" t="s">
        <v>95</v>
      </c>
      <c r="C232" s="1108" t="s">
        <v>799</v>
      </c>
      <c r="D232" s="1009" t="s">
        <v>308</v>
      </c>
      <c r="E232" s="1015" t="s">
        <v>80</v>
      </c>
      <c r="F232" s="1412">
        <v>22710658</v>
      </c>
      <c r="G232" s="1413">
        <v>0</v>
      </c>
      <c r="H232" s="1014" t="s">
        <v>10</v>
      </c>
      <c r="I232" s="1014" t="s">
        <v>116</v>
      </c>
      <c r="J232" s="1014" t="s">
        <v>95</v>
      </c>
      <c r="K232" s="806"/>
      <c r="Q232" s="24"/>
      <c r="R232" s="24"/>
      <c r="S232" s="24"/>
      <c r="T232" s="24"/>
      <c r="U232" s="24"/>
      <c r="V232" s="24"/>
      <c r="W232" s="24"/>
      <c r="X232" s="24"/>
      <c r="Y232" s="24"/>
      <c r="Z232" s="24"/>
      <c r="AA232" s="24"/>
      <c r="AB232" s="24"/>
      <c r="AC232" s="24"/>
    </row>
    <row r="233" spans="1:29" s="448" customFormat="1" ht="14.4">
      <c r="A233" s="987" t="s">
        <v>645</v>
      </c>
      <c r="B233" s="988" t="s">
        <v>98</v>
      </c>
      <c r="C233" s="1108" t="s">
        <v>800</v>
      </c>
      <c r="D233" s="1009" t="s">
        <v>309</v>
      </c>
      <c r="E233" s="1015" t="s">
        <v>81</v>
      </c>
      <c r="F233" s="1412">
        <v>0</v>
      </c>
      <c r="G233" s="1413">
        <v>0</v>
      </c>
      <c r="H233" s="1014" t="s">
        <v>10</v>
      </c>
      <c r="I233" s="1014" t="s">
        <v>198</v>
      </c>
      <c r="J233" s="1014" t="s">
        <v>98</v>
      </c>
      <c r="K233" s="806"/>
      <c r="Q233" s="24"/>
      <c r="R233" s="24"/>
      <c r="S233" s="24"/>
      <c r="T233" s="24"/>
      <c r="U233" s="24"/>
      <c r="V233" s="24"/>
      <c r="W233" s="24"/>
      <c r="X233" s="24"/>
      <c r="Y233" s="24"/>
      <c r="Z233" s="24"/>
      <c r="AA233" s="24"/>
      <c r="AB233" s="24"/>
      <c r="AC233" s="24"/>
    </row>
    <row r="234" spans="1:29" s="448" customFormat="1" ht="14.4">
      <c r="A234" s="987" t="s">
        <v>801</v>
      </c>
      <c r="B234" s="988" t="s">
        <v>89</v>
      </c>
      <c r="C234" s="1108" t="s">
        <v>802</v>
      </c>
      <c r="D234" s="1009" t="s">
        <v>308</v>
      </c>
      <c r="E234" s="1015" t="s">
        <v>80</v>
      </c>
      <c r="F234" s="1413">
        <v>1854802670</v>
      </c>
      <c r="G234" s="1413">
        <v>0</v>
      </c>
      <c r="H234" s="1014" t="s">
        <v>10</v>
      </c>
      <c r="I234" s="1014" t="s">
        <v>112</v>
      </c>
      <c r="J234" s="1014" t="s">
        <v>89</v>
      </c>
      <c r="K234" s="806"/>
      <c r="Q234" s="24"/>
      <c r="R234" s="24"/>
      <c r="S234" s="24"/>
      <c r="T234" s="24"/>
      <c r="U234" s="24"/>
      <c r="V234" s="24"/>
      <c r="W234" s="24"/>
      <c r="X234" s="24"/>
      <c r="Y234" s="24"/>
      <c r="Z234" s="24"/>
      <c r="AA234" s="24"/>
      <c r="AB234" s="24"/>
      <c r="AC234" s="24"/>
    </row>
    <row r="235" spans="1:29" s="448" customFormat="1" ht="14.4">
      <c r="A235" s="987" t="s">
        <v>469</v>
      </c>
      <c r="B235" s="988" t="s">
        <v>803</v>
      </c>
      <c r="C235" s="1108" t="s">
        <v>804</v>
      </c>
      <c r="D235" s="1009" t="s">
        <v>308</v>
      </c>
      <c r="E235" s="1015" t="s">
        <v>80</v>
      </c>
      <c r="F235" s="1412">
        <v>71325444</v>
      </c>
      <c r="G235" s="1413">
        <v>0</v>
      </c>
      <c r="H235" s="1014" t="s">
        <v>8</v>
      </c>
      <c r="I235" s="1014" t="s">
        <v>202</v>
      </c>
      <c r="J235" s="1014" t="s">
        <v>202</v>
      </c>
      <c r="K235" s="806"/>
      <c r="Q235" s="24"/>
      <c r="R235" s="24"/>
      <c r="S235" s="24"/>
      <c r="T235" s="24"/>
      <c r="U235" s="24"/>
      <c r="V235" s="24"/>
      <c r="W235" s="24"/>
      <c r="X235" s="24"/>
      <c r="Y235" s="24"/>
      <c r="Z235" s="24"/>
      <c r="AA235" s="24"/>
      <c r="AB235" s="24"/>
      <c r="AC235" s="24"/>
    </row>
    <row r="236" spans="1:29" s="448" customFormat="1" ht="14.4">
      <c r="A236" s="987" t="s">
        <v>469</v>
      </c>
      <c r="B236" s="988" t="s">
        <v>341</v>
      </c>
      <c r="C236" s="1128" t="s">
        <v>805</v>
      </c>
      <c r="D236" s="1009" t="s">
        <v>308</v>
      </c>
      <c r="E236" s="1015" t="s">
        <v>80</v>
      </c>
      <c r="F236" s="1414">
        <v>0</v>
      </c>
      <c r="G236" s="1413">
        <v>0</v>
      </c>
      <c r="H236" s="1014" t="s">
        <v>8</v>
      </c>
      <c r="I236" s="1014" t="s">
        <v>203</v>
      </c>
      <c r="J236" s="1014" t="s">
        <v>341</v>
      </c>
      <c r="K236" s="806"/>
      <c r="Q236" s="24"/>
      <c r="R236" s="24"/>
      <c r="S236" s="24"/>
      <c r="T236" s="24"/>
      <c r="U236" s="24"/>
      <c r="V236" s="24"/>
      <c r="W236" s="24"/>
      <c r="X236" s="24"/>
      <c r="Y236" s="24"/>
      <c r="Z236" s="24"/>
      <c r="AA236" s="24"/>
      <c r="AB236" s="24"/>
      <c r="AC236" s="24"/>
    </row>
    <row r="237" spans="1:29" s="448" customFormat="1" ht="14.4">
      <c r="A237" s="987" t="s">
        <v>469</v>
      </c>
      <c r="B237" s="988" t="s">
        <v>341</v>
      </c>
      <c r="C237" s="1108" t="s">
        <v>806</v>
      </c>
      <c r="D237" s="1009" t="s">
        <v>308</v>
      </c>
      <c r="E237" s="1015" t="s">
        <v>81</v>
      </c>
      <c r="F237" s="1412">
        <v>0</v>
      </c>
      <c r="G237" s="1413">
        <v>0</v>
      </c>
      <c r="H237" s="1014" t="s">
        <v>8</v>
      </c>
      <c r="I237" s="1014" t="s">
        <v>203</v>
      </c>
      <c r="J237" s="1014" t="s">
        <v>341</v>
      </c>
      <c r="K237" s="806"/>
      <c r="Q237" s="24"/>
      <c r="R237" s="24"/>
      <c r="S237" s="24"/>
      <c r="T237" s="24"/>
      <c r="U237" s="24"/>
      <c r="V237" s="24"/>
      <c r="W237" s="24"/>
      <c r="X237" s="24"/>
      <c r="Y237" s="24"/>
      <c r="Z237" s="24"/>
      <c r="AA237" s="24"/>
      <c r="AB237" s="24"/>
      <c r="AC237" s="24"/>
    </row>
    <row r="238" spans="1:29" s="448" customFormat="1" ht="14.4">
      <c r="A238" s="987" t="s">
        <v>516</v>
      </c>
      <c r="B238" s="988" t="s">
        <v>92</v>
      </c>
      <c r="C238" s="1108" t="s">
        <v>807</v>
      </c>
      <c r="D238" s="1009" t="s">
        <v>310</v>
      </c>
      <c r="E238" s="1015" t="s">
        <v>80</v>
      </c>
      <c r="F238" s="1415">
        <v>2500000000</v>
      </c>
      <c r="G238" s="1413">
        <v>0</v>
      </c>
      <c r="H238" s="1014" t="s">
        <v>10</v>
      </c>
      <c r="I238" s="1014" t="s">
        <v>114</v>
      </c>
      <c r="J238" s="1014" t="s">
        <v>92</v>
      </c>
      <c r="K238" s="806"/>
      <c r="L238" s="809"/>
      <c r="Q238" s="24"/>
      <c r="R238" s="24"/>
      <c r="S238" s="24"/>
      <c r="T238" s="24"/>
      <c r="U238" s="24"/>
      <c r="V238" s="24"/>
      <c r="W238" s="24"/>
      <c r="X238" s="24"/>
      <c r="Y238" s="24"/>
      <c r="Z238" s="24"/>
      <c r="AA238" s="24"/>
      <c r="AB238" s="24"/>
      <c r="AC238" s="24"/>
    </row>
    <row r="239" spans="1:29" s="448" customFormat="1" ht="14.4">
      <c r="A239" s="987" t="s">
        <v>808</v>
      </c>
      <c r="B239" s="988" t="s">
        <v>91</v>
      </c>
      <c r="C239" s="1108" t="s">
        <v>809</v>
      </c>
      <c r="D239" s="1009" t="s">
        <v>308</v>
      </c>
      <c r="E239" s="1015" t="s">
        <v>80</v>
      </c>
      <c r="F239" s="1412">
        <v>4707695975</v>
      </c>
      <c r="G239" s="1413">
        <v>0</v>
      </c>
      <c r="H239" s="1014" t="s">
        <v>10</v>
      </c>
      <c r="I239" s="1014" t="s">
        <v>112</v>
      </c>
      <c r="J239" s="1014" t="s">
        <v>91</v>
      </c>
      <c r="K239" s="806"/>
      <c r="Q239" s="24"/>
      <c r="R239" s="24"/>
      <c r="S239" s="24"/>
      <c r="T239" s="24"/>
      <c r="U239" s="24"/>
      <c r="V239" s="24"/>
      <c r="W239" s="24"/>
      <c r="X239" s="24"/>
      <c r="Y239" s="24"/>
      <c r="Z239" s="24"/>
      <c r="AA239" s="24"/>
      <c r="AB239" s="24"/>
      <c r="AC239" s="24"/>
    </row>
    <row r="240" spans="1:29" s="448" customFormat="1" ht="14.4">
      <c r="A240" s="987" t="s">
        <v>808</v>
      </c>
      <c r="B240" s="988" t="s">
        <v>91</v>
      </c>
      <c r="C240" s="1108" t="s">
        <v>810</v>
      </c>
      <c r="D240" s="1009" t="s">
        <v>308</v>
      </c>
      <c r="E240" s="1015" t="s">
        <v>81</v>
      </c>
      <c r="F240" s="1412">
        <v>0</v>
      </c>
      <c r="G240" s="1413">
        <v>0</v>
      </c>
      <c r="H240" s="1014" t="s">
        <v>10</v>
      </c>
      <c r="I240" s="1014" t="s">
        <v>112</v>
      </c>
      <c r="J240" s="1014" t="s">
        <v>91</v>
      </c>
      <c r="K240" s="806"/>
      <c r="Q240" s="24"/>
      <c r="R240" s="24"/>
      <c r="S240" s="24"/>
      <c r="T240" s="24"/>
      <c r="U240" s="24"/>
      <c r="V240" s="24"/>
      <c r="W240" s="24"/>
      <c r="X240" s="24"/>
      <c r="Y240" s="24"/>
      <c r="Z240" s="24"/>
      <c r="AA240" s="24"/>
      <c r="AB240" s="24"/>
      <c r="AC240" s="24"/>
    </row>
    <row r="241" spans="1:29" s="448" customFormat="1" ht="14.4">
      <c r="A241" s="987" t="s">
        <v>746</v>
      </c>
      <c r="B241" s="988" t="s">
        <v>92</v>
      </c>
      <c r="C241" s="1108" t="s">
        <v>811</v>
      </c>
      <c r="D241" s="1009" t="s">
        <v>310</v>
      </c>
      <c r="E241" s="1015" t="s">
        <v>80</v>
      </c>
      <c r="F241" s="1412">
        <v>4800000000</v>
      </c>
      <c r="G241" s="1413">
        <v>0</v>
      </c>
      <c r="H241" s="1014" t="s">
        <v>10</v>
      </c>
      <c r="I241" s="1014" t="s">
        <v>114</v>
      </c>
      <c r="J241" s="1014" t="s">
        <v>92</v>
      </c>
      <c r="K241" s="806"/>
      <c r="Q241" s="24"/>
      <c r="R241" s="24"/>
      <c r="S241" s="24"/>
      <c r="T241" s="24"/>
      <c r="U241" s="24"/>
      <c r="V241" s="24"/>
      <c r="W241" s="24"/>
      <c r="X241" s="24"/>
      <c r="Y241" s="24"/>
      <c r="Z241" s="24"/>
      <c r="AA241" s="24"/>
      <c r="AB241" s="24"/>
      <c r="AC241" s="24"/>
    </row>
    <row r="242" spans="1:29" s="448" customFormat="1" ht="14.4">
      <c r="A242" s="987" t="s">
        <v>718</v>
      </c>
      <c r="B242" s="988" t="s">
        <v>92</v>
      </c>
      <c r="C242" s="1108" t="s">
        <v>812</v>
      </c>
      <c r="D242" s="1009" t="s">
        <v>310</v>
      </c>
      <c r="E242" s="1015" t="s">
        <v>80</v>
      </c>
      <c r="F242" s="1413">
        <v>900000000</v>
      </c>
      <c r="G242" s="1413">
        <v>0</v>
      </c>
      <c r="H242" s="1014" t="s">
        <v>10</v>
      </c>
      <c r="I242" s="1014" t="s">
        <v>114</v>
      </c>
      <c r="J242" s="1014" t="s">
        <v>92</v>
      </c>
      <c r="K242" s="806"/>
      <c r="Q242" s="24"/>
      <c r="R242" s="24"/>
      <c r="S242" s="24"/>
      <c r="T242" s="24"/>
      <c r="U242" s="24"/>
      <c r="V242" s="24"/>
      <c r="W242" s="24"/>
      <c r="X242" s="24"/>
      <c r="Y242" s="24"/>
      <c r="Z242" s="24"/>
      <c r="AA242" s="24"/>
      <c r="AB242" s="24"/>
      <c r="AC242" s="24"/>
    </row>
    <row r="243" spans="1:29" s="448" customFormat="1" ht="14.4">
      <c r="A243" s="987" t="s">
        <v>723</v>
      </c>
      <c r="B243" s="988" t="s">
        <v>92</v>
      </c>
      <c r="C243" s="1108" t="s">
        <v>813</v>
      </c>
      <c r="D243" s="1009" t="s">
        <v>310</v>
      </c>
      <c r="E243" s="1015" t="s">
        <v>80</v>
      </c>
      <c r="F243" s="1414">
        <v>900000000</v>
      </c>
      <c r="G243" s="1413">
        <v>0</v>
      </c>
      <c r="H243" s="1014" t="s">
        <v>10</v>
      </c>
      <c r="I243" s="1014" t="s">
        <v>114</v>
      </c>
      <c r="J243" s="1014" t="s">
        <v>92</v>
      </c>
      <c r="K243" s="806"/>
      <c r="Q243" s="24"/>
      <c r="R243" s="24"/>
      <c r="S243" s="24"/>
      <c r="T243" s="24"/>
      <c r="U243" s="24"/>
      <c r="V243" s="24"/>
      <c r="W243" s="24"/>
      <c r="X243" s="24"/>
      <c r="Y243" s="24"/>
      <c r="Z243" s="24"/>
      <c r="AA243" s="24"/>
      <c r="AB243" s="24"/>
      <c r="AC243" s="24"/>
    </row>
    <row r="244" spans="1:29" s="448" customFormat="1" ht="14.4">
      <c r="A244" s="987" t="s">
        <v>725</v>
      </c>
      <c r="B244" s="988" t="s">
        <v>726</v>
      </c>
      <c r="C244" s="1108" t="s">
        <v>814</v>
      </c>
      <c r="D244" s="1009" t="s">
        <v>310</v>
      </c>
      <c r="E244" s="1015" t="s">
        <v>80</v>
      </c>
      <c r="F244" s="1415">
        <v>0</v>
      </c>
      <c r="G244" s="1413">
        <v>0</v>
      </c>
      <c r="H244" s="1014" t="s">
        <v>10</v>
      </c>
      <c r="I244" s="1014" t="s">
        <v>259</v>
      </c>
      <c r="J244" s="1014" t="s">
        <v>99</v>
      </c>
      <c r="K244" s="806"/>
      <c r="Q244" s="24"/>
      <c r="R244" s="24"/>
      <c r="S244" s="24"/>
      <c r="T244" s="24"/>
      <c r="U244" s="24"/>
      <c r="V244" s="24"/>
      <c r="W244" s="24"/>
      <c r="X244" s="24"/>
      <c r="Y244" s="24"/>
      <c r="Z244" s="24"/>
      <c r="AA244" s="24"/>
      <c r="AB244" s="24"/>
      <c r="AC244" s="24"/>
    </row>
    <row r="245" spans="1:29" s="448" customFormat="1" ht="14.4">
      <c r="A245" s="987" t="s">
        <v>728</v>
      </c>
      <c r="B245" s="988" t="s">
        <v>726</v>
      </c>
      <c r="C245" s="1108" t="s">
        <v>815</v>
      </c>
      <c r="D245" s="1009" t="s">
        <v>310</v>
      </c>
      <c r="E245" s="1015" t="s">
        <v>80</v>
      </c>
      <c r="F245" s="1415">
        <v>0</v>
      </c>
      <c r="G245" s="1413">
        <v>0</v>
      </c>
      <c r="H245" s="1014" t="s">
        <v>10</v>
      </c>
      <c r="I245" s="1014" t="s">
        <v>259</v>
      </c>
      <c r="J245" s="1014" t="s">
        <v>99</v>
      </c>
      <c r="K245" s="806"/>
      <c r="Q245" s="24"/>
      <c r="R245" s="24"/>
      <c r="S245" s="24"/>
      <c r="T245" s="24"/>
      <c r="U245" s="24"/>
      <c r="V245" s="24"/>
      <c r="W245" s="24"/>
      <c r="X245" s="24"/>
      <c r="Y245" s="24"/>
      <c r="Z245" s="24"/>
      <c r="AA245" s="24"/>
      <c r="AB245" s="24"/>
      <c r="AC245" s="24"/>
    </row>
    <row r="246" spans="1:29" s="448" customFormat="1" ht="14.4">
      <c r="A246" s="987" t="s">
        <v>730</v>
      </c>
      <c r="B246" s="988" t="s">
        <v>726</v>
      </c>
      <c r="C246" s="1108" t="s">
        <v>816</v>
      </c>
      <c r="D246" s="1009" t="s">
        <v>310</v>
      </c>
      <c r="E246" s="1015" t="s">
        <v>80</v>
      </c>
      <c r="F246" s="1415">
        <v>0</v>
      </c>
      <c r="G246" s="1413">
        <v>0</v>
      </c>
      <c r="H246" s="1014" t="s">
        <v>10</v>
      </c>
      <c r="I246" s="1014" t="s">
        <v>259</v>
      </c>
      <c r="J246" s="1014" t="s">
        <v>99</v>
      </c>
      <c r="K246" s="806"/>
      <c r="L246" s="809"/>
      <c r="Q246" s="24"/>
      <c r="R246" s="24"/>
      <c r="S246" s="24"/>
      <c r="T246" s="24"/>
      <c r="U246" s="24"/>
      <c r="V246" s="24"/>
      <c r="W246" s="24"/>
      <c r="X246" s="24"/>
      <c r="Y246" s="24"/>
    </row>
    <row r="247" spans="1:29" s="448" customFormat="1">
      <c r="A247" s="987" t="s">
        <v>732</v>
      </c>
      <c r="B247" s="988" t="s">
        <v>92</v>
      </c>
      <c r="C247" s="1108" t="s">
        <v>817</v>
      </c>
      <c r="D247" s="1009" t="s">
        <v>310</v>
      </c>
      <c r="E247" s="1015" t="s">
        <v>80</v>
      </c>
      <c r="F247" s="1413">
        <v>800000000</v>
      </c>
      <c r="G247" s="1413">
        <v>0</v>
      </c>
      <c r="H247" s="1014" t="s">
        <v>10</v>
      </c>
      <c r="I247" s="1014" t="s">
        <v>114</v>
      </c>
      <c r="J247" s="1014" t="s">
        <v>92</v>
      </c>
      <c r="K247" s="806"/>
    </row>
    <row r="248" spans="1:29" s="448" customFormat="1">
      <c r="A248" s="987" t="s">
        <v>737</v>
      </c>
      <c r="B248" s="988" t="s">
        <v>92</v>
      </c>
      <c r="C248" s="1108" t="s">
        <v>818</v>
      </c>
      <c r="D248" s="1009" t="s">
        <v>310</v>
      </c>
      <c r="E248" s="1015" t="s">
        <v>80</v>
      </c>
      <c r="F248" s="1415">
        <v>800000000</v>
      </c>
      <c r="G248" s="1413">
        <v>0</v>
      </c>
      <c r="H248" s="1014" t="s">
        <v>10</v>
      </c>
      <c r="I248" s="1014" t="s">
        <v>114</v>
      </c>
      <c r="J248" s="1014" t="s">
        <v>92</v>
      </c>
      <c r="K248" s="806"/>
    </row>
    <row r="249" spans="1:29" s="448" customFormat="1">
      <c r="A249" s="987" t="s">
        <v>565</v>
      </c>
      <c r="B249" s="988" t="s">
        <v>85</v>
      </c>
      <c r="C249" s="1108" t="s">
        <v>819</v>
      </c>
      <c r="D249" s="1009" t="s">
        <v>310</v>
      </c>
      <c r="E249" s="1015" t="s">
        <v>80</v>
      </c>
      <c r="F249" s="1412">
        <v>400000000</v>
      </c>
      <c r="G249" s="1413">
        <v>0</v>
      </c>
      <c r="H249" s="1014" t="s">
        <v>10</v>
      </c>
      <c r="I249" s="1014" t="s">
        <v>110</v>
      </c>
      <c r="J249" s="1014" t="s">
        <v>85</v>
      </c>
      <c r="K249" s="806"/>
    </row>
    <row r="250" spans="1:29" s="448" customFormat="1">
      <c r="A250" s="987" t="s">
        <v>559</v>
      </c>
      <c r="B250" s="988" t="s">
        <v>85</v>
      </c>
      <c r="C250" s="1108" t="s">
        <v>820</v>
      </c>
      <c r="D250" s="1009" t="s">
        <v>310</v>
      </c>
      <c r="E250" s="1015" t="s">
        <v>80</v>
      </c>
      <c r="F250" s="1415">
        <v>50000000</v>
      </c>
      <c r="G250" s="1413">
        <v>0</v>
      </c>
      <c r="H250" s="1014" t="s">
        <v>10</v>
      </c>
      <c r="I250" s="1014" t="s">
        <v>110</v>
      </c>
      <c r="J250" s="1014" t="s">
        <v>85</v>
      </c>
      <c r="K250" s="806"/>
    </row>
    <row r="251" spans="1:29" s="448" customFormat="1">
      <c r="A251" s="987" t="s">
        <v>662</v>
      </c>
      <c r="B251" s="988" t="s">
        <v>85</v>
      </c>
      <c r="C251" s="1108" t="s">
        <v>821</v>
      </c>
      <c r="D251" s="1009" t="s">
        <v>310</v>
      </c>
      <c r="E251" s="1015" t="s">
        <v>80</v>
      </c>
      <c r="F251" s="1415">
        <v>50000000</v>
      </c>
      <c r="G251" s="1413">
        <v>0</v>
      </c>
      <c r="H251" s="1014" t="s">
        <v>10</v>
      </c>
      <c r="I251" s="1014" t="s">
        <v>110</v>
      </c>
      <c r="J251" s="1014" t="s">
        <v>85</v>
      </c>
      <c r="K251" s="806"/>
    </row>
    <row r="252" spans="1:29" s="448" customFormat="1">
      <c r="A252" s="987" t="s">
        <v>624</v>
      </c>
      <c r="B252" s="988" t="s">
        <v>85</v>
      </c>
      <c r="C252" s="1108" t="s">
        <v>822</v>
      </c>
      <c r="D252" s="1009" t="s">
        <v>310</v>
      </c>
      <c r="E252" s="1015" t="s">
        <v>80</v>
      </c>
      <c r="F252" s="1414">
        <v>80000000</v>
      </c>
      <c r="G252" s="1413">
        <v>0</v>
      </c>
      <c r="H252" s="1014" t="s">
        <v>10</v>
      </c>
      <c r="I252" s="1014" t="s">
        <v>110</v>
      </c>
      <c r="J252" s="1014" t="s">
        <v>85</v>
      </c>
      <c r="K252" s="806"/>
    </row>
    <row r="253" spans="1:29" s="448" customFormat="1">
      <c r="A253" s="987" t="s">
        <v>626</v>
      </c>
      <c r="B253" s="988" t="s">
        <v>85</v>
      </c>
      <c r="C253" s="1108" t="s">
        <v>823</v>
      </c>
      <c r="D253" s="1009" t="s">
        <v>310</v>
      </c>
      <c r="E253" s="1015" t="s">
        <v>80</v>
      </c>
      <c r="F253" s="1415">
        <v>50000000</v>
      </c>
      <c r="G253" s="1413">
        <v>0</v>
      </c>
      <c r="H253" s="1014" t="s">
        <v>10</v>
      </c>
      <c r="I253" s="1014" t="s">
        <v>110</v>
      </c>
      <c r="J253" s="1014" t="s">
        <v>85</v>
      </c>
      <c r="K253" s="806"/>
    </row>
    <row r="254" spans="1:29" s="448" customFormat="1">
      <c r="A254" s="987" t="s">
        <v>641</v>
      </c>
      <c r="B254" s="988" t="s">
        <v>85</v>
      </c>
      <c r="C254" s="1108" t="s">
        <v>824</v>
      </c>
      <c r="D254" s="1009" t="s">
        <v>310</v>
      </c>
      <c r="E254" s="1015" t="s">
        <v>80</v>
      </c>
      <c r="F254" s="1412">
        <v>800000000</v>
      </c>
      <c r="G254" s="1413">
        <v>0</v>
      </c>
      <c r="H254" s="1014" t="s">
        <v>10</v>
      </c>
      <c r="I254" s="1014" t="s">
        <v>110</v>
      </c>
      <c r="J254" s="1014" t="s">
        <v>85</v>
      </c>
      <c r="K254" s="806"/>
    </row>
    <row r="255" spans="1:29" s="448" customFormat="1">
      <c r="A255" s="987" t="s">
        <v>620</v>
      </c>
      <c r="B255" s="988" t="s">
        <v>85</v>
      </c>
      <c r="C255" s="1108" t="s">
        <v>825</v>
      </c>
      <c r="D255" s="1009" t="s">
        <v>310</v>
      </c>
      <c r="E255" s="1015" t="s">
        <v>80</v>
      </c>
      <c r="F255" s="1412">
        <v>50000000</v>
      </c>
      <c r="G255" s="1413">
        <v>0</v>
      </c>
      <c r="H255" s="1014" t="s">
        <v>10</v>
      </c>
      <c r="I255" s="1014" t="s">
        <v>110</v>
      </c>
      <c r="J255" s="1014" t="s">
        <v>85</v>
      </c>
      <c r="K255" s="806"/>
    </row>
    <row r="256" spans="1:29" s="448" customFormat="1">
      <c r="A256" s="987" t="s">
        <v>638</v>
      </c>
      <c r="B256" s="988" t="s">
        <v>85</v>
      </c>
      <c r="C256" s="1108" t="s">
        <v>826</v>
      </c>
      <c r="D256" s="1009" t="s">
        <v>310</v>
      </c>
      <c r="E256" s="1015" t="s">
        <v>80</v>
      </c>
      <c r="F256" s="1412">
        <v>80000000</v>
      </c>
      <c r="G256" s="1413">
        <v>0</v>
      </c>
      <c r="H256" s="1014" t="s">
        <v>10</v>
      </c>
      <c r="I256" s="1014" t="s">
        <v>110</v>
      </c>
      <c r="J256" s="1014" t="s">
        <v>85</v>
      </c>
      <c r="K256" s="806"/>
    </row>
    <row r="257" spans="1:12" s="448" customFormat="1">
      <c r="A257" s="987" t="s">
        <v>638</v>
      </c>
      <c r="B257" s="988" t="s">
        <v>85</v>
      </c>
      <c r="C257" s="1108" t="s">
        <v>827</v>
      </c>
      <c r="D257" s="1009" t="s">
        <v>310</v>
      </c>
      <c r="E257" s="1015" t="s">
        <v>80</v>
      </c>
      <c r="F257" s="1412">
        <v>720000000</v>
      </c>
      <c r="G257" s="1413">
        <v>0</v>
      </c>
      <c r="H257" s="1014" t="s">
        <v>10</v>
      </c>
      <c r="I257" s="1014" t="s">
        <v>110</v>
      </c>
      <c r="J257" s="1014" t="s">
        <v>85</v>
      </c>
      <c r="K257" s="806"/>
    </row>
    <row r="258" spans="1:12" s="448" customFormat="1">
      <c r="A258" s="987" t="s">
        <v>683</v>
      </c>
      <c r="B258" s="988" t="s">
        <v>85</v>
      </c>
      <c r="C258" s="1108" t="s">
        <v>828</v>
      </c>
      <c r="D258" s="1009" t="s">
        <v>310</v>
      </c>
      <c r="E258" s="1015" t="s">
        <v>80</v>
      </c>
      <c r="F258" s="1412">
        <v>600000000</v>
      </c>
      <c r="G258" s="1413">
        <v>0</v>
      </c>
      <c r="H258" s="1014" t="s">
        <v>10</v>
      </c>
      <c r="I258" s="1014" t="s">
        <v>110</v>
      </c>
      <c r="J258" s="1014" t="s">
        <v>85</v>
      </c>
      <c r="K258" s="806"/>
    </row>
    <row r="259" spans="1:12" s="448" customFormat="1">
      <c r="A259" s="987" t="s">
        <v>671</v>
      </c>
      <c r="B259" s="988" t="s">
        <v>85</v>
      </c>
      <c r="C259" s="1108" t="s">
        <v>829</v>
      </c>
      <c r="D259" s="1009" t="s">
        <v>310</v>
      </c>
      <c r="E259" s="1015" t="s">
        <v>80</v>
      </c>
      <c r="F259" s="1412">
        <v>50000000</v>
      </c>
      <c r="G259" s="1413">
        <v>0</v>
      </c>
      <c r="H259" s="1014" t="s">
        <v>10</v>
      </c>
      <c r="I259" s="1014" t="s">
        <v>110</v>
      </c>
      <c r="J259" s="1014" t="s">
        <v>85</v>
      </c>
      <c r="K259" s="806"/>
    </row>
    <row r="260" spans="1:12" s="448" customFormat="1">
      <c r="A260" s="987" t="s">
        <v>673</v>
      </c>
      <c r="B260" s="988" t="s">
        <v>85</v>
      </c>
      <c r="C260" s="1108" t="s">
        <v>830</v>
      </c>
      <c r="D260" s="1009" t="s">
        <v>310</v>
      </c>
      <c r="E260" s="1015" t="s">
        <v>80</v>
      </c>
      <c r="F260" s="1415">
        <v>50000000</v>
      </c>
      <c r="G260" s="1413">
        <v>0</v>
      </c>
      <c r="H260" s="1014" t="s">
        <v>10</v>
      </c>
      <c r="I260" s="1014" t="s">
        <v>110</v>
      </c>
      <c r="J260" s="1014" t="s">
        <v>85</v>
      </c>
      <c r="K260" s="806"/>
      <c r="L260" s="809"/>
    </row>
    <row r="261" spans="1:12" s="448" customFormat="1">
      <c r="A261" s="987" t="s">
        <v>688</v>
      </c>
      <c r="B261" s="988" t="s">
        <v>85</v>
      </c>
      <c r="C261" s="1108" t="s">
        <v>831</v>
      </c>
      <c r="D261" s="1009" t="s">
        <v>310</v>
      </c>
      <c r="E261" s="1015" t="s">
        <v>80</v>
      </c>
      <c r="F261" s="1412">
        <v>800000000</v>
      </c>
      <c r="G261" s="1413">
        <v>0</v>
      </c>
      <c r="H261" s="1014" t="s">
        <v>10</v>
      </c>
      <c r="I261" s="1014" t="s">
        <v>110</v>
      </c>
      <c r="J261" s="1014" t="s">
        <v>85</v>
      </c>
      <c r="K261" s="806"/>
    </row>
    <row r="262" spans="1:12" s="448" customFormat="1">
      <c r="A262" s="987" t="s">
        <v>693</v>
      </c>
      <c r="B262" s="988" t="s">
        <v>85</v>
      </c>
      <c r="C262" s="1108" t="s">
        <v>832</v>
      </c>
      <c r="D262" s="1009" t="s">
        <v>310</v>
      </c>
      <c r="E262" s="1015" t="s">
        <v>80</v>
      </c>
      <c r="F262" s="1415">
        <v>800000000</v>
      </c>
      <c r="G262" s="1413">
        <v>0</v>
      </c>
      <c r="H262" s="1014" t="s">
        <v>10</v>
      </c>
      <c r="I262" s="1014" t="s">
        <v>110</v>
      </c>
      <c r="J262" s="1014" t="s">
        <v>85</v>
      </c>
      <c r="K262" s="806"/>
    </row>
    <row r="263" spans="1:12" s="448" customFormat="1">
      <c r="A263" s="987" t="s">
        <v>691</v>
      </c>
      <c r="B263" s="988" t="s">
        <v>85</v>
      </c>
      <c r="C263" s="1108" t="s">
        <v>833</v>
      </c>
      <c r="D263" s="1009" t="s">
        <v>310</v>
      </c>
      <c r="E263" s="1015" t="s">
        <v>80</v>
      </c>
      <c r="F263" s="1415">
        <v>800000000</v>
      </c>
      <c r="G263" s="1413">
        <v>0</v>
      </c>
      <c r="H263" s="1014" t="s">
        <v>10</v>
      </c>
      <c r="I263" s="1014" t="s">
        <v>110</v>
      </c>
      <c r="J263" s="1014" t="s">
        <v>85</v>
      </c>
      <c r="K263" s="806"/>
    </row>
    <row r="264" spans="1:12" s="448" customFormat="1">
      <c r="A264" s="987" t="s">
        <v>686</v>
      </c>
      <c r="B264" s="988" t="s">
        <v>85</v>
      </c>
      <c r="C264" s="1108" t="s">
        <v>834</v>
      </c>
      <c r="D264" s="1009" t="s">
        <v>310</v>
      </c>
      <c r="E264" s="1015" t="s">
        <v>80</v>
      </c>
      <c r="F264" s="1412">
        <v>800000000</v>
      </c>
      <c r="G264" s="1413">
        <v>0</v>
      </c>
      <c r="H264" s="1014" t="s">
        <v>10</v>
      </c>
      <c r="I264" s="1014" t="s">
        <v>110</v>
      </c>
      <c r="J264" s="1014" t="s">
        <v>85</v>
      </c>
      <c r="K264" s="806"/>
    </row>
    <row r="265" spans="1:12" s="448" customFormat="1">
      <c r="A265" s="987" t="s">
        <v>680</v>
      </c>
      <c r="B265" s="988" t="s">
        <v>85</v>
      </c>
      <c r="C265" s="1108" t="s">
        <v>835</v>
      </c>
      <c r="D265" s="1009" t="s">
        <v>310</v>
      </c>
      <c r="E265" s="1015" t="s">
        <v>80</v>
      </c>
      <c r="F265" s="1412">
        <v>50000000</v>
      </c>
      <c r="G265" s="1413">
        <v>0</v>
      </c>
      <c r="H265" s="1014" t="s">
        <v>10</v>
      </c>
      <c r="I265" s="1014" t="s">
        <v>110</v>
      </c>
      <c r="J265" s="1014" t="s">
        <v>85</v>
      </c>
      <c r="K265" s="806"/>
    </row>
    <row r="266" spans="1:12" s="448" customFormat="1">
      <c r="A266" s="987" t="s">
        <v>678</v>
      </c>
      <c r="B266" s="988" t="s">
        <v>85</v>
      </c>
      <c r="C266" s="1108" t="s">
        <v>836</v>
      </c>
      <c r="D266" s="1009" t="s">
        <v>310</v>
      </c>
      <c r="E266" s="1015" t="s">
        <v>80</v>
      </c>
      <c r="F266" s="1412">
        <v>50000000</v>
      </c>
      <c r="G266" s="1413">
        <v>0</v>
      </c>
      <c r="H266" s="1014" t="s">
        <v>10</v>
      </c>
      <c r="I266" s="1014" t="s">
        <v>110</v>
      </c>
      <c r="J266" s="1014" t="s">
        <v>85</v>
      </c>
      <c r="K266" s="806"/>
    </row>
    <row r="267" spans="1:12" s="448" customFormat="1">
      <c r="A267" s="987" t="s">
        <v>676</v>
      </c>
      <c r="B267" s="988" t="s">
        <v>85</v>
      </c>
      <c r="C267" s="1108" t="s">
        <v>837</v>
      </c>
      <c r="D267" s="1009" t="s">
        <v>310</v>
      </c>
      <c r="E267" s="1015" t="s">
        <v>80</v>
      </c>
      <c r="F267" s="1412">
        <v>50000000</v>
      </c>
      <c r="G267" s="1413">
        <v>0</v>
      </c>
      <c r="H267" s="1014" t="s">
        <v>10</v>
      </c>
      <c r="I267" s="1014" t="s">
        <v>110</v>
      </c>
      <c r="J267" s="1014" t="s">
        <v>85</v>
      </c>
      <c r="K267" s="806"/>
    </row>
    <row r="268" spans="1:12" s="448" customFormat="1">
      <c r="A268" s="987" t="s">
        <v>768</v>
      </c>
      <c r="B268" s="988" t="s">
        <v>85</v>
      </c>
      <c r="C268" s="1108" t="s">
        <v>838</v>
      </c>
      <c r="D268" s="1009" t="s">
        <v>310</v>
      </c>
      <c r="E268" s="1015" t="s">
        <v>80</v>
      </c>
      <c r="F268" s="1412">
        <v>80000000</v>
      </c>
      <c r="G268" s="1413">
        <v>0</v>
      </c>
      <c r="H268" s="1014" t="s">
        <v>10</v>
      </c>
      <c r="I268" s="1014" t="s">
        <v>110</v>
      </c>
      <c r="J268" s="1014" t="s">
        <v>85</v>
      </c>
      <c r="K268" s="806"/>
    </row>
    <row r="269" spans="1:12" s="448" customFormat="1">
      <c r="A269" s="987" t="s">
        <v>770</v>
      </c>
      <c r="B269" s="988" t="s">
        <v>85</v>
      </c>
      <c r="C269" s="1108" t="s">
        <v>839</v>
      </c>
      <c r="D269" s="1009" t="s">
        <v>310</v>
      </c>
      <c r="E269" s="1015" t="s">
        <v>80</v>
      </c>
      <c r="F269" s="1412">
        <v>80000000</v>
      </c>
      <c r="G269" s="1413">
        <v>0</v>
      </c>
      <c r="H269" s="1014" t="s">
        <v>10</v>
      </c>
      <c r="I269" s="1014" t="s">
        <v>110</v>
      </c>
      <c r="J269" s="1014" t="s">
        <v>85</v>
      </c>
      <c r="K269" s="806"/>
    </row>
    <row r="270" spans="1:12" s="448" customFormat="1">
      <c r="A270" s="987" t="s">
        <v>772</v>
      </c>
      <c r="B270" s="988" t="s">
        <v>85</v>
      </c>
      <c r="C270" s="1108" t="s">
        <v>840</v>
      </c>
      <c r="D270" s="1009" t="s">
        <v>310</v>
      </c>
      <c r="E270" s="1015" t="s">
        <v>80</v>
      </c>
      <c r="F270" s="1412">
        <v>80000000</v>
      </c>
      <c r="G270" s="1413">
        <v>0</v>
      </c>
      <c r="H270" s="1014" t="s">
        <v>10</v>
      </c>
      <c r="I270" s="1014" t="s">
        <v>110</v>
      </c>
      <c r="J270" s="1014" t="s">
        <v>85</v>
      </c>
      <c r="K270" s="806"/>
    </row>
    <row r="271" spans="1:12" s="448" customFormat="1">
      <c r="A271" s="987" t="s">
        <v>774</v>
      </c>
      <c r="B271" s="988" t="s">
        <v>85</v>
      </c>
      <c r="C271" s="1108" t="s">
        <v>841</v>
      </c>
      <c r="D271" s="1009" t="s">
        <v>310</v>
      </c>
      <c r="E271" s="1015" t="s">
        <v>80</v>
      </c>
      <c r="F271" s="1413">
        <v>80000000</v>
      </c>
      <c r="G271" s="1413">
        <v>0</v>
      </c>
      <c r="H271" s="1014" t="s">
        <v>10</v>
      </c>
      <c r="I271" s="1014" t="s">
        <v>110</v>
      </c>
      <c r="J271" s="1014" t="s">
        <v>85</v>
      </c>
      <c r="K271" s="806"/>
    </row>
    <row r="272" spans="1:12" s="448" customFormat="1">
      <c r="A272" s="987" t="s">
        <v>776</v>
      </c>
      <c r="B272" s="988" t="s">
        <v>85</v>
      </c>
      <c r="C272" s="1108" t="s">
        <v>842</v>
      </c>
      <c r="D272" s="1009" t="s">
        <v>310</v>
      </c>
      <c r="E272" s="1015" t="s">
        <v>80</v>
      </c>
      <c r="F272" s="1412">
        <v>80000000</v>
      </c>
      <c r="G272" s="1413">
        <v>0</v>
      </c>
      <c r="H272" s="1014" t="s">
        <v>10</v>
      </c>
      <c r="I272" s="1014" t="s">
        <v>110</v>
      </c>
      <c r="J272" s="1014" t="s">
        <v>85</v>
      </c>
      <c r="K272" s="806"/>
    </row>
    <row r="273" spans="1:12" s="448" customFormat="1">
      <c r="A273" s="987" t="s">
        <v>782</v>
      </c>
      <c r="B273" s="988" t="s">
        <v>85</v>
      </c>
      <c r="C273" s="1108" t="s">
        <v>843</v>
      </c>
      <c r="D273" s="1009" t="s">
        <v>310</v>
      </c>
      <c r="E273" s="1015" t="s">
        <v>80</v>
      </c>
      <c r="F273" s="1412">
        <v>900000000</v>
      </c>
      <c r="G273" s="1413">
        <v>0</v>
      </c>
      <c r="H273" s="1014" t="s">
        <v>10</v>
      </c>
      <c r="I273" s="1014" t="s">
        <v>110</v>
      </c>
      <c r="J273" s="1014" t="s">
        <v>85</v>
      </c>
      <c r="K273" s="806"/>
      <c r="L273" s="810"/>
    </row>
    <row r="274" spans="1:12" s="448" customFormat="1">
      <c r="A274" s="987" t="s">
        <v>784</v>
      </c>
      <c r="B274" s="988" t="s">
        <v>85</v>
      </c>
      <c r="C274" s="1108" t="s">
        <v>844</v>
      </c>
      <c r="D274" s="1009" t="s">
        <v>310</v>
      </c>
      <c r="E274" s="1015" t="s">
        <v>80</v>
      </c>
      <c r="F274" s="1412">
        <v>900000000</v>
      </c>
      <c r="G274" s="1413">
        <v>0</v>
      </c>
      <c r="H274" s="1014" t="s">
        <v>10</v>
      </c>
      <c r="I274" s="1014" t="s">
        <v>110</v>
      </c>
      <c r="J274" s="1014" t="s">
        <v>85</v>
      </c>
      <c r="K274" s="806"/>
    </row>
    <row r="275" spans="1:12" s="448" customFormat="1">
      <c r="A275" s="987" t="s">
        <v>788</v>
      </c>
      <c r="B275" s="988" t="s">
        <v>85</v>
      </c>
      <c r="C275" s="1108" t="s">
        <v>845</v>
      </c>
      <c r="D275" s="1009" t="s">
        <v>310</v>
      </c>
      <c r="E275" s="1015" t="s">
        <v>80</v>
      </c>
      <c r="F275" s="1412">
        <v>800000000</v>
      </c>
      <c r="G275" s="1413">
        <v>0</v>
      </c>
      <c r="H275" s="1014" t="s">
        <v>10</v>
      </c>
      <c r="I275" s="1014" t="s">
        <v>110</v>
      </c>
      <c r="J275" s="1014" t="s">
        <v>85</v>
      </c>
      <c r="K275" s="806"/>
    </row>
    <row r="276" spans="1:12" s="448" customFormat="1">
      <c r="A276" s="987" t="s">
        <v>790</v>
      </c>
      <c r="B276" s="988" t="s">
        <v>85</v>
      </c>
      <c r="C276" s="1108" t="s">
        <v>846</v>
      </c>
      <c r="D276" s="1009" t="s">
        <v>310</v>
      </c>
      <c r="E276" s="1015" t="s">
        <v>80</v>
      </c>
      <c r="F276" s="1413">
        <v>800000000</v>
      </c>
      <c r="G276" s="1413">
        <v>0</v>
      </c>
      <c r="H276" s="1014" t="s">
        <v>10</v>
      </c>
      <c r="I276" s="1014" t="s">
        <v>110</v>
      </c>
      <c r="J276" s="1014" t="s">
        <v>85</v>
      </c>
      <c r="K276" s="806"/>
    </row>
    <row r="277" spans="1:12" s="448" customFormat="1">
      <c r="A277" s="987" t="s">
        <v>792</v>
      </c>
      <c r="B277" s="988" t="s">
        <v>85</v>
      </c>
      <c r="C277" s="1108" t="s">
        <v>847</v>
      </c>
      <c r="D277" s="1009" t="s">
        <v>310</v>
      </c>
      <c r="E277" s="1015" t="s">
        <v>80</v>
      </c>
      <c r="F277" s="1412">
        <v>800000000</v>
      </c>
      <c r="G277" s="1413">
        <v>0</v>
      </c>
      <c r="H277" s="1014" t="s">
        <v>10</v>
      </c>
      <c r="I277" s="1014" t="s">
        <v>110</v>
      </c>
      <c r="J277" s="1014" t="s">
        <v>85</v>
      </c>
      <c r="K277" s="806"/>
    </row>
    <row r="278" spans="1:12" s="448" customFormat="1">
      <c r="A278" s="987" t="s">
        <v>794</v>
      </c>
      <c r="B278" s="988" t="s">
        <v>85</v>
      </c>
      <c r="C278" s="1108" t="s">
        <v>848</v>
      </c>
      <c r="D278" s="1009" t="s">
        <v>310</v>
      </c>
      <c r="E278" s="1015" t="s">
        <v>80</v>
      </c>
      <c r="F278" s="1413">
        <v>800000000</v>
      </c>
      <c r="G278" s="1413">
        <v>0</v>
      </c>
      <c r="H278" s="1014" t="s">
        <v>10</v>
      </c>
      <c r="I278" s="1014" t="s">
        <v>110</v>
      </c>
      <c r="J278" s="1014" t="s">
        <v>85</v>
      </c>
      <c r="K278" s="806"/>
    </row>
    <row r="279" spans="1:12" s="448" customFormat="1">
      <c r="A279" s="987" t="s">
        <v>796</v>
      </c>
      <c r="B279" s="988" t="s">
        <v>85</v>
      </c>
      <c r="C279" s="1108" t="s">
        <v>849</v>
      </c>
      <c r="D279" s="1009" t="s">
        <v>310</v>
      </c>
      <c r="E279" s="1015" t="s">
        <v>80</v>
      </c>
      <c r="F279" s="1412">
        <v>800000000</v>
      </c>
      <c r="G279" s="1413">
        <v>0</v>
      </c>
      <c r="H279" s="1014" t="s">
        <v>10</v>
      </c>
      <c r="I279" s="1014" t="s">
        <v>110</v>
      </c>
      <c r="J279" s="1014" t="s">
        <v>85</v>
      </c>
      <c r="K279" s="806"/>
    </row>
    <row r="280" spans="1:12" s="448" customFormat="1">
      <c r="A280" s="987" t="s">
        <v>609</v>
      </c>
      <c r="B280" s="988" t="s">
        <v>85</v>
      </c>
      <c r="C280" s="1108" t="s">
        <v>850</v>
      </c>
      <c r="D280" s="1009" t="s">
        <v>308</v>
      </c>
      <c r="E280" s="1015" t="s">
        <v>80</v>
      </c>
      <c r="F280" s="1412">
        <v>3245496</v>
      </c>
      <c r="G280" s="1413">
        <v>0</v>
      </c>
      <c r="H280" s="1014" t="s">
        <v>10</v>
      </c>
      <c r="I280" s="1014" t="s">
        <v>110</v>
      </c>
      <c r="J280" s="1014" t="s">
        <v>85</v>
      </c>
      <c r="K280" s="806"/>
    </row>
    <row r="281" spans="1:12" s="448" customFormat="1">
      <c r="A281" s="987" t="s">
        <v>609</v>
      </c>
      <c r="B281" s="988" t="s">
        <v>85</v>
      </c>
      <c r="C281" s="1108" t="s">
        <v>851</v>
      </c>
      <c r="D281" s="1009" t="s">
        <v>308</v>
      </c>
      <c r="E281" s="1015" t="s">
        <v>80</v>
      </c>
      <c r="F281" s="1412">
        <v>1743106067</v>
      </c>
      <c r="G281" s="1413">
        <v>0</v>
      </c>
      <c r="H281" s="1014" t="s">
        <v>10</v>
      </c>
      <c r="I281" s="1014" t="s">
        <v>110</v>
      </c>
      <c r="J281" s="1014" t="s">
        <v>85</v>
      </c>
      <c r="K281" s="806"/>
    </row>
    <row r="282" spans="1:12" s="448" customFormat="1">
      <c r="A282" s="987" t="s">
        <v>544</v>
      </c>
      <c r="B282" s="988" t="s">
        <v>85</v>
      </c>
      <c r="C282" s="1108" t="s">
        <v>852</v>
      </c>
      <c r="D282" s="1009" t="s">
        <v>310</v>
      </c>
      <c r="E282" s="1015" t="s">
        <v>80</v>
      </c>
      <c r="F282" s="1414">
        <v>0</v>
      </c>
      <c r="G282" s="1413">
        <v>0</v>
      </c>
      <c r="H282" s="1014" t="s">
        <v>10</v>
      </c>
      <c r="I282" s="1014" t="s">
        <v>110</v>
      </c>
      <c r="J282" s="1014" t="s">
        <v>85</v>
      </c>
      <c r="K282" s="806"/>
    </row>
    <row r="283" spans="1:12" s="448" customFormat="1">
      <c r="A283" s="987" t="s">
        <v>606</v>
      </c>
      <c r="B283" s="988" t="s">
        <v>153</v>
      </c>
      <c r="C283" s="1108" t="s">
        <v>853</v>
      </c>
      <c r="D283" s="1009" t="s">
        <v>310</v>
      </c>
      <c r="E283" s="1015" t="s">
        <v>80</v>
      </c>
      <c r="F283" s="1412">
        <v>500000000</v>
      </c>
      <c r="G283" s="1413">
        <v>0</v>
      </c>
      <c r="H283" s="1014" t="s">
        <v>10</v>
      </c>
      <c r="I283" s="1014" t="s">
        <v>110</v>
      </c>
      <c r="J283" s="1014" t="s">
        <v>87</v>
      </c>
      <c r="K283" s="806"/>
    </row>
    <row r="284" spans="1:12" s="448" customFormat="1">
      <c r="A284" s="987" t="s">
        <v>611</v>
      </c>
      <c r="B284" s="988" t="s">
        <v>153</v>
      </c>
      <c r="C284" s="1108" t="s">
        <v>854</v>
      </c>
      <c r="D284" s="1009" t="s">
        <v>310</v>
      </c>
      <c r="E284" s="1015" t="s">
        <v>80</v>
      </c>
      <c r="F284" s="1414">
        <v>0</v>
      </c>
      <c r="G284" s="1413">
        <v>0</v>
      </c>
      <c r="H284" s="1014" t="s">
        <v>10</v>
      </c>
      <c r="I284" s="1014" t="s">
        <v>110</v>
      </c>
      <c r="J284" s="1014" t="s">
        <v>87</v>
      </c>
      <c r="K284" s="806"/>
    </row>
    <row r="285" spans="1:12" s="448" customFormat="1">
      <c r="A285" s="987" t="s">
        <v>499</v>
      </c>
      <c r="B285" s="988" t="s">
        <v>85</v>
      </c>
      <c r="C285" s="1108" t="s">
        <v>855</v>
      </c>
      <c r="D285" s="1009" t="s">
        <v>310</v>
      </c>
      <c r="E285" s="1015" t="s">
        <v>80</v>
      </c>
      <c r="F285" s="1412">
        <v>0</v>
      </c>
      <c r="G285" s="1413">
        <v>0</v>
      </c>
      <c r="H285" s="1014" t="s">
        <v>10</v>
      </c>
      <c r="I285" s="1014" t="s">
        <v>110</v>
      </c>
      <c r="J285" s="1014" t="s">
        <v>85</v>
      </c>
      <c r="K285" s="806"/>
    </row>
    <row r="286" spans="1:12" s="448" customFormat="1">
      <c r="A286" s="987" t="s">
        <v>752</v>
      </c>
      <c r="B286" s="988" t="s">
        <v>96</v>
      </c>
      <c r="C286" s="1108" t="s">
        <v>856</v>
      </c>
      <c r="D286" s="1009" t="s">
        <v>308</v>
      </c>
      <c r="E286" s="1015" t="s">
        <v>80</v>
      </c>
      <c r="F286" s="1414">
        <v>241255779</v>
      </c>
      <c r="G286" s="1413">
        <v>0</v>
      </c>
      <c r="H286" s="1014" t="s">
        <v>10</v>
      </c>
      <c r="I286" s="1014" t="s">
        <v>118</v>
      </c>
      <c r="J286" s="1014" t="s">
        <v>96</v>
      </c>
      <c r="K286" s="806"/>
    </row>
    <row r="287" spans="1:12" s="448" customFormat="1">
      <c r="A287" s="987" t="s">
        <v>857</v>
      </c>
      <c r="B287" s="988" t="s">
        <v>191</v>
      </c>
      <c r="C287" s="1108" t="s">
        <v>858</v>
      </c>
      <c r="D287" s="1009" t="s">
        <v>308</v>
      </c>
      <c r="E287" s="1015" t="s">
        <v>80</v>
      </c>
      <c r="F287" s="1413">
        <v>385290600</v>
      </c>
      <c r="G287" s="1413">
        <v>0</v>
      </c>
      <c r="H287" s="1014" t="s">
        <v>10</v>
      </c>
      <c r="I287" s="1014" t="s">
        <v>110</v>
      </c>
      <c r="J287" s="1014" t="s">
        <v>191</v>
      </c>
      <c r="K287" s="806"/>
    </row>
    <row r="288" spans="1:12" s="448" customFormat="1">
      <c r="A288" s="987" t="s">
        <v>859</v>
      </c>
      <c r="B288" s="988" t="s">
        <v>191</v>
      </c>
      <c r="C288" s="1108" t="s">
        <v>860</v>
      </c>
      <c r="D288" s="1009" t="s">
        <v>308</v>
      </c>
      <c r="E288" s="1015" t="s">
        <v>80</v>
      </c>
      <c r="F288" s="1412">
        <v>59633602</v>
      </c>
      <c r="G288" s="1413">
        <v>0</v>
      </c>
      <c r="H288" s="1014" t="s">
        <v>10</v>
      </c>
      <c r="I288" s="1014" t="s">
        <v>110</v>
      </c>
      <c r="J288" s="1014" t="s">
        <v>191</v>
      </c>
      <c r="K288" s="806"/>
    </row>
    <row r="289" spans="1:11" s="448" customFormat="1">
      <c r="A289" s="987" t="s">
        <v>859</v>
      </c>
      <c r="B289" s="988" t="s">
        <v>191</v>
      </c>
      <c r="C289" s="1108" t="s">
        <v>861</v>
      </c>
      <c r="D289" s="1009" t="s">
        <v>310</v>
      </c>
      <c r="E289" s="1015" t="s">
        <v>80</v>
      </c>
      <c r="F289" s="1413">
        <v>0</v>
      </c>
      <c r="G289" s="1413">
        <v>0</v>
      </c>
      <c r="H289" s="1014" t="s">
        <v>10</v>
      </c>
      <c r="I289" s="1014" t="s">
        <v>110</v>
      </c>
      <c r="J289" s="1014" t="s">
        <v>191</v>
      </c>
      <c r="K289" s="806"/>
    </row>
    <row r="290" spans="1:11" s="448" customFormat="1">
      <c r="A290" s="987" t="s">
        <v>862</v>
      </c>
      <c r="B290" s="988" t="s">
        <v>191</v>
      </c>
      <c r="C290" s="1108" t="s">
        <v>863</v>
      </c>
      <c r="D290" s="1009" t="s">
        <v>308</v>
      </c>
      <c r="E290" s="1015" t="s">
        <v>80</v>
      </c>
      <c r="F290" s="1413">
        <v>59635135</v>
      </c>
      <c r="G290" s="1413">
        <v>0</v>
      </c>
      <c r="H290" s="1014" t="s">
        <v>10</v>
      </c>
      <c r="I290" s="1014" t="s">
        <v>110</v>
      </c>
      <c r="J290" s="1014" t="s">
        <v>191</v>
      </c>
      <c r="K290" s="806"/>
    </row>
    <row r="291" spans="1:11" s="448" customFormat="1">
      <c r="A291" s="987" t="s">
        <v>862</v>
      </c>
      <c r="B291" s="988" t="s">
        <v>191</v>
      </c>
      <c r="C291" s="1108" t="s">
        <v>864</v>
      </c>
      <c r="D291" s="1009" t="s">
        <v>310</v>
      </c>
      <c r="E291" s="1015" t="s">
        <v>80</v>
      </c>
      <c r="F291" s="1413">
        <v>0</v>
      </c>
      <c r="G291" s="1413">
        <v>0</v>
      </c>
      <c r="H291" s="1014" t="s">
        <v>10</v>
      </c>
      <c r="I291" s="1014" t="s">
        <v>110</v>
      </c>
      <c r="J291" s="1014" t="s">
        <v>191</v>
      </c>
      <c r="K291" s="806"/>
    </row>
    <row r="292" spans="1:11" s="448" customFormat="1">
      <c r="A292" s="987" t="s">
        <v>784</v>
      </c>
      <c r="B292" s="988" t="s">
        <v>201</v>
      </c>
      <c r="C292" s="1108" t="s">
        <v>865</v>
      </c>
      <c r="D292" s="1009" t="s">
        <v>308</v>
      </c>
      <c r="E292" s="1015" t="s">
        <v>80</v>
      </c>
      <c r="F292" s="1414">
        <v>101427112</v>
      </c>
      <c r="G292" s="1413">
        <v>0</v>
      </c>
      <c r="H292" s="1014" t="s">
        <v>10</v>
      </c>
      <c r="I292" s="1014" t="s">
        <v>258</v>
      </c>
      <c r="J292" s="1014" t="s">
        <v>201</v>
      </c>
      <c r="K292" s="806"/>
    </row>
    <row r="293" spans="1:11" s="448" customFormat="1">
      <c r="A293" s="987" t="s">
        <v>786</v>
      </c>
      <c r="B293" s="988" t="s">
        <v>201</v>
      </c>
      <c r="C293" s="1108" t="s">
        <v>866</v>
      </c>
      <c r="D293" s="1009" t="s">
        <v>308</v>
      </c>
      <c r="E293" s="1015" t="s">
        <v>80</v>
      </c>
      <c r="F293" s="1412">
        <v>87077179</v>
      </c>
      <c r="G293" s="1413">
        <v>0</v>
      </c>
      <c r="H293" s="1014" t="s">
        <v>10</v>
      </c>
      <c r="I293" s="1014" t="s">
        <v>258</v>
      </c>
      <c r="J293" s="1014" t="s">
        <v>201</v>
      </c>
      <c r="K293" s="806"/>
    </row>
    <row r="294" spans="1:11" s="448" customFormat="1">
      <c r="A294" s="987" t="s">
        <v>790</v>
      </c>
      <c r="B294" s="988" t="s">
        <v>201</v>
      </c>
      <c r="C294" s="1108" t="s">
        <v>867</v>
      </c>
      <c r="D294" s="1009" t="s">
        <v>308</v>
      </c>
      <c r="E294" s="1015" t="s">
        <v>80</v>
      </c>
      <c r="F294" s="1414">
        <v>88357234</v>
      </c>
      <c r="G294" s="1413">
        <v>0</v>
      </c>
      <c r="H294" s="1014" t="s">
        <v>10</v>
      </c>
      <c r="I294" s="1014" t="s">
        <v>258</v>
      </c>
      <c r="J294" s="1014" t="s">
        <v>201</v>
      </c>
      <c r="K294" s="806"/>
    </row>
    <row r="295" spans="1:11" s="448" customFormat="1">
      <c r="A295" s="987" t="s">
        <v>780</v>
      </c>
      <c r="B295" s="988" t="s">
        <v>201</v>
      </c>
      <c r="C295" s="1108" t="s">
        <v>868</v>
      </c>
      <c r="D295" s="1009" t="s">
        <v>308</v>
      </c>
      <c r="E295" s="1015" t="s">
        <v>80</v>
      </c>
      <c r="F295" s="1413">
        <v>157328476</v>
      </c>
      <c r="G295" s="1413">
        <v>0</v>
      </c>
      <c r="H295" s="1014" t="s">
        <v>10</v>
      </c>
      <c r="I295" s="1014" t="s">
        <v>258</v>
      </c>
      <c r="J295" s="1014" t="s">
        <v>201</v>
      </c>
      <c r="K295" s="806"/>
    </row>
    <row r="296" spans="1:11" s="448" customFormat="1">
      <c r="A296" s="987" t="s">
        <v>788</v>
      </c>
      <c r="B296" s="988" t="s">
        <v>201</v>
      </c>
      <c r="C296" s="1108" t="s">
        <v>869</v>
      </c>
      <c r="D296" s="1009" t="s">
        <v>308</v>
      </c>
      <c r="E296" s="1015" t="s">
        <v>80</v>
      </c>
      <c r="F296" s="1413">
        <v>96657026</v>
      </c>
      <c r="G296" s="1413">
        <v>0</v>
      </c>
      <c r="H296" s="1014" t="s">
        <v>10</v>
      </c>
      <c r="I296" s="1014" t="s">
        <v>258</v>
      </c>
      <c r="J296" s="1014" t="s">
        <v>201</v>
      </c>
      <c r="K296" s="806"/>
    </row>
    <row r="297" spans="1:11" s="448" customFormat="1">
      <c r="A297" s="987" t="s">
        <v>784</v>
      </c>
      <c r="B297" s="988" t="s">
        <v>201</v>
      </c>
      <c r="C297" s="1108" t="s">
        <v>870</v>
      </c>
      <c r="D297" s="1009" t="s">
        <v>342</v>
      </c>
      <c r="E297" s="1015" t="s">
        <v>80</v>
      </c>
      <c r="F297" s="1413">
        <v>0</v>
      </c>
      <c r="G297" s="1413">
        <v>0</v>
      </c>
      <c r="H297" s="1014" t="s">
        <v>10</v>
      </c>
      <c r="I297" s="1014" t="s">
        <v>258</v>
      </c>
      <c r="J297" s="1014" t="s">
        <v>201</v>
      </c>
      <c r="K297" s="806"/>
    </row>
    <row r="298" spans="1:11" s="448" customFormat="1">
      <c r="A298" s="987" t="s">
        <v>786</v>
      </c>
      <c r="B298" s="988" t="s">
        <v>201</v>
      </c>
      <c r="C298" s="1108" t="s">
        <v>871</v>
      </c>
      <c r="D298" s="1009" t="s">
        <v>342</v>
      </c>
      <c r="E298" s="1015" t="s">
        <v>80</v>
      </c>
      <c r="F298" s="1413">
        <v>0</v>
      </c>
      <c r="G298" s="1413">
        <v>0</v>
      </c>
      <c r="H298" s="1014" t="s">
        <v>10</v>
      </c>
      <c r="I298" s="1014" t="s">
        <v>258</v>
      </c>
      <c r="J298" s="1014" t="s">
        <v>201</v>
      </c>
      <c r="K298" s="806"/>
    </row>
    <row r="299" spans="1:11" s="448" customFormat="1">
      <c r="A299" s="987" t="s">
        <v>790</v>
      </c>
      <c r="B299" s="988" t="s">
        <v>201</v>
      </c>
      <c r="C299" s="1108" t="s">
        <v>872</v>
      </c>
      <c r="D299" s="1009" t="s">
        <v>342</v>
      </c>
      <c r="E299" s="1015" t="s">
        <v>80</v>
      </c>
      <c r="F299" s="1412">
        <v>0</v>
      </c>
      <c r="G299" s="1413">
        <v>0</v>
      </c>
      <c r="H299" s="1014" t="s">
        <v>10</v>
      </c>
      <c r="I299" s="1014" t="s">
        <v>258</v>
      </c>
      <c r="J299" s="1014" t="s">
        <v>201</v>
      </c>
      <c r="K299" s="806"/>
    </row>
    <row r="300" spans="1:11" s="448" customFormat="1">
      <c r="A300" s="987" t="s">
        <v>780</v>
      </c>
      <c r="B300" s="988" t="s">
        <v>201</v>
      </c>
      <c r="C300" s="1108" t="s">
        <v>873</v>
      </c>
      <c r="D300" s="1009" t="s">
        <v>342</v>
      </c>
      <c r="E300" s="1015" t="s">
        <v>80</v>
      </c>
      <c r="F300" s="1412">
        <v>0</v>
      </c>
      <c r="G300" s="1413">
        <v>0</v>
      </c>
      <c r="H300" s="1014" t="s">
        <v>10</v>
      </c>
      <c r="I300" s="1014" t="s">
        <v>258</v>
      </c>
      <c r="J300" s="1014" t="s">
        <v>201</v>
      </c>
      <c r="K300" s="806"/>
    </row>
    <row r="301" spans="1:11" s="448" customFormat="1">
      <c r="A301" s="987" t="s">
        <v>788</v>
      </c>
      <c r="B301" s="988" t="s">
        <v>201</v>
      </c>
      <c r="C301" s="1108" t="s">
        <v>874</v>
      </c>
      <c r="D301" s="1009" t="s">
        <v>342</v>
      </c>
      <c r="E301" s="1015" t="s">
        <v>80</v>
      </c>
      <c r="F301" s="1412">
        <v>0</v>
      </c>
      <c r="G301" s="1413">
        <v>0</v>
      </c>
      <c r="H301" s="1014" t="s">
        <v>10</v>
      </c>
      <c r="I301" s="1014" t="s">
        <v>258</v>
      </c>
      <c r="J301" s="1014" t="s">
        <v>201</v>
      </c>
      <c r="K301" s="806"/>
    </row>
    <row r="302" spans="1:11" s="448" customFormat="1">
      <c r="A302" s="987" t="s">
        <v>875</v>
      </c>
      <c r="B302" s="988" t="s">
        <v>92</v>
      </c>
      <c r="C302" s="1108" t="s">
        <v>876</v>
      </c>
      <c r="D302" s="1009" t="s">
        <v>308</v>
      </c>
      <c r="E302" s="1015" t="s">
        <v>80</v>
      </c>
      <c r="F302" s="1415">
        <v>15143999</v>
      </c>
      <c r="G302" s="1413">
        <v>0</v>
      </c>
      <c r="H302" s="1014" t="s">
        <v>10</v>
      </c>
      <c r="I302" s="1014" t="s">
        <v>114</v>
      </c>
      <c r="J302" s="1014" t="s">
        <v>92</v>
      </c>
      <c r="K302" s="806"/>
    </row>
    <row r="303" spans="1:11" s="448" customFormat="1">
      <c r="A303" s="987" t="s">
        <v>877</v>
      </c>
      <c r="B303" s="988" t="s">
        <v>92</v>
      </c>
      <c r="C303" s="1108" t="s">
        <v>878</v>
      </c>
      <c r="D303" s="1009" t="s">
        <v>308</v>
      </c>
      <c r="E303" s="1015" t="s">
        <v>80</v>
      </c>
      <c r="F303" s="1414">
        <v>1043540</v>
      </c>
      <c r="G303" s="1413">
        <v>0</v>
      </c>
      <c r="H303" s="1014" t="s">
        <v>10</v>
      </c>
      <c r="I303" s="1014" t="s">
        <v>114</v>
      </c>
      <c r="J303" s="1014" t="s">
        <v>92</v>
      </c>
      <c r="K303" s="806"/>
    </row>
    <row r="304" spans="1:11" s="448" customFormat="1">
      <c r="A304" s="987" t="s">
        <v>879</v>
      </c>
      <c r="B304" s="988" t="s">
        <v>92</v>
      </c>
      <c r="C304" s="1108" t="s">
        <v>880</v>
      </c>
      <c r="D304" s="1009" t="s">
        <v>308</v>
      </c>
      <c r="E304" s="1015" t="s">
        <v>80</v>
      </c>
      <c r="F304" s="1413">
        <v>80750903</v>
      </c>
      <c r="G304" s="1413">
        <v>0</v>
      </c>
      <c r="H304" s="1014" t="s">
        <v>10</v>
      </c>
      <c r="I304" s="1014" t="s">
        <v>114</v>
      </c>
      <c r="J304" s="1014" t="s">
        <v>92</v>
      </c>
      <c r="K304" s="806"/>
    </row>
    <row r="305" spans="1:11" s="448" customFormat="1">
      <c r="A305" s="987" t="s">
        <v>879</v>
      </c>
      <c r="B305" s="988" t="s">
        <v>92</v>
      </c>
      <c r="C305" s="1108" t="s">
        <v>881</v>
      </c>
      <c r="D305" s="1009" t="s">
        <v>307</v>
      </c>
      <c r="E305" s="1015" t="s">
        <v>80</v>
      </c>
      <c r="F305" s="1412">
        <v>0</v>
      </c>
      <c r="G305" s="1413">
        <v>0</v>
      </c>
      <c r="H305" s="1014" t="s">
        <v>10</v>
      </c>
      <c r="I305" s="1014" t="s">
        <v>114</v>
      </c>
      <c r="J305" s="1014" t="s">
        <v>92</v>
      </c>
      <c r="K305" s="806"/>
    </row>
    <row r="306" spans="1:11" s="448" customFormat="1">
      <c r="A306" s="987" t="s">
        <v>879</v>
      </c>
      <c r="B306" s="988" t="s">
        <v>92</v>
      </c>
      <c r="C306" s="1108" t="s">
        <v>882</v>
      </c>
      <c r="D306" s="1009" t="s">
        <v>308</v>
      </c>
      <c r="E306" s="1015" t="s">
        <v>81</v>
      </c>
      <c r="F306" s="1412">
        <v>0</v>
      </c>
      <c r="G306" s="1413">
        <v>0</v>
      </c>
      <c r="H306" s="1014" t="s">
        <v>10</v>
      </c>
      <c r="I306" s="1014" t="s">
        <v>114</v>
      </c>
      <c r="J306" s="1014" t="s">
        <v>92</v>
      </c>
      <c r="K306" s="806"/>
    </row>
    <row r="307" spans="1:11" s="448" customFormat="1">
      <c r="A307" s="987" t="s">
        <v>879</v>
      </c>
      <c r="B307" s="988" t="s">
        <v>92</v>
      </c>
      <c r="C307" s="1108" t="s">
        <v>883</v>
      </c>
      <c r="D307" s="1009" t="s">
        <v>309</v>
      </c>
      <c r="E307" s="1015" t="s">
        <v>81</v>
      </c>
      <c r="F307" s="1413">
        <v>0</v>
      </c>
      <c r="G307" s="1413">
        <v>0</v>
      </c>
      <c r="H307" s="1014" t="s">
        <v>10</v>
      </c>
      <c r="I307" s="1014" t="s">
        <v>114</v>
      </c>
      <c r="J307" s="1014" t="s">
        <v>92</v>
      </c>
      <c r="K307" s="806"/>
    </row>
    <row r="308" spans="1:11" s="448" customFormat="1">
      <c r="A308" s="987" t="s">
        <v>884</v>
      </c>
      <c r="B308" s="988" t="s">
        <v>92</v>
      </c>
      <c r="C308" s="1108" t="s">
        <v>885</v>
      </c>
      <c r="D308" s="1009" t="s">
        <v>308</v>
      </c>
      <c r="E308" s="1015" t="s">
        <v>80</v>
      </c>
      <c r="F308" s="1412">
        <v>85434274</v>
      </c>
      <c r="G308" s="1413">
        <v>0</v>
      </c>
      <c r="H308" s="1014" t="s">
        <v>10</v>
      </c>
      <c r="I308" s="1014" t="s">
        <v>114</v>
      </c>
      <c r="J308" s="1014" t="s">
        <v>92</v>
      </c>
      <c r="K308" s="806"/>
    </row>
    <row r="309" spans="1:11" s="448" customFormat="1">
      <c r="A309" s="987" t="s">
        <v>886</v>
      </c>
      <c r="B309" s="988" t="s">
        <v>92</v>
      </c>
      <c r="C309" s="1108" t="s">
        <v>887</v>
      </c>
      <c r="D309" s="1009" t="s">
        <v>308</v>
      </c>
      <c r="E309" s="1015" t="s">
        <v>80</v>
      </c>
      <c r="F309" s="1415">
        <v>0</v>
      </c>
      <c r="G309" s="1413">
        <v>0</v>
      </c>
      <c r="H309" s="1014" t="s">
        <v>10</v>
      </c>
      <c r="I309" s="1014" t="s">
        <v>114</v>
      </c>
      <c r="J309" s="1014" t="s">
        <v>92</v>
      </c>
      <c r="K309" s="806"/>
    </row>
    <row r="310" spans="1:11" s="448" customFormat="1">
      <c r="A310" s="987" t="s">
        <v>888</v>
      </c>
      <c r="B310" s="988" t="s">
        <v>92</v>
      </c>
      <c r="C310" s="1108" t="s">
        <v>889</v>
      </c>
      <c r="D310" s="1009" t="s">
        <v>307</v>
      </c>
      <c r="E310" s="1015" t="s">
        <v>80</v>
      </c>
      <c r="F310" s="1413">
        <v>1150792</v>
      </c>
      <c r="G310" s="1413">
        <v>0</v>
      </c>
      <c r="H310" s="1014" t="s">
        <v>10</v>
      </c>
      <c r="I310" s="1014" t="s">
        <v>114</v>
      </c>
      <c r="J310" s="1014" t="s">
        <v>92</v>
      </c>
      <c r="K310" s="806"/>
    </row>
    <row r="311" spans="1:11" s="448" customFormat="1">
      <c r="A311" s="987" t="s">
        <v>888</v>
      </c>
      <c r="B311" s="988" t="s">
        <v>92</v>
      </c>
      <c r="C311" s="1108" t="s">
        <v>890</v>
      </c>
      <c r="D311" s="1009" t="s">
        <v>308</v>
      </c>
      <c r="E311" s="1015" t="s">
        <v>80</v>
      </c>
      <c r="F311" s="1412">
        <v>14971245</v>
      </c>
      <c r="G311" s="1413">
        <v>0</v>
      </c>
      <c r="H311" s="1014" t="s">
        <v>10</v>
      </c>
      <c r="I311" s="1014" t="s">
        <v>114</v>
      </c>
      <c r="J311" s="1014" t="s">
        <v>92</v>
      </c>
      <c r="K311" s="806"/>
    </row>
    <row r="312" spans="1:11" s="448" customFormat="1">
      <c r="A312" s="987" t="s">
        <v>891</v>
      </c>
      <c r="B312" s="988" t="s">
        <v>92</v>
      </c>
      <c r="C312" s="1108" t="s">
        <v>892</v>
      </c>
      <c r="D312" s="1009" t="s">
        <v>308</v>
      </c>
      <c r="E312" s="1015" t="s">
        <v>80</v>
      </c>
      <c r="F312" s="1413">
        <v>2391236830</v>
      </c>
      <c r="G312" s="1413">
        <v>0</v>
      </c>
      <c r="H312" s="1014" t="s">
        <v>10</v>
      </c>
      <c r="I312" s="1014" t="s">
        <v>114</v>
      </c>
      <c r="J312" s="1014" t="s">
        <v>92</v>
      </c>
      <c r="K312" s="806"/>
    </row>
    <row r="313" spans="1:11" s="448" customFormat="1">
      <c r="A313" s="987" t="s">
        <v>582</v>
      </c>
      <c r="B313" s="988" t="s">
        <v>191</v>
      </c>
      <c r="C313" s="1108" t="s">
        <v>893</v>
      </c>
      <c r="D313" s="1009" t="s">
        <v>308</v>
      </c>
      <c r="E313" s="1015" t="s">
        <v>80</v>
      </c>
      <c r="F313" s="1412">
        <v>1478471839</v>
      </c>
      <c r="G313" s="1413">
        <v>0</v>
      </c>
      <c r="H313" s="1014" t="s">
        <v>67</v>
      </c>
      <c r="I313" s="1014" t="s">
        <v>110</v>
      </c>
      <c r="J313" s="1014" t="s">
        <v>191</v>
      </c>
      <c r="K313" s="806"/>
    </row>
    <row r="314" spans="1:11" s="448" customFormat="1">
      <c r="A314" s="987" t="s">
        <v>570</v>
      </c>
      <c r="B314" s="988" t="s">
        <v>196</v>
      </c>
      <c r="C314" s="1108" t="s">
        <v>894</v>
      </c>
      <c r="D314" s="1009" t="s">
        <v>308</v>
      </c>
      <c r="E314" s="1015" t="s">
        <v>80</v>
      </c>
      <c r="F314" s="1413">
        <v>0</v>
      </c>
      <c r="G314" s="1413">
        <v>0</v>
      </c>
      <c r="H314" s="1014" t="s">
        <v>10</v>
      </c>
      <c r="I314" s="1014" t="s">
        <v>114</v>
      </c>
      <c r="J314" s="1014" t="s">
        <v>196</v>
      </c>
      <c r="K314" s="806"/>
    </row>
    <row r="315" spans="1:11" s="448" customFormat="1">
      <c r="A315" s="987" t="s">
        <v>774</v>
      </c>
      <c r="B315" s="988" t="s">
        <v>92</v>
      </c>
      <c r="C315" s="1108" t="s">
        <v>895</v>
      </c>
      <c r="D315" s="1009" t="s">
        <v>308</v>
      </c>
      <c r="E315" s="1015" t="s">
        <v>80</v>
      </c>
      <c r="F315" s="1412">
        <v>29232328</v>
      </c>
      <c r="G315" s="1413">
        <v>0</v>
      </c>
      <c r="H315" s="1014" t="s">
        <v>10</v>
      </c>
      <c r="I315" s="1014" t="s">
        <v>114</v>
      </c>
      <c r="J315" s="1014" t="s">
        <v>92</v>
      </c>
      <c r="K315" s="806"/>
    </row>
    <row r="316" spans="1:11" s="448" customFormat="1">
      <c r="A316" s="987" t="s">
        <v>794</v>
      </c>
      <c r="B316" s="988" t="s">
        <v>92</v>
      </c>
      <c r="C316" s="1108" t="s">
        <v>896</v>
      </c>
      <c r="D316" s="1009" t="s">
        <v>308</v>
      </c>
      <c r="E316" s="1015" t="s">
        <v>80</v>
      </c>
      <c r="F316" s="1412">
        <v>0</v>
      </c>
      <c r="G316" s="1413">
        <v>0</v>
      </c>
      <c r="H316" s="1014" t="s">
        <v>10</v>
      </c>
      <c r="I316" s="1014" t="s">
        <v>114</v>
      </c>
      <c r="J316" s="1014" t="s">
        <v>92</v>
      </c>
      <c r="K316" s="806"/>
    </row>
    <row r="317" spans="1:11" s="448" customFormat="1">
      <c r="A317" s="987" t="s">
        <v>897</v>
      </c>
      <c r="B317" s="988" t="s">
        <v>92</v>
      </c>
      <c r="C317" s="1108" t="s">
        <v>898</v>
      </c>
      <c r="D317" s="1009" t="s">
        <v>308</v>
      </c>
      <c r="E317" s="1015" t="s">
        <v>80</v>
      </c>
      <c r="F317" s="1412">
        <v>2627915647</v>
      </c>
      <c r="G317" s="1413">
        <v>0</v>
      </c>
      <c r="H317" s="1014" t="s">
        <v>10</v>
      </c>
      <c r="I317" s="1014" t="s">
        <v>114</v>
      </c>
      <c r="J317" s="1014" t="s">
        <v>92</v>
      </c>
      <c r="K317" s="806"/>
    </row>
    <row r="318" spans="1:11" s="448" customFormat="1">
      <c r="A318" s="987" t="s">
        <v>697</v>
      </c>
      <c r="B318" s="988" t="s">
        <v>92</v>
      </c>
      <c r="C318" s="1108" t="s">
        <v>899</v>
      </c>
      <c r="D318" s="1009" t="s">
        <v>310</v>
      </c>
      <c r="E318" s="1015" t="s">
        <v>80</v>
      </c>
      <c r="F318" s="1412">
        <v>0</v>
      </c>
      <c r="G318" s="1413">
        <v>0</v>
      </c>
      <c r="H318" s="1014" t="s">
        <v>10</v>
      </c>
      <c r="I318" s="1014" t="s">
        <v>114</v>
      </c>
      <c r="J318" s="1014" t="s">
        <v>92</v>
      </c>
      <c r="K318" s="806"/>
    </row>
    <row r="319" spans="1:11" s="448" customFormat="1">
      <c r="A319" s="987" t="s">
        <v>897</v>
      </c>
      <c r="B319" s="988" t="s">
        <v>92</v>
      </c>
      <c r="C319" s="1108" t="s">
        <v>900</v>
      </c>
      <c r="D319" s="1009" t="s">
        <v>308</v>
      </c>
      <c r="E319" s="1015" t="s">
        <v>81</v>
      </c>
      <c r="F319" s="1413">
        <v>0</v>
      </c>
      <c r="G319" s="1413">
        <v>0</v>
      </c>
      <c r="H319" s="1014" t="s">
        <v>10</v>
      </c>
      <c r="I319" s="1014" t="s">
        <v>114</v>
      </c>
      <c r="J319" s="1014" t="s">
        <v>92</v>
      </c>
      <c r="K319" s="806"/>
    </row>
    <row r="320" spans="1:11" s="448" customFormat="1">
      <c r="A320" s="987" t="s">
        <v>897</v>
      </c>
      <c r="B320" s="988" t="s">
        <v>803</v>
      </c>
      <c r="C320" s="1108" t="s">
        <v>901</v>
      </c>
      <c r="D320" s="1009" t="s">
        <v>308</v>
      </c>
      <c r="E320" s="1015" t="s">
        <v>80</v>
      </c>
      <c r="F320" s="1412">
        <v>0</v>
      </c>
      <c r="G320" s="1413">
        <v>0</v>
      </c>
      <c r="H320" s="1014" t="s">
        <v>10</v>
      </c>
      <c r="I320" s="1014" t="s">
        <v>202</v>
      </c>
      <c r="J320" s="1014" t="s">
        <v>202</v>
      </c>
      <c r="K320" s="806"/>
    </row>
    <row r="321" spans="1:11" s="448" customFormat="1">
      <c r="A321" s="987" t="s">
        <v>897</v>
      </c>
      <c r="B321" s="988" t="s">
        <v>803</v>
      </c>
      <c r="C321" s="1108" t="s">
        <v>902</v>
      </c>
      <c r="D321" s="1009" t="s">
        <v>307</v>
      </c>
      <c r="E321" s="1015" t="s">
        <v>80</v>
      </c>
      <c r="F321" s="1412">
        <v>0</v>
      </c>
      <c r="G321" s="1413">
        <v>0</v>
      </c>
      <c r="H321" s="1014" t="s">
        <v>10</v>
      </c>
      <c r="I321" s="1014" t="s">
        <v>202</v>
      </c>
      <c r="J321" s="1014" t="s">
        <v>202</v>
      </c>
      <c r="K321" s="806"/>
    </row>
    <row r="322" spans="1:11" s="448" customFormat="1">
      <c r="A322" s="987" t="s">
        <v>897</v>
      </c>
      <c r="B322" s="988" t="s">
        <v>803</v>
      </c>
      <c r="C322" s="1108" t="s">
        <v>903</v>
      </c>
      <c r="D322" s="1009" t="s">
        <v>308</v>
      </c>
      <c r="E322" s="1015" t="s">
        <v>81</v>
      </c>
      <c r="F322" s="1412">
        <v>0</v>
      </c>
      <c r="G322" s="1413">
        <v>0</v>
      </c>
      <c r="H322" s="1014" t="s">
        <v>10</v>
      </c>
      <c r="I322" s="1014" t="s">
        <v>202</v>
      </c>
      <c r="J322" s="1014" t="s">
        <v>202</v>
      </c>
      <c r="K322" s="806"/>
    </row>
    <row r="323" spans="1:11" s="448" customFormat="1">
      <c r="A323" s="987" t="s">
        <v>897</v>
      </c>
      <c r="B323" s="988" t="s">
        <v>803</v>
      </c>
      <c r="C323" s="1108" t="s">
        <v>904</v>
      </c>
      <c r="D323" s="1009" t="s">
        <v>307</v>
      </c>
      <c r="E323" s="1015" t="s">
        <v>81</v>
      </c>
      <c r="F323" s="1412">
        <v>0</v>
      </c>
      <c r="G323" s="1413">
        <v>0</v>
      </c>
      <c r="H323" s="1014" t="s">
        <v>10</v>
      </c>
      <c r="I323" s="1014" t="s">
        <v>202</v>
      </c>
      <c r="J323" s="1014" t="s">
        <v>202</v>
      </c>
      <c r="K323" s="806"/>
    </row>
    <row r="324" spans="1:11" s="448" customFormat="1">
      <c r="A324" s="987" t="s">
        <v>905</v>
      </c>
      <c r="B324" s="988" t="s">
        <v>92</v>
      </c>
      <c r="C324" s="1108" t="s">
        <v>906</v>
      </c>
      <c r="D324" s="1009" t="s">
        <v>308</v>
      </c>
      <c r="E324" s="1015" t="s">
        <v>80</v>
      </c>
      <c r="F324" s="1413">
        <v>3309214112</v>
      </c>
      <c r="G324" s="1413">
        <v>0</v>
      </c>
      <c r="H324" s="1014" t="s">
        <v>10</v>
      </c>
      <c r="I324" s="1014" t="s">
        <v>114</v>
      </c>
      <c r="J324" s="1014" t="s">
        <v>92</v>
      </c>
      <c r="K324" s="806"/>
    </row>
    <row r="325" spans="1:11" s="448" customFormat="1">
      <c r="A325" s="987" t="s">
        <v>905</v>
      </c>
      <c r="B325" s="988" t="s">
        <v>92</v>
      </c>
      <c r="C325" s="1108" t="s">
        <v>907</v>
      </c>
      <c r="D325" s="1009" t="s">
        <v>308</v>
      </c>
      <c r="E325" s="1015" t="s">
        <v>81</v>
      </c>
      <c r="F325" s="1413">
        <v>0</v>
      </c>
      <c r="G325" s="1413">
        <v>0</v>
      </c>
      <c r="H325" s="1014" t="s">
        <v>10</v>
      </c>
      <c r="I325" s="1014" t="s">
        <v>114</v>
      </c>
      <c r="J325" s="1014" t="s">
        <v>92</v>
      </c>
      <c r="K325" s="806"/>
    </row>
    <row r="326" spans="1:11" s="448" customFormat="1">
      <c r="A326" s="987" t="s">
        <v>905</v>
      </c>
      <c r="B326" s="988" t="s">
        <v>803</v>
      </c>
      <c r="C326" s="1108" t="s">
        <v>908</v>
      </c>
      <c r="D326" s="1009" t="s">
        <v>308</v>
      </c>
      <c r="E326" s="1015" t="s">
        <v>80</v>
      </c>
      <c r="F326" s="1415">
        <v>0</v>
      </c>
      <c r="G326" s="1413">
        <v>0</v>
      </c>
      <c r="H326" s="1014" t="s">
        <v>10</v>
      </c>
      <c r="I326" s="1014" t="s">
        <v>202</v>
      </c>
      <c r="J326" s="1014" t="s">
        <v>202</v>
      </c>
      <c r="K326" s="806"/>
    </row>
    <row r="327" spans="1:11" s="448" customFormat="1">
      <c r="A327" s="987" t="s">
        <v>905</v>
      </c>
      <c r="B327" s="988" t="s">
        <v>803</v>
      </c>
      <c r="C327" s="1108" t="s">
        <v>909</v>
      </c>
      <c r="D327" s="1009" t="s">
        <v>307</v>
      </c>
      <c r="E327" s="1015" t="s">
        <v>80</v>
      </c>
      <c r="F327" s="1413">
        <v>0</v>
      </c>
      <c r="G327" s="1413">
        <v>0</v>
      </c>
      <c r="H327" s="1014" t="s">
        <v>10</v>
      </c>
      <c r="I327" s="1014" t="s">
        <v>202</v>
      </c>
      <c r="J327" s="1014" t="s">
        <v>202</v>
      </c>
      <c r="K327" s="806"/>
    </row>
    <row r="328" spans="1:11" s="448" customFormat="1">
      <c r="A328" s="987" t="s">
        <v>905</v>
      </c>
      <c r="B328" s="988" t="s">
        <v>803</v>
      </c>
      <c r="C328" s="1108" t="s">
        <v>910</v>
      </c>
      <c r="D328" s="1009" t="s">
        <v>308</v>
      </c>
      <c r="E328" s="1015" t="s">
        <v>81</v>
      </c>
      <c r="F328" s="1414">
        <v>0</v>
      </c>
      <c r="G328" s="1413">
        <v>0</v>
      </c>
      <c r="H328" s="1014" t="s">
        <v>10</v>
      </c>
      <c r="I328" s="1014" t="s">
        <v>202</v>
      </c>
      <c r="J328" s="1014" t="s">
        <v>202</v>
      </c>
      <c r="K328" s="806"/>
    </row>
    <row r="329" spans="1:11" s="448" customFormat="1">
      <c r="A329" s="987" t="s">
        <v>905</v>
      </c>
      <c r="B329" s="988" t="s">
        <v>803</v>
      </c>
      <c r="C329" s="1108" t="s">
        <v>911</v>
      </c>
      <c r="D329" s="1009" t="s">
        <v>307</v>
      </c>
      <c r="E329" s="1015" t="s">
        <v>81</v>
      </c>
      <c r="F329" s="1412">
        <v>0</v>
      </c>
      <c r="G329" s="1413">
        <v>0</v>
      </c>
      <c r="H329" s="1014" t="s">
        <v>10</v>
      </c>
      <c r="I329" s="1014" t="s">
        <v>202</v>
      </c>
      <c r="J329" s="1014" t="s">
        <v>202</v>
      </c>
      <c r="K329" s="806"/>
    </row>
    <row r="330" spans="1:11" s="448" customFormat="1">
      <c r="A330" s="987" t="s">
        <v>912</v>
      </c>
      <c r="B330" s="988" t="s">
        <v>155</v>
      </c>
      <c r="C330" s="1108" t="s">
        <v>913</v>
      </c>
      <c r="D330" s="1009" t="s">
        <v>308</v>
      </c>
      <c r="E330" s="1015" t="s">
        <v>80</v>
      </c>
      <c r="F330" s="1414">
        <v>10275741</v>
      </c>
      <c r="G330" s="1413">
        <v>0</v>
      </c>
      <c r="H330" s="1014" t="s">
        <v>10</v>
      </c>
      <c r="I330" s="1014" t="s">
        <v>110</v>
      </c>
      <c r="J330" s="1014" t="s">
        <v>87</v>
      </c>
      <c r="K330" s="806"/>
    </row>
    <row r="331" spans="1:11" s="448" customFormat="1">
      <c r="A331" s="987" t="s">
        <v>912</v>
      </c>
      <c r="B331" s="988" t="s">
        <v>155</v>
      </c>
      <c r="C331" s="1109" t="s">
        <v>914</v>
      </c>
      <c r="D331" s="1009" t="s">
        <v>308</v>
      </c>
      <c r="E331" s="1015" t="s">
        <v>81</v>
      </c>
      <c r="F331" s="1413">
        <v>0</v>
      </c>
      <c r="G331" s="1413">
        <v>0</v>
      </c>
      <c r="H331" s="1014" t="s">
        <v>10</v>
      </c>
      <c r="I331" s="1014" t="s">
        <v>110</v>
      </c>
      <c r="J331" s="1014" t="s">
        <v>87</v>
      </c>
      <c r="K331" s="806"/>
    </row>
    <row r="332" spans="1:11" s="448" customFormat="1">
      <c r="A332" s="987" t="s">
        <v>884</v>
      </c>
      <c r="B332" s="988" t="s">
        <v>92</v>
      </c>
      <c r="C332" s="1109" t="s">
        <v>915</v>
      </c>
      <c r="D332" s="1009" t="s">
        <v>308</v>
      </c>
      <c r="E332" s="1015" t="s">
        <v>81</v>
      </c>
      <c r="F332" s="1412">
        <v>0</v>
      </c>
      <c r="G332" s="1413">
        <v>0</v>
      </c>
      <c r="H332" s="1014" t="s">
        <v>10</v>
      </c>
      <c r="I332" s="1014" t="s">
        <v>114</v>
      </c>
      <c r="J332" s="1014" t="s">
        <v>92</v>
      </c>
      <c r="K332" s="806"/>
    </row>
    <row r="333" spans="1:11" s="448" customFormat="1">
      <c r="A333" s="987" t="s">
        <v>884</v>
      </c>
      <c r="B333" s="988" t="s">
        <v>92</v>
      </c>
      <c r="C333" s="1109" t="s">
        <v>916</v>
      </c>
      <c r="D333" s="1009" t="s">
        <v>310</v>
      </c>
      <c r="E333" s="1015" t="s">
        <v>80</v>
      </c>
      <c r="F333" s="1413">
        <v>1000000000</v>
      </c>
      <c r="G333" s="1413">
        <v>0</v>
      </c>
      <c r="H333" s="1014" t="s">
        <v>10</v>
      </c>
      <c r="I333" s="1014" t="s">
        <v>114</v>
      </c>
      <c r="J333" s="1014" t="s">
        <v>92</v>
      </c>
      <c r="K333" s="806"/>
    </row>
    <row r="334" spans="1:11" s="448" customFormat="1">
      <c r="A334" s="987" t="s">
        <v>582</v>
      </c>
      <c r="B334" s="988" t="s">
        <v>155</v>
      </c>
      <c r="C334" s="1109" t="s">
        <v>917</v>
      </c>
      <c r="D334" s="1009" t="s">
        <v>308</v>
      </c>
      <c r="E334" s="1015" t="s">
        <v>81</v>
      </c>
      <c r="F334" s="1415">
        <v>0</v>
      </c>
      <c r="G334" s="1413">
        <v>0</v>
      </c>
      <c r="H334" s="1014" t="s">
        <v>67</v>
      </c>
      <c r="I334" s="1014" t="s">
        <v>110</v>
      </c>
      <c r="J334" s="1014" t="s">
        <v>87</v>
      </c>
      <c r="K334" s="806"/>
    </row>
    <row r="335" spans="1:11" s="448" customFormat="1">
      <c r="A335" s="987" t="s">
        <v>546</v>
      </c>
      <c r="B335" s="988" t="s">
        <v>92</v>
      </c>
      <c r="C335" s="1110" t="s">
        <v>918</v>
      </c>
      <c r="D335" s="1009" t="s">
        <v>310</v>
      </c>
      <c r="E335" s="1015" t="s">
        <v>80</v>
      </c>
      <c r="F335" s="1412">
        <v>2000000000</v>
      </c>
      <c r="G335" s="1413">
        <v>0</v>
      </c>
      <c r="H335" s="1014" t="s">
        <v>10</v>
      </c>
      <c r="I335" s="1014" t="s">
        <v>114</v>
      </c>
      <c r="J335" s="1014" t="s">
        <v>92</v>
      </c>
      <c r="K335" s="806"/>
    </row>
    <row r="336" spans="1:11" s="448" customFormat="1">
      <c r="A336" s="987" t="s">
        <v>919</v>
      </c>
      <c r="B336" s="988" t="s">
        <v>85</v>
      </c>
      <c r="C336" s="1109" t="s">
        <v>920</v>
      </c>
      <c r="D336" s="1009" t="s">
        <v>308</v>
      </c>
      <c r="E336" s="1015" t="s">
        <v>80</v>
      </c>
      <c r="F336" s="1412">
        <v>7988772</v>
      </c>
      <c r="G336" s="1413">
        <v>0</v>
      </c>
      <c r="H336" s="1014" t="s">
        <v>10</v>
      </c>
      <c r="I336" s="1014" t="s">
        <v>110</v>
      </c>
      <c r="J336" s="1014" t="s">
        <v>85</v>
      </c>
      <c r="K336" s="806"/>
    </row>
    <row r="337" spans="1:12" s="448" customFormat="1">
      <c r="A337" s="987" t="s">
        <v>921</v>
      </c>
      <c r="B337" s="988" t="s">
        <v>155</v>
      </c>
      <c r="C337" s="1109" t="s">
        <v>922</v>
      </c>
      <c r="D337" s="1009" t="s">
        <v>308</v>
      </c>
      <c r="E337" s="1015" t="s">
        <v>80</v>
      </c>
      <c r="F337" s="1413">
        <v>0</v>
      </c>
      <c r="G337" s="1413">
        <v>0</v>
      </c>
      <c r="H337" s="1014" t="s">
        <v>10</v>
      </c>
      <c r="I337" s="1014" t="s">
        <v>110</v>
      </c>
      <c r="J337" s="1014" t="s">
        <v>87</v>
      </c>
      <c r="K337" s="806"/>
    </row>
    <row r="338" spans="1:12" s="448" customFormat="1">
      <c r="A338" s="987" t="s">
        <v>921</v>
      </c>
      <c r="B338" s="988" t="s">
        <v>155</v>
      </c>
      <c r="C338" s="1109" t="s">
        <v>923</v>
      </c>
      <c r="D338" s="1009" t="s">
        <v>308</v>
      </c>
      <c r="E338" s="1015" t="s">
        <v>81</v>
      </c>
      <c r="F338" s="1412">
        <v>0</v>
      </c>
      <c r="G338" s="1413">
        <v>0</v>
      </c>
      <c r="H338" s="1014" t="s">
        <v>10</v>
      </c>
      <c r="I338" s="1014" t="s">
        <v>110</v>
      </c>
      <c r="J338" s="1014" t="s">
        <v>87</v>
      </c>
      <c r="K338" s="806"/>
    </row>
    <row r="339" spans="1:12" s="448" customFormat="1">
      <c r="A339" s="987" t="s">
        <v>924</v>
      </c>
      <c r="B339" s="988" t="s">
        <v>85</v>
      </c>
      <c r="C339" s="1109" t="s">
        <v>925</v>
      </c>
      <c r="D339" s="1009" t="s">
        <v>308</v>
      </c>
      <c r="E339" s="1015" t="s">
        <v>80</v>
      </c>
      <c r="F339" s="1415">
        <v>95779453</v>
      </c>
      <c r="G339" s="1413">
        <v>0</v>
      </c>
      <c r="H339" s="1014" t="s">
        <v>10</v>
      </c>
      <c r="I339" s="1014" t="s">
        <v>110</v>
      </c>
      <c r="J339" s="1014" t="s">
        <v>85</v>
      </c>
      <c r="K339" s="806"/>
    </row>
    <row r="340" spans="1:12" s="448" customFormat="1">
      <c r="A340" s="987" t="s">
        <v>926</v>
      </c>
      <c r="B340" s="988" t="s">
        <v>194</v>
      </c>
      <c r="C340" s="1109" t="s">
        <v>927</v>
      </c>
      <c r="D340" s="1009" t="s">
        <v>308</v>
      </c>
      <c r="E340" s="1015" t="s">
        <v>80</v>
      </c>
      <c r="F340" s="1413">
        <v>8250555</v>
      </c>
      <c r="G340" s="1413">
        <v>0</v>
      </c>
      <c r="H340" s="1014" t="s">
        <v>10</v>
      </c>
      <c r="I340" s="1014" t="s">
        <v>112</v>
      </c>
      <c r="J340" s="1014" t="s">
        <v>194</v>
      </c>
      <c r="K340" s="806"/>
    </row>
    <row r="341" spans="1:12" s="448" customFormat="1">
      <c r="A341" s="987" t="s">
        <v>921</v>
      </c>
      <c r="B341" s="988" t="s">
        <v>195</v>
      </c>
      <c r="C341" s="1109" t="s">
        <v>928</v>
      </c>
      <c r="D341" s="1009" t="s">
        <v>308</v>
      </c>
      <c r="E341" s="1015" t="s">
        <v>80</v>
      </c>
      <c r="F341" s="1413">
        <v>1859029</v>
      </c>
      <c r="G341" s="1413">
        <v>0</v>
      </c>
      <c r="H341" s="1014" t="s">
        <v>10</v>
      </c>
      <c r="I341" s="1014" t="s">
        <v>112</v>
      </c>
      <c r="J341" s="1014" t="s">
        <v>195</v>
      </c>
      <c r="K341" s="806"/>
    </row>
    <row r="342" spans="1:12" s="448" customFormat="1">
      <c r="A342" s="987" t="s">
        <v>926</v>
      </c>
      <c r="B342" s="988" t="s">
        <v>92</v>
      </c>
      <c r="C342" s="1109" t="s">
        <v>929</v>
      </c>
      <c r="D342" s="1009" t="s">
        <v>308</v>
      </c>
      <c r="E342" s="1015" t="s">
        <v>80</v>
      </c>
      <c r="F342" s="1413">
        <v>452889558</v>
      </c>
      <c r="G342" s="1413">
        <v>0</v>
      </c>
      <c r="H342" s="1014" t="s">
        <v>10</v>
      </c>
      <c r="I342" s="1014" t="s">
        <v>114</v>
      </c>
      <c r="J342" s="1014" t="s">
        <v>92</v>
      </c>
      <c r="K342" s="806"/>
    </row>
    <row r="343" spans="1:12" s="448" customFormat="1">
      <c r="A343" s="987" t="s">
        <v>888</v>
      </c>
      <c r="B343" s="988" t="s">
        <v>92</v>
      </c>
      <c r="C343" s="1109" t="s">
        <v>930</v>
      </c>
      <c r="D343" s="1009" t="s">
        <v>307</v>
      </c>
      <c r="E343" s="1015" t="s">
        <v>81</v>
      </c>
      <c r="F343" s="1412">
        <v>0</v>
      </c>
      <c r="G343" s="1413">
        <v>0</v>
      </c>
      <c r="H343" s="1014" t="s">
        <v>10</v>
      </c>
      <c r="I343" s="1014" t="s">
        <v>114</v>
      </c>
      <c r="J343" s="1014" t="s">
        <v>92</v>
      </c>
      <c r="K343" s="806"/>
      <c r="L343" s="806"/>
    </row>
    <row r="344" spans="1:12" s="448" customFormat="1">
      <c r="A344" s="987" t="s">
        <v>891</v>
      </c>
      <c r="B344" s="988" t="s">
        <v>92</v>
      </c>
      <c r="C344" s="1109" t="s">
        <v>931</v>
      </c>
      <c r="D344" s="1009" t="s">
        <v>308</v>
      </c>
      <c r="E344" s="1015" t="s">
        <v>81</v>
      </c>
      <c r="F344" s="1412">
        <v>0</v>
      </c>
      <c r="G344" s="1413">
        <v>0</v>
      </c>
      <c r="H344" s="1014" t="s">
        <v>10</v>
      </c>
      <c r="I344" s="1014" t="s">
        <v>114</v>
      </c>
      <c r="J344" s="1014" t="s">
        <v>92</v>
      </c>
      <c r="K344" s="806"/>
      <c r="L344" s="806"/>
    </row>
    <row r="345" spans="1:12" s="448" customFormat="1">
      <c r="A345" s="987" t="s">
        <v>888</v>
      </c>
      <c r="B345" s="988" t="s">
        <v>92</v>
      </c>
      <c r="C345" s="1109" t="s">
        <v>932</v>
      </c>
      <c r="D345" s="1009" t="s">
        <v>308</v>
      </c>
      <c r="E345" s="1015" t="s">
        <v>81</v>
      </c>
      <c r="F345" s="1413">
        <v>0</v>
      </c>
      <c r="G345" s="1413">
        <v>0</v>
      </c>
      <c r="H345" s="1014" t="s">
        <v>10</v>
      </c>
      <c r="I345" s="1014" t="s">
        <v>114</v>
      </c>
      <c r="J345" s="1014" t="s">
        <v>92</v>
      </c>
      <c r="K345" s="806"/>
      <c r="L345" s="806"/>
    </row>
    <row r="346" spans="1:12" s="448" customFormat="1">
      <c r="A346" s="987" t="s">
        <v>888</v>
      </c>
      <c r="B346" s="988" t="s">
        <v>92</v>
      </c>
      <c r="C346" s="1109" t="s">
        <v>933</v>
      </c>
      <c r="D346" s="1009" t="s">
        <v>309</v>
      </c>
      <c r="E346" s="1015" t="s">
        <v>81</v>
      </c>
      <c r="F346" s="1413">
        <v>0</v>
      </c>
      <c r="G346" s="1413">
        <v>0</v>
      </c>
      <c r="H346" s="1014" t="s">
        <v>10</v>
      </c>
      <c r="I346" s="1014" t="s">
        <v>114</v>
      </c>
      <c r="J346" s="1014" t="s">
        <v>92</v>
      </c>
      <c r="K346" s="806"/>
      <c r="L346" s="806"/>
    </row>
    <row r="347" spans="1:12" s="448" customFormat="1">
      <c r="A347" s="987" t="s">
        <v>905</v>
      </c>
      <c r="B347" s="988" t="s">
        <v>803</v>
      </c>
      <c r="C347" s="1109" t="s">
        <v>934</v>
      </c>
      <c r="D347" s="1009" t="s">
        <v>309</v>
      </c>
      <c r="E347" s="1015" t="s">
        <v>81</v>
      </c>
      <c r="F347" s="1413">
        <v>0</v>
      </c>
      <c r="G347" s="1413">
        <v>0</v>
      </c>
      <c r="H347" s="1014" t="s">
        <v>10</v>
      </c>
      <c r="I347" s="1014" t="s">
        <v>202</v>
      </c>
      <c r="J347" s="1014" t="s">
        <v>202</v>
      </c>
      <c r="K347" s="806"/>
      <c r="L347" s="806"/>
    </row>
    <row r="348" spans="1:12" s="448" customFormat="1">
      <c r="A348" s="987" t="s">
        <v>897</v>
      </c>
      <c r="B348" s="988" t="s">
        <v>803</v>
      </c>
      <c r="C348" s="1109" t="s">
        <v>935</v>
      </c>
      <c r="D348" s="1009" t="s">
        <v>309</v>
      </c>
      <c r="E348" s="1015" t="s">
        <v>81</v>
      </c>
      <c r="F348" s="1413">
        <v>0</v>
      </c>
      <c r="G348" s="1413">
        <v>0</v>
      </c>
      <c r="H348" s="1014" t="s">
        <v>10</v>
      </c>
      <c r="I348" s="1014" t="s">
        <v>202</v>
      </c>
      <c r="J348" s="1014" t="s">
        <v>202</v>
      </c>
      <c r="K348" s="806"/>
      <c r="L348" s="806"/>
    </row>
    <row r="349" spans="1:12" s="448" customFormat="1">
      <c r="A349" s="987" t="s">
        <v>688</v>
      </c>
      <c r="B349" s="988" t="s">
        <v>95</v>
      </c>
      <c r="C349" s="1109" t="s">
        <v>936</v>
      </c>
      <c r="D349" s="1009" t="s">
        <v>308</v>
      </c>
      <c r="E349" s="1015" t="s">
        <v>80</v>
      </c>
      <c r="F349" s="1413">
        <v>2036832</v>
      </c>
      <c r="G349" s="1413">
        <v>0</v>
      </c>
      <c r="H349" s="1014" t="s">
        <v>10</v>
      </c>
      <c r="I349" s="1014" t="s">
        <v>116</v>
      </c>
      <c r="J349" s="1014" t="s">
        <v>95</v>
      </c>
      <c r="K349" s="806"/>
    </row>
    <row r="350" spans="1:12" s="448" customFormat="1">
      <c r="A350" s="987" t="s">
        <v>770</v>
      </c>
      <c r="B350" s="988" t="s">
        <v>95</v>
      </c>
      <c r="C350" s="1109" t="s">
        <v>937</v>
      </c>
      <c r="D350" s="1009" t="s">
        <v>308</v>
      </c>
      <c r="E350" s="1015" t="s">
        <v>80</v>
      </c>
      <c r="F350" s="1413">
        <v>48749322</v>
      </c>
      <c r="G350" s="1413">
        <v>0</v>
      </c>
      <c r="H350" s="1014" t="s">
        <v>10</v>
      </c>
      <c r="I350" s="1014" t="s">
        <v>116</v>
      </c>
      <c r="J350" s="1014" t="s">
        <v>95</v>
      </c>
      <c r="K350" s="806"/>
    </row>
    <row r="351" spans="1:12" s="448" customFormat="1">
      <c r="A351" s="987" t="s">
        <v>782</v>
      </c>
      <c r="B351" s="988" t="s">
        <v>95</v>
      </c>
      <c r="C351" s="1109" t="s">
        <v>938</v>
      </c>
      <c r="D351" s="1009" t="s">
        <v>308</v>
      </c>
      <c r="E351" s="1015" t="s">
        <v>80</v>
      </c>
      <c r="F351" s="1414">
        <v>2230616</v>
      </c>
      <c r="G351" s="1413">
        <v>0</v>
      </c>
      <c r="H351" s="1014" t="s">
        <v>10</v>
      </c>
      <c r="I351" s="1014" t="s">
        <v>116</v>
      </c>
      <c r="J351" s="1014" t="s">
        <v>95</v>
      </c>
      <c r="K351" s="806"/>
    </row>
    <row r="352" spans="1:12" s="448" customFormat="1">
      <c r="A352" s="987" t="s">
        <v>768</v>
      </c>
      <c r="B352" s="988" t="s">
        <v>95</v>
      </c>
      <c r="C352" s="1109" t="s">
        <v>939</v>
      </c>
      <c r="D352" s="1009" t="s">
        <v>308</v>
      </c>
      <c r="E352" s="1015" t="s">
        <v>80</v>
      </c>
      <c r="F352" s="1413">
        <v>1456409</v>
      </c>
      <c r="G352" s="1413">
        <v>0</v>
      </c>
      <c r="H352" s="1014" t="s">
        <v>10</v>
      </c>
      <c r="I352" s="1014" t="s">
        <v>116</v>
      </c>
      <c r="J352" s="1014" t="s">
        <v>95</v>
      </c>
      <c r="K352" s="806"/>
    </row>
    <row r="353" spans="1:11" s="448" customFormat="1">
      <c r="A353" s="987" t="s">
        <v>676</v>
      </c>
      <c r="B353" s="988" t="s">
        <v>95</v>
      </c>
      <c r="C353" s="1109" t="s">
        <v>940</v>
      </c>
      <c r="D353" s="1009" t="s">
        <v>308</v>
      </c>
      <c r="E353" s="1015" t="s">
        <v>80</v>
      </c>
      <c r="F353" s="1413">
        <v>4083484</v>
      </c>
      <c r="G353" s="1413">
        <v>0</v>
      </c>
      <c r="H353" s="1014" t="s">
        <v>10</v>
      </c>
      <c r="I353" s="1014" t="s">
        <v>116</v>
      </c>
      <c r="J353" s="1014" t="s">
        <v>95</v>
      </c>
      <c r="K353" s="806"/>
    </row>
    <row r="354" spans="1:11" s="448" customFormat="1">
      <c r="A354" s="987" t="s">
        <v>718</v>
      </c>
      <c r="B354" s="988" t="s">
        <v>95</v>
      </c>
      <c r="C354" s="1109" t="s">
        <v>941</v>
      </c>
      <c r="D354" s="1009" t="s">
        <v>308</v>
      </c>
      <c r="E354" s="1015" t="s">
        <v>80</v>
      </c>
      <c r="F354" s="1415">
        <v>5558178</v>
      </c>
      <c r="G354" s="1413">
        <v>0</v>
      </c>
      <c r="H354" s="1014" t="s">
        <v>10</v>
      </c>
      <c r="I354" s="1014" t="s">
        <v>116</v>
      </c>
      <c r="J354" s="1014" t="s">
        <v>95</v>
      </c>
      <c r="K354" s="806"/>
    </row>
    <row r="355" spans="1:11" s="448" customFormat="1">
      <c r="A355" s="987" t="s">
        <v>732</v>
      </c>
      <c r="B355" s="988" t="s">
        <v>95</v>
      </c>
      <c r="C355" s="1109" t="s">
        <v>942</v>
      </c>
      <c r="D355" s="1009" t="s">
        <v>308</v>
      </c>
      <c r="E355" s="1015" t="s">
        <v>80</v>
      </c>
      <c r="F355" s="1413">
        <v>9809226</v>
      </c>
      <c r="G355" s="1413">
        <v>0</v>
      </c>
      <c r="H355" s="1014" t="s">
        <v>10</v>
      </c>
      <c r="I355" s="1014" t="s">
        <v>116</v>
      </c>
      <c r="J355" s="1014" t="s">
        <v>95</v>
      </c>
      <c r="K355" s="806"/>
    </row>
    <row r="356" spans="1:11" s="448" customFormat="1">
      <c r="A356" s="987" t="s">
        <v>943</v>
      </c>
      <c r="B356" s="988" t="s">
        <v>85</v>
      </c>
      <c r="C356" s="1109" t="s">
        <v>944</v>
      </c>
      <c r="D356" s="1009" t="s">
        <v>308</v>
      </c>
      <c r="E356" s="1015" t="s">
        <v>80</v>
      </c>
      <c r="F356" s="1413">
        <v>96777040</v>
      </c>
      <c r="G356" s="1413">
        <v>0</v>
      </c>
      <c r="H356" s="1014" t="s">
        <v>10</v>
      </c>
      <c r="I356" s="1014" t="s">
        <v>110</v>
      </c>
      <c r="J356" s="1014" t="s">
        <v>85</v>
      </c>
      <c r="K356" s="806"/>
    </row>
    <row r="357" spans="1:11" s="448" customFormat="1">
      <c r="A357" s="987" t="s">
        <v>945</v>
      </c>
      <c r="B357" s="988" t="s">
        <v>85</v>
      </c>
      <c r="C357" s="1109" t="s">
        <v>946</v>
      </c>
      <c r="D357" s="1009" t="s">
        <v>308</v>
      </c>
      <c r="E357" s="1015" t="s">
        <v>80</v>
      </c>
      <c r="F357" s="1412">
        <v>98259109</v>
      </c>
      <c r="G357" s="1413">
        <v>0</v>
      </c>
      <c r="H357" s="1014" t="s">
        <v>10</v>
      </c>
      <c r="I357" s="1014" t="s">
        <v>110</v>
      </c>
      <c r="J357" s="1014" t="s">
        <v>85</v>
      </c>
      <c r="K357" s="806"/>
    </row>
    <row r="358" spans="1:11" s="448" customFormat="1">
      <c r="A358" s="987" t="s">
        <v>947</v>
      </c>
      <c r="B358" s="988" t="s">
        <v>85</v>
      </c>
      <c r="C358" s="1109" t="s">
        <v>948</v>
      </c>
      <c r="D358" s="1009" t="s">
        <v>308</v>
      </c>
      <c r="E358" s="1015" t="s">
        <v>80</v>
      </c>
      <c r="F358" s="1413">
        <v>96777150</v>
      </c>
      <c r="G358" s="1413">
        <v>0</v>
      </c>
      <c r="H358" s="1014" t="s">
        <v>10</v>
      </c>
      <c r="I358" s="1014" t="s">
        <v>110</v>
      </c>
      <c r="J358" s="1014" t="s">
        <v>85</v>
      </c>
      <c r="K358" s="806"/>
    </row>
    <row r="359" spans="1:11" s="448" customFormat="1">
      <c r="A359" s="987" t="s">
        <v>949</v>
      </c>
      <c r="B359" s="988" t="s">
        <v>85</v>
      </c>
      <c r="C359" s="1109" t="s">
        <v>950</v>
      </c>
      <c r="D359" s="1009" t="s">
        <v>308</v>
      </c>
      <c r="E359" s="1015" t="s">
        <v>80</v>
      </c>
      <c r="F359" s="1413">
        <v>51777217</v>
      </c>
      <c r="G359" s="1413">
        <v>0</v>
      </c>
      <c r="H359" s="1014" t="s">
        <v>10</v>
      </c>
      <c r="I359" s="1014" t="s">
        <v>110</v>
      </c>
      <c r="J359" s="1014" t="s">
        <v>85</v>
      </c>
      <c r="K359" s="806"/>
    </row>
    <row r="360" spans="1:11" s="448" customFormat="1">
      <c r="A360" s="987" t="s">
        <v>951</v>
      </c>
      <c r="B360" s="988" t="s">
        <v>85</v>
      </c>
      <c r="C360" s="1109" t="s">
        <v>952</v>
      </c>
      <c r="D360" s="1009" t="s">
        <v>308</v>
      </c>
      <c r="E360" s="1015" t="s">
        <v>80</v>
      </c>
      <c r="F360" s="1413">
        <v>102521114</v>
      </c>
      <c r="G360" s="1413">
        <v>0</v>
      </c>
      <c r="H360" s="1014" t="s">
        <v>10</v>
      </c>
      <c r="I360" s="1014" t="s">
        <v>110</v>
      </c>
      <c r="J360" s="1014" t="s">
        <v>85</v>
      </c>
      <c r="K360" s="806"/>
    </row>
    <row r="361" spans="1:11" s="448" customFormat="1">
      <c r="A361" s="987" t="s">
        <v>953</v>
      </c>
      <c r="B361" s="988" t="s">
        <v>92</v>
      </c>
      <c r="C361" s="1109" t="s">
        <v>954</v>
      </c>
      <c r="D361" s="1009" t="s">
        <v>308</v>
      </c>
      <c r="E361" s="1015" t="s">
        <v>80</v>
      </c>
      <c r="F361" s="1413">
        <v>10662191</v>
      </c>
      <c r="G361" s="1413">
        <v>0</v>
      </c>
      <c r="H361" s="1014" t="s">
        <v>10</v>
      </c>
      <c r="I361" s="1014" t="s">
        <v>114</v>
      </c>
      <c r="J361" s="1014" t="s">
        <v>92</v>
      </c>
      <c r="K361" s="806"/>
    </row>
    <row r="362" spans="1:11" s="448" customFormat="1">
      <c r="A362" s="987" t="s">
        <v>955</v>
      </c>
      <c r="B362" s="988" t="s">
        <v>85</v>
      </c>
      <c r="C362" s="1109" t="s">
        <v>956</v>
      </c>
      <c r="D362" s="1009" t="s">
        <v>308</v>
      </c>
      <c r="E362" s="1015" t="s">
        <v>80</v>
      </c>
      <c r="F362" s="1413">
        <v>4618400</v>
      </c>
      <c r="G362" s="1413">
        <v>0</v>
      </c>
      <c r="H362" s="1014" t="s">
        <v>10</v>
      </c>
      <c r="I362" s="1014" t="s">
        <v>110</v>
      </c>
      <c r="J362" s="1014" t="s">
        <v>85</v>
      </c>
      <c r="K362" s="806"/>
    </row>
    <row r="363" spans="1:11" s="448" customFormat="1">
      <c r="A363" s="987" t="s">
        <v>957</v>
      </c>
      <c r="B363" s="988" t="s">
        <v>85</v>
      </c>
      <c r="C363" s="1109" t="s">
        <v>958</v>
      </c>
      <c r="D363" s="1009" t="s">
        <v>308</v>
      </c>
      <c r="E363" s="1015" t="s">
        <v>80</v>
      </c>
      <c r="F363" s="1414">
        <v>4620472</v>
      </c>
      <c r="G363" s="1413">
        <v>0</v>
      </c>
      <c r="H363" s="1014" t="s">
        <v>10</v>
      </c>
      <c r="I363" s="1014" t="s">
        <v>110</v>
      </c>
      <c r="J363" s="1014" t="s">
        <v>85</v>
      </c>
      <c r="K363" s="806"/>
    </row>
    <row r="364" spans="1:11" s="448" customFormat="1">
      <c r="A364" s="987" t="s">
        <v>959</v>
      </c>
      <c r="B364" s="988" t="s">
        <v>85</v>
      </c>
      <c r="C364" s="1109" t="s">
        <v>960</v>
      </c>
      <c r="D364" s="1009" t="s">
        <v>308</v>
      </c>
      <c r="E364" s="1015" t="s">
        <v>80</v>
      </c>
      <c r="F364" s="1414">
        <v>240046434</v>
      </c>
      <c r="G364" s="1413">
        <v>0</v>
      </c>
      <c r="H364" s="1014" t="s">
        <v>10</v>
      </c>
      <c r="I364" s="1014" t="s">
        <v>110</v>
      </c>
      <c r="J364" s="1014" t="s">
        <v>85</v>
      </c>
      <c r="K364" s="806"/>
    </row>
    <row r="365" spans="1:11" s="448" customFormat="1">
      <c r="A365" s="987" t="s">
        <v>959</v>
      </c>
      <c r="B365" s="988" t="s">
        <v>85</v>
      </c>
      <c r="C365" s="1109" t="s">
        <v>961</v>
      </c>
      <c r="D365" s="1009" t="s">
        <v>308</v>
      </c>
      <c r="E365" s="1015" t="s">
        <v>81</v>
      </c>
      <c r="F365" s="1413">
        <v>0</v>
      </c>
      <c r="G365" s="1413">
        <v>0</v>
      </c>
      <c r="H365" s="1014" t="s">
        <v>10</v>
      </c>
      <c r="I365" s="1014" t="s">
        <v>110</v>
      </c>
      <c r="J365" s="1014" t="s">
        <v>85</v>
      </c>
      <c r="K365" s="806"/>
    </row>
    <row r="366" spans="1:11" s="448" customFormat="1">
      <c r="A366" s="987" t="s">
        <v>532</v>
      </c>
      <c r="B366" s="988" t="s">
        <v>98</v>
      </c>
      <c r="C366" s="1109" t="s">
        <v>962</v>
      </c>
      <c r="D366" s="1009" t="s">
        <v>310</v>
      </c>
      <c r="E366" s="1015" t="s">
        <v>80</v>
      </c>
      <c r="F366" s="1414">
        <v>5633098111</v>
      </c>
      <c r="G366" s="1413">
        <v>0</v>
      </c>
      <c r="H366" s="1014" t="s">
        <v>10</v>
      </c>
      <c r="I366" s="1014" t="s">
        <v>198</v>
      </c>
      <c r="J366" s="1014" t="s">
        <v>98</v>
      </c>
      <c r="K366" s="806"/>
    </row>
    <row r="367" spans="1:11" s="448" customFormat="1">
      <c r="A367" s="987" t="s">
        <v>469</v>
      </c>
      <c r="B367" s="988" t="s">
        <v>803</v>
      </c>
      <c r="C367" s="1109" t="s">
        <v>963</v>
      </c>
      <c r="D367" s="1009" t="s">
        <v>308</v>
      </c>
      <c r="E367" s="1015" t="s">
        <v>81</v>
      </c>
      <c r="F367" s="1413">
        <v>0</v>
      </c>
      <c r="G367" s="1413">
        <v>950</v>
      </c>
      <c r="H367" s="1014" t="s">
        <v>8</v>
      </c>
      <c r="I367" s="1014" t="s">
        <v>202</v>
      </c>
      <c r="J367" s="1014" t="s">
        <v>202</v>
      </c>
      <c r="K367" s="806"/>
    </row>
    <row r="368" spans="1:11" s="448" customFormat="1">
      <c r="A368" s="987" t="s">
        <v>964</v>
      </c>
      <c r="B368" s="988" t="s">
        <v>92</v>
      </c>
      <c r="C368" s="1109" t="s">
        <v>965</v>
      </c>
      <c r="D368" s="1009" t="s">
        <v>308</v>
      </c>
      <c r="E368" s="1015" t="s">
        <v>80</v>
      </c>
      <c r="F368" s="1413">
        <v>72720846</v>
      </c>
      <c r="G368" s="1413">
        <v>0</v>
      </c>
      <c r="H368" s="1014" t="s">
        <v>10</v>
      </c>
      <c r="I368" s="1014" t="s">
        <v>114</v>
      </c>
      <c r="J368" s="1014" t="s">
        <v>92</v>
      </c>
      <c r="K368" s="806"/>
    </row>
    <row r="369" spans="1:11" s="448" customFormat="1">
      <c r="A369" s="987" t="s">
        <v>966</v>
      </c>
      <c r="B369" s="988" t="s">
        <v>85</v>
      </c>
      <c r="C369" s="1109" t="s">
        <v>967</v>
      </c>
      <c r="D369" s="1009" t="s">
        <v>308</v>
      </c>
      <c r="E369" s="1015" t="s">
        <v>80</v>
      </c>
      <c r="F369" s="1413">
        <v>6547117</v>
      </c>
      <c r="G369" s="1413">
        <v>0</v>
      </c>
      <c r="H369" s="1014" t="s">
        <v>10</v>
      </c>
      <c r="I369" s="1014" t="s">
        <v>110</v>
      </c>
      <c r="J369" s="1014" t="s">
        <v>85</v>
      </c>
      <c r="K369" s="806"/>
    </row>
    <row r="370" spans="1:11" s="448" customFormat="1">
      <c r="A370" s="987" t="s">
        <v>506</v>
      </c>
      <c r="B370" s="988" t="s">
        <v>85</v>
      </c>
      <c r="C370" s="1109" t="s">
        <v>968</v>
      </c>
      <c r="D370" s="1009" t="s">
        <v>310</v>
      </c>
      <c r="E370" s="1015" t="s">
        <v>80</v>
      </c>
      <c r="F370" s="1412">
        <v>0</v>
      </c>
      <c r="G370" s="1413">
        <v>0</v>
      </c>
      <c r="H370" s="1014" t="s">
        <v>10</v>
      </c>
      <c r="I370" s="1014" t="s">
        <v>110</v>
      </c>
      <c r="J370" s="1014" t="s">
        <v>85</v>
      </c>
      <c r="K370" s="806"/>
    </row>
    <row r="371" spans="1:11" s="448" customFormat="1">
      <c r="A371" s="987" t="s">
        <v>801</v>
      </c>
      <c r="B371" s="988" t="s">
        <v>89</v>
      </c>
      <c r="C371" s="1109" t="s">
        <v>969</v>
      </c>
      <c r="D371" s="1009" t="s">
        <v>310</v>
      </c>
      <c r="E371" s="1015" t="s">
        <v>80</v>
      </c>
      <c r="F371" s="1413">
        <v>0</v>
      </c>
      <c r="G371" s="1413">
        <v>0</v>
      </c>
      <c r="H371" s="1014" t="s">
        <v>10</v>
      </c>
      <c r="I371" s="1014" t="s">
        <v>112</v>
      </c>
      <c r="J371" s="1014" t="s">
        <v>89</v>
      </c>
      <c r="K371" s="806"/>
    </row>
    <row r="372" spans="1:11" s="448" customFormat="1">
      <c r="A372" s="987" t="s">
        <v>970</v>
      </c>
      <c r="B372" s="988" t="s">
        <v>971</v>
      </c>
      <c r="C372" s="1109" t="s">
        <v>972</v>
      </c>
      <c r="D372" s="1009" t="s">
        <v>308</v>
      </c>
      <c r="E372" s="1015" t="s">
        <v>80</v>
      </c>
      <c r="F372" s="1413">
        <v>1784661904</v>
      </c>
      <c r="G372" s="1413">
        <v>0</v>
      </c>
      <c r="H372" s="1014" t="s">
        <v>10</v>
      </c>
      <c r="I372" s="1014" t="s">
        <v>259</v>
      </c>
      <c r="J372" s="1014" t="s">
        <v>99</v>
      </c>
      <c r="K372" s="806"/>
    </row>
    <row r="373" spans="1:11" s="448" customFormat="1">
      <c r="A373" s="987" t="s">
        <v>582</v>
      </c>
      <c r="B373" s="988" t="s">
        <v>338</v>
      </c>
      <c r="C373" s="1109" t="s">
        <v>973</v>
      </c>
      <c r="D373" s="1009" t="s">
        <v>308</v>
      </c>
      <c r="E373" s="1015" t="s">
        <v>80</v>
      </c>
      <c r="F373" s="1413">
        <v>1560960116</v>
      </c>
      <c r="G373" s="1413">
        <v>0</v>
      </c>
      <c r="H373" s="1014" t="s">
        <v>67</v>
      </c>
      <c r="I373" s="1014" t="s">
        <v>199</v>
      </c>
      <c r="J373" s="1014" t="s">
        <v>338</v>
      </c>
      <c r="K373" s="806"/>
    </row>
    <row r="374" spans="1:11" s="448" customFormat="1">
      <c r="A374" s="987" t="s">
        <v>582</v>
      </c>
      <c r="B374" s="988" t="s">
        <v>803</v>
      </c>
      <c r="C374" s="1109" t="s">
        <v>974</v>
      </c>
      <c r="D374" s="1009" t="s">
        <v>308</v>
      </c>
      <c r="E374" s="1015" t="s">
        <v>80</v>
      </c>
      <c r="F374" s="1413">
        <v>11873011683</v>
      </c>
      <c r="G374" s="1413">
        <v>0</v>
      </c>
      <c r="H374" s="1014" t="s">
        <v>67</v>
      </c>
      <c r="I374" s="1014" t="s">
        <v>202</v>
      </c>
      <c r="J374" s="1014" t="s">
        <v>202</v>
      </c>
      <c r="K374" s="806"/>
    </row>
    <row r="375" spans="1:11" s="448" customFormat="1">
      <c r="A375" s="987" t="s">
        <v>582</v>
      </c>
      <c r="B375" s="988" t="s">
        <v>803</v>
      </c>
      <c r="C375" s="1109" t="s">
        <v>975</v>
      </c>
      <c r="D375" s="1009" t="s">
        <v>308</v>
      </c>
      <c r="E375" s="1015" t="s">
        <v>81</v>
      </c>
      <c r="F375" s="1413">
        <v>0</v>
      </c>
      <c r="G375" s="1413">
        <v>0</v>
      </c>
      <c r="H375" s="1014" t="s">
        <v>67</v>
      </c>
      <c r="I375" s="1014" t="s">
        <v>202</v>
      </c>
      <c r="J375" s="1014" t="s">
        <v>202</v>
      </c>
      <c r="K375" s="806"/>
    </row>
    <row r="376" spans="1:11" s="448" customFormat="1">
      <c r="A376" s="987" t="s">
        <v>582</v>
      </c>
      <c r="B376" s="988" t="s">
        <v>98</v>
      </c>
      <c r="C376" s="1109" t="s">
        <v>976</v>
      </c>
      <c r="D376" s="1009" t="s">
        <v>308</v>
      </c>
      <c r="E376" s="1015" t="s">
        <v>80</v>
      </c>
      <c r="F376" s="1414">
        <v>74818921</v>
      </c>
      <c r="G376" s="1413">
        <v>0</v>
      </c>
      <c r="H376" s="1014" t="s">
        <v>67</v>
      </c>
      <c r="I376" s="1014" t="s">
        <v>198</v>
      </c>
      <c r="J376" s="1014" t="s">
        <v>98</v>
      </c>
      <c r="K376" s="806"/>
    </row>
    <row r="377" spans="1:11" s="448" customFormat="1">
      <c r="A377" s="987" t="s">
        <v>537</v>
      </c>
      <c r="B377" s="988" t="s">
        <v>96</v>
      </c>
      <c r="C377" s="1109" t="s">
        <v>977</v>
      </c>
      <c r="D377" s="1009" t="s">
        <v>308</v>
      </c>
      <c r="E377" s="1015" t="s">
        <v>80</v>
      </c>
      <c r="F377" s="1413">
        <v>2957197</v>
      </c>
      <c r="G377" s="1413">
        <v>0</v>
      </c>
      <c r="H377" s="1014" t="s">
        <v>10</v>
      </c>
      <c r="I377" s="1014" t="s">
        <v>118</v>
      </c>
      <c r="J377" s="1014" t="s">
        <v>96</v>
      </c>
      <c r="K377" s="806"/>
    </row>
    <row r="378" spans="1:11" s="448" customFormat="1">
      <c r="A378" s="987" t="s">
        <v>582</v>
      </c>
      <c r="B378" s="988" t="s">
        <v>803</v>
      </c>
      <c r="C378" s="1109" t="s">
        <v>978</v>
      </c>
      <c r="D378" s="1009" t="s">
        <v>308</v>
      </c>
      <c r="E378" s="1015" t="s">
        <v>81</v>
      </c>
      <c r="F378" s="1412">
        <v>0</v>
      </c>
      <c r="G378" s="1413">
        <v>2118.7299999999814</v>
      </c>
      <c r="H378" s="1014" t="s">
        <v>67</v>
      </c>
      <c r="I378" s="1014" t="s">
        <v>202</v>
      </c>
      <c r="J378" s="1014" t="s">
        <v>202</v>
      </c>
      <c r="K378" s="806"/>
    </row>
    <row r="379" spans="1:11" s="448" customFormat="1">
      <c r="A379" s="987" t="s">
        <v>979</v>
      </c>
      <c r="B379" s="988" t="s">
        <v>85</v>
      </c>
      <c r="C379" s="1109" t="s">
        <v>980</v>
      </c>
      <c r="D379" s="1009" t="s">
        <v>308</v>
      </c>
      <c r="E379" s="1015" t="s">
        <v>80</v>
      </c>
      <c r="F379" s="1413">
        <v>49010944</v>
      </c>
      <c r="G379" s="1413">
        <v>0</v>
      </c>
      <c r="H379" s="1014" t="s">
        <v>10</v>
      </c>
      <c r="I379" s="1014" t="s">
        <v>110</v>
      </c>
      <c r="J379" s="1014" t="s">
        <v>85</v>
      </c>
      <c r="K379" s="806"/>
    </row>
    <row r="380" spans="1:11" s="448" customFormat="1">
      <c r="A380" s="987" t="s">
        <v>981</v>
      </c>
      <c r="B380" s="988" t="s">
        <v>85</v>
      </c>
      <c r="C380" s="1109" t="s">
        <v>982</v>
      </c>
      <c r="D380" s="1009" t="s">
        <v>308</v>
      </c>
      <c r="E380" s="1015" t="s">
        <v>80</v>
      </c>
      <c r="F380" s="1412">
        <v>50313656</v>
      </c>
      <c r="G380" s="1413">
        <v>0</v>
      </c>
      <c r="H380" s="1014" t="s">
        <v>10</v>
      </c>
      <c r="I380" s="1014" t="s">
        <v>110</v>
      </c>
      <c r="J380" s="1014" t="s">
        <v>85</v>
      </c>
      <c r="K380" s="806"/>
    </row>
    <row r="381" spans="1:11" s="448" customFormat="1">
      <c r="A381" s="987" t="s">
        <v>983</v>
      </c>
      <c r="B381" s="988" t="s">
        <v>85</v>
      </c>
      <c r="C381" s="1109" t="s">
        <v>984</v>
      </c>
      <c r="D381" s="1009" t="s">
        <v>308</v>
      </c>
      <c r="E381" s="1015" t="s">
        <v>80</v>
      </c>
      <c r="F381" s="1413">
        <v>56840567</v>
      </c>
      <c r="G381" s="1413">
        <v>0</v>
      </c>
      <c r="H381" s="1014" t="s">
        <v>10</v>
      </c>
      <c r="I381" s="1014" t="s">
        <v>110</v>
      </c>
      <c r="J381" s="1014" t="s">
        <v>85</v>
      </c>
      <c r="K381" s="806"/>
    </row>
    <row r="382" spans="1:11" s="448" customFormat="1">
      <c r="A382" s="987" t="s">
        <v>985</v>
      </c>
      <c r="B382" s="988" t="s">
        <v>85</v>
      </c>
      <c r="C382" s="1109" t="s">
        <v>986</v>
      </c>
      <c r="D382" s="1009" t="s">
        <v>308</v>
      </c>
      <c r="E382" s="1015" t="s">
        <v>80</v>
      </c>
      <c r="F382" s="1412">
        <v>46900683</v>
      </c>
      <c r="G382" s="1413">
        <v>0</v>
      </c>
      <c r="H382" s="1014" t="s">
        <v>10</v>
      </c>
      <c r="I382" s="1014" t="s">
        <v>110</v>
      </c>
      <c r="J382" s="1014" t="s">
        <v>85</v>
      </c>
      <c r="K382" s="806"/>
    </row>
    <row r="383" spans="1:11" s="448" customFormat="1">
      <c r="A383" s="987" t="s">
        <v>987</v>
      </c>
      <c r="B383" s="988" t="s">
        <v>85</v>
      </c>
      <c r="C383" s="1109" t="s">
        <v>988</v>
      </c>
      <c r="D383" s="1009" t="s">
        <v>308</v>
      </c>
      <c r="E383" s="1015" t="s">
        <v>80</v>
      </c>
      <c r="F383" s="1413">
        <v>46900683</v>
      </c>
      <c r="G383" s="1413">
        <v>0</v>
      </c>
      <c r="H383" s="1014" t="s">
        <v>10</v>
      </c>
      <c r="I383" s="1014" t="s">
        <v>110</v>
      </c>
      <c r="J383" s="1014" t="s">
        <v>85</v>
      </c>
      <c r="K383" s="806"/>
    </row>
    <row r="384" spans="1:11" s="448" customFormat="1">
      <c r="A384" s="987" t="s">
        <v>754</v>
      </c>
      <c r="B384" s="988" t="s">
        <v>92</v>
      </c>
      <c r="C384" s="1109" t="s">
        <v>989</v>
      </c>
      <c r="D384" s="1009" t="s">
        <v>310</v>
      </c>
      <c r="E384" s="1015" t="s">
        <v>80</v>
      </c>
      <c r="F384" s="1414">
        <v>6000000000</v>
      </c>
      <c r="G384" s="1413">
        <v>0</v>
      </c>
      <c r="H384" s="1014" t="s">
        <v>10</v>
      </c>
      <c r="I384" s="1014" t="s">
        <v>114</v>
      </c>
      <c r="J384" s="1014" t="s">
        <v>92</v>
      </c>
      <c r="K384" s="806"/>
    </row>
    <row r="385" spans="1:11" s="448" customFormat="1">
      <c r="A385" s="987" t="s">
        <v>506</v>
      </c>
      <c r="B385" s="988" t="s">
        <v>85</v>
      </c>
      <c r="C385" s="1109" t="s">
        <v>990</v>
      </c>
      <c r="D385" s="1009" t="s">
        <v>310</v>
      </c>
      <c r="E385" s="1015" t="s">
        <v>80</v>
      </c>
      <c r="F385" s="1413">
        <v>7000000000</v>
      </c>
      <c r="G385" s="1413">
        <v>0</v>
      </c>
      <c r="H385" s="1014" t="s">
        <v>10</v>
      </c>
      <c r="I385" s="1014" t="s">
        <v>110</v>
      </c>
      <c r="J385" s="1014" t="s">
        <v>85</v>
      </c>
      <c r="K385" s="806"/>
    </row>
    <row r="386" spans="1:11" s="448" customFormat="1">
      <c r="A386" s="987" t="s">
        <v>506</v>
      </c>
      <c r="B386" s="988" t="s">
        <v>85</v>
      </c>
      <c r="C386" s="1109" t="s">
        <v>991</v>
      </c>
      <c r="D386" s="1009" t="s">
        <v>310</v>
      </c>
      <c r="E386" s="1015" t="s">
        <v>80</v>
      </c>
      <c r="F386" s="1414">
        <v>0</v>
      </c>
      <c r="G386" s="1413">
        <v>0</v>
      </c>
      <c r="H386" s="1014" t="s">
        <v>10</v>
      </c>
      <c r="I386" s="1014" t="s">
        <v>110</v>
      </c>
      <c r="J386" s="1014" t="s">
        <v>85</v>
      </c>
      <c r="K386" s="806"/>
    </row>
    <row r="387" spans="1:11" s="448" customFormat="1">
      <c r="A387" s="987" t="s">
        <v>886</v>
      </c>
      <c r="B387" s="988" t="s">
        <v>155</v>
      </c>
      <c r="C387" s="1109" t="s">
        <v>992</v>
      </c>
      <c r="D387" s="1009" t="s">
        <v>308</v>
      </c>
      <c r="E387" s="1015" t="s">
        <v>80</v>
      </c>
      <c r="F387" s="1414">
        <v>1545130659</v>
      </c>
      <c r="G387" s="1413">
        <v>0</v>
      </c>
      <c r="H387" s="1014" t="s">
        <v>10</v>
      </c>
      <c r="I387" s="1014" t="s">
        <v>110</v>
      </c>
      <c r="J387" s="1014" t="s">
        <v>87</v>
      </c>
      <c r="K387" s="806"/>
    </row>
    <row r="388" spans="1:11" s="448" customFormat="1">
      <c r="A388" s="987" t="s">
        <v>993</v>
      </c>
      <c r="B388" s="988" t="s">
        <v>201</v>
      </c>
      <c r="C388" s="1109" t="s">
        <v>994</v>
      </c>
      <c r="D388" s="1009" t="s">
        <v>308</v>
      </c>
      <c r="E388" s="1015" t="s">
        <v>80</v>
      </c>
      <c r="F388" s="1414">
        <v>260732649</v>
      </c>
      <c r="G388" s="1413">
        <v>0</v>
      </c>
      <c r="H388" s="1014" t="s">
        <v>10</v>
      </c>
      <c r="I388" s="1014" t="s">
        <v>258</v>
      </c>
      <c r="J388" s="1014" t="s">
        <v>201</v>
      </c>
      <c r="K388" s="806"/>
    </row>
    <row r="389" spans="1:11" s="448" customFormat="1">
      <c r="A389" s="987" t="s">
        <v>499</v>
      </c>
      <c r="B389" s="988" t="s">
        <v>85</v>
      </c>
      <c r="C389" s="1109" t="s">
        <v>995</v>
      </c>
      <c r="D389" s="1009" t="s">
        <v>310</v>
      </c>
      <c r="E389" s="1015" t="s">
        <v>80</v>
      </c>
      <c r="F389" s="1413">
        <v>0</v>
      </c>
      <c r="G389" s="1413">
        <v>0</v>
      </c>
      <c r="H389" s="1014" t="s">
        <v>10</v>
      </c>
      <c r="I389" s="1014" t="s">
        <v>110</v>
      </c>
      <c r="J389" s="1014" t="s">
        <v>85</v>
      </c>
      <c r="K389" s="806"/>
    </row>
    <row r="390" spans="1:11" s="448" customFormat="1">
      <c r="A390" s="987" t="s">
        <v>499</v>
      </c>
      <c r="B390" s="988" t="s">
        <v>85</v>
      </c>
      <c r="C390" s="1109" t="s">
        <v>996</v>
      </c>
      <c r="D390" s="1009" t="s">
        <v>310</v>
      </c>
      <c r="E390" s="1015" t="s">
        <v>80</v>
      </c>
      <c r="F390" s="1414">
        <v>0</v>
      </c>
      <c r="G390" s="1413">
        <v>0</v>
      </c>
      <c r="H390" s="1014" t="s">
        <v>10</v>
      </c>
      <c r="I390" s="1014" t="s">
        <v>110</v>
      </c>
      <c r="J390" s="1014" t="s">
        <v>85</v>
      </c>
      <c r="K390" s="806"/>
    </row>
    <row r="391" spans="1:11" s="448" customFormat="1">
      <c r="A391" s="987" t="s">
        <v>754</v>
      </c>
      <c r="B391" s="988" t="s">
        <v>92</v>
      </c>
      <c r="C391" s="1109" t="s">
        <v>997</v>
      </c>
      <c r="D391" s="1009" t="s">
        <v>310</v>
      </c>
      <c r="E391" s="1015" t="s">
        <v>80</v>
      </c>
      <c r="F391" s="1414">
        <v>5000000000</v>
      </c>
      <c r="G391" s="1413">
        <v>0</v>
      </c>
      <c r="H391" s="1014" t="s">
        <v>10</v>
      </c>
      <c r="I391" s="1014" t="s">
        <v>114</v>
      </c>
      <c r="J391" s="1014" t="s">
        <v>92</v>
      </c>
      <c r="K391" s="806"/>
    </row>
    <row r="392" spans="1:11" s="448" customFormat="1">
      <c r="A392" s="987" t="s">
        <v>718</v>
      </c>
      <c r="B392" s="988" t="s">
        <v>155</v>
      </c>
      <c r="C392" s="1109" t="s">
        <v>998</v>
      </c>
      <c r="D392" s="1009" t="s">
        <v>308</v>
      </c>
      <c r="E392" s="1015" t="s">
        <v>80</v>
      </c>
      <c r="F392" s="1413">
        <v>38318151</v>
      </c>
      <c r="G392" s="1413">
        <v>0</v>
      </c>
      <c r="H392" s="1014" t="s">
        <v>10</v>
      </c>
      <c r="I392" s="1014" t="s">
        <v>110</v>
      </c>
      <c r="J392" s="1014" t="s">
        <v>87</v>
      </c>
      <c r="K392" s="806"/>
    </row>
    <row r="393" spans="1:11" s="448" customFormat="1">
      <c r="A393" s="987" t="s">
        <v>732</v>
      </c>
      <c r="B393" s="988" t="s">
        <v>155</v>
      </c>
      <c r="C393" s="1109" t="s">
        <v>999</v>
      </c>
      <c r="D393" s="1009" t="s">
        <v>308</v>
      </c>
      <c r="E393" s="1015" t="s">
        <v>80</v>
      </c>
      <c r="F393" s="1413">
        <v>41600730</v>
      </c>
      <c r="G393" s="1413">
        <v>0</v>
      </c>
      <c r="H393" s="1014" t="s">
        <v>10</v>
      </c>
      <c r="I393" s="1014" t="s">
        <v>110</v>
      </c>
      <c r="J393" s="1014" t="s">
        <v>87</v>
      </c>
      <c r="K393" s="806"/>
    </row>
    <row r="394" spans="1:11" s="448" customFormat="1">
      <c r="A394" s="987" t="s">
        <v>761</v>
      </c>
      <c r="B394" s="988" t="s">
        <v>89</v>
      </c>
      <c r="C394" s="1109" t="s">
        <v>1000</v>
      </c>
      <c r="D394" s="1009" t="s">
        <v>308</v>
      </c>
      <c r="E394" s="1015" t="s">
        <v>80</v>
      </c>
      <c r="F394" s="1413">
        <v>8783674159</v>
      </c>
      <c r="G394" s="1413">
        <v>0</v>
      </c>
      <c r="H394" s="1014" t="s">
        <v>10</v>
      </c>
      <c r="I394" s="1014" t="s">
        <v>112</v>
      </c>
      <c r="J394" s="1014" t="s">
        <v>89</v>
      </c>
      <c r="K394" s="806"/>
    </row>
    <row r="395" spans="1:11" s="448" customFormat="1">
      <c r="A395" s="987" t="s">
        <v>499</v>
      </c>
      <c r="B395" s="988" t="s">
        <v>85</v>
      </c>
      <c r="C395" s="1109" t="s">
        <v>1001</v>
      </c>
      <c r="D395" s="1009" t="s">
        <v>310</v>
      </c>
      <c r="E395" s="1015" t="s">
        <v>80</v>
      </c>
      <c r="F395" s="1414">
        <v>0</v>
      </c>
      <c r="G395" s="1413">
        <v>0</v>
      </c>
      <c r="H395" s="1014" t="s">
        <v>10</v>
      </c>
      <c r="I395" s="1014" t="s">
        <v>110</v>
      </c>
      <c r="J395" s="1014" t="s">
        <v>85</v>
      </c>
      <c r="K395" s="806"/>
    </row>
    <row r="396" spans="1:11" s="448" customFormat="1">
      <c r="A396" s="987" t="s">
        <v>510</v>
      </c>
      <c r="B396" s="988" t="s">
        <v>85</v>
      </c>
      <c r="C396" s="1109" t="s">
        <v>1002</v>
      </c>
      <c r="D396" s="1009" t="s">
        <v>310</v>
      </c>
      <c r="E396" s="1015" t="s">
        <v>80</v>
      </c>
      <c r="F396" s="1413">
        <v>0</v>
      </c>
      <c r="G396" s="1413">
        <v>0</v>
      </c>
      <c r="H396" s="1014" t="s">
        <v>10</v>
      </c>
      <c r="I396" s="1014" t="s">
        <v>110</v>
      </c>
      <c r="J396" s="1014" t="s">
        <v>85</v>
      </c>
      <c r="K396" s="806"/>
    </row>
    <row r="397" spans="1:11" s="448" customFormat="1">
      <c r="A397" s="987" t="s">
        <v>985</v>
      </c>
      <c r="B397" s="988" t="s">
        <v>85</v>
      </c>
      <c r="C397" s="1109" t="s">
        <v>1003</v>
      </c>
      <c r="D397" s="1009" t="s">
        <v>310</v>
      </c>
      <c r="E397" s="1015" t="s">
        <v>80</v>
      </c>
      <c r="F397" s="1413">
        <v>900000000</v>
      </c>
      <c r="G397" s="1413">
        <v>0</v>
      </c>
      <c r="H397" s="1014" t="s">
        <v>10</v>
      </c>
      <c r="I397" s="1014" t="s">
        <v>110</v>
      </c>
      <c r="J397" s="1014" t="s">
        <v>85</v>
      </c>
      <c r="K397" s="806"/>
    </row>
    <row r="398" spans="1:11" s="448" customFormat="1">
      <c r="A398" s="987" t="s">
        <v>987</v>
      </c>
      <c r="B398" s="988" t="s">
        <v>85</v>
      </c>
      <c r="C398" s="1109" t="s">
        <v>1004</v>
      </c>
      <c r="D398" s="1009" t="s">
        <v>310</v>
      </c>
      <c r="E398" s="1015" t="s">
        <v>80</v>
      </c>
      <c r="F398" s="1414">
        <v>900000000</v>
      </c>
      <c r="G398" s="1413">
        <v>0</v>
      </c>
      <c r="H398" s="1014" t="s">
        <v>10</v>
      </c>
      <c r="I398" s="1014" t="s">
        <v>110</v>
      </c>
      <c r="J398" s="1014" t="s">
        <v>85</v>
      </c>
      <c r="K398" s="806"/>
    </row>
    <row r="399" spans="1:11" s="448" customFormat="1">
      <c r="A399" s="987" t="s">
        <v>979</v>
      </c>
      <c r="B399" s="988" t="s">
        <v>85</v>
      </c>
      <c r="C399" s="1110" t="s">
        <v>1005</v>
      </c>
      <c r="D399" s="1009" t="s">
        <v>310</v>
      </c>
      <c r="E399" s="1015" t="s">
        <v>80</v>
      </c>
      <c r="F399" s="1413">
        <v>900000000</v>
      </c>
      <c r="G399" s="1413">
        <v>0</v>
      </c>
      <c r="H399" s="1014" t="s">
        <v>10</v>
      </c>
      <c r="I399" s="1014" t="s">
        <v>110</v>
      </c>
      <c r="J399" s="1014" t="s">
        <v>85</v>
      </c>
      <c r="K399" s="806"/>
    </row>
    <row r="400" spans="1:11" s="448" customFormat="1">
      <c r="A400" s="987" t="s">
        <v>983</v>
      </c>
      <c r="B400" s="988" t="s">
        <v>85</v>
      </c>
      <c r="C400" s="1109" t="s">
        <v>1006</v>
      </c>
      <c r="D400" s="1009" t="s">
        <v>310</v>
      </c>
      <c r="E400" s="1015" t="s">
        <v>80</v>
      </c>
      <c r="F400" s="1414">
        <v>900000000</v>
      </c>
      <c r="G400" s="1413">
        <v>0</v>
      </c>
      <c r="H400" s="1014" t="s">
        <v>10</v>
      </c>
      <c r="I400" s="1014" t="s">
        <v>110</v>
      </c>
      <c r="J400" s="1014" t="s">
        <v>85</v>
      </c>
      <c r="K400" s="806"/>
    </row>
    <row r="401" spans="1:11" s="448" customFormat="1">
      <c r="A401" s="987" t="s">
        <v>981</v>
      </c>
      <c r="B401" s="988" t="s">
        <v>85</v>
      </c>
      <c r="C401" s="1109" t="s">
        <v>1007</v>
      </c>
      <c r="D401" s="1009" t="s">
        <v>310</v>
      </c>
      <c r="E401" s="1015" t="s">
        <v>80</v>
      </c>
      <c r="F401" s="1413">
        <v>900000000</v>
      </c>
      <c r="G401" s="1413">
        <v>0</v>
      </c>
      <c r="H401" s="1014" t="s">
        <v>10</v>
      </c>
      <c r="I401" s="1014" t="s">
        <v>110</v>
      </c>
      <c r="J401" s="1014" t="s">
        <v>85</v>
      </c>
      <c r="K401" s="806"/>
    </row>
    <row r="402" spans="1:11" s="448" customFormat="1">
      <c r="A402" s="987" t="s">
        <v>335</v>
      </c>
      <c r="B402" s="988" t="s">
        <v>94</v>
      </c>
      <c r="C402" s="1109" t="s">
        <v>1008</v>
      </c>
      <c r="D402" s="1009" t="s">
        <v>310</v>
      </c>
      <c r="E402" s="1015" t="s">
        <v>80</v>
      </c>
      <c r="F402" s="1413">
        <v>0</v>
      </c>
      <c r="G402" s="1413">
        <v>0</v>
      </c>
      <c r="H402" s="1014" t="s">
        <v>10</v>
      </c>
      <c r="I402" s="1014" t="s">
        <v>114</v>
      </c>
      <c r="J402" s="1014" t="s">
        <v>94</v>
      </c>
      <c r="K402" s="806"/>
    </row>
    <row r="403" spans="1:11" s="448" customFormat="1">
      <c r="A403" s="987" t="s">
        <v>469</v>
      </c>
      <c r="B403" s="988" t="s">
        <v>98</v>
      </c>
      <c r="C403" s="1109" t="s">
        <v>1009</v>
      </c>
      <c r="D403" s="1009" t="s">
        <v>308</v>
      </c>
      <c r="E403" s="1015" t="s">
        <v>81</v>
      </c>
      <c r="F403" s="1413">
        <v>0</v>
      </c>
      <c r="G403" s="1413">
        <v>38177.74</v>
      </c>
      <c r="H403" s="1014" t="s">
        <v>8</v>
      </c>
      <c r="I403" s="1014" t="s">
        <v>198</v>
      </c>
      <c r="J403" s="1014" t="s">
        <v>98</v>
      </c>
      <c r="K403" s="806"/>
    </row>
    <row r="404" spans="1:11" s="448" customFormat="1">
      <c r="A404" s="987" t="s">
        <v>1010</v>
      </c>
      <c r="B404" s="988" t="s">
        <v>201</v>
      </c>
      <c r="C404" s="1109" t="s">
        <v>1011</v>
      </c>
      <c r="D404" s="1009" t="s">
        <v>307</v>
      </c>
      <c r="E404" s="1015" t="s">
        <v>80</v>
      </c>
      <c r="F404" s="1413">
        <v>0</v>
      </c>
      <c r="G404" s="1413">
        <v>0</v>
      </c>
      <c r="H404" s="1014" t="s">
        <v>10</v>
      </c>
      <c r="I404" s="1014" t="s">
        <v>258</v>
      </c>
      <c r="J404" s="1014" t="s">
        <v>201</v>
      </c>
      <c r="K404" s="806"/>
    </row>
    <row r="405" spans="1:11" s="448" customFormat="1">
      <c r="A405" s="987" t="s">
        <v>1010</v>
      </c>
      <c r="B405" s="988" t="s">
        <v>201</v>
      </c>
      <c r="C405" s="1109" t="s">
        <v>1012</v>
      </c>
      <c r="D405" s="1009" t="s">
        <v>307</v>
      </c>
      <c r="E405" s="1015" t="s">
        <v>81</v>
      </c>
      <c r="F405" s="1413">
        <v>0</v>
      </c>
      <c r="G405" s="1413">
        <v>0</v>
      </c>
      <c r="H405" s="1014" t="s">
        <v>10</v>
      </c>
      <c r="I405" s="1014" t="s">
        <v>258</v>
      </c>
      <c r="J405" s="1014" t="s">
        <v>201</v>
      </c>
      <c r="K405" s="806"/>
    </row>
    <row r="406" spans="1:11" s="448" customFormat="1">
      <c r="A406" s="987" t="s">
        <v>1010</v>
      </c>
      <c r="B406" s="988" t="s">
        <v>201</v>
      </c>
      <c r="C406" s="1109" t="s">
        <v>1013</v>
      </c>
      <c r="D406" s="1009" t="s">
        <v>308</v>
      </c>
      <c r="E406" s="1015" t="s">
        <v>80</v>
      </c>
      <c r="F406" s="1413">
        <v>202560489</v>
      </c>
      <c r="G406" s="1413">
        <v>0</v>
      </c>
      <c r="H406" s="1014" t="s">
        <v>10</v>
      </c>
      <c r="I406" s="1014" t="s">
        <v>258</v>
      </c>
      <c r="J406" s="1014" t="s">
        <v>201</v>
      </c>
      <c r="K406" s="806"/>
    </row>
    <row r="407" spans="1:11" s="448" customFormat="1">
      <c r="A407" s="987" t="s">
        <v>1010</v>
      </c>
      <c r="B407" s="988" t="s">
        <v>201</v>
      </c>
      <c r="C407" s="1109" t="s">
        <v>1014</v>
      </c>
      <c r="D407" s="1009" t="s">
        <v>308</v>
      </c>
      <c r="E407" s="1015" t="s">
        <v>81</v>
      </c>
      <c r="F407" s="1414">
        <v>0</v>
      </c>
      <c r="G407" s="1413">
        <v>0</v>
      </c>
      <c r="H407" s="1014" t="s">
        <v>10</v>
      </c>
      <c r="I407" s="1014" t="s">
        <v>258</v>
      </c>
      <c r="J407" s="1014" t="s">
        <v>201</v>
      </c>
      <c r="K407" s="806"/>
    </row>
    <row r="408" spans="1:11" s="448" customFormat="1">
      <c r="A408" s="987" t="s">
        <v>1015</v>
      </c>
      <c r="B408" s="988" t="s">
        <v>201</v>
      </c>
      <c r="C408" s="1109" t="s">
        <v>1016</v>
      </c>
      <c r="D408" s="1009" t="s">
        <v>307</v>
      </c>
      <c r="E408" s="1015" t="s">
        <v>80</v>
      </c>
      <c r="F408" s="1413">
        <v>0</v>
      </c>
      <c r="G408" s="1413">
        <v>0</v>
      </c>
      <c r="H408" s="1014" t="s">
        <v>10</v>
      </c>
      <c r="I408" s="1014" t="s">
        <v>258</v>
      </c>
      <c r="J408" s="1014" t="s">
        <v>201</v>
      </c>
      <c r="K408" s="806"/>
    </row>
    <row r="409" spans="1:11" s="448" customFormat="1">
      <c r="A409" s="987" t="s">
        <v>1015</v>
      </c>
      <c r="B409" s="988" t="s">
        <v>201</v>
      </c>
      <c r="C409" s="1109" t="s">
        <v>1017</v>
      </c>
      <c r="D409" s="1009" t="s">
        <v>307</v>
      </c>
      <c r="E409" s="1015" t="s">
        <v>81</v>
      </c>
      <c r="F409" s="1413">
        <v>0</v>
      </c>
      <c r="G409" s="1413">
        <v>4.74</v>
      </c>
      <c r="H409" s="1014" t="s">
        <v>10</v>
      </c>
      <c r="I409" s="1014" t="s">
        <v>258</v>
      </c>
      <c r="J409" s="1014" t="s">
        <v>201</v>
      </c>
      <c r="K409" s="806"/>
    </row>
    <row r="410" spans="1:11" s="448" customFormat="1">
      <c r="A410" s="987" t="s">
        <v>1015</v>
      </c>
      <c r="B410" s="988" t="s">
        <v>201</v>
      </c>
      <c r="C410" s="1109" t="s">
        <v>1018</v>
      </c>
      <c r="D410" s="1009" t="s">
        <v>308</v>
      </c>
      <c r="E410" s="1015" t="s">
        <v>80</v>
      </c>
      <c r="F410" s="1413">
        <v>184128459</v>
      </c>
      <c r="G410" s="1413">
        <v>0</v>
      </c>
      <c r="H410" s="1014" t="s">
        <v>10</v>
      </c>
      <c r="I410" s="1014" t="s">
        <v>258</v>
      </c>
      <c r="J410" s="1014" t="s">
        <v>201</v>
      </c>
      <c r="K410" s="806"/>
    </row>
    <row r="411" spans="1:11" s="448" customFormat="1">
      <c r="A411" s="987" t="s">
        <v>1015</v>
      </c>
      <c r="B411" s="988" t="s">
        <v>201</v>
      </c>
      <c r="C411" s="1109" t="s">
        <v>1019</v>
      </c>
      <c r="D411" s="1009" t="s">
        <v>308</v>
      </c>
      <c r="E411" s="1015" t="s">
        <v>81</v>
      </c>
      <c r="F411" s="1412">
        <v>0</v>
      </c>
      <c r="G411" s="1413">
        <v>0</v>
      </c>
      <c r="H411" s="1014" t="s">
        <v>10</v>
      </c>
      <c r="I411" s="1014" t="s">
        <v>258</v>
      </c>
      <c r="J411" s="1014" t="s">
        <v>201</v>
      </c>
      <c r="K411" s="806"/>
    </row>
    <row r="412" spans="1:11" s="448" customFormat="1">
      <c r="A412" s="987" t="s">
        <v>1020</v>
      </c>
      <c r="B412" s="988" t="s">
        <v>201</v>
      </c>
      <c r="C412" s="1109" t="s">
        <v>1021</v>
      </c>
      <c r="D412" s="1009" t="s">
        <v>307</v>
      </c>
      <c r="E412" s="1015" t="s">
        <v>80</v>
      </c>
      <c r="F412" s="1413">
        <v>0</v>
      </c>
      <c r="G412" s="1413">
        <v>0</v>
      </c>
      <c r="H412" s="1014" t="s">
        <v>10</v>
      </c>
      <c r="I412" s="1014" t="s">
        <v>258</v>
      </c>
      <c r="J412" s="1014" t="s">
        <v>201</v>
      </c>
      <c r="K412" s="806"/>
    </row>
    <row r="413" spans="1:11" s="448" customFormat="1">
      <c r="A413" s="987" t="s">
        <v>1020</v>
      </c>
      <c r="B413" s="988" t="s">
        <v>201</v>
      </c>
      <c r="C413" s="1109" t="s">
        <v>1022</v>
      </c>
      <c r="D413" s="1009" t="s">
        <v>307</v>
      </c>
      <c r="E413" s="1015" t="s">
        <v>81</v>
      </c>
      <c r="F413" s="1413">
        <v>0</v>
      </c>
      <c r="G413" s="1413">
        <v>0</v>
      </c>
      <c r="H413" s="1014" t="s">
        <v>10</v>
      </c>
      <c r="I413" s="1014" t="s">
        <v>258</v>
      </c>
      <c r="J413" s="1014" t="s">
        <v>201</v>
      </c>
      <c r="K413" s="806"/>
    </row>
    <row r="414" spans="1:11" s="448" customFormat="1">
      <c r="A414" s="987" t="s">
        <v>1020</v>
      </c>
      <c r="B414" s="988" t="s">
        <v>201</v>
      </c>
      <c r="C414" s="1109" t="s">
        <v>1023</v>
      </c>
      <c r="D414" s="1009" t="s">
        <v>308</v>
      </c>
      <c r="E414" s="1015" t="s">
        <v>80</v>
      </c>
      <c r="F414" s="1412">
        <v>97295675</v>
      </c>
      <c r="G414" s="1413">
        <v>0</v>
      </c>
      <c r="H414" s="1014" t="s">
        <v>10</v>
      </c>
      <c r="I414" s="1014" t="s">
        <v>258</v>
      </c>
      <c r="J414" s="1014" t="s">
        <v>201</v>
      </c>
      <c r="K414" s="806"/>
    </row>
    <row r="415" spans="1:11" s="448" customFormat="1">
      <c r="A415" s="987" t="s">
        <v>1020</v>
      </c>
      <c r="B415" s="988" t="s">
        <v>201</v>
      </c>
      <c r="C415" s="1109" t="s">
        <v>1024</v>
      </c>
      <c r="D415" s="1009" t="s">
        <v>308</v>
      </c>
      <c r="E415" s="1015" t="s">
        <v>81</v>
      </c>
      <c r="F415" s="1413">
        <v>0</v>
      </c>
      <c r="G415" s="1413">
        <v>0</v>
      </c>
      <c r="H415" s="1014" t="s">
        <v>10</v>
      </c>
      <c r="I415" s="1014" t="s">
        <v>258</v>
      </c>
      <c r="J415" s="1014" t="s">
        <v>201</v>
      </c>
      <c r="K415" s="806"/>
    </row>
    <row r="416" spans="1:11" s="448" customFormat="1">
      <c r="A416" s="987" t="s">
        <v>993</v>
      </c>
      <c r="B416" s="988" t="s">
        <v>201</v>
      </c>
      <c r="C416" s="1109" t="s">
        <v>1025</v>
      </c>
      <c r="D416" s="1009" t="s">
        <v>307</v>
      </c>
      <c r="E416" s="1015" t="s">
        <v>80</v>
      </c>
      <c r="F416" s="1413">
        <v>0</v>
      </c>
      <c r="G416" s="1413">
        <v>0</v>
      </c>
      <c r="H416" s="1014" t="s">
        <v>10</v>
      </c>
      <c r="I416" s="1014" t="s">
        <v>258</v>
      </c>
      <c r="J416" s="1014" t="s">
        <v>201</v>
      </c>
      <c r="K416" s="806"/>
    </row>
    <row r="417" spans="1:11" s="448" customFormat="1">
      <c r="A417" s="987" t="s">
        <v>993</v>
      </c>
      <c r="B417" s="988" t="s">
        <v>201</v>
      </c>
      <c r="C417" s="1109" t="s">
        <v>1026</v>
      </c>
      <c r="D417" s="1009" t="s">
        <v>307</v>
      </c>
      <c r="E417" s="1015" t="s">
        <v>81</v>
      </c>
      <c r="F417" s="1412">
        <v>0</v>
      </c>
      <c r="G417" s="1413">
        <v>0</v>
      </c>
      <c r="H417" s="1014" t="s">
        <v>10</v>
      </c>
      <c r="I417" s="1014" t="s">
        <v>258</v>
      </c>
      <c r="J417" s="1014" t="s">
        <v>201</v>
      </c>
      <c r="K417" s="806"/>
    </row>
    <row r="418" spans="1:11" s="448" customFormat="1">
      <c r="A418" s="987" t="s">
        <v>993</v>
      </c>
      <c r="B418" s="988" t="s">
        <v>201</v>
      </c>
      <c r="C418" s="1109" t="s">
        <v>1027</v>
      </c>
      <c r="D418" s="1009" t="s">
        <v>308</v>
      </c>
      <c r="E418" s="1015" t="s">
        <v>81</v>
      </c>
      <c r="F418" s="1413">
        <v>0</v>
      </c>
      <c r="G418" s="1413">
        <v>0</v>
      </c>
      <c r="H418" s="1014" t="s">
        <v>10</v>
      </c>
      <c r="I418" s="1014" t="s">
        <v>258</v>
      </c>
      <c r="J418" s="1014" t="s">
        <v>201</v>
      </c>
      <c r="K418" s="806"/>
    </row>
    <row r="419" spans="1:11" s="448" customFormat="1">
      <c r="A419" s="987" t="s">
        <v>1028</v>
      </c>
      <c r="B419" s="988" t="s">
        <v>201</v>
      </c>
      <c r="C419" s="1109" t="s">
        <v>1029</v>
      </c>
      <c r="D419" s="1009" t="s">
        <v>307</v>
      </c>
      <c r="E419" s="1015" t="s">
        <v>80</v>
      </c>
      <c r="F419" s="1413">
        <v>0</v>
      </c>
      <c r="G419" s="1413">
        <v>0</v>
      </c>
      <c r="H419" s="1014" t="s">
        <v>10</v>
      </c>
      <c r="I419" s="1014" t="s">
        <v>258</v>
      </c>
      <c r="J419" s="1014" t="s">
        <v>201</v>
      </c>
      <c r="K419" s="806"/>
    </row>
    <row r="420" spans="1:11" s="448" customFormat="1">
      <c r="A420" s="987" t="s">
        <v>1028</v>
      </c>
      <c r="B420" s="988" t="s">
        <v>201</v>
      </c>
      <c r="C420" s="1109" t="s">
        <v>1030</v>
      </c>
      <c r="D420" s="1009" t="s">
        <v>307</v>
      </c>
      <c r="E420" s="1015" t="s">
        <v>81</v>
      </c>
      <c r="F420" s="1414">
        <v>0</v>
      </c>
      <c r="G420" s="1413">
        <v>0</v>
      </c>
      <c r="H420" s="1014" t="s">
        <v>10</v>
      </c>
      <c r="I420" s="1014" t="s">
        <v>258</v>
      </c>
      <c r="J420" s="1014" t="s">
        <v>201</v>
      </c>
      <c r="K420" s="806"/>
    </row>
    <row r="421" spans="1:11" s="448" customFormat="1">
      <c r="A421" s="987" t="s">
        <v>1028</v>
      </c>
      <c r="B421" s="988" t="s">
        <v>201</v>
      </c>
      <c r="C421" s="1109" t="s">
        <v>1031</v>
      </c>
      <c r="D421" s="1009" t="s">
        <v>308</v>
      </c>
      <c r="E421" s="1015" t="s">
        <v>80</v>
      </c>
      <c r="F421" s="1413">
        <v>190285499</v>
      </c>
      <c r="G421" s="1413">
        <v>0</v>
      </c>
      <c r="H421" s="1014" t="s">
        <v>10</v>
      </c>
      <c r="I421" s="1014" t="s">
        <v>258</v>
      </c>
      <c r="J421" s="1014" t="s">
        <v>201</v>
      </c>
      <c r="K421" s="806"/>
    </row>
    <row r="422" spans="1:11" s="448" customFormat="1">
      <c r="A422" s="987" t="s">
        <v>1028</v>
      </c>
      <c r="B422" s="988" t="s">
        <v>201</v>
      </c>
      <c r="C422" s="1109" t="s">
        <v>1032</v>
      </c>
      <c r="D422" s="1009" t="s">
        <v>308</v>
      </c>
      <c r="E422" s="1015" t="s">
        <v>81</v>
      </c>
      <c r="F422" s="1413">
        <v>0</v>
      </c>
      <c r="G422" s="1413">
        <v>0</v>
      </c>
      <c r="H422" s="1014" t="s">
        <v>10</v>
      </c>
      <c r="I422" s="1014" t="s">
        <v>258</v>
      </c>
      <c r="J422" s="1014" t="s">
        <v>201</v>
      </c>
      <c r="K422" s="806"/>
    </row>
    <row r="423" spans="1:11" s="448" customFormat="1">
      <c r="A423" s="987" t="s">
        <v>1015</v>
      </c>
      <c r="B423" s="988" t="s">
        <v>191</v>
      </c>
      <c r="C423" s="1109" t="s">
        <v>1033</v>
      </c>
      <c r="D423" s="1009" t="s">
        <v>308</v>
      </c>
      <c r="E423" s="1015" t="s">
        <v>80</v>
      </c>
      <c r="F423" s="1414">
        <v>424231430</v>
      </c>
      <c r="G423" s="1413">
        <v>0</v>
      </c>
      <c r="H423" s="1014" t="s">
        <v>10</v>
      </c>
      <c r="I423" s="1014" t="s">
        <v>110</v>
      </c>
      <c r="J423" s="1014" t="s">
        <v>191</v>
      </c>
      <c r="K423" s="806"/>
    </row>
    <row r="424" spans="1:11" s="448" customFormat="1">
      <c r="A424" s="987" t="s">
        <v>761</v>
      </c>
      <c r="B424" s="988" t="s">
        <v>89</v>
      </c>
      <c r="C424" s="1109" t="s">
        <v>1034</v>
      </c>
      <c r="D424" s="1009" t="s">
        <v>308</v>
      </c>
      <c r="E424" s="1015" t="s">
        <v>80</v>
      </c>
      <c r="F424" s="1413">
        <v>424180561</v>
      </c>
      <c r="G424" s="1413">
        <v>0</v>
      </c>
      <c r="H424" s="1014" t="s">
        <v>10</v>
      </c>
      <c r="I424" s="1014" t="s">
        <v>112</v>
      </c>
      <c r="J424" s="1014" t="s">
        <v>89</v>
      </c>
      <c r="K424" s="806"/>
    </row>
    <row r="425" spans="1:11" s="448" customFormat="1">
      <c r="A425" s="987" t="s">
        <v>570</v>
      </c>
      <c r="B425" s="988" t="s">
        <v>338</v>
      </c>
      <c r="C425" s="1109" t="s">
        <v>1035</v>
      </c>
      <c r="D425" s="1009" t="s">
        <v>308</v>
      </c>
      <c r="E425" s="1015" t="s">
        <v>80</v>
      </c>
      <c r="F425" s="1413">
        <v>1150417598</v>
      </c>
      <c r="G425" s="1413">
        <v>0</v>
      </c>
      <c r="H425" s="1014" t="s">
        <v>10</v>
      </c>
      <c r="I425" s="1014" t="s">
        <v>199</v>
      </c>
      <c r="J425" s="1014" t="s">
        <v>338</v>
      </c>
      <c r="K425" s="806"/>
    </row>
    <row r="426" spans="1:11" s="448" customFormat="1">
      <c r="A426" s="987" t="s">
        <v>570</v>
      </c>
      <c r="B426" s="988" t="s">
        <v>338</v>
      </c>
      <c r="C426" s="1109" t="s">
        <v>1036</v>
      </c>
      <c r="D426" s="1009" t="s">
        <v>308</v>
      </c>
      <c r="E426" s="1015" t="s">
        <v>81</v>
      </c>
      <c r="F426" s="1412">
        <v>0</v>
      </c>
      <c r="G426" s="1413">
        <v>0</v>
      </c>
      <c r="H426" s="1014" t="s">
        <v>10</v>
      </c>
      <c r="I426" s="1014" t="s">
        <v>199</v>
      </c>
      <c r="J426" s="1014" t="s">
        <v>338</v>
      </c>
      <c r="K426" s="806"/>
    </row>
    <row r="427" spans="1:11" s="448" customFormat="1">
      <c r="A427" s="987" t="s">
        <v>614</v>
      </c>
      <c r="B427" s="988" t="s">
        <v>95</v>
      </c>
      <c r="C427" s="1109" t="s">
        <v>1037</v>
      </c>
      <c r="D427" s="1009" t="s">
        <v>308</v>
      </c>
      <c r="E427" s="1015" t="s">
        <v>80</v>
      </c>
      <c r="F427" s="1413">
        <v>11202016</v>
      </c>
      <c r="G427" s="1413">
        <v>0</v>
      </c>
      <c r="H427" s="1014" t="s">
        <v>10</v>
      </c>
      <c r="I427" s="1014" t="s">
        <v>116</v>
      </c>
      <c r="J427" s="1014" t="s">
        <v>95</v>
      </c>
      <c r="K427" s="806"/>
    </row>
    <row r="428" spans="1:11" s="448" customFormat="1">
      <c r="A428" s="987" t="s">
        <v>699</v>
      </c>
      <c r="B428" s="988" t="s">
        <v>95</v>
      </c>
      <c r="C428" s="1109" t="s">
        <v>1038</v>
      </c>
      <c r="D428" s="1009" t="s">
        <v>308</v>
      </c>
      <c r="E428" s="1015" t="s">
        <v>80</v>
      </c>
      <c r="F428" s="1413">
        <v>2896088</v>
      </c>
      <c r="G428" s="1413">
        <v>0</v>
      </c>
      <c r="H428" s="1014" t="s">
        <v>10</v>
      </c>
      <c r="I428" s="1014" t="s">
        <v>116</v>
      </c>
      <c r="J428" s="1014" t="s">
        <v>95</v>
      </c>
      <c r="K428" s="806"/>
    </row>
    <row r="429" spans="1:11" s="448" customFormat="1">
      <c r="A429" s="987" t="s">
        <v>752</v>
      </c>
      <c r="B429" s="988" t="s">
        <v>95</v>
      </c>
      <c r="C429" s="1109" t="s">
        <v>1039</v>
      </c>
      <c r="D429" s="1009" t="s">
        <v>308</v>
      </c>
      <c r="E429" s="1015" t="s">
        <v>80</v>
      </c>
      <c r="F429" s="1413">
        <v>2179171</v>
      </c>
      <c r="G429" s="1413">
        <v>0</v>
      </c>
      <c r="H429" s="1014" t="s">
        <v>10</v>
      </c>
      <c r="I429" s="1014" t="s">
        <v>116</v>
      </c>
      <c r="J429" s="1014" t="s">
        <v>95</v>
      </c>
      <c r="K429" s="806"/>
    </row>
    <row r="430" spans="1:11" s="448" customFormat="1">
      <c r="A430" s="987" t="s">
        <v>695</v>
      </c>
      <c r="B430" s="988" t="s">
        <v>95</v>
      </c>
      <c r="C430" s="1109" t="s">
        <v>1040</v>
      </c>
      <c r="D430" s="1009" t="s">
        <v>308</v>
      </c>
      <c r="E430" s="1015" t="s">
        <v>80</v>
      </c>
      <c r="F430" s="1414">
        <v>40347309</v>
      </c>
      <c r="G430" s="1413">
        <v>0</v>
      </c>
      <c r="H430" s="1014" t="s">
        <v>10</v>
      </c>
      <c r="I430" s="1014" t="s">
        <v>116</v>
      </c>
      <c r="J430" s="1014" t="s">
        <v>95</v>
      </c>
      <c r="K430" s="806"/>
    </row>
    <row r="431" spans="1:11" s="448" customFormat="1">
      <c r="A431" s="987" t="s">
        <v>886</v>
      </c>
      <c r="B431" s="988" t="s">
        <v>95</v>
      </c>
      <c r="C431" s="1109" t="s">
        <v>1041</v>
      </c>
      <c r="D431" s="1009" t="s">
        <v>308</v>
      </c>
      <c r="E431" s="1015" t="s">
        <v>80</v>
      </c>
      <c r="F431" s="1413">
        <v>2490050</v>
      </c>
      <c r="G431" s="1413">
        <v>0</v>
      </c>
      <c r="H431" s="1014" t="s">
        <v>10</v>
      </c>
      <c r="I431" s="1014" t="s">
        <v>116</v>
      </c>
      <c r="J431" s="1014" t="s">
        <v>95</v>
      </c>
      <c r="K431" s="806"/>
    </row>
    <row r="432" spans="1:11" s="448" customFormat="1">
      <c r="A432" s="987" t="s">
        <v>884</v>
      </c>
      <c r="B432" s="988" t="s">
        <v>95</v>
      </c>
      <c r="C432" s="1109" t="s">
        <v>1042</v>
      </c>
      <c r="D432" s="1009" t="s">
        <v>308</v>
      </c>
      <c r="E432" s="1015" t="s">
        <v>80</v>
      </c>
      <c r="F432" s="1413">
        <v>1924057</v>
      </c>
      <c r="G432" s="1413">
        <v>0</v>
      </c>
      <c r="H432" s="1014" t="s">
        <v>10</v>
      </c>
      <c r="I432" s="1014" t="s">
        <v>116</v>
      </c>
      <c r="J432" s="1014" t="s">
        <v>95</v>
      </c>
      <c r="K432" s="806"/>
    </row>
    <row r="433" spans="1:11" s="448" customFormat="1">
      <c r="A433" s="987" t="s">
        <v>537</v>
      </c>
      <c r="B433" s="988" t="s">
        <v>95</v>
      </c>
      <c r="C433" s="1109" t="s">
        <v>1043</v>
      </c>
      <c r="D433" s="1009" t="s">
        <v>308</v>
      </c>
      <c r="E433" s="1015" t="s">
        <v>80</v>
      </c>
      <c r="F433" s="1413">
        <v>3774589</v>
      </c>
      <c r="G433" s="1413">
        <v>0</v>
      </c>
      <c r="H433" s="1014" t="s">
        <v>10</v>
      </c>
      <c r="I433" s="1014" t="s">
        <v>116</v>
      </c>
      <c r="J433" s="1014" t="s">
        <v>95</v>
      </c>
      <c r="K433" s="806"/>
    </row>
    <row r="434" spans="1:11" s="448" customFormat="1">
      <c r="A434" s="987" t="s">
        <v>582</v>
      </c>
      <c r="B434" s="988" t="s">
        <v>1044</v>
      </c>
      <c r="C434" s="1109" t="s">
        <v>1045</v>
      </c>
      <c r="D434" s="1009" t="s">
        <v>308</v>
      </c>
      <c r="E434" s="1015" t="s">
        <v>80</v>
      </c>
      <c r="F434" s="1413">
        <v>0</v>
      </c>
      <c r="G434" s="1413">
        <v>0</v>
      </c>
      <c r="H434" s="1014" t="s">
        <v>67</v>
      </c>
      <c r="I434" s="1014" t="s">
        <v>259</v>
      </c>
      <c r="J434" s="1014" t="s">
        <v>99</v>
      </c>
      <c r="K434" s="806"/>
    </row>
    <row r="435" spans="1:11" s="448" customFormat="1">
      <c r="A435" s="987" t="s">
        <v>1020</v>
      </c>
      <c r="B435" s="988" t="s">
        <v>191</v>
      </c>
      <c r="C435" s="1109" t="s">
        <v>1046</v>
      </c>
      <c r="D435" s="1009" t="s">
        <v>308</v>
      </c>
      <c r="E435" s="1015" t="s">
        <v>80</v>
      </c>
      <c r="F435" s="1413">
        <v>4185877493</v>
      </c>
      <c r="G435" s="1413">
        <v>0</v>
      </c>
      <c r="H435" s="1014" t="s">
        <v>10</v>
      </c>
      <c r="I435" s="1014" t="s">
        <v>110</v>
      </c>
      <c r="J435" s="1014" t="s">
        <v>191</v>
      </c>
      <c r="K435" s="806"/>
    </row>
    <row r="436" spans="1:11" s="448" customFormat="1">
      <c r="A436" s="987" t="s">
        <v>993</v>
      </c>
      <c r="B436" s="988" t="s">
        <v>191</v>
      </c>
      <c r="C436" s="1109" t="s">
        <v>1047</v>
      </c>
      <c r="D436" s="1009" t="s">
        <v>308</v>
      </c>
      <c r="E436" s="1015" t="s">
        <v>80</v>
      </c>
      <c r="F436" s="1413">
        <v>1951285861</v>
      </c>
      <c r="G436" s="1413">
        <v>0</v>
      </c>
      <c r="H436" s="1014" t="s">
        <v>10</v>
      </c>
      <c r="I436" s="1014" t="s">
        <v>110</v>
      </c>
      <c r="J436" s="1014" t="s">
        <v>191</v>
      </c>
      <c r="K436" s="806"/>
    </row>
    <row r="437" spans="1:11" s="448" customFormat="1">
      <c r="A437" s="987" t="s">
        <v>1028</v>
      </c>
      <c r="B437" s="988" t="s">
        <v>191</v>
      </c>
      <c r="C437" s="1109" t="s">
        <v>1048</v>
      </c>
      <c r="D437" s="1009" t="s">
        <v>308</v>
      </c>
      <c r="E437" s="1015" t="s">
        <v>80</v>
      </c>
      <c r="F437" s="1413">
        <v>1172733176</v>
      </c>
      <c r="G437" s="1413">
        <v>0</v>
      </c>
      <c r="H437" s="1014" t="s">
        <v>10</v>
      </c>
      <c r="I437" s="1014" t="s">
        <v>110</v>
      </c>
      <c r="J437" s="1014" t="s">
        <v>191</v>
      </c>
      <c r="K437" s="806"/>
    </row>
    <row r="438" spans="1:11" s="448" customFormat="1">
      <c r="A438" s="987" t="s">
        <v>1010</v>
      </c>
      <c r="B438" s="988" t="s">
        <v>191</v>
      </c>
      <c r="C438" s="1109" t="s">
        <v>1049</v>
      </c>
      <c r="D438" s="1009" t="s">
        <v>308</v>
      </c>
      <c r="E438" s="1015" t="s">
        <v>80</v>
      </c>
      <c r="F438" s="1413">
        <v>1473882607</v>
      </c>
      <c r="G438" s="1413">
        <v>0</v>
      </c>
      <c r="H438" s="1014" t="s">
        <v>10</v>
      </c>
      <c r="I438" s="1014" t="s">
        <v>110</v>
      </c>
      <c r="J438" s="1014" t="s">
        <v>191</v>
      </c>
      <c r="K438" s="806"/>
    </row>
    <row r="439" spans="1:11" s="448" customFormat="1">
      <c r="A439" s="987" t="s">
        <v>582</v>
      </c>
      <c r="B439" s="988" t="s">
        <v>971</v>
      </c>
      <c r="C439" s="1109" t="s">
        <v>1050</v>
      </c>
      <c r="D439" s="1009" t="s">
        <v>308</v>
      </c>
      <c r="E439" s="1015" t="s">
        <v>80</v>
      </c>
      <c r="F439" s="1413">
        <v>305440765</v>
      </c>
      <c r="G439" s="1413">
        <v>0</v>
      </c>
      <c r="H439" s="1014" t="s">
        <v>67</v>
      </c>
      <c r="I439" s="1014" t="s">
        <v>259</v>
      </c>
      <c r="J439" s="1014" t="s">
        <v>99</v>
      </c>
      <c r="K439" s="806"/>
    </row>
    <row r="440" spans="1:11" s="448" customFormat="1">
      <c r="A440" s="987" t="s">
        <v>469</v>
      </c>
      <c r="B440" s="988" t="s">
        <v>1051</v>
      </c>
      <c r="C440" s="1109" t="s">
        <v>1052</v>
      </c>
      <c r="D440" s="1009" t="s">
        <v>308</v>
      </c>
      <c r="E440" s="1015" t="s">
        <v>80</v>
      </c>
      <c r="F440" s="1412">
        <v>50688052</v>
      </c>
      <c r="G440" s="1413">
        <v>0</v>
      </c>
      <c r="H440" s="1014" t="s">
        <v>8</v>
      </c>
      <c r="I440" s="1014" t="s">
        <v>259</v>
      </c>
      <c r="J440" s="1014" t="s">
        <v>99</v>
      </c>
      <c r="K440" s="806"/>
    </row>
    <row r="441" spans="1:11" s="448" customFormat="1">
      <c r="A441" s="987" t="s">
        <v>582</v>
      </c>
      <c r="B441" s="988" t="s">
        <v>1051</v>
      </c>
      <c r="C441" s="1109" t="s">
        <v>1053</v>
      </c>
      <c r="D441" s="1009" t="s">
        <v>308</v>
      </c>
      <c r="E441" s="1015" t="s">
        <v>80</v>
      </c>
      <c r="F441" s="1414">
        <v>341906694</v>
      </c>
      <c r="G441" s="1413">
        <v>0</v>
      </c>
      <c r="H441" s="1014" t="s">
        <v>67</v>
      </c>
      <c r="I441" s="1014" t="s">
        <v>259</v>
      </c>
      <c r="J441" s="1014" t="s">
        <v>99</v>
      </c>
      <c r="K441" s="806"/>
    </row>
    <row r="442" spans="1:11" s="448" customFormat="1">
      <c r="A442" s="987" t="s">
        <v>582</v>
      </c>
      <c r="B442" s="988" t="s">
        <v>88</v>
      </c>
      <c r="C442" s="1109" t="s">
        <v>1054</v>
      </c>
      <c r="D442" s="1009" t="s">
        <v>308</v>
      </c>
      <c r="E442" s="1015" t="s">
        <v>80</v>
      </c>
      <c r="F442" s="1414">
        <v>4095449</v>
      </c>
      <c r="G442" s="1413">
        <v>0</v>
      </c>
      <c r="H442" s="1014" t="s">
        <v>67</v>
      </c>
      <c r="I442" s="1014" t="s">
        <v>110</v>
      </c>
      <c r="J442" s="1014" t="s">
        <v>88</v>
      </c>
      <c r="K442" s="806"/>
    </row>
    <row r="443" spans="1:11" s="448" customFormat="1">
      <c r="A443" s="987" t="s">
        <v>1020</v>
      </c>
      <c r="B443" s="988" t="s">
        <v>191</v>
      </c>
      <c r="C443" s="1109" t="s">
        <v>1055</v>
      </c>
      <c r="D443" s="1009" t="s">
        <v>310</v>
      </c>
      <c r="E443" s="1015" t="s">
        <v>80</v>
      </c>
      <c r="F443" s="1414">
        <v>0</v>
      </c>
      <c r="G443" s="1413">
        <v>0</v>
      </c>
      <c r="H443" s="1014" t="s">
        <v>10</v>
      </c>
      <c r="I443" s="1014" t="s">
        <v>110</v>
      </c>
      <c r="J443" s="1014" t="s">
        <v>191</v>
      </c>
      <c r="K443" s="806"/>
    </row>
    <row r="444" spans="1:11" s="448" customFormat="1">
      <c r="A444" s="987" t="s">
        <v>712</v>
      </c>
      <c r="B444" s="988" t="s">
        <v>85</v>
      </c>
      <c r="C444" s="1109" t="s">
        <v>1056</v>
      </c>
      <c r="D444" s="1009" t="s">
        <v>310</v>
      </c>
      <c r="E444" s="1015" t="s">
        <v>80</v>
      </c>
      <c r="F444" s="1414">
        <v>0</v>
      </c>
      <c r="G444" s="1413">
        <v>0</v>
      </c>
      <c r="H444" s="1014" t="s">
        <v>10</v>
      </c>
      <c r="I444" s="1014" t="s">
        <v>110</v>
      </c>
      <c r="J444" s="1014" t="s">
        <v>85</v>
      </c>
      <c r="K444" s="806"/>
    </row>
    <row r="445" spans="1:11" s="448" customFormat="1">
      <c r="A445" s="987" t="s">
        <v>469</v>
      </c>
      <c r="B445" s="988" t="s">
        <v>1044</v>
      </c>
      <c r="C445" s="1109" t="s">
        <v>1057</v>
      </c>
      <c r="D445" s="1009" t="s">
        <v>308</v>
      </c>
      <c r="E445" s="1015" t="s">
        <v>80</v>
      </c>
      <c r="F445" s="1414">
        <v>64028666</v>
      </c>
      <c r="G445" s="1413">
        <v>0</v>
      </c>
      <c r="H445" s="1014" t="s">
        <v>8</v>
      </c>
      <c r="I445" s="1014" t="s">
        <v>259</v>
      </c>
      <c r="J445" s="1014" t="s">
        <v>99</v>
      </c>
      <c r="K445" s="806"/>
    </row>
    <row r="446" spans="1:11" s="448" customFormat="1">
      <c r="A446" s="987" t="s">
        <v>1058</v>
      </c>
      <c r="B446" s="988" t="s">
        <v>92</v>
      </c>
      <c r="C446" s="1109" t="s">
        <v>1059</v>
      </c>
      <c r="D446" s="1009" t="s">
        <v>308</v>
      </c>
      <c r="E446" s="1015" t="s">
        <v>80</v>
      </c>
      <c r="F446" s="1414">
        <v>791682736</v>
      </c>
      <c r="G446" s="1413">
        <v>0</v>
      </c>
      <c r="H446" s="1014" t="s">
        <v>10</v>
      </c>
      <c r="I446" s="1014" t="s">
        <v>114</v>
      </c>
      <c r="J446" s="1014" t="s">
        <v>92</v>
      </c>
      <c r="K446" s="806"/>
    </row>
    <row r="447" spans="1:11" s="448" customFormat="1">
      <c r="A447" s="987" t="s">
        <v>1028</v>
      </c>
      <c r="B447" s="988" t="s">
        <v>191</v>
      </c>
      <c r="C447" s="1109" t="s">
        <v>1060</v>
      </c>
      <c r="D447" s="1009" t="s">
        <v>310</v>
      </c>
      <c r="E447" s="1015" t="s">
        <v>80</v>
      </c>
      <c r="F447" s="1414">
        <v>0</v>
      </c>
      <c r="G447" s="1413">
        <v>0</v>
      </c>
      <c r="H447" s="1014" t="s">
        <v>10</v>
      </c>
      <c r="I447" s="1014" t="s">
        <v>110</v>
      </c>
      <c r="J447" s="1014" t="s">
        <v>191</v>
      </c>
      <c r="K447" s="806"/>
    </row>
    <row r="448" spans="1:11" s="448" customFormat="1">
      <c r="A448" s="987" t="s">
        <v>499</v>
      </c>
      <c r="B448" s="988" t="s">
        <v>85</v>
      </c>
      <c r="C448" s="1109" t="s">
        <v>1061</v>
      </c>
      <c r="D448" s="1009" t="s">
        <v>310</v>
      </c>
      <c r="E448" s="1015" t="s">
        <v>80</v>
      </c>
      <c r="F448" s="1414">
        <v>0</v>
      </c>
      <c r="G448" s="1413">
        <v>0</v>
      </c>
      <c r="H448" s="1014" t="s">
        <v>10</v>
      </c>
      <c r="I448" s="1014" t="s">
        <v>110</v>
      </c>
      <c r="J448" s="1014" t="s">
        <v>85</v>
      </c>
      <c r="K448" s="806"/>
    </row>
    <row r="449" spans="1:11" s="448" customFormat="1">
      <c r="A449" s="987" t="s">
        <v>554</v>
      </c>
      <c r="B449" s="988" t="s">
        <v>88</v>
      </c>
      <c r="C449" s="1109" t="s">
        <v>1062</v>
      </c>
      <c r="D449" s="1009" t="s">
        <v>310</v>
      </c>
      <c r="E449" s="1015" t="s">
        <v>80</v>
      </c>
      <c r="F449" s="1413">
        <v>5000000000</v>
      </c>
      <c r="G449" s="1413">
        <v>0</v>
      </c>
      <c r="H449" s="1014" t="s">
        <v>10</v>
      </c>
      <c r="I449" s="1014" t="s">
        <v>110</v>
      </c>
      <c r="J449" s="1014" t="s">
        <v>88</v>
      </c>
      <c r="K449" s="806"/>
    </row>
    <row r="450" spans="1:11" s="448" customFormat="1">
      <c r="A450" s="987" t="s">
        <v>506</v>
      </c>
      <c r="B450" s="988" t="s">
        <v>85</v>
      </c>
      <c r="C450" s="1109" t="s">
        <v>1063</v>
      </c>
      <c r="D450" s="1009" t="s">
        <v>310</v>
      </c>
      <c r="E450" s="1015" t="s">
        <v>80</v>
      </c>
      <c r="F450" s="1414">
        <v>0</v>
      </c>
      <c r="G450" s="1413">
        <v>0</v>
      </c>
      <c r="H450" s="1014" t="s">
        <v>10</v>
      </c>
      <c r="I450" s="1014" t="s">
        <v>110</v>
      </c>
      <c r="J450" s="1014" t="s">
        <v>85</v>
      </c>
      <c r="K450" s="806"/>
    </row>
    <row r="451" spans="1:11" s="448" customFormat="1">
      <c r="A451" s="987" t="s">
        <v>559</v>
      </c>
      <c r="B451" s="988" t="s">
        <v>803</v>
      </c>
      <c r="C451" s="1109" t="s">
        <v>1064</v>
      </c>
      <c r="D451" s="1009" t="s">
        <v>308</v>
      </c>
      <c r="E451" s="1015" t="s">
        <v>80</v>
      </c>
      <c r="F451" s="1414">
        <v>2780000</v>
      </c>
      <c r="G451" s="1413">
        <v>0</v>
      </c>
      <c r="H451" s="1014" t="s">
        <v>10</v>
      </c>
      <c r="I451" s="1014" t="s">
        <v>202</v>
      </c>
      <c r="J451" s="1014" t="s">
        <v>202</v>
      </c>
      <c r="K451" s="806"/>
    </row>
    <row r="452" spans="1:11" s="448" customFormat="1">
      <c r="A452" s="987" t="s">
        <v>522</v>
      </c>
      <c r="B452" s="988" t="s">
        <v>971</v>
      </c>
      <c r="C452" s="1109" t="s">
        <v>1065</v>
      </c>
      <c r="D452" s="1009" t="s">
        <v>308</v>
      </c>
      <c r="E452" s="1015" t="s">
        <v>80</v>
      </c>
      <c r="F452" s="1413">
        <v>4958239409</v>
      </c>
      <c r="G452" s="1413">
        <v>0</v>
      </c>
      <c r="H452" s="1014" t="s">
        <v>10</v>
      </c>
      <c r="I452" s="1014" t="s">
        <v>259</v>
      </c>
      <c r="J452" s="1014" t="s">
        <v>99</v>
      </c>
      <c r="K452" s="806"/>
    </row>
    <row r="453" spans="1:11" s="448" customFormat="1">
      <c r="A453" s="987" t="s">
        <v>754</v>
      </c>
      <c r="B453" s="988" t="s">
        <v>92</v>
      </c>
      <c r="C453" s="1109" t="s">
        <v>1066</v>
      </c>
      <c r="D453" s="1009" t="s">
        <v>310</v>
      </c>
      <c r="E453" s="1015" t="s">
        <v>80</v>
      </c>
      <c r="F453" s="1412">
        <v>13000000000</v>
      </c>
      <c r="G453" s="1413">
        <v>0</v>
      </c>
      <c r="H453" s="1014" t="s">
        <v>10</v>
      </c>
      <c r="I453" s="1014" t="s">
        <v>114</v>
      </c>
      <c r="J453" s="1014" t="s">
        <v>92</v>
      </c>
      <c r="K453" s="806"/>
    </row>
    <row r="454" spans="1:11" s="448" customFormat="1">
      <c r="A454" s="987" t="s">
        <v>754</v>
      </c>
      <c r="B454" s="988" t="s">
        <v>92</v>
      </c>
      <c r="C454" s="1109" t="s">
        <v>1067</v>
      </c>
      <c r="D454" s="1009" t="s">
        <v>310</v>
      </c>
      <c r="E454" s="1015" t="s">
        <v>80</v>
      </c>
      <c r="F454" s="1414">
        <v>8000000000</v>
      </c>
      <c r="G454" s="1413">
        <v>0</v>
      </c>
      <c r="H454" s="1014" t="s">
        <v>10</v>
      </c>
      <c r="I454" s="1014" t="s">
        <v>114</v>
      </c>
      <c r="J454" s="1014" t="s">
        <v>92</v>
      </c>
      <c r="K454" s="806"/>
    </row>
    <row r="455" spans="1:11" s="448" customFormat="1">
      <c r="A455" s="987" t="s">
        <v>516</v>
      </c>
      <c r="B455" s="988" t="s">
        <v>92</v>
      </c>
      <c r="C455" s="1109" t="s">
        <v>1068</v>
      </c>
      <c r="D455" s="1009" t="s">
        <v>310</v>
      </c>
      <c r="E455" s="1015" t="s">
        <v>80</v>
      </c>
      <c r="F455" s="1414">
        <v>0</v>
      </c>
      <c r="G455" s="1413">
        <v>0</v>
      </c>
      <c r="H455" s="1014" t="s">
        <v>10</v>
      </c>
      <c r="I455" s="1014" t="s">
        <v>114</v>
      </c>
      <c r="J455" s="1014" t="s">
        <v>92</v>
      </c>
      <c r="K455" s="806"/>
    </row>
    <row r="456" spans="1:11" s="448" customFormat="1">
      <c r="A456" s="987" t="s">
        <v>469</v>
      </c>
      <c r="B456" s="988" t="s">
        <v>92</v>
      </c>
      <c r="C456" s="1109" t="s">
        <v>1069</v>
      </c>
      <c r="D456" s="1009" t="s">
        <v>310</v>
      </c>
      <c r="E456" s="1015" t="s">
        <v>80</v>
      </c>
      <c r="F456" s="1413">
        <v>0</v>
      </c>
      <c r="G456" s="1413">
        <v>0</v>
      </c>
      <c r="H456" s="1014" t="s">
        <v>8</v>
      </c>
      <c r="I456" s="1014" t="s">
        <v>114</v>
      </c>
      <c r="J456" s="1014" t="s">
        <v>92</v>
      </c>
      <c r="K456" s="806"/>
    </row>
    <row r="457" spans="1:11" s="448" customFormat="1">
      <c r="A457" s="987" t="s">
        <v>966</v>
      </c>
      <c r="B457" s="988" t="s">
        <v>971</v>
      </c>
      <c r="C457" s="1109" t="s">
        <v>1070</v>
      </c>
      <c r="D457" s="1009" t="s">
        <v>308</v>
      </c>
      <c r="E457" s="1015" t="s">
        <v>80</v>
      </c>
      <c r="F457" s="1413">
        <v>613316099</v>
      </c>
      <c r="G457" s="1413">
        <v>0</v>
      </c>
      <c r="H457" s="1014" t="s">
        <v>10</v>
      </c>
      <c r="I457" s="1014" t="s">
        <v>259</v>
      </c>
      <c r="J457" s="1014" t="s">
        <v>99</v>
      </c>
      <c r="K457" s="806"/>
    </row>
    <row r="458" spans="1:11" s="448" customFormat="1">
      <c r="A458" s="987" t="s">
        <v>469</v>
      </c>
      <c r="B458" s="988" t="s">
        <v>153</v>
      </c>
      <c r="C458" s="1109" t="s">
        <v>1071</v>
      </c>
      <c r="D458" s="1009" t="s">
        <v>310</v>
      </c>
      <c r="E458" s="1015" t="s">
        <v>80</v>
      </c>
      <c r="F458" s="1413">
        <v>0</v>
      </c>
      <c r="G458" s="1413">
        <v>0</v>
      </c>
      <c r="H458" s="1014" t="s">
        <v>8</v>
      </c>
      <c r="I458" s="1014" t="s">
        <v>110</v>
      </c>
      <c r="J458" s="1014" t="s">
        <v>87</v>
      </c>
      <c r="K458" s="806"/>
    </row>
    <row r="459" spans="1:11" s="448" customFormat="1">
      <c r="A459" s="987" t="s">
        <v>714</v>
      </c>
      <c r="B459" s="988" t="s">
        <v>153</v>
      </c>
      <c r="C459" s="1109" t="s">
        <v>1072</v>
      </c>
      <c r="D459" s="1009" t="s">
        <v>310</v>
      </c>
      <c r="E459" s="1015" t="s">
        <v>80</v>
      </c>
      <c r="F459" s="1413">
        <v>0</v>
      </c>
      <c r="G459" s="1413">
        <v>0</v>
      </c>
      <c r="H459" s="1014" t="s">
        <v>10</v>
      </c>
      <c r="I459" s="1014" t="s">
        <v>110</v>
      </c>
      <c r="J459" s="1014" t="s">
        <v>87</v>
      </c>
      <c r="K459" s="806"/>
    </row>
    <row r="460" spans="1:11" s="448" customFormat="1">
      <c r="A460" s="987" t="s">
        <v>905</v>
      </c>
      <c r="B460" s="988" t="s">
        <v>92</v>
      </c>
      <c r="C460" s="1109" t="s">
        <v>1073</v>
      </c>
      <c r="D460" s="1009" t="s">
        <v>310</v>
      </c>
      <c r="E460" s="1015" t="s">
        <v>80</v>
      </c>
      <c r="F460" s="1413">
        <v>4815000000</v>
      </c>
      <c r="G460" s="1413">
        <v>0</v>
      </c>
      <c r="H460" s="1014" t="s">
        <v>10</v>
      </c>
      <c r="I460" s="1014" t="s">
        <v>114</v>
      </c>
      <c r="J460" s="1014" t="s">
        <v>92</v>
      </c>
      <c r="K460" s="806"/>
    </row>
    <row r="461" spans="1:11" s="448" customFormat="1">
      <c r="A461" s="987" t="s">
        <v>761</v>
      </c>
      <c r="B461" s="988" t="s">
        <v>89</v>
      </c>
      <c r="C461" s="1109" t="s">
        <v>1074</v>
      </c>
      <c r="D461" s="1009" t="s">
        <v>310</v>
      </c>
      <c r="E461" s="1015" t="s">
        <v>80</v>
      </c>
      <c r="F461" s="1413">
        <v>4000000000</v>
      </c>
      <c r="G461" s="1413">
        <v>0</v>
      </c>
      <c r="H461" s="1014" t="s">
        <v>10</v>
      </c>
      <c r="I461" s="1014" t="s">
        <v>112</v>
      </c>
      <c r="J461" s="1014" t="s">
        <v>89</v>
      </c>
      <c r="K461" s="806"/>
    </row>
    <row r="462" spans="1:11" s="448" customFormat="1">
      <c r="A462" s="987" t="s">
        <v>964</v>
      </c>
      <c r="B462" s="988" t="s">
        <v>89</v>
      </c>
      <c r="C462" s="1109" t="s">
        <v>1075</v>
      </c>
      <c r="D462" s="1009" t="s">
        <v>308</v>
      </c>
      <c r="E462" s="1015" t="s">
        <v>80</v>
      </c>
      <c r="F462" s="1414">
        <v>152987868</v>
      </c>
      <c r="G462" s="1413">
        <v>0</v>
      </c>
      <c r="H462" s="1014" t="s">
        <v>10</v>
      </c>
      <c r="I462" s="1014" t="s">
        <v>112</v>
      </c>
      <c r="J462" s="1014" t="s">
        <v>89</v>
      </c>
      <c r="K462" s="806"/>
    </row>
    <row r="463" spans="1:11" s="448" customFormat="1">
      <c r="A463" s="987" t="s">
        <v>801</v>
      </c>
      <c r="B463" s="988" t="s">
        <v>89</v>
      </c>
      <c r="C463" s="1109" t="s">
        <v>1076</v>
      </c>
      <c r="D463" s="1009" t="s">
        <v>308</v>
      </c>
      <c r="E463" s="1015" t="s">
        <v>80</v>
      </c>
      <c r="F463" s="1414">
        <v>1425684633</v>
      </c>
      <c r="G463" s="1413">
        <v>0</v>
      </c>
      <c r="H463" s="1014" t="s">
        <v>10</v>
      </c>
      <c r="I463" s="1014" t="s">
        <v>112</v>
      </c>
      <c r="J463" s="1014" t="s">
        <v>89</v>
      </c>
      <c r="K463" s="806"/>
    </row>
    <row r="464" spans="1:11" s="448" customFormat="1">
      <c r="A464" s="987" t="s">
        <v>659</v>
      </c>
      <c r="B464" s="988" t="s">
        <v>86</v>
      </c>
      <c r="C464" s="1109" t="s">
        <v>1077</v>
      </c>
      <c r="D464" s="1009" t="s">
        <v>308</v>
      </c>
      <c r="E464" s="1015" t="s">
        <v>80</v>
      </c>
      <c r="F464" s="1413">
        <v>14692418</v>
      </c>
      <c r="G464" s="1413">
        <v>0</v>
      </c>
      <c r="H464" s="1014" t="s">
        <v>10</v>
      </c>
      <c r="I464" s="1014" t="s">
        <v>110</v>
      </c>
      <c r="J464" s="1014" t="s">
        <v>86</v>
      </c>
      <c r="K464" s="806"/>
    </row>
    <row r="465" spans="1:11" s="448" customFormat="1">
      <c r="A465" s="987" t="s">
        <v>552</v>
      </c>
      <c r="B465" s="988" t="s">
        <v>98</v>
      </c>
      <c r="C465" s="1109" t="s">
        <v>1078</v>
      </c>
      <c r="D465" s="1009" t="s">
        <v>308</v>
      </c>
      <c r="E465" s="1015" t="s">
        <v>80</v>
      </c>
      <c r="F465" s="1413">
        <v>2820975468</v>
      </c>
      <c r="G465" s="1413">
        <v>0</v>
      </c>
      <c r="H465" s="1014" t="s">
        <v>10</v>
      </c>
      <c r="I465" s="1014" t="s">
        <v>198</v>
      </c>
      <c r="J465" s="1014" t="s">
        <v>98</v>
      </c>
      <c r="K465" s="806"/>
    </row>
    <row r="466" spans="1:11" s="448" customFormat="1">
      <c r="A466" s="987" t="s">
        <v>665</v>
      </c>
      <c r="B466" s="988" t="s">
        <v>85</v>
      </c>
      <c r="C466" s="1109" t="s">
        <v>1079</v>
      </c>
      <c r="D466" s="1009" t="s">
        <v>310</v>
      </c>
      <c r="E466" s="1015" t="s">
        <v>80</v>
      </c>
      <c r="F466" s="1413">
        <v>0</v>
      </c>
      <c r="G466" s="1413">
        <v>0</v>
      </c>
      <c r="H466" s="1014" t="s">
        <v>10</v>
      </c>
      <c r="I466" s="1014" t="s">
        <v>110</v>
      </c>
      <c r="J466" s="1014" t="s">
        <v>85</v>
      </c>
      <c r="K466" s="806"/>
    </row>
    <row r="467" spans="1:11" s="448" customFormat="1">
      <c r="A467" s="987" t="s">
        <v>548</v>
      </c>
      <c r="B467" s="988" t="s">
        <v>92</v>
      </c>
      <c r="C467" s="1109" t="s">
        <v>1080</v>
      </c>
      <c r="D467" s="1009" t="s">
        <v>310</v>
      </c>
      <c r="E467" s="1015" t="s">
        <v>80</v>
      </c>
      <c r="F467" s="1413">
        <v>4000000000</v>
      </c>
      <c r="G467" s="1413">
        <v>0</v>
      </c>
      <c r="H467" s="1014" t="s">
        <v>10</v>
      </c>
      <c r="I467" s="1014" t="s">
        <v>114</v>
      </c>
      <c r="J467" s="1014" t="s">
        <v>92</v>
      </c>
      <c r="K467" s="806"/>
    </row>
    <row r="468" spans="1:11" s="448" customFormat="1">
      <c r="A468" s="987" t="s">
        <v>516</v>
      </c>
      <c r="B468" s="988" t="s">
        <v>92</v>
      </c>
      <c r="C468" s="1109" t="s">
        <v>1081</v>
      </c>
      <c r="D468" s="1009" t="s">
        <v>310</v>
      </c>
      <c r="E468" s="1015" t="s">
        <v>80</v>
      </c>
      <c r="F468" s="1413">
        <v>0</v>
      </c>
      <c r="G468" s="1413">
        <v>0</v>
      </c>
      <c r="H468" s="1014" t="s">
        <v>10</v>
      </c>
      <c r="I468" s="1014" t="s">
        <v>114</v>
      </c>
      <c r="J468" s="1014" t="s">
        <v>92</v>
      </c>
      <c r="K468" s="806"/>
    </row>
    <row r="469" spans="1:11" s="448" customFormat="1">
      <c r="A469" s="987" t="s">
        <v>469</v>
      </c>
      <c r="B469" s="988" t="s">
        <v>98</v>
      </c>
      <c r="C469" s="1109" t="s">
        <v>1082</v>
      </c>
      <c r="D469" s="1009" t="s">
        <v>310</v>
      </c>
      <c r="E469" s="1015" t="s">
        <v>80</v>
      </c>
      <c r="F469" s="1413">
        <v>0</v>
      </c>
      <c r="G469" s="1413">
        <v>0</v>
      </c>
      <c r="H469" s="1014" t="s">
        <v>8</v>
      </c>
      <c r="I469" s="1014" t="s">
        <v>198</v>
      </c>
      <c r="J469" s="1014" t="s">
        <v>98</v>
      </c>
      <c r="K469" s="806"/>
    </row>
    <row r="470" spans="1:11" s="448" customFormat="1">
      <c r="A470" s="987" t="s">
        <v>983</v>
      </c>
      <c r="B470" s="988" t="s">
        <v>85</v>
      </c>
      <c r="C470" s="1109" t="s">
        <v>1083</v>
      </c>
      <c r="D470" s="1009" t="s">
        <v>342</v>
      </c>
      <c r="E470" s="1015" t="s">
        <v>80</v>
      </c>
      <c r="F470" s="1414">
        <v>0</v>
      </c>
      <c r="G470" s="1413">
        <v>0</v>
      </c>
      <c r="H470" s="1014" t="s">
        <v>10</v>
      </c>
      <c r="I470" s="1014" t="s">
        <v>110</v>
      </c>
      <c r="J470" s="1014" t="s">
        <v>85</v>
      </c>
      <c r="K470" s="806"/>
    </row>
    <row r="471" spans="1:11" s="448" customFormat="1">
      <c r="A471" s="987" t="s">
        <v>966</v>
      </c>
      <c r="B471" s="988" t="s">
        <v>971</v>
      </c>
      <c r="C471" s="1109" t="s">
        <v>1084</v>
      </c>
      <c r="D471" s="1009" t="s">
        <v>310</v>
      </c>
      <c r="E471" s="1015" t="s">
        <v>80</v>
      </c>
      <c r="F471" s="1414">
        <v>1700000000</v>
      </c>
      <c r="G471" s="1413">
        <v>0</v>
      </c>
      <c r="H471" s="1014" t="s">
        <v>10</v>
      </c>
      <c r="I471" s="1014" t="s">
        <v>259</v>
      </c>
      <c r="J471" s="1014" t="s">
        <v>99</v>
      </c>
      <c r="K471" s="806"/>
    </row>
    <row r="472" spans="1:11" s="448" customFormat="1">
      <c r="A472" s="987" t="s">
        <v>983</v>
      </c>
      <c r="B472" s="988" t="s">
        <v>85</v>
      </c>
      <c r="C472" s="1109" t="s">
        <v>1085</v>
      </c>
      <c r="D472" s="1009" t="s">
        <v>310</v>
      </c>
      <c r="E472" s="1015" t="s">
        <v>80</v>
      </c>
      <c r="F472" s="1413">
        <v>0</v>
      </c>
      <c r="G472" s="1413">
        <v>0</v>
      </c>
      <c r="H472" s="1014" t="s">
        <v>10</v>
      </c>
      <c r="I472" s="1014" t="s">
        <v>110</v>
      </c>
      <c r="J472" s="1014" t="s">
        <v>85</v>
      </c>
      <c r="K472" s="806"/>
    </row>
    <row r="473" spans="1:11" s="448" customFormat="1">
      <c r="A473" s="987" t="s">
        <v>609</v>
      </c>
      <c r="B473" s="988" t="s">
        <v>85</v>
      </c>
      <c r="C473" s="1109" t="s">
        <v>1086</v>
      </c>
      <c r="D473" s="1009" t="s">
        <v>310</v>
      </c>
      <c r="E473" s="1015" t="s">
        <v>80</v>
      </c>
      <c r="F473" s="1413">
        <v>0</v>
      </c>
      <c r="G473" s="1413">
        <v>0</v>
      </c>
      <c r="H473" s="1014" t="s">
        <v>10</v>
      </c>
      <c r="I473" s="1014" t="s">
        <v>110</v>
      </c>
      <c r="J473" s="1014" t="s">
        <v>85</v>
      </c>
      <c r="K473" s="806"/>
    </row>
    <row r="474" spans="1:11" s="448" customFormat="1">
      <c r="A474" s="987" t="s">
        <v>746</v>
      </c>
      <c r="B474" s="988" t="s">
        <v>92</v>
      </c>
      <c r="C474" s="1109" t="s">
        <v>1087</v>
      </c>
      <c r="D474" s="1009" t="s">
        <v>310</v>
      </c>
      <c r="E474" s="1015" t="s">
        <v>80</v>
      </c>
      <c r="F474" s="1413">
        <v>4000000000</v>
      </c>
      <c r="G474" s="1413">
        <v>0</v>
      </c>
      <c r="H474" s="1014" t="s">
        <v>10</v>
      </c>
      <c r="I474" s="1014" t="s">
        <v>114</v>
      </c>
      <c r="J474" s="1014" t="s">
        <v>92</v>
      </c>
      <c r="K474" s="806"/>
    </row>
    <row r="475" spans="1:11" s="448" customFormat="1">
      <c r="A475" s="987" t="s">
        <v>546</v>
      </c>
      <c r="B475" s="988" t="s">
        <v>92</v>
      </c>
      <c r="C475" s="1109" t="s">
        <v>1088</v>
      </c>
      <c r="D475" s="1009" t="s">
        <v>310</v>
      </c>
      <c r="E475" s="1015" t="s">
        <v>80</v>
      </c>
      <c r="F475" s="1413">
        <v>4000000000</v>
      </c>
      <c r="G475" s="1413">
        <v>0</v>
      </c>
      <c r="H475" s="1014" t="s">
        <v>10</v>
      </c>
      <c r="I475" s="1014" t="s">
        <v>114</v>
      </c>
      <c r="J475" s="1014" t="s">
        <v>92</v>
      </c>
      <c r="K475" s="806"/>
    </row>
    <row r="476" spans="1:11" s="448" customFormat="1">
      <c r="A476" s="987" t="s">
        <v>801</v>
      </c>
      <c r="B476" s="988" t="s">
        <v>89</v>
      </c>
      <c r="C476" s="1109" t="s">
        <v>1089</v>
      </c>
      <c r="D476" s="1009" t="s">
        <v>310</v>
      </c>
      <c r="E476" s="1015" t="s">
        <v>80</v>
      </c>
      <c r="F476" s="1413">
        <v>7000000000</v>
      </c>
      <c r="G476" s="1413">
        <v>0</v>
      </c>
      <c r="H476" s="1014" t="s">
        <v>10</v>
      </c>
      <c r="I476" s="1014" t="s">
        <v>112</v>
      </c>
      <c r="J476" s="1014" t="s">
        <v>89</v>
      </c>
      <c r="K476" s="806"/>
    </row>
    <row r="477" spans="1:11" s="448" customFormat="1">
      <c r="A477" s="987" t="s">
        <v>532</v>
      </c>
      <c r="B477" s="988" t="s">
        <v>98</v>
      </c>
      <c r="C477" s="1109" t="s">
        <v>1090</v>
      </c>
      <c r="D477" s="1009" t="s">
        <v>310</v>
      </c>
      <c r="E477" s="1015" t="s">
        <v>80</v>
      </c>
      <c r="F477" s="1413">
        <v>20000000000</v>
      </c>
      <c r="G477" s="1413">
        <v>0</v>
      </c>
      <c r="H477" s="1014" t="s">
        <v>10</v>
      </c>
      <c r="I477" s="1014" t="s">
        <v>198</v>
      </c>
      <c r="J477" s="1014" t="s">
        <v>98</v>
      </c>
      <c r="K477" s="806"/>
    </row>
    <row r="478" spans="1:11" s="448" customFormat="1">
      <c r="A478" s="987" t="s">
        <v>752</v>
      </c>
      <c r="B478" s="988" t="s">
        <v>96</v>
      </c>
      <c r="C478" s="1109" t="s">
        <v>1091</v>
      </c>
      <c r="D478" s="1009" t="s">
        <v>310</v>
      </c>
      <c r="E478" s="1015" t="s">
        <v>80</v>
      </c>
      <c r="F478" s="1413">
        <v>2600000000</v>
      </c>
      <c r="G478" s="1413">
        <v>0</v>
      </c>
      <c r="H478" s="1014" t="s">
        <v>10</v>
      </c>
      <c r="I478" s="1014" t="s">
        <v>118</v>
      </c>
      <c r="J478" s="1014" t="s">
        <v>96</v>
      </c>
      <c r="K478" s="806"/>
    </row>
    <row r="479" spans="1:11" s="448" customFormat="1">
      <c r="A479" s="987" t="s">
        <v>921</v>
      </c>
      <c r="B479" s="988" t="s">
        <v>92</v>
      </c>
      <c r="C479" s="1109" t="s">
        <v>1092</v>
      </c>
      <c r="D479" s="1009" t="s">
        <v>308</v>
      </c>
      <c r="E479" s="1015" t="s">
        <v>80</v>
      </c>
      <c r="F479" s="1413">
        <v>1134540886</v>
      </c>
      <c r="G479" s="1413">
        <v>0</v>
      </c>
      <c r="H479" s="1014" t="s">
        <v>10</v>
      </c>
      <c r="I479" s="1014" t="s">
        <v>114</v>
      </c>
      <c r="J479" s="1014" t="s">
        <v>92</v>
      </c>
      <c r="K479" s="806"/>
    </row>
    <row r="480" spans="1:11" s="448" customFormat="1">
      <c r="A480" s="987" t="s">
        <v>778</v>
      </c>
      <c r="B480" s="988" t="s">
        <v>803</v>
      </c>
      <c r="C480" s="1110" t="s">
        <v>1093</v>
      </c>
      <c r="D480" s="1009" t="s">
        <v>308</v>
      </c>
      <c r="E480" s="1015" t="s">
        <v>80</v>
      </c>
      <c r="F480" s="1413">
        <v>0</v>
      </c>
      <c r="G480" s="1413">
        <v>0</v>
      </c>
      <c r="H480" s="1014" t="s">
        <v>10</v>
      </c>
      <c r="I480" s="1014" t="s">
        <v>202</v>
      </c>
      <c r="J480" s="1014" t="s">
        <v>202</v>
      </c>
      <c r="K480" s="806"/>
    </row>
    <row r="481" spans="1:11" s="448" customFormat="1">
      <c r="A481" s="987" t="s">
        <v>772</v>
      </c>
      <c r="B481" s="988" t="s">
        <v>803</v>
      </c>
      <c r="C481" s="1109" t="s">
        <v>1094</v>
      </c>
      <c r="D481" s="1009" t="s">
        <v>308</v>
      </c>
      <c r="E481" s="1015" t="s">
        <v>80</v>
      </c>
      <c r="F481" s="1413">
        <v>0</v>
      </c>
      <c r="G481" s="1413">
        <v>0</v>
      </c>
      <c r="H481" s="1014" t="s">
        <v>10</v>
      </c>
      <c r="I481" s="1014" t="s">
        <v>202</v>
      </c>
      <c r="J481" s="1014" t="s">
        <v>202</v>
      </c>
      <c r="K481" s="806"/>
    </row>
    <row r="482" spans="1:11" s="448" customFormat="1">
      <c r="A482" s="987" t="s">
        <v>792</v>
      </c>
      <c r="B482" s="988" t="s">
        <v>803</v>
      </c>
      <c r="C482" s="1109" t="s">
        <v>1095</v>
      </c>
      <c r="D482" s="1009" t="s">
        <v>308</v>
      </c>
      <c r="E482" s="1015" t="s">
        <v>80</v>
      </c>
      <c r="F482" s="1412">
        <v>0</v>
      </c>
      <c r="G482" s="1413">
        <v>0</v>
      </c>
      <c r="H482" s="1014" t="s">
        <v>10</v>
      </c>
      <c r="I482" s="1014" t="s">
        <v>202</v>
      </c>
      <c r="J482" s="1014" t="s">
        <v>202</v>
      </c>
      <c r="K482" s="806"/>
    </row>
    <row r="483" spans="1:11" s="448" customFormat="1">
      <c r="A483" s="987" t="s">
        <v>776</v>
      </c>
      <c r="B483" s="988" t="s">
        <v>803</v>
      </c>
      <c r="C483" s="1109" t="s">
        <v>1096</v>
      </c>
      <c r="D483" s="1009" t="s">
        <v>308</v>
      </c>
      <c r="E483" s="1015" t="s">
        <v>80</v>
      </c>
      <c r="F483" s="1413">
        <v>780000</v>
      </c>
      <c r="G483" s="1413">
        <v>0</v>
      </c>
      <c r="H483" s="1014" t="s">
        <v>10</v>
      </c>
      <c r="I483" s="1014" t="s">
        <v>202</v>
      </c>
      <c r="J483" s="1014" t="s">
        <v>202</v>
      </c>
      <c r="K483" s="806"/>
    </row>
    <row r="484" spans="1:11" s="448" customFormat="1">
      <c r="A484" s="987" t="s">
        <v>693</v>
      </c>
      <c r="B484" s="988" t="s">
        <v>803</v>
      </c>
      <c r="C484" s="1109" t="s">
        <v>1097</v>
      </c>
      <c r="D484" s="1009" t="s">
        <v>308</v>
      </c>
      <c r="E484" s="1015" t="s">
        <v>80</v>
      </c>
      <c r="F484" s="1412">
        <v>2390836</v>
      </c>
      <c r="G484" s="1413">
        <v>0</v>
      </c>
      <c r="H484" s="1014" t="s">
        <v>10</v>
      </c>
      <c r="I484" s="1014" t="s">
        <v>202</v>
      </c>
      <c r="J484" s="1014" t="s">
        <v>202</v>
      </c>
      <c r="K484" s="806"/>
    </row>
    <row r="485" spans="1:11" s="448" customFormat="1">
      <c r="A485" s="987" t="s">
        <v>680</v>
      </c>
      <c r="B485" s="988" t="s">
        <v>803</v>
      </c>
      <c r="C485" s="1109" t="s">
        <v>1098</v>
      </c>
      <c r="D485" s="1009" t="s">
        <v>308</v>
      </c>
      <c r="E485" s="1015" t="s">
        <v>80</v>
      </c>
      <c r="F485" s="1413">
        <v>0</v>
      </c>
      <c r="G485" s="1413">
        <v>0</v>
      </c>
      <c r="H485" s="1014" t="s">
        <v>10</v>
      </c>
      <c r="I485" s="1014" t="s">
        <v>202</v>
      </c>
      <c r="J485" s="1014" t="s">
        <v>202</v>
      </c>
      <c r="K485" s="806"/>
    </row>
    <row r="486" spans="1:11" s="448" customFormat="1">
      <c r="A486" s="987" t="s">
        <v>780</v>
      </c>
      <c r="B486" s="988" t="s">
        <v>803</v>
      </c>
      <c r="C486" s="1109" t="s">
        <v>1099</v>
      </c>
      <c r="D486" s="1009" t="s">
        <v>308</v>
      </c>
      <c r="E486" s="1015" t="s">
        <v>80</v>
      </c>
      <c r="F486" s="1414">
        <v>0</v>
      </c>
      <c r="G486" s="1413">
        <v>0</v>
      </c>
      <c r="H486" s="1014" t="s">
        <v>10</v>
      </c>
      <c r="I486" s="1014" t="s">
        <v>202</v>
      </c>
      <c r="J486" s="1014" t="s">
        <v>202</v>
      </c>
      <c r="K486" s="806"/>
    </row>
    <row r="487" spans="1:11" s="448" customFormat="1">
      <c r="A487" s="987" t="s">
        <v>695</v>
      </c>
      <c r="B487" s="988" t="s">
        <v>191</v>
      </c>
      <c r="C487" s="1109" t="s">
        <v>1100</v>
      </c>
      <c r="D487" s="1009" t="s">
        <v>308</v>
      </c>
      <c r="E487" s="1015" t="s">
        <v>80</v>
      </c>
      <c r="F487" s="1413">
        <v>22267763085</v>
      </c>
      <c r="G487" s="1413">
        <v>0</v>
      </c>
      <c r="H487" s="1014" t="s">
        <v>10</v>
      </c>
      <c r="I487" s="1014" t="s">
        <v>110</v>
      </c>
      <c r="J487" s="1014" t="s">
        <v>191</v>
      </c>
      <c r="K487" s="806"/>
    </row>
    <row r="488" spans="1:11" s="448" customFormat="1">
      <c r="A488" s="987" t="s">
        <v>703</v>
      </c>
      <c r="B488" s="988" t="s">
        <v>86</v>
      </c>
      <c r="C488" s="1110" t="s">
        <v>1101</v>
      </c>
      <c r="D488" s="1009" t="s">
        <v>310</v>
      </c>
      <c r="E488" s="1015" t="s">
        <v>80</v>
      </c>
      <c r="F488" s="1414">
        <v>0</v>
      </c>
      <c r="G488" s="1413">
        <v>0</v>
      </c>
      <c r="H488" s="1014" t="s">
        <v>10</v>
      </c>
      <c r="I488" s="1014" t="s">
        <v>110</v>
      </c>
      <c r="J488" s="1014" t="s">
        <v>86</v>
      </c>
      <c r="K488" s="806"/>
    </row>
    <row r="489" spans="1:11" s="448" customFormat="1">
      <c r="A489" s="987" t="s">
        <v>567</v>
      </c>
      <c r="B489" s="988" t="s">
        <v>93</v>
      </c>
      <c r="C489" s="1109" t="s">
        <v>1102</v>
      </c>
      <c r="D489" s="1009" t="s">
        <v>310</v>
      </c>
      <c r="E489" s="1015" t="s">
        <v>80</v>
      </c>
      <c r="F489" s="1414">
        <v>0</v>
      </c>
      <c r="G489" s="1413">
        <v>0</v>
      </c>
      <c r="H489" s="1014" t="s">
        <v>10</v>
      </c>
      <c r="I489" s="1014" t="s">
        <v>114</v>
      </c>
      <c r="J489" s="1014" t="s">
        <v>93</v>
      </c>
      <c r="K489" s="806"/>
    </row>
    <row r="490" spans="1:11" s="448" customFormat="1">
      <c r="A490" s="987" t="s">
        <v>567</v>
      </c>
      <c r="B490" s="988" t="s">
        <v>93</v>
      </c>
      <c r="C490" s="1109" t="s">
        <v>1103</v>
      </c>
      <c r="D490" s="1009" t="s">
        <v>310</v>
      </c>
      <c r="E490" s="1015" t="s">
        <v>80</v>
      </c>
      <c r="F490" s="1414">
        <v>0</v>
      </c>
      <c r="G490" s="1413">
        <v>0</v>
      </c>
      <c r="H490" s="1014" t="s">
        <v>10</v>
      </c>
      <c r="I490" s="1014" t="s">
        <v>114</v>
      </c>
      <c r="J490" s="1014" t="s">
        <v>93</v>
      </c>
      <c r="K490" s="806"/>
    </row>
    <row r="491" spans="1:11" s="448" customFormat="1">
      <c r="A491" s="987" t="s">
        <v>891</v>
      </c>
      <c r="B491" s="988" t="s">
        <v>92</v>
      </c>
      <c r="C491" s="1109" t="s">
        <v>1104</v>
      </c>
      <c r="D491" s="1009" t="s">
        <v>310</v>
      </c>
      <c r="E491" s="1015" t="s">
        <v>80</v>
      </c>
      <c r="F491" s="1412">
        <v>7400000000</v>
      </c>
      <c r="G491" s="1413">
        <v>0</v>
      </c>
      <c r="H491" s="1014" t="s">
        <v>10</v>
      </c>
      <c r="I491" s="1014" t="s">
        <v>114</v>
      </c>
      <c r="J491" s="1014" t="s">
        <v>92</v>
      </c>
      <c r="K491" s="806"/>
    </row>
    <row r="492" spans="1:11" s="448" customFormat="1">
      <c r="A492" s="987" t="s">
        <v>1058</v>
      </c>
      <c r="B492" s="988" t="s">
        <v>85</v>
      </c>
      <c r="C492" s="1109" t="s">
        <v>1105</v>
      </c>
      <c r="D492" s="1009" t="s">
        <v>308</v>
      </c>
      <c r="E492" s="1015" t="s">
        <v>80</v>
      </c>
      <c r="F492" s="1412">
        <v>0</v>
      </c>
      <c r="G492" s="1413">
        <v>0</v>
      </c>
      <c r="H492" s="1014" t="s">
        <v>10</v>
      </c>
      <c r="I492" s="1014" t="s">
        <v>110</v>
      </c>
      <c r="J492" s="1014" t="s">
        <v>85</v>
      </c>
      <c r="K492" s="806"/>
    </row>
    <row r="493" spans="1:11" s="448" customFormat="1">
      <c r="A493" s="987" t="s">
        <v>503</v>
      </c>
      <c r="B493" s="988" t="s">
        <v>85</v>
      </c>
      <c r="C493" s="1109" t="s">
        <v>1106</v>
      </c>
      <c r="D493" s="1009" t="s">
        <v>310</v>
      </c>
      <c r="E493" s="1015" t="s">
        <v>80</v>
      </c>
      <c r="F493" s="1414">
        <v>2500000000</v>
      </c>
      <c r="G493" s="1413">
        <v>0</v>
      </c>
      <c r="H493" s="1014" t="s">
        <v>10</v>
      </c>
      <c r="I493" s="1014" t="s">
        <v>110</v>
      </c>
      <c r="J493" s="1014" t="s">
        <v>85</v>
      </c>
      <c r="K493" s="806"/>
    </row>
    <row r="494" spans="1:11" s="448" customFormat="1">
      <c r="A494" s="987" t="s">
        <v>510</v>
      </c>
      <c r="B494" s="988" t="s">
        <v>85</v>
      </c>
      <c r="C494" s="1109" t="s">
        <v>1107</v>
      </c>
      <c r="D494" s="1009" t="s">
        <v>310</v>
      </c>
      <c r="E494" s="1015" t="s">
        <v>80</v>
      </c>
      <c r="F494" s="1414">
        <v>0</v>
      </c>
      <c r="G494" s="1413">
        <v>0</v>
      </c>
      <c r="H494" s="1014" t="s">
        <v>10</v>
      </c>
      <c r="I494" s="1014" t="s">
        <v>110</v>
      </c>
      <c r="J494" s="1014" t="s">
        <v>85</v>
      </c>
      <c r="K494" s="806"/>
    </row>
    <row r="495" spans="1:11" s="448" customFormat="1">
      <c r="A495" s="987" t="s">
        <v>703</v>
      </c>
      <c r="B495" s="988" t="s">
        <v>86</v>
      </c>
      <c r="C495" s="1109" t="s">
        <v>1108</v>
      </c>
      <c r="D495" s="1009" t="s">
        <v>310</v>
      </c>
      <c r="E495" s="1015" t="s">
        <v>80</v>
      </c>
      <c r="F495" s="1412">
        <v>0</v>
      </c>
      <c r="G495" s="1413">
        <v>0</v>
      </c>
      <c r="H495" s="1014" t="s">
        <v>10</v>
      </c>
      <c r="I495" s="1014" t="s">
        <v>110</v>
      </c>
      <c r="J495" s="1014" t="s">
        <v>86</v>
      </c>
      <c r="K495" s="806"/>
    </row>
    <row r="496" spans="1:11" s="448" customFormat="1">
      <c r="A496" s="987" t="s">
        <v>706</v>
      </c>
      <c r="B496" s="988" t="s">
        <v>85</v>
      </c>
      <c r="C496" s="1109" t="s">
        <v>1109</v>
      </c>
      <c r="D496" s="1009" t="s">
        <v>310</v>
      </c>
      <c r="E496" s="1015" t="s">
        <v>80</v>
      </c>
      <c r="F496" s="1414">
        <v>56000000000</v>
      </c>
      <c r="G496" s="1413">
        <v>0</v>
      </c>
      <c r="H496" s="1014" t="s">
        <v>10</v>
      </c>
      <c r="I496" s="1014" t="s">
        <v>110</v>
      </c>
      <c r="J496" s="1014" t="s">
        <v>85</v>
      </c>
      <c r="K496" s="806"/>
    </row>
    <row r="497" spans="1:11" s="448" customFormat="1">
      <c r="A497" s="987" t="s">
        <v>744</v>
      </c>
      <c r="B497" s="988" t="s">
        <v>85</v>
      </c>
      <c r="C497" s="1109" t="s">
        <v>1110</v>
      </c>
      <c r="D497" s="1009" t="s">
        <v>310</v>
      </c>
      <c r="E497" s="1015" t="s">
        <v>80</v>
      </c>
      <c r="F497" s="1414">
        <v>50000000</v>
      </c>
      <c r="G497" s="1413">
        <v>0</v>
      </c>
      <c r="H497" s="1014" t="s">
        <v>10</v>
      </c>
      <c r="I497" s="1014" t="s">
        <v>110</v>
      </c>
      <c r="J497" s="1014" t="s">
        <v>85</v>
      </c>
      <c r="K497" s="806"/>
    </row>
    <row r="498" spans="1:11" s="448" customFormat="1">
      <c r="A498" s="987" t="s">
        <v>754</v>
      </c>
      <c r="B498" s="988" t="s">
        <v>92</v>
      </c>
      <c r="C498" s="1109" t="s">
        <v>1111</v>
      </c>
      <c r="D498" s="1009" t="s">
        <v>310</v>
      </c>
      <c r="E498" s="1015" t="s">
        <v>80</v>
      </c>
      <c r="F498" s="1412">
        <v>2067551997</v>
      </c>
      <c r="G498" s="1413">
        <v>0</v>
      </c>
      <c r="H498" s="1014" t="s">
        <v>10</v>
      </c>
      <c r="I498" s="1014" t="s">
        <v>114</v>
      </c>
      <c r="J498" s="1014" t="s">
        <v>92</v>
      </c>
      <c r="K498" s="806"/>
    </row>
    <row r="499" spans="1:11" s="448" customFormat="1">
      <c r="A499" s="987" t="s">
        <v>548</v>
      </c>
      <c r="B499" s="988" t="s">
        <v>92</v>
      </c>
      <c r="C499" s="1109" t="s">
        <v>1112</v>
      </c>
      <c r="D499" s="1009" t="s">
        <v>310</v>
      </c>
      <c r="E499" s="1015" t="s">
        <v>80</v>
      </c>
      <c r="F499" s="1414">
        <v>0</v>
      </c>
      <c r="G499" s="1413">
        <v>0</v>
      </c>
      <c r="H499" s="1014" t="s">
        <v>10</v>
      </c>
      <c r="I499" s="1014" t="s">
        <v>114</v>
      </c>
      <c r="J499" s="1014" t="s">
        <v>92</v>
      </c>
      <c r="K499" s="806"/>
    </row>
    <row r="500" spans="1:11" s="448" customFormat="1">
      <c r="A500" s="987" t="s">
        <v>516</v>
      </c>
      <c r="B500" s="988" t="s">
        <v>92</v>
      </c>
      <c r="C500" s="1109" t="s">
        <v>1113</v>
      </c>
      <c r="D500" s="1009" t="s">
        <v>310</v>
      </c>
      <c r="E500" s="1015" t="s">
        <v>80</v>
      </c>
      <c r="F500" s="1412">
        <v>0</v>
      </c>
      <c r="G500" s="1413">
        <v>0</v>
      </c>
      <c r="H500" s="1014" t="s">
        <v>10</v>
      </c>
      <c r="I500" s="1014" t="s">
        <v>114</v>
      </c>
      <c r="J500" s="1014" t="s">
        <v>92</v>
      </c>
      <c r="K500" s="806"/>
    </row>
    <row r="501" spans="1:11" s="448" customFormat="1">
      <c r="A501" s="987" t="s">
        <v>516</v>
      </c>
      <c r="B501" s="988" t="s">
        <v>92</v>
      </c>
      <c r="C501" s="1109" t="s">
        <v>1114</v>
      </c>
      <c r="D501" s="1009" t="s">
        <v>310</v>
      </c>
      <c r="E501" s="1015" t="s">
        <v>80</v>
      </c>
      <c r="F501" s="1412">
        <v>9000000000</v>
      </c>
      <c r="G501" s="1413">
        <v>0</v>
      </c>
      <c r="H501" s="1014" t="s">
        <v>10</v>
      </c>
      <c r="I501" s="1014" t="s">
        <v>114</v>
      </c>
      <c r="J501" s="1014" t="s">
        <v>92</v>
      </c>
      <c r="K501" s="806"/>
    </row>
    <row r="502" spans="1:11" s="448" customFormat="1">
      <c r="A502" s="987" t="s">
        <v>582</v>
      </c>
      <c r="B502" s="988" t="s">
        <v>92</v>
      </c>
      <c r="C502" s="1109" t="s">
        <v>1115</v>
      </c>
      <c r="D502" s="1009" t="s">
        <v>310</v>
      </c>
      <c r="E502" s="1015" t="s">
        <v>80</v>
      </c>
      <c r="F502" s="1412">
        <v>0</v>
      </c>
      <c r="G502" s="1413">
        <v>0</v>
      </c>
      <c r="H502" s="1014" t="s">
        <v>67</v>
      </c>
      <c r="I502" s="1014" t="s">
        <v>114</v>
      </c>
      <c r="J502" s="1014" t="s">
        <v>92</v>
      </c>
      <c r="K502" s="806"/>
    </row>
    <row r="503" spans="1:11" s="448" customFormat="1">
      <c r="A503" s="987" t="s">
        <v>582</v>
      </c>
      <c r="B503" s="988" t="s">
        <v>92</v>
      </c>
      <c r="C503" s="1109" t="s">
        <v>1116</v>
      </c>
      <c r="D503" s="1009" t="s">
        <v>310</v>
      </c>
      <c r="E503" s="1015" t="s">
        <v>80</v>
      </c>
      <c r="F503" s="1412">
        <v>0</v>
      </c>
      <c r="G503" s="1413">
        <v>0</v>
      </c>
      <c r="H503" s="1014" t="s">
        <v>67</v>
      </c>
      <c r="I503" s="1014" t="s">
        <v>114</v>
      </c>
      <c r="J503" s="1014" t="s">
        <v>92</v>
      </c>
      <c r="K503" s="806"/>
    </row>
    <row r="504" spans="1:11" s="448" customFormat="1">
      <c r="A504" s="987" t="s">
        <v>570</v>
      </c>
      <c r="B504" s="988" t="s">
        <v>338</v>
      </c>
      <c r="C504" s="1109" t="s">
        <v>1117</v>
      </c>
      <c r="D504" s="1009" t="s">
        <v>310</v>
      </c>
      <c r="E504" s="1015" t="s">
        <v>80</v>
      </c>
      <c r="F504" s="1413">
        <v>20000000000</v>
      </c>
      <c r="G504" s="1413">
        <v>0</v>
      </c>
      <c r="H504" s="1014" t="s">
        <v>10</v>
      </c>
      <c r="I504" s="1014" t="s">
        <v>199</v>
      </c>
      <c r="J504" s="1014" t="s">
        <v>338</v>
      </c>
      <c r="K504" s="806"/>
    </row>
    <row r="505" spans="1:11" s="448" customFormat="1">
      <c r="A505" s="987" t="s">
        <v>552</v>
      </c>
      <c r="B505" s="988" t="s">
        <v>98</v>
      </c>
      <c r="C505" s="1109" t="s">
        <v>1118</v>
      </c>
      <c r="D505" s="1009" t="s">
        <v>310</v>
      </c>
      <c r="E505" s="1015" t="s">
        <v>80</v>
      </c>
      <c r="F505" s="1414">
        <v>0</v>
      </c>
      <c r="G505" s="1413">
        <v>0</v>
      </c>
      <c r="H505" s="1014" t="s">
        <v>10</v>
      </c>
      <c r="I505" s="1014" t="s">
        <v>198</v>
      </c>
      <c r="J505" s="1014" t="s">
        <v>98</v>
      </c>
      <c r="K505" s="806"/>
    </row>
    <row r="506" spans="1:11" s="448" customFormat="1">
      <c r="A506" s="987" t="s">
        <v>522</v>
      </c>
      <c r="B506" s="988" t="s">
        <v>971</v>
      </c>
      <c r="C506" s="1109" t="s">
        <v>1119</v>
      </c>
      <c r="D506" s="1009" t="s">
        <v>310</v>
      </c>
      <c r="E506" s="1015" t="s">
        <v>80</v>
      </c>
      <c r="F506" s="1413">
        <v>0</v>
      </c>
      <c r="G506" s="1413">
        <v>0</v>
      </c>
      <c r="H506" s="1014" t="s">
        <v>10</v>
      </c>
      <c r="I506" s="1014" t="s">
        <v>259</v>
      </c>
      <c r="J506" s="1014" t="s">
        <v>99</v>
      </c>
      <c r="K506" s="806"/>
    </row>
    <row r="507" spans="1:11" s="448" customFormat="1">
      <c r="A507" s="987" t="s">
        <v>522</v>
      </c>
      <c r="B507" s="988" t="s">
        <v>971</v>
      </c>
      <c r="C507" s="1109" t="s">
        <v>1120</v>
      </c>
      <c r="D507" s="1009" t="s">
        <v>310</v>
      </c>
      <c r="E507" s="1015" t="s">
        <v>80</v>
      </c>
      <c r="F507" s="1414">
        <v>0</v>
      </c>
      <c r="G507" s="1413">
        <v>0</v>
      </c>
      <c r="H507" s="1014" t="s">
        <v>10</v>
      </c>
      <c r="I507" s="1014" t="s">
        <v>259</v>
      </c>
      <c r="J507" s="1014" t="s">
        <v>99</v>
      </c>
      <c r="K507" s="806"/>
    </row>
    <row r="508" spans="1:11" s="448" customFormat="1">
      <c r="A508" s="987" t="s">
        <v>676</v>
      </c>
      <c r="B508" s="988" t="s">
        <v>89</v>
      </c>
      <c r="C508" s="1109" t="s">
        <v>1121</v>
      </c>
      <c r="D508" s="1009" t="s">
        <v>308</v>
      </c>
      <c r="E508" s="1015" t="s">
        <v>80</v>
      </c>
      <c r="F508" s="1413">
        <v>60963069</v>
      </c>
      <c r="G508" s="1413">
        <v>0</v>
      </c>
      <c r="H508" s="1014" t="s">
        <v>10</v>
      </c>
      <c r="I508" s="1014" t="s">
        <v>112</v>
      </c>
      <c r="J508" s="1014" t="s">
        <v>89</v>
      </c>
      <c r="K508" s="806"/>
    </row>
    <row r="509" spans="1:11" s="448" customFormat="1">
      <c r="A509" s="987" t="s">
        <v>582</v>
      </c>
      <c r="B509" s="988" t="s">
        <v>85</v>
      </c>
      <c r="C509" s="1109" t="s">
        <v>1122</v>
      </c>
      <c r="D509" s="1009" t="s">
        <v>308</v>
      </c>
      <c r="E509" s="1015" t="s">
        <v>80</v>
      </c>
      <c r="F509" s="1412">
        <v>320789813</v>
      </c>
      <c r="G509" s="1413">
        <v>0</v>
      </c>
      <c r="H509" s="1014" t="s">
        <v>67</v>
      </c>
      <c r="I509" s="1014" t="s">
        <v>110</v>
      </c>
      <c r="J509" s="1014" t="s">
        <v>85</v>
      </c>
      <c r="K509" s="806"/>
    </row>
    <row r="510" spans="1:11" s="448" customFormat="1">
      <c r="A510" s="987" t="s">
        <v>774</v>
      </c>
      <c r="B510" s="988" t="s">
        <v>803</v>
      </c>
      <c r="C510" s="1109" t="s">
        <v>1123</v>
      </c>
      <c r="D510" s="1009" t="s">
        <v>308</v>
      </c>
      <c r="E510" s="1015" t="s">
        <v>80</v>
      </c>
      <c r="F510" s="1413">
        <v>395000</v>
      </c>
      <c r="G510" s="1413">
        <v>0</v>
      </c>
      <c r="H510" s="1014" t="s">
        <v>10</v>
      </c>
      <c r="I510" s="1014" t="s">
        <v>202</v>
      </c>
      <c r="J510" s="1014" t="s">
        <v>202</v>
      </c>
      <c r="K510" s="806"/>
    </row>
    <row r="511" spans="1:11" s="448" customFormat="1">
      <c r="A511" s="987" t="s">
        <v>912</v>
      </c>
      <c r="B511" s="988" t="s">
        <v>89</v>
      </c>
      <c r="C511" s="1109" t="s">
        <v>1124</v>
      </c>
      <c r="D511" s="1009" t="s">
        <v>308</v>
      </c>
      <c r="E511" s="1015" t="s">
        <v>80</v>
      </c>
      <c r="F511" s="1413">
        <v>457518409</v>
      </c>
      <c r="G511" s="1413">
        <v>0</v>
      </c>
      <c r="H511" s="1014" t="s">
        <v>10</v>
      </c>
      <c r="I511" s="1014" t="s">
        <v>112</v>
      </c>
      <c r="J511" s="1014" t="s">
        <v>89</v>
      </c>
      <c r="K511" s="806"/>
    </row>
    <row r="512" spans="1:11" s="448" customFormat="1">
      <c r="A512" s="987" t="s">
        <v>1028</v>
      </c>
      <c r="B512" s="988" t="s">
        <v>191</v>
      </c>
      <c r="C512" s="1109" t="s">
        <v>1125</v>
      </c>
      <c r="D512" s="1009" t="s">
        <v>310</v>
      </c>
      <c r="E512" s="1015" t="s">
        <v>80</v>
      </c>
      <c r="F512" s="1412">
        <v>0</v>
      </c>
      <c r="G512" s="1413">
        <v>0</v>
      </c>
      <c r="H512" s="1014" t="s">
        <v>10</v>
      </c>
      <c r="I512" s="1014" t="s">
        <v>110</v>
      </c>
      <c r="J512" s="1014" t="s">
        <v>191</v>
      </c>
      <c r="K512" s="806"/>
    </row>
    <row r="513" spans="1:11" s="448" customFormat="1">
      <c r="A513" s="987" t="s">
        <v>703</v>
      </c>
      <c r="B513" s="988" t="s">
        <v>86</v>
      </c>
      <c r="C513" s="1109" t="s">
        <v>1126</v>
      </c>
      <c r="D513" s="1009" t="s">
        <v>310</v>
      </c>
      <c r="E513" s="1015" t="s">
        <v>80</v>
      </c>
      <c r="F513" s="1414">
        <v>0</v>
      </c>
      <c r="G513" s="1413">
        <v>0</v>
      </c>
      <c r="H513" s="1014" t="s">
        <v>10</v>
      </c>
      <c r="I513" s="1014" t="s">
        <v>110</v>
      </c>
      <c r="J513" s="1014" t="s">
        <v>86</v>
      </c>
      <c r="K513" s="806"/>
    </row>
    <row r="514" spans="1:11" s="448" customFormat="1">
      <c r="A514" s="987" t="s">
        <v>506</v>
      </c>
      <c r="B514" s="988" t="s">
        <v>85</v>
      </c>
      <c r="C514" s="1109" t="s">
        <v>1127</v>
      </c>
      <c r="D514" s="1009" t="s">
        <v>310</v>
      </c>
      <c r="E514" s="1015" t="s">
        <v>80</v>
      </c>
      <c r="F514" s="1412">
        <v>0</v>
      </c>
      <c r="G514" s="1413">
        <v>0</v>
      </c>
      <c r="H514" s="1014" t="s">
        <v>10</v>
      </c>
      <c r="I514" s="1014" t="s">
        <v>110</v>
      </c>
      <c r="J514" s="1014" t="s">
        <v>85</v>
      </c>
      <c r="K514" s="806"/>
    </row>
    <row r="515" spans="1:11" s="448" customFormat="1">
      <c r="A515" s="987" t="s">
        <v>567</v>
      </c>
      <c r="B515" s="988" t="s">
        <v>93</v>
      </c>
      <c r="C515" s="1109" t="s">
        <v>1128</v>
      </c>
      <c r="D515" s="1009" t="s">
        <v>310</v>
      </c>
      <c r="E515" s="1015" t="s">
        <v>80</v>
      </c>
      <c r="F515" s="1412">
        <v>0</v>
      </c>
      <c r="G515" s="1413">
        <v>0</v>
      </c>
      <c r="H515" s="1014" t="s">
        <v>10</v>
      </c>
      <c r="I515" s="1014" t="s">
        <v>114</v>
      </c>
      <c r="J515" s="1014" t="s">
        <v>93</v>
      </c>
      <c r="K515" s="806"/>
    </row>
    <row r="516" spans="1:11" s="448" customFormat="1">
      <c r="A516" s="987" t="s">
        <v>526</v>
      </c>
      <c r="B516" s="988" t="s">
        <v>89</v>
      </c>
      <c r="C516" s="1109" t="s">
        <v>5387</v>
      </c>
      <c r="D516" s="1009" t="s">
        <v>310</v>
      </c>
      <c r="E516" s="1015" t="s">
        <v>80</v>
      </c>
      <c r="F516" s="1413">
        <v>5215073357</v>
      </c>
      <c r="G516" s="1413">
        <v>0</v>
      </c>
      <c r="H516" s="1014" t="s">
        <v>10</v>
      </c>
      <c r="I516" s="1014" t="s">
        <v>112</v>
      </c>
      <c r="J516" s="1014" t="s">
        <v>89</v>
      </c>
      <c r="K516" s="806"/>
    </row>
    <row r="517" spans="1:11" s="448" customFormat="1">
      <c r="A517" s="987" t="s">
        <v>905</v>
      </c>
      <c r="B517" s="988" t="s">
        <v>92</v>
      </c>
      <c r="C517" s="1109" t="s">
        <v>1129</v>
      </c>
      <c r="D517" s="1009" t="s">
        <v>310</v>
      </c>
      <c r="E517" s="1015" t="s">
        <v>80</v>
      </c>
      <c r="F517" s="1413">
        <v>0</v>
      </c>
      <c r="G517" s="1413">
        <v>0</v>
      </c>
      <c r="H517" s="1014" t="s">
        <v>10</v>
      </c>
      <c r="I517" s="1014" t="s">
        <v>114</v>
      </c>
      <c r="J517" s="1014" t="s">
        <v>92</v>
      </c>
      <c r="K517" s="806"/>
    </row>
    <row r="518" spans="1:11" s="448" customFormat="1">
      <c r="A518" s="987" t="s">
        <v>582</v>
      </c>
      <c r="B518" s="988" t="s">
        <v>1130</v>
      </c>
      <c r="C518" s="1109" t="s">
        <v>1131</v>
      </c>
      <c r="D518" s="1009" t="s">
        <v>311</v>
      </c>
      <c r="E518" s="1015" t="s">
        <v>81</v>
      </c>
      <c r="F518" s="1413">
        <v>0</v>
      </c>
      <c r="G518" s="1413">
        <v>3517.5100000002421</v>
      </c>
      <c r="H518" s="1014" t="s">
        <v>67</v>
      </c>
      <c r="I518" s="1014" t="s">
        <v>202</v>
      </c>
      <c r="J518" s="1014" t="s">
        <v>202</v>
      </c>
      <c r="K518" s="806"/>
    </row>
    <row r="519" spans="1:11" s="448" customFormat="1">
      <c r="A519" s="987" t="s">
        <v>886</v>
      </c>
      <c r="B519" s="988" t="s">
        <v>155</v>
      </c>
      <c r="C519" s="1109" t="s">
        <v>1132</v>
      </c>
      <c r="D519" s="1009" t="s">
        <v>310</v>
      </c>
      <c r="E519" s="1015" t="s">
        <v>80</v>
      </c>
      <c r="F519" s="1414">
        <v>0</v>
      </c>
      <c r="G519" s="1413">
        <v>0</v>
      </c>
      <c r="H519" s="1014" t="s">
        <v>10</v>
      </c>
      <c r="I519" s="1014" t="s">
        <v>110</v>
      </c>
      <c r="J519" s="1014" t="s">
        <v>87</v>
      </c>
      <c r="K519" s="806"/>
    </row>
    <row r="520" spans="1:11" s="448" customFormat="1">
      <c r="A520" s="987" t="s">
        <v>541</v>
      </c>
      <c r="B520" s="988" t="s">
        <v>86</v>
      </c>
      <c r="C520" s="1109" t="s">
        <v>1133</v>
      </c>
      <c r="D520" s="1009" t="s">
        <v>310</v>
      </c>
      <c r="E520" s="1015" t="s">
        <v>80</v>
      </c>
      <c r="F520" s="1413">
        <v>0</v>
      </c>
      <c r="G520" s="1413">
        <v>0</v>
      </c>
      <c r="H520" s="1014" t="s">
        <v>10</v>
      </c>
      <c r="I520" s="1014" t="s">
        <v>110</v>
      </c>
      <c r="J520" s="1014" t="s">
        <v>86</v>
      </c>
      <c r="K520" s="806"/>
    </row>
    <row r="521" spans="1:11" s="448" customFormat="1">
      <c r="A521" s="987" t="s">
        <v>706</v>
      </c>
      <c r="B521" s="988" t="s">
        <v>85</v>
      </c>
      <c r="C521" s="1109" t="s">
        <v>1134</v>
      </c>
      <c r="D521" s="1009" t="s">
        <v>310</v>
      </c>
      <c r="E521" s="1015" t="s">
        <v>80</v>
      </c>
      <c r="F521" s="1413">
        <v>0</v>
      </c>
      <c r="G521" s="1413">
        <v>0</v>
      </c>
      <c r="H521" s="1014" t="s">
        <v>10</v>
      </c>
      <c r="I521" s="1014" t="s">
        <v>110</v>
      </c>
      <c r="J521" s="1014" t="s">
        <v>85</v>
      </c>
      <c r="K521" s="806"/>
    </row>
    <row r="522" spans="1:11" s="448" customFormat="1">
      <c r="A522" s="987" t="s">
        <v>706</v>
      </c>
      <c r="B522" s="988" t="s">
        <v>85</v>
      </c>
      <c r="C522" s="1109" t="s">
        <v>1135</v>
      </c>
      <c r="D522" s="1009" t="s">
        <v>310</v>
      </c>
      <c r="E522" s="1015" t="s">
        <v>80</v>
      </c>
      <c r="F522" s="1412">
        <v>0</v>
      </c>
      <c r="G522" s="1413">
        <v>0</v>
      </c>
      <c r="H522" s="1014" t="s">
        <v>10</v>
      </c>
      <c r="I522" s="1014" t="s">
        <v>110</v>
      </c>
      <c r="J522" s="1014" t="s">
        <v>85</v>
      </c>
      <c r="K522" s="806"/>
    </row>
    <row r="523" spans="1:11" s="448" customFormat="1">
      <c r="A523" s="987" t="s">
        <v>706</v>
      </c>
      <c r="B523" s="988" t="s">
        <v>85</v>
      </c>
      <c r="C523" s="1107" t="s">
        <v>1136</v>
      </c>
      <c r="D523" s="1009" t="s">
        <v>310</v>
      </c>
      <c r="E523" s="1015" t="s">
        <v>80</v>
      </c>
      <c r="F523" s="1413">
        <v>0</v>
      </c>
      <c r="G523" s="1413">
        <v>0</v>
      </c>
      <c r="H523" s="1014" t="s">
        <v>10</v>
      </c>
      <c r="I523" s="1014" t="s">
        <v>110</v>
      </c>
      <c r="J523" s="1014" t="s">
        <v>85</v>
      </c>
      <c r="K523" s="806"/>
    </row>
    <row r="524" spans="1:11" s="448" customFormat="1">
      <c r="A524" s="987" t="s">
        <v>710</v>
      </c>
      <c r="B524" s="988" t="s">
        <v>85</v>
      </c>
      <c r="C524" s="1107" t="s">
        <v>1137</v>
      </c>
      <c r="D524" s="1009" t="s">
        <v>310</v>
      </c>
      <c r="E524" s="1015" t="s">
        <v>80</v>
      </c>
      <c r="F524" s="1413">
        <v>0</v>
      </c>
      <c r="G524" s="1413">
        <v>0</v>
      </c>
      <c r="H524" s="1014" t="s">
        <v>10</v>
      </c>
      <c r="I524" s="1014" t="s">
        <v>110</v>
      </c>
      <c r="J524" s="1014" t="s">
        <v>85</v>
      </c>
      <c r="K524" s="806"/>
    </row>
    <row r="525" spans="1:11" s="448" customFormat="1">
      <c r="A525" s="987" t="s">
        <v>710</v>
      </c>
      <c r="B525" s="988" t="s">
        <v>85</v>
      </c>
      <c r="C525" s="1107" t="s">
        <v>1138</v>
      </c>
      <c r="D525" s="1009" t="s">
        <v>310</v>
      </c>
      <c r="E525" s="1015" t="s">
        <v>80</v>
      </c>
      <c r="F525" s="1414">
        <v>0</v>
      </c>
      <c r="G525" s="1413">
        <v>0</v>
      </c>
      <c r="H525" s="1014" t="s">
        <v>10</v>
      </c>
      <c r="I525" s="1014" t="s">
        <v>110</v>
      </c>
      <c r="J525" s="1014" t="s">
        <v>85</v>
      </c>
      <c r="K525" s="806"/>
    </row>
    <row r="526" spans="1:11" s="448" customFormat="1">
      <c r="A526" s="987" t="s">
        <v>708</v>
      </c>
      <c r="B526" s="988" t="s">
        <v>85</v>
      </c>
      <c r="C526" s="1107" t="s">
        <v>1139</v>
      </c>
      <c r="D526" s="1009" t="s">
        <v>310</v>
      </c>
      <c r="E526" s="1015" t="s">
        <v>80</v>
      </c>
      <c r="F526" s="1413">
        <v>3000000000</v>
      </c>
      <c r="G526" s="1413">
        <v>0</v>
      </c>
      <c r="H526" s="1014" t="s">
        <v>10</v>
      </c>
      <c r="I526" s="1014" t="s">
        <v>110</v>
      </c>
      <c r="J526" s="1014" t="s">
        <v>85</v>
      </c>
      <c r="K526" s="806"/>
    </row>
    <row r="527" spans="1:11" s="448" customFormat="1">
      <c r="A527" s="987" t="s">
        <v>708</v>
      </c>
      <c r="B527" s="988" t="s">
        <v>85</v>
      </c>
      <c r="C527" s="1107" t="s">
        <v>1140</v>
      </c>
      <c r="D527" s="1009" t="s">
        <v>310</v>
      </c>
      <c r="E527" s="1015" t="s">
        <v>80</v>
      </c>
      <c r="F527" s="1412">
        <v>2500000000</v>
      </c>
      <c r="G527" s="1413">
        <v>0</v>
      </c>
      <c r="H527" s="1014" t="s">
        <v>10</v>
      </c>
      <c r="I527" s="1014" t="s">
        <v>110</v>
      </c>
      <c r="J527" s="1014" t="s">
        <v>85</v>
      </c>
      <c r="K527" s="806"/>
    </row>
    <row r="528" spans="1:11" s="448" customFormat="1">
      <c r="A528" s="987" t="s">
        <v>746</v>
      </c>
      <c r="B528" s="988" t="s">
        <v>92</v>
      </c>
      <c r="C528" s="1107" t="s">
        <v>1141</v>
      </c>
      <c r="D528" s="1009" t="s">
        <v>310</v>
      </c>
      <c r="E528" s="1015" t="s">
        <v>80</v>
      </c>
      <c r="F528" s="1413">
        <v>8442365763</v>
      </c>
      <c r="G528" s="1413">
        <v>0</v>
      </c>
      <c r="H528" s="1014" t="s">
        <v>10</v>
      </c>
      <c r="I528" s="1014" t="s">
        <v>114</v>
      </c>
      <c r="J528" s="1014" t="s">
        <v>92</v>
      </c>
      <c r="K528" s="806"/>
    </row>
    <row r="529" spans="1:11" s="448" customFormat="1">
      <c r="A529" s="987" t="s">
        <v>567</v>
      </c>
      <c r="B529" s="988" t="s">
        <v>93</v>
      </c>
      <c r="C529" s="1107" t="s">
        <v>1142</v>
      </c>
      <c r="D529" s="1009" t="s">
        <v>310</v>
      </c>
      <c r="E529" s="1015" t="s">
        <v>80</v>
      </c>
      <c r="F529" s="1413">
        <v>1460000000</v>
      </c>
      <c r="G529" s="1413">
        <v>0</v>
      </c>
      <c r="H529" s="1014" t="s">
        <v>10</v>
      </c>
      <c r="I529" s="1014" t="s">
        <v>114</v>
      </c>
      <c r="J529" s="1014" t="s">
        <v>93</v>
      </c>
      <c r="K529" s="806"/>
    </row>
    <row r="530" spans="1:11" s="448" customFormat="1">
      <c r="A530" s="987" t="s">
        <v>516</v>
      </c>
      <c r="B530" s="988" t="s">
        <v>92</v>
      </c>
      <c r="C530" s="1109" t="s">
        <v>1143</v>
      </c>
      <c r="D530" s="1009" t="s">
        <v>310</v>
      </c>
      <c r="E530" s="1015" t="s">
        <v>80</v>
      </c>
      <c r="F530" s="1413">
        <v>0</v>
      </c>
      <c r="G530" s="1413">
        <v>0</v>
      </c>
      <c r="H530" s="1014" t="s">
        <v>10</v>
      </c>
      <c r="I530" s="1014" t="s">
        <v>114</v>
      </c>
      <c r="J530" s="1014" t="s">
        <v>92</v>
      </c>
      <c r="K530" s="806"/>
    </row>
    <row r="531" spans="1:11" s="448" customFormat="1">
      <c r="A531" s="987" t="s">
        <v>754</v>
      </c>
      <c r="B531" s="988" t="s">
        <v>92</v>
      </c>
      <c r="C531" s="1109" t="s">
        <v>1144</v>
      </c>
      <c r="D531" s="1009" t="s">
        <v>310</v>
      </c>
      <c r="E531" s="1015" t="s">
        <v>80</v>
      </c>
      <c r="F531" s="1413">
        <v>0</v>
      </c>
      <c r="G531" s="1413">
        <v>0</v>
      </c>
      <c r="H531" s="1014" t="s">
        <v>10</v>
      </c>
      <c r="I531" s="1014" t="s">
        <v>114</v>
      </c>
      <c r="J531" s="1014" t="s">
        <v>92</v>
      </c>
      <c r="K531" s="806"/>
    </row>
    <row r="532" spans="1:11" s="448" customFormat="1">
      <c r="A532" s="987" t="s">
        <v>761</v>
      </c>
      <c r="B532" s="988" t="s">
        <v>89</v>
      </c>
      <c r="C532" s="1109" t="s">
        <v>1145</v>
      </c>
      <c r="D532" s="1009" t="s">
        <v>310</v>
      </c>
      <c r="E532" s="1015" t="s">
        <v>80</v>
      </c>
      <c r="F532" s="1413">
        <v>0</v>
      </c>
      <c r="G532" s="1413">
        <v>0</v>
      </c>
      <c r="H532" s="1014" t="s">
        <v>10</v>
      </c>
      <c r="I532" s="1014" t="s">
        <v>112</v>
      </c>
      <c r="J532" s="1014" t="s">
        <v>89</v>
      </c>
      <c r="K532" s="806"/>
    </row>
    <row r="533" spans="1:11" s="448" customFormat="1">
      <c r="A533" s="987" t="s">
        <v>761</v>
      </c>
      <c r="B533" s="988" t="s">
        <v>89</v>
      </c>
      <c r="C533" s="1109" t="s">
        <v>1146</v>
      </c>
      <c r="D533" s="1009" t="s">
        <v>310</v>
      </c>
      <c r="E533" s="1015" t="s">
        <v>80</v>
      </c>
      <c r="F533" s="1413">
        <v>0</v>
      </c>
      <c r="G533" s="1413">
        <v>0</v>
      </c>
      <c r="H533" s="1014" t="s">
        <v>10</v>
      </c>
      <c r="I533" s="1014" t="s">
        <v>112</v>
      </c>
      <c r="J533" s="1014" t="s">
        <v>89</v>
      </c>
      <c r="K533" s="806"/>
    </row>
    <row r="534" spans="1:11" s="448" customFormat="1">
      <c r="A534" s="987" t="s">
        <v>808</v>
      </c>
      <c r="B534" s="988" t="s">
        <v>91</v>
      </c>
      <c r="C534" s="1109" t="s">
        <v>1147</v>
      </c>
      <c r="D534" s="1009" t="s">
        <v>310</v>
      </c>
      <c r="E534" s="1015" t="s">
        <v>80</v>
      </c>
      <c r="F534" s="1413">
        <v>0</v>
      </c>
      <c r="G534" s="1413">
        <v>0</v>
      </c>
      <c r="H534" s="1014" t="s">
        <v>10</v>
      </c>
      <c r="I534" s="1014" t="s">
        <v>112</v>
      </c>
      <c r="J534" s="1014" t="s">
        <v>91</v>
      </c>
      <c r="K534" s="806"/>
    </row>
    <row r="535" spans="1:11" s="448" customFormat="1">
      <c r="A535" s="987" t="s">
        <v>518</v>
      </c>
      <c r="B535" s="988" t="s">
        <v>95</v>
      </c>
      <c r="C535" s="1109" t="s">
        <v>1148</v>
      </c>
      <c r="D535" s="1009" t="s">
        <v>310</v>
      </c>
      <c r="E535" s="1015" t="s">
        <v>80</v>
      </c>
      <c r="F535" s="1413">
        <v>0</v>
      </c>
      <c r="G535" s="1413">
        <v>0</v>
      </c>
      <c r="H535" s="1014" t="s">
        <v>10</v>
      </c>
      <c r="I535" s="1014" t="s">
        <v>116</v>
      </c>
      <c r="J535" s="1014" t="s">
        <v>95</v>
      </c>
      <c r="K535" s="806"/>
    </row>
    <row r="536" spans="1:11" s="448" customFormat="1">
      <c r="A536" s="987" t="s">
        <v>469</v>
      </c>
      <c r="B536" s="988" t="s">
        <v>98</v>
      </c>
      <c r="C536" s="1109" t="s">
        <v>1149</v>
      </c>
      <c r="D536" s="1009" t="s">
        <v>310</v>
      </c>
      <c r="E536" s="1015" t="s">
        <v>80</v>
      </c>
      <c r="F536" s="1413">
        <v>0</v>
      </c>
      <c r="G536" s="1413">
        <v>0</v>
      </c>
      <c r="H536" s="1014" t="s">
        <v>8</v>
      </c>
      <c r="I536" s="1014" t="s">
        <v>198</v>
      </c>
      <c r="J536" s="1014" t="s">
        <v>98</v>
      </c>
      <c r="K536" s="806"/>
    </row>
    <row r="537" spans="1:11" s="448" customFormat="1">
      <c r="A537" s="987" t="s">
        <v>522</v>
      </c>
      <c r="B537" s="988" t="s">
        <v>971</v>
      </c>
      <c r="C537" s="1109" t="s">
        <v>1150</v>
      </c>
      <c r="D537" s="1009" t="s">
        <v>310</v>
      </c>
      <c r="E537" s="1015" t="s">
        <v>80</v>
      </c>
      <c r="F537" s="1413">
        <v>0</v>
      </c>
      <c r="G537" s="1413">
        <v>0</v>
      </c>
      <c r="H537" s="1014" t="s">
        <v>10</v>
      </c>
      <c r="I537" s="1014" t="s">
        <v>259</v>
      </c>
      <c r="J537" s="1014" t="s">
        <v>99</v>
      </c>
      <c r="K537" s="806"/>
    </row>
    <row r="538" spans="1:11" s="448" customFormat="1">
      <c r="A538" s="987" t="s">
        <v>567</v>
      </c>
      <c r="B538" s="988" t="s">
        <v>93</v>
      </c>
      <c r="C538" s="1109" t="s">
        <v>1151</v>
      </c>
      <c r="D538" s="1009" t="s">
        <v>310</v>
      </c>
      <c r="E538" s="1015" t="s">
        <v>80</v>
      </c>
      <c r="F538" s="1413">
        <v>6000000000</v>
      </c>
      <c r="G538" s="1413">
        <v>0</v>
      </c>
      <c r="H538" s="1014" t="s">
        <v>10</v>
      </c>
      <c r="I538" s="1014" t="s">
        <v>114</v>
      </c>
      <c r="J538" s="1014" t="s">
        <v>93</v>
      </c>
      <c r="K538" s="806"/>
    </row>
    <row r="539" spans="1:11" s="448" customFormat="1">
      <c r="A539" s="987" t="s">
        <v>513</v>
      </c>
      <c r="B539" s="988" t="s">
        <v>91</v>
      </c>
      <c r="C539" s="1109" t="s">
        <v>1152</v>
      </c>
      <c r="D539" s="1009" t="s">
        <v>310</v>
      </c>
      <c r="E539" s="1015" t="s">
        <v>80</v>
      </c>
      <c r="F539" s="1413">
        <v>0</v>
      </c>
      <c r="G539" s="1413">
        <v>0</v>
      </c>
      <c r="H539" s="1014" t="s">
        <v>10</v>
      </c>
      <c r="I539" s="1014" t="s">
        <v>112</v>
      </c>
      <c r="J539" s="1014" t="s">
        <v>91</v>
      </c>
      <c r="K539" s="806"/>
    </row>
    <row r="540" spans="1:11" s="448" customFormat="1">
      <c r="A540" s="987" t="s">
        <v>582</v>
      </c>
      <c r="B540" s="988" t="s">
        <v>91</v>
      </c>
      <c r="C540" s="1110" t="s">
        <v>1153</v>
      </c>
      <c r="D540" s="1009" t="s">
        <v>310</v>
      </c>
      <c r="E540" s="1015" t="s">
        <v>80</v>
      </c>
      <c r="F540" s="1413">
        <v>0</v>
      </c>
      <c r="G540" s="1413">
        <v>0</v>
      </c>
      <c r="H540" s="1014" t="s">
        <v>67</v>
      </c>
      <c r="I540" s="1014" t="s">
        <v>112</v>
      </c>
      <c r="J540" s="1014" t="s">
        <v>91</v>
      </c>
      <c r="K540" s="806"/>
    </row>
    <row r="541" spans="1:11" s="448" customFormat="1">
      <c r="A541" s="987" t="s">
        <v>582</v>
      </c>
      <c r="B541" s="988" t="s">
        <v>89</v>
      </c>
      <c r="C541" s="1110" t="s">
        <v>1154</v>
      </c>
      <c r="D541" s="1009" t="s">
        <v>310</v>
      </c>
      <c r="E541" s="1015" t="s">
        <v>80</v>
      </c>
      <c r="F541" s="1413">
        <v>0</v>
      </c>
      <c r="G541" s="1413">
        <v>0</v>
      </c>
      <c r="H541" s="1014" t="s">
        <v>67</v>
      </c>
      <c r="I541" s="1014" t="s">
        <v>112</v>
      </c>
      <c r="J541" s="1014" t="s">
        <v>89</v>
      </c>
      <c r="K541" s="806"/>
    </row>
    <row r="542" spans="1:11" s="448" customFormat="1">
      <c r="A542" s="987" t="s">
        <v>522</v>
      </c>
      <c r="B542" s="988" t="s">
        <v>971</v>
      </c>
      <c r="C542" s="1110" t="s">
        <v>1155</v>
      </c>
      <c r="D542" s="1009" t="s">
        <v>310</v>
      </c>
      <c r="E542" s="1015" t="s">
        <v>80</v>
      </c>
      <c r="F542" s="1413">
        <v>0</v>
      </c>
      <c r="G542" s="1413">
        <v>0</v>
      </c>
      <c r="H542" s="1014" t="s">
        <v>10</v>
      </c>
      <c r="I542" s="1014" t="s">
        <v>259</v>
      </c>
      <c r="J542" s="1014" t="s">
        <v>99</v>
      </c>
      <c r="K542" s="806"/>
    </row>
    <row r="543" spans="1:11" s="448" customFormat="1">
      <c r="A543" s="987" t="s">
        <v>582</v>
      </c>
      <c r="B543" s="988" t="s">
        <v>191</v>
      </c>
      <c r="C543" s="1110" t="s">
        <v>1156</v>
      </c>
      <c r="D543" s="1009" t="s">
        <v>310</v>
      </c>
      <c r="E543" s="1015" t="s">
        <v>80</v>
      </c>
      <c r="F543" s="1413">
        <v>0</v>
      </c>
      <c r="G543" s="1413">
        <v>0</v>
      </c>
      <c r="H543" s="1014" t="s">
        <v>67</v>
      </c>
      <c r="I543" s="1014" t="s">
        <v>110</v>
      </c>
      <c r="J543" s="1014" t="s">
        <v>191</v>
      </c>
      <c r="K543" s="806"/>
    </row>
    <row r="544" spans="1:11" s="448" customFormat="1">
      <c r="A544" s="987" t="s">
        <v>786</v>
      </c>
      <c r="B544" s="988" t="s">
        <v>803</v>
      </c>
      <c r="C544" s="1110" t="s">
        <v>1157</v>
      </c>
      <c r="D544" s="1009" t="s">
        <v>308</v>
      </c>
      <c r="E544" s="1015" t="s">
        <v>80</v>
      </c>
      <c r="F544" s="1413">
        <v>4612601</v>
      </c>
      <c r="G544" s="1413">
        <v>0</v>
      </c>
      <c r="H544" s="1014" t="s">
        <v>10</v>
      </c>
      <c r="I544" s="1014" t="s">
        <v>202</v>
      </c>
      <c r="J544" s="1014" t="s">
        <v>202</v>
      </c>
      <c r="K544" s="806"/>
    </row>
    <row r="545" spans="1:11" s="448" customFormat="1">
      <c r="A545" s="987" t="s">
        <v>788</v>
      </c>
      <c r="B545" s="988" t="s">
        <v>803</v>
      </c>
      <c r="C545" s="1110" t="s">
        <v>1158</v>
      </c>
      <c r="D545" s="1009" t="s">
        <v>308</v>
      </c>
      <c r="E545" s="1015" t="s">
        <v>80</v>
      </c>
      <c r="F545" s="1413">
        <v>2804709</v>
      </c>
      <c r="G545" s="1413">
        <v>0</v>
      </c>
      <c r="H545" s="1014" t="s">
        <v>10</v>
      </c>
      <c r="I545" s="1014" t="s">
        <v>202</v>
      </c>
      <c r="J545" s="1014" t="s">
        <v>202</v>
      </c>
      <c r="K545" s="806"/>
    </row>
    <row r="546" spans="1:11" s="448" customFormat="1">
      <c r="A546" s="987" t="s">
        <v>624</v>
      </c>
      <c r="B546" s="988" t="s">
        <v>803</v>
      </c>
      <c r="C546" s="1110" t="s">
        <v>1159</v>
      </c>
      <c r="D546" s="1009" t="s">
        <v>308</v>
      </c>
      <c r="E546" s="1015" t="s">
        <v>80</v>
      </c>
      <c r="F546" s="1413">
        <v>3000000</v>
      </c>
      <c r="G546" s="1413">
        <v>0</v>
      </c>
      <c r="H546" s="1014" t="s">
        <v>10</v>
      </c>
      <c r="I546" s="1014" t="s">
        <v>202</v>
      </c>
      <c r="J546" s="1014" t="s">
        <v>202</v>
      </c>
      <c r="K546" s="806"/>
    </row>
    <row r="547" spans="1:11" s="448" customFormat="1">
      <c r="A547" s="987" t="s">
        <v>703</v>
      </c>
      <c r="B547" s="988" t="s">
        <v>86</v>
      </c>
      <c r="C547" s="1110" t="s">
        <v>1160</v>
      </c>
      <c r="D547" s="1009" t="s">
        <v>310</v>
      </c>
      <c r="E547" s="1015" t="s">
        <v>80</v>
      </c>
      <c r="F547" s="1413">
        <v>0</v>
      </c>
      <c r="G547" s="1413">
        <v>0</v>
      </c>
      <c r="H547" s="1014" t="s">
        <v>10</v>
      </c>
      <c r="I547" s="1014" t="s">
        <v>110</v>
      </c>
      <c r="J547" s="1014" t="s">
        <v>86</v>
      </c>
      <c r="K547" s="806"/>
    </row>
    <row r="548" spans="1:11" s="448" customFormat="1">
      <c r="A548" s="987" t="s">
        <v>609</v>
      </c>
      <c r="B548" s="988" t="s">
        <v>341</v>
      </c>
      <c r="C548" s="1110" t="s">
        <v>1161</v>
      </c>
      <c r="D548" s="1009" t="s">
        <v>310</v>
      </c>
      <c r="E548" s="1015" t="s">
        <v>80</v>
      </c>
      <c r="F548" s="1413">
        <v>0</v>
      </c>
      <c r="G548" s="1413">
        <v>0</v>
      </c>
      <c r="H548" s="1014" t="s">
        <v>10</v>
      </c>
      <c r="I548" s="1014" t="s">
        <v>203</v>
      </c>
      <c r="J548" s="1014" t="s">
        <v>341</v>
      </c>
      <c r="K548" s="806"/>
    </row>
    <row r="549" spans="1:11" s="448" customFormat="1">
      <c r="A549" s="987" t="s">
        <v>609</v>
      </c>
      <c r="B549" s="988" t="s">
        <v>341</v>
      </c>
      <c r="C549" s="1110" t="s">
        <v>1162</v>
      </c>
      <c r="D549" s="1009" t="s">
        <v>310</v>
      </c>
      <c r="E549" s="1015" t="s">
        <v>80</v>
      </c>
      <c r="F549" s="1413">
        <v>0</v>
      </c>
      <c r="G549" s="1413">
        <v>0</v>
      </c>
      <c r="H549" s="1014" t="s">
        <v>10</v>
      </c>
      <c r="I549" s="1014" t="s">
        <v>203</v>
      </c>
      <c r="J549" s="1014" t="s">
        <v>341</v>
      </c>
      <c r="K549" s="806"/>
    </row>
    <row r="550" spans="1:11" s="448" customFormat="1">
      <c r="A550" s="987" t="s">
        <v>609</v>
      </c>
      <c r="B550" s="988" t="s">
        <v>85</v>
      </c>
      <c r="C550" s="1110" t="s">
        <v>1163</v>
      </c>
      <c r="D550" s="1009" t="s">
        <v>310</v>
      </c>
      <c r="E550" s="1015" t="s">
        <v>80</v>
      </c>
      <c r="F550" s="1413">
        <v>0</v>
      </c>
      <c r="G550" s="1413">
        <v>0</v>
      </c>
      <c r="H550" s="1014" t="s">
        <v>10</v>
      </c>
      <c r="I550" s="1014" t="s">
        <v>110</v>
      </c>
      <c r="J550" s="1014" t="s">
        <v>85</v>
      </c>
      <c r="K550" s="806"/>
    </row>
    <row r="551" spans="1:11" s="448" customFormat="1">
      <c r="A551" s="987" t="s">
        <v>567</v>
      </c>
      <c r="B551" s="988" t="s">
        <v>93</v>
      </c>
      <c r="C551" s="1110" t="s">
        <v>1164</v>
      </c>
      <c r="D551" s="1009" t="s">
        <v>310</v>
      </c>
      <c r="E551" s="1015" t="s">
        <v>80</v>
      </c>
      <c r="F551" s="1413">
        <v>0</v>
      </c>
      <c r="G551" s="1413">
        <v>0</v>
      </c>
      <c r="H551" s="1014" t="s">
        <v>10</v>
      </c>
      <c r="I551" s="1014" t="s">
        <v>114</v>
      </c>
      <c r="J551" s="1014" t="s">
        <v>93</v>
      </c>
      <c r="K551" s="806"/>
    </row>
    <row r="552" spans="1:11" s="448" customFormat="1">
      <c r="A552" s="987" t="s">
        <v>335</v>
      </c>
      <c r="B552" s="988" t="s">
        <v>94</v>
      </c>
      <c r="C552" s="1110" t="s">
        <v>1165</v>
      </c>
      <c r="D552" s="1009" t="s">
        <v>310</v>
      </c>
      <c r="E552" s="1015" t="s">
        <v>80</v>
      </c>
      <c r="F552" s="1413">
        <v>0</v>
      </c>
      <c r="G552" s="1413">
        <v>0</v>
      </c>
      <c r="H552" s="1014" t="s">
        <v>10</v>
      </c>
      <c r="I552" s="1014" t="s">
        <v>114</v>
      </c>
      <c r="J552" s="1014" t="s">
        <v>94</v>
      </c>
      <c r="K552" s="806"/>
    </row>
    <row r="553" spans="1:11" s="448" customFormat="1">
      <c r="A553" s="987" t="s">
        <v>469</v>
      </c>
      <c r="B553" s="988" t="s">
        <v>98</v>
      </c>
      <c r="C553" s="1110" t="s">
        <v>1166</v>
      </c>
      <c r="D553" s="1009" t="s">
        <v>310</v>
      </c>
      <c r="E553" s="1015" t="s">
        <v>80</v>
      </c>
      <c r="F553" s="1413">
        <v>0</v>
      </c>
      <c r="G553" s="1413">
        <v>0</v>
      </c>
      <c r="H553" s="1014" t="s">
        <v>8</v>
      </c>
      <c r="I553" s="1014" t="s">
        <v>198</v>
      </c>
      <c r="J553" s="1014" t="s">
        <v>98</v>
      </c>
      <c r="K553" s="806"/>
    </row>
    <row r="554" spans="1:11" s="448" customFormat="1">
      <c r="A554" s="987" t="s">
        <v>710</v>
      </c>
      <c r="B554" s="988" t="s">
        <v>85</v>
      </c>
      <c r="C554" s="1110" t="s">
        <v>1167</v>
      </c>
      <c r="D554" s="1009" t="s">
        <v>310</v>
      </c>
      <c r="E554" s="1015" t="s">
        <v>80</v>
      </c>
      <c r="F554" s="1413">
        <v>2647867968</v>
      </c>
      <c r="G554" s="1413">
        <v>0</v>
      </c>
      <c r="H554" s="1014" t="s">
        <v>10</v>
      </c>
      <c r="I554" s="1014" t="s">
        <v>110</v>
      </c>
      <c r="J554" s="1014" t="s">
        <v>85</v>
      </c>
      <c r="K554" s="806"/>
    </row>
    <row r="555" spans="1:11" s="448" customFormat="1">
      <c r="A555" s="987" t="s">
        <v>710</v>
      </c>
      <c r="B555" s="988" t="s">
        <v>85</v>
      </c>
      <c r="C555" s="1110" t="s">
        <v>1168</v>
      </c>
      <c r="D555" s="1009" t="s">
        <v>310</v>
      </c>
      <c r="E555" s="1015" t="s">
        <v>80</v>
      </c>
      <c r="F555" s="1413">
        <v>3277700640</v>
      </c>
      <c r="G555" s="1413">
        <v>0</v>
      </c>
      <c r="H555" s="1014" t="s">
        <v>10</v>
      </c>
      <c r="I555" s="1014" t="s">
        <v>110</v>
      </c>
      <c r="J555" s="1014" t="s">
        <v>85</v>
      </c>
      <c r="K555" s="806"/>
    </row>
    <row r="556" spans="1:11" s="448" customFormat="1">
      <c r="A556" s="987" t="s">
        <v>714</v>
      </c>
      <c r="B556" s="988" t="s">
        <v>153</v>
      </c>
      <c r="C556" s="1110" t="s">
        <v>1169</v>
      </c>
      <c r="D556" s="1009" t="s">
        <v>310</v>
      </c>
      <c r="E556" s="1015" t="s">
        <v>80</v>
      </c>
      <c r="F556" s="1413">
        <v>0</v>
      </c>
      <c r="G556" s="1413">
        <v>0</v>
      </c>
      <c r="H556" s="1014" t="s">
        <v>10</v>
      </c>
      <c r="I556" s="1014" t="s">
        <v>110</v>
      </c>
      <c r="J556" s="1014" t="s">
        <v>87</v>
      </c>
      <c r="K556" s="806"/>
    </row>
    <row r="557" spans="1:11" s="448" customFormat="1">
      <c r="A557" s="987" t="s">
        <v>606</v>
      </c>
      <c r="B557" s="988" t="s">
        <v>803</v>
      </c>
      <c r="C557" s="1110" t="s">
        <v>1170</v>
      </c>
      <c r="D557" s="1009" t="s">
        <v>308</v>
      </c>
      <c r="E557" s="1015" t="s">
        <v>80</v>
      </c>
      <c r="F557" s="1413">
        <v>3000000</v>
      </c>
      <c r="G557" s="1413">
        <v>0</v>
      </c>
      <c r="H557" s="1014" t="s">
        <v>10</v>
      </c>
      <c r="I557" s="1014" t="s">
        <v>202</v>
      </c>
      <c r="J557" s="1014" t="s">
        <v>202</v>
      </c>
      <c r="K557" s="806"/>
    </row>
    <row r="558" spans="1:11" s="448" customFormat="1">
      <c r="A558" s="987" t="s">
        <v>499</v>
      </c>
      <c r="B558" s="988" t="s">
        <v>85</v>
      </c>
      <c r="C558" s="1110" t="s">
        <v>1171</v>
      </c>
      <c r="D558" s="1009" t="s">
        <v>310</v>
      </c>
      <c r="E558" s="1015" t="s">
        <v>80</v>
      </c>
      <c r="F558" s="1413">
        <v>16000000000</v>
      </c>
      <c r="G558" s="1413">
        <v>0</v>
      </c>
      <c r="H558" s="1014" t="s">
        <v>10</v>
      </c>
      <c r="I558" s="1014" t="s">
        <v>110</v>
      </c>
      <c r="J558" s="1014" t="s">
        <v>85</v>
      </c>
      <c r="K558" s="806"/>
    </row>
    <row r="559" spans="1:11" s="448" customFormat="1">
      <c r="A559" s="987" t="s">
        <v>582</v>
      </c>
      <c r="B559" s="988" t="s">
        <v>191</v>
      </c>
      <c r="C559" s="1110" t="s">
        <v>1172</v>
      </c>
      <c r="D559" s="1009" t="s">
        <v>310</v>
      </c>
      <c r="E559" s="1015" t="s">
        <v>80</v>
      </c>
      <c r="F559" s="1414">
        <v>0</v>
      </c>
      <c r="G559" s="1413">
        <v>0</v>
      </c>
      <c r="H559" s="1014" t="s">
        <v>67</v>
      </c>
      <c r="I559" s="1014" t="s">
        <v>110</v>
      </c>
      <c r="J559" s="1014" t="s">
        <v>191</v>
      </c>
      <c r="K559" s="806"/>
    </row>
    <row r="560" spans="1:11" s="448" customFormat="1">
      <c r="A560" s="987" t="s">
        <v>1020</v>
      </c>
      <c r="B560" s="988" t="s">
        <v>191</v>
      </c>
      <c r="C560" s="1110" t="s">
        <v>1173</v>
      </c>
      <c r="D560" s="1009" t="s">
        <v>310</v>
      </c>
      <c r="E560" s="1015" t="s">
        <v>80</v>
      </c>
      <c r="F560" s="1414">
        <v>0</v>
      </c>
      <c r="G560" s="1413">
        <v>0</v>
      </c>
      <c r="H560" s="1014" t="s">
        <v>10</v>
      </c>
      <c r="I560" s="1014" t="s">
        <v>110</v>
      </c>
      <c r="J560" s="1014" t="s">
        <v>191</v>
      </c>
      <c r="K560" s="806"/>
    </row>
    <row r="561" spans="1:10">
      <c r="A561" s="987" t="s">
        <v>801</v>
      </c>
      <c r="B561" s="988" t="s">
        <v>89</v>
      </c>
      <c r="C561" s="1107" t="s">
        <v>1174</v>
      </c>
      <c r="D561" s="1009" t="s">
        <v>310</v>
      </c>
      <c r="E561" s="1015" t="s">
        <v>80</v>
      </c>
      <c r="F561" s="1414">
        <v>0</v>
      </c>
      <c r="G561" s="1413">
        <v>0</v>
      </c>
      <c r="H561" s="1014" t="s">
        <v>10</v>
      </c>
      <c r="I561" s="1014" t="s">
        <v>112</v>
      </c>
      <c r="J561" s="1014" t="s">
        <v>89</v>
      </c>
    </row>
    <row r="562" spans="1:10">
      <c r="A562" s="987" t="s">
        <v>801</v>
      </c>
      <c r="B562" s="988" t="s">
        <v>89</v>
      </c>
      <c r="C562" s="1107" t="s">
        <v>1175</v>
      </c>
      <c r="D562" s="1009" t="s">
        <v>310</v>
      </c>
      <c r="E562" s="1015" t="s">
        <v>80</v>
      </c>
      <c r="F562" s="1413">
        <v>0</v>
      </c>
      <c r="G562" s="1413">
        <v>0</v>
      </c>
      <c r="H562" s="1014" t="s">
        <v>10</v>
      </c>
      <c r="I562" s="1014" t="s">
        <v>112</v>
      </c>
      <c r="J562" s="1014" t="s">
        <v>89</v>
      </c>
    </row>
    <row r="563" spans="1:10">
      <c r="A563" s="987" t="s">
        <v>801</v>
      </c>
      <c r="B563" s="988" t="s">
        <v>89</v>
      </c>
      <c r="C563" s="1107" t="s">
        <v>1176</v>
      </c>
      <c r="D563" s="1009" t="s">
        <v>310</v>
      </c>
      <c r="E563" s="1015" t="s">
        <v>80</v>
      </c>
      <c r="F563" s="1414">
        <v>5000000000</v>
      </c>
      <c r="G563" s="1413">
        <v>0</v>
      </c>
      <c r="H563" s="1014" t="s">
        <v>10</v>
      </c>
      <c r="I563" s="1014" t="s">
        <v>112</v>
      </c>
      <c r="J563" s="1014" t="s">
        <v>89</v>
      </c>
    </row>
    <row r="564" spans="1:10">
      <c r="A564" s="987" t="s">
        <v>469</v>
      </c>
      <c r="B564" s="988" t="s">
        <v>153</v>
      </c>
      <c r="C564" s="1107" t="s">
        <v>1177</v>
      </c>
      <c r="D564" s="1009" t="s">
        <v>310</v>
      </c>
      <c r="E564" s="1015" t="s">
        <v>80</v>
      </c>
      <c r="F564" s="1413">
        <v>0</v>
      </c>
      <c r="G564" s="1413">
        <v>0</v>
      </c>
      <c r="H564" s="1014" t="s">
        <v>8</v>
      </c>
      <c r="I564" s="1014" t="s">
        <v>110</v>
      </c>
      <c r="J564" s="1014" t="s">
        <v>87</v>
      </c>
    </row>
    <row r="565" spans="1:10">
      <c r="A565" s="987" t="s">
        <v>665</v>
      </c>
      <c r="B565" s="988" t="s">
        <v>85</v>
      </c>
      <c r="C565" s="1107" t="s">
        <v>1178</v>
      </c>
      <c r="D565" s="1009" t="s">
        <v>310</v>
      </c>
      <c r="E565" s="1015" t="s">
        <v>80</v>
      </c>
      <c r="F565" s="1413">
        <v>0</v>
      </c>
      <c r="G565" s="1413">
        <v>0</v>
      </c>
      <c r="H565" s="1014" t="s">
        <v>10</v>
      </c>
      <c r="I565" s="1014" t="s">
        <v>110</v>
      </c>
      <c r="J565" s="1014" t="s">
        <v>85</v>
      </c>
    </row>
    <row r="566" spans="1:10">
      <c r="A566" s="987" t="s">
        <v>665</v>
      </c>
      <c r="B566" s="988" t="s">
        <v>85</v>
      </c>
      <c r="C566" s="1109" t="s">
        <v>1179</v>
      </c>
      <c r="D566" s="1009" t="s">
        <v>310</v>
      </c>
      <c r="E566" s="1015" t="s">
        <v>80</v>
      </c>
      <c r="F566" s="1413">
        <v>3000000000</v>
      </c>
      <c r="G566" s="1413">
        <v>0</v>
      </c>
      <c r="H566" s="1014" t="s">
        <v>10</v>
      </c>
      <c r="I566" s="1014" t="s">
        <v>110</v>
      </c>
      <c r="J566" s="1014" t="s">
        <v>85</v>
      </c>
    </row>
    <row r="567" spans="1:10">
      <c r="A567" s="987" t="s">
        <v>1028</v>
      </c>
      <c r="B567" s="988" t="s">
        <v>191</v>
      </c>
      <c r="C567" s="1109" t="s">
        <v>1180</v>
      </c>
      <c r="D567" s="1009" t="s">
        <v>310</v>
      </c>
      <c r="E567" s="1015" t="s">
        <v>80</v>
      </c>
      <c r="F567" s="1413">
        <v>0</v>
      </c>
      <c r="G567" s="1413">
        <v>0</v>
      </c>
      <c r="H567" s="1014" t="s">
        <v>10</v>
      </c>
      <c r="I567" s="1014" t="s">
        <v>110</v>
      </c>
      <c r="J567" s="1014" t="s">
        <v>191</v>
      </c>
    </row>
    <row r="568" spans="1:10">
      <c r="A568" s="987" t="s">
        <v>703</v>
      </c>
      <c r="B568" s="988" t="s">
        <v>86</v>
      </c>
      <c r="C568" s="1109" t="s">
        <v>1181</v>
      </c>
      <c r="D568" s="1009" t="s">
        <v>310</v>
      </c>
      <c r="E568" s="1015" t="s">
        <v>80</v>
      </c>
      <c r="F568" s="1413">
        <v>0</v>
      </c>
      <c r="G568" s="1413">
        <v>0</v>
      </c>
      <c r="H568" s="1014" t="s">
        <v>10</v>
      </c>
      <c r="I568" s="1014" t="s">
        <v>110</v>
      </c>
      <c r="J568" s="1014" t="s">
        <v>86</v>
      </c>
    </row>
    <row r="569" spans="1:10">
      <c r="A569" s="987" t="s">
        <v>499</v>
      </c>
      <c r="B569" s="988" t="s">
        <v>85</v>
      </c>
      <c r="C569" s="1109" t="s">
        <v>1182</v>
      </c>
      <c r="D569" s="1009" t="s">
        <v>310</v>
      </c>
      <c r="E569" s="1015" t="s">
        <v>80</v>
      </c>
      <c r="F569" s="1413">
        <v>0</v>
      </c>
      <c r="G569" s="1413">
        <v>0</v>
      </c>
      <c r="H569" s="1014" t="s">
        <v>10</v>
      </c>
      <c r="I569" s="1014" t="s">
        <v>110</v>
      </c>
      <c r="J569" s="1014" t="s">
        <v>85</v>
      </c>
    </row>
    <row r="570" spans="1:10">
      <c r="A570" s="987" t="s">
        <v>499</v>
      </c>
      <c r="B570" s="988" t="s">
        <v>85</v>
      </c>
      <c r="C570" s="1109" t="s">
        <v>1183</v>
      </c>
      <c r="D570" s="1009" t="s">
        <v>310</v>
      </c>
      <c r="E570" s="1015" t="s">
        <v>80</v>
      </c>
      <c r="F570" s="1413">
        <v>0</v>
      </c>
      <c r="G570" s="1413">
        <v>0</v>
      </c>
      <c r="H570" s="1014" t="s">
        <v>10</v>
      </c>
      <c r="I570" s="1014" t="s">
        <v>110</v>
      </c>
      <c r="J570" s="1014" t="s">
        <v>85</v>
      </c>
    </row>
    <row r="571" spans="1:10">
      <c r="A571" s="987" t="s">
        <v>541</v>
      </c>
      <c r="B571" s="988" t="s">
        <v>86</v>
      </c>
      <c r="C571" s="1109" t="s">
        <v>1184</v>
      </c>
      <c r="D571" s="1009" t="s">
        <v>310</v>
      </c>
      <c r="E571" s="1015" t="s">
        <v>80</v>
      </c>
      <c r="F571" s="1413">
        <v>0</v>
      </c>
      <c r="G571" s="1413">
        <v>0</v>
      </c>
      <c r="H571" s="1014" t="s">
        <v>10</v>
      </c>
      <c r="I571" s="1014" t="s">
        <v>110</v>
      </c>
      <c r="J571" s="1014" t="s">
        <v>86</v>
      </c>
    </row>
    <row r="572" spans="1:10">
      <c r="A572" s="987" t="s">
        <v>1010</v>
      </c>
      <c r="B572" s="988" t="s">
        <v>191</v>
      </c>
      <c r="C572" s="1109" t="s">
        <v>1185</v>
      </c>
      <c r="D572" s="1009" t="s">
        <v>310</v>
      </c>
      <c r="E572" s="1015" t="s">
        <v>80</v>
      </c>
      <c r="F572" s="1413">
        <v>9000000000</v>
      </c>
      <c r="G572" s="1413">
        <v>0</v>
      </c>
      <c r="H572" s="1014" t="s">
        <v>10</v>
      </c>
      <c r="I572" s="1014" t="s">
        <v>110</v>
      </c>
      <c r="J572" s="1014" t="s">
        <v>191</v>
      </c>
    </row>
    <row r="573" spans="1:10">
      <c r="A573" s="987" t="s">
        <v>503</v>
      </c>
      <c r="B573" s="988" t="s">
        <v>85</v>
      </c>
      <c r="C573" s="1109" t="s">
        <v>1186</v>
      </c>
      <c r="D573" s="1009" t="s">
        <v>310</v>
      </c>
      <c r="E573" s="1015" t="s">
        <v>80</v>
      </c>
      <c r="F573" s="1413">
        <v>4000000000</v>
      </c>
      <c r="G573" s="1413">
        <v>0</v>
      </c>
      <c r="H573" s="1014" t="s">
        <v>10</v>
      </c>
      <c r="I573" s="1014" t="s">
        <v>110</v>
      </c>
      <c r="J573" s="1014" t="s">
        <v>85</v>
      </c>
    </row>
    <row r="574" spans="1:10">
      <c r="A574" s="987" t="s">
        <v>503</v>
      </c>
      <c r="B574" s="988" t="s">
        <v>85</v>
      </c>
      <c r="C574" s="1109" t="s">
        <v>1187</v>
      </c>
      <c r="D574" s="1009" t="s">
        <v>310</v>
      </c>
      <c r="E574" s="1015" t="s">
        <v>80</v>
      </c>
      <c r="F574" s="1413">
        <v>0</v>
      </c>
      <c r="G574" s="1413">
        <v>0</v>
      </c>
      <c r="H574" s="1014" t="s">
        <v>10</v>
      </c>
      <c r="I574" s="1014" t="s">
        <v>110</v>
      </c>
      <c r="J574" s="1014" t="s">
        <v>85</v>
      </c>
    </row>
    <row r="575" spans="1:10">
      <c r="A575" s="987" t="s">
        <v>506</v>
      </c>
      <c r="B575" s="988" t="s">
        <v>85</v>
      </c>
      <c r="C575" s="1109" t="s">
        <v>1188</v>
      </c>
      <c r="D575" s="1009" t="s">
        <v>310</v>
      </c>
      <c r="E575" s="1015" t="s">
        <v>80</v>
      </c>
      <c r="F575" s="1413">
        <v>0</v>
      </c>
      <c r="G575" s="1413">
        <v>0</v>
      </c>
      <c r="H575" s="1014" t="s">
        <v>10</v>
      </c>
      <c r="I575" s="1014" t="s">
        <v>110</v>
      </c>
      <c r="J575" s="1014" t="s">
        <v>85</v>
      </c>
    </row>
    <row r="576" spans="1:10">
      <c r="A576" s="987" t="s">
        <v>609</v>
      </c>
      <c r="B576" s="988" t="s">
        <v>85</v>
      </c>
      <c r="C576" s="1110" t="s">
        <v>1189</v>
      </c>
      <c r="D576" s="1009" t="s">
        <v>310</v>
      </c>
      <c r="E576" s="1015" t="s">
        <v>80</v>
      </c>
      <c r="F576" s="1413">
        <v>0</v>
      </c>
      <c r="G576" s="1413">
        <v>0</v>
      </c>
      <c r="H576" s="1014" t="s">
        <v>10</v>
      </c>
      <c r="I576" s="1014" t="s">
        <v>110</v>
      </c>
      <c r="J576" s="1014" t="s">
        <v>85</v>
      </c>
    </row>
    <row r="577" spans="1:10">
      <c r="A577" s="987" t="s">
        <v>567</v>
      </c>
      <c r="B577" s="988" t="s">
        <v>93</v>
      </c>
      <c r="C577" s="1110" t="s">
        <v>1190</v>
      </c>
      <c r="D577" s="1009" t="s">
        <v>310</v>
      </c>
      <c r="E577" s="1015" t="s">
        <v>80</v>
      </c>
      <c r="F577" s="1413">
        <v>4000000000</v>
      </c>
      <c r="G577" s="1413">
        <v>0</v>
      </c>
      <c r="H577" s="1014" t="s">
        <v>10</v>
      </c>
      <c r="I577" s="1014" t="s">
        <v>114</v>
      </c>
      <c r="J577" s="1014" t="s">
        <v>93</v>
      </c>
    </row>
    <row r="578" spans="1:10">
      <c r="A578" s="987" t="s">
        <v>335</v>
      </c>
      <c r="B578" s="988" t="s">
        <v>94</v>
      </c>
      <c r="C578" s="1110" t="s">
        <v>1191</v>
      </c>
      <c r="D578" s="1009" t="s">
        <v>310</v>
      </c>
      <c r="E578" s="1015" t="s">
        <v>80</v>
      </c>
      <c r="F578" s="1413">
        <v>0</v>
      </c>
      <c r="G578" s="1413">
        <v>0</v>
      </c>
      <c r="H578" s="1014" t="s">
        <v>10</v>
      </c>
      <c r="I578" s="1014" t="s">
        <v>114</v>
      </c>
      <c r="J578" s="1014" t="s">
        <v>94</v>
      </c>
    </row>
    <row r="579" spans="1:10">
      <c r="A579" s="987" t="s">
        <v>548</v>
      </c>
      <c r="B579" s="988" t="s">
        <v>92</v>
      </c>
      <c r="C579" s="1110" t="s">
        <v>1192</v>
      </c>
      <c r="D579" s="1009" t="s">
        <v>310</v>
      </c>
      <c r="E579" s="1015" t="s">
        <v>80</v>
      </c>
      <c r="F579" s="1413">
        <v>8000000000</v>
      </c>
      <c r="G579" s="1413">
        <v>0</v>
      </c>
      <c r="H579" s="1014" t="s">
        <v>10</v>
      </c>
      <c r="I579" s="1014" t="s">
        <v>114</v>
      </c>
      <c r="J579" s="1014" t="s">
        <v>92</v>
      </c>
    </row>
    <row r="580" spans="1:10">
      <c r="A580" s="987" t="s">
        <v>754</v>
      </c>
      <c r="B580" s="988" t="s">
        <v>92</v>
      </c>
      <c r="C580" s="1110" t="s">
        <v>1193</v>
      </c>
      <c r="D580" s="1009" t="s">
        <v>310</v>
      </c>
      <c r="E580" s="1015" t="s">
        <v>80</v>
      </c>
      <c r="F580" s="1413">
        <v>0</v>
      </c>
      <c r="G580" s="1413">
        <v>0</v>
      </c>
      <c r="H580" s="1014" t="s">
        <v>10</v>
      </c>
      <c r="I580" s="1014" t="s">
        <v>114</v>
      </c>
      <c r="J580" s="1014" t="s">
        <v>92</v>
      </c>
    </row>
    <row r="581" spans="1:10">
      <c r="A581" s="987" t="s">
        <v>754</v>
      </c>
      <c r="B581" s="988" t="s">
        <v>92</v>
      </c>
      <c r="C581" s="1110" t="s">
        <v>1194</v>
      </c>
      <c r="D581" s="1009" t="s">
        <v>310</v>
      </c>
      <c r="E581" s="1015" t="s">
        <v>80</v>
      </c>
      <c r="F581" s="1413">
        <v>0</v>
      </c>
      <c r="G581" s="1413">
        <v>0</v>
      </c>
      <c r="H581" s="1014" t="s">
        <v>10</v>
      </c>
      <c r="I581" s="1014" t="s">
        <v>114</v>
      </c>
      <c r="J581" s="1014" t="s">
        <v>92</v>
      </c>
    </row>
    <row r="582" spans="1:10">
      <c r="A582" s="987" t="s">
        <v>754</v>
      </c>
      <c r="B582" s="988" t="s">
        <v>92</v>
      </c>
      <c r="C582" s="1110" t="s">
        <v>1195</v>
      </c>
      <c r="D582" s="1009" t="s">
        <v>310</v>
      </c>
      <c r="E582" s="1015" t="s">
        <v>80</v>
      </c>
      <c r="F582" s="1413">
        <v>0</v>
      </c>
      <c r="G582" s="1413">
        <v>0</v>
      </c>
      <c r="H582" s="1014" t="s">
        <v>10</v>
      </c>
      <c r="I582" s="1014" t="s">
        <v>114</v>
      </c>
      <c r="J582" s="1014" t="s">
        <v>92</v>
      </c>
    </row>
    <row r="583" spans="1:10">
      <c r="A583" s="987" t="s">
        <v>516</v>
      </c>
      <c r="B583" s="988" t="s">
        <v>92</v>
      </c>
      <c r="C583" s="1110" t="s">
        <v>1196</v>
      </c>
      <c r="D583" s="1009" t="s">
        <v>310</v>
      </c>
      <c r="E583" s="1015" t="s">
        <v>80</v>
      </c>
      <c r="F583" s="1413">
        <v>0</v>
      </c>
      <c r="G583" s="1413">
        <v>0</v>
      </c>
      <c r="H583" s="1014" t="s">
        <v>10</v>
      </c>
      <c r="I583" s="1014" t="s">
        <v>114</v>
      </c>
      <c r="J583" s="1014" t="s">
        <v>92</v>
      </c>
    </row>
    <row r="584" spans="1:10">
      <c r="A584" s="987" t="s">
        <v>516</v>
      </c>
      <c r="B584" s="988" t="s">
        <v>92</v>
      </c>
      <c r="C584" s="1110" t="s">
        <v>1197</v>
      </c>
      <c r="D584" s="1009" t="s">
        <v>310</v>
      </c>
      <c r="E584" s="1015" t="s">
        <v>80</v>
      </c>
      <c r="F584" s="1413">
        <v>0</v>
      </c>
      <c r="G584" s="1413">
        <v>0</v>
      </c>
      <c r="H584" s="1014" t="s">
        <v>10</v>
      </c>
      <c r="I584" s="1014" t="s">
        <v>114</v>
      </c>
      <c r="J584" s="1014" t="s">
        <v>92</v>
      </c>
    </row>
    <row r="585" spans="1:10">
      <c r="A585" s="987" t="s">
        <v>516</v>
      </c>
      <c r="B585" s="988" t="s">
        <v>92</v>
      </c>
      <c r="C585" s="1110" t="s">
        <v>1198</v>
      </c>
      <c r="D585" s="1009" t="s">
        <v>310</v>
      </c>
      <c r="E585" s="1015" t="s">
        <v>80</v>
      </c>
      <c r="F585" s="1413">
        <v>0</v>
      </c>
      <c r="G585" s="1413">
        <v>0</v>
      </c>
      <c r="H585" s="1014" t="s">
        <v>10</v>
      </c>
      <c r="I585" s="1014" t="s">
        <v>114</v>
      </c>
      <c r="J585" s="1014" t="s">
        <v>92</v>
      </c>
    </row>
    <row r="586" spans="1:10">
      <c r="A586" s="987" t="s">
        <v>761</v>
      </c>
      <c r="B586" s="988" t="s">
        <v>89</v>
      </c>
      <c r="C586" s="1110" t="s">
        <v>1199</v>
      </c>
      <c r="D586" s="1009" t="s">
        <v>310</v>
      </c>
      <c r="E586" s="1015" t="s">
        <v>80</v>
      </c>
      <c r="F586" s="1413">
        <v>0</v>
      </c>
      <c r="G586" s="1413">
        <v>0</v>
      </c>
      <c r="H586" s="1014" t="s">
        <v>10</v>
      </c>
      <c r="I586" s="1014" t="s">
        <v>112</v>
      </c>
      <c r="J586" s="1014" t="s">
        <v>89</v>
      </c>
    </row>
    <row r="587" spans="1:10">
      <c r="A587" s="987" t="s">
        <v>761</v>
      </c>
      <c r="B587" s="988" t="s">
        <v>89</v>
      </c>
      <c r="C587" s="1110" t="s">
        <v>1200</v>
      </c>
      <c r="D587" s="1009" t="s">
        <v>310</v>
      </c>
      <c r="E587" s="1015" t="s">
        <v>80</v>
      </c>
      <c r="F587" s="1413">
        <v>0</v>
      </c>
      <c r="G587" s="1413">
        <v>0</v>
      </c>
      <c r="H587" s="1014" t="s">
        <v>10</v>
      </c>
      <c r="I587" s="1014" t="s">
        <v>112</v>
      </c>
      <c r="J587" s="1014" t="s">
        <v>89</v>
      </c>
    </row>
    <row r="588" spans="1:10">
      <c r="A588" s="987" t="s">
        <v>761</v>
      </c>
      <c r="B588" s="988" t="s">
        <v>89</v>
      </c>
      <c r="C588" s="1110" t="s">
        <v>1201</v>
      </c>
      <c r="D588" s="1009" t="s">
        <v>310</v>
      </c>
      <c r="E588" s="1015" t="s">
        <v>80</v>
      </c>
      <c r="F588" s="1413">
        <v>0</v>
      </c>
      <c r="G588" s="1413">
        <v>0</v>
      </c>
      <c r="H588" s="1014" t="s">
        <v>10</v>
      </c>
      <c r="I588" s="1014" t="s">
        <v>112</v>
      </c>
      <c r="J588" s="1014" t="s">
        <v>89</v>
      </c>
    </row>
    <row r="589" spans="1:10">
      <c r="A589" s="987" t="s">
        <v>761</v>
      </c>
      <c r="B589" s="988" t="s">
        <v>89</v>
      </c>
      <c r="C589" s="1110" t="s">
        <v>1202</v>
      </c>
      <c r="D589" s="1009" t="s">
        <v>310</v>
      </c>
      <c r="E589" s="1015" t="s">
        <v>80</v>
      </c>
      <c r="F589" s="1413">
        <v>0</v>
      </c>
      <c r="G589" s="1413">
        <v>0</v>
      </c>
      <c r="H589" s="1014" t="s">
        <v>10</v>
      </c>
      <c r="I589" s="1014" t="s">
        <v>112</v>
      </c>
      <c r="J589" s="1014" t="s">
        <v>89</v>
      </c>
    </row>
    <row r="590" spans="1:10">
      <c r="A590" s="987" t="s">
        <v>518</v>
      </c>
      <c r="B590" s="988" t="s">
        <v>95</v>
      </c>
      <c r="C590" s="1110" t="s">
        <v>1203</v>
      </c>
      <c r="D590" s="1009" t="s">
        <v>310</v>
      </c>
      <c r="E590" s="1015" t="s">
        <v>80</v>
      </c>
      <c r="F590" s="1413">
        <v>0</v>
      </c>
      <c r="G590" s="1413">
        <v>0</v>
      </c>
      <c r="H590" s="1014" t="s">
        <v>10</v>
      </c>
      <c r="I590" s="1014" t="s">
        <v>116</v>
      </c>
      <c r="J590" s="1014" t="s">
        <v>95</v>
      </c>
    </row>
    <row r="591" spans="1:10">
      <c r="A591" s="987" t="s">
        <v>518</v>
      </c>
      <c r="B591" s="988" t="s">
        <v>95</v>
      </c>
      <c r="C591" s="1110" t="s">
        <v>1204</v>
      </c>
      <c r="D591" s="1009" t="s">
        <v>310</v>
      </c>
      <c r="E591" s="1015" t="s">
        <v>80</v>
      </c>
      <c r="F591" s="1413">
        <v>0</v>
      </c>
      <c r="G591" s="1413">
        <v>0</v>
      </c>
      <c r="H591" s="1014" t="s">
        <v>10</v>
      </c>
      <c r="I591" s="1014" t="s">
        <v>116</v>
      </c>
      <c r="J591" s="1014" t="s">
        <v>95</v>
      </c>
    </row>
    <row r="592" spans="1:10">
      <c r="A592" s="987" t="s">
        <v>532</v>
      </c>
      <c r="B592" s="988" t="s">
        <v>98</v>
      </c>
      <c r="C592" s="1110" t="s">
        <v>1205</v>
      </c>
      <c r="D592" s="1009" t="s">
        <v>310</v>
      </c>
      <c r="E592" s="1015" t="s">
        <v>80</v>
      </c>
      <c r="F592" s="1413">
        <v>0</v>
      </c>
      <c r="G592" s="1413">
        <v>0</v>
      </c>
      <c r="H592" s="1014" t="s">
        <v>10</v>
      </c>
      <c r="I592" s="1014" t="s">
        <v>198</v>
      </c>
      <c r="J592" s="1014" t="s">
        <v>98</v>
      </c>
    </row>
    <row r="593" spans="1:10">
      <c r="A593" s="987" t="s">
        <v>522</v>
      </c>
      <c r="B593" s="988" t="s">
        <v>971</v>
      </c>
      <c r="C593" s="1109" t="s">
        <v>1206</v>
      </c>
      <c r="D593" s="1009" t="s">
        <v>310</v>
      </c>
      <c r="E593" s="1015" t="s">
        <v>80</v>
      </c>
      <c r="F593" s="1413">
        <v>0</v>
      </c>
      <c r="G593" s="1413">
        <v>0</v>
      </c>
      <c r="H593" s="1014" t="s">
        <v>10</v>
      </c>
      <c r="I593" s="1014" t="s">
        <v>259</v>
      </c>
      <c r="J593" s="1014" t="s">
        <v>99</v>
      </c>
    </row>
    <row r="594" spans="1:10">
      <c r="A594" s="987" t="s">
        <v>552</v>
      </c>
      <c r="B594" s="988" t="s">
        <v>98</v>
      </c>
      <c r="C594" s="1109" t="s">
        <v>1207</v>
      </c>
      <c r="D594" s="1009" t="s">
        <v>311</v>
      </c>
      <c r="E594" s="1015" t="s">
        <v>80</v>
      </c>
      <c r="F594" s="1413">
        <v>166362241</v>
      </c>
      <c r="G594" s="1413">
        <v>0</v>
      </c>
      <c r="H594" s="1014" t="s">
        <v>10</v>
      </c>
      <c r="I594" s="1014" t="s">
        <v>198</v>
      </c>
      <c r="J594" s="1014" t="s">
        <v>98</v>
      </c>
    </row>
    <row r="595" spans="1:10">
      <c r="A595" s="987" t="s">
        <v>645</v>
      </c>
      <c r="B595" s="988" t="s">
        <v>85</v>
      </c>
      <c r="C595" s="1109" t="s">
        <v>1208</v>
      </c>
      <c r="D595" s="1009" t="s">
        <v>310</v>
      </c>
      <c r="E595" s="1015" t="s">
        <v>80</v>
      </c>
      <c r="F595" s="1413">
        <v>4000000000</v>
      </c>
      <c r="G595" s="1413">
        <v>0</v>
      </c>
      <c r="H595" s="1014" t="s">
        <v>10</v>
      </c>
      <c r="I595" s="1014" t="s">
        <v>110</v>
      </c>
      <c r="J595" s="1014" t="s">
        <v>85</v>
      </c>
    </row>
    <row r="596" spans="1:10">
      <c r="A596" s="987" t="s">
        <v>703</v>
      </c>
      <c r="B596" s="988" t="s">
        <v>86</v>
      </c>
      <c r="C596" s="1109" t="s">
        <v>1209</v>
      </c>
      <c r="D596" s="1009" t="s">
        <v>310</v>
      </c>
      <c r="E596" s="1015" t="s">
        <v>80</v>
      </c>
      <c r="F596" s="1413">
        <v>0</v>
      </c>
      <c r="G596" s="1413">
        <v>0</v>
      </c>
      <c r="H596" s="1014" t="s">
        <v>10</v>
      </c>
      <c r="I596" s="1014" t="s">
        <v>110</v>
      </c>
      <c r="J596" s="1014" t="s">
        <v>86</v>
      </c>
    </row>
    <row r="597" spans="1:10">
      <c r="A597" s="987" t="s">
        <v>541</v>
      </c>
      <c r="B597" s="988" t="s">
        <v>86</v>
      </c>
      <c r="C597" s="1109" t="s">
        <v>1210</v>
      </c>
      <c r="D597" s="1009" t="s">
        <v>310</v>
      </c>
      <c r="E597" s="1015" t="s">
        <v>80</v>
      </c>
      <c r="F597" s="1413">
        <v>0</v>
      </c>
      <c r="G597" s="1413">
        <v>0</v>
      </c>
      <c r="H597" s="1014" t="s">
        <v>10</v>
      </c>
      <c r="I597" s="1014" t="s">
        <v>110</v>
      </c>
      <c r="J597" s="1014" t="s">
        <v>86</v>
      </c>
    </row>
    <row r="598" spans="1:10">
      <c r="A598" s="987" t="s">
        <v>1020</v>
      </c>
      <c r="B598" s="988" t="s">
        <v>191</v>
      </c>
      <c r="C598" s="1109" t="s">
        <v>1211</v>
      </c>
      <c r="D598" s="1009" t="s">
        <v>310</v>
      </c>
      <c r="E598" s="1015" t="s">
        <v>80</v>
      </c>
      <c r="F598" s="1413">
        <v>0</v>
      </c>
      <c r="G598" s="1413">
        <v>0</v>
      </c>
      <c r="H598" s="1014" t="s">
        <v>10</v>
      </c>
      <c r="I598" s="1014" t="s">
        <v>110</v>
      </c>
      <c r="J598" s="1014" t="s">
        <v>191</v>
      </c>
    </row>
    <row r="599" spans="1:10">
      <c r="A599" s="987" t="s">
        <v>1020</v>
      </c>
      <c r="B599" s="988" t="s">
        <v>191</v>
      </c>
      <c r="C599" s="1109" t="s">
        <v>1212</v>
      </c>
      <c r="D599" s="1009" t="s">
        <v>310</v>
      </c>
      <c r="E599" s="1015" t="s">
        <v>80</v>
      </c>
      <c r="F599" s="1413">
        <v>0</v>
      </c>
      <c r="G599" s="1413">
        <v>0</v>
      </c>
      <c r="H599" s="1014" t="s">
        <v>10</v>
      </c>
      <c r="I599" s="1014" t="s">
        <v>110</v>
      </c>
      <c r="J599" s="1014" t="s">
        <v>191</v>
      </c>
    </row>
    <row r="600" spans="1:10">
      <c r="A600" s="987" t="s">
        <v>609</v>
      </c>
      <c r="B600" s="988" t="s">
        <v>85</v>
      </c>
      <c r="C600" s="1109" t="s">
        <v>1213</v>
      </c>
      <c r="D600" s="1009" t="s">
        <v>310</v>
      </c>
      <c r="E600" s="1015" t="s">
        <v>80</v>
      </c>
      <c r="F600" s="1413">
        <v>0</v>
      </c>
      <c r="G600" s="1413">
        <v>0</v>
      </c>
      <c r="H600" s="1014" t="s">
        <v>10</v>
      </c>
      <c r="I600" s="1014" t="s">
        <v>110</v>
      </c>
      <c r="J600" s="1014" t="s">
        <v>85</v>
      </c>
    </row>
    <row r="601" spans="1:10">
      <c r="A601" s="987" t="s">
        <v>609</v>
      </c>
      <c r="B601" s="988" t="s">
        <v>341</v>
      </c>
      <c r="C601" s="1109" t="s">
        <v>1214</v>
      </c>
      <c r="D601" s="1009" t="s">
        <v>308</v>
      </c>
      <c r="E601" s="1015" t="s">
        <v>80</v>
      </c>
      <c r="F601" s="1413">
        <v>36723090671</v>
      </c>
      <c r="G601" s="1413">
        <v>0</v>
      </c>
      <c r="H601" s="1014" t="s">
        <v>10</v>
      </c>
      <c r="I601" s="1014" t="s">
        <v>203</v>
      </c>
      <c r="J601" s="1014" t="s">
        <v>341</v>
      </c>
    </row>
    <row r="602" spans="1:10">
      <c r="A602" s="987" t="s">
        <v>609</v>
      </c>
      <c r="B602" s="988" t="s">
        <v>341</v>
      </c>
      <c r="C602" s="1109" t="s">
        <v>1215</v>
      </c>
      <c r="D602" s="1009" t="s">
        <v>310</v>
      </c>
      <c r="E602" s="1015" t="s">
        <v>80</v>
      </c>
      <c r="F602" s="1413">
        <v>0</v>
      </c>
      <c r="G602" s="1413">
        <v>0</v>
      </c>
      <c r="H602" s="1014" t="s">
        <v>10</v>
      </c>
      <c r="I602" s="1014" t="s">
        <v>203</v>
      </c>
      <c r="J602" s="1014" t="s">
        <v>341</v>
      </c>
    </row>
    <row r="603" spans="1:10">
      <c r="A603" s="987" t="s">
        <v>516</v>
      </c>
      <c r="B603" s="988" t="s">
        <v>92</v>
      </c>
      <c r="C603" s="1110" t="s">
        <v>1216</v>
      </c>
      <c r="D603" s="1009" t="s">
        <v>310</v>
      </c>
      <c r="E603" s="1015" t="s">
        <v>80</v>
      </c>
      <c r="F603" s="1413">
        <v>0</v>
      </c>
      <c r="G603" s="1413">
        <v>0</v>
      </c>
      <c r="H603" s="1014" t="s">
        <v>10</v>
      </c>
      <c r="I603" s="1014" t="s">
        <v>114</v>
      </c>
      <c r="J603" s="1014" t="s">
        <v>92</v>
      </c>
    </row>
    <row r="604" spans="1:10">
      <c r="A604" s="987" t="s">
        <v>905</v>
      </c>
      <c r="B604" s="988" t="s">
        <v>92</v>
      </c>
      <c r="C604" s="1110" t="s">
        <v>1217</v>
      </c>
      <c r="D604" s="1009" t="s">
        <v>310</v>
      </c>
      <c r="E604" s="1015" t="s">
        <v>80</v>
      </c>
      <c r="F604" s="1413">
        <v>0</v>
      </c>
      <c r="G604" s="1413">
        <v>0</v>
      </c>
      <c r="H604" s="1014" t="s">
        <v>10</v>
      </c>
      <c r="I604" s="1014" t="s">
        <v>114</v>
      </c>
      <c r="J604" s="1014" t="s">
        <v>92</v>
      </c>
    </row>
    <row r="605" spans="1:10">
      <c r="A605" s="987" t="s">
        <v>513</v>
      </c>
      <c r="B605" s="988" t="s">
        <v>91</v>
      </c>
      <c r="C605" s="1110" t="s">
        <v>1218</v>
      </c>
      <c r="D605" s="1009" t="s">
        <v>310</v>
      </c>
      <c r="E605" s="1015" t="s">
        <v>80</v>
      </c>
      <c r="F605" s="1413">
        <v>0</v>
      </c>
      <c r="G605" s="1413">
        <v>0</v>
      </c>
      <c r="H605" s="1014" t="s">
        <v>10</v>
      </c>
      <c r="I605" s="1014" t="s">
        <v>112</v>
      </c>
      <c r="J605" s="1014" t="s">
        <v>91</v>
      </c>
    </row>
    <row r="606" spans="1:10">
      <c r="A606" s="987" t="s">
        <v>526</v>
      </c>
      <c r="B606" s="988" t="s">
        <v>89</v>
      </c>
      <c r="C606" s="1110" t="s">
        <v>1219</v>
      </c>
      <c r="D606" s="1009" t="s">
        <v>310</v>
      </c>
      <c r="E606" s="1015" t="s">
        <v>80</v>
      </c>
      <c r="F606" s="1413">
        <v>0</v>
      </c>
      <c r="G606" s="1413">
        <v>0</v>
      </c>
      <c r="H606" s="1014" t="s">
        <v>10</v>
      </c>
      <c r="I606" s="1014" t="s">
        <v>112</v>
      </c>
      <c r="J606" s="1014" t="s">
        <v>89</v>
      </c>
    </row>
    <row r="607" spans="1:10">
      <c r="A607" s="987" t="s">
        <v>801</v>
      </c>
      <c r="B607" s="988" t="s">
        <v>89</v>
      </c>
      <c r="C607" s="1110" t="s">
        <v>1220</v>
      </c>
      <c r="D607" s="1009" t="s">
        <v>310</v>
      </c>
      <c r="E607" s="1015" t="s">
        <v>80</v>
      </c>
      <c r="F607" s="1413">
        <v>3000000000</v>
      </c>
      <c r="G607" s="1413">
        <v>0</v>
      </c>
      <c r="H607" s="1014" t="s">
        <v>10</v>
      </c>
      <c r="I607" s="1014" t="s">
        <v>112</v>
      </c>
      <c r="J607" s="1014" t="s">
        <v>89</v>
      </c>
    </row>
    <row r="608" spans="1:10">
      <c r="A608" s="987" t="s">
        <v>801</v>
      </c>
      <c r="B608" s="988" t="s">
        <v>89</v>
      </c>
      <c r="C608" s="1110" t="s">
        <v>1221</v>
      </c>
      <c r="D608" s="1009" t="s">
        <v>310</v>
      </c>
      <c r="E608" s="1015" t="s">
        <v>80</v>
      </c>
      <c r="F608" s="1413">
        <v>0</v>
      </c>
      <c r="G608" s="1413">
        <v>0</v>
      </c>
      <c r="H608" s="1014" t="s">
        <v>10</v>
      </c>
      <c r="I608" s="1014" t="s">
        <v>112</v>
      </c>
      <c r="J608" s="1014" t="s">
        <v>89</v>
      </c>
    </row>
    <row r="609" spans="1:10">
      <c r="A609" s="987" t="s">
        <v>552</v>
      </c>
      <c r="B609" s="988" t="s">
        <v>98</v>
      </c>
      <c r="C609" s="1110" t="s">
        <v>1222</v>
      </c>
      <c r="D609" s="1009" t="s">
        <v>310</v>
      </c>
      <c r="E609" s="1015" t="s">
        <v>80</v>
      </c>
      <c r="F609" s="1413">
        <v>0</v>
      </c>
      <c r="G609" s="1413">
        <v>0</v>
      </c>
      <c r="H609" s="1014" t="s">
        <v>10</v>
      </c>
      <c r="I609" s="1014" t="s">
        <v>198</v>
      </c>
      <c r="J609" s="1014" t="s">
        <v>98</v>
      </c>
    </row>
    <row r="610" spans="1:10">
      <c r="A610" s="987" t="s">
        <v>469</v>
      </c>
      <c r="B610" s="988" t="s">
        <v>98</v>
      </c>
      <c r="C610" s="1110" t="s">
        <v>1223</v>
      </c>
      <c r="D610" s="1009" t="s">
        <v>310</v>
      </c>
      <c r="E610" s="1015" t="s">
        <v>80</v>
      </c>
      <c r="F610" s="1413">
        <v>0</v>
      </c>
      <c r="G610" s="1413">
        <v>0</v>
      </c>
      <c r="H610" s="1014" t="s">
        <v>8</v>
      </c>
      <c r="I610" s="1014" t="s">
        <v>198</v>
      </c>
      <c r="J610" s="1014" t="s">
        <v>98</v>
      </c>
    </row>
    <row r="611" spans="1:10">
      <c r="A611" s="987" t="s">
        <v>522</v>
      </c>
      <c r="B611" s="988" t="s">
        <v>971</v>
      </c>
      <c r="C611" s="1110" t="s">
        <v>1224</v>
      </c>
      <c r="D611" s="1009" t="s">
        <v>310</v>
      </c>
      <c r="E611" s="1015" t="s">
        <v>80</v>
      </c>
      <c r="F611" s="1413">
        <v>0</v>
      </c>
      <c r="G611" s="1413">
        <v>0</v>
      </c>
      <c r="H611" s="1014" t="s">
        <v>10</v>
      </c>
      <c r="I611" s="1014" t="s">
        <v>259</v>
      </c>
      <c r="J611" s="1014" t="s">
        <v>99</v>
      </c>
    </row>
    <row r="612" spans="1:10">
      <c r="A612" s="987" t="s">
        <v>522</v>
      </c>
      <c r="B612" s="988" t="s">
        <v>971</v>
      </c>
      <c r="C612" s="1110" t="s">
        <v>1225</v>
      </c>
      <c r="D612" s="1009" t="s">
        <v>310</v>
      </c>
      <c r="E612" s="1015" t="s">
        <v>80</v>
      </c>
      <c r="F612" s="1413">
        <v>0</v>
      </c>
      <c r="G612" s="1413">
        <v>0</v>
      </c>
      <c r="H612" s="1014" t="s">
        <v>10</v>
      </c>
      <c r="I612" s="1014" t="s">
        <v>259</v>
      </c>
      <c r="J612" s="1014" t="s">
        <v>99</v>
      </c>
    </row>
    <row r="613" spans="1:10">
      <c r="A613" s="987" t="s">
        <v>1226</v>
      </c>
      <c r="B613" s="988" t="s">
        <v>85</v>
      </c>
      <c r="C613" s="1110" t="s">
        <v>1227</v>
      </c>
      <c r="D613" s="1009" t="s">
        <v>308</v>
      </c>
      <c r="E613" s="1015" t="s">
        <v>80</v>
      </c>
      <c r="F613" s="1413">
        <v>9652303411</v>
      </c>
      <c r="G613" s="1413">
        <v>0</v>
      </c>
      <c r="H613" s="1014" t="s">
        <v>10</v>
      </c>
      <c r="I613" s="1014" t="s">
        <v>110</v>
      </c>
      <c r="J613" s="1014" t="s">
        <v>85</v>
      </c>
    </row>
    <row r="614" spans="1:10">
      <c r="A614" s="987" t="s">
        <v>541</v>
      </c>
      <c r="B614" s="988" t="s">
        <v>86</v>
      </c>
      <c r="C614" s="1110" t="s">
        <v>1228</v>
      </c>
      <c r="D614" s="1009" t="s">
        <v>310</v>
      </c>
      <c r="E614" s="1015" t="s">
        <v>80</v>
      </c>
      <c r="F614" s="1413">
        <v>0</v>
      </c>
      <c r="G614" s="1413">
        <v>0</v>
      </c>
      <c r="H614" s="1014" t="s">
        <v>10</v>
      </c>
      <c r="I614" s="1014" t="s">
        <v>110</v>
      </c>
      <c r="J614" s="1014" t="s">
        <v>86</v>
      </c>
    </row>
    <row r="615" spans="1:10">
      <c r="A615" s="987" t="s">
        <v>516</v>
      </c>
      <c r="B615" s="988" t="s">
        <v>92</v>
      </c>
      <c r="C615" s="1110" t="s">
        <v>1229</v>
      </c>
      <c r="D615" s="1009" t="s">
        <v>310</v>
      </c>
      <c r="E615" s="1015" t="s">
        <v>80</v>
      </c>
      <c r="F615" s="1413">
        <v>0</v>
      </c>
      <c r="G615" s="1413">
        <v>0</v>
      </c>
      <c r="H615" s="1014" t="s">
        <v>10</v>
      </c>
      <c r="I615" s="1014" t="s">
        <v>114</v>
      </c>
      <c r="J615" s="1014" t="s">
        <v>92</v>
      </c>
    </row>
    <row r="616" spans="1:10">
      <c r="A616" s="987" t="s">
        <v>516</v>
      </c>
      <c r="B616" s="988" t="s">
        <v>92</v>
      </c>
      <c r="C616" s="1109" t="s">
        <v>1230</v>
      </c>
      <c r="D616" s="1009" t="s">
        <v>310</v>
      </c>
      <c r="E616" s="1015" t="s">
        <v>80</v>
      </c>
      <c r="F616" s="1413">
        <v>100000000</v>
      </c>
      <c r="G616" s="1413">
        <v>0</v>
      </c>
      <c r="H616" s="1014" t="s">
        <v>10</v>
      </c>
      <c r="I616" s="1014" t="s">
        <v>114</v>
      </c>
      <c r="J616" s="1014" t="s">
        <v>92</v>
      </c>
    </row>
    <row r="617" spans="1:10">
      <c r="A617" s="987" t="s">
        <v>546</v>
      </c>
      <c r="B617" s="988" t="s">
        <v>92</v>
      </c>
      <c r="C617" s="1109" t="s">
        <v>1231</v>
      </c>
      <c r="D617" s="1009" t="s">
        <v>310</v>
      </c>
      <c r="E617" s="1015" t="s">
        <v>80</v>
      </c>
      <c r="F617" s="1413">
        <v>2000000000</v>
      </c>
      <c r="G617" s="1413">
        <v>0</v>
      </c>
      <c r="H617" s="1014" t="s">
        <v>10</v>
      </c>
      <c r="I617" s="1014" t="s">
        <v>114</v>
      </c>
      <c r="J617" s="1014" t="s">
        <v>92</v>
      </c>
    </row>
    <row r="618" spans="1:10">
      <c r="A618" s="987" t="s">
        <v>546</v>
      </c>
      <c r="B618" s="988" t="s">
        <v>92</v>
      </c>
      <c r="C618" s="1109" t="s">
        <v>1232</v>
      </c>
      <c r="D618" s="1009" t="s">
        <v>310</v>
      </c>
      <c r="E618" s="1015" t="s">
        <v>80</v>
      </c>
      <c r="F618" s="1413">
        <v>0</v>
      </c>
      <c r="G618" s="1413">
        <v>0</v>
      </c>
      <c r="H618" s="1014" t="s">
        <v>10</v>
      </c>
      <c r="I618" s="1014" t="s">
        <v>114</v>
      </c>
      <c r="J618" s="1014" t="s">
        <v>92</v>
      </c>
    </row>
    <row r="619" spans="1:10">
      <c r="A619" s="987" t="s">
        <v>546</v>
      </c>
      <c r="B619" s="988" t="s">
        <v>92</v>
      </c>
      <c r="C619" s="1110" t="s">
        <v>1233</v>
      </c>
      <c r="D619" s="1009" t="s">
        <v>310</v>
      </c>
      <c r="E619" s="1015" t="s">
        <v>80</v>
      </c>
      <c r="F619" s="1413">
        <v>0</v>
      </c>
      <c r="G619" s="1413">
        <v>0</v>
      </c>
      <c r="H619" s="1014" t="s">
        <v>10</v>
      </c>
      <c r="I619" s="1014" t="s">
        <v>114</v>
      </c>
      <c r="J619" s="1014" t="s">
        <v>92</v>
      </c>
    </row>
    <row r="620" spans="1:10">
      <c r="A620" s="987" t="s">
        <v>546</v>
      </c>
      <c r="B620" s="988" t="s">
        <v>92</v>
      </c>
      <c r="C620" s="1110" t="s">
        <v>1234</v>
      </c>
      <c r="D620" s="1009" t="s">
        <v>310</v>
      </c>
      <c r="E620" s="1015" t="s">
        <v>80</v>
      </c>
      <c r="F620" s="1413">
        <v>0</v>
      </c>
      <c r="G620" s="1413">
        <v>0</v>
      </c>
      <c r="H620" s="1014" t="s">
        <v>10</v>
      </c>
      <c r="I620" s="1014" t="s">
        <v>114</v>
      </c>
      <c r="J620" s="1014" t="s">
        <v>92</v>
      </c>
    </row>
    <row r="621" spans="1:10">
      <c r="A621" s="987" t="s">
        <v>808</v>
      </c>
      <c r="B621" s="988" t="s">
        <v>91</v>
      </c>
      <c r="C621" s="1110" t="s">
        <v>1235</v>
      </c>
      <c r="D621" s="1009" t="s">
        <v>310</v>
      </c>
      <c r="E621" s="1015" t="s">
        <v>80</v>
      </c>
      <c r="F621" s="1413">
        <v>0</v>
      </c>
      <c r="G621" s="1413">
        <v>0</v>
      </c>
      <c r="H621" s="1014" t="s">
        <v>10</v>
      </c>
      <c r="I621" s="1014" t="s">
        <v>112</v>
      </c>
      <c r="J621" s="1014" t="s">
        <v>91</v>
      </c>
    </row>
    <row r="622" spans="1:10">
      <c r="A622" s="987" t="s">
        <v>552</v>
      </c>
      <c r="B622" s="988" t="s">
        <v>98</v>
      </c>
      <c r="C622" s="1110" t="s">
        <v>1236</v>
      </c>
      <c r="D622" s="1009" t="s">
        <v>310</v>
      </c>
      <c r="E622" s="1015" t="s">
        <v>80</v>
      </c>
      <c r="F622" s="1413">
        <v>0</v>
      </c>
      <c r="G622" s="1413">
        <v>0</v>
      </c>
      <c r="H622" s="1014" t="s">
        <v>10</v>
      </c>
      <c r="I622" s="1014" t="s">
        <v>198</v>
      </c>
      <c r="J622" s="1014" t="s">
        <v>98</v>
      </c>
    </row>
    <row r="623" spans="1:10">
      <c r="A623" s="987" t="s">
        <v>522</v>
      </c>
      <c r="B623" s="988" t="s">
        <v>971</v>
      </c>
      <c r="C623" s="1110" t="s">
        <v>1237</v>
      </c>
      <c r="D623" s="1009" t="s">
        <v>310</v>
      </c>
      <c r="E623" s="1015" t="s">
        <v>80</v>
      </c>
      <c r="F623" s="1413">
        <v>0</v>
      </c>
      <c r="G623" s="1413">
        <v>0</v>
      </c>
      <c r="H623" s="1014" t="s">
        <v>10</v>
      </c>
      <c r="I623" s="1014" t="s">
        <v>259</v>
      </c>
      <c r="J623" s="1014" t="s">
        <v>99</v>
      </c>
    </row>
    <row r="624" spans="1:10">
      <c r="A624" s="987" t="s">
        <v>703</v>
      </c>
      <c r="B624" s="988" t="s">
        <v>86</v>
      </c>
      <c r="C624" s="1110" t="s">
        <v>1238</v>
      </c>
      <c r="D624" s="1009" t="s">
        <v>310</v>
      </c>
      <c r="E624" s="1015" t="s">
        <v>80</v>
      </c>
      <c r="F624" s="1413">
        <v>0</v>
      </c>
      <c r="G624" s="1413">
        <v>0</v>
      </c>
      <c r="H624" s="1014" t="s">
        <v>10</v>
      </c>
      <c r="I624" s="1014" t="s">
        <v>110</v>
      </c>
      <c r="J624" s="1014" t="s">
        <v>86</v>
      </c>
    </row>
    <row r="625" spans="1:10">
      <c r="A625" s="987" t="s">
        <v>554</v>
      </c>
      <c r="B625" s="988" t="s">
        <v>88</v>
      </c>
      <c r="C625" s="1110" t="s">
        <v>1239</v>
      </c>
      <c r="D625" s="1009" t="s">
        <v>310</v>
      </c>
      <c r="E625" s="1015" t="s">
        <v>80</v>
      </c>
      <c r="F625" s="1413">
        <v>0</v>
      </c>
      <c r="G625" s="1413">
        <v>0</v>
      </c>
      <c r="H625" s="1014" t="s">
        <v>10</v>
      </c>
      <c r="I625" s="1014" t="s">
        <v>110</v>
      </c>
      <c r="J625" s="1014" t="s">
        <v>88</v>
      </c>
    </row>
    <row r="626" spans="1:10">
      <c r="A626" s="987" t="s">
        <v>665</v>
      </c>
      <c r="B626" s="988" t="s">
        <v>85</v>
      </c>
      <c r="C626" s="1110" t="s">
        <v>1240</v>
      </c>
      <c r="D626" s="1009" t="s">
        <v>310</v>
      </c>
      <c r="E626" s="1015" t="s">
        <v>80</v>
      </c>
      <c r="F626" s="1413">
        <v>0</v>
      </c>
      <c r="G626" s="1413">
        <v>0</v>
      </c>
      <c r="H626" s="1014" t="s">
        <v>10</v>
      </c>
      <c r="I626" s="1014" t="s">
        <v>110</v>
      </c>
      <c r="J626" s="1014" t="s">
        <v>85</v>
      </c>
    </row>
    <row r="627" spans="1:10">
      <c r="A627" s="987" t="s">
        <v>469</v>
      </c>
      <c r="B627" s="988" t="s">
        <v>153</v>
      </c>
      <c r="C627" s="1110" t="s">
        <v>1241</v>
      </c>
      <c r="D627" s="1009" t="s">
        <v>310</v>
      </c>
      <c r="E627" s="1015" t="s">
        <v>80</v>
      </c>
      <c r="F627" s="1413">
        <v>0</v>
      </c>
      <c r="G627" s="1413">
        <v>0</v>
      </c>
      <c r="H627" s="1014" t="s">
        <v>8</v>
      </c>
      <c r="I627" s="1014" t="s">
        <v>110</v>
      </c>
      <c r="J627" s="1014" t="s">
        <v>87</v>
      </c>
    </row>
    <row r="628" spans="1:10">
      <c r="A628" s="987" t="s">
        <v>609</v>
      </c>
      <c r="B628" s="988" t="s">
        <v>85</v>
      </c>
      <c r="C628" s="1110" t="s">
        <v>1242</v>
      </c>
      <c r="D628" s="1009" t="s">
        <v>310</v>
      </c>
      <c r="E628" s="1015" t="s">
        <v>80</v>
      </c>
      <c r="F628" s="1413">
        <v>0</v>
      </c>
      <c r="G628" s="1413">
        <v>0</v>
      </c>
      <c r="H628" s="1014" t="s">
        <v>10</v>
      </c>
      <c r="I628" s="1014" t="s">
        <v>110</v>
      </c>
      <c r="J628" s="1014" t="s">
        <v>85</v>
      </c>
    </row>
    <row r="629" spans="1:10">
      <c r="A629" s="987" t="s">
        <v>582</v>
      </c>
      <c r="B629" s="988" t="s">
        <v>91</v>
      </c>
      <c r="C629" s="1109" t="s">
        <v>1243</v>
      </c>
      <c r="D629" s="1009" t="s">
        <v>310</v>
      </c>
      <c r="E629" s="1015" t="s">
        <v>80</v>
      </c>
      <c r="F629" s="1413">
        <v>0</v>
      </c>
      <c r="G629" s="1413">
        <v>0</v>
      </c>
      <c r="H629" s="1014" t="s">
        <v>67</v>
      </c>
      <c r="I629" s="1014" t="s">
        <v>112</v>
      </c>
      <c r="J629" s="1014" t="s">
        <v>91</v>
      </c>
    </row>
    <row r="630" spans="1:10">
      <c r="A630" s="987" t="s">
        <v>582</v>
      </c>
      <c r="B630" s="988" t="s">
        <v>91</v>
      </c>
      <c r="C630" s="1110" t="s">
        <v>1244</v>
      </c>
      <c r="D630" s="1009" t="s">
        <v>310</v>
      </c>
      <c r="E630" s="1015" t="s">
        <v>80</v>
      </c>
      <c r="F630" s="1413">
        <v>0</v>
      </c>
      <c r="G630" s="1413">
        <v>0</v>
      </c>
      <c r="H630" s="1014" t="s">
        <v>67</v>
      </c>
      <c r="I630" s="1014" t="s">
        <v>112</v>
      </c>
      <c r="J630" s="1014" t="s">
        <v>91</v>
      </c>
    </row>
    <row r="631" spans="1:10">
      <c r="A631" s="987" t="s">
        <v>513</v>
      </c>
      <c r="B631" s="988" t="s">
        <v>91</v>
      </c>
      <c r="C631" s="1110" t="s">
        <v>1245</v>
      </c>
      <c r="D631" s="1009" t="s">
        <v>310</v>
      </c>
      <c r="E631" s="1015" t="s">
        <v>80</v>
      </c>
      <c r="F631" s="1413">
        <v>0</v>
      </c>
      <c r="G631" s="1413">
        <v>0</v>
      </c>
      <c r="H631" s="1014" t="s">
        <v>10</v>
      </c>
      <c r="I631" s="1014" t="s">
        <v>112</v>
      </c>
      <c r="J631" s="1014" t="s">
        <v>91</v>
      </c>
    </row>
    <row r="632" spans="1:10">
      <c r="A632" s="987" t="s">
        <v>808</v>
      </c>
      <c r="B632" s="988" t="s">
        <v>91</v>
      </c>
      <c r="C632" s="1110" t="s">
        <v>1246</v>
      </c>
      <c r="D632" s="1009" t="s">
        <v>310</v>
      </c>
      <c r="E632" s="1015" t="s">
        <v>80</v>
      </c>
      <c r="F632" s="1413">
        <v>0</v>
      </c>
      <c r="G632" s="1413">
        <v>0</v>
      </c>
      <c r="H632" s="1014" t="s">
        <v>10</v>
      </c>
      <c r="I632" s="1014" t="s">
        <v>112</v>
      </c>
      <c r="J632" s="1014" t="s">
        <v>91</v>
      </c>
    </row>
    <row r="633" spans="1:10">
      <c r="A633" s="987" t="s">
        <v>761</v>
      </c>
      <c r="B633" s="988" t="s">
        <v>89</v>
      </c>
      <c r="C633" s="1110" t="s">
        <v>1247</v>
      </c>
      <c r="D633" s="1009" t="s">
        <v>310</v>
      </c>
      <c r="E633" s="1015" t="s">
        <v>80</v>
      </c>
      <c r="F633" s="1413">
        <v>0</v>
      </c>
      <c r="G633" s="1413">
        <v>0</v>
      </c>
      <c r="H633" s="1014" t="s">
        <v>10</v>
      </c>
      <c r="I633" s="1014" t="s">
        <v>112</v>
      </c>
      <c r="J633" s="1014" t="s">
        <v>89</v>
      </c>
    </row>
    <row r="634" spans="1:10">
      <c r="A634" s="987" t="s">
        <v>761</v>
      </c>
      <c r="B634" s="988" t="s">
        <v>89</v>
      </c>
      <c r="C634" s="1110" t="s">
        <v>1248</v>
      </c>
      <c r="D634" s="1009" t="s">
        <v>310</v>
      </c>
      <c r="E634" s="1015" t="s">
        <v>80</v>
      </c>
      <c r="F634" s="1413">
        <v>0</v>
      </c>
      <c r="G634" s="1413">
        <v>0</v>
      </c>
      <c r="H634" s="1014" t="s">
        <v>10</v>
      </c>
      <c r="I634" s="1014" t="s">
        <v>112</v>
      </c>
      <c r="J634" s="1014" t="s">
        <v>89</v>
      </c>
    </row>
    <row r="635" spans="1:10">
      <c r="A635" s="987" t="s">
        <v>761</v>
      </c>
      <c r="B635" s="988" t="s">
        <v>89</v>
      </c>
      <c r="C635" s="1110" t="s">
        <v>1249</v>
      </c>
      <c r="D635" s="1009" t="s">
        <v>310</v>
      </c>
      <c r="E635" s="1015" t="s">
        <v>80</v>
      </c>
      <c r="F635" s="1413">
        <v>14000000000</v>
      </c>
      <c r="G635" s="1413">
        <v>0</v>
      </c>
      <c r="H635" s="1014" t="s">
        <v>10</v>
      </c>
      <c r="I635" s="1014" t="s">
        <v>112</v>
      </c>
      <c r="J635" s="1014" t="s">
        <v>89</v>
      </c>
    </row>
    <row r="636" spans="1:10">
      <c r="A636" s="987" t="s">
        <v>761</v>
      </c>
      <c r="B636" s="988" t="s">
        <v>89</v>
      </c>
      <c r="C636" s="1110" t="s">
        <v>1250</v>
      </c>
      <c r="D636" s="1009" t="s">
        <v>310</v>
      </c>
      <c r="E636" s="1015" t="s">
        <v>80</v>
      </c>
      <c r="F636" s="1413">
        <v>3500000000</v>
      </c>
      <c r="G636" s="1413">
        <v>0</v>
      </c>
      <c r="H636" s="1014" t="s">
        <v>10</v>
      </c>
      <c r="I636" s="1014" t="s">
        <v>112</v>
      </c>
      <c r="J636" s="1014" t="s">
        <v>89</v>
      </c>
    </row>
    <row r="637" spans="1:10">
      <c r="A637" s="987" t="s">
        <v>518</v>
      </c>
      <c r="B637" s="988" t="s">
        <v>91</v>
      </c>
      <c r="C637" s="1110" t="s">
        <v>1251</v>
      </c>
      <c r="D637" s="1009" t="s">
        <v>310</v>
      </c>
      <c r="E637" s="1015" t="s">
        <v>80</v>
      </c>
      <c r="F637" s="1413">
        <v>0</v>
      </c>
      <c r="G637" s="1413">
        <v>0</v>
      </c>
      <c r="H637" s="1014" t="s">
        <v>10</v>
      </c>
      <c r="I637" s="1014" t="s">
        <v>112</v>
      </c>
      <c r="J637" s="1014" t="s">
        <v>91</v>
      </c>
    </row>
    <row r="638" spans="1:10">
      <c r="A638" s="987" t="s">
        <v>518</v>
      </c>
      <c r="B638" s="988" t="s">
        <v>91</v>
      </c>
      <c r="C638" s="1110" t="s">
        <v>1252</v>
      </c>
      <c r="D638" s="1009" t="s">
        <v>308</v>
      </c>
      <c r="E638" s="1015" t="s">
        <v>80</v>
      </c>
      <c r="F638" s="1413">
        <v>2128419721</v>
      </c>
      <c r="G638" s="1413">
        <v>0</v>
      </c>
      <c r="H638" s="1014" t="s">
        <v>10</v>
      </c>
      <c r="I638" s="1014" t="s">
        <v>112</v>
      </c>
      <c r="J638" s="1014" t="s">
        <v>91</v>
      </c>
    </row>
    <row r="639" spans="1:10">
      <c r="A639" s="987" t="s">
        <v>609</v>
      </c>
      <c r="B639" s="988" t="s">
        <v>341</v>
      </c>
      <c r="C639" s="1110" t="s">
        <v>1253</v>
      </c>
      <c r="D639" s="1009" t="s">
        <v>308</v>
      </c>
      <c r="E639" s="1015" t="s">
        <v>80</v>
      </c>
      <c r="F639" s="1413">
        <v>32655890</v>
      </c>
      <c r="G639" s="1413">
        <v>0</v>
      </c>
      <c r="H639" s="1014" t="s">
        <v>10</v>
      </c>
      <c r="I639" s="1014" t="s">
        <v>203</v>
      </c>
      <c r="J639" s="1014" t="s">
        <v>341</v>
      </c>
    </row>
    <row r="640" spans="1:10">
      <c r="A640" s="1016" t="s">
        <v>609</v>
      </c>
      <c r="B640" s="1016" t="s">
        <v>341</v>
      </c>
      <c r="C640" s="1109" t="s">
        <v>1254</v>
      </c>
      <c r="D640" s="1009" t="s">
        <v>310</v>
      </c>
      <c r="E640" s="1015" t="s">
        <v>80</v>
      </c>
      <c r="F640" s="1410">
        <v>0</v>
      </c>
      <c r="G640" s="1412">
        <v>0</v>
      </c>
      <c r="H640" s="1009" t="s">
        <v>10</v>
      </c>
      <c r="I640" s="1009" t="s">
        <v>203</v>
      </c>
      <c r="J640" s="1009" t="s">
        <v>341</v>
      </c>
    </row>
    <row r="641" spans="1:10">
      <c r="A641" s="1016" t="s">
        <v>609</v>
      </c>
      <c r="B641" s="1016" t="s">
        <v>341</v>
      </c>
      <c r="C641" s="1109" t="s">
        <v>1255</v>
      </c>
      <c r="D641" s="1009" t="s">
        <v>308</v>
      </c>
      <c r="E641" s="1015" t="s">
        <v>80</v>
      </c>
      <c r="F641" s="1410">
        <v>7326028</v>
      </c>
      <c r="G641" s="1412">
        <v>0</v>
      </c>
      <c r="H641" s="1009" t="s">
        <v>10</v>
      </c>
      <c r="I641" s="1009" t="s">
        <v>203</v>
      </c>
      <c r="J641" s="1009" t="s">
        <v>341</v>
      </c>
    </row>
    <row r="642" spans="1:10">
      <c r="A642" s="1016" t="s">
        <v>609</v>
      </c>
      <c r="B642" s="1016" t="s">
        <v>341</v>
      </c>
      <c r="C642" s="1109" t="s">
        <v>1256</v>
      </c>
      <c r="D642" s="1009" t="s">
        <v>310</v>
      </c>
      <c r="E642" s="1015" t="s">
        <v>80</v>
      </c>
      <c r="F642" s="1410">
        <v>0</v>
      </c>
      <c r="G642" s="1412">
        <v>0</v>
      </c>
      <c r="H642" s="1009" t="s">
        <v>10</v>
      </c>
      <c r="I642" s="1009" t="s">
        <v>203</v>
      </c>
      <c r="J642" s="1009" t="s">
        <v>341</v>
      </c>
    </row>
    <row r="643" spans="1:10">
      <c r="A643" s="1016" t="s">
        <v>335</v>
      </c>
      <c r="B643" s="1016" t="s">
        <v>94</v>
      </c>
      <c r="C643" s="1109" t="s">
        <v>1257</v>
      </c>
      <c r="D643" s="1009" t="s">
        <v>310</v>
      </c>
      <c r="E643" s="1015" t="s">
        <v>80</v>
      </c>
      <c r="F643" s="1410">
        <v>0</v>
      </c>
      <c r="G643" s="1412">
        <v>0</v>
      </c>
      <c r="H643" s="1009" t="s">
        <v>10</v>
      </c>
      <c r="I643" s="1009" t="s">
        <v>114</v>
      </c>
      <c r="J643" s="1009" t="s">
        <v>94</v>
      </c>
    </row>
    <row r="644" spans="1:10">
      <c r="A644" s="1016" t="s">
        <v>697</v>
      </c>
      <c r="B644" s="1016" t="s">
        <v>85</v>
      </c>
      <c r="C644" s="1109" t="s">
        <v>1258</v>
      </c>
      <c r="D644" s="1009" t="s">
        <v>310</v>
      </c>
      <c r="E644" s="1015" t="s">
        <v>80</v>
      </c>
      <c r="F644" s="1410">
        <v>1500000000</v>
      </c>
      <c r="G644" s="1412">
        <v>0</v>
      </c>
      <c r="H644" s="1009" t="s">
        <v>10</v>
      </c>
      <c r="I644" s="1009" t="s">
        <v>110</v>
      </c>
      <c r="J644" s="1009" t="s">
        <v>85</v>
      </c>
    </row>
    <row r="645" spans="1:10">
      <c r="A645" s="1016" t="s">
        <v>582</v>
      </c>
      <c r="B645" s="1016" t="s">
        <v>153</v>
      </c>
      <c r="C645" s="1109" t="s">
        <v>1259</v>
      </c>
      <c r="D645" s="1009" t="s">
        <v>310</v>
      </c>
      <c r="E645" s="1015" t="s">
        <v>80</v>
      </c>
      <c r="F645" s="1410">
        <v>0</v>
      </c>
      <c r="G645" s="1412">
        <v>0</v>
      </c>
      <c r="H645" s="1009" t="s">
        <v>67</v>
      </c>
      <c r="I645" s="1009" t="s">
        <v>110</v>
      </c>
      <c r="J645" s="1009" t="s">
        <v>87</v>
      </c>
    </row>
    <row r="646" spans="1:10">
      <c r="A646" s="1016" t="s">
        <v>754</v>
      </c>
      <c r="B646" s="1016" t="s">
        <v>92</v>
      </c>
      <c r="C646" s="1109" t="s">
        <v>1260</v>
      </c>
      <c r="D646" s="1009" t="s">
        <v>310</v>
      </c>
      <c r="E646" s="1015" t="s">
        <v>80</v>
      </c>
      <c r="F646" s="1410">
        <v>0</v>
      </c>
      <c r="G646" s="1412">
        <v>0</v>
      </c>
      <c r="H646" s="1009" t="s">
        <v>10</v>
      </c>
      <c r="I646" s="1009" t="s">
        <v>114</v>
      </c>
      <c r="J646" s="1009" t="s">
        <v>92</v>
      </c>
    </row>
    <row r="647" spans="1:10">
      <c r="A647" s="1016" t="s">
        <v>609</v>
      </c>
      <c r="B647" s="1016" t="s">
        <v>85</v>
      </c>
      <c r="C647" s="1109" t="s">
        <v>1261</v>
      </c>
      <c r="D647" s="1009" t="s">
        <v>310</v>
      </c>
      <c r="E647" s="1015" t="s">
        <v>80</v>
      </c>
      <c r="F647" s="1410">
        <v>5000000000</v>
      </c>
      <c r="G647" s="1412">
        <v>0</v>
      </c>
      <c r="H647" s="1009" t="s">
        <v>10</v>
      </c>
      <c r="I647" s="1009" t="s">
        <v>110</v>
      </c>
      <c r="J647" s="1009" t="s">
        <v>85</v>
      </c>
    </row>
    <row r="648" spans="1:10">
      <c r="A648" s="1016" t="s">
        <v>614</v>
      </c>
      <c r="B648" s="1016" t="s">
        <v>88</v>
      </c>
      <c r="C648" s="1109" t="s">
        <v>1262</v>
      </c>
      <c r="D648" s="1009" t="s">
        <v>310</v>
      </c>
      <c r="E648" s="1015" t="s">
        <v>80</v>
      </c>
      <c r="F648" s="1410">
        <v>0</v>
      </c>
      <c r="G648" s="1412">
        <v>0</v>
      </c>
      <c r="H648" s="1009" t="s">
        <v>10</v>
      </c>
      <c r="I648" s="1009" t="s">
        <v>110</v>
      </c>
      <c r="J648" s="1009" t="s">
        <v>88</v>
      </c>
    </row>
    <row r="649" spans="1:10">
      <c r="A649" s="1016" t="s">
        <v>754</v>
      </c>
      <c r="B649" s="1016" t="s">
        <v>92</v>
      </c>
      <c r="C649" s="1109" t="s">
        <v>1263</v>
      </c>
      <c r="D649" s="1009" t="s">
        <v>310</v>
      </c>
      <c r="E649" s="1015" t="s">
        <v>80</v>
      </c>
      <c r="F649" s="1410">
        <v>3000000000</v>
      </c>
      <c r="G649" s="1412">
        <v>0</v>
      </c>
      <c r="H649" s="1009" t="s">
        <v>10</v>
      </c>
      <c r="I649" s="1009" t="s">
        <v>114</v>
      </c>
      <c r="J649" s="1009" t="s">
        <v>92</v>
      </c>
    </row>
    <row r="650" spans="1:10">
      <c r="A650" s="1016" t="s">
        <v>582</v>
      </c>
      <c r="B650" s="1016" t="s">
        <v>155</v>
      </c>
      <c r="C650" s="1109" t="s">
        <v>1264</v>
      </c>
      <c r="D650" s="1009" t="s">
        <v>310</v>
      </c>
      <c r="E650" s="1015" t="s">
        <v>80</v>
      </c>
      <c r="F650" s="1410">
        <v>0</v>
      </c>
      <c r="G650" s="1412">
        <v>0</v>
      </c>
      <c r="H650" s="1009" t="s">
        <v>67</v>
      </c>
      <c r="I650" s="1009" t="s">
        <v>110</v>
      </c>
      <c r="J650" s="1009" t="s">
        <v>87</v>
      </c>
    </row>
    <row r="651" spans="1:10">
      <c r="A651" s="1016" t="s">
        <v>582</v>
      </c>
      <c r="B651" s="1016" t="s">
        <v>85</v>
      </c>
      <c r="C651" s="1109" t="s">
        <v>1265</v>
      </c>
      <c r="D651" s="1009" t="s">
        <v>310</v>
      </c>
      <c r="E651" s="1015" t="s">
        <v>80</v>
      </c>
      <c r="F651" s="1410">
        <v>0</v>
      </c>
      <c r="G651" s="1412">
        <v>0</v>
      </c>
      <c r="H651" s="1009" t="s">
        <v>67</v>
      </c>
      <c r="I651" s="1009" t="s">
        <v>110</v>
      </c>
      <c r="J651" s="1009" t="s">
        <v>85</v>
      </c>
    </row>
    <row r="652" spans="1:10">
      <c r="A652" s="1016" t="s">
        <v>469</v>
      </c>
      <c r="B652" s="1016" t="s">
        <v>153</v>
      </c>
      <c r="C652" s="1109" t="s">
        <v>1266</v>
      </c>
      <c r="D652" s="1009" t="s">
        <v>310</v>
      </c>
      <c r="E652" s="1015" t="s">
        <v>80</v>
      </c>
      <c r="F652" s="1410">
        <v>0</v>
      </c>
      <c r="G652" s="1412">
        <v>0</v>
      </c>
      <c r="H652" s="1009" t="s">
        <v>8</v>
      </c>
      <c r="I652" s="1009" t="s">
        <v>110</v>
      </c>
      <c r="J652" s="1009" t="s">
        <v>87</v>
      </c>
    </row>
    <row r="653" spans="1:10">
      <c r="A653" s="1016" t="s">
        <v>582</v>
      </c>
      <c r="B653" s="1016" t="s">
        <v>153</v>
      </c>
      <c r="C653" s="1109" t="s">
        <v>1267</v>
      </c>
      <c r="D653" s="1009" t="s">
        <v>310</v>
      </c>
      <c r="E653" s="1015" t="s">
        <v>80</v>
      </c>
      <c r="F653" s="1410">
        <v>0</v>
      </c>
      <c r="G653" s="1412">
        <v>0</v>
      </c>
      <c r="H653" s="1009" t="s">
        <v>67</v>
      </c>
      <c r="I653" s="1009" t="s">
        <v>110</v>
      </c>
      <c r="J653" s="1009" t="s">
        <v>87</v>
      </c>
    </row>
    <row r="654" spans="1:10">
      <c r="A654" s="1016" t="s">
        <v>582</v>
      </c>
      <c r="B654" s="1016" t="s">
        <v>153</v>
      </c>
      <c r="C654" s="1109" t="s">
        <v>1268</v>
      </c>
      <c r="D654" s="1009" t="s">
        <v>310</v>
      </c>
      <c r="E654" s="1015" t="s">
        <v>80</v>
      </c>
      <c r="F654" s="1410">
        <v>0</v>
      </c>
      <c r="G654" s="1412">
        <v>0</v>
      </c>
      <c r="H654" s="1009" t="s">
        <v>67</v>
      </c>
      <c r="I654" s="1009" t="s">
        <v>110</v>
      </c>
      <c r="J654" s="1009" t="s">
        <v>87</v>
      </c>
    </row>
    <row r="655" spans="1:10">
      <c r="A655" s="1016" t="s">
        <v>993</v>
      </c>
      <c r="B655" s="1016" t="s">
        <v>191</v>
      </c>
      <c r="C655" s="1109" t="s">
        <v>1269</v>
      </c>
      <c r="D655" s="1009" t="s">
        <v>310</v>
      </c>
      <c r="E655" s="1015" t="s">
        <v>80</v>
      </c>
      <c r="F655" s="1410">
        <v>0</v>
      </c>
      <c r="G655" s="1412">
        <v>0</v>
      </c>
      <c r="H655" s="1009" t="s">
        <v>10</v>
      </c>
      <c r="I655" s="1009" t="s">
        <v>110</v>
      </c>
      <c r="J655" s="1009" t="s">
        <v>191</v>
      </c>
    </row>
    <row r="656" spans="1:10">
      <c r="A656" s="1016" t="s">
        <v>983</v>
      </c>
      <c r="B656" s="1016" t="s">
        <v>85</v>
      </c>
      <c r="C656" s="1109" t="s">
        <v>1270</v>
      </c>
      <c r="D656" s="1009" t="s">
        <v>310</v>
      </c>
      <c r="E656" s="1015" t="s">
        <v>80</v>
      </c>
      <c r="F656" s="1410">
        <v>0</v>
      </c>
      <c r="G656" s="1412">
        <v>0</v>
      </c>
      <c r="H656" s="1009" t="s">
        <v>10</v>
      </c>
      <c r="I656" s="1009" t="s">
        <v>110</v>
      </c>
      <c r="J656" s="1009" t="s">
        <v>85</v>
      </c>
    </row>
    <row r="657" spans="1:10">
      <c r="A657" s="1016" t="s">
        <v>1028</v>
      </c>
      <c r="B657" s="1016" t="s">
        <v>191</v>
      </c>
      <c r="C657" s="1109" t="s">
        <v>1271</v>
      </c>
      <c r="D657" s="1009" t="s">
        <v>310</v>
      </c>
      <c r="E657" s="1015" t="s">
        <v>80</v>
      </c>
      <c r="F657" s="1410">
        <v>0</v>
      </c>
      <c r="G657" s="1412">
        <v>0</v>
      </c>
      <c r="H657" s="1009" t="s">
        <v>10</v>
      </c>
      <c r="I657" s="1009" t="s">
        <v>110</v>
      </c>
      <c r="J657" s="1009" t="s">
        <v>191</v>
      </c>
    </row>
    <row r="658" spans="1:10">
      <c r="A658" s="1016" t="s">
        <v>1028</v>
      </c>
      <c r="B658" s="1016" t="s">
        <v>191</v>
      </c>
      <c r="C658" s="1109" t="s">
        <v>1272</v>
      </c>
      <c r="D658" s="1009" t="s">
        <v>310</v>
      </c>
      <c r="E658" s="1015" t="s">
        <v>80</v>
      </c>
      <c r="F658" s="1410">
        <v>0</v>
      </c>
      <c r="G658" s="1412">
        <v>0</v>
      </c>
      <c r="H658" s="1009" t="s">
        <v>10</v>
      </c>
      <c r="I658" s="1009" t="s">
        <v>110</v>
      </c>
      <c r="J658" s="1009" t="s">
        <v>191</v>
      </c>
    </row>
    <row r="659" spans="1:10">
      <c r="A659" s="1016" t="s">
        <v>582</v>
      </c>
      <c r="B659" s="1016" t="s">
        <v>92</v>
      </c>
      <c r="C659" s="1109" t="s">
        <v>1273</v>
      </c>
      <c r="D659" s="1009" t="s">
        <v>310</v>
      </c>
      <c r="E659" s="1015" t="s">
        <v>80</v>
      </c>
      <c r="F659" s="1410">
        <v>0</v>
      </c>
      <c r="G659" s="1412">
        <v>0</v>
      </c>
      <c r="H659" s="1009" t="s">
        <v>67</v>
      </c>
      <c r="I659" s="1009" t="s">
        <v>114</v>
      </c>
      <c r="J659" s="1009" t="s">
        <v>92</v>
      </c>
    </row>
    <row r="660" spans="1:10">
      <c r="A660" s="1016" t="s">
        <v>582</v>
      </c>
      <c r="B660" s="1016" t="s">
        <v>92</v>
      </c>
      <c r="C660" s="1109" t="s">
        <v>1274</v>
      </c>
      <c r="D660" s="1009" t="s">
        <v>310</v>
      </c>
      <c r="E660" s="1015" t="s">
        <v>80</v>
      </c>
      <c r="F660" s="1410">
        <v>0</v>
      </c>
      <c r="G660" s="1412">
        <v>0</v>
      </c>
      <c r="H660" s="1009" t="s">
        <v>67</v>
      </c>
      <c r="I660" s="1009" t="s">
        <v>114</v>
      </c>
      <c r="J660" s="1009" t="s">
        <v>92</v>
      </c>
    </row>
    <row r="661" spans="1:10">
      <c r="A661" s="1016" t="s">
        <v>905</v>
      </c>
      <c r="B661" s="1016" t="s">
        <v>92</v>
      </c>
      <c r="C661" s="1109" t="s">
        <v>1275</v>
      </c>
      <c r="D661" s="1009" t="s">
        <v>310</v>
      </c>
      <c r="E661" s="1015" t="s">
        <v>80</v>
      </c>
      <c r="F661" s="1410">
        <v>3000000000</v>
      </c>
      <c r="G661" s="1412">
        <v>0</v>
      </c>
      <c r="H661" s="1009" t="s">
        <v>10</v>
      </c>
      <c r="I661" s="1009" t="s">
        <v>114</v>
      </c>
      <c r="J661" s="1009" t="s">
        <v>92</v>
      </c>
    </row>
    <row r="662" spans="1:10">
      <c r="A662" s="1016" t="s">
        <v>518</v>
      </c>
      <c r="B662" s="1016" t="s">
        <v>91</v>
      </c>
      <c r="C662" s="1109" t="s">
        <v>1276</v>
      </c>
      <c r="D662" s="1009" t="s">
        <v>310</v>
      </c>
      <c r="E662" s="1015" t="s">
        <v>80</v>
      </c>
      <c r="F662" s="1410">
        <v>0</v>
      </c>
      <c r="G662" s="1412">
        <v>0</v>
      </c>
      <c r="H662" s="1009" t="s">
        <v>10</v>
      </c>
      <c r="I662" s="1009" t="s">
        <v>112</v>
      </c>
      <c r="J662" s="1009" t="s">
        <v>91</v>
      </c>
    </row>
    <row r="663" spans="1:10">
      <c r="A663" s="1016" t="s">
        <v>582</v>
      </c>
      <c r="B663" s="1016" t="s">
        <v>98</v>
      </c>
      <c r="C663" s="1109" t="s">
        <v>1277</v>
      </c>
      <c r="D663" s="1009" t="s">
        <v>310</v>
      </c>
      <c r="E663" s="1015" t="s">
        <v>80</v>
      </c>
      <c r="F663" s="1410">
        <v>0</v>
      </c>
      <c r="G663" s="1412">
        <v>0</v>
      </c>
      <c r="H663" s="1009" t="s">
        <v>67</v>
      </c>
      <c r="I663" s="1009" t="s">
        <v>198</v>
      </c>
      <c r="J663" s="1009" t="s">
        <v>98</v>
      </c>
    </row>
    <row r="664" spans="1:10">
      <c r="A664" s="1016" t="s">
        <v>469</v>
      </c>
      <c r="B664" s="1016" t="s">
        <v>98</v>
      </c>
      <c r="C664" s="1109" t="s">
        <v>1278</v>
      </c>
      <c r="D664" s="1009" t="s">
        <v>310</v>
      </c>
      <c r="E664" s="1015" t="s">
        <v>80</v>
      </c>
      <c r="F664" s="1410">
        <v>0</v>
      </c>
      <c r="G664" s="1412">
        <v>0</v>
      </c>
      <c r="H664" s="1009" t="s">
        <v>8</v>
      </c>
      <c r="I664" s="1009" t="s">
        <v>198</v>
      </c>
      <c r="J664" s="1009" t="s">
        <v>98</v>
      </c>
    </row>
    <row r="665" spans="1:10">
      <c r="A665" s="1016" t="s">
        <v>532</v>
      </c>
      <c r="B665" s="1016" t="s">
        <v>98</v>
      </c>
      <c r="C665" s="1109" t="s">
        <v>1279</v>
      </c>
      <c r="D665" s="1009" t="s">
        <v>310</v>
      </c>
      <c r="E665" s="1015" t="s">
        <v>80</v>
      </c>
      <c r="F665" s="1410">
        <v>0</v>
      </c>
      <c r="G665" s="1412">
        <v>0</v>
      </c>
      <c r="H665" s="1009" t="s">
        <v>10</v>
      </c>
      <c r="I665" s="1009" t="s">
        <v>198</v>
      </c>
      <c r="J665" s="1009" t="s">
        <v>98</v>
      </c>
    </row>
    <row r="666" spans="1:10">
      <c r="A666" s="1016" t="s">
        <v>552</v>
      </c>
      <c r="B666" s="1016" t="s">
        <v>98</v>
      </c>
      <c r="C666" s="1109" t="s">
        <v>1280</v>
      </c>
      <c r="D666" s="1009" t="s">
        <v>310</v>
      </c>
      <c r="E666" s="1015" t="s">
        <v>80</v>
      </c>
      <c r="F666" s="1410">
        <v>0</v>
      </c>
      <c r="G666" s="1412">
        <v>0</v>
      </c>
      <c r="H666" s="1009" t="s">
        <v>10</v>
      </c>
      <c r="I666" s="1009" t="s">
        <v>198</v>
      </c>
      <c r="J666" s="1009" t="s">
        <v>98</v>
      </c>
    </row>
    <row r="667" spans="1:10">
      <c r="A667" s="1016" t="s">
        <v>953</v>
      </c>
      <c r="B667" s="1016" t="s">
        <v>96</v>
      </c>
      <c r="C667" s="1109" t="s">
        <v>1281</v>
      </c>
      <c r="D667" s="1009" t="s">
        <v>308</v>
      </c>
      <c r="E667" s="1015" t="s">
        <v>80</v>
      </c>
      <c r="F667" s="1410">
        <v>30830949655</v>
      </c>
      <c r="G667" s="1412">
        <v>0</v>
      </c>
      <c r="H667" s="1009" t="s">
        <v>10</v>
      </c>
      <c r="I667" s="1009" t="s">
        <v>118</v>
      </c>
      <c r="J667" s="1009" t="s">
        <v>96</v>
      </c>
    </row>
    <row r="668" spans="1:10">
      <c r="A668" s="1016" t="s">
        <v>565</v>
      </c>
      <c r="B668" s="1016" t="s">
        <v>85</v>
      </c>
      <c r="C668" s="1109" t="s">
        <v>1282</v>
      </c>
      <c r="D668" s="1009" t="s">
        <v>310</v>
      </c>
      <c r="E668" s="1015" t="s">
        <v>80</v>
      </c>
      <c r="F668" s="1410">
        <v>0</v>
      </c>
      <c r="G668" s="1412">
        <v>0</v>
      </c>
      <c r="H668" s="1009" t="s">
        <v>10</v>
      </c>
      <c r="I668" s="1009" t="s">
        <v>110</v>
      </c>
      <c r="J668" s="1009" t="s">
        <v>85</v>
      </c>
    </row>
    <row r="669" spans="1:10">
      <c r="A669" s="1016" t="s">
        <v>979</v>
      </c>
      <c r="B669" s="1016" t="s">
        <v>85</v>
      </c>
      <c r="C669" s="1109" t="s">
        <v>1283</v>
      </c>
      <c r="D669" s="1009" t="s">
        <v>310</v>
      </c>
      <c r="E669" s="1015" t="s">
        <v>80</v>
      </c>
      <c r="F669" s="1410">
        <v>100000000</v>
      </c>
      <c r="G669" s="1416">
        <v>0</v>
      </c>
      <c r="H669" s="1009" t="s">
        <v>10</v>
      </c>
      <c r="I669" s="1009" t="s">
        <v>110</v>
      </c>
      <c r="J669" s="1009" t="s">
        <v>85</v>
      </c>
    </row>
    <row r="670" spans="1:10">
      <c r="A670" s="1016" t="s">
        <v>981</v>
      </c>
      <c r="B670" s="1016" t="s">
        <v>85</v>
      </c>
      <c r="C670" s="1109" t="s">
        <v>1284</v>
      </c>
      <c r="D670" s="1009" t="s">
        <v>310</v>
      </c>
      <c r="E670" s="1015" t="s">
        <v>80</v>
      </c>
      <c r="F670" s="1410">
        <v>100000000</v>
      </c>
      <c r="G670" s="1416">
        <v>0</v>
      </c>
      <c r="H670" s="1009" t="s">
        <v>10</v>
      </c>
      <c r="I670" s="1009" t="s">
        <v>110</v>
      </c>
      <c r="J670" s="1009" t="s">
        <v>85</v>
      </c>
    </row>
    <row r="671" spans="1:10">
      <c r="A671" s="1016" t="s">
        <v>987</v>
      </c>
      <c r="B671" s="1016" t="s">
        <v>85</v>
      </c>
      <c r="C671" s="1109" t="s">
        <v>1285</v>
      </c>
      <c r="D671" s="1009" t="s">
        <v>310</v>
      </c>
      <c r="E671" s="1015" t="s">
        <v>80</v>
      </c>
      <c r="F671" s="1410">
        <v>100000000</v>
      </c>
      <c r="G671" s="1416">
        <v>0</v>
      </c>
      <c r="H671" s="1009" t="s">
        <v>10</v>
      </c>
      <c r="I671" s="1009" t="s">
        <v>110</v>
      </c>
      <c r="J671" s="1009" t="s">
        <v>85</v>
      </c>
    </row>
    <row r="672" spans="1:10">
      <c r="A672" s="1016" t="s">
        <v>786</v>
      </c>
      <c r="B672" s="1016" t="s">
        <v>85</v>
      </c>
      <c r="C672" s="1109" t="s">
        <v>1286</v>
      </c>
      <c r="D672" s="1009" t="s">
        <v>310</v>
      </c>
      <c r="E672" s="1015" t="s">
        <v>80</v>
      </c>
      <c r="F672" s="1410">
        <v>800000000</v>
      </c>
      <c r="G672" s="1416">
        <v>0</v>
      </c>
      <c r="H672" s="1009" t="s">
        <v>10</v>
      </c>
      <c r="I672" s="1009" t="s">
        <v>110</v>
      </c>
      <c r="J672" s="1009" t="s">
        <v>85</v>
      </c>
    </row>
    <row r="673" spans="1:10">
      <c r="A673" s="1016" t="s">
        <v>951</v>
      </c>
      <c r="B673" s="1016" t="s">
        <v>85</v>
      </c>
      <c r="C673" s="1109" t="s">
        <v>1287</v>
      </c>
      <c r="D673" s="1009" t="s">
        <v>310</v>
      </c>
      <c r="E673" s="1015" t="s">
        <v>80</v>
      </c>
      <c r="F673" s="1410">
        <v>900000000</v>
      </c>
      <c r="G673" s="1416">
        <v>0</v>
      </c>
      <c r="H673" s="1009" t="s">
        <v>10</v>
      </c>
      <c r="I673" s="1009" t="s">
        <v>110</v>
      </c>
      <c r="J673" s="1009" t="s">
        <v>85</v>
      </c>
    </row>
    <row r="674" spans="1:10">
      <c r="A674" s="1016" t="s">
        <v>945</v>
      </c>
      <c r="B674" s="1016" t="s">
        <v>85</v>
      </c>
      <c r="C674" s="1109" t="s">
        <v>1288</v>
      </c>
      <c r="D674" s="1009" t="s">
        <v>310</v>
      </c>
      <c r="E674" s="1015" t="s">
        <v>80</v>
      </c>
      <c r="F674" s="1410">
        <v>800000000</v>
      </c>
      <c r="G674" s="1416">
        <v>0</v>
      </c>
      <c r="H674" s="1009" t="s">
        <v>10</v>
      </c>
      <c r="I674" s="1009" t="s">
        <v>110</v>
      </c>
      <c r="J674" s="1009" t="s">
        <v>85</v>
      </c>
    </row>
    <row r="675" spans="1:10">
      <c r="A675" s="1016" t="s">
        <v>714</v>
      </c>
      <c r="B675" s="1016" t="s">
        <v>153</v>
      </c>
      <c r="C675" s="1109" t="s">
        <v>1289</v>
      </c>
      <c r="D675" s="1009" t="s">
        <v>310</v>
      </c>
      <c r="E675" s="1015" t="s">
        <v>80</v>
      </c>
      <c r="F675" s="1410">
        <v>0</v>
      </c>
      <c r="G675" s="1416">
        <v>0</v>
      </c>
      <c r="H675" s="1009" t="s">
        <v>10</v>
      </c>
      <c r="I675" s="1009" t="s">
        <v>110</v>
      </c>
      <c r="J675" s="1009" t="s">
        <v>87</v>
      </c>
    </row>
    <row r="676" spans="1:10">
      <c r="A676" s="1016" t="s">
        <v>897</v>
      </c>
      <c r="B676" s="1016" t="s">
        <v>92</v>
      </c>
      <c r="C676" s="1109" t="s">
        <v>1290</v>
      </c>
      <c r="D676" s="1009" t="s">
        <v>308</v>
      </c>
      <c r="E676" s="1015" t="s">
        <v>81</v>
      </c>
      <c r="F676" s="1410">
        <v>0</v>
      </c>
      <c r="G676" s="1416">
        <v>0</v>
      </c>
      <c r="H676" s="1009" t="s">
        <v>10</v>
      </c>
      <c r="I676" s="1009" t="s">
        <v>114</v>
      </c>
      <c r="J676" s="1009" t="s">
        <v>92</v>
      </c>
    </row>
    <row r="677" spans="1:10">
      <c r="A677" s="1016" t="s">
        <v>949</v>
      </c>
      <c r="B677" s="1016" t="s">
        <v>85</v>
      </c>
      <c r="C677" s="1109" t="s">
        <v>1291</v>
      </c>
      <c r="D677" s="1009" t="s">
        <v>310</v>
      </c>
      <c r="E677" s="1015" t="s">
        <v>80</v>
      </c>
      <c r="F677" s="1410">
        <v>850000000</v>
      </c>
      <c r="G677" s="1416">
        <v>0</v>
      </c>
      <c r="H677" s="1009" t="s">
        <v>10</v>
      </c>
      <c r="I677" s="1009" t="s">
        <v>110</v>
      </c>
      <c r="J677" s="1009" t="s">
        <v>85</v>
      </c>
    </row>
    <row r="678" spans="1:10">
      <c r="A678" s="1016" t="s">
        <v>784</v>
      </c>
      <c r="B678" s="1016" t="s">
        <v>85</v>
      </c>
      <c r="C678" s="1109" t="s">
        <v>1292</v>
      </c>
      <c r="D678" s="1009" t="s">
        <v>310</v>
      </c>
      <c r="E678" s="1015" t="s">
        <v>80</v>
      </c>
      <c r="F678" s="1410">
        <v>100000000</v>
      </c>
      <c r="G678" s="1416">
        <v>0</v>
      </c>
      <c r="H678" s="1009" t="s">
        <v>10</v>
      </c>
      <c r="I678" s="1009" t="s">
        <v>110</v>
      </c>
      <c r="J678" s="1009" t="s">
        <v>85</v>
      </c>
    </row>
    <row r="679" spans="1:10">
      <c r="A679" s="1016" t="s">
        <v>686</v>
      </c>
      <c r="B679" s="1016" t="s">
        <v>85</v>
      </c>
      <c r="C679" s="1109" t="s">
        <v>1293</v>
      </c>
      <c r="D679" s="1009" t="s">
        <v>310</v>
      </c>
      <c r="E679" s="1015" t="s">
        <v>80</v>
      </c>
      <c r="F679" s="1410">
        <v>100000000</v>
      </c>
      <c r="G679" s="1416">
        <v>0</v>
      </c>
      <c r="H679" s="1009" t="s">
        <v>10</v>
      </c>
      <c r="I679" s="1009" t="s">
        <v>110</v>
      </c>
      <c r="J679" s="1009" t="s">
        <v>85</v>
      </c>
    </row>
    <row r="680" spans="1:10">
      <c r="A680" s="1016" t="s">
        <v>688</v>
      </c>
      <c r="B680" s="1016" t="s">
        <v>85</v>
      </c>
      <c r="C680" s="1109" t="s">
        <v>1294</v>
      </c>
      <c r="D680" s="1009" t="s">
        <v>310</v>
      </c>
      <c r="E680" s="1015" t="s">
        <v>80</v>
      </c>
      <c r="F680" s="1410">
        <v>90000000</v>
      </c>
      <c r="G680" s="1416">
        <v>0</v>
      </c>
      <c r="H680" s="1009" t="s">
        <v>10</v>
      </c>
      <c r="I680" s="1009" t="s">
        <v>110</v>
      </c>
      <c r="J680" s="1009" t="s">
        <v>85</v>
      </c>
    </row>
    <row r="681" spans="1:10">
      <c r="A681" s="1016" t="s">
        <v>691</v>
      </c>
      <c r="B681" s="1016" t="s">
        <v>85</v>
      </c>
      <c r="C681" s="1109" t="s">
        <v>1295</v>
      </c>
      <c r="D681" s="1009" t="s">
        <v>310</v>
      </c>
      <c r="E681" s="1015" t="s">
        <v>80</v>
      </c>
      <c r="F681" s="1410">
        <v>100000000</v>
      </c>
      <c r="G681" s="1416">
        <v>0</v>
      </c>
      <c r="H681" s="1009" t="s">
        <v>10</v>
      </c>
      <c r="I681" s="1009" t="s">
        <v>110</v>
      </c>
      <c r="J681" s="1009" t="s">
        <v>85</v>
      </c>
    </row>
    <row r="682" spans="1:10">
      <c r="A682" s="1016" t="s">
        <v>790</v>
      </c>
      <c r="B682" s="1016" t="s">
        <v>85</v>
      </c>
      <c r="C682" s="1109" t="s">
        <v>1296</v>
      </c>
      <c r="D682" s="1009" t="s">
        <v>310</v>
      </c>
      <c r="E682" s="1015" t="s">
        <v>80</v>
      </c>
      <c r="F682" s="1410">
        <v>300000000</v>
      </c>
      <c r="G682" s="1416">
        <v>0</v>
      </c>
      <c r="H682" s="1009" t="s">
        <v>10</v>
      </c>
      <c r="I682" s="1009" t="s">
        <v>110</v>
      </c>
      <c r="J682" s="1009" t="s">
        <v>85</v>
      </c>
    </row>
    <row r="683" spans="1:10">
      <c r="A683" s="1016" t="s">
        <v>790</v>
      </c>
      <c r="B683" s="1016" t="s">
        <v>803</v>
      </c>
      <c r="C683" s="1109" t="s">
        <v>1297</v>
      </c>
      <c r="D683" s="1009" t="s">
        <v>308</v>
      </c>
      <c r="E683" s="1015" t="s">
        <v>80</v>
      </c>
      <c r="F683" s="1410">
        <v>4945000</v>
      </c>
      <c r="G683" s="1416">
        <v>0</v>
      </c>
      <c r="H683" s="1009" t="s">
        <v>10</v>
      </c>
      <c r="I683" s="1009" t="s">
        <v>202</v>
      </c>
      <c r="J683" s="1009" t="s">
        <v>202</v>
      </c>
    </row>
    <row r="684" spans="1:10">
      <c r="A684" s="1016" t="s">
        <v>794</v>
      </c>
      <c r="B684" s="1016" t="s">
        <v>85</v>
      </c>
      <c r="C684" s="1109" t="s">
        <v>1298</v>
      </c>
      <c r="D684" s="1009" t="s">
        <v>310</v>
      </c>
      <c r="E684" s="1015" t="s">
        <v>80</v>
      </c>
      <c r="F684" s="1410">
        <v>100000000</v>
      </c>
      <c r="G684" s="1416">
        <v>0</v>
      </c>
      <c r="H684" s="1009" t="s">
        <v>10</v>
      </c>
      <c r="I684" s="1009" t="s">
        <v>110</v>
      </c>
      <c r="J684" s="1009" t="s">
        <v>85</v>
      </c>
    </row>
    <row r="685" spans="1:10">
      <c r="A685" s="1016" t="s">
        <v>796</v>
      </c>
      <c r="B685" s="1016" t="s">
        <v>85</v>
      </c>
      <c r="C685" s="1109" t="s">
        <v>1299</v>
      </c>
      <c r="D685" s="1009" t="s">
        <v>310</v>
      </c>
      <c r="E685" s="1015" t="s">
        <v>80</v>
      </c>
      <c r="F685" s="1410">
        <v>100000000</v>
      </c>
      <c r="G685" s="1416">
        <v>0</v>
      </c>
      <c r="H685" s="1009" t="s">
        <v>10</v>
      </c>
      <c r="I685" s="1009" t="s">
        <v>110</v>
      </c>
      <c r="J685" s="1009" t="s">
        <v>85</v>
      </c>
    </row>
    <row r="686" spans="1:10">
      <c r="A686" s="1016" t="s">
        <v>563</v>
      </c>
      <c r="B686" s="1016" t="s">
        <v>85</v>
      </c>
      <c r="C686" s="1109" t="s">
        <v>1300</v>
      </c>
      <c r="D686" s="1009" t="s">
        <v>310</v>
      </c>
      <c r="E686" s="1015" t="s">
        <v>80</v>
      </c>
      <c r="F686" s="1410">
        <v>1500000000</v>
      </c>
      <c r="G686" s="1416">
        <v>0</v>
      </c>
      <c r="H686" s="1009" t="s">
        <v>10</v>
      </c>
      <c r="I686" s="1009" t="s">
        <v>110</v>
      </c>
      <c r="J686" s="1009" t="s">
        <v>85</v>
      </c>
    </row>
    <row r="687" spans="1:10">
      <c r="A687" s="1016" t="s">
        <v>638</v>
      </c>
      <c r="B687" s="1016" t="s">
        <v>85</v>
      </c>
      <c r="C687" s="1109" t="s">
        <v>1301</v>
      </c>
      <c r="D687" s="1009" t="s">
        <v>310</v>
      </c>
      <c r="E687" s="1015" t="s">
        <v>80</v>
      </c>
      <c r="F687" s="1410">
        <v>100000000</v>
      </c>
      <c r="G687" s="1416">
        <v>0</v>
      </c>
      <c r="H687" s="1009" t="s">
        <v>10</v>
      </c>
      <c r="I687" s="1009" t="s">
        <v>110</v>
      </c>
      <c r="J687" s="1009" t="s">
        <v>85</v>
      </c>
    </row>
    <row r="688" spans="1:10">
      <c r="A688" s="1016" t="s">
        <v>739</v>
      </c>
      <c r="B688" s="1016" t="s">
        <v>85</v>
      </c>
      <c r="C688" s="1109" t="s">
        <v>1302</v>
      </c>
      <c r="D688" s="1009" t="s">
        <v>310</v>
      </c>
      <c r="E688" s="1015" t="s">
        <v>80</v>
      </c>
      <c r="F688" s="1410">
        <v>300000000</v>
      </c>
      <c r="G688" s="1416">
        <v>0</v>
      </c>
      <c r="H688" s="1009" t="s">
        <v>10</v>
      </c>
      <c r="I688" s="1009" t="s">
        <v>110</v>
      </c>
      <c r="J688" s="1009" t="s">
        <v>85</v>
      </c>
    </row>
    <row r="689" spans="1:10">
      <c r="A689" s="1016" t="s">
        <v>742</v>
      </c>
      <c r="B689" s="1016" t="s">
        <v>85</v>
      </c>
      <c r="C689" s="1109" t="s">
        <v>1303</v>
      </c>
      <c r="D689" s="1009" t="s">
        <v>310</v>
      </c>
      <c r="E689" s="1015" t="s">
        <v>80</v>
      </c>
      <c r="F689" s="1410">
        <v>100000000</v>
      </c>
      <c r="G689" s="1416">
        <v>0</v>
      </c>
      <c r="H689" s="1009" t="s">
        <v>10</v>
      </c>
      <c r="I689" s="1009" t="s">
        <v>110</v>
      </c>
      <c r="J689" s="1009" t="s">
        <v>85</v>
      </c>
    </row>
    <row r="690" spans="1:10">
      <c r="A690" s="1016" t="s">
        <v>659</v>
      </c>
      <c r="B690" s="1016" t="s">
        <v>85</v>
      </c>
      <c r="C690" s="1109" t="s">
        <v>1304</v>
      </c>
      <c r="D690" s="1009" t="s">
        <v>310</v>
      </c>
      <c r="E690" s="1015" t="s">
        <v>80</v>
      </c>
      <c r="F690" s="1410">
        <v>100000000</v>
      </c>
      <c r="G690" s="1416">
        <v>0</v>
      </c>
      <c r="H690" s="1009" t="s">
        <v>10</v>
      </c>
      <c r="I690" s="1009" t="s">
        <v>110</v>
      </c>
      <c r="J690" s="1009" t="s">
        <v>85</v>
      </c>
    </row>
    <row r="691" spans="1:10">
      <c r="A691" s="1016" t="s">
        <v>659</v>
      </c>
      <c r="B691" s="1016" t="s">
        <v>803</v>
      </c>
      <c r="C691" s="1109" t="s">
        <v>1305</v>
      </c>
      <c r="D691" s="1009" t="s">
        <v>308</v>
      </c>
      <c r="E691" s="1015" t="s">
        <v>80</v>
      </c>
      <c r="F691" s="1410">
        <v>0</v>
      </c>
      <c r="G691" s="1416">
        <v>0</v>
      </c>
      <c r="H691" s="1009" t="s">
        <v>10</v>
      </c>
      <c r="I691" s="1009" t="s">
        <v>202</v>
      </c>
      <c r="J691" s="1009" t="s">
        <v>202</v>
      </c>
    </row>
    <row r="692" spans="1:10">
      <c r="A692" s="1016" t="s">
        <v>630</v>
      </c>
      <c r="B692" s="1016" t="s">
        <v>85</v>
      </c>
      <c r="C692" s="1109" t="s">
        <v>1306</v>
      </c>
      <c r="D692" s="1009" t="s">
        <v>310</v>
      </c>
      <c r="E692" s="1015" t="s">
        <v>80</v>
      </c>
      <c r="F692" s="1410">
        <v>780000000</v>
      </c>
      <c r="G692" s="1416">
        <v>0</v>
      </c>
      <c r="H692" s="1009" t="s">
        <v>10</v>
      </c>
      <c r="I692" s="1009" t="s">
        <v>110</v>
      </c>
      <c r="J692" s="1009" t="s">
        <v>85</v>
      </c>
    </row>
    <row r="693" spans="1:10">
      <c r="A693" s="1016" t="s">
        <v>634</v>
      </c>
      <c r="B693" s="1016" t="s">
        <v>85</v>
      </c>
      <c r="C693" s="1109" t="s">
        <v>1307</v>
      </c>
      <c r="D693" s="1009" t="s">
        <v>310</v>
      </c>
      <c r="E693" s="1015" t="s">
        <v>80</v>
      </c>
      <c r="F693" s="1410">
        <v>400000000</v>
      </c>
      <c r="G693" s="1416">
        <v>0</v>
      </c>
      <c r="H693" s="1009" t="s">
        <v>10</v>
      </c>
      <c r="I693" s="1009" t="s">
        <v>110</v>
      </c>
      <c r="J693" s="1009" t="s">
        <v>85</v>
      </c>
    </row>
    <row r="694" spans="1:10">
      <c r="A694" s="1016" t="s">
        <v>985</v>
      </c>
      <c r="B694" s="1016" t="s">
        <v>85</v>
      </c>
      <c r="C694" s="1109" t="s">
        <v>1308</v>
      </c>
      <c r="D694" s="1009" t="s">
        <v>310</v>
      </c>
      <c r="E694" s="1015" t="s">
        <v>80</v>
      </c>
      <c r="F694" s="1410">
        <v>100000000</v>
      </c>
      <c r="G694" s="1416">
        <v>0</v>
      </c>
      <c r="H694" s="1009" t="s">
        <v>10</v>
      </c>
      <c r="I694" s="1009" t="s">
        <v>110</v>
      </c>
      <c r="J694" s="1009" t="s">
        <v>85</v>
      </c>
    </row>
    <row r="695" spans="1:10">
      <c r="A695" s="1016" t="s">
        <v>554</v>
      </c>
      <c r="B695" s="1016" t="s">
        <v>88</v>
      </c>
      <c r="C695" s="1109" t="s">
        <v>1309</v>
      </c>
      <c r="D695" s="1009" t="s">
        <v>310</v>
      </c>
      <c r="E695" s="1015" t="s">
        <v>80</v>
      </c>
      <c r="F695" s="1410">
        <v>0</v>
      </c>
      <c r="G695" s="1416">
        <v>0</v>
      </c>
      <c r="H695" s="1009" t="s">
        <v>10</v>
      </c>
      <c r="I695" s="1009" t="s">
        <v>110</v>
      </c>
      <c r="J695" s="1009" t="s">
        <v>88</v>
      </c>
    </row>
    <row r="696" spans="1:10">
      <c r="A696" s="1016" t="s">
        <v>469</v>
      </c>
      <c r="B696" s="1016" t="s">
        <v>153</v>
      </c>
      <c r="C696" s="1109" t="s">
        <v>1310</v>
      </c>
      <c r="D696" s="1009" t="s">
        <v>310</v>
      </c>
      <c r="E696" s="1015" t="s">
        <v>80</v>
      </c>
      <c r="F696" s="1410">
        <v>0</v>
      </c>
      <c r="G696" s="1416">
        <v>0</v>
      </c>
      <c r="H696" s="1009" t="s">
        <v>8</v>
      </c>
      <c r="I696" s="1009" t="s">
        <v>110</v>
      </c>
      <c r="J696" s="1009" t="s">
        <v>87</v>
      </c>
    </row>
    <row r="697" spans="1:10">
      <c r="A697" s="1016" t="s">
        <v>469</v>
      </c>
      <c r="B697" s="1016" t="s">
        <v>153</v>
      </c>
      <c r="C697" s="1109" t="s">
        <v>1311</v>
      </c>
      <c r="D697" s="1009" t="s">
        <v>310</v>
      </c>
      <c r="E697" s="1015" t="s">
        <v>80</v>
      </c>
      <c r="F697" s="1410">
        <v>0</v>
      </c>
      <c r="G697" s="1416">
        <v>0</v>
      </c>
      <c r="H697" s="1009" t="s">
        <v>8</v>
      </c>
      <c r="I697" s="1009" t="s">
        <v>110</v>
      </c>
      <c r="J697" s="1009" t="s">
        <v>87</v>
      </c>
    </row>
    <row r="698" spans="1:10">
      <c r="A698" s="1016" t="s">
        <v>718</v>
      </c>
      <c r="B698" s="1016" t="s">
        <v>92</v>
      </c>
      <c r="C698" s="1109" t="s">
        <v>1312</v>
      </c>
      <c r="D698" s="1009" t="s">
        <v>310</v>
      </c>
      <c r="E698" s="1015" t="s">
        <v>80</v>
      </c>
      <c r="F698" s="1410">
        <v>120000000</v>
      </c>
      <c r="G698" s="1416">
        <v>0</v>
      </c>
      <c r="H698" s="1009" t="s">
        <v>10</v>
      </c>
      <c r="I698" s="1009" t="s">
        <v>114</v>
      </c>
      <c r="J698" s="1009" t="s">
        <v>92</v>
      </c>
    </row>
    <row r="699" spans="1:10">
      <c r="A699" s="1016" t="s">
        <v>723</v>
      </c>
      <c r="B699" s="1016" t="s">
        <v>92</v>
      </c>
      <c r="C699" s="1109" t="s">
        <v>1313</v>
      </c>
      <c r="D699" s="1009" t="s">
        <v>310</v>
      </c>
      <c r="E699" s="1015" t="s">
        <v>80</v>
      </c>
      <c r="F699" s="1410">
        <v>130000000</v>
      </c>
      <c r="G699" s="1416">
        <v>0</v>
      </c>
      <c r="H699" s="1009" t="s">
        <v>10</v>
      </c>
      <c r="I699" s="1009" t="s">
        <v>114</v>
      </c>
      <c r="J699" s="1009" t="s">
        <v>92</v>
      </c>
    </row>
    <row r="700" spans="1:10">
      <c r="A700" s="1016" t="s">
        <v>732</v>
      </c>
      <c r="B700" s="1016" t="s">
        <v>92</v>
      </c>
      <c r="C700" s="1109" t="s">
        <v>1314</v>
      </c>
      <c r="D700" s="1009" t="s">
        <v>310</v>
      </c>
      <c r="E700" s="1015" t="s">
        <v>80</v>
      </c>
      <c r="F700" s="1410">
        <v>120000000</v>
      </c>
      <c r="G700" s="1416">
        <v>0</v>
      </c>
      <c r="H700" s="1009" t="s">
        <v>10</v>
      </c>
      <c r="I700" s="1009" t="s">
        <v>114</v>
      </c>
      <c r="J700" s="1009" t="s">
        <v>92</v>
      </c>
    </row>
    <row r="701" spans="1:10">
      <c r="A701" s="1016" t="s">
        <v>737</v>
      </c>
      <c r="B701" s="1016" t="s">
        <v>92</v>
      </c>
      <c r="C701" s="1109" t="s">
        <v>1315</v>
      </c>
      <c r="D701" s="1009" t="s">
        <v>310</v>
      </c>
      <c r="E701" s="1015" t="s">
        <v>80</v>
      </c>
      <c r="F701" s="1410">
        <v>110000000</v>
      </c>
      <c r="G701" s="1416">
        <v>0</v>
      </c>
      <c r="H701" s="1009" t="s">
        <v>10</v>
      </c>
      <c r="I701" s="1009" t="s">
        <v>114</v>
      </c>
      <c r="J701" s="1009" t="s">
        <v>92</v>
      </c>
    </row>
    <row r="702" spans="1:10">
      <c r="A702" s="1016" t="s">
        <v>725</v>
      </c>
      <c r="B702" s="1016" t="s">
        <v>92</v>
      </c>
      <c r="C702" s="1109" t="s">
        <v>1316</v>
      </c>
      <c r="D702" s="1009" t="s">
        <v>310</v>
      </c>
      <c r="E702" s="1015" t="s">
        <v>80</v>
      </c>
      <c r="F702" s="1410">
        <v>100000000</v>
      </c>
      <c r="G702" s="1416">
        <v>0</v>
      </c>
      <c r="H702" s="1009" t="s">
        <v>10</v>
      </c>
      <c r="I702" s="1009" t="s">
        <v>114</v>
      </c>
      <c r="J702" s="1009" t="s">
        <v>92</v>
      </c>
    </row>
    <row r="703" spans="1:10">
      <c r="A703" s="1016" t="s">
        <v>728</v>
      </c>
      <c r="B703" s="1016" t="s">
        <v>92</v>
      </c>
      <c r="C703" s="1109" t="s">
        <v>1317</v>
      </c>
      <c r="D703" s="1009" t="s">
        <v>310</v>
      </c>
      <c r="E703" s="1015" t="s">
        <v>80</v>
      </c>
      <c r="F703" s="1410">
        <v>100000000</v>
      </c>
      <c r="G703" s="1416">
        <v>0</v>
      </c>
      <c r="H703" s="1009" t="s">
        <v>10</v>
      </c>
      <c r="I703" s="1009" t="s">
        <v>114</v>
      </c>
      <c r="J703" s="1009" t="s">
        <v>92</v>
      </c>
    </row>
    <row r="704" spans="1:10">
      <c r="A704" s="1016" t="s">
        <v>730</v>
      </c>
      <c r="B704" s="1016" t="s">
        <v>92</v>
      </c>
      <c r="C704" s="1109" t="s">
        <v>1318</v>
      </c>
      <c r="D704" s="1009" t="s">
        <v>310</v>
      </c>
      <c r="E704" s="1015" t="s">
        <v>80</v>
      </c>
      <c r="F704" s="1410">
        <v>120000000</v>
      </c>
      <c r="G704" s="1416">
        <v>0</v>
      </c>
      <c r="H704" s="1009" t="s">
        <v>10</v>
      </c>
      <c r="I704" s="1009" t="s">
        <v>114</v>
      </c>
      <c r="J704" s="1009" t="s">
        <v>92</v>
      </c>
    </row>
    <row r="705" spans="1:10">
      <c r="A705" s="1016" t="s">
        <v>808</v>
      </c>
      <c r="B705" s="1016" t="s">
        <v>91</v>
      </c>
      <c r="C705" s="1109" t="s">
        <v>1319</v>
      </c>
      <c r="D705" s="1009" t="s">
        <v>310</v>
      </c>
      <c r="E705" s="1015" t="s">
        <v>80</v>
      </c>
      <c r="F705" s="1410">
        <v>0</v>
      </c>
      <c r="G705" s="1416">
        <v>0</v>
      </c>
      <c r="H705" s="1009" t="s">
        <v>10</v>
      </c>
      <c r="I705" s="1009" t="s">
        <v>112</v>
      </c>
      <c r="J705" s="1009" t="s">
        <v>91</v>
      </c>
    </row>
    <row r="706" spans="1:10">
      <c r="A706" s="1016" t="s">
        <v>888</v>
      </c>
      <c r="B706" s="1016" t="s">
        <v>92</v>
      </c>
      <c r="C706" s="1109" t="s">
        <v>1320</v>
      </c>
      <c r="D706" s="1009" t="s">
        <v>310</v>
      </c>
      <c r="E706" s="1015" t="s">
        <v>80</v>
      </c>
      <c r="F706" s="1410">
        <v>200000000</v>
      </c>
      <c r="G706" s="1416">
        <v>0</v>
      </c>
      <c r="H706" s="1009" t="s">
        <v>10</v>
      </c>
      <c r="I706" s="1009" t="s">
        <v>114</v>
      </c>
      <c r="J706" s="1009" t="s">
        <v>92</v>
      </c>
    </row>
    <row r="707" spans="1:10">
      <c r="A707" s="1016" t="s">
        <v>897</v>
      </c>
      <c r="B707" s="1016" t="s">
        <v>92</v>
      </c>
      <c r="C707" s="1110" t="s">
        <v>1321</v>
      </c>
      <c r="D707" s="1009" t="s">
        <v>310</v>
      </c>
      <c r="E707" s="1015" t="s">
        <v>80</v>
      </c>
      <c r="F707" s="1410">
        <v>2000000000</v>
      </c>
      <c r="G707" s="1416">
        <v>0</v>
      </c>
      <c r="H707" s="1009" t="s">
        <v>10</v>
      </c>
      <c r="I707" s="1009" t="s">
        <v>114</v>
      </c>
      <c r="J707" s="1009" t="s">
        <v>92</v>
      </c>
    </row>
    <row r="708" spans="1:10">
      <c r="A708" s="1016" t="s">
        <v>582</v>
      </c>
      <c r="B708" s="1016" t="s">
        <v>155</v>
      </c>
      <c r="C708" s="1109" t="s">
        <v>1322</v>
      </c>
      <c r="D708" s="1009" t="s">
        <v>310</v>
      </c>
      <c r="E708" s="1015" t="s">
        <v>80</v>
      </c>
      <c r="F708" s="1410">
        <v>0</v>
      </c>
      <c r="G708" s="1416">
        <v>0</v>
      </c>
      <c r="H708" s="1009" t="s">
        <v>67</v>
      </c>
      <c r="I708" s="1009" t="s">
        <v>110</v>
      </c>
      <c r="J708" s="1009" t="s">
        <v>87</v>
      </c>
    </row>
    <row r="709" spans="1:10">
      <c r="A709" s="1016" t="s">
        <v>665</v>
      </c>
      <c r="B709" s="1016" t="s">
        <v>85</v>
      </c>
      <c r="C709" s="1109" t="s">
        <v>1323</v>
      </c>
      <c r="D709" s="1009" t="s">
        <v>310</v>
      </c>
      <c r="E709" s="1015" t="s">
        <v>80</v>
      </c>
      <c r="F709" s="1410">
        <v>6000000000</v>
      </c>
      <c r="G709" s="1416">
        <v>0</v>
      </c>
      <c r="H709" s="1009" t="s">
        <v>10</v>
      </c>
      <c r="I709" s="1009" t="s">
        <v>110</v>
      </c>
      <c r="J709" s="1009" t="s">
        <v>85</v>
      </c>
    </row>
    <row r="710" spans="1:10">
      <c r="A710" s="1016" t="s">
        <v>609</v>
      </c>
      <c r="B710" s="1016" t="s">
        <v>85</v>
      </c>
      <c r="C710" s="1109" t="s">
        <v>1324</v>
      </c>
      <c r="D710" s="1009" t="s">
        <v>310</v>
      </c>
      <c r="E710" s="1015" t="s">
        <v>80</v>
      </c>
      <c r="F710" s="1410">
        <v>0</v>
      </c>
      <c r="G710" s="1416">
        <v>0</v>
      </c>
      <c r="H710" s="1009" t="s">
        <v>10</v>
      </c>
      <c r="I710" s="1009" t="s">
        <v>110</v>
      </c>
      <c r="J710" s="1009" t="s">
        <v>85</v>
      </c>
    </row>
    <row r="711" spans="1:10">
      <c r="A711" s="1016" t="s">
        <v>506</v>
      </c>
      <c r="B711" s="1016" t="s">
        <v>85</v>
      </c>
      <c r="C711" s="1109" t="s">
        <v>1325</v>
      </c>
      <c r="D711" s="1009" t="s">
        <v>310</v>
      </c>
      <c r="E711" s="1015" t="s">
        <v>80</v>
      </c>
      <c r="F711" s="1410">
        <v>16000000000</v>
      </c>
      <c r="G711" s="1416">
        <v>0</v>
      </c>
      <c r="H711" s="1009" t="s">
        <v>10</v>
      </c>
      <c r="I711" s="1009" t="s">
        <v>110</v>
      </c>
      <c r="J711" s="1009" t="s">
        <v>85</v>
      </c>
    </row>
    <row r="712" spans="1:10">
      <c r="A712" s="1016" t="s">
        <v>499</v>
      </c>
      <c r="B712" s="1016" t="s">
        <v>85</v>
      </c>
      <c r="C712" s="1109" t="s">
        <v>1326</v>
      </c>
      <c r="D712" s="1009" t="s">
        <v>310</v>
      </c>
      <c r="E712" s="1015" t="s">
        <v>80</v>
      </c>
      <c r="F712" s="1410">
        <v>0</v>
      </c>
      <c r="G712" s="1416">
        <v>0</v>
      </c>
      <c r="H712" s="1009" t="s">
        <v>10</v>
      </c>
      <c r="I712" s="1009" t="s">
        <v>110</v>
      </c>
      <c r="J712" s="1009" t="s">
        <v>85</v>
      </c>
    </row>
    <row r="713" spans="1:10">
      <c r="A713" s="1016" t="s">
        <v>1028</v>
      </c>
      <c r="B713" s="1016" t="s">
        <v>191</v>
      </c>
      <c r="C713" s="1109" t="s">
        <v>1327</v>
      </c>
      <c r="D713" s="1009" t="s">
        <v>310</v>
      </c>
      <c r="E713" s="1015" t="s">
        <v>80</v>
      </c>
      <c r="F713" s="1410">
        <v>15000000000</v>
      </c>
      <c r="G713" s="1416">
        <v>0</v>
      </c>
      <c r="H713" s="1009" t="s">
        <v>10</v>
      </c>
      <c r="I713" s="1009" t="s">
        <v>110</v>
      </c>
      <c r="J713" s="1009" t="s">
        <v>191</v>
      </c>
    </row>
    <row r="714" spans="1:10">
      <c r="A714" s="1016" t="s">
        <v>703</v>
      </c>
      <c r="B714" s="1016" t="s">
        <v>86</v>
      </c>
      <c r="C714" s="1109" t="s">
        <v>1328</v>
      </c>
      <c r="D714" s="1009" t="s">
        <v>310</v>
      </c>
      <c r="E714" s="1015" t="s">
        <v>80</v>
      </c>
      <c r="F714" s="1410">
        <v>0</v>
      </c>
      <c r="G714" s="1416">
        <v>0</v>
      </c>
      <c r="H714" s="1009" t="s">
        <v>10</v>
      </c>
      <c r="I714" s="1009" t="s">
        <v>110</v>
      </c>
      <c r="J714" s="1009" t="s">
        <v>86</v>
      </c>
    </row>
    <row r="715" spans="1:10">
      <c r="A715" s="1016" t="s">
        <v>609</v>
      </c>
      <c r="B715" s="1016" t="s">
        <v>85</v>
      </c>
      <c r="C715" s="1109" t="s">
        <v>1329</v>
      </c>
      <c r="D715" s="1009" t="s">
        <v>310</v>
      </c>
      <c r="E715" s="1015" t="s">
        <v>80</v>
      </c>
      <c r="F715" s="1410">
        <v>0</v>
      </c>
      <c r="G715" s="1416">
        <v>0</v>
      </c>
      <c r="H715" s="1009" t="s">
        <v>10</v>
      </c>
      <c r="I715" s="1009" t="s">
        <v>110</v>
      </c>
      <c r="J715" s="1009" t="s">
        <v>85</v>
      </c>
    </row>
    <row r="716" spans="1:10">
      <c r="A716" s="1016" t="s">
        <v>503</v>
      </c>
      <c r="B716" s="1016" t="s">
        <v>85</v>
      </c>
      <c r="C716" s="1109" t="s">
        <v>1330</v>
      </c>
      <c r="D716" s="1009" t="s">
        <v>310</v>
      </c>
      <c r="E716" s="1015" t="s">
        <v>80</v>
      </c>
      <c r="F716" s="1410">
        <v>0</v>
      </c>
      <c r="G716" s="1416">
        <v>0</v>
      </c>
      <c r="H716" s="1009" t="s">
        <v>10</v>
      </c>
      <c r="I716" s="1009" t="s">
        <v>110</v>
      </c>
      <c r="J716" s="1009" t="s">
        <v>85</v>
      </c>
    </row>
    <row r="717" spans="1:10">
      <c r="A717" s="1016" t="s">
        <v>506</v>
      </c>
      <c r="B717" s="1016" t="s">
        <v>85</v>
      </c>
      <c r="C717" s="1109" t="s">
        <v>1331</v>
      </c>
      <c r="D717" s="1009" t="s">
        <v>310</v>
      </c>
      <c r="E717" s="1015" t="s">
        <v>80</v>
      </c>
      <c r="F717" s="1410">
        <v>0</v>
      </c>
      <c r="G717" s="1416">
        <v>0</v>
      </c>
      <c r="H717" s="1009" t="s">
        <v>10</v>
      </c>
      <c r="I717" s="1009" t="s">
        <v>110</v>
      </c>
      <c r="J717" s="1009" t="s">
        <v>85</v>
      </c>
    </row>
    <row r="718" spans="1:10">
      <c r="A718" s="1016" t="s">
        <v>708</v>
      </c>
      <c r="B718" s="1016" t="s">
        <v>85</v>
      </c>
      <c r="C718" s="1109" t="s">
        <v>1332</v>
      </c>
      <c r="D718" s="1009" t="s">
        <v>310</v>
      </c>
      <c r="E718" s="1015" t="s">
        <v>80</v>
      </c>
      <c r="F718" s="1410">
        <v>22000000000</v>
      </c>
      <c r="G718" s="1416">
        <v>0</v>
      </c>
      <c r="H718" s="1009" t="s">
        <v>10</v>
      </c>
      <c r="I718" s="1009" t="s">
        <v>110</v>
      </c>
      <c r="J718" s="1009" t="s">
        <v>85</v>
      </c>
    </row>
    <row r="719" spans="1:10">
      <c r="A719" s="1016" t="s">
        <v>708</v>
      </c>
      <c r="B719" s="1016" t="s">
        <v>85</v>
      </c>
      <c r="C719" s="1109" t="s">
        <v>1333</v>
      </c>
      <c r="D719" s="1009" t="s">
        <v>310</v>
      </c>
      <c r="E719" s="1015" t="s">
        <v>80</v>
      </c>
      <c r="F719" s="1410">
        <v>0</v>
      </c>
      <c r="G719" s="1416">
        <v>0</v>
      </c>
      <c r="H719" s="1009" t="s">
        <v>10</v>
      </c>
      <c r="I719" s="1009" t="s">
        <v>110</v>
      </c>
      <c r="J719" s="1009" t="s">
        <v>85</v>
      </c>
    </row>
    <row r="720" spans="1:10">
      <c r="A720" s="1016" t="s">
        <v>1226</v>
      </c>
      <c r="B720" s="1016" t="s">
        <v>85</v>
      </c>
      <c r="C720" s="1109" t="s">
        <v>1334</v>
      </c>
      <c r="D720" s="1009" t="s">
        <v>310</v>
      </c>
      <c r="E720" s="1015" t="s">
        <v>80</v>
      </c>
      <c r="F720" s="1410">
        <v>39400000000</v>
      </c>
      <c r="G720" s="1416">
        <v>0</v>
      </c>
      <c r="H720" s="1009" t="s">
        <v>10</v>
      </c>
      <c r="I720" s="1009" t="s">
        <v>110</v>
      </c>
      <c r="J720" s="1009" t="s">
        <v>85</v>
      </c>
    </row>
    <row r="721" spans="1:10">
      <c r="A721" s="1016" t="s">
        <v>513</v>
      </c>
      <c r="B721" s="1016" t="s">
        <v>91</v>
      </c>
      <c r="C721" s="1109" t="s">
        <v>1335</v>
      </c>
      <c r="D721" s="1009" t="s">
        <v>310</v>
      </c>
      <c r="E721" s="1015" t="s">
        <v>80</v>
      </c>
      <c r="F721" s="1410">
        <v>0</v>
      </c>
      <c r="G721" s="1416">
        <v>0</v>
      </c>
      <c r="H721" s="1009" t="s">
        <v>10</v>
      </c>
      <c r="I721" s="1009" t="s">
        <v>112</v>
      </c>
      <c r="J721" s="1009" t="s">
        <v>91</v>
      </c>
    </row>
    <row r="722" spans="1:10">
      <c r="A722" s="1016" t="s">
        <v>808</v>
      </c>
      <c r="B722" s="1016" t="s">
        <v>91</v>
      </c>
      <c r="C722" s="1109" t="s">
        <v>1336</v>
      </c>
      <c r="D722" s="1009" t="s">
        <v>310</v>
      </c>
      <c r="E722" s="1015" t="s">
        <v>80</v>
      </c>
      <c r="F722" s="1410">
        <v>0</v>
      </c>
      <c r="G722" s="1416">
        <v>0</v>
      </c>
      <c r="H722" s="1009" t="s">
        <v>10</v>
      </c>
      <c r="I722" s="1009" t="s">
        <v>112</v>
      </c>
      <c r="J722" s="1009" t="s">
        <v>91</v>
      </c>
    </row>
    <row r="723" spans="1:10">
      <c r="A723" s="1016" t="s">
        <v>582</v>
      </c>
      <c r="B723" s="1016" t="s">
        <v>91</v>
      </c>
      <c r="C723" s="1109" t="s">
        <v>1337</v>
      </c>
      <c r="D723" s="1009" t="s">
        <v>310</v>
      </c>
      <c r="E723" s="1015" t="s">
        <v>80</v>
      </c>
      <c r="F723" s="1410">
        <v>0</v>
      </c>
      <c r="G723" s="1416">
        <v>0</v>
      </c>
      <c r="H723" s="1009" t="s">
        <v>67</v>
      </c>
      <c r="I723" s="1009" t="s">
        <v>112</v>
      </c>
      <c r="J723" s="1009" t="s">
        <v>91</v>
      </c>
    </row>
    <row r="724" spans="1:10">
      <c r="A724" s="1016" t="s">
        <v>582</v>
      </c>
      <c r="B724" s="1016" t="s">
        <v>91</v>
      </c>
      <c r="C724" s="1109" t="s">
        <v>1338</v>
      </c>
      <c r="D724" s="1009" t="s">
        <v>310</v>
      </c>
      <c r="E724" s="1015" t="s">
        <v>80</v>
      </c>
      <c r="F724" s="1410">
        <v>0</v>
      </c>
      <c r="G724" s="1416">
        <v>0</v>
      </c>
      <c r="H724" s="1009" t="s">
        <v>67</v>
      </c>
      <c r="I724" s="1009" t="s">
        <v>112</v>
      </c>
      <c r="J724" s="1009" t="s">
        <v>91</v>
      </c>
    </row>
    <row r="725" spans="1:10">
      <c r="A725" s="1016" t="s">
        <v>761</v>
      </c>
      <c r="B725" s="1016" t="s">
        <v>89</v>
      </c>
      <c r="C725" s="1109" t="s">
        <v>1339</v>
      </c>
      <c r="D725" s="1009" t="s">
        <v>310</v>
      </c>
      <c r="E725" s="1015" t="s">
        <v>80</v>
      </c>
      <c r="F725" s="1410">
        <v>3000000000</v>
      </c>
      <c r="G725" s="1416">
        <v>0</v>
      </c>
      <c r="H725" s="1009" t="s">
        <v>10</v>
      </c>
      <c r="I725" s="1009" t="s">
        <v>112</v>
      </c>
      <c r="J725" s="1009" t="s">
        <v>89</v>
      </c>
    </row>
    <row r="726" spans="1:10">
      <c r="A726" s="1016" t="s">
        <v>761</v>
      </c>
      <c r="B726" s="1016" t="s">
        <v>89</v>
      </c>
      <c r="C726" s="1109" t="s">
        <v>1340</v>
      </c>
      <c r="D726" s="1009" t="s">
        <v>310</v>
      </c>
      <c r="E726" s="1015" t="s">
        <v>80</v>
      </c>
      <c r="F726" s="1410">
        <v>0</v>
      </c>
      <c r="G726" s="1416">
        <v>0</v>
      </c>
      <c r="H726" s="1009" t="s">
        <v>10</v>
      </c>
      <c r="I726" s="1009" t="s">
        <v>112</v>
      </c>
      <c r="J726" s="1009" t="s">
        <v>89</v>
      </c>
    </row>
    <row r="727" spans="1:10">
      <c r="A727" s="1016" t="s">
        <v>801</v>
      </c>
      <c r="B727" s="1016" t="s">
        <v>89</v>
      </c>
      <c r="C727" s="1109" t="s">
        <v>1341</v>
      </c>
      <c r="D727" s="1009" t="s">
        <v>310</v>
      </c>
      <c r="E727" s="1015" t="s">
        <v>80</v>
      </c>
      <c r="F727" s="1410">
        <v>2300000000</v>
      </c>
      <c r="G727" s="1416">
        <v>0</v>
      </c>
      <c r="H727" s="1009" t="s">
        <v>10</v>
      </c>
      <c r="I727" s="1009" t="s">
        <v>112</v>
      </c>
      <c r="J727" s="1009" t="s">
        <v>89</v>
      </c>
    </row>
    <row r="728" spans="1:10">
      <c r="A728" s="1016" t="s">
        <v>518</v>
      </c>
      <c r="B728" s="1016" t="s">
        <v>91</v>
      </c>
      <c r="C728" s="1109" t="s">
        <v>1342</v>
      </c>
      <c r="D728" s="1009" t="s">
        <v>310</v>
      </c>
      <c r="E728" s="1015" t="s">
        <v>80</v>
      </c>
      <c r="F728" s="1410">
        <v>0</v>
      </c>
      <c r="G728" s="1416">
        <v>0</v>
      </c>
      <c r="H728" s="1009" t="s">
        <v>10</v>
      </c>
      <c r="I728" s="1009" t="s">
        <v>112</v>
      </c>
      <c r="J728" s="1009" t="s">
        <v>91</v>
      </c>
    </row>
    <row r="729" spans="1:10">
      <c r="A729" s="1016" t="s">
        <v>518</v>
      </c>
      <c r="B729" s="1016" t="s">
        <v>91</v>
      </c>
      <c r="C729" s="1109" t="s">
        <v>1343</v>
      </c>
      <c r="D729" s="1009" t="s">
        <v>310</v>
      </c>
      <c r="E729" s="1015" t="s">
        <v>80</v>
      </c>
      <c r="F729" s="1410">
        <v>0</v>
      </c>
      <c r="G729" s="1416">
        <v>0</v>
      </c>
      <c r="H729" s="1009" t="s">
        <v>10</v>
      </c>
      <c r="I729" s="1009" t="s">
        <v>112</v>
      </c>
      <c r="J729" s="1009" t="s">
        <v>91</v>
      </c>
    </row>
    <row r="730" spans="1:10">
      <c r="A730" s="1016" t="s">
        <v>518</v>
      </c>
      <c r="B730" s="1016" t="s">
        <v>91</v>
      </c>
      <c r="C730" s="1109" t="s">
        <v>1344</v>
      </c>
      <c r="D730" s="1009" t="s">
        <v>310</v>
      </c>
      <c r="E730" s="1015" t="s">
        <v>80</v>
      </c>
      <c r="F730" s="1410">
        <v>0</v>
      </c>
      <c r="G730" s="1416">
        <v>0</v>
      </c>
      <c r="H730" s="1009" t="s">
        <v>10</v>
      </c>
      <c r="I730" s="1009" t="s">
        <v>112</v>
      </c>
      <c r="J730" s="1009" t="s">
        <v>91</v>
      </c>
    </row>
    <row r="731" spans="1:10">
      <c r="A731" s="1016" t="s">
        <v>552</v>
      </c>
      <c r="B731" s="1016" t="s">
        <v>98</v>
      </c>
      <c r="C731" s="1109" t="s">
        <v>1345</v>
      </c>
      <c r="D731" s="1009" t="s">
        <v>310</v>
      </c>
      <c r="E731" s="1015" t="s">
        <v>80</v>
      </c>
      <c r="F731" s="1410">
        <v>0</v>
      </c>
      <c r="G731" s="1416">
        <v>0</v>
      </c>
      <c r="H731" s="1009" t="s">
        <v>10</v>
      </c>
      <c r="I731" s="1009" t="s">
        <v>198</v>
      </c>
      <c r="J731" s="1009" t="s">
        <v>98</v>
      </c>
    </row>
    <row r="732" spans="1:10">
      <c r="A732" s="1016" t="s">
        <v>522</v>
      </c>
      <c r="B732" s="1016" t="s">
        <v>971</v>
      </c>
      <c r="C732" s="1109" t="s">
        <v>1346</v>
      </c>
      <c r="D732" s="1009" t="s">
        <v>310</v>
      </c>
      <c r="E732" s="1015" t="s">
        <v>80</v>
      </c>
      <c r="F732" s="1410">
        <v>0</v>
      </c>
      <c r="G732" s="1416">
        <v>0</v>
      </c>
      <c r="H732" s="1009" t="s">
        <v>10</v>
      </c>
      <c r="I732" s="1009" t="s">
        <v>259</v>
      </c>
      <c r="J732" s="1009" t="s">
        <v>99</v>
      </c>
    </row>
    <row r="733" spans="1:10">
      <c r="A733" s="1016" t="s">
        <v>582</v>
      </c>
      <c r="B733" s="1016" t="s">
        <v>86</v>
      </c>
      <c r="C733" s="1109" t="s">
        <v>1347</v>
      </c>
      <c r="D733" s="1009" t="s">
        <v>310</v>
      </c>
      <c r="E733" s="1015" t="s">
        <v>80</v>
      </c>
      <c r="F733" s="1410">
        <v>0</v>
      </c>
      <c r="G733" s="1416">
        <v>0</v>
      </c>
      <c r="H733" s="1009" t="s">
        <v>67</v>
      </c>
      <c r="I733" s="1009" t="s">
        <v>110</v>
      </c>
      <c r="J733" s="1009" t="s">
        <v>86</v>
      </c>
    </row>
    <row r="734" spans="1:10">
      <c r="A734" s="1016" t="s">
        <v>516</v>
      </c>
      <c r="B734" s="1016" t="s">
        <v>92</v>
      </c>
      <c r="C734" s="1109" t="s">
        <v>1348</v>
      </c>
      <c r="D734" s="1009" t="s">
        <v>310</v>
      </c>
      <c r="E734" s="1015" t="s">
        <v>80</v>
      </c>
      <c r="F734" s="1410">
        <v>0</v>
      </c>
      <c r="G734" s="1416">
        <v>0</v>
      </c>
      <c r="H734" s="1009" t="s">
        <v>10</v>
      </c>
      <c r="I734" s="1009" t="s">
        <v>114</v>
      </c>
      <c r="J734" s="1009" t="s">
        <v>92</v>
      </c>
    </row>
    <row r="735" spans="1:10">
      <c r="A735" s="1016" t="s">
        <v>335</v>
      </c>
      <c r="B735" s="1016" t="s">
        <v>92</v>
      </c>
      <c r="C735" s="1109" t="s">
        <v>1349</v>
      </c>
      <c r="D735" s="1009" t="s">
        <v>310</v>
      </c>
      <c r="E735" s="1015" t="s">
        <v>80</v>
      </c>
      <c r="F735" s="1410">
        <v>0</v>
      </c>
      <c r="G735" s="1416">
        <v>0</v>
      </c>
      <c r="H735" s="1009" t="s">
        <v>10</v>
      </c>
      <c r="I735" s="1009" t="s">
        <v>114</v>
      </c>
      <c r="J735" s="1009" t="s">
        <v>92</v>
      </c>
    </row>
    <row r="736" spans="1:10">
      <c r="A736" s="1016" t="s">
        <v>335</v>
      </c>
      <c r="B736" s="1016" t="s">
        <v>92</v>
      </c>
      <c r="C736" s="1109" t="s">
        <v>1350</v>
      </c>
      <c r="D736" s="1009" t="s">
        <v>310</v>
      </c>
      <c r="E736" s="1015" t="s">
        <v>80</v>
      </c>
      <c r="F736" s="1410">
        <v>0</v>
      </c>
      <c r="G736" s="1416">
        <v>0</v>
      </c>
      <c r="H736" s="1009" t="s">
        <v>10</v>
      </c>
      <c r="I736" s="1009" t="s">
        <v>114</v>
      </c>
      <c r="J736" s="1009" t="s">
        <v>92</v>
      </c>
    </row>
    <row r="737" spans="1:10">
      <c r="A737" s="1016" t="s">
        <v>754</v>
      </c>
      <c r="B737" s="1016" t="s">
        <v>92</v>
      </c>
      <c r="C737" s="1109" t="s">
        <v>1351</v>
      </c>
      <c r="D737" s="1009" t="s">
        <v>310</v>
      </c>
      <c r="E737" s="1015" t="s">
        <v>80</v>
      </c>
      <c r="F737" s="1410">
        <v>0</v>
      </c>
      <c r="G737" s="1416">
        <v>0</v>
      </c>
      <c r="H737" s="1009" t="s">
        <v>10</v>
      </c>
      <c r="I737" s="1009" t="s">
        <v>114</v>
      </c>
      <c r="J737" s="1009" t="s">
        <v>92</v>
      </c>
    </row>
    <row r="738" spans="1:10">
      <c r="A738" s="1016" t="s">
        <v>754</v>
      </c>
      <c r="B738" s="1016" t="s">
        <v>92</v>
      </c>
      <c r="C738" s="1109" t="s">
        <v>1352</v>
      </c>
      <c r="D738" s="1009" t="s">
        <v>310</v>
      </c>
      <c r="E738" s="1015" t="s">
        <v>80</v>
      </c>
      <c r="F738" s="1410">
        <v>0</v>
      </c>
      <c r="G738" s="1416">
        <v>0</v>
      </c>
      <c r="H738" s="1009" t="s">
        <v>10</v>
      </c>
      <c r="I738" s="1009" t="s">
        <v>114</v>
      </c>
      <c r="J738" s="1009" t="s">
        <v>92</v>
      </c>
    </row>
    <row r="739" spans="1:10">
      <c r="A739" s="1016" t="s">
        <v>754</v>
      </c>
      <c r="B739" s="1016" t="s">
        <v>92</v>
      </c>
      <c r="C739" s="1109" t="s">
        <v>1353</v>
      </c>
      <c r="D739" s="1009" t="s">
        <v>310</v>
      </c>
      <c r="E739" s="1015" t="s">
        <v>80</v>
      </c>
      <c r="F739" s="1410">
        <v>3000000000</v>
      </c>
      <c r="G739" s="1416">
        <v>0</v>
      </c>
      <c r="H739" s="1009" t="s">
        <v>10</v>
      </c>
      <c r="I739" s="1009" t="s">
        <v>114</v>
      </c>
      <c r="J739" s="1009" t="s">
        <v>92</v>
      </c>
    </row>
    <row r="740" spans="1:10">
      <c r="A740" s="1016" t="s">
        <v>905</v>
      </c>
      <c r="B740" s="1016" t="s">
        <v>92</v>
      </c>
      <c r="C740" s="1109" t="s">
        <v>1354</v>
      </c>
      <c r="D740" s="1009" t="s">
        <v>310</v>
      </c>
      <c r="E740" s="1015" t="s">
        <v>80</v>
      </c>
      <c r="F740" s="1410">
        <v>11000000000</v>
      </c>
      <c r="G740" s="1416">
        <v>0</v>
      </c>
      <c r="H740" s="1009" t="s">
        <v>10</v>
      </c>
      <c r="I740" s="1009" t="s">
        <v>114</v>
      </c>
      <c r="J740" s="1009" t="s">
        <v>92</v>
      </c>
    </row>
    <row r="741" spans="1:10">
      <c r="A741" s="1016" t="s">
        <v>761</v>
      </c>
      <c r="B741" s="1016" t="s">
        <v>89</v>
      </c>
      <c r="C741" s="1109" t="s">
        <v>1355</v>
      </c>
      <c r="D741" s="1009" t="s">
        <v>310</v>
      </c>
      <c r="E741" s="1015" t="s">
        <v>80</v>
      </c>
      <c r="F741" s="1410">
        <v>0</v>
      </c>
      <c r="G741" s="1416">
        <v>0</v>
      </c>
      <c r="H741" s="1009" t="s">
        <v>10</v>
      </c>
      <c r="I741" s="1009" t="s">
        <v>112</v>
      </c>
      <c r="J741" s="1009" t="s">
        <v>89</v>
      </c>
    </row>
    <row r="742" spans="1:10">
      <c r="A742" s="1016" t="s">
        <v>761</v>
      </c>
      <c r="B742" s="1016" t="s">
        <v>89</v>
      </c>
      <c r="C742" s="1109" t="s">
        <v>1356</v>
      </c>
      <c r="D742" s="1009" t="s">
        <v>310</v>
      </c>
      <c r="E742" s="1015" t="s">
        <v>80</v>
      </c>
      <c r="F742" s="1410">
        <v>1500000000</v>
      </c>
      <c r="G742" s="1416">
        <v>0</v>
      </c>
      <c r="H742" s="1009" t="s">
        <v>10</v>
      </c>
      <c r="I742" s="1009" t="s">
        <v>112</v>
      </c>
      <c r="J742" s="1009" t="s">
        <v>89</v>
      </c>
    </row>
    <row r="743" spans="1:10">
      <c r="A743" s="1016" t="s">
        <v>526</v>
      </c>
      <c r="B743" s="1016" t="s">
        <v>89</v>
      </c>
      <c r="C743" s="1109" t="s">
        <v>1357</v>
      </c>
      <c r="D743" s="1009" t="s">
        <v>310</v>
      </c>
      <c r="E743" s="1015" t="s">
        <v>80</v>
      </c>
      <c r="F743" s="1410">
        <v>0</v>
      </c>
      <c r="G743" s="1416">
        <v>0</v>
      </c>
      <c r="H743" s="1009" t="s">
        <v>10</v>
      </c>
      <c r="I743" s="1009" t="s">
        <v>112</v>
      </c>
      <c r="J743" s="1009" t="s">
        <v>89</v>
      </c>
    </row>
    <row r="744" spans="1:10">
      <c r="A744" s="1016" t="s">
        <v>570</v>
      </c>
      <c r="B744" s="1016" t="s">
        <v>91</v>
      </c>
      <c r="C744" s="1109" t="s">
        <v>1358</v>
      </c>
      <c r="D744" s="1009" t="s">
        <v>310</v>
      </c>
      <c r="E744" s="1015" t="s">
        <v>80</v>
      </c>
      <c r="F744" s="1410">
        <v>0</v>
      </c>
      <c r="G744" s="1416">
        <v>0</v>
      </c>
      <c r="H744" s="1009" t="s">
        <v>10</v>
      </c>
      <c r="I744" s="1009" t="s">
        <v>112</v>
      </c>
      <c r="J744" s="1009" t="s">
        <v>91</v>
      </c>
    </row>
    <row r="745" spans="1:10">
      <c r="A745" s="1016" t="s">
        <v>516</v>
      </c>
      <c r="B745" s="1016" t="s">
        <v>92</v>
      </c>
      <c r="C745" s="1109" t="s">
        <v>1359</v>
      </c>
      <c r="D745" s="1009" t="s">
        <v>310</v>
      </c>
      <c r="E745" s="1015" t="s">
        <v>80</v>
      </c>
      <c r="F745" s="1410">
        <v>3800000000</v>
      </c>
      <c r="G745" s="1416">
        <v>0</v>
      </c>
      <c r="H745" s="1009" t="s">
        <v>10</v>
      </c>
      <c r="I745" s="1009" t="s">
        <v>114</v>
      </c>
      <c r="J745" s="1009" t="s">
        <v>92</v>
      </c>
    </row>
    <row r="746" spans="1:10">
      <c r="A746" s="1016" t="s">
        <v>993</v>
      </c>
      <c r="B746" s="1016" t="s">
        <v>191</v>
      </c>
      <c r="C746" s="1109" t="s">
        <v>1360</v>
      </c>
      <c r="D746" s="1009" t="s">
        <v>310</v>
      </c>
      <c r="E746" s="1015" t="s">
        <v>80</v>
      </c>
      <c r="F746" s="1410">
        <v>0</v>
      </c>
      <c r="G746" s="1416">
        <v>0</v>
      </c>
      <c r="H746" s="1009" t="s">
        <v>10</v>
      </c>
      <c r="I746" s="1009" t="s">
        <v>110</v>
      </c>
      <c r="J746" s="1009" t="s">
        <v>191</v>
      </c>
    </row>
    <row r="747" spans="1:10">
      <c r="A747" s="1016" t="s">
        <v>1020</v>
      </c>
      <c r="B747" s="1016" t="s">
        <v>191</v>
      </c>
      <c r="C747" s="1109" t="s">
        <v>1361</v>
      </c>
      <c r="D747" s="1009" t="s">
        <v>310</v>
      </c>
      <c r="E747" s="1015" t="s">
        <v>80</v>
      </c>
      <c r="F747" s="1410">
        <v>0</v>
      </c>
      <c r="G747" s="1416">
        <v>0</v>
      </c>
      <c r="H747" s="1009" t="s">
        <v>10</v>
      </c>
      <c r="I747" s="1009" t="s">
        <v>110</v>
      </c>
      <c r="J747" s="1009" t="s">
        <v>191</v>
      </c>
    </row>
    <row r="748" spans="1:10">
      <c r="A748" s="1016" t="s">
        <v>708</v>
      </c>
      <c r="B748" s="1016" t="s">
        <v>85</v>
      </c>
      <c r="C748" s="1109" t="s">
        <v>1362</v>
      </c>
      <c r="D748" s="1009" t="s">
        <v>310</v>
      </c>
      <c r="E748" s="1015" t="s">
        <v>80</v>
      </c>
      <c r="F748" s="1410">
        <v>12000000000</v>
      </c>
      <c r="G748" s="1416">
        <v>0</v>
      </c>
      <c r="H748" s="1009" t="s">
        <v>10</v>
      </c>
      <c r="I748" s="1009" t="s">
        <v>110</v>
      </c>
      <c r="J748" s="1009" t="s">
        <v>85</v>
      </c>
    </row>
    <row r="749" spans="1:10">
      <c r="A749" s="1016" t="s">
        <v>706</v>
      </c>
      <c r="B749" s="1016" t="s">
        <v>85</v>
      </c>
      <c r="C749" s="1110" t="s">
        <v>1363</v>
      </c>
      <c r="D749" s="1009" t="s">
        <v>310</v>
      </c>
      <c r="E749" s="1015" t="s">
        <v>80</v>
      </c>
      <c r="F749" s="1410">
        <v>13000000000</v>
      </c>
      <c r="G749" s="1416">
        <v>0</v>
      </c>
      <c r="H749" s="1009" t="s">
        <v>10</v>
      </c>
      <c r="I749" s="1009" t="s">
        <v>110</v>
      </c>
      <c r="J749" s="1009" t="s">
        <v>85</v>
      </c>
    </row>
    <row r="750" spans="1:10">
      <c r="A750" s="1016" t="s">
        <v>714</v>
      </c>
      <c r="B750" s="1016" t="s">
        <v>293</v>
      </c>
      <c r="C750" s="1109" t="s">
        <v>1364</v>
      </c>
      <c r="D750" s="1009" t="s">
        <v>308</v>
      </c>
      <c r="E750" s="1015" t="s">
        <v>80</v>
      </c>
      <c r="F750" s="1410">
        <v>9932302350</v>
      </c>
      <c r="G750" s="1416">
        <v>0</v>
      </c>
      <c r="H750" s="1009" t="s">
        <v>10</v>
      </c>
      <c r="I750" s="1009" t="s">
        <v>259</v>
      </c>
      <c r="J750" s="1009" t="s">
        <v>99</v>
      </c>
    </row>
    <row r="751" spans="1:10">
      <c r="A751" s="1016" t="s">
        <v>714</v>
      </c>
      <c r="B751" s="1016" t="s">
        <v>293</v>
      </c>
      <c r="C751" s="1109" t="s">
        <v>1365</v>
      </c>
      <c r="D751" s="1009" t="s">
        <v>308</v>
      </c>
      <c r="E751" s="1015" t="s">
        <v>80</v>
      </c>
      <c r="F751" s="1410">
        <v>2095642230</v>
      </c>
      <c r="G751" s="1416">
        <v>0</v>
      </c>
      <c r="H751" s="1009" t="s">
        <v>10</v>
      </c>
      <c r="I751" s="1009" t="s">
        <v>259</v>
      </c>
      <c r="J751" s="1009" t="s">
        <v>99</v>
      </c>
    </row>
    <row r="752" spans="1:10">
      <c r="A752" s="1016" t="s">
        <v>714</v>
      </c>
      <c r="B752" s="1016" t="s">
        <v>293</v>
      </c>
      <c r="C752" s="1109" t="s">
        <v>1366</v>
      </c>
      <c r="D752" s="1009" t="s">
        <v>308</v>
      </c>
      <c r="E752" s="1015" t="s">
        <v>80</v>
      </c>
      <c r="F752" s="1410">
        <v>163030</v>
      </c>
      <c r="G752" s="1416">
        <v>0</v>
      </c>
      <c r="H752" s="1009" t="s">
        <v>10</v>
      </c>
      <c r="I752" s="1009" t="s">
        <v>259</v>
      </c>
      <c r="J752" s="1009" t="s">
        <v>99</v>
      </c>
    </row>
    <row r="753" spans="1:10">
      <c r="A753" s="1016" t="s">
        <v>714</v>
      </c>
      <c r="B753" s="1016" t="s">
        <v>293</v>
      </c>
      <c r="C753" s="1109" t="s">
        <v>1367</v>
      </c>
      <c r="D753" s="1009" t="s">
        <v>308</v>
      </c>
      <c r="E753" s="1015" t="s">
        <v>80</v>
      </c>
      <c r="F753" s="1410">
        <v>473783680</v>
      </c>
      <c r="G753" s="1416">
        <v>0</v>
      </c>
      <c r="H753" s="1009" t="s">
        <v>10</v>
      </c>
      <c r="I753" s="1009" t="s">
        <v>259</v>
      </c>
      <c r="J753" s="1009" t="s">
        <v>99</v>
      </c>
    </row>
    <row r="754" spans="1:10">
      <c r="A754" s="1016" t="s">
        <v>714</v>
      </c>
      <c r="B754" s="1016" t="s">
        <v>293</v>
      </c>
      <c r="C754" s="1109" t="s">
        <v>1368</v>
      </c>
      <c r="D754" s="1009" t="s">
        <v>310</v>
      </c>
      <c r="E754" s="1015" t="s">
        <v>80</v>
      </c>
      <c r="F754" s="1410">
        <v>0</v>
      </c>
      <c r="G754" s="1416">
        <v>0</v>
      </c>
      <c r="H754" s="1009" t="s">
        <v>10</v>
      </c>
      <c r="I754" s="1009" t="s">
        <v>259</v>
      </c>
      <c r="J754" s="1009" t="s">
        <v>99</v>
      </c>
    </row>
    <row r="755" spans="1:10">
      <c r="A755" s="1016" t="s">
        <v>714</v>
      </c>
      <c r="B755" s="1016" t="s">
        <v>293</v>
      </c>
      <c r="C755" s="1109" t="s">
        <v>1369</v>
      </c>
      <c r="D755" s="1009" t="s">
        <v>310</v>
      </c>
      <c r="E755" s="1015" t="s">
        <v>80</v>
      </c>
      <c r="F755" s="1410">
        <v>17000000000</v>
      </c>
      <c r="G755" s="1416">
        <v>0</v>
      </c>
      <c r="H755" s="1009" t="s">
        <v>10</v>
      </c>
      <c r="I755" s="1009" t="s">
        <v>259</v>
      </c>
      <c r="J755" s="1009" t="s">
        <v>99</v>
      </c>
    </row>
    <row r="756" spans="1:10">
      <c r="A756" s="1016" t="s">
        <v>761</v>
      </c>
      <c r="B756" s="1016" t="s">
        <v>89</v>
      </c>
      <c r="C756" s="1109" t="s">
        <v>1370</v>
      </c>
      <c r="D756" s="1009" t="s">
        <v>310</v>
      </c>
      <c r="E756" s="1015" t="s">
        <v>80</v>
      </c>
      <c r="F756" s="1410">
        <v>6000000000</v>
      </c>
      <c r="G756" s="1416">
        <v>0</v>
      </c>
      <c r="H756" s="1009" t="s">
        <v>10</v>
      </c>
      <c r="I756" s="1009" t="s">
        <v>112</v>
      </c>
      <c r="J756" s="1009" t="s">
        <v>89</v>
      </c>
    </row>
    <row r="757" spans="1:10">
      <c r="A757" s="1016" t="s">
        <v>522</v>
      </c>
      <c r="B757" s="1016" t="s">
        <v>971</v>
      </c>
      <c r="C757" s="1109" t="s">
        <v>1371</v>
      </c>
      <c r="D757" s="1009" t="s">
        <v>310</v>
      </c>
      <c r="E757" s="1015" t="s">
        <v>80</v>
      </c>
      <c r="F757" s="1410">
        <v>12000000000</v>
      </c>
      <c r="G757" s="1416">
        <v>0</v>
      </c>
      <c r="H757" s="1009" t="s">
        <v>10</v>
      </c>
      <c r="I757" s="1009" t="s">
        <v>259</v>
      </c>
      <c r="J757" s="1009" t="s">
        <v>99</v>
      </c>
    </row>
    <row r="758" spans="1:10">
      <c r="A758" s="1016" t="s">
        <v>582</v>
      </c>
      <c r="B758" s="1016" t="s">
        <v>98</v>
      </c>
      <c r="C758" s="1109" t="s">
        <v>1372</v>
      </c>
      <c r="D758" s="1009" t="s">
        <v>310</v>
      </c>
      <c r="E758" s="1015" t="s">
        <v>80</v>
      </c>
      <c r="F758" s="1410">
        <v>0</v>
      </c>
      <c r="G758" s="1416">
        <v>0</v>
      </c>
      <c r="H758" s="1009" t="s">
        <v>67</v>
      </c>
      <c r="I758" s="1009" t="s">
        <v>198</v>
      </c>
      <c r="J758" s="1009" t="s">
        <v>98</v>
      </c>
    </row>
    <row r="759" spans="1:10">
      <c r="A759" s="1016" t="s">
        <v>554</v>
      </c>
      <c r="B759" s="1016" t="s">
        <v>88</v>
      </c>
      <c r="C759" s="1109" t="s">
        <v>1373</v>
      </c>
      <c r="D759" s="1009" t="s">
        <v>310</v>
      </c>
      <c r="E759" s="1015" t="s">
        <v>80</v>
      </c>
      <c r="F759" s="1410">
        <v>0</v>
      </c>
      <c r="G759" s="1416">
        <v>0</v>
      </c>
      <c r="H759" s="1009" t="s">
        <v>10</v>
      </c>
      <c r="I759" s="1009" t="s">
        <v>110</v>
      </c>
      <c r="J759" s="1009" t="s">
        <v>88</v>
      </c>
    </row>
    <row r="760" spans="1:10">
      <c r="A760" s="1016" t="s">
        <v>710</v>
      </c>
      <c r="B760" s="1016" t="s">
        <v>85</v>
      </c>
      <c r="C760" s="1109" t="s">
        <v>1374</v>
      </c>
      <c r="D760" s="1009" t="s">
        <v>310</v>
      </c>
      <c r="E760" s="1015" t="s">
        <v>80</v>
      </c>
      <c r="F760" s="1410">
        <v>16000000000</v>
      </c>
      <c r="G760" s="1416">
        <v>0</v>
      </c>
      <c r="H760" s="1009" t="s">
        <v>10</v>
      </c>
      <c r="I760" s="1009" t="s">
        <v>110</v>
      </c>
      <c r="J760" s="1009" t="s">
        <v>85</v>
      </c>
    </row>
    <row r="761" spans="1:10">
      <c r="A761" s="1016" t="s">
        <v>710</v>
      </c>
      <c r="B761" s="1016" t="s">
        <v>85</v>
      </c>
      <c r="C761" s="1109" t="s">
        <v>1375</v>
      </c>
      <c r="D761" s="1009" t="s">
        <v>310</v>
      </c>
      <c r="E761" s="1015" t="s">
        <v>80</v>
      </c>
      <c r="F761" s="1410">
        <v>15000000000</v>
      </c>
      <c r="G761" s="1416">
        <v>0</v>
      </c>
      <c r="H761" s="1009" t="s">
        <v>10</v>
      </c>
      <c r="I761" s="1009" t="s">
        <v>110</v>
      </c>
      <c r="J761" s="1009" t="s">
        <v>85</v>
      </c>
    </row>
    <row r="762" spans="1:10">
      <c r="A762" s="1016" t="s">
        <v>710</v>
      </c>
      <c r="B762" s="1016" t="s">
        <v>85</v>
      </c>
      <c r="C762" s="1109" t="s">
        <v>1376</v>
      </c>
      <c r="D762" s="1009" t="s">
        <v>310</v>
      </c>
      <c r="E762" s="1015" t="s">
        <v>80</v>
      </c>
      <c r="F762" s="1410">
        <v>0</v>
      </c>
      <c r="G762" s="1416">
        <v>0</v>
      </c>
      <c r="H762" s="1009" t="s">
        <v>10</v>
      </c>
      <c r="I762" s="1009" t="s">
        <v>110</v>
      </c>
      <c r="J762" s="1009" t="s">
        <v>85</v>
      </c>
    </row>
    <row r="763" spans="1:10">
      <c r="A763" s="1016" t="s">
        <v>510</v>
      </c>
      <c r="B763" s="1016" t="s">
        <v>85</v>
      </c>
      <c r="C763" s="1109" t="s">
        <v>1377</v>
      </c>
      <c r="D763" s="1009" t="s">
        <v>310</v>
      </c>
      <c r="E763" s="1015" t="s">
        <v>80</v>
      </c>
      <c r="F763" s="1410">
        <v>0</v>
      </c>
      <c r="G763" s="1416">
        <v>0</v>
      </c>
      <c r="H763" s="1009" t="s">
        <v>10</v>
      </c>
      <c r="I763" s="1009" t="s">
        <v>110</v>
      </c>
      <c r="J763" s="1009" t="s">
        <v>85</v>
      </c>
    </row>
    <row r="764" spans="1:10">
      <c r="A764" s="1016" t="s">
        <v>706</v>
      </c>
      <c r="B764" s="1016" t="s">
        <v>85</v>
      </c>
      <c r="C764" s="1109" t="s">
        <v>1378</v>
      </c>
      <c r="D764" s="1009" t="s">
        <v>310</v>
      </c>
      <c r="E764" s="1015" t="s">
        <v>80</v>
      </c>
      <c r="F764" s="1410">
        <v>0</v>
      </c>
      <c r="G764" s="1416">
        <v>0</v>
      </c>
      <c r="H764" s="1009" t="s">
        <v>10</v>
      </c>
      <c r="I764" s="1009" t="s">
        <v>110</v>
      </c>
      <c r="J764" s="1009" t="s">
        <v>85</v>
      </c>
    </row>
    <row r="765" spans="1:10">
      <c r="A765" s="1016" t="s">
        <v>506</v>
      </c>
      <c r="B765" s="1016" t="s">
        <v>85</v>
      </c>
      <c r="C765" s="1109" t="s">
        <v>1379</v>
      </c>
      <c r="D765" s="1009" t="s">
        <v>310</v>
      </c>
      <c r="E765" s="1015" t="s">
        <v>80</v>
      </c>
      <c r="F765" s="1410">
        <v>0</v>
      </c>
      <c r="G765" s="1416">
        <v>0</v>
      </c>
      <c r="H765" s="1009" t="s">
        <v>10</v>
      </c>
      <c r="I765" s="1009" t="s">
        <v>110</v>
      </c>
      <c r="J765" s="1009" t="s">
        <v>85</v>
      </c>
    </row>
    <row r="766" spans="1:10">
      <c r="A766" s="1016" t="s">
        <v>1028</v>
      </c>
      <c r="B766" s="1016" t="s">
        <v>191</v>
      </c>
      <c r="C766" s="1109" t="s">
        <v>1380</v>
      </c>
      <c r="D766" s="1009" t="s">
        <v>310</v>
      </c>
      <c r="E766" s="1015" t="s">
        <v>80</v>
      </c>
      <c r="F766" s="1410">
        <v>0</v>
      </c>
      <c r="G766" s="1416">
        <v>0</v>
      </c>
      <c r="H766" s="1009" t="s">
        <v>10</v>
      </c>
      <c r="I766" s="1009" t="s">
        <v>110</v>
      </c>
      <c r="J766" s="1009" t="s">
        <v>191</v>
      </c>
    </row>
    <row r="767" spans="1:10">
      <c r="A767" s="1016" t="s">
        <v>541</v>
      </c>
      <c r="B767" s="1016" t="s">
        <v>86</v>
      </c>
      <c r="C767" s="1109" t="s">
        <v>1381</v>
      </c>
      <c r="D767" s="1009" t="s">
        <v>310</v>
      </c>
      <c r="E767" s="1015" t="s">
        <v>80</v>
      </c>
      <c r="F767" s="1410">
        <v>0</v>
      </c>
      <c r="G767" s="1416">
        <v>0</v>
      </c>
      <c r="H767" s="1009" t="s">
        <v>10</v>
      </c>
      <c r="I767" s="1009" t="s">
        <v>110</v>
      </c>
      <c r="J767" s="1009" t="s">
        <v>86</v>
      </c>
    </row>
    <row r="768" spans="1:10">
      <c r="A768" s="1016" t="s">
        <v>714</v>
      </c>
      <c r="B768" s="1016" t="s">
        <v>153</v>
      </c>
      <c r="C768" s="1109" t="s">
        <v>1382</v>
      </c>
      <c r="D768" s="1009" t="s">
        <v>310</v>
      </c>
      <c r="E768" s="1015" t="s">
        <v>80</v>
      </c>
      <c r="F768" s="1410">
        <v>0</v>
      </c>
      <c r="G768" s="1416">
        <v>0</v>
      </c>
      <c r="H768" s="1009" t="s">
        <v>10</v>
      </c>
      <c r="I768" s="1009" t="s">
        <v>110</v>
      </c>
      <c r="J768" s="1009" t="s">
        <v>87</v>
      </c>
    </row>
    <row r="769" spans="1:10">
      <c r="A769" s="1016" t="s">
        <v>714</v>
      </c>
      <c r="B769" s="1016" t="s">
        <v>153</v>
      </c>
      <c r="C769" s="1109" t="s">
        <v>1383</v>
      </c>
      <c r="D769" s="1009" t="s">
        <v>310</v>
      </c>
      <c r="E769" s="1015" t="s">
        <v>80</v>
      </c>
      <c r="F769" s="1410">
        <v>0</v>
      </c>
      <c r="G769" s="1416">
        <v>0</v>
      </c>
      <c r="H769" s="1009" t="s">
        <v>10</v>
      </c>
      <c r="I769" s="1009" t="s">
        <v>110</v>
      </c>
      <c r="J769" s="1009" t="s">
        <v>87</v>
      </c>
    </row>
    <row r="770" spans="1:10">
      <c r="A770" s="1016" t="s">
        <v>499</v>
      </c>
      <c r="B770" s="1016" t="s">
        <v>85</v>
      </c>
      <c r="C770" s="1109" t="s">
        <v>1384</v>
      </c>
      <c r="D770" s="1009" t="s">
        <v>310</v>
      </c>
      <c r="E770" s="1015" t="s">
        <v>80</v>
      </c>
      <c r="F770" s="1410">
        <v>0</v>
      </c>
      <c r="G770" s="1416">
        <v>0</v>
      </c>
      <c r="H770" s="1009" t="s">
        <v>10</v>
      </c>
      <c r="I770" s="1009" t="s">
        <v>110</v>
      </c>
      <c r="J770" s="1009" t="s">
        <v>85</v>
      </c>
    </row>
    <row r="771" spans="1:10">
      <c r="A771" s="1016" t="s">
        <v>567</v>
      </c>
      <c r="B771" s="1016" t="s">
        <v>93</v>
      </c>
      <c r="C771" s="1109" t="s">
        <v>1385</v>
      </c>
      <c r="D771" s="1009" t="s">
        <v>310</v>
      </c>
      <c r="E771" s="1015" t="s">
        <v>80</v>
      </c>
      <c r="F771" s="1410">
        <v>0</v>
      </c>
      <c r="G771" s="1416">
        <v>0</v>
      </c>
      <c r="H771" s="1009" t="s">
        <v>10</v>
      </c>
      <c r="I771" s="1009" t="s">
        <v>114</v>
      </c>
      <c r="J771" s="1009" t="s">
        <v>93</v>
      </c>
    </row>
    <row r="772" spans="1:10">
      <c r="A772" s="1016" t="s">
        <v>567</v>
      </c>
      <c r="B772" s="1016" t="s">
        <v>93</v>
      </c>
      <c r="C772" s="1109" t="s">
        <v>1386</v>
      </c>
      <c r="D772" s="1009" t="s">
        <v>310</v>
      </c>
      <c r="E772" s="1015" t="s">
        <v>80</v>
      </c>
      <c r="F772" s="1410">
        <v>0</v>
      </c>
      <c r="G772" s="1416">
        <v>0</v>
      </c>
      <c r="H772" s="1009" t="s">
        <v>10</v>
      </c>
      <c r="I772" s="1009" t="s">
        <v>114</v>
      </c>
      <c r="J772" s="1009" t="s">
        <v>93</v>
      </c>
    </row>
    <row r="773" spans="1:10">
      <c r="A773" s="1016" t="s">
        <v>582</v>
      </c>
      <c r="B773" s="1016" t="s">
        <v>338</v>
      </c>
      <c r="C773" s="1109" t="s">
        <v>1387</v>
      </c>
      <c r="D773" s="1009" t="s">
        <v>310</v>
      </c>
      <c r="E773" s="1015" t="s">
        <v>80</v>
      </c>
      <c r="F773" s="1410">
        <v>0</v>
      </c>
      <c r="G773" s="1416">
        <v>0</v>
      </c>
      <c r="H773" s="1009" t="s">
        <v>67</v>
      </c>
      <c r="I773" s="1009" t="s">
        <v>199</v>
      </c>
      <c r="J773" s="1009" t="s">
        <v>338</v>
      </c>
    </row>
    <row r="774" spans="1:10">
      <c r="A774" s="1016" t="s">
        <v>582</v>
      </c>
      <c r="B774" s="1016" t="s">
        <v>92</v>
      </c>
      <c r="C774" s="1109" t="s">
        <v>1388</v>
      </c>
      <c r="D774" s="1009" t="s">
        <v>310</v>
      </c>
      <c r="E774" s="1015" t="s">
        <v>80</v>
      </c>
      <c r="F774" s="1410">
        <v>0</v>
      </c>
      <c r="G774" s="1416">
        <v>0</v>
      </c>
      <c r="H774" s="1009" t="s">
        <v>67</v>
      </c>
      <c r="I774" s="1009" t="s">
        <v>114</v>
      </c>
      <c r="J774" s="1009" t="s">
        <v>92</v>
      </c>
    </row>
    <row r="775" spans="1:10">
      <c r="A775" s="1016" t="s">
        <v>754</v>
      </c>
      <c r="B775" s="1016" t="s">
        <v>92</v>
      </c>
      <c r="C775" s="1109" t="s">
        <v>1389</v>
      </c>
      <c r="D775" s="1009" t="s">
        <v>310</v>
      </c>
      <c r="E775" s="1015" t="s">
        <v>80</v>
      </c>
      <c r="F775" s="1410">
        <v>0</v>
      </c>
      <c r="G775" s="1416">
        <v>0</v>
      </c>
      <c r="H775" s="1009" t="s">
        <v>10</v>
      </c>
      <c r="I775" s="1009" t="s">
        <v>114</v>
      </c>
      <c r="J775" s="1009" t="s">
        <v>92</v>
      </c>
    </row>
    <row r="776" spans="1:10">
      <c r="A776" s="1016" t="s">
        <v>499</v>
      </c>
      <c r="B776" s="1016" t="s">
        <v>85</v>
      </c>
      <c r="C776" s="1109" t="s">
        <v>1390</v>
      </c>
      <c r="D776" s="1009" t="s">
        <v>310</v>
      </c>
      <c r="E776" s="1015" t="s">
        <v>80</v>
      </c>
      <c r="F776" s="1410">
        <v>0</v>
      </c>
      <c r="G776" s="1416">
        <v>0</v>
      </c>
      <c r="H776" s="1009" t="s">
        <v>10</v>
      </c>
      <c r="I776" s="1009" t="s">
        <v>110</v>
      </c>
      <c r="J776" s="1009" t="s">
        <v>85</v>
      </c>
    </row>
    <row r="777" spans="1:10">
      <c r="A777" s="1016" t="s">
        <v>748</v>
      </c>
      <c r="B777" s="1016" t="s">
        <v>88</v>
      </c>
      <c r="C777" s="1109" t="s">
        <v>1391</v>
      </c>
      <c r="D777" s="1009" t="s">
        <v>310</v>
      </c>
      <c r="E777" s="1015" t="s">
        <v>80</v>
      </c>
      <c r="F777" s="1410">
        <v>1500000000</v>
      </c>
      <c r="G777" s="1416">
        <v>0</v>
      </c>
      <c r="H777" s="1009" t="s">
        <v>10</v>
      </c>
      <c r="I777" s="1009" t="s">
        <v>110</v>
      </c>
      <c r="J777" s="1009" t="s">
        <v>88</v>
      </c>
    </row>
    <row r="778" spans="1:10">
      <c r="A778" s="1016" t="s">
        <v>750</v>
      </c>
      <c r="B778" s="1016" t="s">
        <v>88</v>
      </c>
      <c r="C778" s="1109" t="s">
        <v>1392</v>
      </c>
      <c r="D778" s="1009" t="s">
        <v>310</v>
      </c>
      <c r="E778" s="1015" t="s">
        <v>80</v>
      </c>
      <c r="F778" s="1410">
        <v>1000000000</v>
      </c>
      <c r="G778" s="1416">
        <v>0</v>
      </c>
      <c r="H778" s="1009" t="s">
        <v>10</v>
      </c>
      <c r="I778" s="1009" t="s">
        <v>110</v>
      </c>
      <c r="J778" s="1009" t="s">
        <v>88</v>
      </c>
    </row>
    <row r="779" spans="1:10">
      <c r="A779" s="1016" t="s">
        <v>541</v>
      </c>
      <c r="B779" s="1016" t="s">
        <v>86</v>
      </c>
      <c r="C779" s="1109" t="s">
        <v>1393</v>
      </c>
      <c r="D779" s="1009" t="s">
        <v>310</v>
      </c>
      <c r="E779" s="1015" t="s">
        <v>80</v>
      </c>
      <c r="F779" s="1410">
        <v>0</v>
      </c>
      <c r="G779" s="1416">
        <v>0</v>
      </c>
      <c r="H779" s="1009" t="s">
        <v>10</v>
      </c>
      <c r="I779" s="1009" t="s">
        <v>110</v>
      </c>
      <c r="J779" s="1009" t="s">
        <v>86</v>
      </c>
    </row>
    <row r="780" spans="1:10">
      <c r="A780" s="1016" t="s">
        <v>518</v>
      </c>
      <c r="B780" s="1016" t="s">
        <v>91</v>
      </c>
      <c r="C780" s="1109" t="s">
        <v>1394</v>
      </c>
      <c r="D780" s="1009" t="s">
        <v>310</v>
      </c>
      <c r="E780" s="1015" t="s">
        <v>80</v>
      </c>
      <c r="F780" s="1410">
        <v>24000000000</v>
      </c>
      <c r="G780" s="1416">
        <v>0</v>
      </c>
      <c r="H780" s="1009" t="s">
        <v>10</v>
      </c>
      <c r="I780" s="1009" t="s">
        <v>112</v>
      </c>
      <c r="J780" s="1009" t="s">
        <v>91</v>
      </c>
    </row>
    <row r="781" spans="1:10">
      <c r="A781" s="1016" t="s">
        <v>857</v>
      </c>
      <c r="B781" s="1016" t="s">
        <v>191</v>
      </c>
      <c r="C781" s="1109" t="s">
        <v>1395</v>
      </c>
      <c r="D781" s="1009" t="s">
        <v>310</v>
      </c>
      <c r="E781" s="1015" t="s">
        <v>80</v>
      </c>
      <c r="F781" s="1410">
        <v>0</v>
      </c>
      <c r="G781" s="1416">
        <v>0</v>
      </c>
      <c r="H781" s="1009" t="s">
        <v>10</v>
      </c>
      <c r="I781" s="1009" t="s">
        <v>110</v>
      </c>
      <c r="J781" s="1009" t="s">
        <v>191</v>
      </c>
    </row>
    <row r="782" spans="1:10">
      <c r="A782" s="1016" t="s">
        <v>526</v>
      </c>
      <c r="B782" s="1016" t="s">
        <v>89</v>
      </c>
      <c r="C782" s="1109" t="s">
        <v>1396</v>
      </c>
      <c r="D782" s="1009" t="s">
        <v>310</v>
      </c>
      <c r="E782" s="1015" t="s">
        <v>80</v>
      </c>
      <c r="F782" s="1410">
        <v>0</v>
      </c>
      <c r="G782" s="1416">
        <v>0</v>
      </c>
      <c r="H782" s="1009" t="s">
        <v>10</v>
      </c>
      <c r="I782" s="1009" t="s">
        <v>112</v>
      </c>
      <c r="J782" s="1009" t="s">
        <v>89</v>
      </c>
    </row>
    <row r="783" spans="1:10">
      <c r="A783" s="1100" t="s">
        <v>506</v>
      </c>
      <c r="B783" s="1100" t="s">
        <v>85</v>
      </c>
      <c r="C783" s="1109" t="s">
        <v>1397</v>
      </c>
      <c r="D783" s="1009" t="s">
        <v>310</v>
      </c>
      <c r="E783" s="1015" t="s">
        <v>80</v>
      </c>
      <c r="F783" s="1410">
        <v>0</v>
      </c>
      <c r="G783" s="1416">
        <v>0</v>
      </c>
      <c r="H783" s="1009" t="s">
        <v>10</v>
      </c>
      <c r="I783" s="1009" t="s">
        <v>110</v>
      </c>
      <c r="J783" s="1009" t="s">
        <v>85</v>
      </c>
    </row>
    <row r="784" spans="1:10">
      <c r="A784" s="1100" t="s">
        <v>993</v>
      </c>
      <c r="B784" s="1100" t="s">
        <v>191</v>
      </c>
      <c r="C784" s="1109" t="s">
        <v>1398</v>
      </c>
      <c r="D784" s="1009" t="s">
        <v>310</v>
      </c>
      <c r="E784" s="1015" t="s">
        <v>80</v>
      </c>
      <c r="F784" s="1410">
        <v>0</v>
      </c>
      <c r="G784" s="1416">
        <v>0</v>
      </c>
      <c r="H784" s="1009" t="s">
        <v>10</v>
      </c>
      <c r="I784" s="1009" t="s">
        <v>110</v>
      </c>
      <c r="J784" s="1009" t="s">
        <v>191</v>
      </c>
    </row>
    <row r="785" spans="1:10">
      <c r="A785" s="1100" t="s">
        <v>609</v>
      </c>
      <c r="B785" s="1100" t="s">
        <v>85</v>
      </c>
      <c r="C785" s="1109" t="s">
        <v>1399</v>
      </c>
      <c r="D785" s="1009" t="s">
        <v>310</v>
      </c>
      <c r="E785" s="1015" t="s">
        <v>80</v>
      </c>
      <c r="F785" s="1410">
        <v>0</v>
      </c>
      <c r="G785" s="1416">
        <v>0</v>
      </c>
      <c r="H785" s="1009" t="s">
        <v>10</v>
      </c>
      <c r="I785" s="1009" t="s">
        <v>110</v>
      </c>
      <c r="J785" s="1009" t="s">
        <v>85</v>
      </c>
    </row>
    <row r="786" spans="1:10">
      <c r="A786" s="1100" t="s">
        <v>761</v>
      </c>
      <c r="B786" s="1100" t="s">
        <v>89</v>
      </c>
      <c r="C786" s="1109" t="s">
        <v>5392</v>
      </c>
      <c r="D786" s="1009" t="s">
        <v>310</v>
      </c>
      <c r="E786" s="1015" t="s">
        <v>80</v>
      </c>
      <c r="F786" s="1410">
        <v>3500000000</v>
      </c>
      <c r="G786" s="1416">
        <v>0</v>
      </c>
      <c r="H786" s="1009" t="s">
        <v>10</v>
      </c>
      <c r="I786" s="1009" t="s">
        <v>112</v>
      </c>
      <c r="J786" s="1009" t="s">
        <v>89</v>
      </c>
    </row>
    <row r="787" spans="1:10">
      <c r="A787" s="1100" t="s">
        <v>761</v>
      </c>
      <c r="B787" s="1100" t="s">
        <v>89</v>
      </c>
      <c r="C787" s="1109" t="s">
        <v>5393</v>
      </c>
      <c r="D787" s="1009" t="s">
        <v>310</v>
      </c>
      <c r="E787" s="1015" t="s">
        <v>80</v>
      </c>
      <c r="F787" s="1410">
        <v>0</v>
      </c>
      <c r="G787" s="1416">
        <v>0</v>
      </c>
      <c r="H787" s="1009" t="s">
        <v>10</v>
      </c>
      <c r="I787" s="1009" t="s">
        <v>112</v>
      </c>
      <c r="J787" s="1009" t="s">
        <v>89</v>
      </c>
    </row>
    <row r="788" spans="1:10">
      <c r="A788" s="1100" t="s">
        <v>582</v>
      </c>
      <c r="B788" s="1100" t="s">
        <v>91</v>
      </c>
      <c r="C788" s="1109" t="s">
        <v>1400</v>
      </c>
      <c r="D788" s="1009" t="s">
        <v>310</v>
      </c>
      <c r="E788" s="1015" t="s">
        <v>80</v>
      </c>
      <c r="F788" s="1410">
        <v>0</v>
      </c>
      <c r="G788" s="1416">
        <v>0</v>
      </c>
      <c r="H788" s="1009" t="s">
        <v>67</v>
      </c>
      <c r="I788" s="1009" t="s">
        <v>112</v>
      </c>
      <c r="J788" s="1009" t="s">
        <v>91</v>
      </c>
    </row>
    <row r="789" spans="1:10">
      <c r="A789" s="1100" t="s">
        <v>582</v>
      </c>
      <c r="B789" s="1100" t="s">
        <v>98</v>
      </c>
      <c r="C789" s="1109" t="s">
        <v>1401</v>
      </c>
      <c r="D789" s="1009" t="s">
        <v>310</v>
      </c>
      <c r="E789" s="1015" t="s">
        <v>80</v>
      </c>
      <c r="F789" s="1410">
        <v>0</v>
      </c>
      <c r="G789" s="1416">
        <v>0</v>
      </c>
      <c r="H789" s="1009" t="s">
        <v>67</v>
      </c>
      <c r="I789" s="1009" t="s">
        <v>198</v>
      </c>
      <c r="J789" s="1009" t="s">
        <v>98</v>
      </c>
    </row>
    <row r="790" spans="1:10">
      <c r="A790" s="1100" t="s">
        <v>582</v>
      </c>
      <c r="B790" s="1100" t="s">
        <v>92</v>
      </c>
      <c r="C790" s="1109" t="s">
        <v>1402</v>
      </c>
      <c r="D790" s="1009" t="s">
        <v>310</v>
      </c>
      <c r="E790" s="1015" t="s">
        <v>80</v>
      </c>
      <c r="F790" s="1410">
        <v>0</v>
      </c>
      <c r="G790" s="1416">
        <v>0</v>
      </c>
      <c r="H790" s="1009" t="s">
        <v>67</v>
      </c>
      <c r="I790" s="1009" t="s">
        <v>114</v>
      </c>
      <c r="J790" s="1009" t="s">
        <v>92</v>
      </c>
    </row>
    <row r="791" spans="1:10">
      <c r="A791" s="1100" t="s">
        <v>567</v>
      </c>
      <c r="B791" s="1100" t="s">
        <v>93</v>
      </c>
      <c r="C791" s="1109" t="s">
        <v>1403</v>
      </c>
      <c r="D791" s="1009" t="s">
        <v>310</v>
      </c>
      <c r="E791" s="1015" t="s">
        <v>80</v>
      </c>
      <c r="F791" s="1410">
        <v>32000000000</v>
      </c>
      <c r="G791" s="1416">
        <v>0</v>
      </c>
      <c r="H791" s="1009" t="s">
        <v>10</v>
      </c>
      <c r="I791" s="1009" t="s">
        <v>114</v>
      </c>
      <c r="J791" s="1009" t="s">
        <v>93</v>
      </c>
    </row>
    <row r="792" spans="1:10">
      <c r="A792" s="1100" t="s">
        <v>567</v>
      </c>
      <c r="B792" s="1100" t="s">
        <v>93</v>
      </c>
      <c r="C792" s="1109" t="s">
        <v>1404</v>
      </c>
      <c r="D792" s="1009" t="s">
        <v>310</v>
      </c>
      <c r="E792" s="1015" t="s">
        <v>80</v>
      </c>
      <c r="F792" s="1410">
        <v>4000000000</v>
      </c>
      <c r="G792" s="1416">
        <v>0</v>
      </c>
      <c r="H792" s="1009" t="s">
        <v>10</v>
      </c>
      <c r="I792" s="1009" t="s">
        <v>114</v>
      </c>
      <c r="J792" s="1009" t="s">
        <v>93</v>
      </c>
    </row>
    <row r="793" spans="1:10">
      <c r="A793" s="1100" t="s">
        <v>1020</v>
      </c>
      <c r="B793" s="1100" t="s">
        <v>191</v>
      </c>
      <c r="C793" s="1109" t="s">
        <v>1405</v>
      </c>
      <c r="D793" s="1009" t="s">
        <v>310</v>
      </c>
      <c r="E793" s="1015" t="s">
        <v>80</v>
      </c>
      <c r="F793" s="1410">
        <v>4000000000</v>
      </c>
      <c r="G793" s="1416">
        <v>0</v>
      </c>
      <c r="H793" s="1009" t="s">
        <v>10</v>
      </c>
      <c r="I793" s="1009" t="s">
        <v>110</v>
      </c>
      <c r="J793" s="1009" t="s">
        <v>191</v>
      </c>
    </row>
    <row r="794" spans="1:10">
      <c r="A794" s="1100" t="s">
        <v>857</v>
      </c>
      <c r="B794" s="1100" t="s">
        <v>191</v>
      </c>
      <c r="C794" s="1109" t="s">
        <v>1406</v>
      </c>
      <c r="D794" s="1009" t="s">
        <v>310</v>
      </c>
      <c r="E794" s="1015" t="s">
        <v>80</v>
      </c>
      <c r="F794" s="1410">
        <v>3033907661</v>
      </c>
      <c r="G794" s="1416">
        <v>0</v>
      </c>
      <c r="H794" s="1009" t="s">
        <v>10</v>
      </c>
      <c r="I794" s="1009" t="s">
        <v>110</v>
      </c>
      <c r="J794" s="1009" t="s">
        <v>191</v>
      </c>
    </row>
    <row r="795" spans="1:10">
      <c r="A795" s="1100" t="s">
        <v>335</v>
      </c>
      <c r="B795" s="1100" t="s">
        <v>153</v>
      </c>
      <c r="C795" s="1109" t="s">
        <v>1407</v>
      </c>
      <c r="D795" s="1009" t="s">
        <v>308</v>
      </c>
      <c r="E795" s="1015" t="s">
        <v>80</v>
      </c>
      <c r="F795" s="1410">
        <v>6088161640</v>
      </c>
      <c r="G795" s="1416">
        <v>0</v>
      </c>
      <c r="H795" s="1009" t="s">
        <v>10</v>
      </c>
      <c r="I795" s="1009" t="s">
        <v>110</v>
      </c>
      <c r="J795" s="1009" t="s">
        <v>87</v>
      </c>
    </row>
    <row r="796" spans="1:10">
      <c r="A796" s="1100" t="s">
        <v>703</v>
      </c>
      <c r="B796" s="1100" t="s">
        <v>91</v>
      </c>
      <c r="C796" s="1109" t="s">
        <v>1408</v>
      </c>
      <c r="D796" s="1009" t="s">
        <v>308</v>
      </c>
      <c r="E796" s="1015" t="s">
        <v>80</v>
      </c>
      <c r="F796" s="1410">
        <v>8726672361</v>
      </c>
      <c r="G796" s="1416">
        <v>0</v>
      </c>
      <c r="H796" s="1009" t="s">
        <v>10</v>
      </c>
      <c r="I796" s="1009" t="s">
        <v>112</v>
      </c>
      <c r="J796" s="1009" t="s">
        <v>91</v>
      </c>
    </row>
    <row r="797" spans="1:10">
      <c r="A797" s="1100" t="s">
        <v>582</v>
      </c>
      <c r="B797" s="1100" t="s">
        <v>96</v>
      </c>
      <c r="C797" s="1109" t="s">
        <v>1409</v>
      </c>
      <c r="D797" s="1009" t="s">
        <v>310</v>
      </c>
      <c r="E797" s="1015" t="s">
        <v>80</v>
      </c>
      <c r="F797" s="1410">
        <v>170000000000</v>
      </c>
      <c r="G797" s="1416">
        <v>0</v>
      </c>
      <c r="H797" s="1009" t="s">
        <v>67</v>
      </c>
      <c r="I797" s="1009" t="s">
        <v>118</v>
      </c>
      <c r="J797" s="1009" t="s">
        <v>96</v>
      </c>
    </row>
    <row r="798" spans="1:10">
      <c r="A798" s="1100" t="s">
        <v>582</v>
      </c>
      <c r="B798" s="1100" t="s">
        <v>153</v>
      </c>
      <c r="C798" s="1109" t="s">
        <v>1410</v>
      </c>
      <c r="D798" s="1009" t="s">
        <v>310</v>
      </c>
      <c r="E798" s="1015" t="s">
        <v>80</v>
      </c>
      <c r="F798" s="1410">
        <v>0</v>
      </c>
      <c r="G798" s="1416">
        <v>0</v>
      </c>
      <c r="H798" s="1009" t="s">
        <v>67</v>
      </c>
      <c r="I798" s="1009" t="s">
        <v>110</v>
      </c>
      <c r="J798" s="1009" t="s">
        <v>87</v>
      </c>
    </row>
    <row r="799" spans="1:10">
      <c r="A799" s="1100" t="s">
        <v>703</v>
      </c>
      <c r="B799" s="1100" t="s">
        <v>91</v>
      </c>
      <c r="C799" s="1109" t="s">
        <v>1411</v>
      </c>
      <c r="D799" s="1009" t="s">
        <v>310</v>
      </c>
      <c r="E799" s="1015" t="s">
        <v>80</v>
      </c>
      <c r="F799" s="1410">
        <v>0</v>
      </c>
      <c r="G799" s="1416">
        <v>0</v>
      </c>
      <c r="H799" s="1009" t="s">
        <v>10</v>
      </c>
      <c r="I799" s="1009" t="s">
        <v>112</v>
      </c>
      <c r="J799" s="1009" t="s">
        <v>91</v>
      </c>
    </row>
    <row r="800" spans="1:10">
      <c r="A800" s="1100" t="s">
        <v>532</v>
      </c>
      <c r="B800" s="1100" t="s">
        <v>98</v>
      </c>
      <c r="C800" s="1109" t="s">
        <v>1412</v>
      </c>
      <c r="D800" s="1009" t="s">
        <v>310</v>
      </c>
      <c r="E800" s="1015" t="s">
        <v>80</v>
      </c>
      <c r="F800" s="1410">
        <v>5500000000</v>
      </c>
      <c r="G800" s="1416">
        <v>0</v>
      </c>
      <c r="H800" s="1009" t="s">
        <v>10</v>
      </c>
      <c r="I800" s="1009" t="s">
        <v>198</v>
      </c>
      <c r="J800" s="1009" t="s">
        <v>98</v>
      </c>
    </row>
    <row r="801" spans="1:25">
      <c r="A801" s="1100" t="s">
        <v>1020</v>
      </c>
      <c r="B801" s="1100" t="s">
        <v>191</v>
      </c>
      <c r="C801" s="1109" t="s">
        <v>1413</v>
      </c>
      <c r="D801" s="1009" t="s">
        <v>310</v>
      </c>
      <c r="E801" s="1015" t="s">
        <v>80</v>
      </c>
      <c r="F801" s="1410">
        <v>5000000000</v>
      </c>
      <c r="G801" s="1416">
        <v>0</v>
      </c>
      <c r="H801" s="1009" t="s">
        <v>10</v>
      </c>
      <c r="I801" s="1009" t="s">
        <v>110</v>
      </c>
      <c r="J801" s="1009" t="s">
        <v>191</v>
      </c>
    </row>
    <row r="802" spans="1:25">
      <c r="A802" s="1100" t="s">
        <v>761</v>
      </c>
      <c r="B802" s="1100" t="s">
        <v>89</v>
      </c>
      <c r="C802" s="1109" t="s">
        <v>1414</v>
      </c>
      <c r="D802" s="1009" t="s">
        <v>310</v>
      </c>
      <c r="E802" s="1015" t="s">
        <v>80</v>
      </c>
      <c r="F802" s="1410">
        <v>4500000000</v>
      </c>
      <c r="G802" s="1416">
        <v>0</v>
      </c>
      <c r="H802" s="1009" t="s">
        <v>10</v>
      </c>
      <c r="I802" s="1009" t="s">
        <v>112</v>
      </c>
      <c r="J802" s="1009" t="s">
        <v>89</v>
      </c>
    </row>
    <row r="803" spans="1:25">
      <c r="A803" s="1100" t="s">
        <v>582</v>
      </c>
      <c r="B803" s="1100" t="s">
        <v>91</v>
      </c>
      <c r="C803" s="1109" t="s">
        <v>1415</v>
      </c>
      <c r="D803" s="1009" t="s">
        <v>310</v>
      </c>
      <c r="E803" s="1015" t="s">
        <v>80</v>
      </c>
      <c r="F803" s="1410">
        <v>0</v>
      </c>
      <c r="G803" s="1416">
        <v>0</v>
      </c>
      <c r="H803" s="1009" t="s">
        <v>67</v>
      </c>
      <c r="I803" s="1009" t="s">
        <v>112</v>
      </c>
      <c r="J803" s="1009" t="s">
        <v>91</v>
      </c>
      <c r="K803" s="32">
        <v>0</v>
      </c>
      <c r="L803" s="2">
        <v>0</v>
      </c>
      <c r="M803" s="2" t="e">
        <v>#N/A</v>
      </c>
      <c r="N803" s="2" t="e">
        <v>#N/A</v>
      </c>
      <c r="O803" s="2">
        <v>0</v>
      </c>
      <c r="P803" s="2">
        <v>0</v>
      </c>
      <c r="Q803" s="2">
        <v>0</v>
      </c>
      <c r="R803" s="2">
        <v>0</v>
      </c>
      <c r="S803" s="2">
        <v>0</v>
      </c>
      <c r="T803" s="2">
        <v>0</v>
      </c>
      <c r="V803" s="2">
        <v>0</v>
      </c>
      <c r="W803" s="2" t="s">
        <v>10</v>
      </c>
      <c r="X803" s="2" t="s">
        <v>110</v>
      </c>
      <c r="Y803" s="2" t="s">
        <v>85</v>
      </c>
    </row>
    <row r="804" spans="1:25">
      <c r="A804" s="1100" t="s">
        <v>570</v>
      </c>
      <c r="B804" s="1100" t="s">
        <v>91</v>
      </c>
      <c r="C804" s="1109" t="s">
        <v>1416</v>
      </c>
      <c r="D804" s="1009" t="s">
        <v>310</v>
      </c>
      <c r="E804" s="1015" t="s">
        <v>80</v>
      </c>
      <c r="F804" s="1410">
        <v>0</v>
      </c>
      <c r="G804" s="1416">
        <v>0</v>
      </c>
      <c r="H804" s="1009" t="s">
        <v>10</v>
      </c>
      <c r="I804" s="1009" t="s">
        <v>112</v>
      </c>
      <c r="J804" s="1009" t="s">
        <v>91</v>
      </c>
    </row>
    <row r="805" spans="1:25">
      <c r="A805" s="1100" t="s">
        <v>513</v>
      </c>
      <c r="B805" s="1100" t="s">
        <v>91</v>
      </c>
      <c r="C805" s="1109" t="s">
        <v>1417</v>
      </c>
      <c r="D805" s="1009" t="s">
        <v>310</v>
      </c>
      <c r="E805" s="1015" t="s">
        <v>80</v>
      </c>
      <c r="F805" s="1410">
        <v>0</v>
      </c>
      <c r="G805" s="1416">
        <v>0</v>
      </c>
      <c r="H805" s="1009" t="s">
        <v>10</v>
      </c>
      <c r="I805" s="1009" t="s">
        <v>112</v>
      </c>
      <c r="J805" s="1009" t="s">
        <v>91</v>
      </c>
    </row>
    <row r="806" spans="1:25">
      <c r="A806" s="1100" t="s">
        <v>513</v>
      </c>
      <c r="B806" s="1100" t="s">
        <v>91</v>
      </c>
      <c r="C806" s="1109" t="s">
        <v>1418</v>
      </c>
      <c r="D806" s="1009" t="s">
        <v>310</v>
      </c>
      <c r="E806" s="1015" t="s">
        <v>80</v>
      </c>
      <c r="F806" s="1410">
        <v>0</v>
      </c>
      <c r="G806" s="1416">
        <v>0</v>
      </c>
      <c r="H806" s="1009" t="s">
        <v>10</v>
      </c>
      <c r="I806" s="1009" t="s">
        <v>112</v>
      </c>
      <c r="J806" s="1009" t="s">
        <v>91</v>
      </c>
    </row>
    <row r="807" spans="1:25">
      <c r="A807" s="1100" t="s">
        <v>513</v>
      </c>
      <c r="B807" s="1100" t="s">
        <v>91</v>
      </c>
      <c r="C807" s="1109" t="s">
        <v>1419</v>
      </c>
      <c r="D807" s="1009" t="s">
        <v>310</v>
      </c>
      <c r="E807" s="1015" t="s">
        <v>80</v>
      </c>
      <c r="F807" s="1410">
        <v>0</v>
      </c>
      <c r="G807" s="1416">
        <v>0</v>
      </c>
      <c r="H807" s="1009" t="s">
        <v>10</v>
      </c>
      <c r="I807" s="1009" t="s">
        <v>112</v>
      </c>
      <c r="J807" s="1009" t="s">
        <v>91</v>
      </c>
    </row>
    <row r="808" spans="1:25">
      <c r="A808" s="1100" t="s">
        <v>582</v>
      </c>
      <c r="B808" s="1100" t="s">
        <v>98</v>
      </c>
      <c r="C808" s="1109" t="s">
        <v>1420</v>
      </c>
      <c r="D808" s="1009" t="s">
        <v>310</v>
      </c>
      <c r="E808" s="1015" t="s">
        <v>80</v>
      </c>
      <c r="F808" s="1410">
        <v>0</v>
      </c>
      <c r="G808" s="1416">
        <v>0</v>
      </c>
      <c r="H808" s="1009" t="s">
        <v>67</v>
      </c>
      <c r="I808" s="1009" t="s">
        <v>198</v>
      </c>
      <c r="J808" s="1009" t="s">
        <v>98</v>
      </c>
    </row>
    <row r="809" spans="1:25">
      <c r="A809" s="1100" t="s">
        <v>582</v>
      </c>
      <c r="B809" s="1100" t="s">
        <v>92</v>
      </c>
      <c r="C809" s="1109" t="s">
        <v>1421</v>
      </c>
      <c r="D809" s="1009" t="s">
        <v>310</v>
      </c>
      <c r="E809" s="1015" t="s">
        <v>80</v>
      </c>
      <c r="F809" s="1410">
        <v>0</v>
      </c>
      <c r="G809" s="1416">
        <v>0</v>
      </c>
      <c r="H809" s="1009" t="s">
        <v>67</v>
      </c>
      <c r="I809" s="1009" t="s">
        <v>114</v>
      </c>
      <c r="J809" s="1009" t="s">
        <v>92</v>
      </c>
    </row>
    <row r="810" spans="1:25">
      <c r="A810" s="1016" t="s">
        <v>712</v>
      </c>
      <c r="B810" s="1016" t="s">
        <v>85</v>
      </c>
      <c r="C810" s="1132" t="s">
        <v>1422</v>
      </c>
      <c r="D810" s="1014" t="s">
        <v>310</v>
      </c>
      <c r="E810" s="1133" t="s">
        <v>80</v>
      </c>
      <c r="F810" s="1415">
        <v>4744038499</v>
      </c>
      <c r="G810" s="1412">
        <v>0</v>
      </c>
      <c r="H810" s="1014" t="s">
        <v>10</v>
      </c>
      <c r="I810" s="1014" t="s">
        <v>110</v>
      </c>
      <c r="J810" s="1014" t="s">
        <v>85</v>
      </c>
    </row>
    <row r="811" spans="1:25">
      <c r="A811" s="1016" t="s">
        <v>506</v>
      </c>
      <c r="B811" s="1016" t="s">
        <v>85</v>
      </c>
      <c r="C811" s="1132" t="s">
        <v>1423</v>
      </c>
      <c r="D811" s="1014" t="s">
        <v>310</v>
      </c>
      <c r="E811" s="1133" t="s">
        <v>80</v>
      </c>
      <c r="F811" s="1415">
        <v>4000000000</v>
      </c>
      <c r="G811" s="1412">
        <v>0</v>
      </c>
      <c r="H811" s="1014" t="s">
        <v>10</v>
      </c>
      <c r="I811" s="1014" t="s">
        <v>110</v>
      </c>
      <c r="J811" s="1014" t="s">
        <v>85</v>
      </c>
    </row>
    <row r="812" spans="1:25">
      <c r="A812" s="1016" t="s">
        <v>714</v>
      </c>
      <c r="B812" s="1016" t="s">
        <v>293</v>
      </c>
      <c r="C812" s="1132" t="s">
        <v>1424</v>
      </c>
      <c r="D812" s="1014" t="s">
        <v>310</v>
      </c>
      <c r="E812" s="1133" t="s">
        <v>80</v>
      </c>
      <c r="F812" s="1415">
        <v>0</v>
      </c>
      <c r="G812" s="1412">
        <v>0</v>
      </c>
      <c r="H812" s="1014" t="s">
        <v>10</v>
      </c>
      <c r="I812" s="1014" t="s">
        <v>259</v>
      </c>
      <c r="J812" s="1014" t="s">
        <v>99</v>
      </c>
    </row>
    <row r="813" spans="1:25">
      <c r="A813" s="1016" t="s">
        <v>712</v>
      </c>
      <c r="B813" s="1016" t="s">
        <v>85</v>
      </c>
      <c r="C813" s="1255" t="s">
        <v>1425</v>
      </c>
      <c r="D813" s="1256" t="s">
        <v>310</v>
      </c>
      <c r="E813" s="1257" t="s">
        <v>80</v>
      </c>
      <c r="F813" s="1417">
        <v>5097490445</v>
      </c>
      <c r="G813" s="1418">
        <v>0</v>
      </c>
      <c r="H813" s="1256" t="s">
        <v>10</v>
      </c>
      <c r="I813" s="1256" t="s">
        <v>110</v>
      </c>
      <c r="J813" s="1256" t="s">
        <v>85</v>
      </c>
    </row>
    <row r="814" spans="1:25">
      <c r="A814" s="1016" t="s">
        <v>506</v>
      </c>
      <c r="B814" s="1211" t="s">
        <v>85</v>
      </c>
      <c r="C814" s="1109" t="s">
        <v>1426</v>
      </c>
      <c r="D814" s="1009" t="s">
        <v>310</v>
      </c>
      <c r="E814" s="1015" t="s">
        <v>80</v>
      </c>
      <c r="F814" s="1410">
        <v>5000000000</v>
      </c>
      <c r="G814" s="1416">
        <v>0</v>
      </c>
      <c r="H814" s="1009" t="s">
        <v>10</v>
      </c>
      <c r="I814" s="1009" t="s">
        <v>110</v>
      </c>
      <c r="J814" s="1009" t="s">
        <v>85</v>
      </c>
    </row>
    <row r="815" spans="1:25">
      <c r="A815" s="1016" t="s">
        <v>706</v>
      </c>
      <c r="B815" s="1211" t="s">
        <v>85</v>
      </c>
      <c r="C815" s="1109" t="s">
        <v>1427</v>
      </c>
      <c r="D815" s="1009" t="s">
        <v>310</v>
      </c>
      <c r="E815" s="1015" t="s">
        <v>80</v>
      </c>
      <c r="F815" s="1410">
        <v>22000000000</v>
      </c>
      <c r="G815" s="1416">
        <v>0</v>
      </c>
      <c r="H815" s="1009" t="s">
        <v>10</v>
      </c>
      <c r="I815" s="1009" t="s">
        <v>110</v>
      </c>
      <c r="J815" s="1009" t="s">
        <v>85</v>
      </c>
    </row>
    <row r="816" spans="1:25">
      <c r="A816" s="1016" t="s">
        <v>582</v>
      </c>
      <c r="B816" s="1211" t="s">
        <v>339</v>
      </c>
      <c r="C816" s="1109" t="s">
        <v>5394</v>
      </c>
      <c r="D816" s="1009" t="s">
        <v>310</v>
      </c>
      <c r="E816" s="1015" t="s">
        <v>80</v>
      </c>
      <c r="F816" s="1410">
        <v>0</v>
      </c>
      <c r="G816" s="1416">
        <v>0</v>
      </c>
      <c r="H816" s="1009" t="s">
        <v>67</v>
      </c>
      <c r="I816" s="1009" t="s">
        <v>200</v>
      </c>
      <c r="J816" s="1009" t="s">
        <v>339</v>
      </c>
    </row>
    <row r="817" spans="1:10">
      <c r="A817" s="1016" t="s">
        <v>510</v>
      </c>
      <c r="B817" s="1211" t="s">
        <v>85</v>
      </c>
      <c r="C817" s="1109" t="s">
        <v>1428</v>
      </c>
      <c r="D817" s="1009" t="s">
        <v>310</v>
      </c>
      <c r="E817" s="1015" t="s">
        <v>80</v>
      </c>
      <c r="F817" s="1410">
        <v>3000000000</v>
      </c>
      <c r="G817" s="1416">
        <v>0</v>
      </c>
      <c r="H817" s="1009" t="s">
        <v>10</v>
      </c>
      <c r="I817" s="1009" t="s">
        <v>110</v>
      </c>
      <c r="J817" s="1009" t="s">
        <v>85</v>
      </c>
    </row>
    <row r="818" spans="1:10">
      <c r="A818" s="1016" t="s">
        <v>701</v>
      </c>
      <c r="B818" s="1211" t="s">
        <v>153</v>
      </c>
      <c r="C818" s="1109" t="s">
        <v>1429</v>
      </c>
      <c r="D818" s="1009" t="s">
        <v>310</v>
      </c>
      <c r="E818" s="1015" t="s">
        <v>80</v>
      </c>
      <c r="F818" s="1410">
        <v>20000000000</v>
      </c>
      <c r="G818" s="1416">
        <v>0</v>
      </c>
      <c r="H818" s="1009" t="s">
        <v>10</v>
      </c>
      <c r="I818" s="1009" t="s">
        <v>110</v>
      </c>
      <c r="J818" s="1009" t="s">
        <v>87</v>
      </c>
    </row>
    <row r="819" spans="1:10">
      <c r="A819" s="1016" t="s">
        <v>522</v>
      </c>
      <c r="B819" s="1211" t="s">
        <v>971</v>
      </c>
      <c r="C819" s="1109" t="s">
        <v>1430</v>
      </c>
      <c r="D819" s="1009" t="s">
        <v>310</v>
      </c>
      <c r="E819" s="1015" t="s">
        <v>80</v>
      </c>
      <c r="F819" s="1410">
        <v>10000000000</v>
      </c>
      <c r="G819" s="1416">
        <v>0</v>
      </c>
      <c r="H819" s="1009" t="s">
        <v>10</v>
      </c>
      <c r="I819" s="1009" t="s">
        <v>259</v>
      </c>
      <c r="J819" s="1009" t="s">
        <v>99</v>
      </c>
    </row>
    <row r="820" spans="1:10">
      <c r="A820" s="1016" t="s">
        <v>703</v>
      </c>
      <c r="B820" s="1211" t="s">
        <v>91</v>
      </c>
      <c r="C820" s="1109" t="s">
        <v>1431</v>
      </c>
      <c r="D820" s="1009" t="s">
        <v>310</v>
      </c>
      <c r="E820" s="1015" t="s">
        <v>80</v>
      </c>
      <c r="F820" s="1410">
        <v>0</v>
      </c>
      <c r="G820" s="1416">
        <v>0</v>
      </c>
      <c r="H820" s="1009" t="s">
        <v>10</v>
      </c>
      <c r="I820" s="1009" t="s">
        <v>112</v>
      </c>
      <c r="J820" s="1009" t="s">
        <v>91</v>
      </c>
    </row>
    <row r="821" spans="1:10">
      <c r="A821" s="1016" t="s">
        <v>710</v>
      </c>
      <c r="B821" s="1211" t="s">
        <v>85</v>
      </c>
      <c r="C821" s="1109" t="s">
        <v>1432</v>
      </c>
      <c r="D821" s="1009" t="s">
        <v>310</v>
      </c>
      <c r="E821" s="1015" t="s">
        <v>80</v>
      </c>
      <c r="F821" s="1410">
        <v>5000000000</v>
      </c>
      <c r="G821" s="1416">
        <v>0</v>
      </c>
      <c r="H821" s="1009" t="s">
        <v>10</v>
      </c>
      <c r="I821" s="1009" t="s">
        <v>110</v>
      </c>
      <c r="J821" s="1009" t="s">
        <v>85</v>
      </c>
    </row>
    <row r="822" spans="1:10">
      <c r="A822" s="1016" t="s">
        <v>335</v>
      </c>
      <c r="B822" s="1211" t="s">
        <v>153</v>
      </c>
      <c r="C822" s="1109" t="s">
        <v>1433</v>
      </c>
      <c r="D822" s="1009" t="s">
        <v>310</v>
      </c>
      <c r="E822" s="1015" t="s">
        <v>80</v>
      </c>
      <c r="F822" s="1410">
        <v>9000000000</v>
      </c>
      <c r="G822" s="1416">
        <v>0</v>
      </c>
      <c r="H822" s="1009" t="s">
        <v>10</v>
      </c>
      <c r="I822" s="1009" t="s">
        <v>110</v>
      </c>
      <c r="J822" s="1009" t="s">
        <v>87</v>
      </c>
    </row>
    <row r="823" spans="1:10">
      <c r="A823" s="1016" t="s">
        <v>703</v>
      </c>
      <c r="B823" s="1211" t="s">
        <v>91</v>
      </c>
      <c r="C823" s="1109" t="s">
        <v>5395</v>
      </c>
      <c r="D823" s="1009" t="s">
        <v>310</v>
      </c>
      <c r="E823" s="1015" t="s">
        <v>80</v>
      </c>
      <c r="F823" s="1410">
        <v>7000000000</v>
      </c>
      <c r="G823" s="1416">
        <v>0</v>
      </c>
      <c r="H823" s="1009" t="s">
        <v>10</v>
      </c>
      <c r="I823" s="1009" t="s">
        <v>112</v>
      </c>
      <c r="J823" s="1009" t="s">
        <v>91</v>
      </c>
    </row>
    <row r="824" spans="1:10">
      <c r="A824" s="1016" t="s">
        <v>668</v>
      </c>
      <c r="B824" s="1211" t="s">
        <v>86</v>
      </c>
      <c r="C824" s="1109" t="s">
        <v>1434</v>
      </c>
      <c r="D824" s="1009" t="s">
        <v>310</v>
      </c>
      <c r="E824" s="1015" t="s">
        <v>80</v>
      </c>
      <c r="F824" s="1410">
        <v>11000000000</v>
      </c>
      <c r="G824" s="1416">
        <v>0</v>
      </c>
      <c r="H824" s="1009" t="s">
        <v>10</v>
      </c>
      <c r="I824" s="1009" t="s">
        <v>110</v>
      </c>
      <c r="J824" s="1009" t="s">
        <v>86</v>
      </c>
    </row>
    <row r="825" spans="1:10">
      <c r="A825" s="1016" t="s">
        <v>710</v>
      </c>
      <c r="B825" s="1211" t="s">
        <v>85</v>
      </c>
      <c r="C825" s="1109" t="s">
        <v>1435</v>
      </c>
      <c r="D825" s="1009" t="s">
        <v>310</v>
      </c>
      <c r="E825" s="1015" t="s">
        <v>80</v>
      </c>
      <c r="F825" s="1410">
        <v>4000000000</v>
      </c>
      <c r="G825" s="1416">
        <v>0</v>
      </c>
      <c r="H825" s="1009" t="s">
        <v>10</v>
      </c>
      <c r="I825" s="1009" t="s">
        <v>110</v>
      </c>
      <c r="J825" s="1009" t="s">
        <v>85</v>
      </c>
    </row>
    <row r="826" spans="1:10">
      <c r="A826" s="1016" t="s">
        <v>1020</v>
      </c>
      <c r="B826" s="1211" t="s">
        <v>191</v>
      </c>
      <c r="C826" s="1109" t="s">
        <v>1436</v>
      </c>
      <c r="D826" s="1009" t="s">
        <v>310</v>
      </c>
      <c r="E826" s="1015" t="s">
        <v>80</v>
      </c>
      <c r="F826" s="1410">
        <v>5000000000</v>
      </c>
      <c r="G826" s="1416">
        <v>0</v>
      </c>
      <c r="H826" s="1009" t="s">
        <v>10</v>
      </c>
      <c r="I826" s="1009" t="s">
        <v>110</v>
      </c>
      <c r="J826" s="1009" t="s">
        <v>191</v>
      </c>
    </row>
    <row r="827" spans="1:10">
      <c r="A827" s="1016" t="s">
        <v>668</v>
      </c>
      <c r="B827" s="1211" t="s">
        <v>86</v>
      </c>
      <c r="C827" s="1109" t="s">
        <v>1437</v>
      </c>
      <c r="D827" s="1009" t="s">
        <v>310</v>
      </c>
      <c r="E827" s="1015" t="s">
        <v>80</v>
      </c>
      <c r="F827" s="1410">
        <v>7000000000</v>
      </c>
      <c r="G827" s="1416">
        <v>0</v>
      </c>
      <c r="H827" s="1009" t="s">
        <v>10</v>
      </c>
      <c r="I827" s="1009" t="s">
        <v>110</v>
      </c>
      <c r="J827" s="1009" t="s">
        <v>86</v>
      </c>
    </row>
    <row r="828" spans="1:10">
      <c r="A828" s="1016" t="s">
        <v>582</v>
      </c>
      <c r="B828" s="1211" t="s">
        <v>338</v>
      </c>
      <c r="C828" s="1109" t="s">
        <v>1438</v>
      </c>
      <c r="D828" s="1009" t="s">
        <v>310</v>
      </c>
      <c r="E828" s="1015" t="s">
        <v>80</v>
      </c>
      <c r="F828" s="1410">
        <v>0</v>
      </c>
      <c r="G828" s="1416">
        <v>0</v>
      </c>
      <c r="H828" s="1009" t="s">
        <v>67</v>
      </c>
      <c r="I828" s="1009" t="s">
        <v>199</v>
      </c>
      <c r="J828" s="1009" t="s">
        <v>338</v>
      </c>
    </row>
    <row r="829" spans="1:10">
      <c r="A829" s="1016" t="s">
        <v>541</v>
      </c>
      <c r="B829" s="1211" t="s">
        <v>88</v>
      </c>
      <c r="C829" s="1109" t="s">
        <v>1439</v>
      </c>
      <c r="D829" s="1009" t="s">
        <v>310</v>
      </c>
      <c r="E829" s="1015" t="s">
        <v>80</v>
      </c>
      <c r="F829" s="1410">
        <v>5000000000</v>
      </c>
      <c r="G829" s="1416">
        <v>0</v>
      </c>
      <c r="H829" s="1009" t="s">
        <v>10</v>
      </c>
      <c r="I829" s="1009" t="s">
        <v>110</v>
      </c>
      <c r="J829" s="1009" t="s">
        <v>88</v>
      </c>
    </row>
    <row r="830" spans="1:10">
      <c r="A830" s="1016" t="s">
        <v>582</v>
      </c>
      <c r="B830" s="1211" t="s">
        <v>92</v>
      </c>
      <c r="C830" s="1109" t="s">
        <v>1440</v>
      </c>
      <c r="D830" s="1009" t="s">
        <v>310</v>
      </c>
      <c r="E830" s="1015" t="s">
        <v>80</v>
      </c>
      <c r="F830" s="1410">
        <v>0</v>
      </c>
      <c r="G830" s="1416">
        <v>0</v>
      </c>
      <c r="H830" s="1009" t="s">
        <v>67</v>
      </c>
      <c r="I830" s="1009" t="s">
        <v>114</v>
      </c>
      <c r="J830" s="1009" t="s">
        <v>92</v>
      </c>
    </row>
    <row r="831" spans="1:10">
      <c r="A831" s="1016" t="s">
        <v>716</v>
      </c>
      <c r="B831" s="1211" t="s">
        <v>153</v>
      </c>
      <c r="C831" s="1109" t="s">
        <v>1441</v>
      </c>
      <c r="D831" s="1009" t="s">
        <v>310</v>
      </c>
      <c r="E831" s="1015" t="s">
        <v>80</v>
      </c>
      <c r="F831" s="1410">
        <v>15000000000</v>
      </c>
      <c r="G831" s="1416">
        <v>0</v>
      </c>
      <c r="H831" s="1009" t="s">
        <v>10</v>
      </c>
      <c r="I831" s="1009" t="s">
        <v>110</v>
      </c>
      <c r="J831" s="1009" t="s">
        <v>87</v>
      </c>
    </row>
    <row r="832" spans="1:10">
      <c r="A832" s="1016" t="s">
        <v>905</v>
      </c>
      <c r="B832" s="1211" t="s">
        <v>92</v>
      </c>
      <c r="C832" s="1109" t="s">
        <v>1442</v>
      </c>
      <c r="D832" s="1009" t="s">
        <v>310</v>
      </c>
      <c r="E832" s="1015" t="s">
        <v>80</v>
      </c>
      <c r="F832" s="1410">
        <v>10000000000</v>
      </c>
      <c r="G832" s="1416">
        <v>0</v>
      </c>
      <c r="H832" s="1009" t="s">
        <v>10</v>
      </c>
      <c r="I832" s="1009" t="s">
        <v>114</v>
      </c>
      <c r="J832" s="1009" t="s">
        <v>92</v>
      </c>
    </row>
    <row r="833" spans="1:10">
      <c r="A833" s="1016" t="s">
        <v>716</v>
      </c>
      <c r="B833" s="1211" t="s">
        <v>153</v>
      </c>
      <c r="C833" s="1109" t="s">
        <v>1443</v>
      </c>
      <c r="D833" s="1009" t="s">
        <v>310</v>
      </c>
      <c r="E833" s="1015" t="s">
        <v>80</v>
      </c>
      <c r="F833" s="1410">
        <v>20000000000</v>
      </c>
      <c r="G833" s="1416">
        <v>0</v>
      </c>
      <c r="H833" s="1009" t="s">
        <v>10</v>
      </c>
      <c r="I833" s="1009" t="s">
        <v>110</v>
      </c>
      <c r="J833" s="1009" t="s">
        <v>87</v>
      </c>
    </row>
    <row r="834" spans="1:10">
      <c r="A834" s="1016" t="s">
        <v>567</v>
      </c>
      <c r="B834" s="1211" t="s">
        <v>93</v>
      </c>
      <c r="C834" s="1109" t="s">
        <v>1444</v>
      </c>
      <c r="D834" s="1009" t="s">
        <v>310</v>
      </c>
      <c r="E834" s="1015" t="s">
        <v>80</v>
      </c>
      <c r="F834" s="1410">
        <v>5000000000</v>
      </c>
      <c r="G834" s="1416">
        <v>0</v>
      </c>
      <c r="H834" s="1009" t="s">
        <v>10</v>
      </c>
      <c r="I834" s="1009" t="s">
        <v>114</v>
      </c>
      <c r="J834" s="1009" t="s">
        <v>93</v>
      </c>
    </row>
    <row r="835" spans="1:10">
      <c r="A835" s="1016" t="s">
        <v>716</v>
      </c>
      <c r="B835" s="1211" t="s">
        <v>153</v>
      </c>
      <c r="C835" s="1109" t="s">
        <v>1445</v>
      </c>
      <c r="D835" s="1009" t="s">
        <v>310</v>
      </c>
      <c r="E835" s="1015" t="s">
        <v>80</v>
      </c>
      <c r="F835" s="1410">
        <v>20000000000</v>
      </c>
      <c r="G835" s="1416">
        <v>0</v>
      </c>
      <c r="H835" s="1009" t="s">
        <v>10</v>
      </c>
      <c r="I835" s="1009" t="s">
        <v>110</v>
      </c>
      <c r="J835" s="1009" t="s">
        <v>87</v>
      </c>
    </row>
    <row r="836" spans="1:10">
      <c r="A836" s="1016" t="s">
        <v>725</v>
      </c>
      <c r="B836" s="1211" t="s">
        <v>726</v>
      </c>
      <c r="C836" s="1109" t="s">
        <v>1446</v>
      </c>
      <c r="D836" s="1009" t="s">
        <v>310</v>
      </c>
      <c r="E836" s="1015" t="s">
        <v>80</v>
      </c>
      <c r="F836" s="1410">
        <v>900000000</v>
      </c>
      <c r="G836" s="1416">
        <v>0</v>
      </c>
      <c r="H836" s="1009" t="s">
        <v>10</v>
      </c>
      <c r="I836" s="1009" t="s">
        <v>259</v>
      </c>
      <c r="J836" s="1009" t="s">
        <v>99</v>
      </c>
    </row>
    <row r="837" spans="1:10">
      <c r="A837" s="1016" t="s">
        <v>728</v>
      </c>
      <c r="B837" s="1211" t="s">
        <v>726</v>
      </c>
      <c r="C837" s="1109" t="s">
        <v>1447</v>
      </c>
      <c r="D837" s="1009" t="s">
        <v>310</v>
      </c>
      <c r="E837" s="1015" t="s">
        <v>80</v>
      </c>
      <c r="F837" s="1410">
        <v>900000000</v>
      </c>
      <c r="G837" s="1416">
        <v>0</v>
      </c>
      <c r="H837" s="1009" t="s">
        <v>10</v>
      </c>
      <c r="I837" s="1009" t="s">
        <v>259</v>
      </c>
      <c r="J837" s="1009" t="s">
        <v>99</v>
      </c>
    </row>
    <row r="838" spans="1:10">
      <c r="A838" s="1016" t="s">
        <v>730</v>
      </c>
      <c r="B838" s="1211" t="s">
        <v>726</v>
      </c>
      <c r="C838" s="1109" t="s">
        <v>1448</v>
      </c>
      <c r="D838" s="1009" t="s">
        <v>310</v>
      </c>
      <c r="E838" s="1015" t="s">
        <v>80</v>
      </c>
      <c r="F838" s="1410">
        <v>900000000</v>
      </c>
      <c r="G838" s="1416">
        <v>0</v>
      </c>
      <c r="H838" s="1009" t="s">
        <v>10</v>
      </c>
      <c r="I838" s="1009" t="s">
        <v>259</v>
      </c>
      <c r="J838" s="1009" t="s">
        <v>99</v>
      </c>
    </row>
    <row r="839" spans="1:10">
      <c r="A839" s="1016" t="s">
        <v>716</v>
      </c>
      <c r="B839" s="1211" t="s">
        <v>153</v>
      </c>
      <c r="C839" s="1109" t="s">
        <v>1449</v>
      </c>
      <c r="D839" s="1009" t="s">
        <v>310</v>
      </c>
      <c r="E839" s="1015" t="s">
        <v>80</v>
      </c>
      <c r="F839" s="1410">
        <v>15000000000</v>
      </c>
      <c r="G839" s="1416">
        <v>0</v>
      </c>
      <c r="H839" s="1009" t="s">
        <v>10</v>
      </c>
      <c r="I839" s="1009" t="s">
        <v>110</v>
      </c>
      <c r="J839" s="1009" t="s">
        <v>87</v>
      </c>
    </row>
    <row r="840" spans="1:10">
      <c r="A840" s="1016" t="s">
        <v>526</v>
      </c>
      <c r="B840" s="1211" t="s">
        <v>89</v>
      </c>
      <c r="C840" s="1109" t="s">
        <v>1450</v>
      </c>
      <c r="D840" s="1009" t="s">
        <v>310</v>
      </c>
      <c r="E840" s="1015" t="s">
        <v>80</v>
      </c>
      <c r="F840" s="1410">
        <v>6000000000</v>
      </c>
      <c r="G840" s="1416">
        <v>0</v>
      </c>
      <c r="H840" s="1009" t="s">
        <v>10</v>
      </c>
      <c r="I840" s="1009" t="s">
        <v>112</v>
      </c>
      <c r="J840" s="1009" t="s">
        <v>89</v>
      </c>
    </row>
    <row r="841" spans="1:10">
      <c r="A841" s="1016" t="s">
        <v>859</v>
      </c>
      <c r="B841" s="1211" t="s">
        <v>191</v>
      </c>
      <c r="C841" s="1109" t="s">
        <v>1451</v>
      </c>
      <c r="D841" s="1009" t="s">
        <v>310</v>
      </c>
      <c r="E841" s="1015" t="s">
        <v>80</v>
      </c>
      <c r="F841" s="1410">
        <v>450000000</v>
      </c>
      <c r="G841" s="1416">
        <v>0</v>
      </c>
      <c r="H841" s="1009" t="s">
        <v>10</v>
      </c>
      <c r="I841" s="1009" t="s">
        <v>110</v>
      </c>
      <c r="J841" s="1009" t="s">
        <v>191</v>
      </c>
    </row>
    <row r="842" spans="1:10">
      <c r="A842" s="1016" t="s">
        <v>552</v>
      </c>
      <c r="B842" s="1211" t="s">
        <v>98</v>
      </c>
      <c r="C842" s="1109" t="s">
        <v>1452</v>
      </c>
      <c r="D842" s="1009" t="s">
        <v>310</v>
      </c>
      <c r="E842" s="1015" t="s">
        <v>80</v>
      </c>
      <c r="F842" s="1410">
        <v>20000000000</v>
      </c>
      <c r="G842" s="1416">
        <v>0</v>
      </c>
      <c r="H842" s="1009" t="s">
        <v>10</v>
      </c>
      <c r="I842" s="1009" t="s">
        <v>198</v>
      </c>
      <c r="J842" s="1009" t="s">
        <v>98</v>
      </c>
    </row>
    <row r="843" spans="1:10">
      <c r="A843" s="1016" t="s">
        <v>862</v>
      </c>
      <c r="B843" s="1211" t="s">
        <v>191</v>
      </c>
      <c r="C843" s="1109" t="s">
        <v>1453</v>
      </c>
      <c r="D843" s="1009" t="s">
        <v>310</v>
      </c>
      <c r="E843" s="1015" t="s">
        <v>80</v>
      </c>
      <c r="F843" s="1410">
        <v>450000000</v>
      </c>
      <c r="G843" s="1416">
        <v>0</v>
      </c>
      <c r="H843" s="1009" t="s">
        <v>10</v>
      </c>
      <c r="I843" s="1009" t="s">
        <v>110</v>
      </c>
      <c r="J843" s="1009" t="s">
        <v>191</v>
      </c>
    </row>
    <row r="844" spans="1:10">
      <c r="A844" s="1016" t="s">
        <v>665</v>
      </c>
      <c r="B844" s="1211" t="s">
        <v>85</v>
      </c>
      <c r="C844" s="1109" t="s">
        <v>1454</v>
      </c>
      <c r="D844" s="1009" t="s">
        <v>310</v>
      </c>
      <c r="E844" s="1015" t="s">
        <v>80</v>
      </c>
      <c r="F844" s="1410">
        <v>3000000000</v>
      </c>
      <c r="G844" s="1416">
        <v>0</v>
      </c>
      <c r="H844" s="1009" t="s">
        <v>10</v>
      </c>
      <c r="I844" s="1009" t="s">
        <v>110</v>
      </c>
      <c r="J844" s="1009" t="s">
        <v>85</v>
      </c>
    </row>
    <row r="845" spans="1:10">
      <c r="A845" s="1016" t="s">
        <v>510</v>
      </c>
      <c r="B845" s="1211" t="s">
        <v>85</v>
      </c>
      <c r="C845" s="1109" t="s">
        <v>1455</v>
      </c>
      <c r="D845" s="1009" t="s">
        <v>310</v>
      </c>
      <c r="E845" s="1015" t="s">
        <v>80</v>
      </c>
      <c r="F845" s="1410">
        <v>3000000000</v>
      </c>
      <c r="G845" s="1416">
        <v>0</v>
      </c>
      <c r="H845" s="1009" t="s">
        <v>10</v>
      </c>
      <c r="I845" s="1009" t="s">
        <v>110</v>
      </c>
      <c r="J845" s="1009" t="s">
        <v>85</v>
      </c>
    </row>
    <row r="846" spans="1:10">
      <c r="A846" s="1016" t="s">
        <v>469</v>
      </c>
      <c r="B846" s="1211" t="s">
        <v>98</v>
      </c>
      <c r="C846" s="1109" t="s">
        <v>1456</v>
      </c>
      <c r="D846" s="1009" t="s">
        <v>310</v>
      </c>
      <c r="E846" s="1015" t="s">
        <v>80</v>
      </c>
      <c r="F846" s="1410">
        <v>30000000000</v>
      </c>
      <c r="G846" s="1416">
        <v>0</v>
      </c>
      <c r="H846" s="1009" t="s">
        <v>8</v>
      </c>
      <c r="I846" s="1009" t="s">
        <v>198</v>
      </c>
      <c r="J846" s="1009" t="s">
        <v>98</v>
      </c>
    </row>
    <row r="847" spans="1:10">
      <c r="A847" s="1016" t="s">
        <v>582</v>
      </c>
      <c r="B847" s="1211" t="s">
        <v>153</v>
      </c>
      <c r="C847" s="1109" t="s">
        <v>1457</v>
      </c>
      <c r="D847" s="1009" t="s">
        <v>310</v>
      </c>
      <c r="E847" s="1015" t="s">
        <v>80</v>
      </c>
      <c r="F847" s="1410">
        <v>0</v>
      </c>
      <c r="G847" s="1416">
        <v>0</v>
      </c>
      <c r="H847" s="1009" t="s">
        <v>67</v>
      </c>
      <c r="I847" s="1009" t="s">
        <v>110</v>
      </c>
      <c r="J847" s="1009" t="s">
        <v>87</v>
      </c>
    </row>
    <row r="848" spans="1:10">
      <c r="A848" s="1016" t="s">
        <v>701</v>
      </c>
      <c r="B848" s="1211" t="s">
        <v>153</v>
      </c>
      <c r="C848" s="1109" t="s">
        <v>1458</v>
      </c>
      <c r="D848" s="1009" t="s">
        <v>310</v>
      </c>
      <c r="E848" s="1015" t="s">
        <v>80</v>
      </c>
      <c r="F848" s="1410">
        <v>8000000000</v>
      </c>
      <c r="G848" s="1416">
        <v>0</v>
      </c>
      <c r="H848" s="1009" t="s">
        <v>10</v>
      </c>
      <c r="I848" s="1009" t="s">
        <v>110</v>
      </c>
      <c r="J848" s="1009" t="s">
        <v>87</v>
      </c>
    </row>
    <row r="849" spans="1:10">
      <c r="A849" s="1016" t="s">
        <v>857</v>
      </c>
      <c r="B849" s="1211" t="s">
        <v>191</v>
      </c>
      <c r="C849" s="1109" t="s">
        <v>1459</v>
      </c>
      <c r="D849" s="1009" t="s">
        <v>310</v>
      </c>
      <c r="E849" s="1015" t="s">
        <v>80</v>
      </c>
      <c r="F849" s="1410">
        <v>3000000000</v>
      </c>
      <c r="G849" s="1416">
        <v>0</v>
      </c>
      <c r="H849" s="1009" t="s">
        <v>10</v>
      </c>
      <c r="I849" s="1009" t="s">
        <v>110</v>
      </c>
      <c r="J849" s="1009" t="s">
        <v>191</v>
      </c>
    </row>
    <row r="850" spans="1:10">
      <c r="A850" s="1016" t="s">
        <v>716</v>
      </c>
      <c r="B850" s="1211" t="s">
        <v>153</v>
      </c>
      <c r="C850" s="1109" t="s">
        <v>1460</v>
      </c>
      <c r="D850" s="1009" t="s">
        <v>310</v>
      </c>
      <c r="E850" s="1015" t="s">
        <v>80</v>
      </c>
      <c r="F850" s="1410">
        <v>10000000000</v>
      </c>
      <c r="G850" s="1416">
        <v>0</v>
      </c>
      <c r="H850" s="1009" t="s">
        <v>10</v>
      </c>
      <c r="I850" s="1009" t="s">
        <v>110</v>
      </c>
      <c r="J850" s="1009" t="s">
        <v>87</v>
      </c>
    </row>
    <row r="851" spans="1:10">
      <c r="A851" s="1016" t="s">
        <v>1028</v>
      </c>
      <c r="B851" s="1211" t="s">
        <v>191</v>
      </c>
      <c r="C851" s="1109" t="s">
        <v>1461</v>
      </c>
      <c r="D851" s="1009" t="s">
        <v>310</v>
      </c>
      <c r="E851" s="1015" t="s">
        <v>80</v>
      </c>
      <c r="F851" s="1410">
        <v>10000000000</v>
      </c>
      <c r="G851" s="1416">
        <v>0</v>
      </c>
      <c r="H851" s="1009" t="s">
        <v>10</v>
      </c>
      <c r="I851" s="1009" t="s">
        <v>110</v>
      </c>
      <c r="J851" s="1009" t="s">
        <v>191</v>
      </c>
    </row>
    <row r="852" spans="1:10">
      <c r="A852" s="1016" t="s">
        <v>609</v>
      </c>
      <c r="B852" s="1211" t="s">
        <v>85</v>
      </c>
      <c r="C852" s="1109" t="s">
        <v>1462</v>
      </c>
      <c r="D852" s="1009" t="s">
        <v>310</v>
      </c>
      <c r="E852" s="1015" t="s">
        <v>80</v>
      </c>
      <c r="F852" s="1410">
        <v>8000000000</v>
      </c>
      <c r="G852" s="1416">
        <v>0</v>
      </c>
      <c r="H852" s="1009" t="s">
        <v>10</v>
      </c>
      <c r="I852" s="1009" t="s">
        <v>110</v>
      </c>
      <c r="J852" s="1009" t="s">
        <v>85</v>
      </c>
    </row>
    <row r="853" spans="1:10">
      <c r="A853" s="1016" t="s">
        <v>541</v>
      </c>
      <c r="B853" s="1211" t="s">
        <v>86</v>
      </c>
      <c r="C853" s="1109" t="s">
        <v>1463</v>
      </c>
      <c r="D853" s="1009" t="s">
        <v>310</v>
      </c>
      <c r="E853" s="1015" t="s">
        <v>80</v>
      </c>
      <c r="F853" s="1410">
        <v>14000000000</v>
      </c>
      <c r="G853" s="1416">
        <v>0</v>
      </c>
      <c r="H853" s="1009" t="s">
        <v>10</v>
      </c>
      <c r="I853" s="1009" t="s">
        <v>110</v>
      </c>
      <c r="J853" s="1009" t="s">
        <v>86</v>
      </c>
    </row>
    <row r="854" spans="1:10">
      <c r="A854" s="1016" t="s">
        <v>506</v>
      </c>
      <c r="B854" s="1016" t="s">
        <v>85</v>
      </c>
      <c r="C854" s="1109" t="s">
        <v>1464</v>
      </c>
      <c r="D854" s="1009" t="s">
        <v>310</v>
      </c>
      <c r="E854" s="1015" t="s">
        <v>80</v>
      </c>
      <c r="F854" s="1410">
        <v>3000000000</v>
      </c>
      <c r="G854" s="1416">
        <v>0</v>
      </c>
      <c r="H854" s="1009" t="s">
        <v>10</v>
      </c>
      <c r="I854" s="1009" t="s">
        <v>110</v>
      </c>
      <c r="J854" s="1009" t="s">
        <v>85</v>
      </c>
    </row>
    <row r="855" spans="1:10">
      <c r="A855" s="1016" t="s">
        <v>703</v>
      </c>
      <c r="B855" s="1016" t="s">
        <v>91</v>
      </c>
      <c r="C855" s="1109" t="s">
        <v>1465</v>
      </c>
      <c r="D855" s="1009" t="s">
        <v>310</v>
      </c>
      <c r="E855" s="1015" t="s">
        <v>80</v>
      </c>
      <c r="F855" s="1410">
        <v>0</v>
      </c>
      <c r="G855" s="1416">
        <v>0</v>
      </c>
      <c r="H855" s="1009" t="s">
        <v>10</v>
      </c>
      <c r="I855" s="1009" t="s">
        <v>112</v>
      </c>
      <c r="J855" s="1009" t="s">
        <v>91</v>
      </c>
    </row>
    <row r="856" spans="1:10">
      <c r="A856" s="1016" t="s">
        <v>668</v>
      </c>
      <c r="B856" s="1016" t="s">
        <v>86</v>
      </c>
      <c r="C856" s="1109" t="s">
        <v>1466</v>
      </c>
      <c r="D856" s="1009" t="s">
        <v>310</v>
      </c>
      <c r="E856" s="1015" t="s">
        <v>80</v>
      </c>
      <c r="F856" s="1410">
        <v>5000000000</v>
      </c>
      <c r="G856" s="1416">
        <v>0</v>
      </c>
      <c r="H856" s="1009" t="s">
        <v>10</v>
      </c>
      <c r="I856" s="1009" t="s">
        <v>110</v>
      </c>
      <c r="J856" s="1009" t="s">
        <v>86</v>
      </c>
    </row>
    <row r="857" spans="1:10">
      <c r="A857" s="1016" t="s">
        <v>499</v>
      </c>
      <c r="B857" s="1016" t="s">
        <v>85</v>
      </c>
      <c r="C857" s="1109" t="s">
        <v>1467</v>
      </c>
      <c r="D857" s="1009" t="s">
        <v>310</v>
      </c>
      <c r="E857" s="1015" t="s">
        <v>80</v>
      </c>
      <c r="F857" s="1410">
        <v>4000000000</v>
      </c>
      <c r="G857" s="1416">
        <v>0</v>
      </c>
      <c r="H857" s="1009" t="s">
        <v>10</v>
      </c>
      <c r="I857" s="1009" t="s">
        <v>110</v>
      </c>
      <c r="J857" s="1009" t="s">
        <v>85</v>
      </c>
    </row>
    <row r="858" spans="1:10">
      <c r="A858" s="1016" t="s">
        <v>710</v>
      </c>
      <c r="B858" s="1016" t="s">
        <v>85</v>
      </c>
      <c r="C858" s="1109" t="s">
        <v>1468</v>
      </c>
      <c r="D858" s="1009" t="s">
        <v>310</v>
      </c>
      <c r="E858" s="1015" t="s">
        <v>80</v>
      </c>
      <c r="F858" s="1410">
        <v>4000000000</v>
      </c>
      <c r="G858" s="1416">
        <v>0</v>
      </c>
      <c r="H858" s="1009" t="s">
        <v>10</v>
      </c>
      <c r="I858" s="1009" t="s">
        <v>110</v>
      </c>
      <c r="J858" s="1009" t="s">
        <v>85</v>
      </c>
    </row>
    <row r="859" spans="1:10">
      <c r="A859" s="1016" t="s">
        <v>703</v>
      </c>
      <c r="B859" s="1016" t="s">
        <v>91</v>
      </c>
      <c r="C859" s="1109" t="s">
        <v>1469</v>
      </c>
      <c r="D859" s="1009" t="s">
        <v>310</v>
      </c>
      <c r="E859" s="1015" t="s">
        <v>80</v>
      </c>
      <c r="F859" s="1410">
        <v>3000000000</v>
      </c>
      <c r="G859" s="1416">
        <v>0</v>
      </c>
      <c r="H859" s="1009" t="s">
        <v>10</v>
      </c>
      <c r="I859" s="1009" t="s">
        <v>112</v>
      </c>
      <c r="J859" s="1009" t="s">
        <v>91</v>
      </c>
    </row>
    <row r="860" spans="1:10">
      <c r="A860" s="1016" t="s">
        <v>761</v>
      </c>
      <c r="B860" s="1016" t="s">
        <v>89</v>
      </c>
      <c r="C860" s="1109" t="s">
        <v>1470</v>
      </c>
      <c r="D860" s="1009" t="s">
        <v>310</v>
      </c>
      <c r="E860" s="1015" t="s">
        <v>80</v>
      </c>
      <c r="F860" s="1410">
        <v>2000000000</v>
      </c>
      <c r="G860" s="1416">
        <v>0</v>
      </c>
      <c r="H860" s="1009" t="s">
        <v>10</v>
      </c>
      <c r="I860" s="1009" t="s">
        <v>112</v>
      </c>
      <c r="J860" s="1009" t="s">
        <v>89</v>
      </c>
    </row>
    <row r="861" spans="1:10">
      <c r="A861" s="1016" t="s">
        <v>761</v>
      </c>
      <c r="B861" s="1016" t="s">
        <v>89</v>
      </c>
      <c r="C861" s="1109" t="s">
        <v>1471</v>
      </c>
      <c r="D861" s="1009" t="s">
        <v>310</v>
      </c>
      <c r="E861" s="1015" t="s">
        <v>80</v>
      </c>
      <c r="F861" s="1410">
        <v>5000000000</v>
      </c>
      <c r="G861" s="1416">
        <v>0</v>
      </c>
      <c r="H861" s="1009" t="s">
        <v>10</v>
      </c>
      <c r="I861" s="1009" t="s">
        <v>112</v>
      </c>
      <c r="J861" s="1009" t="s">
        <v>89</v>
      </c>
    </row>
    <row r="862" spans="1:10">
      <c r="A862" s="1016" t="s">
        <v>526</v>
      </c>
      <c r="B862" s="1016" t="s">
        <v>89</v>
      </c>
      <c r="C862" s="1109" t="s">
        <v>1472</v>
      </c>
      <c r="D862" s="1009" t="s">
        <v>310</v>
      </c>
      <c r="E862" s="1015" t="s">
        <v>80</v>
      </c>
      <c r="F862" s="1410">
        <v>8000000000</v>
      </c>
      <c r="G862" s="1416">
        <v>0</v>
      </c>
      <c r="H862" s="1009" t="s">
        <v>10</v>
      </c>
      <c r="I862" s="1009" t="s">
        <v>112</v>
      </c>
      <c r="J862" s="1009" t="s">
        <v>89</v>
      </c>
    </row>
    <row r="863" spans="1:10">
      <c r="A863" s="1016" t="s">
        <v>335</v>
      </c>
      <c r="B863" s="1016" t="s">
        <v>153</v>
      </c>
      <c r="C863" s="1109" t="s">
        <v>1473</v>
      </c>
      <c r="D863" s="1009" t="s">
        <v>310</v>
      </c>
      <c r="E863" s="1015" t="s">
        <v>80</v>
      </c>
      <c r="F863" s="1410">
        <v>4000000000</v>
      </c>
      <c r="G863" s="1416">
        <v>0</v>
      </c>
      <c r="H863" s="1009" t="s">
        <v>10</v>
      </c>
      <c r="I863" s="1009" t="s">
        <v>110</v>
      </c>
      <c r="J863" s="1009" t="s">
        <v>87</v>
      </c>
    </row>
    <row r="864" spans="1:10">
      <c r="A864" s="1016" t="s">
        <v>706</v>
      </c>
      <c r="B864" s="1016" t="s">
        <v>85</v>
      </c>
      <c r="C864" s="1109" t="s">
        <v>1474</v>
      </c>
      <c r="D864" s="1009" t="s">
        <v>310</v>
      </c>
      <c r="E864" s="1015" t="s">
        <v>80</v>
      </c>
      <c r="F864" s="1410">
        <v>22000000000</v>
      </c>
      <c r="G864" s="1416">
        <v>0</v>
      </c>
      <c r="H864" s="1009" t="s">
        <v>10</v>
      </c>
      <c r="I864" s="1009" t="s">
        <v>110</v>
      </c>
      <c r="J864" s="1009" t="s">
        <v>85</v>
      </c>
    </row>
    <row r="865" spans="1:10">
      <c r="A865" s="1016" t="s">
        <v>609</v>
      </c>
      <c r="B865" s="1016" t="s">
        <v>85</v>
      </c>
      <c r="C865" s="1109" t="s">
        <v>1475</v>
      </c>
      <c r="D865" s="1009" t="s">
        <v>310</v>
      </c>
      <c r="E865" s="1015" t="s">
        <v>80</v>
      </c>
      <c r="F865" s="1410">
        <v>8000000000</v>
      </c>
      <c r="G865" s="1416">
        <v>0</v>
      </c>
      <c r="H865" s="1009" t="s">
        <v>10</v>
      </c>
      <c r="I865" s="1009" t="s">
        <v>110</v>
      </c>
      <c r="J865" s="1009" t="s">
        <v>85</v>
      </c>
    </row>
    <row r="866" spans="1:10">
      <c r="A866" s="1016" t="s">
        <v>695</v>
      </c>
      <c r="B866" s="1016" t="s">
        <v>191</v>
      </c>
      <c r="C866" s="1109" t="s">
        <v>1476</v>
      </c>
      <c r="D866" s="1009" t="s">
        <v>310</v>
      </c>
      <c r="E866" s="1015" t="s">
        <v>80</v>
      </c>
      <c r="F866" s="1410">
        <v>0</v>
      </c>
      <c r="G866" s="1416">
        <v>0</v>
      </c>
      <c r="H866" s="1009" t="s">
        <v>10</v>
      </c>
      <c r="I866" s="1009" t="s">
        <v>110</v>
      </c>
      <c r="J866" s="1009" t="s">
        <v>191</v>
      </c>
    </row>
    <row r="867" spans="1:10">
      <c r="A867" s="1016" t="s">
        <v>993</v>
      </c>
      <c r="B867" s="1016" t="s">
        <v>191</v>
      </c>
      <c r="C867" s="1109" t="s">
        <v>1477</v>
      </c>
      <c r="D867" s="1009" t="s">
        <v>310</v>
      </c>
      <c r="E867" s="1015" t="s">
        <v>80</v>
      </c>
      <c r="F867" s="1410">
        <v>8000000000</v>
      </c>
      <c r="G867" s="1416">
        <v>0</v>
      </c>
      <c r="H867" s="1009" t="s">
        <v>10</v>
      </c>
      <c r="I867" s="1009" t="s">
        <v>110</v>
      </c>
      <c r="J867" s="1009" t="s">
        <v>191</v>
      </c>
    </row>
    <row r="868" spans="1:10">
      <c r="A868" s="1016" t="s">
        <v>970</v>
      </c>
      <c r="B868" s="1016" t="s">
        <v>971</v>
      </c>
      <c r="C868" s="1109" t="s">
        <v>1478</v>
      </c>
      <c r="D868" s="1009" t="s">
        <v>310</v>
      </c>
      <c r="E868" s="1015" t="s">
        <v>80</v>
      </c>
      <c r="F868" s="1410">
        <v>0</v>
      </c>
      <c r="G868" s="1416">
        <v>0</v>
      </c>
      <c r="H868" s="1009" t="s">
        <v>10</v>
      </c>
      <c r="I868" s="1009" t="s">
        <v>259</v>
      </c>
      <c r="J868" s="1009" t="s">
        <v>99</v>
      </c>
    </row>
    <row r="869" spans="1:10">
      <c r="A869" s="1016" t="s">
        <v>567</v>
      </c>
      <c r="B869" s="1016" t="s">
        <v>93</v>
      </c>
      <c r="C869" s="1109" t="s">
        <v>1479</v>
      </c>
      <c r="D869" s="1009" t="s">
        <v>310</v>
      </c>
      <c r="E869" s="1015" t="s">
        <v>80</v>
      </c>
      <c r="F869" s="1410">
        <v>11000000000</v>
      </c>
      <c r="G869" s="1416">
        <v>0</v>
      </c>
      <c r="H869" s="1009" t="s">
        <v>10</v>
      </c>
      <c r="I869" s="1009" t="s">
        <v>114</v>
      </c>
      <c r="J869" s="1009" t="s">
        <v>93</v>
      </c>
    </row>
    <row r="870" spans="1:10">
      <c r="A870" s="1016" t="s">
        <v>548</v>
      </c>
      <c r="B870" s="1016" t="s">
        <v>92</v>
      </c>
      <c r="C870" s="1109" t="s">
        <v>1480</v>
      </c>
      <c r="D870" s="1009" t="s">
        <v>310</v>
      </c>
      <c r="E870" s="1015" t="s">
        <v>80</v>
      </c>
      <c r="F870" s="1410">
        <v>10000000000</v>
      </c>
      <c r="G870" s="1416">
        <v>0</v>
      </c>
      <c r="H870" s="1009" t="s">
        <v>10</v>
      </c>
      <c r="I870" s="1009" t="s">
        <v>114</v>
      </c>
      <c r="J870" s="1009" t="s">
        <v>92</v>
      </c>
    </row>
    <row r="871" spans="1:10">
      <c r="A871" s="1016" t="s">
        <v>516</v>
      </c>
      <c r="B871" s="1016" t="s">
        <v>92</v>
      </c>
      <c r="C871" s="1109" t="s">
        <v>1481</v>
      </c>
      <c r="D871" s="1009" t="s">
        <v>310</v>
      </c>
      <c r="E871" s="1015" t="s">
        <v>80</v>
      </c>
      <c r="F871" s="1410">
        <v>29000000000</v>
      </c>
      <c r="G871" s="1416">
        <v>0</v>
      </c>
      <c r="H871" s="1009" t="s">
        <v>10</v>
      </c>
      <c r="I871" s="1009" t="s">
        <v>114</v>
      </c>
      <c r="J871" s="1009" t="s">
        <v>92</v>
      </c>
    </row>
    <row r="872" spans="1:10">
      <c r="A872" s="1016" t="s">
        <v>891</v>
      </c>
      <c r="B872" s="1016" t="s">
        <v>92</v>
      </c>
      <c r="C872" s="1109" t="s">
        <v>1482</v>
      </c>
      <c r="D872" s="1009" t="s">
        <v>310</v>
      </c>
      <c r="E872" s="1015" t="s">
        <v>80</v>
      </c>
      <c r="F872" s="1410">
        <v>0</v>
      </c>
      <c r="G872" s="1416">
        <v>0</v>
      </c>
      <c r="H872" s="1009" t="s">
        <v>10</v>
      </c>
      <c r="I872" s="1009" t="s">
        <v>114</v>
      </c>
      <c r="J872" s="1009" t="s">
        <v>92</v>
      </c>
    </row>
    <row r="873" spans="1:10">
      <c r="A873" s="1016" t="s">
        <v>993</v>
      </c>
      <c r="B873" s="1016" t="s">
        <v>191</v>
      </c>
      <c r="C873" s="1109" t="s">
        <v>1483</v>
      </c>
      <c r="D873" s="1009" t="s">
        <v>310</v>
      </c>
      <c r="E873" s="1015" t="s">
        <v>80</v>
      </c>
      <c r="F873" s="1410">
        <v>8000000000</v>
      </c>
      <c r="G873" s="1416">
        <v>0</v>
      </c>
      <c r="H873" s="1009" t="s">
        <v>10</v>
      </c>
      <c r="I873" s="1009" t="s">
        <v>110</v>
      </c>
      <c r="J873" s="1009" t="s">
        <v>191</v>
      </c>
    </row>
    <row r="874" spans="1:10">
      <c r="A874" s="1016" t="s">
        <v>582</v>
      </c>
      <c r="B874" s="1016" t="s">
        <v>339</v>
      </c>
      <c r="C874" s="1109" t="s">
        <v>1484</v>
      </c>
      <c r="D874" s="1009" t="s">
        <v>310</v>
      </c>
      <c r="E874" s="1015" t="s">
        <v>80</v>
      </c>
      <c r="F874" s="1410">
        <v>38000000000</v>
      </c>
      <c r="G874" s="1416">
        <v>0</v>
      </c>
      <c r="H874" s="1009" t="s">
        <v>67</v>
      </c>
      <c r="I874" s="1009" t="s">
        <v>200</v>
      </c>
      <c r="J874" s="1009" t="s">
        <v>339</v>
      </c>
    </row>
    <row r="875" spans="1:10">
      <c r="A875" s="1016" t="s">
        <v>513</v>
      </c>
      <c r="B875" s="1016" t="s">
        <v>91</v>
      </c>
      <c r="C875" s="1109" t="s">
        <v>1485</v>
      </c>
      <c r="D875" s="1009" t="s">
        <v>310</v>
      </c>
      <c r="E875" s="1015" t="s">
        <v>80</v>
      </c>
      <c r="F875" s="1410">
        <v>12000000000</v>
      </c>
      <c r="G875" s="1416">
        <v>0</v>
      </c>
      <c r="H875" s="1009" t="s">
        <v>10</v>
      </c>
      <c r="I875" s="1009" t="s">
        <v>112</v>
      </c>
      <c r="J875" s="1009" t="s">
        <v>91</v>
      </c>
    </row>
    <row r="876" spans="1:10">
      <c r="A876" s="1016" t="s">
        <v>582</v>
      </c>
      <c r="B876" s="1016" t="s">
        <v>91</v>
      </c>
      <c r="C876" s="1109" t="s">
        <v>5388</v>
      </c>
      <c r="D876" s="1009" t="s">
        <v>310</v>
      </c>
      <c r="E876" s="1015" t="s">
        <v>80</v>
      </c>
      <c r="F876" s="1410">
        <v>600000000000</v>
      </c>
      <c r="G876" s="1416">
        <v>0</v>
      </c>
      <c r="H876" s="1009" t="s">
        <v>67</v>
      </c>
      <c r="I876" s="1009" t="s">
        <v>112</v>
      </c>
      <c r="J876" s="1009" t="s">
        <v>91</v>
      </c>
    </row>
    <row r="877" spans="1:10">
      <c r="A877" s="1016" t="s">
        <v>582</v>
      </c>
      <c r="B877" s="1016" t="s">
        <v>339</v>
      </c>
      <c r="C877" s="1109" t="s">
        <v>1486</v>
      </c>
      <c r="D877" s="1009" t="s">
        <v>310</v>
      </c>
      <c r="E877" s="1015" t="s">
        <v>80</v>
      </c>
      <c r="F877" s="1410">
        <v>62000000000</v>
      </c>
      <c r="G877" s="1416">
        <v>0</v>
      </c>
      <c r="H877" s="1009" t="s">
        <v>67</v>
      </c>
      <c r="I877" s="1009" t="s">
        <v>200</v>
      </c>
      <c r="J877" s="1009" t="s">
        <v>339</v>
      </c>
    </row>
    <row r="878" spans="1:10">
      <c r="A878" s="1016" t="s">
        <v>891</v>
      </c>
      <c r="B878" s="1016" t="s">
        <v>92</v>
      </c>
      <c r="C878" s="1109" t="s">
        <v>1487</v>
      </c>
      <c r="D878" s="1009" t="s">
        <v>310</v>
      </c>
      <c r="E878" s="1015" t="s">
        <v>80</v>
      </c>
      <c r="F878" s="1410">
        <v>4000000000</v>
      </c>
      <c r="G878" s="1416">
        <v>0</v>
      </c>
      <c r="H878" s="1009" t="s">
        <v>10</v>
      </c>
      <c r="I878" s="1009" t="s">
        <v>114</v>
      </c>
      <c r="J878" s="1009" t="s">
        <v>92</v>
      </c>
    </row>
    <row r="879" spans="1:10">
      <c r="A879" s="1016" t="s">
        <v>522</v>
      </c>
      <c r="B879" s="1016" t="s">
        <v>971</v>
      </c>
      <c r="C879" s="1109" t="s">
        <v>1488</v>
      </c>
      <c r="D879" s="1009" t="s">
        <v>310</v>
      </c>
      <c r="E879" s="1015" t="s">
        <v>80</v>
      </c>
      <c r="F879" s="1410">
        <v>41000000000</v>
      </c>
      <c r="G879" s="1416">
        <v>0</v>
      </c>
      <c r="H879" s="1009" t="s">
        <v>10</v>
      </c>
      <c r="I879" s="1009" t="s">
        <v>259</v>
      </c>
      <c r="J879" s="1009" t="s">
        <v>99</v>
      </c>
    </row>
    <row r="880" spans="1:10">
      <c r="A880" s="1016" t="s">
        <v>541</v>
      </c>
      <c r="B880" s="1016" t="s">
        <v>86</v>
      </c>
      <c r="C880" s="1109" t="s">
        <v>1489</v>
      </c>
      <c r="D880" s="1009" t="s">
        <v>310</v>
      </c>
      <c r="E880" s="1015" t="s">
        <v>80</v>
      </c>
      <c r="F880" s="1410">
        <v>0</v>
      </c>
      <c r="G880" s="1416">
        <v>0</v>
      </c>
      <c r="H880" s="1009" t="s">
        <v>10</v>
      </c>
      <c r="I880" s="1009" t="s">
        <v>110</v>
      </c>
      <c r="J880" s="1009" t="s">
        <v>86</v>
      </c>
    </row>
    <row r="881" spans="1:10">
      <c r="A881" s="1016" t="s">
        <v>993</v>
      </c>
      <c r="B881" s="1016" t="s">
        <v>191</v>
      </c>
      <c r="C881" s="1109" t="s">
        <v>1490</v>
      </c>
      <c r="D881" s="1009" t="s">
        <v>310</v>
      </c>
      <c r="E881" s="1015" t="s">
        <v>80</v>
      </c>
      <c r="F881" s="1410">
        <v>5000000000</v>
      </c>
      <c r="G881" s="1416">
        <v>0</v>
      </c>
      <c r="H881" s="1009" t="s">
        <v>10</v>
      </c>
      <c r="I881" s="1009" t="s">
        <v>110</v>
      </c>
      <c r="J881" s="1009" t="s">
        <v>191</v>
      </c>
    </row>
    <row r="882" spans="1:10">
      <c r="A882" s="1016" t="s">
        <v>506</v>
      </c>
      <c r="B882" s="1016" t="s">
        <v>85</v>
      </c>
      <c r="C882" s="1109" t="s">
        <v>1491</v>
      </c>
      <c r="D882" s="1009" t="s">
        <v>310</v>
      </c>
      <c r="E882" s="1015" t="s">
        <v>80</v>
      </c>
      <c r="F882" s="1410">
        <v>14000000000</v>
      </c>
      <c r="G882" s="1416">
        <v>0</v>
      </c>
      <c r="H882" s="1009" t="s">
        <v>10</v>
      </c>
      <c r="I882" s="1009" t="s">
        <v>110</v>
      </c>
      <c r="J882" s="1009" t="s">
        <v>85</v>
      </c>
    </row>
    <row r="883" spans="1:10">
      <c r="A883" s="1016" t="s">
        <v>506</v>
      </c>
      <c r="B883" s="1016" t="s">
        <v>85</v>
      </c>
      <c r="C883" s="1109" t="s">
        <v>1492</v>
      </c>
      <c r="D883" s="1009" t="s">
        <v>310</v>
      </c>
      <c r="E883" s="1015" t="s">
        <v>80</v>
      </c>
      <c r="F883" s="1410">
        <v>5000000000</v>
      </c>
      <c r="G883" s="1416">
        <v>0</v>
      </c>
      <c r="H883" s="1009" t="s">
        <v>10</v>
      </c>
      <c r="I883" s="1009" t="s">
        <v>110</v>
      </c>
      <c r="J883" s="1009" t="s">
        <v>85</v>
      </c>
    </row>
    <row r="884" spans="1:10">
      <c r="A884" s="1016" t="s">
        <v>609</v>
      </c>
      <c r="B884" s="1016" t="s">
        <v>85</v>
      </c>
      <c r="C884" s="1109" t="s">
        <v>1493</v>
      </c>
      <c r="D884" s="1009" t="s">
        <v>310</v>
      </c>
      <c r="E884" s="1015" t="s">
        <v>80</v>
      </c>
      <c r="F884" s="1410">
        <v>3500000000</v>
      </c>
      <c r="G884" s="1416">
        <v>0</v>
      </c>
      <c r="H884" s="1009" t="s">
        <v>10</v>
      </c>
      <c r="I884" s="1009" t="s">
        <v>110</v>
      </c>
      <c r="J884" s="1009" t="s">
        <v>85</v>
      </c>
    </row>
    <row r="885" spans="1:10">
      <c r="A885" s="1016" t="s">
        <v>695</v>
      </c>
      <c r="B885" s="1016" t="s">
        <v>191</v>
      </c>
      <c r="C885" s="1109" t="s">
        <v>1494</v>
      </c>
      <c r="D885" s="1009" t="s">
        <v>310</v>
      </c>
      <c r="E885" s="1015" t="s">
        <v>80</v>
      </c>
      <c r="F885" s="1410">
        <v>25000000000</v>
      </c>
      <c r="G885" s="1416">
        <v>0</v>
      </c>
      <c r="H885" s="1009" t="s">
        <v>10</v>
      </c>
      <c r="I885" s="1009" t="s">
        <v>110</v>
      </c>
      <c r="J885" s="1009" t="s">
        <v>191</v>
      </c>
    </row>
    <row r="886" spans="1:10">
      <c r="A886" s="1016" t="s">
        <v>701</v>
      </c>
      <c r="B886" s="1016" t="s">
        <v>153</v>
      </c>
      <c r="C886" s="1109" t="s">
        <v>1495</v>
      </c>
      <c r="D886" s="1009" t="s">
        <v>310</v>
      </c>
      <c r="E886" s="1015" t="s">
        <v>80</v>
      </c>
      <c r="F886" s="1410">
        <v>20000000000</v>
      </c>
      <c r="G886" s="1416">
        <v>0</v>
      </c>
      <c r="H886" s="1009" t="s">
        <v>10</v>
      </c>
      <c r="I886" s="1009" t="s">
        <v>110</v>
      </c>
      <c r="J886" s="1009" t="s">
        <v>87</v>
      </c>
    </row>
    <row r="887" spans="1:10">
      <c r="A887" s="1016" t="s">
        <v>701</v>
      </c>
      <c r="B887" s="1016" t="s">
        <v>153</v>
      </c>
      <c r="C887" s="1109" t="s">
        <v>1496</v>
      </c>
      <c r="D887" s="1009" t="s">
        <v>310</v>
      </c>
      <c r="E887" s="1015" t="s">
        <v>80</v>
      </c>
      <c r="F887" s="1410">
        <v>20000000000</v>
      </c>
      <c r="G887" s="1416">
        <v>0</v>
      </c>
      <c r="H887" s="1009" t="s">
        <v>10</v>
      </c>
      <c r="I887" s="1009" t="s">
        <v>110</v>
      </c>
      <c r="J887" s="1009" t="s">
        <v>87</v>
      </c>
    </row>
    <row r="888" spans="1:10">
      <c r="A888" s="1016" t="s">
        <v>554</v>
      </c>
      <c r="B888" s="1016" t="s">
        <v>88</v>
      </c>
      <c r="C888" s="1109" t="s">
        <v>1497</v>
      </c>
      <c r="D888" s="1009" t="s">
        <v>310</v>
      </c>
      <c r="E888" s="1015" t="s">
        <v>80</v>
      </c>
      <c r="F888" s="1410">
        <v>52000000000</v>
      </c>
      <c r="G888" s="1416">
        <v>0</v>
      </c>
      <c r="H888" s="1009" t="s">
        <v>10</v>
      </c>
      <c r="I888" s="1009" t="s">
        <v>110</v>
      </c>
      <c r="J888" s="1009" t="s">
        <v>88</v>
      </c>
    </row>
    <row r="889" spans="1:10">
      <c r="A889" s="1016" t="s">
        <v>614</v>
      </c>
      <c r="B889" s="1016" t="s">
        <v>88</v>
      </c>
      <c r="C889" s="1109" t="s">
        <v>1498</v>
      </c>
      <c r="D889" s="1009" t="s">
        <v>310</v>
      </c>
      <c r="E889" s="1015" t="s">
        <v>80</v>
      </c>
      <c r="F889" s="1410">
        <v>31000000000</v>
      </c>
      <c r="G889" s="1416">
        <v>0</v>
      </c>
      <c r="H889" s="1009" t="s">
        <v>10</v>
      </c>
      <c r="I889" s="1009" t="s">
        <v>110</v>
      </c>
      <c r="J889" s="1009" t="s">
        <v>88</v>
      </c>
    </row>
    <row r="890" spans="1:10">
      <c r="A890" s="1016" t="s">
        <v>499</v>
      </c>
      <c r="B890" s="1016" t="s">
        <v>85</v>
      </c>
      <c r="C890" s="1109" t="s">
        <v>1499</v>
      </c>
      <c r="D890" s="1009" t="s">
        <v>310</v>
      </c>
      <c r="E890" s="1015" t="s">
        <v>80</v>
      </c>
      <c r="F890" s="1410">
        <v>15000000000</v>
      </c>
      <c r="G890" s="1416">
        <v>0</v>
      </c>
      <c r="H890" s="1009" t="s">
        <v>10</v>
      </c>
      <c r="I890" s="1009" t="s">
        <v>110</v>
      </c>
      <c r="J890" s="1009" t="s">
        <v>85</v>
      </c>
    </row>
    <row r="891" spans="1:10">
      <c r="A891" s="1016" t="s">
        <v>1028</v>
      </c>
      <c r="B891" s="1016" t="s">
        <v>191</v>
      </c>
      <c r="C891" s="1109" t="s">
        <v>1500</v>
      </c>
      <c r="D891" s="1009" t="s">
        <v>310</v>
      </c>
      <c r="E891" s="1015" t="s">
        <v>80</v>
      </c>
      <c r="F891" s="1410">
        <v>5000000000</v>
      </c>
      <c r="G891" s="1416">
        <v>0</v>
      </c>
      <c r="H891" s="1009" t="s">
        <v>10</v>
      </c>
      <c r="I891" s="1009" t="s">
        <v>110</v>
      </c>
      <c r="J891" s="1009" t="s">
        <v>191</v>
      </c>
    </row>
    <row r="892" spans="1:10">
      <c r="A892" s="1016" t="s">
        <v>886</v>
      </c>
      <c r="B892" s="1016" t="s">
        <v>155</v>
      </c>
      <c r="C892" s="1109" t="s">
        <v>1501</v>
      </c>
      <c r="D892" s="1009" t="s">
        <v>310</v>
      </c>
      <c r="E892" s="1015" t="s">
        <v>80</v>
      </c>
      <c r="F892" s="1410">
        <v>30000000000</v>
      </c>
      <c r="G892" s="1416">
        <v>0</v>
      </c>
      <c r="H892" s="1009" t="s">
        <v>10</v>
      </c>
      <c r="I892" s="1009" t="s">
        <v>110</v>
      </c>
      <c r="J892" s="1009" t="s">
        <v>87</v>
      </c>
    </row>
    <row r="893" spans="1:10">
      <c r="A893" s="1016" t="s">
        <v>886</v>
      </c>
      <c r="B893" s="1016" t="s">
        <v>155</v>
      </c>
      <c r="C893" s="1109" t="s">
        <v>1502</v>
      </c>
      <c r="D893" s="1009" t="s">
        <v>310</v>
      </c>
      <c r="E893" s="1015" t="s">
        <v>80</v>
      </c>
      <c r="F893" s="1410">
        <v>31000000000</v>
      </c>
      <c r="G893" s="1416">
        <v>0</v>
      </c>
      <c r="H893" s="1009" t="s">
        <v>10</v>
      </c>
      <c r="I893" s="1009" t="s">
        <v>110</v>
      </c>
      <c r="J893" s="1009" t="s">
        <v>87</v>
      </c>
    </row>
    <row r="894" spans="1:10">
      <c r="A894" s="1016" t="s">
        <v>716</v>
      </c>
      <c r="B894" s="1016" t="s">
        <v>153</v>
      </c>
      <c r="C894" s="1109" t="s">
        <v>1503</v>
      </c>
      <c r="D894" s="1009" t="s">
        <v>310</v>
      </c>
      <c r="E894" s="1015" t="s">
        <v>80</v>
      </c>
      <c r="F894" s="1410">
        <v>10000000000</v>
      </c>
      <c r="G894" s="1416">
        <v>0</v>
      </c>
      <c r="H894" s="1009" t="s">
        <v>10</v>
      </c>
      <c r="I894" s="1009" t="s">
        <v>110</v>
      </c>
      <c r="J894" s="1009" t="s">
        <v>87</v>
      </c>
    </row>
    <row r="895" spans="1:10">
      <c r="A895" s="1016" t="s">
        <v>716</v>
      </c>
      <c r="B895" s="1016" t="s">
        <v>153</v>
      </c>
      <c r="C895" s="1109" t="s">
        <v>1504</v>
      </c>
      <c r="D895" s="1009" t="s">
        <v>310</v>
      </c>
      <c r="E895" s="1015" t="s">
        <v>80</v>
      </c>
      <c r="F895" s="1410">
        <v>145000000000</v>
      </c>
      <c r="G895" s="1416">
        <v>0</v>
      </c>
      <c r="H895" s="1009" t="s">
        <v>10</v>
      </c>
      <c r="I895" s="1009" t="s">
        <v>110</v>
      </c>
      <c r="J895" s="1009" t="s">
        <v>87</v>
      </c>
    </row>
    <row r="896" spans="1:10">
      <c r="A896" s="1016" t="s">
        <v>518</v>
      </c>
      <c r="B896" s="1016" t="s">
        <v>91</v>
      </c>
      <c r="C896" s="1109" t="s">
        <v>5396</v>
      </c>
      <c r="D896" s="1009" t="s">
        <v>310</v>
      </c>
      <c r="E896" s="1015" t="s">
        <v>80</v>
      </c>
      <c r="F896" s="1410">
        <v>20000000000</v>
      </c>
      <c r="G896" s="1416">
        <v>0</v>
      </c>
      <c r="H896" s="1009" t="s">
        <v>10</v>
      </c>
      <c r="I896" s="1009" t="s">
        <v>112</v>
      </c>
      <c r="J896" s="1009" t="s">
        <v>91</v>
      </c>
    </row>
    <row r="897" spans="1:10">
      <c r="A897" s="1016" t="s">
        <v>808</v>
      </c>
      <c r="B897" s="1016" t="s">
        <v>91</v>
      </c>
      <c r="C897" s="1109" t="s">
        <v>5397</v>
      </c>
      <c r="D897" s="1009" t="s">
        <v>310</v>
      </c>
      <c r="E897" s="1015" t="s">
        <v>80</v>
      </c>
      <c r="F897" s="1410">
        <v>6000000000</v>
      </c>
      <c r="G897" s="1416">
        <v>0</v>
      </c>
      <c r="H897" s="1009" t="s">
        <v>10</v>
      </c>
      <c r="I897" s="1009" t="s">
        <v>112</v>
      </c>
      <c r="J897" s="1009" t="s">
        <v>91</v>
      </c>
    </row>
    <row r="898" spans="1:10">
      <c r="A898" s="1016" t="s">
        <v>582</v>
      </c>
      <c r="B898" s="1016" t="s">
        <v>91</v>
      </c>
      <c r="C898" s="1109" t="s">
        <v>5398</v>
      </c>
      <c r="D898" s="1009" t="s">
        <v>310</v>
      </c>
      <c r="E898" s="1015" t="s">
        <v>80</v>
      </c>
      <c r="F898" s="1410">
        <v>400000000000</v>
      </c>
      <c r="G898" s="1416">
        <v>0</v>
      </c>
      <c r="H898" s="1009" t="s">
        <v>67</v>
      </c>
      <c r="I898" s="1009" t="s">
        <v>112</v>
      </c>
      <c r="J898" s="1009" t="s">
        <v>91</v>
      </c>
    </row>
    <row r="899" spans="1:10">
      <c r="A899" s="1016" t="s">
        <v>703</v>
      </c>
      <c r="B899" s="1016" t="s">
        <v>91</v>
      </c>
      <c r="C899" s="1109" t="s">
        <v>5399</v>
      </c>
      <c r="D899" s="1009" t="s">
        <v>310</v>
      </c>
      <c r="E899" s="1015" t="s">
        <v>80</v>
      </c>
      <c r="F899" s="1410">
        <v>25000000000</v>
      </c>
      <c r="G899" s="1416">
        <v>0</v>
      </c>
      <c r="H899" s="1009" t="s">
        <v>10</v>
      </c>
      <c r="I899" s="1009" t="s">
        <v>112</v>
      </c>
      <c r="J899" s="1009" t="s">
        <v>91</v>
      </c>
    </row>
    <row r="900" spans="1:10">
      <c r="A900" s="1016" t="s">
        <v>891</v>
      </c>
      <c r="B900" s="1016" t="s">
        <v>92</v>
      </c>
      <c r="C900" s="1109" t="s">
        <v>1505</v>
      </c>
      <c r="D900" s="1009" t="s">
        <v>310</v>
      </c>
      <c r="E900" s="1015" t="s">
        <v>80</v>
      </c>
      <c r="F900" s="1410">
        <v>2500000000</v>
      </c>
      <c r="G900" s="1416">
        <v>0</v>
      </c>
      <c r="H900" s="1009" t="s">
        <v>10</v>
      </c>
      <c r="I900" s="1009" t="s">
        <v>114</v>
      </c>
      <c r="J900" s="1009" t="s">
        <v>92</v>
      </c>
    </row>
    <row r="901" spans="1:10">
      <c r="A901" s="1016" t="s">
        <v>703</v>
      </c>
      <c r="B901" s="1016" t="s">
        <v>91</v>
      </c>
      <c r="C901" s="1109" t="s">
        <v>5400</v>
      </c>
      <c r="D901" s="1009" t="s">
        <v>310</v>
      </c>
      <c r="E901" s="1015" t="s">
        <v>80</v>
      </c>
      <c r="F901" s="1410">
        <v>8000000000</v>
      </c>
      <c r="G901" s="1416">
        <v>0</v>
      </c>
      <c r="H901" s="1009" t="s">
        <v>10</v>
      </c>
      <c r="I901" s="1009" t="s">
        <v>112</v>
      </c>
      <c r="J901" s="1009" t="s">
        <v>91</v>
      </c>
    </row>
    <row r="902" spans="1:10">
      <c r="A902" s="1100" t="s">
        <v>897</v>
      </c>
      <c r="B902" s="1100" t="s">
        <v>92</v>
      </c>
      <c r="C902" s="1109" t="s">
        <v>1506</v>
      </c>
      <c r="D902" s="1009" t="s">
        <v>310</v>
      </c>
      <c r="E902" s="1015" t="s">
        <v>80</v>
      </c>
      <c r="F902" s="1410">
        <v>7000000000</v>
      </c>
      <c r="G902" s="1416">
        <v>0</v>
      </c>
      <c r="H902" s="1009" t="s">
        <v>10</v>
      </c>
      <c r="I902" s="1009" t="s">
        <v>114</v>
      </c>
      <c r="J902" s="1009" t="s">
        <v>92</v>
      </c>
    </row>
    <row r="903" spans="1:10">
      <c r="A903" s="1100" t="s">
        <v>532</v>
      </c>
      <c r="B903" s="1100" t="s">
        <v>98</v>
      </c>
      <c r="C903" s="1109" t="s">
        <v>1507</v>
      </c>
      <c r="D903" s="1009" t="s">
        <v>310</v>
      </c>
      <c r="E903" s="1015" t="s">
        <v>80</v>
      </c>
      <c r="F903" s="1410">
        <v>4000000000</v>
      </c>
      <c r="G903" s="1416">
        <v>0</v>
      </c>
      <c r="H903" s="1009" t="s">
        <v>10</v>
      </c>
      <c r="I903" s="1009" t="s">
        <v>198</v>
      </c>
      <c r="J903" s="1009" t="s">
        <v>98</v>
      </c>
    </row>
    <row r="904" spans="1:10">
      <c r="A904" s="1100" t="s">
        <v>582</v>
      </c>
      <c r="B904" s="1100" t="s">
        <v>98</v>
      </c>
      <c r="C904" s="1109" t="s">
        <v>1508</v>
      </c>
      <c r="D904" s="1009" t="s">
        <v>310</v>
      </c>
      <c r="E904" s="1015" t="s">
        <v>80</v>
      </c>
      <c r="F904" s="1410">
        <v>40000000000</v>
      </c>
      <c r="G904" s="1416">
        <v>0</v>
      </c>
      <c r="H904" s="1009" t="s">
        <v>67</v>
      </c>
      <c r="I904" s="1009" t="s">
        <v>198</v>
      </c>
      <c r="J904" s="1009" t="s">
        <v>98</v>
      </c>
    </row>
    <row r="905" spans="1:10">
      <c r="A905" s="1100" t="s">
        <v>567</v>
      </c>
      <c r="B905" s="1100" t="s">
        <v>93</v>
      </c>
      <c r="C905" s="1109" t="s">
        <v>1509</v>
      </c>
      <c r="D905" s="1009" t="s">
        <v>310</v>
      </c>
      <c r="E905" s="1015" t="s">
        <v>80</v>
      </c>
      <c r="F905" s="1410">
        <v>10000000000</v>
      </c>
      <c r="G905" s="1416">
        <v>0</v>
      </c>
      <c r="H905" s="1009" t="s">
        <v>10</v>
      </c>
      <c r="I905" s="1009" t="s">
        <v>114</v>
      </c>
      <c r="J905" s="1009" t="s">
        <v>93</v>
      </c>
    </row>
    <row r="906" spans="1:10">
      <c r="A906" s="1100" t="s">
        <v>714</v>
      </c>
      <c r="B906" s="1100" t="s">
        <v>293</v>
      </c>
      <c r="C906" s="1109" t="s">
        <v>1510</v>
      </c>
      <c r="D906" s="1009" t="s">
        <v>310</v>
      </c>
      <c r="E906" s="1015" t="s">
        <v>80</v>
      </c>
      <c r="F906" s="1410">
        <v>45000000000</v>
      </c>
      <c r="G906" s="1416">
        <v>0</v>
      </c>
      <c r="H906" s="1009" t="s">
        <v>10</v>
      </c>
      <c r="I906" s="1009" t="s">
        <v>259</v>
      </c>
      <c r="J906" s="1009" t="s">
        <v>99</v>
      </c>
    </row>
    <row r="907" spans="1:10">
      <c r="A907" s="1100" t="s">
        <v>714</v>
      </c>
      <c r="B907" s="1100" t="s">
        <v>293</v>
      </c>
      <c r="C907" s="1109" t="s">
        <v>1511</v>
      </c>
      <c r="D907" s="1009" t="s">
        <v>310</v>
      </c>
      <c r="E907" s="1015" t="s">
        <v>80</v>
      </c>
      <c r="F907" s="1410">
        <v>10000000000</v>
      </c>
      <c r="G907" s="1416">
        <v>0</v>
      </c>
      <c r="H907" s="1009" t="s">
        <v>10</v>
      </c>
      <c r="I907" s="1009" t="s">
        <v>259</v>
      </c>
      <c r="J907" s="1009" t="s">
        <v>99</v>
      </c>
    </row>
    <row r="908" spans="1:10">
      <c r="A908" s="1100" t="s">
        <v>970</v>
      </c>
      <c r="B908" s="1100" t="s">
        <v>971</v>
      </c>
      <c r="C908" s="1109" t="s">
        <v>1512</v>
      </c>
      <c r="D908" s="1009" t="s">
        <v>310</v>
      </c>
      <c r="E908" s="1015" t="s">
        <v>80</v>
      </c>
      <c r="F908" s="1410">
        <v>15000000000</v>
      </c>
      <c r="G908" s="1416">
        <v>0</v>
      </c>
      <c r="H908" s="1009" t="s">
        <v>10</v>
      </c>
      <c r="I908" s="1009" t="s">
        <v>259</v>
      </c>
      <c r="J908" s="1009" t="s">
        <v>99</v>
      </c>
    </row>
    <row r="909" spans="1:10">
      <c r="A909" s="1100" t="s">
        <v>552</v>
      </c>
      <c r="B909" s="1100" t="s">
        <v>98</v>
      </c>
      <c r="C909" s="1109" t="s">
        <v>1513</v>
      </c>
      <c r="D909" s="1009" t="s">
        <v>310</v>
      </c>
      <c r="E909" s="1015" t="s">
        <v>80</v>
      </c>
      <c r="F909" s="1410">
        <v>5000000000</v>
      </c>
      <c r="G909" s="1416">
        <v>0</v>
      </c>
      <c r="H909" s="1009" t="s">
        <v>10</v>
      </c>
      <c r="I909" s="1009" t="s">
        <v>198</v>
      </c>
      <c r="J909" s="1009" t="s">
        <v>98</v>
      </c>
    </row>
    <row r="910" spans="1:10">
      <c r="A910" s="1100" t="s">
        <v>617</v>
      </c>
      <c r="B910" s="1100" t="s">
        <v>339</v>
      </c>
      <c r="C910" s="1109" t="s">
        <v>5381</v>
      </c>
      <c r="D910" s="1009" t="s">
        <v>308</v>
      </c>
      <c r="E910" s="1015" t="s">
        <v>80</v>
      </c>
      <c r="F910" s="1410">
        <v>559651</v>
      </c>
      <c r="G910" s="1416">
        <v>0</v>
      </c>
      <c r="H910" s="1009" t="s">
        <v>10</v>
      </c>
      <c r="I910" s="1009" t="s">
        <v>200</v>
      </c>
      <c r="J910" s="1009" t="s">
        <v>339</v>
      </c>
    </row>
    <row r="911" spans="1:10">
      <c r="A911" s="1100" t="s">
        <v>970</v>
      </c>
      <c r="B911" s="1100" t="s">
        <v>971</v>
      </c>
      <c r="C911" s="1109" t="s">
        <v>1514</v>
      </c>
      <c r="D911" s="1009" t="s">
        <v>310</v>
      </c>
      <c r="E911" s="1015" t="s">
        <v>80</v>
      </c>
      <c r="F911" s="1410">
        <v>13000000000</v>
      </c>
      <c r="G911" s="1416">
        <v>0</v>
      </c>
      <c r="H911" s="1009" t="s">
        <v>10</v>
      </c>
      <c r="I911" s="1009" t="s">
        <v>259</v>
      </c>
      <c r="J911" s="1009" t="s">
        <v>99</v>
      </c>
    </row>
    <row r="912" spans="1:10">
      <c r="A912" s="2"/>
      <c r="B912" s="2"/>
    </row>
    <row r="913" spans="1:2">
      <c r="A913" s="2"/>
      <c r="B913" s="2"/>
    </row>
    <row r="914" spans="1:2">
      <c r="A914" s="2"/>
      <c r="B914" s="2"/>
    </row>
    <row r="915" spans="1:2">
      <c r="A915" s="2"/>
      <c r="B915" s="2"/>
    </row>
    <row r="916" spans="1:2">
      <c r="A916" s="2"/>
      <c r="B916" s="2"/>
    </row>
    <row r="917" spans="1:2">
      <c r="A917" s="2"/>
      <c r="B917" s="2"/>
    </row>
    <row r="918" spans="1:2">
      <c r="A918" s="2"/>
      <c r="B918" s="2"/>
    </row>
    <row r="919" spans="1:2">
      <c r="A919" s="2"/>
      <c r="B919" s="2"/>
    </row>
    <row r="920" spans="1:2">
      <c r="A920" s="2"/>
      <c r="B920" s="2"/>
    </row>
    <row r="921" spans="1:2">
      <c r="A921" s="2"/>
      <c r="B921" s="2"/>
    </row>
    <row r="922" spans="1:2">
      <c r="A922" s="2"/>
      <c r="B922" s="2"/>
    </row>
    <row r="923" spans="1:2">
      <c r="A923" s="2"/>
      <c r="B923" s="2"/>
    </row>
    <row r="924" spans="1:2">
      <c r="A924" s="2"/>
      <c r="B924" s="2"/>
    </row>
    <row r="925" spans="1:2">
      <c r="A925" s="2"/>
      <c r="B925" s="2"/>
    </row>
    <row r="926" spans="1:2">
      <c r="A926" s="2"/>
      <c r="B926" s="2"/>
    </row>
    <row r="927" spans="1:2">
      <c r="A927" s="2"/>
      <c r="B927" s="2"/>
    </row>
    <row r="928" spans="1:2">
      <c r="A928" s="2"/>
      <c r="B928" s="2"/>
    </row>
    <row r="929" spans="1:2">
      <c r="A929" s="2"/>
      <c r="B929" s="2"/>
    </row>
    <row r="930" spans="1:2">
      <c r="A930" s="2"/>
      <c r="B930" s="2"/>
    </row>
    <row r="931" spans="1:2">
      <c r="A931" s="2"/>
      <c r="B931" s="2"/>
    </row>
    <row r="932" spans="1:2">
      <c r="A932" s="2"/>
      <c r="B932" s="2"/>
    </row>
    <row r="933" spans="1:2">
      <c r="A933" s="2"/>
      <c r="B933" s="2"/>
    </row>
    <row r="934" spans="1:2">
      <c r="A934" s="2"/>
      <c r="B934" s="2"/>
    </row>
    <row r="935" spans="1:2">
      <c r="A935" s="2"/>
      <c r="B935" s="2"/>
    </row>
    <row r="936" spans="1:2">
      <c r="A936" s="2"/>
      <c r="B936" s="2"/>
    </row>
    <row r="937" spans="1:2">
      <c r="A937" s="2"/>
      <c r="B937" s="2"/>
    </row>
    <row r="938" spans="1:2">
      <c r="A938" s="2"/>
      <c r="B938" s="2"/>
    </row>
    <row r="939" spans="1:2">
      <c r="A939" s="2"/>
      <c r="B939" s="2"/>
    </row>
    <row r="940" spans="1:2">
      <c r="A940" s="2"/>
      <c r="B940" s="2"/>
    </row>
    <row r="941" spans="1:2">
      <c r="A941" s="2"/>
      <c r="B941" s="2"/>
    </row>
    <row r="942" spans="1:2">
      <c r="A942" s="2"/>
      <c r="B942" s="2"/>
    </row>
    <row r="943" spans="1:2">
      <c r="A943" s="2"/>
      <c r="B943" s="2"/>
    </row>
    <row r="944" spans="1:2">
      <c r="A944" s="2"/>
      <c r="B944" s="2"/>
    </row>
    <row r="945" spans="1:2">
      <c r="A945" s="2"/>
      <c r="B945" s="2"/>
    </row>
    <row r="946" spans="1:2">
      <c r="A946" s="2"/>
      <c r="B946" s="2"/>
    </row>
    <row r="947" spans="1:2">
      <c r="A947" s="2"/>
      <c r="B947" s="2"/>
    </row>
    <row r="948" spans="1:2">
      <c r="A948" s="2"/>
      <c r="B948" s="2"/>
    </row>
    <row r="949" spans="1:2">
      <c r="A949" s="2"/>
      <c r="B949" s="2"/>
    </row>
    <row r="950" spans="1:2">
      <c r="A950" s="2"/>
      <c r="B950" s="2"/>
    </row>
    <row r="951" spans="1:2">
      <c r="A951" s="2"/>
      <c r="B951" s="2"/>
    </row>
    <row r="952" spans="1:2">
      <c r="A952" s="2"/>
      <c r="B952" s="2"/>
    </row>
    <row r="953" spans="1:2">
      <c r="A953" s="2"/>
      <c r="B953" s="2"/>
    </row>
    <row r="954" spans="1:2">
      <c r="A954" s="2"/>
      <c r="B954" s="2"/>
    </row>
    <row r="955" spans="1:2">
      <c r="A955" s="2"/>
      <c r="B955" s="2"/>
    </row>
    <row r="956" spans="1:2">
      <c r="A956" s="2"/>
      <c r="B956" s="2"/>
    </row>
    <row r="957" spans="1:2">
      <c r="A957" s="2"/>
      <c r="B957" s="2"/>
    </row>
    <row r="958" spans="1:2">
      <c r="A958" s="2"/>
      <c r="B958" s="2"/>
    </row>
    <row r="959" spans="1:2">
      <c r="A959" s="2"/>
      <c r="B959" s="2"/>
    </row>
    <row r="960" spans="1:2">
      <c r="A960" s="2"/>
      <c r="B960" s="2"/>
    </row>
    <row r="961" spans="1:2">
      <c r="A961" s="2"/>
      <c r="B961" s="2"/>
    </row>
    <row r="962" spans="1:2">
      <c r="A962" s="2"/>
      <c r="B962" s="2"/>
    </row>
    <row r="963" spans="1:2">
      <c r="A963" s="2"/>
      <c r="B963" s="2"/>
    </row>
    <row r="964" spans="1:2">
      <c r="A964" s="2"/>
      <c r="B964" s="2"/>
    </row>
    <row r="965" spans="1:2">
      <c r="A965" s="2"/>
      <c r="B965" s="2"/>
    </row>
    <row r="966" spans="1:2">
      <c r="A966" s="2"/>
      <c r="B966" s="2"/>
    </row>
    <row r="967" spans="1:2">
      <c r="A967" s="2"/>
      <c r="B967" s="2"/>
    </row>
    <row r="968" spans="1:2">
      <c r="A968" s="2"/>
      <c r="B968" s="2"/>
    </row>
    <row r="969" spans="1:2">
      <c r="A969" s="2"/>
      <c r="B969" s="2"/>
    </row>
    <row r="970" spans="1:2">
      <c r="A970" s="2"/>
      <c r="B970" s="2"/>
    </row>
    <row r="971" spans="1:2">
      <c r="A971" s="2"/>
      <c r="B971" s="2"/>
    </row>
    <row r="972" spans="1:2">
      <c r="A972" s="2"/>
      <c r="B972" s="2"/>
    </row>
    <row r="973" spans="1:2">
      <c r="A973" s="2"/>
      <c r="B973" s="2"/>
    </row>
    <row r="974" spans="1:2">
      <c r="A974" s="2"/>
      <c r="B974" s="2"/>
    </row>
    <row r="975" spans="1:2">
      <c r="A975" s="2"/>
      <c r="B975" s="2"/>
    </row>
    <row r="976" spans="1:2">
      <c r="A976" s="2"/>
      <c r="B976" s="2"/>
    </row>
    <row r="977" spans="1:2">
      <c r="A977" s="2"/>
      <c r="B977" s="2"/>
    </row>
    <row r="978" spans="1:2">
      <c r="A978" s="2"/>
      <c r="B978" s="2"/>
    </row>
    <row r="979" spans="1:2">
      <c r="A979" s="2"/>
      <c r="B979" s="2"/>
    </row>
    <row r="980" spans="1:2">
      <c r="A980" s="2"/>
      <c r="B980" s="2"/>
    </row>
    <row r="981" spans="1:2">
      <c r="A981" s="2"/>
      <c r="B981" s="2"/>
    </row>
    <row r="982" spans="1:2">
      <c r="A982" s="2"/>
      <c r="B982" s="2"/>
    </row>
    <row r="983" spans="1:2">
      <c r="A983" s="2"/>
      <c r="B983" s="2"/>
    </row>
    <row r="984" spans="1:2">
      <c r="A984" s="2"/>
      <c r="B984" s="2"/>
    </row>
    <row r="985" spans="1:2">
      <c r="A985" s="2"/>
      <c r="B985" s="2"/>
    </row>
    <row r="986" spans="1:2">
      <c r="A986" s="2"/>
      <c r="B986" s="2"/>
    </row>
    <row r="987" spans="1:2">
      <c r="A987" s="2"/>
      <c r="B987" s="2"/>
    </row>
    <row r="988" spans="1:2">
      <c r="A988" s="2"/>
      <c r="B988" s="2"/>
    </row>
    <row r="989" spans="1:2">
      <c r="A989" s="2"/>
      <c r="B989" s="2"/>
    </row>
    <row r="990" spans="1:2">
      <c r="A990" s="2"/>
      <c r="B990" s="2"/>
    </row>
    <row r="991" spans="1:2">
      <c r="A991" s="2"/>
      <c r="B991" s="2"/>
    </row>
    <row r="992" spans="1:2">
      <c r="A992" s="2"/>
      <c r="B992" s="2"/>
    </row>
    <row r="993" spans="1:2">
      <c r="A993" s="2"/>
      <c r="B993" s="2"/>
    </row>
    <row r="994" spans="1:2">
      <c r="A994" s="2"/>
      <c r="B994" s="2"/>
    </row>
    <row r="995" spans="1:2">
      <c r="A995" s="2"/>
      <c r="B995" s="2"/>
    </row>
    <row r="996" spans="1:2">
      <c r="A996" s="2"/>
      <c r="B996" s="2"/>
    </row>
    <row r="997" spans="1:2">
      <c r="A997" s="2"/>
      <c r="B997" s="2"/>
    </row>
    <row r="998" spans="1:2">
      <c r="A998" s="2"/>
      <c r="B998" s="2"/>
    </row>
    <row r="999" spans="1:2">
      <c r="A999" s="2"/>
      <c r="B999" s="2"/>
    </row>
    <row r="1000" spans="1:2">
      <c r="A1000" s="2"/>
      <c r="B1000" s="2"/>
    </row>
    <row r="1001" spans="1:2">
      <c r="A1001" s="2"/>
      <c r="B1001" s="2"/>
    </row>
  </sheetData>
  <autoFilter ref="A3:AD911" xr:uid="{A98CE652-76E6-4CE1-A641-29E3B2D7DFF1}"/>
  <conditionalFormatting sqref="C2">
    <cfRule type="duplicateValues" dxfId="20" priority="1"/>
  </conditionalFormatting>
  <conditionalFormatting sqref="C2:C639">
    <cfRule type="duplicateValues" dxfId="19" priority="3633"/>
  </conditionalFormatting>
  <conditionalFormatting sqref="C4:C639">
    <cfRule type="duplicateValues" dxfId="18" priority="3635"/>
  </conditionalFormatting>
  <conditionalFormatting sqref="F1:G1">
    <cfRule type="expression" dxfId="17" priority="12">
      <formula>F1=FALSE</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0F1D8-5CD1-4838-9288-B8B2A94AFA03}">
  <sheetPr>
    <tabColor theme="9" tint="0.39997558519241921"/>
  </sheetPr>
  <dimension ref="A1"/>
  <sheetViews>
    <sheetView workbookViewId="0"/>
  </sheetViews>
  <sheetFormatPr defaultRowHeight="14.4"/>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C5087-90C8-44A5-87C2-419B3BF85BEA}">
  <sheetPr codeName="Sheet10">
    <tabColor theme="9" tint="0.39997558519241921"/>
  </sheetPr>
  <dimension ref="A1:AM926"/>
  <sheetViews>
    <sheetView showGridLines="0" zoomScale="80" zoomScaleNormal="80" workbookViewId="0">
      <pane xSplit="2" ySplit="3" topLeftCell="C45" activePane="bottomRight" state="frozen"/>
      <selection pane="topRight" activeCell="C1" sqref="C1"/>
      <selection pane="bottomLeft" activeCell="A4" sqref="A4"/>
      <selection pane="bottomRight" activeCell="L49" sqref="L49"/>
    </sheetView>
  </sheetViews>
  <sheetFormatPr defaultColWidth="9.44140625" defaultRowHeight="13.8" outlineLevelCol="1"/>
  <cols>
    <col min="1" max="1" width="32.21875" style="37" bestFit="1" customWidth="1"/>
    <col min="2" max="2" width="29.44140625" style="37" customWidth="1"/>
    <col min="3" max="3" width="23.77734375" style="2" bestFit="1" customWidth="1"/>
    <col min="4" max="4" width="18" style="2" customWidth="1"/>
    <col min="5" max="5" width="15.44140625" style="2" customWidth="1"/>
    <col min="6" max="6" width="20.44140625" style="1159" hidden="1" customWidth="1"/>
    <col min="7" max="7" width="15.44140625" style="1206" hidden="1" customWidth="1"/>
    <col min="8" max="8" width="31.44140625" style="1210" hidden="1" customWidth="1" outlineLevel="1"/>
    <col min="9" max="9" width="29.44140625" style="1237" hidden="1" customWidth="1" outlineLevel="1"/>
    <col min="10" max="10" width="30.44140625" style="1237" hidden="1" customWidth="1" outlineLevel="1"/>
    <col min="11" max="11" width="30.44140625" style="2" hidden="1" customWidth="1" outlineLevel="1"/>
    <col min="12" max="12" width="26.77734375" style="1207" customWidth="1" collapsed="1"/>
    <col min="13" max="14" width="24.21875" style="1163" hidden="1" customWidth="1"/>
    <col min="15" max="15" width="24.21875" style="1208" hidden="1" customWidth="1"/>
    <col min="16" max="16" width="24.21875" style="1209" hidden="1" customWidth="1"/>
    <col min="17" max="17" width="26" style="1163" hidden="1" customWidth="1" outlineLevel="1"/>
    <col min="18" max="18" width="26.77734375" style="1163" hidden="1" customWidth="1" outlineLevel="1"/>
    <col min="19" max="19" width="28.21875" style="1163" hidden="1" customWidth="1" outlineLevel="1"/>
    <col min="20" max="20" width="26.77734375" style="818" customWidth="1" collapsed="1"/>
    <col min="21" max="22" width="22.44140625" style="818" hidden="1" customWidth="1"/>
    <col min="23" max="23" width="14.5546875" style="2" bestFit="1" customWidth="1"/>
    <col min="24" max="24" width="19.5546875" style="2" customWidth="1"/>
    <col min="25" max="25" width="32.44140625" style="2" bestFit="1" customWidth="1"/>
    <col min="26" max="26" width="17.44140625" style="7" customWidth="1"/>
    <col min="27" max="27" width="20.5546875" style="2" customWidth="1"/>
    <col min="28" max="28" width="23.5546875" style="2" customWidth="1"/>
    <col min="29" max="29" width="19.44140625" style="2" customWidth="1"/>
    <col min="30" max="30" width="9.44140625" style="2" customWidth="1"/>
    <col min="31" max="31" width="17.5546875" style="2" customWidth="1"/>
    <col min="32" max="32" width="15.44140625" style="2" customWidth="1"/>
    <col min="33" max="33" width="0.44140625" style="2" customWidth="1"/>
    <col min="34" max="34" width="11.77734375" style="2" customWidth="1"/>
    <col min="35" max="35" width="10.5546875" style="2" bestFit="1" customWidth="1"/>
    <col min="36" max="36" width="12.44140625" style="2" bestFit="1" customWidth="1"/>
    <col min="37" max="38" width="9.44140625" style="2"/>
    <col min="39" max="39" width="13.44140625" style="2" bestFit="1" customWidth="1"/>
    <col min="40" max="16384" width="9.44140625" style="2"/>
  </cols>
  <sheetData>
    <row r="1" spans="1:39" ht="14.4">
      <c r="C1" s="49"/>
      <c r="D1" s="44">
        <f>E1+(Q2/1000000)</f>
        <v>134.52104874914997</v>
      </c>
      <c r="E1" s="1369">
        <f>H2/1000000/Fx</f>
        <v>134.43025890914996</v>
      </c>
      <c r="G1" s="1160"/>
      <c r="H1" s="1315" t="b">
        <f>H2='Cash balance (Prior period)'!F2</f>
        <v>1</v>
      </c>
      <c r="I1" s="1210"/>
      <c r="J1" s="1210">
        <f>K1-L83</f>
        <v>0</v>
      </c>
      <c r="K1" s="818">
        <v>146779</v>
      </c>
      <c r="L1" s="1284" t="b">
        <f>H2+I2-J2=L2</f>
        <v>1</v>
      </c>
      <c r="M1" s="364"/>
      <c r="N1" s="364"/>
      <c r="O1" s="1161"/>
      <c r="P1" s="1162"/>
      <c r="Q1" s="1218" t="b">
        <f>Q2='Cash balance (Prior period)'!G2</f>
        <v>1</v>
      </c>
      <c r="S1" s="1370"/>
      <c r="T1" s="1380">
        <f>Q2+R2-S2</f>
        <v>65667.590000000215</v>
      </c>
      <c r="U1" s="364"/>
      <c r="V1" s="364"/>
      <c r="W1" s="1164">
        <f>L2/Fx_rate</f>
        <v>162080510.27621776</v>
      </c>
      <c r="X1" s="1164">
        <f>T2+W1</f>
        <v>162146177.86621776</v>
      </c>
      <c r="Y1" s="1165"/>
    </row>
    <row r="2" spans="1:39">
      <c r="A2" s="1166" t="str">
        <f>Summary!B4</f>
        <v>W1-2Jan26</v>
      </c>
      <c r="B2" s="1167" t="str">
        <f>"OB"&amp;$A$2</f>
        <v>OBW1-2Jan26</v>
      </c>
      <c r="C2" s="1168"/>
      <c r="D2" s="49"/>
      <c r="E2" s="1369">
        <f>L2/1000000/Fx</f>
        <v>162.08051027621775</v>
      </c>
      <c r="G2" s="1169"/>
      <c r="H2" s="1174">
        <f>SUBTOTAL(109,Table11[[#All],[OPENING BALANCE (VND)]])</f>
        <v>3518712026947</v>
      </c>
      <c r="I2" s="1174">
        <f>SUBTOTAL(109,Table11[[#All],[CASH IN - CREDIT (VND)]])</f>
        <v>1904087439205</v>
      </c>
      <c r="J2" s="1174">
        <f>SUBTOTAL(109,Table11[[#All],[CASH OUT - DEBIT (VND)]])</f>
        <v>1180342109672</v>
      </c>
      <c r="K2" s="1170"/>
      <c r="L2" s="1171">
        <f>SUBTOTAL(109,Table11[[#All],[CLOSING BALANCE (VND)2]])</f>
        <v>4242457356480</v>
      </c>
      <c r="M2" s="1170"/>
      <c r="N2" s="1170"/>
      <c r="O2" s="1172"/>
      <c r="P2" s="1173"/>
      <c r="Q2" s="1174">
        <f>SUBTOTAL(109,Table11[[#All],[OPENING BALANCE (USD)]])</f>
        <v>90789.840000000215</v>
      </c>
      <c r="R2" s="1170">
        <f>SUBTOTAL(109,Table11[[#All],[CASH IN - CREDIT (USD)]])</f>
        <v>6705.95</v>
      </c>
      <c r="S2" s="1170">
        <f>SUBTOTAL(109,Table11[[#All],[CASH OUT - DEBIT (USD)]])</f>
        <v>31828.2</v>
      </c>
      <c r="T2" s="1381">
        <f>SUBTOTAL(109,Table11[[#All],[CLOSING BALANCE (USD)]])</f>
        <v>65667.590000000229</v>
      </c>
      <c r="U2" s="1175"/>
      <c r="V2" s="1175"/>
      <c r="W2" s="1237">
        <f>T2*Fx_rate</f>
        <v>1718849168.250006</v>
      </c>
      <c r="X2" s="44"/>
      <c r="Y2" s="44"/>
      <c r="AA2" s="7" t="s">
        <v>1515</v>
      </c>
      <c r="AB2" s="7" t="s">
        <v>1516</v>
      </c>
      <c r="AC2" s="7" t="s">
        <v>1517</v>
      </c>
    </row>
    <row r="3" spans="1:39" ht="14.4">
      <c r="A3" s="36" t="s">
        <v>313</v>
      </c>
      <c r="B3" s="1176" t="s">
        <v>314</v>
      </c>
      <c r="C3" s="1176" t="s">
        <v>315</v>
      </c>
      <c r="D3" s="1176" t="s">
        <v>304</v>
      </c>
      <c r="E3" s="1176" t="s">
        <v>316</v>
      </c>
      <c r="F3" s="1177" t="s">
        <v>317</v>
      </c>
      <c r="G3" s="1178" t="s">
        <v>318</v>
      </c>
      <c r="H3" s="1316" t="s">
        <v>319</v>
      </c>
      <c r="I3" s="1316" t="s">
        <v>320</v>
      </c>
      <c r="J3" s="1317" t="s">
        <v>321</v>
      </c>
      <c r="K3" s="1176" t="s">
        <v>322</v>
      </c>
      <c r="L3" s="1180" t="s">
        <v>323</v>
      </c>
      <c r="M3" s="1178" t="s">
        <v>324</v>
      </c>
      <c r="N3" s="1178" t="s">
        <v>325</v>
      </c>
      <c r="O3" s="1178" t="s">
        <v>326</v>
      </c>
      <c r="P3" s="1181" t="s">
        <v>327</v>
      </c>
      <c r="Q3" s="1180" t="s">
        <v>328</v>
      </c>
      <c r="R3" s="1180" t="s">
        <v>329</v>
      </c>
      <c r="S3" s="1182" t="s">
        <v>330</v>
      </c>
      <c r="T3" s="1180" t="s">
        <v>1518</v>
      </c>
      <c r="U3" s="1178" t="s">
        <v>332</v>
      </c>
      <c r="V3" s="1178" t="s">
        <v>333</v>
      </c>
      <c r="W3" s="1179" t="s">
        <v>289</v>
      </c>
      <c r="X3" s="1179" t="s">
        <v>334</v>
      </c>
      <c r="Y3" s="1179" t="s">
        <v>69</v>
      </c>
      <c r="AA3" s="49">
        <f>H2</f>
        <v>3518712026947</v>
      </c>
      <c r="AB3" s="818">
        <f>'Cash balance (Prior period)'!$F$2</f>
        <v>3518712026947</v>
      </c>
      <c r="AC3" s="49">
        <f>AA3-AB3</f>
        <v>0</v>
      </c>
      <c r="AE3" s="7" t="s">
        <v>15</v>
      </c>
      <c r="AF3" s="7" t="s">
        <v>19</v>
      </c>
      <c r="AI3" s="7"/>
    </row>
    <row r="4" spans="1:39">
      <c r="A4" s="1153" t="str">
        <f>VLOOKUP('Cash Balance'!$C4,Table2[#All],MATCH('Cash Balance'!A$3,Acc_Char!$B$1:$I$1,0),0)</f>
        <v>BWID BINH DUONG</v>
      </c>
      <c r="B4" s="1154" t="str">
        <f>VLOOKUP('Cash Balance'!$C4,Table2[#All],MATCH('Cash Balance'!B$3,Acc_Char!$B$1:$I$1,0),0)</f>
        <v>BIDV - THANH XUAN</v>
      </c>
      <c r="C4" s="1183" t="s">
        <v>470</v>
      </c>
      <c r="D4" s="1156" t="str">
        <f>VLOOKUP('Cash Balance'!$C4,Table2[#All],MATCH('Cash Balance'!D$3,Acc_Char!$B$1:$I$1,0),0)</f>
        <v>Current Account</v>
      </c>
      <c r="E4" s="384" t="str">
        <f>VLOOKUP('Cash Balance'!$C4,Table2[#All],MATCH('Cash Balance'!E$3,Acc_Char!$B$1:$I$1,0),0)</f>
        <v>VND</v>
      </c>
      <c r="F4" s="1094" t="e">
        <f>VLOOKUP(C4,'Cash balance (BS)'!A:C,3,)</f>
        <v>#N/A</v>
      </c>
      <c r="G4" s="1157" t="e">
        <f>F4-H4</f>
        <v>#N/A</v>
      </c>
      <c r="H4" s="1318">
        <f>SUMIFS('Cash balance (Prior period)'!F:F,'Cash balance (Prior period)'!C:C,Table11[[#This Row],[ACCOUNT NUMBER]],'Cash balance (Prior period)'!E:E,Table11[[#This Row],[CURRENCY]])</f>
        <v>38115079</v>
      </c>
      <c r="I4" s="1318">
        <f>SUMIFS(Movement!$F$4:$F$2136,Movement!$M$4:$M$2136,"VND",Movement!$C$4:$C$2136,Table11[[#This Row],[ACCOUNT NUMBER]],Movement!$J$4:$J$2136,Table11[[#This Row],[ENTITY]],Movement!$O$4:$O$2136,'Cash Balance'!$A$2)</f>
        <v>0</v>
      </c>
      <c r="J4" s="1318">
        <f>SUMIFS(Movement!$G$4:$G$2136,Movement!$M$4:$M$2136,"VND",Movement!$C$4:$C$2136,Table11[[#This Row],[ACCOUNT NUMBER]],Movement!$J$4:$J$2136,Table11[[#This Row],[ENTITY]],Movement!$O$4:$O$2136,'Cash Balance'!$A$2)</f>
        <v>55000</v>
      </c>
      <c r="K4" s="1084">
        <f>Table11[[#This Row],[CASH IN - CREDIT (VND)]]-Table11[[#This Row],[CASH OUT - DEBIT (VND)]]</f>
        <v>-55000</v>
      </c>
      <c r="L4" s="1095">
        <f t="shared" ref="L4" si="0">H4+I4-J4</f>
        <v>38060079</v>
      </c>
      <c r="M4" s="1184" t="e">
        <f>VLOOKUP(C4,'Cash balance (BS)'!A:D,4,)</f>
        <v>#N/A</v>
      </c>
      <c r="N4" s="1095" t="e">
        <f>Table11[[#This Row],[CLOSING BALANCE (VND)2]]-Table11[[#This Row],[CB_BS (VND)]]</f>
        <v>#N/A</v>
      </c>
      <c r="O4" s="1094">
        <v>0</v>
      </c>
      <c r="P4" s="1095">
        <f t="shared" ref="P4" si="1">O4-Q4</f>
        <v>0</v>
      </c>
      <c r="Q4" s="817">
        <f>SUMIFS('Cash balance (Prior period)'!G:G,'Cash balance (Prior period)'!C:C,Table11[[#This Row],[ACCOUNT NUMBER]],'Cash balance (Prior period)'!E:E,Table11[[#This Row],[CURRENCY]])</f>
        <v>0</v>
      </c>
      <c r="R4" s="817">
        <f>SUMIFS(Movement!$F$4:$F$2136,Movement!$M$4:$M$2136,"USD",Movement!$C$4:$C$2136,Table11[[#This Row],[ACCOUNT NUMBER]],Movement!$J$4:$J$2136,Table11[[#This Row],[ENTITY]],Movement!$O$4:$O$2136,'Cash Balance'!$A$2)</f>
        <v>0</v>
      </c>
      <c r="S4" s="817">
        <f>SUMIFS(Movement!$G$4:$G$2136,Movement!$M$4:$M$2136,"USD",Movement!$C$4:$C$2136,Table11[[#This Row],[ACCOUNT NUMBER]],Movement!$J$4:$J$2136,Table11[[#This Row],[ENTITY]],Movement!$O$4:$O$2136,'Cash Balance'!$A$2)</f>
        <v>0</v>
      </c>
      <c r="T4" s="1087">
        <f t="shared" ref="T4" si="2">Q4+R4-S4</f>
        <v>0</v>
      </c>
      <c r="U4" s="817"/>
      <c r="V4" s="817">
        <f>Table11[[#This Row],[CLOSING BALANCE (USD)]]-Table11[[#This Row],[CB_BS (USD)]]</f>
        <v>0</v>
      </c>
      <c r="W4" s="1156" t="str">
        <f>VLOOKUP('Cash Balance'!$C4,Table2[#All],MATCH('Cash Balance'!W$3,Acc_Char!$B$1:$I$1,0),0)</f>
        <v>BWID JSC</v>
      </c>
      <c r="X4" s="1156" t="str">
        <f>VLOOKUP(IFERROR(MID($Y4,1,FIND("-",$Y4)-2),$Y4),Table3[#All],2,0)</f>
        <v>BIDV</v>
      </c>
      <c r="Y4" s="1156" t="str">
        <f>VLOOKUP($B4,Table4[#All],2,0)</f>
        <v>BIDV - THANH XUAN</v>
      </c>
      <c r="Z4" s="1151"/>
      <c r="AA4" s="49"/>
      <c r="AB4" s="818">
        <v>0</v>
      </c>
      <c r="AC4" s="49">
        <f>SUM(AA4:AA4)-AB4</f>
        <v>0</v>
      </c>
      <c r="AE4" s="818">
        <f>SUM(Table11[[#This Row],[CASH IN - CREDIT (VND)]],Table11[[#This Row],[CASH IN - CREDIT (USD)]])</f>
        <v>0</v>
      </c>
      <c r="AF4" s="818">
        <f>Table11[[#This Row],[CASH OUT - DEBIT (VND)]]+Table11[[#This Row],[CASH OUT - DEBIT (USD)]]</f>
        <v>55000</v>
      </c>
      <c r="AH4" s="1158" t="s">
        <v>466</v>
      </c>
      <c r="AI4" s="49"/>
      <c r="AJ4" s="1158"/>
      <c r="AM4" s="818"/>
    </row>
    <row r="5" spans="1:39">
      <c r="A5" s="1153" t="str">
        <f>VLOOKUP('Cash Balance'!$C5,Table2[#All],MATCH('Cash Balance'!A$3,Acc_Char!$B$1:$I$1,0),0)</f>
        <v>BWID BINH DUONG</v>
      </c>
      <c r="B5" s="1154" t="str">
        <f>VLOOKUP('Cash Balance'!$C5,Table2[#All],MATCH('Cash Balance'!B$3,Acc_Char!$B$1:$I$1,0),0)</f>
        <v>BIDV - THANH XUAN</v>
      </c>
      <c r="C5" s="1183" t="s">
        <v>471</v>
      </c>
      <c r="D5" s="1156" t="str">
        <f>VLOOKUP('Cash Balance'!$C5,Table2[#All],MATCH('Cash Balance'!D$3,Acc_Char!$B$1:$I$1,0),0)</f>
        <v>Current Account</v>
      </c>
      <c r="E5" s="384" t="str">
        <f>VLOOKUP('Cash Balance'!$C5,Table2[#All],MATCH('Cash Balance'!E$3,Acc_Char!$B$1:$I$1,0),0)</f>
        <v>USD</v>
      </c>
      <c r="F5" s="1094" t="e">
        <f>VLOOKUP(C5,'Cash balance (BS)'!A:C,3,)</f>
        <v>#N/A</v>
      </c>
      <c r="G5" s="1157" t="e">
        <f>F5-H5</f>
        <v>#N/A</v>
      </c>
      <c r="H5" s="1318">
        <f>SUMIFS('Cash balance (Prior period)'!F:F,'Cash balance (Prior period)'!C:C,Table11[[#This Row],[ACCOUNT NUMBER]],'Cash balance (Prior period)'!E:E,Table11[[#This Row],[CURRENCY]])</f>
        <v>0</v>
      </c>
      <c r="I5" s="1318">
        <f>SUMIFS(Movement!$F$4:$F$2136,Movement!$M$4:$M$2136,"VND",Movement!$C$4:$C$2136,Table11[[#This Row],[ACCOUNT NUMBER]],Movement!$J$4:$J$2136,Table11[[#This Row],[ENTITY]],Movement!$O$4:$O$2136,'Cash Balance'!$A$2)</f>
        <v>0</v>
      </c>
      <c r="J5" s="1318">
        <f>SUMIFS(Movement!$G$4:$G$2136,Movement!$M$4:$M$2136,"VND",Movement!$C$4:$C$2136,Table11[[#This Row],[ACCOUNT NUMBER]],Movement!$J$4:$J$2136,Table11[[#This Row],[ENTITY]],Movement!$O$4:$O$2136,'Cash Balance'!$A$2)</f>
        <v>0</v>
      </c>
      <c r="K5" s="1084">
        <f>Table11[[#This Row],[CASH IN - CREDIT (VND)]]-Table11[[#This Row],[CASH OUT - DEBIT (VND)]]</f>
        <v>0</v>
      </c>
      <c r="L5" s="1095">
        <f t="shared" ref="L5:L71" si="3">H5+I5-J5</f>
        <v>0</v>
      </c>
      <c r="M5" s="1184" t="e">
        <f>VLOOKUP(C5,'Cash balance (BS)'!A:D,4,)</f>
        <v>#N/A</v>
      </c>
      <c r="N5" s="1095" t="e">
        <f>Table11[[#This Row],[CLOSING BALANCE (VND)2]]-Table11[[#This Row],[CB_BS (VND)]]</f>
        <v>#N/A</v>
      </c>
      <c r="O5" s="1094">
        <v>0</v>
      </c>
      <c r="P5" s="1095">
        <f t="shared" ref="P5:P71" si="4">O5-Q5</f>
        <v>-66.999999999999986</v>
      </c>
      <c r="Q5" s="817">
        <f>SUMIFS('Cash balance (Prior period)'!G:G,'Cash balance (Prior period)'!C:C,Table11[[#This Row],[ACCOUNT NUMBER]],'Cash balance (Prior period)'!E:E,Table11[[#This Row],[CURRENCY]])</f>
        <v>66.999999999999986</v>
      </c>
      <c r="R5" s="817">
        <f>SUMIFS(Movement!$F$4:$F$2136,Movement!$M$4:$M$2136,"USD",Movement!$C$4:$C$2136,Table11[[#This Row],[ACCOUNT NUMBER]],Movement!$J$4:$J$2136,Table11[[#This Row],[ENTITY]],Movement!$O$4:$O$2136,'Cash Balance'!$A$2)</f>
        <v>0</v>
      </c>
      <c r="S5" s="817">
        <f>SUMIFS(Movement!$G$4:$G$2136,Movement!$M$4:$M$2136,"USD",Movement!$C$4:$C$2136,Table11[[#This Row],[ACCOUNT NUMBER]],Movement!$J$4:$J$2136,Table11[[#This Row],[ENTITY]],Movement!$O$4:$O$2136,'Cash Balance'!$A$2)</f>
        <v>2.2000000000000002</v>
      </c>
      <c r="T5" s="1087">
        <f t="shared" ref="T5:T71" si="5">Q5+R5-S5</f>
        <v>64.799999999999983</v>
      </c>
      <c r="U5" s="817"/>
      <c r="V5" s="817">
        <f>Table11[[#This Row],[CLOSING BALANCE (USD)]]-Table11[[#This Row],[CB_BS (USD)]]</f>
        <v>64.799999999999983</v>
      </c>
      <c r="W5" s="1156" t="str">
        <f>VLOOKUP('Cash Balance'!$C5,Table2[#All],MATCH('Cash Balance'!W$3,Acc_Char!$B$1:$I$1,0),0)</f>
        <v>BWID JSC</v>
      </c>
      <c r="X5" s="1156" t="str">
        <f>VLOOKUP(IFERROR(MID($Y5,1,FIND("-",$Y5)-2),$Y5),Table3[#All],2,0)</f>
        <v>BIDV</v>
      </c>
      <c r="Y5" s="1156" t="str">
        <f>VLOOKUP($B5,Table4[#All],2,0)</f>
        <v>BIDV - THANH XUAN</v>
      </c>
      <c r="Z5" s="1151"/>
      <c r="AA5" s="49"/>
      <c r="AE5" s="818">
        <f>SUM(Table11[[#This Row],[CASH IN - CREDIT (VND)]],Table11[[#This Row],[CASH IN - CREDIT (USD)]])</f>
        <v>0</v>
      </c>
      <c r="AF5" s="818">
        <f>Table11[[#This Row],[CASH OUT - DEBIT (VND)]]+Table11[[#This Row],[CASH OUT - DEBIT (USD)]]</f>
        <v>2.2000000000000002</v>
      </c>
      <c r="AH5" s="1158" t="s">
        <v>344</v>
      </c>
      <c r="AI5" s="49"/>
      <c r="AJ5" s="1158"/>
      <c r="AM5" s="818"/>
    </row>
    <row r="6" spans="1:39">
      <c r="A6" s="1153" t="str">
        <f>VLOOKUP('Cash Balance'!$C6,Table2[#All],MATCH('Cash Balance'!A$3,Acc_Char!$B$1:$I$1,0),0)</f>
        <v>BWID BINH DUONG</v>
      </c>
      <c r="B6" s="1154" t="str">
        <f>VLOOKUP('Cash Balance'!$C6,Table2[#All],MATCH('Cash Balance'!B$3,Acc_Char!$B$1:$I$1,0),0)</f>
        <v>VIETCOMBANK - BA DINH</v>
      </c>
      <c r="C6" s="1155" t="s">
        <v>472</v>
      </c>
      <c r="D6" s="1156" t="str">
        <f>VLOOKUP('Cash Balance'!$C6,Table2[#All],MATCH('Cash Balance'!D$3,Acc_Char!$B$1:$I$1,0),0)</f>
        <v>Current Account</v>
      </c>
      <c r="E6" s="384" t="str">
        <f>VLOOKUP('Cash Balance'!$C6,Table2[#All],MATCH('Cash Balance'!E$3,Acc_Char!$B$1:$I$1,0),0)</f>
        <v>VND</v>
      </c>
      <c r="F6" s="1094" t="e">
        <f>VLOOKUP(C6,'Cash balance (BS)'!A:C,3,)</f>
        <v>#N/A</v>
      </c>
      <c r="G6" s="1157" t="e">
        <f>F6-H6</f>
        <v>#N/A</v>
      </c>
      <c r="H6" s="1318">
        <f>SUMIFS('Cash balance (Prior period)'!F:F,'Cash balance (Prior period)'!C:C,Table11[[#This Row],[ACCOUNT NUMBER]],'Cash balance (Prior period)'!E:E,Table11[[#This Row],[CURRENCY]])</f>
        <v>429573040</v>
      </c>
      <c r="I6" s="1318">
        <f>SUMIFS(Movement!$F$4:$F$2136,Movement!$M$4:$M$2136,"VND",Movement!$C$4:$C$2136,Table11[[#This Row],[ACCOUNT NUMBER]],Movement!$J$4:$J$2136,Table11[[#This Row],[ENTITY]],Movement!$O$4:$O$2136,'Cash Balance'!$A$2)</f>
        <v>0</v>
      </c>
      <c r="J6" s="1318">
        <f>SUMIFS(Movement!$G$4:$G$2136,Movement!$M$4:$M$2136,"VND",Movement!$C$4:$C$2136,Table11[[#This Row],[ACCOUNT NUMBER]],Movement!$J$4:$J$2136,Table11[[#This Row],[ENTITY]],Movement!$O$4:$O$2136,'Cash Balance'!$A$2)</f>
        <v>110000</v>
      </c>
      <c r="K6" s="1084">
        <f>Table11[[#This Row],[CASH IN - CREDIT (VND)]]-Table11[[#This Row],[CASH OUT - DEBIT (VND)]]</f>
        <v>-110000</v>
      </c>
      <c r="L6" s="1095">
        <f t="shared" si="3"/>
        <v>429463040</v>
      </c>
      <c r="M6" s="1184" t="e">
        <f>VLOOKUP(C6,'Cash balance (BS)'!A:D,4,)</f>
        <v>#N/A</v>
      </c>
      <c r="N6" s="1095" t="e">
        <f>Table11[[#This Row],[CLOSING BALANCE (VND)2]]-Table11[[#This Row],[CB_BS (VND)]]</f>
        <v>#N/A</v>
      </c>
      <c r="O6" s="1094">
        <v>0</v>
      </c>
      <c r="P6" s="1095">
        <f t="shared" si="4"/>
        <v>0</v>
      </c>
      <c r="Q6" s="817">
        <f>SUMIFS('Cash balance (Prior period)'!G:G,'Cash balance (Prior period)'!C:C,Table11[[#This Row],[ACCOUNT NUMBER]],'Cash balance (Prior period)'!E:E,Table11[[#This Row],[CURRENCY]])</f>
        <v>0</v>
      </c>
      <c r="R6" s="817">
        <f>SUMIFS(Movement!$F$4:$F$2136,Movement!$M$4:$M$2136,"USD",Movement!$C$4:$C$2136,Table11[[#This Row],[ACCOUNT NUMBER]],Movement!$J$4:$J$2136,Table11[[#This Row],[ENTITY]],Movement!$O$4:$O$2136,'Cash Balance'!$A$2)</f>
        <v>0</v>
      </c>
      <c r="S6" s="817">
        <f>SUMIFS(Movement!$G$4:$G$2136,Movement!$M$4:$M$2136,"USD",Movement!$C$4:$C$2136,Table11[[#This Row],[ACCOUNT NUMBER]],Movement!$J$4:$J$2136,Table11[[#This Row],[ENTITY]],Movement!$O$4:$O$2136,'Cash Balance'!$A$2)</f>
        <v>0</v>
      </c>
      <c r="T6" s="1087">
        <f t="shared" si="5"/>
        <v>0</v>
      </c>
      <c r="U6" s="817"/>
      <c r="V6" s="817">
        <f>Table11[[#This Row],[CLOSING BALANCE (USD)]]-Table11[[#This Row],[CB_BS (USD)]]</f>
        <v>0</v>
      </c>
      <c r="W6" s="1156" t="str">
        <f>VLOOKUP('Cash Balance'!$C6,Table2[#All],MATCH('Cash Balance'!W$3,Acc_Char!$B$1:$I$1,0),0)</f>
        <v>BWID JSC</v>
      </c>
      <c r="X6" s="1156" t="str">
        <f>VLOOKUP(IFERROR(MID($Y6,1,FIND("-",$Y6)-2),$Y6),Table3[#All],2,0)</f>
        <v>VCB</v>
      </c>
      <c r="Y6" s="1156" t="str">
        <f>VLOOKUP($B6,Table4[#All],2,0)</f>
        <v>VIETCOMBANK - BA DINH</v>
      </c>
      <c r="Z6" s="1151"/>
      <c r="AA6" s="49"/>
      <c r="AE6" s="818">
        <f>SUM(Table11[[#This Row],[CASH IN - CREDIT (VND)]],Table11[[#This Row],[CASH IN - CREDIT (USD)]])</f>
        <v>0</v>
      </c>
      <c r="AF6" s="818">
        <f>Table11[[#This Row],[CASH OUT - DEBIT (VND)]]+Table11[[#This Row],[CASH OUT - DEBIT (USD)]]</f>
        <v>110000</v>
      </c>
      <c r="AH6" s="1158"/>
      <c r="AI6" s="49"/>
      <c r="AJ6" s="1158"/>
      <c r="AM6" s="818"/>
    </row>
    <row r="7" spans="1:39">
      <c r="A7" s="1153" t="str">
        <f>VLOOKUP('Cash Balance'!$C7,Table2[#All],MATCH('Cash Balance'!A$3,Acc_Char!$B$1:$I$1,0),0)</f>
        <v>BWID BINH DUONG</v>
      </c>
      <c r="B7" s="1154" t="str">
        <f>VLOOKUP('Cash Balance'!$C7,Table2[#All],MATCH('Cash Balance'!B$3,Acc_Char!$B$1:$I$1,0),0)</f>
        <v>VIETCOMBANK - BA DINH</v>
      </c>
      <c r="C7" s="1155" t="s">
        <v>473</v>
      </c>
      <c r="D7" s="1156" t="str">
        <f>VLOOKUP('Cash Balance'!$C7,Table2[#All],MATCH('Cash Balance'!D$3,Acc_Char!$B$1:$I$1,0),0)</f>
        <v>Current Account</v>
      </c>
      <c r="E7" s="384" t="str">
        <f>VLOOKUP('Cash Balance'!$C7,Table2[#All],MATCH('Cash Balance'!E$3,Acc_Char!$B$1:$I$1,0),0)</f>
        <v>USD</v>
      </c>
      <c r="F7" s="1094" t="e">
        <f>VLOOKUP(C7,'Cash balance (BS)'!A:C,3,)</f>
        <v>#N/A</v>
      </c>
      <c r="G7" s="1157" t="e">
        <f>F7-H7</f>
        <v>#N/A</v>
      </c>
      <c r="H7" s="1318">
        <f>SUMIFS('Cash balance (Prior period)'!F:F,'Cash balance (Prior period)'!C:C,Table11[[#This Row],[ACCOUNT NUMBER]],'Cash balance (Prior period)'!E:E,Table11[[#This Row],[CURRENCY]])</f>
        <v>0</v>
      </c>
      <c r="I7" s="1318">
        <f>SUMIFS(Movement!$F$4:$F$2136,Movement!$M$4:$M$2136,"VND",Movement!$C$4:$C$2136,Table11[[#This Row],[ACCOUNT NUMBER]],Movement!$J$4:$J$2136,Table11[[#This Row],[ENTITY]],Movement!$O$4:$O$2136,'Cash Balance'!$A$2)</f>
        <v>0</v>
      </c>
      <c r="J7" s="1318">
        <f>SUMIFS(Movement!$G$4:$G$2136,Movement!$M$4:$M$2136,"VND",Movement!$C$4:$C$2136,Table11[[#This Row],[ACCOUNT NUMBER]],Movement!$J$4:$J$2136,Table11[[#This Row],[ENTITY]],Movement!$O$4:$O$2136,'Cash Balance'!$A$2)</f>
        <v>0</v>
      </c>
      <c r="K7" s="1084">
        <f>Table11[[#This Row],[CASH IN - CREDIT (VND)]]-Table11[[#This Row],[CASH OUT - DEBIT (VND)]]</f>
        <v>0</v>
      </c>
      <c r="L7" s="1095">
        <f t="shared" si="3"/>
        <v>0</v>
      </c>
      <c r="M7" s="1184" t="e">
        <f>VLOOKUP(C7,'Cash balance (BS)'!A:D,4,)</f>
        <v>#N/A</v>
      </c>
      <c r="N7" s="1095" t="e">
        <f>Table11[[#This Row],[CLOSING BALANCE (VND)2]]-Table11[[#This Row],[CB_BS (VND)]]</f>
        <v>#N/A</v>
      </c>
      <c r="O7" s="1094">
        <v>0</v>
      </c>
      <c r="P7" s="1095">
        <f t="shared" si="4"/>
        <v>-642.68999999999994</v>
      </c>
      <c r="Q7" s="817">
        <f>SUMIFS('Cash balance (Prior period)'!G:G,'Cash balance (Prior period)'!C:C,Table11[[#This Row],[ACCOUNT NUMBER]],'Cash balance (Prior period)'!E:E,Table11[[#This Row],[CURRENCY]])</f>
        <v>642.68999999999994</v>
      </c>
      <c r="R7" s="817">
        <f>SUMIFS(Movement!$F$4:$F$2136,Movement!$M$4:$M$2136,"USD",Movement!$C$4:$C$2136,Table11[[#This Row],[ACCOUNT NUMBER]],Movement!$J$4:$J$2136,Table11[[#This Row],[ENTITY]],Movement!$O$4:$O$2136,'Cash Balance'!$A$2)</f>
        <v>0</v>
      </c>
      <c r="S7" s="817">
        <f>SUMIFS(Movement!$G$4:$G$2136,Movement!$M$4:$M$2136,"USD",Movement!$C$4:$C$2136,Table11[[#This Row],[ACCOUNT NUMBER]],Movement!$J$4:$J$2136,Table11[[#This Row],[ENTITY]],Movement!$O$4:$O$2136,'Cash Balance'!$A$2)</f>
        <v>0</v>
      </c>
      <c r="T7" s="1087">
        <f t="shared" si="5"/>
        <v>642.68999999999994</v>
      </c>
      <c r="U7" s="817"/>
      <c r="V7" s="817">
        <f>Table11[[#This Row],[CLOSING BALANCE (USD)]]-Table11[[#This Row],[CB_BS (USD)]]</f>
        <v>642.68999999999994</v>
      </c>
      <c r="W7" s="1156" t="str">
        <f>VLOOKUP('Cash Balance'!$C7,Table2[#All],MATCH('Cash Balance'!W$3,Acc_Char!$B$1:$I$1,0),0)</f>
        <v>BWID JSC</v>
      </c>
      <c r="X7" s="1156" t="str">
        <f>VLOOKUP(IFERROR(MID($Y7,1,FIND("-",$Y7)-2),$Y7),Table3[#All],2,0)</f>
        <v>VCB</v>
      </c>
      <c r="Y7" s="1156" t="str">
        <f>VLOOKUP($B7,Table4[#All],2,0)</f>
        <v>VIETCOMBANK - BA DINH</v>
      </c>
      <c r="Z7" s="1151"/>
      <c r="AA7" s="49"/>
      <c r="AE7" s="818">
        <f>SUM(Table11[[#This Row],[CASH IN - CREDIT (VND)]],Table11[[#This Row],[CASH IN - CREDIT (USD)]])</f>
        <v>0</v>
      </c>
      <c r="AF7" s="818">
        <f>Table11[[#This Row],[CASH OUT - DEBIT (VND)]]+Table11[[#This Row],[CASH OUT - DEBIT (USD)]]</f>
        <v>0</v>
      </c>
      <c r="AH7" s="1158"/>
      <c r="AI7" s="49"/>
      <c r="AJ7" s="1158"/>
      <c r="AM7" s="818"/>
    </row>
    <row r="8" spans="1:39" ht="14.4">
      <c r="A8" s="1153" t="str">
        <f>VLOOKUP('Cash Balance'!$C8,Table2[#All],MATCH('Cash Balance'!A$3,Acc_Char!$B$1:$I$1,0),0)</f>
        <v>BWID BINH DUONG</v>
      </c>
      <c r="B8" s="1154" t="str">
        <f>VLOOKUP('Cash Balance'!$C8,Table2[#All],MATCH('Cash Balance'!B$3,Acc_Char!$B$1:$I$1,0),0)</f>
        <v>VIETCOMBANK - HCM</v>
      </c>
      <c r="C8" s="1155" t="s">
        <v>474</v>
      </c>
      <c r="D8" s="1156" t="str">
        <f>VLOOKUP('Cash Balance'!$C8,Table2[#All],MATCH('Cash Balance'!D$3,Acc_Char!$B$1:$I$1,0),0)</f>
        <v>Capital Account</v>
      </c>
      <c r="E8" s="384" t="str">
        <f>VLOOKUP('Cash Balance'!$C8,Table2[#All],MATCH('Cash Balance'!E$3,Acc_Char!$B$1:$I$1,0),0)</f>
        <v>USD</v>
      </c>
      <c r="F8" s="1094"/>
      <c r="G8" s="1157"/>
      <c r="H8" s="1318">
        <f>SUMIFS('Cash balance (Prior period)'!F:F,'Cash balance (Prior period)'!C:C,Table11[[#This Row],[ACCOUNT NUMBER]],'Cash balance (Prior period)'!E:E,Table11[[#This Row],[CURRENCY]])</f>
        <v>0</v>
      </c>
      <c r="I8" s="1318">
        <f>SUMIFS(Movement!$F$4:$F$2136,Movement!$M$4:$M$2136,"VND",Movement!$C$4:$C$2136,Table11[[#This Row],[ACCOUNT NUMBER]],Movement!$J$4:$J$2136,Table11[[#This Row],[ENTITY]],Movement!$O$4:$O$2136,'Cash Balance'!$A$2)</f>
        <v>0</v>
      </c>
      <c r="J8" s="1318">
        <f>SUMIFS(Movement!$G$4:$G$2136,Movement!$M$4:$M$2136,"VND",Movement!$C$4:$C$2136,Table11[[#This Row],[ACCOUNT NUMBER]],Movement!$J$4:$J$2136,Table11[[#This Row],[ENTITY]],Movement!$O$4:$O$2136,'Cash Balance'!$A$2)</f>
        <v>0</v>
      </c>
      <c r="K8" s="1084">
        <f>Table11[[#This Row],[CASH IN - CREDIT (VND)]]-Table11[[#This Row],[CASH OUT - DEBIT (VND)]]</f>
        <v>0</v>
      </c>
      <c r="L8" s="1095">
        <f t="shared" si="3"/>
        <v>0</v>
      </c>
      <c r="M8" s="1184" t="e">
        <f>VLOOKUP(C8,'Cash balance (BS)'!A:D,4,)</f>
        <v>#N/A</v>
      </c>
      <c r="N8" s="1095" t="e">
        <f>Table11[[#This Row],[CLOSING BALANCE (VND)2]]-Table11[[#This Row],[CB_BS (VND)]]</f>
        <v>#N/A</v>
      </c>
      <c r="O8" s="1094">
        <v>0</v>
      </c>
      <c r="P8" s="1095">
        <f t="shared" si="4"/>
        <v>-748.6</v>
      </c>
      <c r="Q8" s="817">
        <f>SUMIFS('Cash balance (Prior period)'!G:G,'Cash balance (Prior period)'!C:C,Table11[[#This Row],[ACCOUNT NUMBER]],'Cash balance (Prior period)'!E:E,Table11[[#This Row],[CURRENCY]])</f>
        <v>748.6</v>
      </c>
      <c r="R8" s="817">
        <f>SUMIFS(Movement!$F$4:$F$2136,Movement!$M$4:$M$2136,"USD",Movement!$C$4:$C$2136,Table11[[#This Row],[ACCOUNT NUMBER]],Movement!$J$4:$J$2136,Table11[[#This Row],[ENTITY]],Movement!$O$4:$O$2136,'Cash Balance'!$A$2)</f>
        <v>0</v>
      </c>
      <c r="S8" s="817">
        <f>SUMIFS(Movement!$G$4:$G$2136,Movement!$M$4:$M$2136,"USD",Movement!$C$4:$C$2136,Table11[[#This Row],[ACCOUNT NUMBER]],Movement!$J$4:$J$2136,Table11[[#This Row],[ENTITY]],Movement!$O$4:$O$2136,'Cash Balance'!$A$2)</f>
        <v>0</v>
      </c>
      <c r="T8" s="1087">
        <f>Q8+R8-S8</f>
        <v>748.6</v>
      </c>
      <c r="U8" s="817" t="e">
        <f>VLOOKUP(C8,'Cash balance (BS)'!A:D,4,)</f>
        <v>#N/A</v>
      </c>
      <c r="V8" s="817" t="e">
        <f>Table11[[#This Row],[CLOSING BALANCE (USD)]]-Table11[[#This Row],[CB_BS (USD)]]</f>
        <v>#N/A</v>
      </c>
      <c r="W8" s="1156" t="str">
        <f>VLOOKUP('Cash Balance'!$C8,Table2[#All],MATCH('Cash Balance'!W$3,Acc_Char!$B$1:$I$1,0),0)</f>
        <v>BWID JSC</v>
      </c>
      <c r="X8" s="1156" t="str">
        <f>VLOOKUP(IFERROR(MID($Y8,1,FIND("-",$Y8)-2),$Y8),Table3[#All],2,0)</f>
        <v>VCB</v>
      </c>
      <c r="Y8" s="1156" t="str">
        <f>VLOOKUP($B8,Table4[#All],2,0)</f>
        <v>VIETCOMBANK - HCM</v>
      </c>
      <c r="Z8" s="1151"/>
      <c r="AA8" s="49"/>
      <c r="AE8" s="818">
        <f>SUM(Table11[[#This Row],[CASH IN - CREDIT (VND)]],Table11[[#This Row],[CASH IN - CREDIT (USD)]])</f>
        <v>0</v>
      </c>
      <c r="AF8" s="818">
        <f>Table11[[#This Row],[CASH OUT - DEBIT (VND)]]+Table11[[#This Row],[CASH OUT - DEBIT (USD)]]</f>
        <v>0</v>
      </c>
      <c r="AH8" s="1158"/>
      <c r="AI8" s="49"/>
      <c r="AJ8" s="1158"/>
      <c r="AL8"/>
    </row>
    <row r="9" spans="1:39" ht="14.4">
      <c r="A9" s="1153" t="str">
        <f>VLOOKUP('Cash Balance'!$C9,Table2[#All],MATCH('Cash Balance'!A$3,Acc_Char!$B$1:$I$1,0),0)</f>
        <v>BWID BINH DUONG</v>
      </c>
      <c r="B9" s="1154" t="str">
        <f>VLOOKUP('Cash Balance'!$C9,Table2[#All],MATCH('Cash Balance'!B$3,Acc_Char!$B$1:$I$1,0),0)</f>
        <v>VIETCOMBANK - HCM</v>
      </c>
      <c r="C9" s="1155" t="s">
        <v>475</v>
      </c>
      <c r="D9" s="1156" t="str">
        <f>VLOOKUP('Cash Balance'!$C9,Table2[#All],MATCH('Cash Balance'!D$3,Acc_Char!$B$1:$I$1,0),0)</f>
        <v>Capital Account</v>
      </c>
      <c r="E9" s="384" t="str">
        <f>VLOOKUP('Cash Balance'!$C9,Table2[#All],MATCH('Cash Balance'!E$3,Acc_Char!$B$1:$I$1,0),0)</f>
        <v>VND</v>
      </c>
      <c r="F9" s="1094" t="e">
        <f>VLOOKUP(C9,'Cash balance (BS)'!A:C,3,)</f>
        <v>#N/A</v>
      </c>
      <c r="G9" s="1157" t="e">
        <f>F9-H9</f>
        <v>#N/A</v>
      </c>
      <c r="H9" s="1318">
        <f>SUMIFS('Cash balance (Prior period)'!F:F,'Cash balance (Prior period)'!C:C,Table11[[#This Row],[ACCOUNT NUMBER]],'Cash balance (Prior period)'!E:E,Table11[[#This Row],[CURRENCY]])</f>
        <v>43003425</v>
      </c>
      <c r="I9" s="1318">
        <f>SUMIFS(Movement!$F$4:$F$2136,Movement!$M$4:$M$2136,"VND",Movement!$C$4:$C$2136,Table11[[#This Row],[ACCOUNT NUMBER]],Movement!$J$4:$J$2136,Table11[[#This Row],[ENTITY]],Movement!$O$4:$O$2136,'Cash Balance'!$A$2)</f>
        <v>0</v>
      </c>
      <c r="J9" s="1318">
        <f>SUMIFS(Movement!$G$4:$G$2136,Movement!$M$4:$M$2136,"VND",Movement!$C$4:$C$2136,Table11[[#This Row],[ACCOUNT NUMBER]],Movement!$J$4:$J$2136,Table11[[#This Row],[ENTITY]],Movement!$O$4:$O$2136,'Cash Balance'!$A$2)</f>
        <v>0</v>
      </c>
      <c r="K9" s="1084">
        <f>Table11[[#This Row],[CASH IN - CREDIT (VND)]]-Table11[[#This Row],[CASH OUT - DEBIT (VND)]]</f>
        <v>0</v>
      </c>
      <c r="L9" s="1095">
        <f t="shared" si="3"/>
        <v>43003425</v>
      </c>
      <c r="M9" s="1184" t="e">
        <f>VLOOKUP(C9,'Cash balance (BS)'!A:D,4,)</f>
        <v>#N/A</v>
      </c>
      <c r="N9" s="1095" t="e">
        <f>Table11[[#This Row],[CLOSING BALANCE (VND)2]]-Table11[[#This Row],[CB_BS (VND)]]</f>
        <v>#N/A</v>
      </c>
      <c r="O9" s="1094">
        <v>0</v>
      </c>
      <c r="P9" s="1095">
        <f t="shared" si="4"/>
        <v>0</v>
      </c>
      <c r="Q9" s="817">
        <f>SUMIFS('Cash balance (Prior period)'!G:G,'Cash balance (Prior period)'!C:C,Table11[[#This Row],[ACCOUNT NUMBER]],'Cash balance (Prior period)'!E:E,Table11[[#This Row],[CURRENCY]])</f>
        <v>0</v>
      </c>
      <c r="R9" s="817">
        <f>SUMIFS(Movement!$F$4:$F$2136,Movement!$M$4:$M$2136,"USD",Movement!$C$4:$C$2136,Table11[[#This Row],[ACCOUNT NUMBER]],Movement!$J$4:$J$2136,Table11[[#This Row],[ENTITY]],Movement!$O$4:$O$2136,'Cash Balance'!$A$2)</f>
        <v>0</v>
      </c>
      <c r="S9" s="817">
        <f>SUMIFS(Movement!$G$4:$G$2136,Movement!$M$4:$M$2136,"USD",Movement!$C$4:$C$2136,Table11[[#This Row],[ACCOUNT NUMBER]],Movement!$J$4:$J$2136,Table11[[#This Row],[ENTITY]],Movement!$O$4:$O$2136,'Cash Balance'!$A$2)</f>
        <v>0</v>
      </c>
      <c r="T9" s="1087">
        <f t="shared" si="5"/>
        <v>0</v>
      </c>
      <c r="U9" s="817"/>
      <c r="V9" s="817">
        <f>Table11[[#This Row],[CLOSING BALANCE (USD)]]-Table11[[#This Row],[CB_BS (USD)]]</f>
        <v>0</v>
      </c>
      <c r="W9" s="1156" t="str">
        <f>VLOOKUP('Cash Balance'!$C9,Table2[#All],MATCH('Cash Balance'!W$3,Acc_Char!$B$1:$I$1,0),0)</f>
        <v>BWID JSC</v>
      </c>
      <c r="X9" s="1156" t="str">
        <f>VLOOKUP(IFERROR(MID($Y9,1,FIND("-",$Y9)-2),$Y9),Table3[#All],2,0)</f>
        <v>VCB</v>
      </c>
      <c r="Y9" s="1156" t="str">
        <f>VLOOKUP($B9,Table4[#All],2,0)</f>
        <v>VIETCOMBANK - HCM</v>
      </c>
      <c r="Z9" s="1151"/>
      <c r="AA9" s="49"/>
      <c r="AE9" s="818">
        <f>SUM(Table11[[#This Row],[CASH IN - CREDIT (VND)]],Table11[[#This Row],[CASH IN - CREDIT (USD)]])</f>
        <v>0</v>
      </c>
      <c r="AF9" s="818">
        <f>Table11[[#This Row],[CASH OUT - DEBIT (VND)]]+Table11[[#This Row],[CASH OUT - DEBIT (USD)]]</f>
        <v>0</v>
      </c>
      <c r="AH9" s="1158"/>
      <c r="AI9" s="49"/>
      <c r="AJ9" s="1158"/>
      <c r="AL9"/>
    </row>
    <row r="10" spans="1:39" ht="14.4">
      <c r="A10" s="1153" t="str">
        <f>VLOOKUP('Cash Balance'!$C10,Table2[#All],MATCH('Cash Balance'!A$3,Acc_Char!$B$1:$I$1,0),0)</f>
        <v>BWID BINH DUONG</v>
      </c>
      <c r="B10" s="1154" t="str">
        <f>VLOOKUP('Cash Balance'!$C10,Table2[#All],MATCH('Cash Balance'!B$3,Acc_Char!$B$1:$I$1,0),0)</f>
        <v>VIETCOMBANK - HCM</v>
      </c>
      <c r="C10" s="1155" t="s">
        <v>476</v>
      </c>
      <c r="D10" s="1156" t="str">
        <f>VLOOKUP('Cash Balance'!$C10,Table2[#All],MATCH('Cash Balance'!D$3,Acc_Char!$B$1:$I$1,0),0)</f>
        <v>Current Account</v>
      </c>
      <c r="E10" s="384" t="str">
        <f>VLOOKUP('Cash Balance'!$C10,Table2[#All],MATCH('Cash Balance'!E$3,Acc_Char!$B$1:$I$1,0),0)</f>
        <v>USD</v>
      </c>
      <c r="F10" s="1094" t="e">
        <f>VLOOKUP(C10,'Cash balance (BS)'!A:C,3,)</f>
        <v>#N/A</v>
      </c>
      <c r="G10" s="1157" t="e">
        <f>F10-H10</f>
        <v>#N/A</v>
      </c>
      <c r="H10" s="1318">
        <f>SUMIFS('Cash balance (Prior period)'!F:F,'Cash balance (Prior period)'!C:C,Table11[[#This Row],[ACCOUNT NUMBER]],'Cash balance (Prior period)'!E:E,Table11[[#This Row],[CURRENCY]])</f>
        <v>0</v>
      </c>
      <c r="I10" s="1318">
        <f>SUMIFS(Movement!$F$4:$F$2136,Movement!$M$4:$M$2136,"VND",Movement!$C$4:$C$2136,Table11[[#This Row],[ACCOUNT NUMBER]],Movement!$J$4:$J$2136,Table11[[#This Row],[ENTITY]],Movement!$O$4:$O$2136,'Cash Balance'!$A$2)</f>
        <v>0</v>
      </c>
      <c r="J10" s="1318">
        <f>SUMIFS(Movement!$G$4:$G$2136,Movement!$M$4:$M$2136,"VND",Movement!$C$4:$C$2136,Table11[[#This Row],[ACCOUNT NUMBER]],Movement!$J$4:$J$2136,Table11[[#This Row],[ENTITY]],Movement!$O$4:$O$2136,'Cash Balance'!$A$2)</f>
        <v>0</v>
      </c>
      <c r="K10" s="1084">
        <f>Table11[[#This Row],[CASH IN - CREDIT (VND)]]-Table11[[#This Row],[CASH OUT - DEBIT (VND)]]</f>
        <v>0</v>
      </c>
      <c r="L10" s="1095">
        <f t="shared" si="3"/>
        <v>0</v>
      </c>
      <c r="M10" s="1184" t="e">
        <f>VLOOKUP(C10,'Cash balance (BS)'!A:D,4,)</f>
        <v>#N/A</v>
      </c>
      <c r="N10" s="1095" t="e">
        <f>Table11[[#This Row],[CLOSING BALANCE (VND)2]]-Table11[[#This Row],[CB_BS (VND)]]</f>
        <v>#N/A</v>
      </c>
      <c r="O10" s="1094">
        <v>0</v>
      </c>
      <c r="P10" s="1095">
        <f t="shared" si="4"/>
        <v>-319.76</v>
      </c>
      <c r="Q10" s="817">
        <f>SUMIFS('Cash balance (Prior period)'!G:G,'Cash balance (Prior period)'!C:C,Table11[[#This Row],[ACCOUNT NUMBER]],'Cash balance (Prior period)'!E:E,Table11[[#This Row],[CURRENCY]])</f>
        <v>319.76</v>
      </c>
      <c r="R10" s="817">
        <f>SUMIFS(Movement!$F$4:$F$2136,Movement!$M$4:$M$2136,"USD",Movement!$C$4:$C$2136,Table11[[#This Row],[ACCOUNT NUMBER]],Movement!$J$4:$J$2136,Table11[[#This Row],[ENTITY]],Movement!$O$4:$O$2136,'Cash Balance'!$A$2)</f>
        <v>0</v>
      </c>
      <c r="S10" s="817">
        <f>SUMIFS(Movement!$G$4:$G$2136,Movement!$M$4:$M$2136,"USD",Movement!$C$4:$C$2136,Table11[[#This Row],[ACCOUNT NUMBER]],Movement!$J$4:$J$2136,Table11[[#This Row],[ENTITY]],Movement!$O$4:$O$2136,'Cash Balance'!$A$2)</f>
        <v>0</v>
      </c>
      <c r="T10" s="1087">
        <f t="shared" si="5"/>
        <v>319.76</v>
      </c>
      <c r="U10" s="817"/>
      <c r="V10" s="817">
        <f>Table11[[#This Row],[CLOSING BALANCE (USD)]]-Table11[[#This Row],[CB_BS (USD)]]</f>
        <v>319.76</v>
      </c>
      <c r="W10" s="1156" t="str">
        <f>VLOOKUP('Cash Balance'!$C10,Table2[#All],MATCH('Cash Balance'!W$3,Acc_Char!$B$1:$I$1,0),0)</f>
        <v>BWID JSC</v>
      </c>
      <c r="X10" s="1156" t="str">
        <f>VLOOKUP(IFERROR(MID($Y10,1,FIND("-",$Y10)-2),$Y10),Table3[#All],2,0)</f>
        <v>VCB</v>
      </c>
      <c r="Y10" s="1156" t="str">
        <f>VLOOKUP($B10,Table4[#All],2,0)</f>
        <v>VIETCOMBANK - HCM</v>
      </c>
      <c r="Z10" s="1151"/>
      <c r="AA10" s="49"/>
      <c r="AE10" s="818">
        <f>SUM(Table11[[#This Row],[CASH IN - CREDIT (VND)]],Table11[[#This Row],[CASH IN - CREDIT (USD)]])</f>
        <v>0</v>
      </c>
      <c r="AF10" s="818">
        <f>Table11[[#This Row],[CASH OUT - DEBIT (VND)]]+Table11[[#This Row],[CASH OUT - DEBIT (USD)]]</f>
        <v>0</v>
      </c>
      <c r="AH10" s="1158"/>
      <c r="AI10" s="49"/>
      <c r="AJ10" s="1158"/>
      <c r="AL10"/>
    </row>
    <row r="11" spans="1:39" ht="14.4">
      <c r="A11" s="1153" t="str">
        <f>VLOOKUP('Cash Balance'!$C11,Table2[#All],MATCH('Cash Balance'!A$3,Acc_Char!$B$1:$I$1,0),0)</f>
        <v>BWID BINH DUONG</v>
      </c>
      <c r="B11" s="1154" t="str">
        <f>VLOOKUP('Cash Balance'!$C11,Table2[#All],MATCH('Cash Balance'!B$3,Acc_Char!$B$1:$I$1,0),0)</f>
        <v>VIETCOMBANK - HCM</v>
      </c>
      <c r="C11" s="1156" t="s">
        <v>5390</v>
      </c>
      <c r="D11" s="1156" t="str">
        <f>VLOOKUP('Cash Balance'!$C11,Table2[#All],MATCH('Cash Balance'!D$3,Acc_Char!$B$1:$I$1,0),0)</f>
        <v>Saving Account</v>
      </c>
      <c r="E11" s="384" t="str">
        <f>VLOOKUP('Cash Balance'!$C11,Table2[#All],MATCH('Cash Balance'!E$3,Acc_Char!$B$1:$I$1,0),0)</f>
        <v>VND</v>
      </c>
      <c r="F11" s="1094" t="e">
        <f>VLOOKUP(C11,'Cash balance (BS)'!A:C,3,)</f>
        <v>#N/A</v>
      </c>
      <c r="G11" s="1157" t="e">
        <f>F11-H11</f>
        <v>#N/A</v>
      </c>
      <c r="H11" s="1318">
        <f>SUMIFS('Cash balance (Prior period)'!F:F,'Cash balance (Prior period)'!C:C,Table11[[#This Row],[ACCOUNT NUMBER]],'Cash balance (Prior period)'!E:E,Table11[[#This Row],[CURRENCY]])</f>
        <v>100000000</v>
      </c>
      <c r="I11" s="1318">
        <f>SUMIFS(Movement!$F$4:$F$2136,Movement!$M$4:$M$2136,"VND",Movement!$C$4:$C$2136,Table11[[#This Row],[ACCOUNT NUMBER]],Movement!$J$4:$J$2136,Table11[[#This Row],[ENTITY]],Movement!$O$4:$O$2136,'Cash Balance'!$A$2)</f>
        <v>0</v>
      </c>
      <c r="J11" s="1318">
        <f>SUMIFS(Movement!$G$4:$G$2136,Movement!$M$4:$M$2136,"VND",Movement!$C$4:$C$2136,Table11[[#This Row],[ACCOUNT NUMBER]],Movement!$J$4:$J$2136,Table11[[#This Row],[ENTITY]],Movement!$O$4:$O$2136,'Cash Balance'!$A$2)</f>
        <v>0</v>
      </c>
      <c r="K11" s="1084">
        <f>Table11[[#This Row],[CASH IN - CREDIT (VND)]]-Table11[[#This Row],[CASH OUT - DEBIT (VND)]]</f>
        <v>0</v>
      </c>
      <c r="L11" s="1095">
        <f t="shared" si="3"/>
        <v>100000000</v>
      </c>
      <c r="M11" s="1184" t="e">
        <f>VLOOKUP(C11,'Cash balance (BS)'!A:D,4,)</f>
        <v>#N/A</v>
      </c>
      <c r="N11" s="1095" t="e">
        <f>Table11[[#This Row],[CLOSING BALANCE (VND)2]]-Table11[[#This Row],[CB_BS (VND)]]</f>
        <v>#N/A</v>
      </c>
      <c r="O11" s="1094">
        <v>0</v>
      </c>
      <c r="P11" s="1095">
        <f t="shared" si="4"/>
        <v>0</v>
      </c>
      <c r="Q11" s="817">
        <f>SUMIFS('Cash balance (Prior period)'!G:G,'Cash balance (Prior period)'!C:C,Table11[[#This Row],[ACCOUNT NUMBER]],'Cash balance (Prior period)'!E:E,Table11[[#This Row],[CURRENCY]])</f>
        <v>0</v>
      </c>
      <c r="R11" s="817">
        <f>SUMIFS(Movement!$F$4:$F$2136,Movement!$M$4:$M$2136,"USD",Movement!$C$4:$C$2136,Table11[[#This Row],[ACCOUNT NUMBER]],Movement!$J$4:$J$2136,Table11[[#This Row],[ENTITY]],Movement!$O$4:$O$2136,'Cash Balance'!$A$2)</f>
        <v>0</v>
      </c>
      <c r="S11" s="817">
        <f>SUMIFS(Movement!$G$4:$G$2136,Movement!$M$4:$M$2136,"USD",Movement!$C$4:$C$2136,Table11[[#This Row],[ACCOUNT NUMBER]],Movement!$J$4:$J$2136,Table11[[#This Row],[ENTITY]],Movement!$O$4:$O$2136,'Cash Balance'!$A$2)</f>
        <v>0</v>
      </c>
      <c r="T11" s="1087">
        <f t="shared" si="5"/>
        <v>0</v>
      </c>
      <c r="U11" s="817"/>
      <c r="V11" s="817">
        <f>Table11[[#This Row],[CLOSING BALANCE (USD)]]-Table11[[#This Row],[CB_BS (USD)]]</f>
        <v>0</v>
      </c>
      <c r="W11" s="1156" t="str">
        <f>VLOOKUP('Cash Balance'!$C11,Table2[#All],MATCH('Cash Balance'!W$3,Acc_Char!$B$1:$I$1,0),0)</f>
        <v>BWID JSC</v>
      </c>
      <c r="X11" s="1156" t="str">
        <f>VLOOKUP(IFERROR(MID($Y11,1,FIND("-",$Y11)-2),$Y11),Table3[#All],2,0)</f>
        <v>VCB</v>
      </c>
      <c r="Y11" s="1156" t="str">
        <f>VLOOKUP($B11,Table4[#All],2,0)</f>
        <v>VIETCOMBANK - HCM</v>
      </c>
      <c r="Z11" s="1151"/>
      <c r="AA11" s="49"/>
      <c r="AE11" s="818">
        <f>SUM(Table11[[#This Row],[CASH IN - CREDIT (VND)]],Table11[[#This Row],[CASH IN - CREDIT (USD)]])</f>
        <v>0</v>
      </c>
      <c r="AF11" s="818">
        <f>Table11[[#This Row],[CASH OUT - DEBIT (VND)]]+Table11[[#This Row],[CASH OUT - DEBIT (USD)]]</f>
        <v>0</v>
      </c>
      <c r="AH11" s="1158"/>
      <c r="AI11" s="49"/>
      <c r="AJ11" s="1158"/>
      <c r="AL11"/>
    </row>
    <row r="12" spans="1:39" ht="14.4">
      <c r="A12" s="1153" t="str">
        <f>VLOOKUP('Cash Balance'!$C12,Table2[#All],MATCH('Cash Balance'!A$3,Acc_Char!$B$1:$I$1,0),0)</f>
        <v>BWID BINH DUONG</v>
      </c>
      <c r="B12" s="1154" t="str">
        <f>VLOOKUP('Cash Balance'!$C12,Table2[#All],MATCH('Cash Balance'!B$3,Acc_Char!$B$1:$I$1,0),0)</f>
        <v>VIETCOMBANK - HCM</v>
      </c>
      <c r="C12" s="1155" t="s">
        <v>477</v>
      </c>
      <c r="D12" s="1156" t="str">
        <f>VLOOKUP('Cash Balance'!$C12,Table2[#All],MATCH('Cash Balance'!D$3,Acc_Char!$B$1:$I$1,0),0)</f>
        <v>Current Account</v>
      </c>
      <c r="E12" s="384" t="str">
        <f>VLOOKUP('Cash Balance'!$C12,Table2[#All],MATCH('Cash Balance'!E$3,Acc_Char!$B$1:$I$1,0),0)</f>
        <v>VND</v>
      </c>
      <c r="F12" s="1094"/>
      <c r="G12" s="1157"/>
      <c r="H12" s="1318">
        <f>SUMIFS('Cash balance (Prior period)'!F:F,'Cash balance (Prior period)'!C:C,Table11[[#This Row],[ACCOUNT NUMBER]],'Cash balance (Prior period)'!E:E,Table11[[#This Row],[CURRENCY]])</f>
        <v>39111001</v>
      </c>
      <c r="I12" s="1318">
        <f>SUMIFS(Movement!$F$4:$F$2136,Movement!$M$4:$M$2136,"VND",Movement!$C$4:$C$2136,Table11[[#This Row],[ACCOUNT NUMBER]],Movement!$J$4:$J$2136,Table11[[#This Row],[ENTITY]],Movement!$O$4:$O$2136,'Cash Balance'!$A$2)</f>
        <v>127397</v>
      </c>
      <c r="J12" s="1318">
        <f>SUMIFS(Movement!$G$4:$G$2136,Movement!$M$4:$M$2136,"VND",Movement!$C$4:$C$2136,Table11[[#This Row],[ACCOUNT NUMBER]],Movement!$J$4:$J$2136,Table11[[#This Row],[ENTITY]],Movement!$O$4:$O$2136,'Cash Balance'!$A$2)</f>
        <v>0</v>
      </c>
      <c r="K12" s="1084">
        <f>Table11[[#This Row],[CASH IN - CREDIT (VND)]]-Table11[[#This Row],[CASH OUT - DEBIT (VND)]]</f>
        <v>127397</v>
      </c>
      <c r="L12" s="1095">
        <f>H12+I12-J12</f>
        <v>39238398</v>
      </c>
      <c r="M12" s="1184" t="e">
        <f>VLOOKUP(C12,'Cash balance (BS)'!A:D,4,)</f>
        <v>#N/A</v>
      </c>
      <c r="N12" s="1095" t="e">
        <f>Table11[[#This Row],[CLOSING BALANCE (VND)2]]-Table11[[#This Row],[CB_BS (VND)]]</f>
        <v>#N/A</v>
      </c>
      <c r="O12" s="1094">
        <v>0</v>
      </c>
      <c r="P12" s="1095">
        <f t="shared" si="4"/>
        <v>0</v>
      </c>
      <c r="Q12" s="817">
        <f>SUMIFS('Cash balance (Prior period)'!G:G,'Cash balance (Prior period)'!C:C,Table11[[#This Row],[ACCOUNT NUMBER]],'Cash balance (Prior period)'!E:E,Table11[[#This Row],[CURRENCY]])</f>
        <v>0</v>
      </c>
      <c r="R12" s="817">
        <f>SUMIFS(Movement!$F$4:$F$2136,Movement!$M$4:$M$2136,"USD",Movement!$C$4:$C$2136,Table11[[#This Row],[ACCOUNT NUMBER]],Movement!$J$4:$J$2136,Table11[[#This Row],[ENTITY]],Movement!$O$4:$O$2136,'Cash Balance'!$A$2)</f>
        <v>0</v>
      </c>
      <c r="S12" s="817">
        <f>SUMIFS(Movement!$G$4:$G$2136,Movement!$M$4:$M$2136,"USD",Movement!$C$4:$C$2136,Table11[[#This Row],[ACCOUNT NUMBER]],Movement!$J$4:$J$2136,Table11[[#This Row],[ENTITY]],Movement!$O$4:$O$2136,'Cash Balance'!$A$2)</f>
        <v>0</v>
      </c>
      <c r="T12" s="1087">
        <f t="shared" si="5"/>
        <v>0</v>
      </c>
      <c r="U12" s="817" t="e">
        <f>VLOOKUP(C12,'Cash balance (BS)'!A:D,4,)</f>
        <v>#N/A</v>
      </c>
      <c r="V12" s="817" t="e">
        <f>Table11[[#This Row],[CLOSING BALANCE (USD)]]-Table11[[#This Row],[CB_BS (USD)]]</f>
        <v>#N/A</v>
      </c>
      <c r="W12" s="1156" t="str">
        <f>VLOOKUP('Cash Balance'!$C12,Table2[#All],MATCH('Cash Balance'!W$3,Acc_Char!$B$1:$I$1,0),0)</f>
        <v>BWID JSC</v>
      </c>
      <c r="X12" s="1156" t="str">
        <f>VLOOKUP(IFERROR(MID($Y12,1,FIND("-",$Y12)-2),$Y12),Table3[#All],2,0)</f>
        <v>VCB</v>
      </c>
      <c r="Y12" s="1156" t="str">
        <f>VLOOKUP($B12,Table4[#All],2,0)</f>
        <v>VIETCOMBANK - HCM</v>
      </c>
      <c r="Z12" s="1151"/>
      <c r="AA12" s="49"/>
      <c r="AE12" s="818">
        <f>SUM(Table11[[#This Row],[CASH IN - CREDIT (VND)]],Table11[[#This Row],[CASH IN - CREDIT (USD)]])</f>
        <v>127397</v>
      </c>
      <c r="AF12" s="818">
        <f>Table11[[#This Row],[CASH OUT - DEBIT (VND)]]+Table11[[#This Row],[CASH OUT - DEBIT (USD)]]</f>
        <v>0</v>
      </c>
      <c r="AH12" s="1158"/>
      <c r="AI12" s="49"/>
      <c r="AJ12" s="1158"/>
      <c r="AL12"/>
    </row>
    <row r="13" spans="1:39" ht="14.4">
      <c r="A13" s="1153" t="str">
        <f>VLOOKUP('Cash Balance'!$C13,Table2[#All],MATCH('Cash Balance'!A$3,Acc_Char!$B$1:$I$1,0),0)</f>
        <v>BWID BINH DUONG</v>
      </c>
      <c r="B13" s="1154" t="str">
        <f>VLOOKUP('Cash Balance'!$C13,Table2[#All],MATCH('Cash Balance'!B$3,Acc_Char!$B$1:$I$1,0),0)</f>
        <v>VIETCOMBANK - HCM</v>
      </c>
      <c r="C13" s="1156" t="s">
        <v>5391</v>
      </c>
      <c r="D13" s="1156" t="str">
        <f>VLOOKUP('Cash Balance'!$C13,Table2[#All],MATCH('Cash Balance'!D$3,Acc_Char!$B$1:$I$1,0),0)</f>
        <v>Saving Account</v>
      </c>
      <c r="E13" s="384" t="str">
        <f>VLOOKUP('Cash Balance'!$C13,Table2[#All],MATCH('Cash Balance'!E$3,Acc_Char!$B$1:$I$1,0),0)</f>
        <v>VND</v>
      </c>
      <c r="F13" s="1094" t="e">
        <f>VLOOKUP(C13,'Cash balance (BS)'!A:C,3,)</f>
        <v>#N/A</v>
      </c>
      <c r="G13" s="1157" t="e">
        <f>F13-H13</f>
        <v>#N/A</v>
      </c>
      <c r="H13" s="1318">
        <f>SUMIFS('Cash balance (Prior period)'!F:F,'Cash balance (Prior period)'!C:C,Table11[[#This Row],[ACCOUNT NUMBER]],'Cash balance (Prior period)'!E:E,Table11[[#This Row],[CURRENCY]])</f>
        <v>100000000</v>
      </c>
      <c r="I13" s="1318">
        <f>SUMIFS(Movement!$F$4:$F$2136,Movement!$M$4:$M$2136,"VND",Movement!$C$4:$C$2136,Table11[[#This Row],[ACCOUNT NUMBER]],Movement!$J$4:$J$2136,Table11[[#This Row],[ENTITY]],Movement!$O$4:$O$2136,'Cash Balance'!$A$2)</f>
        <v>0</v>
      </c>
      <c r="J13" s="1318">
        <f>SUMIFS(Movement!$G$4:$G$2136,Movement!$M$4:$M$2136,"VND",Movement!$C$4:$C$2136,Table11[[#This Row],[ACCOUNT NUMBER]],Movement!$J$4:$J$2136,Table11[[#This Row],[ENTITY]],Movement!$O$4:$O$2136,'Cash Balance'!$A$2)</f>
        <v>0</v>
      </c>
      <c r="K13" s="1084">
        <f>Table11[[#This Row],[CASH IN - CREDIT (VND)]]-Table11[[#This Row],[CASH OUT - DEBIT (VND)]]</f>
        <v>0</v>
      </c>
      <c r="L13" s="1095">
        <f t="shared" si="3"/>
        <v>100000000</v>
      </c>
      <c r="M13" s="1184" t="e">
        <f>VLOOKUP(C13,'Cash balance (BS)'!A:D,4,)</f>
        <v>#N/A</v>
      </c>
      <c r="N13" s="1095" t="e">
        <f>Table11[[#This Row],[CLOSING BALANCE (VND)2]]-Table11[[#This Row],[CB_BS (VND)]]</f>
        <v>#N/A</v>
      </c>
      <c r="O13" s="1094">
        <v>0</v>
      </c>
      <c r="P13" s="1095">
        <f t="shared" si="4"/>
        <v>0</v>
      </c>
      <c r="Q13" s="817">
        <f>SUMIFS('Cash balance (Prior period)'!G:G,'Cash balance (Prior period)'!C:C,Table11[[#This Row],[ACCOUNT NUMBER]],'Cash balance (Prior period)'!E:E,Table11[[#This Row],[CURRENCY]])</f>
        <v>0</v>
      </c>
      <c r="R13" s="817">
        <f>SUMIFS(Movement!$F$4:$F$2136,Movement!$M$4:$M$2136,"USD",Movement!$C$4:$C$2136,Table11[[#This Row],[ACCOUNT NUMBER]],Movement!$J$4:$J$2136,Table11[[#This Row],[ENTITY]],Movement!$O$4:$O$2136,'Cash Balance'!$A$2)</f>
        <v>0</v>
      </c>
      <c r="S13" s="817">
        <f>SUMIFS(Movement!$G$4:$G$2136,Movement!$M$4:$M$2136,"USD",Movement!$C$4:$C$2136,Table11[[#This Row],[ACCOUNT NUMBER]],Movement!$J$4:$J$2136,Table11[[#This Row],[ENTITY]],Movement!$O$4:$O$2136,'Cash Balance'!$A$2)</f>
        <v>0</v>
      </c>
      <c r="T13" s="1087">
        <f t="shared" si="5"/>
        <v>0</v>
      </c>
      <c r="U13" s="817"/>
      <c r="V13" s="817">
        <f>Table11[[#This Row],[CLOSING BALANCE (USD)]]-Table11[[#This Row],[CB_BS (USD)]]</f>
        <v>0</v>
      </c>
      <c r="W13" s="1156" t="str">
        <f>VLOOKUP('Cash Balance'!$C13,Table2[#All],MATCH('Cash Balance'!W$3,Acc_Char!$B$1:$I$1,0),0)</f>
        <v>BWID JSC</v>
      </c>
      <c r="X13" s="1156" t="str">
        <f>VLOOKUP(IFERROR(MID($Y13,1,FIND("-",$Y13)-2),$Y13),Table3[#All],2,0)</f>
        <v>VCB</v>
      </c>
      <c r="Y13" s="1156" t="str">
        <f>VLOOKUP($B13,Table4[#All],2,0)</f>
        <v>VIETCOMBANK - HCM</v>
      </c>
      <c r="Z13" s="1151"/>
      <c r="AA13" s="49"/>
      <c r="AE13" s="818">
        <f>SUM(Table11[[#This Row],[CASH IN - CREDIT (VND)]],Table11[[#This Row],[CASH IN - CREDIT (USD)]])</f>
        <v>0</v>
      </c>
      <c r="AF13" s="818">
        <f>Table11[[#This Row],[CASH OUT - DEBIT (VND)]]+Table11[[#This Row],[CASH OUT - DEBIT (USD)]]</f>
        <v>0</v>
      </c>
      <c r="AH13" s="1158"/>
      <c r="AI13" s="49"/>
      <c r="AJ13" s="1158"/>
      <c r="AL13"/>
    </row>
    <row r="14" spans="1:39" ht="14.4">
      <c r="A14" s="1153" t="str">
        <f>VLOOKUP('Cash Balance'!$C14,Table2[#All],MATCH('Cash Balance'!A$3,Acc_Char!$B$1:$I$1,0),0)</f>
        <v>BWID BINH DUONG</v>
      </c>
      <c r="B14" s="1154" t="str">
        <f>VLOOKUP('Cash Balance'!$C14,Table2[#All],MATCH('Cash Balance'!B$3,Acc_Char!$B$1:$I$1,0),0)</f>
        <v>VIETINBANK - TIEN SON</v>
      </c>
      <c r="C14" s="1155" t="s">
        <v>478</v>
      </c>
      <c r="D14" s="1156" t="str">
        <f>VLOOKUP('Cash Balance'!$C14,Table2[#All],MATCH('Cash Balance'!D$3,Acc_Char!$B$1:$I$1,0),0)</f>
        <v>Current Account</v>
      </c>
      <c r="E14" s="384" t="str">
        <f>VLOOKUP('Cash Balance'!$C14,Table2[#All],MATCH('Cash Balance'!E$3,Acc_Char!$B$1:$I$1,0),0)</f>
        <v>VND</v>
      </c>
      <c r="F14" s="1094" t="e">
        <f>VLOOKUP(C14,'Cash balance (BS)'!A:C,3,)</f>
        <v>#N/A</v>
      </c>
      <c r="G14" s="1157" t="e">
        <f>F14-H14</f>
        <v>#N/A</v>
      </c>
      <c r="H14" s="1318">
        <f>SUMIFS('Cash balance (Prior period)'!F:F,'Cash balance (Prior period)'!C:C,Table11[[#This Row],[ACCOUNT NUMBER]],'Cash balance (Prior period)'!E:E,Table11[[#This Row],[CURRENCY]])</f>
        <v>29039515</v>
      </c>
      <c r="I14" s="1318">
        <f>SUMIFS(Movement!$F$4:$F$2136,Movement!$M$4:$M$2136,"VND",Movement!$C$4:$C$2136,Table11[[#This Row],[ACCOUNT NUMBER]],Movement!$J$4:$J$2136,Table11[[#This Row],[ENTITY]],Movement!$O$4:$O$2136,'Cash Balance'!$A$2)</f>
        <v>0</v>
      </c>
      <c r="J14" s="1318">
        <f>SUMIFS(Movement!$G$4:$G$2136,Movement!$M$4:$M$2136,"VND",Movement!$C$4:$C$2136,Table11[[#This Row],[ACCOUNT NUMBER]],Movement!$J$4:$J$2136,Table11[[#This Row],[ENTITY]],Movement!$O$4:$O$2136,'Cash Balance'!$A$2)</f>
        <v>0</v>
      </c>
      <c r="K14" s="1084">
        <f>Table11[[#This Row],[CASH IN - CREDIT (VND)]]-Table11[[#This Row],[CASH OUT - DEBIT (VND)]]</f>
        <v>0</v>
      </c>
      <c r="L14" s="1095">
        <f t="shared" si="3"/>
        <v>29039515</v>
      </c>
      <c r="M14" s="1184" t="e">
        <f>VLOOKUP(C14,'Cash balance (BS)'!A:D,4,)</f>
        <v>#N/A</v>
      </c>
      <c r="N14" s="1095" t="e">
        <f>Table11[[#This Row],[CLOSING BALANCE (VND)2]]-Table11[[#This Row],[CB_BS (VND)]]</f>
        <v>#N/A</v>
      </c>
      <c r="O14" s="1094">
        <v>0</v>
      </c>
      <c r="P14" s="1095">
        <f t="shared" si="4"/>
        <v>0</v>
      </c>
      <c r="Q14" s="817">
        <f>SUMIFS('Cash balance (Prior period)'!G:G,'Cash balance (Prior period)'!C:C,Table11[[#This Row],[ACCOUNT NUMBER]],'Cash balance (Prior period)'!E:E,Table11[[#This Row],[CURRENCY]])</f>
        <v>0</v>
      </c>
      <c r="R14" s="817">
        <f>SUMIFS(Movement!$F$4:$F$2136,Movement!$M$4:$M$2136,"USD",Movement!$C$4:$C$2136,Table11[[#This Row],[ACCOUNT NUMBER]],Movement!$J$4:$J$2136,Table11[[#This Row],[ENTITY]],Movement!$O$4:$O$2136,'Cash Balance'!$A$2)</f>
        <v>0</v>
      </c>
      <c r="S14" s="817">
        <f>SUMIFS(Movement!$G$4:$G$2136,Movement!$M$4:$M$2136,"USD",Movement!$C$4:$C$2136,Table11[[#This Row],[ACCOUNT NUMBER]],Movement!$J$4:$J$2136,Table11[[#This Row],[ENTITY]],Movement!$O$4:$O$2136,'Cash Balance'!$A$2)</f>
        <v>0</v>
      </c>
      <c r="T14" s="1087">
        <f t="shared" si="5"/>
        <v>0</v>
      </c>
      <c r="U14" s="817"/>
      <c r="V14" s="817">
        <f>Table11[[#This Row],[CLOSING BALANCE (USD)]]-Table11[[#This Row],[CB_BS (USD)]]</f>
        <v>0</v>
      </c>
      <c r="W14" s="1156" t="str">
        <f>VLOOKUP('Cash Balance'!$C14,Table2[#All],MATCH('Cash Balance'!W$3,Acc_Char!$B$1:$I$1,0),0)</f>
        <v>BWID JSC</v>
      </c>
      <c r="X14" s="1156" t="str">
        <f>VLOOKUP(IFERROR(MID($Y14,1,FIND("-",$Y14)-2),$Y14),Table3[#All],2,0)</f>
        <v>VTB</v>
      </c>
      <c r="Y14" s="1156" t="str">
        <f>VLOOKUP($B14,Table4[#All],2,0)</f>
        <v>VIETINBANK - TIEN SON</v>
      </c>
      <c r="Z14" s="1151"/>
      <c r="AA14" s="49"/>
      <c r="AE14" s="818">
        <f>SUM(Table11[[#This Row],[CASH IN - CREDIT (VND)]],Table11[[#This Row],[CASH IN - CREDIT (USD)]])</f>
        <v>0</v>
      </c>
      <c r="AF14" s="818">
        <f>Table11[[#This Row],[CASH OUT - DEBIT (VND)]]+Table11[[#This Row],[CASH OUT - DEBIT (USD)]]</f>
        <v>0</v>
      </c>
      <c r="AH14" s="1158"/>
      <c r="AI14" s="49"/>
      <c r="AJ14" s="1158"/>
      <c r="AL14"/>
    </row>
    <row r="15" spans="1:39" ht="14.4">
      <c r="A15" s="1153" t="str">
        <f>VLOOKUP('Cash Balance'!$C15,Table2[#All],MATCH('Cash Balance'!A$3,Acc_Char!$B$1:$I$1,0),0)</f>
        <v>BWID BINH DUONG</v>
      </c>
      <c r="B15" s="1154" t="str">
        <f>VLOOKUP('Cash Balance'!$C15,Table2[#All],MATCH('Cash Balance'!B$3,Acc_Char!$B$1:$I$1,0),0)</f>
        <v>VIETINBANK - TIEN SON</v>
      </c>
      <c r="C15" s="1155" t="s">
        <v>479</v>
      </c>
      <c r="D15" s="1156" t="str">
        <f>VLOOKUP('Cash Balance'!$C15,Table2[#All],MATCH('Cash Balance'!D$3,Acc_Char!$B$1:$I$1,0),0)</f>
        <v>Current Account</v>
      </c>
      <c r="E15" s="384" t="str">
        <f>VLOOKUP('Cash Balance'!$C15,Table2[#All],MATCH('Cash Balance'!E$3,Acc_Char!$B$1:$I$1,0),0)</f>
        <v>USD</v>
      </c>
      <c r="F15" s="1094" t="e">
        <f>VLOOKUP(C15,'Cash balance (BS)'!A:C,3,)</f>
        <v>#N/A</v>
      </c>
      <c r="G15" s="1157" t="e">
        <f>F15-H15</f>
        <v>#N/A</v>
      </c>
      <c r="H15" s="1318">
        <f>SUMIFS('Cash balance (Prior period)'!F:F,'Cash balance (Prior period)'!C:C,Table11[[#This Row],[ACCOUNT NUMBER]],'Cash balance (Prior period)'!E:E,Table11[[#This Row],[CURRENCY]])</f>
        <v>0</v>
      </c>
      <c r="I15" s="1318">
        <f>SUMIFS(Movement!$F$4:$F$2136,Movement!$M$4:$M$2136,"VND",Movement!$C$4:$C$2136,Table11[[#This Row],[ACCOUNT NUMBER]],Movement!$J$4:$J$2136,Table11[[#This Row],[ENTITY]],Movement!$O$4:$O$2136,'Cash Balance'!$A$2)</f>
        <v>0</v>
      </c>
      <c r="J15" s="1318">
        <f>SUMIFS(Movement!$G$4:$G$2136,Movement!$M$4:$M$2136,"VND",Movement!$C$4:$C$2136,Table11[[#This Row],[ACCOUNT NUMBER]],Movement!$J$4:$J$2136,Table11[[#This Row],[ENTITY]],Movement!$O$4:$O$2136,'Cash Balance'!$A$2)</f>
        <v>0</v>
      </c>
      <c r="K15" s="1084">
        <f>Table11[[#This Row],[CASH IN - CREDIT (VND)]]-Table11[[#This Row],[CASH OUT - DEBIT (VND)]]</f>
        <v>0</v>
      </c>
      <c r="L15" s="1095">
        <f t="shared" si="3"/>
        <v>0</v>
      </c>
      <c r="M15" s="1184" t="e">
        <f>VLOOKUP(C15,'Cash balance (BS)'!A:D,4,)</f>
        <v>#N/A</v>
      </c>
      <c r="N15" s="1095" t="e">
        <f>Table11[[#This Row],[CLOSING BALANCE (VND)2]]-Table11[[#This Row],[CB_BS (VND)]]</f>
        <v>#N/A</v>
      </c>
      <c r="O15" s="1094">
        <v>0</v>
      </c>
      <c r="P15" s="1095">
        <f t="shared" si="4"/>
        <v>-200</v>
      </c>
      <c r="Q15" s="817">
        <f>SUMIFS('Cash balance (Prior period)'!G:G,'Cash balance (Prior period)'!C:C,Table11[[#This Row],[ACCOUNT NUMBER]],'Cash balance (Prior period)'!E:E,Table11[[#This Row],[CURRENCY]])</f>
        <v>200</v>
      </c>
      <c r="R15" s="817">
        <f>SUMIFS(Movement!$F$4:$F$2136,Movement!$M$4:$M$2136,"USD",Movement!$C$4:$C$2136,Table11[[#This Row],[ACCOUNT NUMBER]],Movement!$J$4:$J$2136,Table11[[#This Row],[ENTITY]],Movement!$O$4:$O$2136,'Cash Balance'!$A$2)</f>
        <v>0</v>
      </c>
      <c r="S15" s="817">
        <f>SUMIFS(Movement!$G$4:$G$2136,Movement!$M$4:$M$2136,"USD",Movement!$C$4:$C$2136,Table11[[#This Row],[ACCOUNT NUMBER]],Movement!$J$4:$J$2136,Table11[[#This Row],[ENTITY]],Movement!$O$4:$O$2136,'Cash Balance'!$A$2)</f>
        <v>0</v>
      </c>
      <c r="T15" s="1087">
        <f t="shared" si="5"/>
        <v>200</v>
      </c>
      <c r="U15" s="817"/>
      <c r="V15" s="817">
        <f>Table11[[#This Row],[CLOSING BALANCE (USD)]]-Table11[[#This Row],[CB_BS (USD)]]</f>
        <v>200</v>
      </c>
      <c r="W15" s="1156" t="str">
        <f>VLOOKUP('Cash Balance'!$C15,Table2[#All],MATCH('Cash Balance'!W$3,Acc_Char!$B$1:$I$1,0),0)</f>
        <v>BWID JSC</v>
      </c>
      <c r="X15" s="1156" t="str">
        <f>VLOOKUP(IFERROR(MID($Y15,1,FIND("-",$Y15)-2),$Y15),Table3[#All],2,0)</f>
        <v>VTB</v>
      </c>
      <c r="Y15" s="1156" t="str">
        <f>VLOOKUP($B15,Table4[#All],2,0)</f>
        <v>VIETINBANK - TIEN SON</v>
      </c>
      <c r="Z15" s="1151"/>
      <c r="AA15" s="49"/>
      <c r="AE15" s="818">
        <f>SUM(Table11[[#This Row],[CASH IN - CREDIT (VND)]],Table11[[#This Row],[CASH IN - CREDIT (USD)]])</f>
        <v>0</v>
      </c>
      <c r="AF15" s="818">
        <f>Table11[[#This Row],[CASH OUT - DEBIT (VND)]]+Table11[[#This Row],[CASH OUT - DEBIT (USD)]]</f>
        <v>0</v>
      </c>
      <c r="AH15" s="1158"/>
      <c r="AI15" s="49"/>
      <c r="AJ15" s="1158"/>
      <c r="AL15"/>
    </row>
    <row r="16" spans="1:39" ht="14.4">
      <c r="A16" s="1153" t="str">
        <f>VLOOKUP('Cash Balance'!$C16,Table2[#All],MATCH('Cash Balance'!A$3,Acc_Char!$B$1:$I$1,0),0)</f>
        <v>BWID BINH DUONG</v>
      </c>
      <c r="B16" s="1154" t="str">
        <f>VLOOKUP('Cash Balance'!$C16,Table2[#All],MATCH('Cash Balance'!B$3,Acc_Char!$B$1:$I$1,0),0)</f>
        <v>VIETINBANK - BINH DUONG</v>
      </c>
      <c r="C16" s="1155" t="s">
        <v>480</v>
      </c>
      <c r="D16" s="1156" t="str">
        <f>VLOOKUP('Cash Balance'!$C16,Table2[#All],MATCH('Cash Balance'!D$3,Acc_Char!$B$1:$I$1,0),0)</f>
        <v>Saving Account</v>
      </c>
      <c r="E16" s="384" t="str">
        <f>VLOOKUP('Cash Balance'!$C16,Table2[#All],MATCH('Cash Balance'!E$3,Acc_Char!$B$1:$I$1,0),0)</f>
        <v>VND</v>
      </c>
      <c r="F16" s="1094" t="e">
        <f>VLOOKUP(C16,'Cash balance (BS)'!A:C,3,)</f>
        <v>#N/A</v>
      </c>
      <c r="G16" s="1157" t="e">
        <f>F16-H16</f>
        <v>#N/A</v>
      </c>
      <c r="H16" s="1318">
        <f>SUMIFS('Cash balance (Prior period)'!F:F,'Cash balance (Prior period)'!C:C,Table11[[#This Row],[ACCOUNT NUMBER]],'Cash balance (Prior period)'!E:E,Table11[[#This Row],[CURRENCY]])</f>
        <v>6000000000</v>
      </c>
      <c r="I16" s="1318">
        <f>SUMIFS(Movement!$F$4:$F$2136,Movement!$M$4:$M$2136,"VND",Movement!$C$4:$C$2136,Table11[[#This Row],[ACCOUNT NUMBER]],Movement!$J$4:$J$2136,Table11[[#This Row],[ENTITY]],Movement!$O$4:$O$2136,'Cash Balance'!$A$2)</f>
        <v>0</v>
      </c>
      <c r="J16" s="1318">
        <f>SUMIFS(Movement!$G$4:$G$2136,Movement!$M$4:$M$2136,"VND",Movement!$C$4:$C$2136,Table11[[#This Row],[ACCOUNT NUMBER]],Movement!$J$4:$J$2136,Table11[[#This Row],[ENTITY]],Movement!$O$4:$O$2136,'Cash Balance'!$A$2)</f>
        <v>0</v>
      </c>
      <c r="K16" s="1084">
        <f>Table11[[#This Row],[CASH IN - CREDIT (VND)]]-Table11[[#This Row],[CASH OUT - DEBIT (VND)]]</f>
        <v>0</v>
      </c>
      <c r="L16" s="1095">
        <f>H16+I16-J16</f>
        <v>6000000000</v>
      </c>
      <c r="M16" s="1184" t="e">
        <f>VLOOKUP(C16,'Cash balance (BS)'!A:D,4,)</f>
        <v>#N/A</v>
      </c>
      <c r="N16" s="1095" t="e">
        <f>Table11[[#This Row],[CLOSING BALANCE (VND)2]]-Table11[[#This Row],[CB_BS (VND)]]</f>
        <v>#N/A</v>
      </c>
      <c r="O16" s="1094"/>
      <c r="P16" s="1095">
        <f>O16-Q16</f>
        <v>0</v>
      </c>
      <c r="Q16" s="817">
        <f>SUMIFS('Cash balance (Prior period)'!G:G,'Cash balance (Prior period)'!C:C,Table11[[#This Row],[ACCOUNT NUMBER]],'Cash balance (Prior period)'!E:E,Table11[[#This Row],[CURRENCY]])</f>
        <v>0</v>
      </c>
      <c r="R16" s="817">
        <f>SUMIFS(Movement!$F$4:$F$2136,Movement!$M$4:$M$2136,"USD",Movement!$C$4:$C$2136,Table11[[#This Row],[ACCOUNT NUMBER]],Movement!$J$4:$J$2136,Table11[[#This Row],[ENTITY]],Movement!$O$4:$O$2136,'Cash Balance'!$A$2)</f>
        <v>0</v>
      </c>
      <c r="S16" s="817">
        <f>SUMIFS(Movement!$G$4:$G$2136,Movement!$M$4:$M$2136,"USD",Movement!$C$4:$C$2136,Table11[[#This Row],[ACCOUNT NUMBER]],Movement!$J$4:$J$2136,Table11[[#This Row],[ENTITY]],Movement!$O$4:$O$2136,'Cash Balance'!$A$2)</f>
        <v>0</v>
      </c>
      <c r="T16" s="1087">
        <f>Q16+R16-S16</f>
        <v>0</v>
      </c>
      <c r="U16" s="817"/>
      <c r="V16" s="817">
        <f>Table11[[#This Row],[CLOSING BALANCE (USD)]]-Table11[[#This Row],[CB_BS (USD)]]</f>
        <v>0</v>
      </c>
      <c r="W16" s="1156" t="str">
        <f>VLOOKUP('Cash Balance'!$C16,Table2[#All],MATCH('Cash Balance'!W$3,Acc_Char!$B$1:$I$1,0),0)</f>
        <v>BWID JSC</v>
      </c>
      <c r="X16" s="1156" t="str">
        <f>VLOOKUP(IFERROR(MID($Y16,1,FIND("-",$Y16)-2),$Y16),Table3[#All],2,0)</f>
        <v>VTB</v>
      </c>
      <c r="Y16" s="1156" t="str">
        <f>VLOOKUP($B16,Table4[#All],2,0)</f>
        <v>VIETINBANK - BINH DUONG + QM</v>
      </c>
      <c r="Z16" s="1151"/>
      <c r="AA16" s="49"/>
      <c r="AE16" s="818"/>
      <c r="AF16" s="818"/>
      <c r="AH16" s="1158"/>
      <c r="AI16" s="49"/>
      <c r="AJ16" s="1158"/>
      <c r="AL16"/>
    </row>
    <row r="17" spans="1:38" ht="14.4">
      <c r="A17" s="1153" t="str">
        <f>VLOOKUP('Cash Balance'!$C17,Table2[#All],MATCH('Cash Balance'!A$3,Acc_Char!$B$1:$I$1,0),0)</f>
        <v>BWID BINH DUONG</v>
      </c>
      <c r="B17" s="1154" t="str">
        <f>VLOOKUP('Cash Balance'!$C17,Table2[#All],MATCH('Cash Balance'!B$3,Acc_Char!$B$1:$I$1,0),0)</f>
        <v>VIETINBANK - BINH DUONG</v>
      </c>
      <c r="C17" s="1155" t="s">
        <v>481</v>
      </c>
      <c r="D17" s="1156" t="str">
        <f>VLOOKUP('Cash Balance'!$C17,Table2[#All],MATCH('Cash Balance'!D$3,Acc_Char!$B$1:$I$1,0),0)</f>
        <v>Current Account</v>
      </c>
      <c r="E17" s="384" t="str">
        <f>VLOOKUP('Cash Balance'!$C17,Table2[#All],MATCH('Cash Balance'!E$3,Acc_Char!$B$1:$I$1,0),0)</f>
        <v>VND</v>
      </c>
      <c r="F17" s="1094"/>
      <c r="G17" s="1157"/>
      <c r="H17" s="1318">
        <f>SUMIFS('Cash balance (Prior period)'!F:F,'Cash balance (Prior period)'!C:C,Table11[[#This Row],[ACCOUNT NUMBER]],'Cash balance (Prior period)'!E:E,Table11[[#This Row],[CURRENCY]])</f>
        <v>1422275903</v>
      </c>
      <c r="I17" s="1318">
        <f>SUMIFS(Movement!$F$4:$F$2136,Movement!$M$4:$M$2136,"VND",Movement!$C$4:$C$2136,Table11[[#This Row],[ACCOUNT NUMBER]],Movement!$J$4:$J$2136,Table11[[#This Row],[ENTITY]],Movement!$O$4:$O$2136,'Cash Balance'!$A$2)</f>
        <v>0</v>
      </c>
      <c r="J17" s="1318">
        <f>SUMIFS(Movement!$G$4:$G$2136,Movement!$M$4:$M$2136,"VND",Movement!$C$4:$C$2136,Table11[[#This Row],[ACCOUNT NUMBER]],Movement!$J$4:$J$2136,Table11[[#This Row],[ENTITY]],Movement!$O$4:$O$2136,'Cash Balance'!$A$2)</f>
        <v>465582800</v>
      </c>
      <c r="K17" s="1084">
        <f>Table11[[#This Row],[CASH IN - CREDIT (VND)]]-Table11[[#This Row],[CASH OUT - DEBIT (VND)]]</f>
        <v>-465582800</v>
      </c>
      <c r="L17" s="1095">
        <f t="shared" si="3"/>
        <v>956693103</v>
      </c>
      <c r="M17" s="1184" t="e">
        <f>VLOOKUP(C17,'Cash balance (BS)'!A:D,4,)</f>
        <v>#N/A</v>
      </c>
      <c r="N17" s="1095" t="e">
        <f>Table11[[#This Row],[CLOSING BALANCE (VND)2]]-Table11[[#This Row],[CB_BS (VND)]]</f>
        <v>#N/A</v>
      </c>
      <c r="O17" s="1094">
        <v>0</v>
      </c>
      <c r="P17" s="1095">
        <f t="shared" si="4"/>
        <v>0</v>
      </c>
      <c r="Q17" s="817">
        <f>SUMIFS('Cash balance (Prior period)'!G:G,'Cash balance (Prior period)'!C:C,Table11[[#This Row],[ACCOUNT NUMBER]],'Cash balance (Prior period)'!E:E,Table11[[#This Row],[CURRENCY]])</f>
        <v>0</v>
      </c>
      <c r="R17" s="817">
        <f>SUMIFS(Movement!$F$4:$F$2136,Movement!$M$4:$M$2136,"USD",Movement!$C$4:$C$2136,Table11[[#This Row],[ACCOUNT NUMBER]],Movement!$J$4:$J$2136,Table11[[#This Row],[ENTITY]],Movement!$O$4:$O$2136,'Cash Balance'!$A$2)</f>
        <v>0</v>
      </c>
      <c r="S17" s="817">
        <f>SUMIFS(Movement!$G$4:$G$2136,Movement!$M$4:$M$2136,"USD",Movement!$C$4:$C$2136,Table11[[#This Row],[ACCOUNT NUMBER]],Movement!$J$4:$J$2136,Table11[[#This Row],[ENTITY]],Movement!$O$4:$O$2136,'Cash Balance'!$A$2)</f>
        <v>0</v>
      </c>
      <c r="T17" s="1087">
        <f t="shared" si="5"/>
        <v>0</v>
      </c>
      <c r="U17" s="817" t="e">
        <f>VLOOKUP(C17,'Cash balance (BS)'!A:D,4,)</f>
        <v>#N/A</v>
      </c>
      <c r="V17" s="817" t="e">
        <f>Table11[[#This Row],[CLOSING BALANCE (USD)]]-Table11[[#This Row],[CB_BS (USD)]]</f>
        <v>#N/A</v>
      </c>
      <c r="W17" s="1156" t="str">
        <f>VLOOKUP('Cash Balance'!$C17,Table2[#All],MATCH('Cash Balance'!W$3,Acc_Char!$B$1:$I$1,0),0)</f>
        <v>BWID JSC</v>
      </c>
      <c r="X17" s="1156" t="str">
        <f>VLOOKUP(IFERROR(MID($Y17,1,FIND("-",$Y17)-2),$Y17),Table3[#All],2,0)</f>
        <v>VTB</v>
      </c>
      <c r="Y17" s="1156" t="str">
        <f>VLOOKUP($B17,Table4[#All],2,0)</f>
        <v>VIETINBANK - BINH DUONG + QM</v>
      </c>
      <c r="Z17" s="1151"/>
      <c r="AA17" s="49"/>
      <c r="AE17" s="818">
        <f>SUM(Table11[[#This Row],[CASH IN - CREDIT (VND)]],Table11[[#This Row],[CASH IN - CREDIT (USD)]])</f>
        <v>0</v>
      </c>
      <c r="AF17" s="818">
        <f>Table11[[#This Row],[CASH OUT - DEBIT (VND)]]+Table11[[#This Row],[CASH OUT - DEBIT (USD)]]</f>
        <v>465582800</v>
      </c>
      <c r="AH17" s="1158"/>
      <c r="AI17" s="49"/>
      <c r="AJ17" s="1158"/>
      <c r="AL17"/>
    </row>
    <row r="18" spans="1:38" ht="14.4">
      <c r="A18" s="1153" t="str">
        <f>VLOOKUP('Cash Balance'!$C18,Table2[#All],MATCH('Cash Balance'!A$3,Acc_Char!$B$1:$I$1,0),0)</f>
        <v>BWID BINH DUONG</v>
      </c>
      <c r="B18" s="1154" t="str">
        <f>VLOOKUP('Cash Balance'!$C18,Table2[#All],MATCH('Cash Balance'!B$3,Acc_Char!$B$1:$I$1,0),0)</f>
        <v>VIETINBANK - BINH DUONG</v>
      </c>
      <c r="C18" s="1155" t="s">
        <v>482</v>
      </c>
      <c r="D18" s="1156" t="str">
        <f>VLOOKUP('Cash Balance'!$C18,Table2[#All],MATCH('Cash Balance'!D$3,Acc_Char!$B$1:$I$1,0),0)</f>
        <v>Current Account</v>
      </c>
      <c r="E18" s="384" t="str">
        <f>VLOOKUP('Cash Balance'!$C18,Table2[#All],MATCH('Cash Balance'!E$3,Acc_Char!$B$1:$I$1,0),0)</f>
        <v>USD</v>
      </c>
      <c r="F18" s="1094"/>
      <c r="G18" s="1157"/>
      <c r="H18" s="1318">
        <f>SUMIFS('Cash balance (Prior period)'!F:F,'Cash balance (Prior period)'!C:C,Table11[[#This Row],[ACCOUNT NUMBER]],'Cash balance (Prior period)'!E:E,Table11[[#This Row],[CURRENCY]])</f>
        <v>0</v>
      </c>
      <c r="I18" s="1318">
        <f>SUMIFS(Movement!$F$4:$F$2136,Movement!$M$4:$M$2136,"VND",Movement!$C$4:$C$2136,Table11[[#This Row],[ACCOUNT NUMBER]],Movement!$J$4:$J$2136,Table11[[#This Row],[ENTITY]],Movement!$O$4:$O$2136,'Cash Balance'!$A$2)</f>
        <v>0</v>
      </c>
      <c r="J18" s="1318">
        <f>SUMIFS(Movement!$G$4:$G$2136,Movement!$M$4:$M$2136,"VND",Movement!$C$4:$C$2136,Table11[[#This Row],[ACCOUNT NUMBER]],Movement!$J$4:$J$2136,Table11[[#This Row],[ENTITY]],Movement!$O$4:$O$2136,'Cash Balance'!$A$2)</f>
        <v>0</v>
      </c>
      <c r="K18" s="1084">
        <f>Table11[[#This Row],[CASH IN - CREDIT (VND)]]-Table11[[#This Row],[CASH OUT - DEBIT (VND)]]</f>
        <v>0</v>
      </c>
      <c r="L18" s="1095">
        <f t="shared" si="3"/>
        <v>0</v>
      </c>
      <c r="M18" s="1184" t="e">
        <f>VLOOKUP(C18,'Cash balance (BS)'!A:D,4,)</f>
        <v>#N/A</v>
      </c>
      <c r="N18" s="1095" t="e">
        <f>Table11[[#This Row],[CLOSING BALANCE (VND)2]]-Table11[[#This Row],[CB_BS (VND)]]</f>
        <v>#N/A</v>
      </c>
      <c r="O18" s="1094">
        <v>0</v>
      </c>
      <c r="P18" s="1095">
        <f t="shared" si="4"/>
        <v>-1503.92</v>
      </c>
      <c r="Q18" s="817">
        <f>SUMIFS('Cash balance (Prior period)'!G:G,'Cash balance (Prior period)'!C:C,Table11[[#This Row],[ACCOUNT NUMBER]],'Cash balance (Prior period)'!E:E,Table11[[#This Row],[CURRENCY]])</f>
        <v>1503.92</v>
      </c>
      <c r="R18" s="817">
        <f>SUMIFS(Movement!$F$4:$F$2136,Movement!$M$4:$M$2136,"USD",Movement!$C$4:$C$2136,Table11[[#This Row],[ACCOUNT NUMBER]],Movement!$J$4:$J$2136,Table11[[#This Row],[ENTITY]],Movement!$O$4:$O$2136,'Cash Balance'!$A$2)</f>
        <v>0</v>
      </c>
      <c r="S18" s="817">
        <f>SUMIFS(Movement!$G$4:$G$2136,Movement!$M$4:$M$2136,"USD",Movement!$C$4:$C$2136,Table11[[#This Row],[ACCOUNT NUMBER]],Movement!$J$4:$J$2136,Table11[[#This Row],[ENTITY]],Movement!$O$4:$O$2136,'Cash Balance'!$A$2)</f>
        <v>0</v>
      </c>
      <c r="T18" s="1087">
        <f t="shared" si="5"/>
        <v>1503.92</v>
      </c>
      <c r="U18" s="817" t="e">
        <f>VLOOKUP(C18,'Cash balance (BS)'!A:D,4,)</f>
        <v>#N/A</v>
      </c>
      <c r="V18" s="817" t="e">
        <f>Table11[[#This Row],[CLOSING BALANCE (USD)]]-Table11[[#This Row],[CB_BS (USD)]]</f>
        <v>#N/A</v>
      </c>
      <c r="W18" s="1156" t="str">
        <f>VLOOKUP('Cash Balance'!$C18,Table2[#All],MATCH('Cash Balance'!W$3,Acc_Char!$B$1:$I$1,0),0)</f>
        <v>BWID JSC</v>
      </c>
      <c r="X18" s="1156" t="str">
        <f>VLOOKUP(IFERROR(MID($Y18,1,FIND("-",$Y18)-2),$Y18),Table3[#All],2,0)</f>
        <v>VTB</v>
      </c>
      <c r="Y18" s="1156" t="str">
        <f>VLOOKUP($B18,Table4[#All],2,0)</f>
        <v>VIETINBANK - BINH DUONG + QM</v>
      </c>
      <c r="Z18" s="1151"/>
      <c r="AA18" s="49"/>
      <c r="AE18" s="818">
        <f>SUM(Table11[[#This Row],[CASH IN - CREDIT (VND)]],Table11[[#This Row],[CASH IN - CREDIT (USD)]])</f>
        <v>0</v>
      </c>
      <c r="AF18" s="818">
        <f>Table11[[#This Row],[CASH OUT - DEBIT (VND)]]+Table11[[#This Row],[CASH OUT - DEBIT (USD)]]</f>
        <v>0</v>
      </c>
      <c r="AH18" s="1158"/>
      <c r="AI18" s="49"/>
      <c r="AJ18" s="1158"/>
      <c r="AL18"/>
    </row>
    <row r="19" spans="1:38" ht="14.4">
      <c r="A19" s="1153" t="str">
        <f>VLOOKUP('Cash Balance'!$C19,Table2[#All],MATCH('Cash Balance'!A$3,Acc_Char!$B$1:$I$1,0),0)</f>
        <v>BWID BINH DUONG</v>
      </c>
      <c r="B19" s="1154" t="str">
        <f>VLOOKUP('Cash Balance'!$C19,Table2[#All],MATCH('Cash Balance'!B$3,Acc_Char!$B$1:$I$1,0),0)</f>
        <v>VIETINBANK - QUANG MINH</v>
      </c>
      <c r="C19" s="1155" t="s">
        <v>483</v>
      </c>
      <c r="D19" s="1156" t="str">
        <f>VLOOKUP('Cash Balance'!$C19,Table2[#All],MATCH('Cash Balance'!D$3,Acc_Char!$B$1:$I$1,0),0)</f>
        <v>Current Account</v>
      </c>
      <c r="E19" s="384" t="str">
        <f>VLOOKUP('Cash Balance'!$C19,Table2[#All],MATCH('Cash Balance'!E$3,Acc_Char!$B$1:$I$1,0),0)</f>
        <v>VND</v>
      </c>
      <c r="F19" s="1094"/>
      <c r="G19" s="1157"/>
      <c r="H19" s="1318">
        <f>SUMIFS('Cash balance (Prior period)'!F:F,'Cash balance (Prior period)'!C:C,Table11[[#This Row],[ACCOUNT NUMBER]],'Cash balance (Prior period)'!E:E,Table11[[#This Row],[CURRENCY]])</f>
        <v>16228220</v>
      </c>
      <c r="I19" s="1318">
        <f>SUMIFS(Movement!$F$4:$F$2136,Movement!$M$4:$M$2136,"VND",Movement!$C$4:$C$2136,Table11[[#This Row],[ACCOUNT NUMBER]],Movement!$J$4:$J$2136,Table11[[#This Row],[ENTITY]],Movement!$O$4:$O$2136,'Cash Balance'!$A$2)</f>
        <v>0</v>
      </c>
      <c r="J19" s="1318">
        <f>SUMIFS(Movement!$G$4:$G$2136,Movement!$M$4:$M$2136,"VND",Movement!$C$4:$C$2136,Table11[[#This Row],[ACCOUNT NUMBER]],Movement!$J$4:$J$2136,Table11[[#This Row],[ENTITY]],Movement!$O$4:$O$2136,'Cash Balance'!$A$2)</f>
        <v>0</v>
      </c>
      <c r="K19" s="1084">
        <f>Table11[[#This Row],[CASH IN - CREDIT (VND)]]-Table11[[#This Row],[CASH OUT - DEBIT (VND)]]</f>
        <v>0</v>
      </c>
      <c r="L19" s="1095">
        <f t="shared" si="3"/>
        <v>16228220</v>
      </c>
      <c r="M19" s="1184" t="e">
        <f>VLOOKUP(C19,'Cash balance (BS)'!A:D,4,)</f>
        <v>#N/A</v>
      </c>
      <c r="N19" s="1095" t="e">
        <f>Table11[[#This Row],[CLOSING BALANCE (VND)2]]-Table11[[#This Row],[CB_BS (VND)]]</f>
        <v>#N/A</v>
      </c>
      <c r="O19" s="1094">
        <v>0</v>
      </c>
      <c r="P19" s="1095">
        <f t="shared" si="4"/>
        <v>0</v>
      </c>
      <c r="Q19" s="817">
        <f>SUMIFS('Cash balance (Prior period)'!G:G,'Cash balance (Prior period)'!C:C,Table11[[#This Row],[ACCOUNT NUMBER]],'Cash balance (Prior period)'!E:E,Table11[[#This Row],[CURRENCY]])</f>
        <v>0</v>
      </c>
      <c r="R19" s="817">
        <f>SUMIFS(Movement!$F$4:$F$2136,Movement!$M$4:$M$2136,"USD",Movement!$C$4:$C$2136,Table11[[#This Row],[ACCOUNT NUMBER]],Movement!$J$4:$J$2136,Table11[[#This Row],[ENTITY]],Movement!$O$4:$O$2136,'Cash Balance'!$A$2)</f>
        <v>0</v>
      </c>
      <c r="S19" s="817">
        <f>SUMIFS(Movement!$G$4:$G$2136,Movement!$M$4:$M$2136,"USD",Movement!$C$4:$C$2136,Table11[[#This Row],[ACCOUNT NUMBER]],Movement!$J$4:$J$2136,Table11[[#This Row],[ENTITY]],Movement!$O$4:$O$2136,'Cash Balance'!$A$2)</f>
        <v>0</v>
      </c>
      <c r="T19" s="1087">
        <f t="shared" si="5"/>
        <v>0</v>
      </c>
      <c r="U19" s="817" t="e">
        <f>VLOOKUP(C19,'Cash balance (BS)'!A:D,4,)</f>
        <v>#N/A</v>
      </c>
      <c r="V19" s="817" t="e">
        <f>Table11[[#This Row],[CLOSING BALANCE (USD)]]-Table11[[#This Row],[CB_BS (USD)]]</f>
        <v>#N/A</v>
      </c>
      <c r="W19" s="1156" t="str">
        <f>VLOOKUP('Cash Balance'!$C19,Table2[#All],MATCH('Cash Balance'!W$3,Acc_Char!$B$1:$I$1,0),0)</f>
        <v>BWID JSC</v>
      </c>
      <c r="X19" s="1156" t="str">
        <f>VLOOKUP(IFERROR(MID($Y19,1,FIND("-",$Y19)-2),$Y19),Table3[#All],2,0)</f>
        <v>VTB</v>
      </c>
      <c r="Y19" s="1156" t="str">
        <f>VLOOKUP($B19,Table4[#All],2,0)</f>
        <v>VIETINBANK - BINH DUONG + QM</v>
      </c>
      <c r="Z19" s="1151"/>
      <c r="AA19" s="49"/>
      <c r="AE19" s="818">
        <f>SUM(Table11[[#This Row],[CASH IN - CREDIT (VND)]],Table11[[#This Row],[CASH IN - CREDIT (USD)]])</f>
        <v>0</v>
      </c>
      <c r="AF19" s="818">
        <f>Table11[[#This Row],[CASH OUT - DEBIT (VND)]]+Table11[[#This Row],[CASH OUT - DEBIT (USD)]]</f>
        <v>0</v>
      </c>
      <c r="AH19" s="1158"/>
      <c r="AI19" s="49"/>
      <c r="AJ19" s="1158"/>
      <c r="AL19"/>
    </row>
    <row r="20" spans="1:38" ht="14.4">
      <c r="A20" s="1153" t="str">
        <f>VLOOKUP('Cash Balance'!$C20,Table2[#All],MATCH('Cash Balance'!A$3,Acc_Char!$B$1:$I$1,0),0)</f>
        <v>BWID BINH DUONG</v>
      </c>
      <c r="B20" s="1154" t="str">
        <f>VLOOKUP('Cash Balance'!$C20,Table2[#All],MATCH('Cash Balance'!B$3,Acc_Char!$B$1:$I$1,0),0)</f>
        <v>VIETINBANK - QUANG MINH</v>
      </c>
      <c r="C20" s="1155" t="s">
        <v>484</v>
      </c>
      <c r="D20" s="1156" t="str">
        <f>VLOOKUP('Cash Balance'!$C20,Table2[#All],MATCH('Cash Balance'!D$3,Acc_Char!$B$1:$I$1,0),0)</f>
        <v>Current Account</v>
      </c>
      <c r="E20" s="384" t="str">
        <f>VLOOKUP('Cash Balance'!$C20,Table2[#All],MATCH('Cash Balance'!E$3,Acc_Char!$B$1:$I$1,0),0)</f>
        <v>USD</v>
      </c>
      <c r="F20" s="1094" t="e">
        <f>VLOOKUP(C20,'Cash balance (BS)'!A:C,3,)</f>
        <v>#N/A</v>
      </c>
      <c r="G20" s="1157" t="e">
        <f t="shared" ref="G20:G26" si="6">F20-H20</f>
        <v>#N/A</v>
      </c>
      <c r="H20" s="1318">
        <f>SUMIFS('Cash balance (Prior period)'!F:F,'Cash balance (Prior period)'!C:C,Table11[[#This Row],[ACCOUNT NUMBER]],'Cash balance (Prior period)'!E:E,Table11[[#This Row],[CURRENCY]])</f>
        <v>0</v>
      </c>
      <c r="I20" s="1318">
        <f>SUMIFS(Movement!$F$4:$F$2136,Movement!$M$4:$M$2136,"VND",Movement!$C$4:$C$2136,Table11[[#This Row],[ACCOUNT NUMBER]],Movement!$J$4:$J$2136,Table11[[#This Row],[ENTITY]],Movement!$O$4:$O$2136,'Cash Balance'!$A$2)</f>
        <v>0</v>
      </c>
      <c r="J20" s="1318">
        <f>SUMIFS(Movement!$G$4:$G$2136,Movement!$M$4:$M$2136,"VND",Movement!$C$4:$C$2136,Table11[[#This Row],[ACCOUNT NUMBER]],Movement!$J$4:$J$2136,Table11[[#This Row],[ENTITY]],Movement!$O$4:$O$2136,'Cash Balance'!$A$2)</f>
        <v>0</v>
      </c>
      <c r="K20" s="1084">
        <f>Table11[[#This Row],[CASH IN - CREDIT (VND)]]-Table11[[#This Row],[CASH OUT - DEBIT (VND)]]</f>
        <v>0</v>
      </c>
      <c r="L20" s="1095">
        <f t="shared" si="3"/>
        <v>0</v>
      </c>
      <c r="M20" s="1184" t="e">
        <f>VLOOKUP(C20,'Cash balance (BS)'!A:D,4,)</f>
        <v>#N/A</v>
      </c>
      <c r="N20" s="1095" t="e">
        <f>Table11[[#This Row],[CLOSING BALANCE (VND)2]]-Table11[[#This Row],[CB_BS (VND)]]</f>
        <v>#N/A</v>
      </c>
      <c r="O20" s="1094">
        <v>0</v>
      </c>
      <c r="P20" s="1095">
        <f t="shared" si="4"/>
        <v>-200</v>
      </c>
      <c r="Q20" s="817">
        <f>SUMIFS('Cash balance (Prior period)'!G:G,'Cash balance (Prior period)'!C:C,Table11[[#This Row],[ACCOUNT NUMBER]],'Cash balance (Prior period)'!E:E,Table11[[#This Row],[CURRENCY]])</f>
        <v>200</v>
      </c>
      <c r="R20" s="817">
        <f>SUMIFS(Movement!$F$4:$F$2136,Movement!$M$4:$M$2136,"USD",Movement!$C$4:$C$2136,Table11[[#This Row],[ACCOUNT NUMBER]],Movement!$J$4:$J$2136,Table11[[#This Row],[ENTITY]],Movement!$O$4:$O$2136,'Cash Balance'!$A$2)</f>
        <v>0</v>
      </c>
      <c r="S20" s="817">
        <f>SUMIFS(Movement!$G$4:$G$2136,Movement!$M$4:$M$2136,"USD",Movement!$C$4:$C$2136,Table11[[#This Row],[ACCOUNT NUMBER]],Movement!$J$4:$J$2136,Table11[[#This Row],[ENTITY]],Movement!$O$4:$O$2136,'Cash Balance'!$A$2)</f>
        <v>0</v>
      </c>
      <c r="T20" s="1087">
        <f t="shared" si="5"/>
        <v>200</v>
      </c>
      <c r="U20" s="817"/>
      <c r="V20" s="817">
        <f>Table11[[#This Row],[CLOSING BALANCE (USD)]]-Table11[[#This Row],[CB_BS (USD)]]</f>
        <v>200</v>
      </c>
      <c r="W20" s="1156" t="str">
        <f>VLOOKUP('Cash Balance'!$C20,Table2[#All],MATCH('Cash Balance'!W$3,Acc_Char!$B$1:$I$1,0),0)</f>
        <v>BWID JSC</v>
      </c>
      <c r="X20" s="1156" t="str">
        <f>VLOOKUP(IFERROR(MID($Y20,1,FIND("-",$Y20)-2),$Y20),Table3[#All],2,0)</f>
        <v>VTB</v>
      </c>
      <c r="Y20" s="1156" t="str">
        <f>VLOOKUP($B20,Table4[#All],2,0)</f>
        <v>VIETINBANK - BINH DUONG + QM</v>
      </c>
      <c r="Z20" s="1151"/>
      <c r="AA20" s="49"/>
      <c r="AE20" s="818">
        <f>SUM(Table11[[#This Row],[CASH IN - CREDIT (VND)]],Table11[[#This Row],[CASH IN - CREDIT (USD)]])</f>
        <v>0</v>
      </c>
      <c r="AF20" s="818">
        <f>Table11[[#This Row],[CASH OUT - DEBIT (VND)]]+Table11[[#This Row],[CASH OUT - DEBIT (USD)]]</f>
        <v>0</v>
      </c>
      <c r="AH20" s="1158"/>
      <c r="AI20" s="49"/>
      <c r="AJ20" s="1158"/>
      <c r="AL20"/>
    </row>
    <row r="21" spans="1:38" ht="14.4">
      <c r="A21" s="1153" t="str">
        <f>VLOOKUP('Cash Balance'!$C21,Table2[#All],MATCH('Cash Balance'!A$3,Acc_Char!$B$1:$I$1,0),0)</f>
        <v>BWID BINH DUONG</v>
      </c>
      <c r="B21" s="1154" t="str">
        <f>VLOOKUP('Cash Balance'!$C21,Table2[#All],MATCH('Cash Balance'!B$3,Acc_Char!$B$1:$I$1,0),0)</f>
        <v>VIETINBANK - DONG SAI GON</v>
      </c>
      <c r="C21" s="1155" t="s">
        <v>485</v>
      </c>
      <c r="D21" s="1156" t="str">
        <f>VLOOKUP('Cash Balance'!$C21,Table2[#All],MATCH('Cash Balance'!D$3,Acc_Char!$B$1:$I$1,0),0)</f>
        <v>Current Account</v>
      </c>
      <c r="E21" s="384" t="str">
        <f>VLOOKUP('Cash Balance'!$C21,Table2[#All],MATCH('Cash Balance'!E$3,Acc_Char!$B$1:$I$1,0),0)</f>
        <v>USD</v>
      </c>
      <c r="F21" s="1094" t="e">
        <f>VLOOKUP(C21,'Cash balance (BS)'!A:C,3,)</f>
        <v>#N/A</v>
      </c>
      <c r="G21" s="1157" t="e">
        <f t="shared" si="6"/>
        <v>#N/A</v>
      </c>
      <c r="H21" s="1318">
        <f>SUMIFS('Cash balance (Prior period)'!F:F,'Cash balance (Prior period)'!C:C,Table11[[#This Row],[ACCOUNT NUMBER]],'Cash balance (Prior period)'!E:E,Table11[[#This Row],[CURRENCY]])</f>
        <v>0</v>
      </c>
      <c r="I21" s="1318">
        <f>SUMIFS(Movement!$F$4:$F$2136,Movement!$M$4:$M$2136,"VND",Movement!$C$4:$C$2136,Table11[[#This Row],[ACCOUNT NUMBER]],Movement!$J$4:$J$2136,Table11[[#This Row],[ENTITY]],Movement!$O$4:$O$2136,'Cash Balance'!$A$2)</f>
        <v>0</v>
      </c>
      <c r="J21" s="1318">
        <f>SUMIFS(Movement!$G$4:$G$2136,Movement!$M$4:$M$2136,"VND",Movement!$C$4:$C$2136,Table11[[#This Row],[ACCOUNT NUMBER]],Movement!$J$4:$J$2136,Table11[[#This Row],[ENTITY]],Movement!$O$4:$O$2136,'Cash Balance'!$A$2)</f>
        <v>0</v>
      </c>
      <c r="K21" s="1084">
        <f>Table11[[#This Row],[CASH IN - CREDIT (VND)]]-Table11[[#This Row],[CASH OUT - DEBIT (VND)]]</f>
        <v>0</v>
      </c>
      <c r="L21" s="1095">
        <f t="shared" si="3"/>
        <v>0</v>
      </c>
      <c r="M21" s="1184" t="e">
        <f>VLOOKUP(C21,'Cash balance (BS)'!A:D,4,)</f>
        <v>#N/A</v>
      </c>
      <c r="N21" s="1095" t="e">
        <f>Table11[[#This Row],[CLOSING BALANCE (VND)2]]-Table11[[#This Row],[CB_BS (VND)]]</f>
        <v>#N/A</v>
      </c>
      <c r="O21" s="1094">
        <v>0</v>
      </c>
      <c r="P21" s="1095">
        <f t="shared" si="4"/>
        <v>0</v>
      </c>
      <c r="Q21" s="817">
        <f>SUMIFS('Cash balance (Prior period)'!G:G,'Cash balance (Prior period)'!C:C,Table11[[#This Row],[ACCOUNT NUMBER]],'Cash balance (Prior period)'!E:E,Table11[[#This Row],[CURRENCY]])</f>
        <v>0</v>
      </c>
      <c r="R21" s="817">
        <f>SUMIFS(Movement!$F$4:$F$2136,Movement!$M$4:$M$2136,"USD",Movement!$C$4:$C$2136,Table11[[#This Row],[ACCOUNT NUMBER]],Movement!$J$4:$J$2136,Table11[[#This Row],[ENTITY]],Movement!$O$4:$O$2136,'Cash Balance'!$A$2)</f>
        <v>0</v>
      </c>
      <c r="S21" s="817">
        <f>SUMIFS(Movement!$G$4:$G$2136,Movement!$M$4:$M$2136,"USD",Movement!$C$4:$C$2136,Table11[[#This Row],[ACCOUNT NUMBER]],Movement!$J$4:$J$2136,Table11[[#This Row],[ENTITY]],Movement!$O$4:$O$2136,'Cash Balance'!$A$2)</f>
        <v>0</v>
      </c>
      <c r="T21" s="1087">
        <f t="shared" si="5"/>
        <v>0</v>
      </c>
      <c r="U21" s="817"/>
      <c r="V21" s="817">
        <f>Table11[[#This Row],[CLOSING BALANCE (USD)]]-Table11[[#This Row],[CB_BS (USD)]]</f>
        <v>0</v>
      </c>
      <c r="W21" s="1156" t="str">
        <f>VLOOKUP('Cash Balance'!$C21,Table2[#All],MATCH('Cash Balance'!W$3,Acc_Char!$B$1:$I$1,0),0)</f>
        <v>BWID JSC</v>
      </c>
      <c r="X21" s="1156" t="str">
        <f>VLOOKUP(IFERROR(MID($Y21,1,FIND("-",$Y21)-2),$Y21),Table3[#All],2,0)</f>
        <v>VTB</v>
      </c>
      <c r="Y21" s="1156" t="str">
        <f>VLOOKUP($B21,Table4[#All],2,0)</f>
        <v>VIETINBANK - DONG SAI GON</v>
      </c>
      <c r="Z21" s="1151"/>
      <c r="AA21" s="49"/>
      <c r="AE21" s="818">
        <f>SUM(Table11[[#This Row],[CASH IN - CREDIT (VND)]],Table11[[#This Row],[CASH IN - CREDIT (USD)]])</f>
        <v>0</v>
      </c>
      <c r="AF21" s="818">
        <f>Table11[[#This Row],[CASH OUT - DEBIT (VND)]]+Table11[[#This Row],[CASH OUT - DEBIT (USD)]]</f>
        <v>0</v>
      </c>
      <c r="AH21" s="1158"/>
      <c r="AI21" s="49"/>
      <c r="AJ21" s="1158"/>
      <c r="AL21"/>
    </row>
    <row r="22" spans="1:38" ht="14.4">
      <c r="A22" s="1153" t="str">
        <f>VLOOKUP('Cash Balance'!$C22,Table2[#All],MATCH('Cash Balance'!A$3,Acc_Char!$B$1:$I$1,0),0)</f>
        <v>BWID BINH DUONG</v>
      </c>
      <c r="B22" s="1154" t="str">
        <f>VLOOKUP('Cash Balance'!$C22,Table2[#All],MATCH('Cash Balance'!B$3,Acc_Char!$B$1:$I$1,0),0)</f>
        <v>VIETINBANK - CN1</v>
      </c>
      <c r="C22" s="1155" t="s">
        <v>486</v>
      </c>
      <c r="D22" s="1156" t="str">
        <f>VLOOKUP('Cash Balance'!$C22,Table2[#All],MATCH('Cash Balance'!D$3,Acc_Char!$B$1:$I$1,0),0)</f>
        <v>Current Account</v>
      </c>
      <c r="E22" s="384" t="str">
        <f>VLOOKUP('Cash Balance'!$C22,Table2[#All],MATCH('Cash Balance'!E$3,Acc_Char!$B$1:$I$1,0),0)</f>
        <v>VND</v>
      </c>
      <c r="F22" s="1094" t="e">
        <f>VLOOKUP(C22,'Cash balance (BS)'!A:C,3,)</f>
        <v>#N/A</v>
      </c>
      <c r="G22" s="1157" t="e">
        <f t="shared" si="6"/>
        <v>#N/A</v>
      </c>
      <c r="H22" s="1318">
        <f>SUMIFS('Cash balance (Prior period)'!F:F,'Cash balance (Prior period)'!C:C,Table11[[#This Row],[ACCOUNT NUMBER]],'Cash balance (Prior period)'!E:E,Table11[[#This Row],[CURRENCY]])</f>
        <v>90867500</v>
      </c>
      <c r="I22" s="1318">
        <f>SUMIFS(Movement!$F$4:$F$2136,Movement!$M$4:$M$2136,"VND",Movement!$C$4:$C$2136,Table11[[#This Row],[ACCOUNT NUMBER]],Movement!$J$4:$J$2136,Table11[[#This Row],[ENTITY]],Movement!$O$4:$O$2136,'Cash Balance'!$A$2)</f>
        <v>0</v>
      </c>
      <c r="J22" s="1318">
        <f>SUMIFS(Movement!$G$4:$G$2136,Movement!$M$4:$M$2136,"VND",Movement!$C$4:$C$2136,Table11[[#This Row],[ACCOUNT NUMBER]],Movement!$J$4:$J$2136,Table11[[#This Row],[ENTITY]],Movement!$O$4:$O$2136,'Cash Balance'!$A$2)</f>
        <v>0</v>
      </c>
      <c r="K22" s="1084">
        <f>Table11[[#This Row],[CASH IN - CREDIT (VND)]]-Table11[[#This Row],[CASH OUT - DEBIT (VND)]]</f>
        <v>0</v>
      </c>
      <c r="L22" s="1095">
        <f t="shared" si="3"/>
        <v>90867500</v>
      </c>
      <c r="M22" s="1184" t="e">
        <f>VLOOKUP(C22,'Cash balance (BS)'!A:D,4,)</f>
        <v>#N/A</v>
      </c>
      <c r="N22" s="1095" t="e">
        <f>Table11[[#This Row],[CLOSING BALANCE (VND)2]]-Table11[[#This Row],[CB_BS (VND)]]</f>
        <v>#N/A</v>
      </c>
      <c r="O22" s="1094">
        <v>0</v>
      </c>
      <c r="P22" s="1095">
        <f t="shared" si="4"/>
        <v>0</v>
      </c>
      <c r="Q22" s="817">
        <f>SUMIFS('Cash balance (Prior period)'!G:G,'Cash balance (Prior period)'!C:C,Table11[[#This Row],[ACCOUNT NUMBER]],'Cash balance (Prior period)'!E:E,Table11[[#This Row],[CURRENCY]])</f>
        <v>0</v>
      </c>
      <c r="R22" s="817">
        <f>SUMIFS(Movement!$F$4:$F$2136,Movement!$M$4:$M$2136,"USD",Movement!$C$4:$C$2136,Table11[[#This Row],[ACCOUNT NUMBER]],Movement!$J$4:$J$2136,Table11[[#This Row],[ENTITY]],Movement!$O$4:$O$2136,'Cash Balance'!$A$2)</f>
        <v>0</v>
      </c>
      <c r="S22" s="817">
        <f>SUMIFS(Movement!$G$4:$G$2136,Movement!$M$4:$M$2136,"USD",Movement!$C$4:$C$2136,Table11[[#This Row],[ACCOUNT NUMBER]],Movement!$J$4:$J$2136,Table11[[#This Row],[ENTITY]],Movement!$O$4:$O$2136,'Cash Balance'!$A$2)</f>
        <v>0</v>
      </c>
      <c r="T22" s="1087">
        <f t="shared" si="5"/>
        <v>0</v>
      </c>
      <c r="U22" s="817"/>
      <c r="V22" s="817">
        <f>Table11[[#This Row],[CLOSING BALANCE (USD)]]-Table11[[#This Row],[CB_BS (USD)]]</f>
        <v>0</v>
      </c>
      <c r="W22" s="1156" t="str">
        <f>VLOOKUP('Cash Balance'!$C22,Table2[#All],MATCH('Cash Balance'!W$3,Acc_Char!$B$1:$I$1,0),0)</f>
        <v>BWID JSC</v>
      </c>
      <c r="X22" s="1156" t="str">
        <f>VLOOKUP(IFERROR(MID($Y22,1,FIND("-",$Y22)-2),$Y22),Table3[#All],2,0)</f>
        <v>VTB</v>
      </c>
      <c r="Y22" s="1156" t="str">
        <f>VLOOKUP($B22,Table4[#All],2,0)</f>
        <v>VIETINBANK - CN1</v>
      </c>
      <c r="Z22" s="1151"/>
      <c r="AA22" s="49"/>
      <c r="AE22" s="818">
        <f>SUM(Table11[[#This Row],[CASH IN - CREDIT (VND)]],Table11[[#This Row],[CASH IN - CREDIT (USD)]])</f>
        <v>0</v>
      </c>
      <c r="AF22" s="818">
        <f>Table11[[#This Row],[CASH OUT - DEBIT (VND)]]+Table11[[#This Row],[CASH OUT - DEBIT (USD)]]</f>
        <v>0</v>
      </c>
      <c r="AH22" s="1158"/>
      <c r="AI22" s="49"/>
      <c r="AJ22" s="1158"/>
      <c r="AL22"/>
    </row>
    <row r="23" spans="1:38" ht="14.4">
      <c r="A23" s="1153" t="str">
        <f>VLOOKUP('Cash Balance'!$C23,Table2[#All],MATCH('Cash Balance'!A$3,Acc_Char!$B$1:$I$1,0),0)</f>
        <v>BWID BINH DUONG</v>
      </c>
      <c r="B23" s="1154" t="str">
        <f>VLOOKUP('Cash Balance'!$C23,Table2[#All],MATCH('Cash Balance'!B$3,Acc_Char!$B$1:$I$1,0),0)</f>
        <v>MB - BINH DUONG</v>
      </c>
      <c r="C23" s="1155" t="s">
        <v>488</v>
      </c>
      <c r="D23" s="1156" t="str">
        <f>VLOOKUP('Cash Balance'!$C23,Table2[#All],MATCH('Cash Balance'!D$3,Acc_Char!$B$1:$I$1,0),0)</f>
        <v>Current Account</v>
      </c>
      <c r="E23" s="384" t="str">
        <f>VLOOKUP('Cash Balance'!$C23,Table2[#All],MATCH('Cash Balance'!E$3,Acc_Char!$B$1:$I$1,0),0)</f>
        <v>VND</v>
      </c>
      <c r="F23" s="1094" t="e">
        <f>VLOOKUP(C23,'Cash balance (BS)'!A:C,3,)</f>
        <v>#N/A</v>
      </c>
      <c r="G23" s="1157" t="e">
        <f t="shared" si="6"/>
        <v>#N/A</v>
      </c>
      <c r="H23" s="1318">
        <f>SUMIFS('Cash balance (Prior period)'!F:F,'Cash balance (Prior period)'!C:C,Table11[[#This Row],[ACCOUNT NUMBER]],'Cash balance (Prior period)'!E:E,Table11[[#This Row],[CURRENCY]])</f>
        <v>65472067</v>
      </c>
      <c r="I23" s="1318">
        <f>SUMIFS(Movement!$F$4:$F$2136,Movement!$M$4:$M$2136,"VND",Movement!$C$4:$C$2136,Table11[[#This Row],[ACCOUNT NUMBER]],Movement!$J$4:$J$2136,Table11[[#This Row],[ENTITY]],Movement!$O$4:$O$2136,'Cash Balance'!$A$2)</f>
        <v>0</v>
      </c>
      <c r="J23" s="1318">
        <f>SUMIFS(Movement!$G$4:$G$2136,Movement!$M$4:$M$2136,"VND",Movement!$C$4:$C$2136,Table11[[#This Row],[ACCOUNT NUMBER]],Movement!$J$4:$J$2136,Table11[[#This Row],[ENTITY]],Movement!$O$4:$O$2136,'Cash Balance'!$A$2)</f>
        <v>0</v>
      </c>
      <c r="K23" s="1084">
        <f>Table11[[#This Row],[CASH IN - CREDIT (VND)]]-Table11[[#This Row],[CASH OUT - DEBIT (VND)]]</f>
        <v>0</v>
      </c>
      <c r="L23" s="1095">
        <f t="shared" si="3"/>
        <v>65472067</v>
      </c>
      <c r="M23" s="1184" t="e">
        <f>VLOOKUP(C23,'Cash balance (BS)'!A:D,4,)</f>
        <v>#N/A</v>
      </c>
      <c r="N23" s="1095" t="e">
        <f>Table11[[#This Row],[CLOSING BALANCE (VND)2]]-Table11[[#This Row],[CB_BS (VND)]]</f>
        <v>#N/A</v>
      </c>
      <c r="O23" s="1094">
        <v>0</v>
      </c>
      <c r="P23" s="1095">
        <f t="shared" si="4"/>
        <v>0</v>
      </c>
      <c r="Q23" s="817">
        <f>SUMIFS('Cash balance (Prior period)'!G:G,'Cash balance (Prior period)'!C:C,Table11[[#This Row],[ACCOUNT NUMBER]],'Cash balance (Prior period)'!E:E,Table11[[#This Row],[CURRENCY]])</f>
        <v>0</v>
      </c>
      <c r="R23" s="817">
        <f>SUMIFS(Movement!$F$4:$F$2136,Movement!$M$4:$M$2136,"USD",Movement!$C$4:$C$2136,Table11[[#This Row],[ACCOUNT NUMBER]],Movement!$J$4:$J$2136,Table11[[#This Row],[ENTITY]],Movement!$O$4:$O$2136,'Cash Balance'!$A$2)</f>
        <v>0</v>
      </c>
      <c r="S23" s="817">
        <f>SUMIFS(Movement!$G$4:$G$2136,Movement!$M$4:$M$2136,"USD",Movement!$C$4:$C$2136,Table11[[#This Row],[ACCOUNT NUMBER]],Movement!$J$4:$J$2136,Table11[[#This Row],[ENTITY]],Movement!$O$4:$O$2136,'Cash Balance'!$A$2)</f>
        <v>0</v>
      </c>
      <c r="T23" s="1087">
        <f t="shared" si="5"/>
        <v>0</v>
      </c>
      <c r="U23" s="817"/>
      <c r="V23" s="817">
        <f>Table11[[#This Row],[CLOSING BALANCE (USD)]]-Table11[[#This Row],[CB_BS (USD)]]</f>
        <v>0</v>
      </c>
      <c r="W23" s="1156" t="str">
        <f>VLOOKUP('Cash Balance'!$C23,Table2[#All],MATCH('Cash Balance'!W$3,Acc_Char!$B$1:$I$1,0),0)</f>
        <v>BWID JSC</v>
      </c>
      <c r="X23" s="1156" t="str">
        <f>VLOOKUP(IFERROR(MID($Y23,1,FIND("-",$Y23)-2),$Y23),Table3[#All],2,0)</f>
        <v>Others</v>
      </c>
      <c r="Y23" s="1156" t="str">
        <f>VLOOKUP($B23,Table4[#All],2,0)</f>
        <v>OTHERS</v>
      </c>
      <c r="Z23" s="1151"/>
      <c r="AA23" s="49"/>
      <c r="AE23" s="818">
        <f>SUM(Table11[[#This Row],[CASH IN - CREDIT (VND)]],Table11[[#This Row],[CASH IN - CREDIT (USD)]])</f>
        <v>0</v>
      </c>
      <c r="AF23" s="818">
        <f>Table11[[#This Row],[CASH OUT - DEBIT (VND)]]+Table11[[#This Row],[CASH OUT - DEBIT (USD)]]</f>
        <v>0</v>
      </c>
      <c r="AH23" s="1158"/>
      <c r="AI23" s="49"/>
      <c r="AJ23" s="1158"/>
      <c r="AL23"/>
    </row>
    <row r="24" spans="1:38" ht="14.4">
      <c r="A24" s="1153" t="str">
        <f>VLOOKUP('Cash Balance'!$C24,Table2[#All],MATCH('Cash Balance'!A$3,Acc_Char!$B$1:$I$1,0),0)</f>
        <v>BWID BINH DUONG</v>
      </c>
      <c r="B24" s="1154" t="str">
        <f>VLOOKUP('Cash Balance'!$C24,Table2[#All],MATCH('Cash Balance'!B$3,Acc_Char!$B$1:$I$1,0),0)</f>
        <v>MB - BINH DUONG</v>
      </c>
      <c r="C24" s="1155" t="s">
        <v>489</v>
      </c>
      <c r="D24" s="1156" t="str">
        <f>VLOOKUP('Cash Balance'!$C24,Table2[#All],MATCH('Cash Balance'!D$3,Acc_Char!$B$1:$I$1,0),0)</f>
        <v>Current Account</v>
      </c>
      <c r="E24" s="384" t="str">
        <f>VLOOKUP('Cash Balance'!$C24,Table2[#All],MATCH('Cash Balance'!E$3,Acc_Char!$B$1:$I$1,0),0)</f>
        <v>USD</v>
      </c>
      <c r="F24" s="1094" t="e">
        <f>VLOOKUP(C24,'Cash balance (BS)'!A:C,3,)</f>
        <v>#N/A</v>
      </c>
      <c r="G24" s="1157" t="e">
        <f t="shared" si="6"/>
        <v>#N/A</v>
      </c>
      <c r="H24" s="1318">
        <f>SUMIFS('Cash balance (Prior period)'!F:F,'Cash balance (Prior period)'!C:C,Table11[[#This Row],[ACCOUNT NUMBER]],'Cash balance (Prior period)'!E:E,Table11[[#This Row],[CURRENCY]])</f>
        <v>0</v>
      </c>
      <c r="I24" s="1318">
        <f>SUMIFS(Movement!$F$4:$F$2136,Movement!$M$4:$M$2136,"VND",Movement!$C$4:$C$2136,Table11[[#This Row],[ACCOUNT NUMBER]],Movement!$J$4:$J$2136,Table11[[#This Row],[ENTITY]],Movement!$O$4:$O$2136,'Cash Balance'!$A$2)</f>
        <v>0</v>
      </c>
      <c r="J24" s="1318">
        <f>SUMIFS(Movement!$G$4:$G$2136,Movement!$M$4:$M$2136,"VND",Movement!$C$4:$C$2136,Table11[[#This Row],[ACCOUNT NUMBER]],Movement!$J$4:$J$2136,Table11[[#This Row],[ENTITY]],Movement!$O$4:$O$2136,'Cash Balance'!$A$2)</f>
        <v>0</v>
      </c>
      <c r="K24" s="1084">
        <f>Table11[[#This Row],[CASH IN - CREDIT (VND)]]-Table11[[#This Row],[CASH OUT - DEBIT (VND)]]</f>
        <v>0</v>
      </c>
      <c r="L24" s="1095">
        <f t="shared" si="3"/>
        <v>0</v>
      </c>
      <c r="M24" s="1184" t="e">
        <f>VLOOKUP(C24,'Cash balance (BS)'!A:D,4,)</f>
        <v>#N/A</v>
      </c>
      <c r="N24" s="1095" t="e">
        <f>Table11[[#This Row],[CLOSING BALANCE (VND)2]]-Table11[[#This Row],[CB_BS (VND)]]</f>
        <v>#N/A</v>
      </c>
      <c r="O24" s="1094">
        <v>0</v>
      </c>
      <c r="P24" s="1095">
        <f t="shared" si="4"/>
        <v>-0.03</v>
      </c>
      <c r="Q24" s="817">
        <f>SUMIFS('Cash balance (Prior period)'!G:G,'Cash balance (Prior period)'!C:C,Table11[[#This Row],[ACCOUNT NUMBER]],'Cash balance (Prior period)'!E:E,Table11[[#This Row],[CURRENCY]])</f>
        <v>0.03</v>
      </c>
      <c r="R24" s="817">
        <f>SUMIFS(Movement!$F$4:$F$2136,Movement!$M$4:$M$2136,"USD",Movement!$C$4:$C$2136,Table11[[#This Row],[ACCOUNT NUMBER]],Movement!$J$4:$J$2136,Table11[[#This Row],[ENTITY]],Movement!$O$4:$O$2136,'Cash Balance'!$A$2)</f>
        <v>0</v>
      </c>
      <c r="S24" s="817">
        <f>SUMIFS(Movement!$G$4:$G$2136,Movement!$M$4:$M$2136,"USD",Movement!$C$4:$C$2136,Table11[[#This Row],[ACCOUNT NUMBER]],Movement!$J$4:$J$2136,Table11[[#This Row],[ENTITY]],Movement!$O$4:$O$2136,'Cash Balance'!$A$2)</f>
        <v>0</v>
      </c>
      <c r="T24" s="1087">
        <f t="shared" si="5"/>
        <v>0.03</v>
      </c>
      <c r="U24" s="817"/>
      <c r="V24" s="817">
        <f>Table11[[#This Row],[CLOSING BALANCE (USD)]]-Table11[[#This Row],[CB_BS (USD)]]</f>
        <v>0.03</v>
      </c>
      <c r="W24" s="1156" t="str">
        <f>VLOOKUP('Cash Balance'!$C24,Table2[#All],MATCH('Cash Balance'!W$3,Acc_Char!$B$1:$I$1,0),0)</f>
        <v>BWID JSC</v>
      </c>
      <c r="X24" s="1156" t="str">
        <f>VLOOKUP(IFERROR(MID($Y24,1,FIND("-",$Y24)-2),$Y24),Table3[#All],2,0)</f>
        <v>Others</v>
      </c>
      <c r="Y24" s="1156" t="str">
        <f>VLOOKUP($B24,Table4[#All],2,0)</f>
        <v>OTHERS</v>
      </c>
      <c r="Z24" s="1151"/>
      <c r="AA24" s="49"/>
      <c r="AE24" s="818">
        <f>SUM(Table11[[#This Row],[CASH IN - CREDIT (VND)]],Table11[[#This Row],[CASH IN - CREDIT (USD)]])</f>
        <v>0</v>
      </c>
      <c r="AF24" s="818">
        <f>Table11[[#This Row],[CASH OUT - DEBIT (VND)]]+Table11[[#This Row],[CASH OUT - DEBIT (USD)]]</f>
        <v>0</v>
      </c>
      <c r="AH24" s="1158"/>
      <c r="AI24" s="49"/>
      <c r="AJ24" s="1158"/>
      <c r="AL24"/>
    </row>
    <row r="25" spans="1:38" ht="14.4">
      <c r="A25" s="1153" t="str">
        <f>VLOOKUP('Cash Balance'!$C25,Table2[#All],MATCH('Cash Balance'!A$3,Acc_Char!$B$1:$I$1,0),0)</f>
        <v>BWID BINH DUONG</v>
      </c>
      <c r="B25" s="1154" t="str">
        <f>VLOOKUP('Cash Balance'!$C25,Table2[#All],MATCH('Cash Balance'!B$3,Acc_Char!$B$1:$I$1,0),0)</f>
        <v>VIB - HOI SO</v>
      </c>
      <c r="C25" s="1155" t="s">
        <v>490</v>
      </c>
      <c r="D25" s="1156" t="str">
        <f>VLOOKUP('Cash Balance'!$C25,Table2[#All],MATCH('Cash Balance'!D$3,Acc_Char!$B$1:$I$1,0),0)</f>
        <v>Current Account</v>
      </c>
      <c r="E25" s="384" t="str">
        <f>VLOOKUP('Cash Balance'!$C25,Table2[#All],MATCH('Cash Balance'!E$3,Acc_Char!$B$1:$I$1,0),0)</f>
        <v>VND</v>
      </c>
      <c r="F25" s="1094" t="e">
        <f>VLOOKUP(C25,'Cash balance (BS)'!A:C,3,)</f>
        <v>#N/A</v>
      </c>
      <c r="G25" s="1157" t="e">
        <f t="shared" si="6"/>
        <v>#N/A</v>
      </c>
      <c r="H25" s="1318">
        <f>SUMIFS('Cash balance (Prior period)'!F:F,'Cash balance (Prior period)'!C:C,Table11[[#This Row],[ACCOUNT NUMBER]],'Cash balance (Prior period)'!E:E,Table11[[#This Row],[CURRENCY]])</f>
        <v>13672907</v>
      </c>
      <c r="I25" s="1318">
        <f>SUMIFS(Movement!$F$4:$F$2136,Movement!$M$4:$M$2136,"VND",Movement!$C$4:$C$2136,Table11[[#This Row],[ACCOUNT NUMBER]],Movement!$J$4:$J$2136,Table11[[#This Row],[ENTITY]],Movement!$O$4:$O$2136,'Cash Balance'!$A$2)</f>
        <v>0</v>
      </c>
      <c r="J25" s="1318">
        <f>SUMIFS(Movement!$G$4:$G$2136,Movement!$M$4:$M$2136,"VND",Movement!$C$4:$C$2136,Table11[[#This Row],[ACCOUNT NUMBER]],Movement!$J$4:$J$2136,Table11[[#This Row],[ENTITY]],Movement!$O$4:$O$2136,'Cash Balance'!$A$2)</f>
        <v>0</v>
      </c>
      <c r="K25" s="1084">
        <f>Table11[[#This Row],[CASH IN - CREDIT (VND)]]-Table11[[#This Row],[CASH OUT - DEBIT (VND)]]</f>
        <v>0</v>
      </c>
      <c r="L25" s="1095">
        <f t="shared" si="3"/>
        <v>13672907</v>
      </c>
      <c r="M25" s="1184" t="e">
        <f>VLOOKUP(C25,'Cash balance (BS)'!A:D,4,)</f>
        <v>#N/A</v>
      </c>
      <c r="N25" s="1095" t="e">
        <f>Table11[[#This Row],[CLOSING BALANCE (VND)2]]-Table11[[#This Row],[CB_BS (VND)]]</f>
        <v>#N/A</v>
      </c>
      <c r="O25" s="1094">
        <v>0</v>
      </c>
      <c r="P25" s="1095">
        <f t="shared" si="4"/>
        <v>0</v>
      </c>
      <c r="Q25" s="817">
        <f>SUMIFS('Cash balance (Prior period)'!G:G,'Cash balance (Prior period)'!C:C,Table11[[#This Row],[ACCOUNT NUMBER]],'Cash balance (Prior period)'!E:E,Table11[[#This Row],[CURRENCY]])</f>
        <v>0</v>
      </c>
      <c r="R25" s="817">
        <f>SUMIFS(Movement!$F$4:$F$2136,Movement!$M$4:$M$2136,"USD",Movement!$C$4:$C$2136,Table11[[#This Row],[ACCOUNT NUMBER]],Movement!$J$4:$J$2136,Table11[[#This Row],[ENTITY]],Movement!$O$4:$O$2136,'Cash Balance'!$A$2)</f>
        <v>0</v>
      </c>
      <c r="S25" s="817">
        <f>SUMIFS(Movement!$G$4:$G$2136,Movement!$M$4:$M$2136,"USD",Movement!$C$4:$C$2136,Table11[[#This Row],[ACCOUNT NUMBER]],Movement!$J$4:$J$2136,Table11[[#This Row],[ENTITY]],Movement!$O$4:$O$2136,'Cash Balance'!$A$2)</f>
        <v>0</v>
      </c>
      <c r="T25" s="1087">
        <f t="shared" si="5"/>
        <v>0</v>
      </c>
      <c r="U25" s="817"/>
      <c r="V25" s="817">
        <f>Table11[[#This Row],[CLOSING BALANCE (USD)]]-Table11[[#This Row],[CB_BS (USD)]]</f>
        <v>0</v>
      </c>
      <c r="W25" s="1156" t="str">
        <f>VLOOKUP('Cash Balance'!$C25,Table2[#All],MATCH('Cash Balance'!W$3,Acc_Char!$B$1:$I$1,0),0)</f>
        <v>BWID JSC</v>
      </c>
      <c r="X25" s="1156" t="str">
        <f>VLOOKUP(IFERROR(MID($Y25,1,FIND("-",$Y25)-2),$Y25),Table3[#All],2,0)</f>
        <v>VIB</v>
      </c>
      <c r="Y25" s="1156" t="str">
        <f>VLOOKUP($B25,Table4[#All],2,0)</f>
        <v>VIB - HOI SO</v>
      </c>
      <c r="Z25" s="1151"/>
      <c r="AA25" s="49"/>
      <c r="AE25" s="818">
        <f>SUM(Table11[[#This Row],[CASH IN - CREDIT (VND)]],Table11[[#This Row],[CASH IN - CREDIT (USD)]])</f>
        <v>0</v>
      </c>
      <c r="AF25" s="818">
        <f>Table11[[#This Row],[CASH OUT - DEBIT (VND)]]+Table11[[#This Row],[CASH OUT - DEBIT (USD)]]</f>
        <v>0</v>
      </c>
      <c r="AH25" s="1158"/>
      <c r="AI25" s="49"/>
      <c r="AJ25" s="1158"/>
      <c r="AL25"/>
    </row>
    <row r="26" spans="1:38" ht="14.4">
      <c r="A26" s="1153" t="str">
        <f>VLOOKUP('Cash Balance'!$C26,Table2[#All],MATCH('Cash Balance'!A$3,Acc_Char!$B$1:$I$1,0),0)</f>
        <v>BWID BINH DUONG</v>
      </c>
      <c r="B26" s="1154" t="str">
        <f>VLOOKUP('Cash Balance'!$C26,Table2[#All],MATCH('Cash Balance'!B$3,Acc_Char!$B$1:$I$1,0),0)</f>
        <v>VIB - HOI SO</v>
      </c>
      <c r="C26" s="1155" t="s">
        <v>491</v>
      </c>
      <c r="D26" s="1156" t="str">
        <f>VLOOKUP('Cash Balance'!$C26,Table2[#All],MATCH('Cash Balance'!D$3,Acc_Char!$B$1:$I$1,0),0)</f>
        <v>Current Account</v>
      </c>
      <c r="E26" s="384" t="str">
        <f>VLOOKUP('Cash Balance'!$C26,Table2[#All],MATCH('Cash Balance'!E$3,Acc_Char!$B$1:$I$1,0),0)</f>
        <v>USD</v>
      </c>
      <c r="F26" s="1094" t="e">
        <f>VLOOKUP(C26,'Cash balance (BS)'!A:C,3,)</f>
        <v>#N/A</v>
      </c>
      <c r="G26" s="1157" t="e">
        <f t="shared" si="6"/>
        <v>#N/A</v>
      </c>
      <c r="H26" s="1318">
        <f>SUMIFS('Cash balance (Prior period)'!F:F,'Cash balance (Prior period)'!C:C,Table11[[#This Row],[ACCOUNT NUMBER]],'Cash balance (Prior period)'!E:E,Table11[[#This Row],[CURRENCY]])</f>
        <v>0</v>
      </c>
      <c r="I26" s="1318">
        <f>SUMIFS(Movement!$F$4:$F$2136,Movement!$M$4:$M$2136,"VND",Movement!$C$4:$C$2136,Table11[[#This Row],[ACCOUNT NUMBER]],Movement!$J$4:$J$2136,Table11[[#This Row],[ENTITY]],Movement!$O$4:$O$2136,'Cash Balance'!$A$2)</f>
        <v>0</v>
      </c>
      <c r="J26" s="1318">
        <f>SUMIFS(Movement!$G$4:$G$2136,Movement!$M$4:$M$2136,"VND",Movement!$C$4:$C$2136,Table11[[#This Row],[ACCOUNT NUMBER]],Movement!$J$4:$J$2136,Table11[[#This Row],[ENTITY]],Movement!$O$4:$O$2136,'Cash Balance'!$A$2)</f>
        <v>0</v>
      </c>
      <c r="K26" s="1084">
        <f>Table11[[#This Row],[CASH IN - CREDIT (VND)]]-Table11[[#This Row],[CASH OUT - DEBIT (VND)]]</f>
        <v>0</v>
      </c>
      <c r="L26" s="1095">
        <f t="shared" si="3"/>
        <v>0</v>
      </c>
      <c r="M26" s="1184" t="e">
        <f>VLOOKUP(C26,'Cash balance (BS)'!A:D,4,)</f>
        <v>#N/A</v>
      </c>
      <c r="N26" s="1095" t="e">
        <f>Table11[[#This Row],[CLOSING BALANCE (VND)2]]-Table11[[#This Row],[CB_BS (VND)]]</f>
        <v>#N/A</v>
      </c>
      <c r="O26" s="1094">
        <v>0</v>
      </c>
      <c r="P26" s="1095">
        <f t="shared" si="4"/>
        <v>-51.599999999999987</v>
      </c>
      <c r="Q26" s="817">
        <f>SUMIFS('Cash balance (Prior period)'!G:G,'Cash balance (Prior period)'!C:C,Table11[[#This Row],[ACCOUNT NUMBER]],'Cash balance (Prior period)'!E:E,Table11[[#This Row],[CURRENCY]])</f>
        <v>51.599999999999987</v>
      </c>
      <c r="R26" s="817">
        <f>SUMIFS(Movement!$F$4:$F$2136,Movement!$M$4:$M$2136,"USD",Movement!$C$4:$C$2136,Table11[[#This Row],[ACCOUNT NUMBER]],Movement!$J$4:$J$2136,Table11[[#This Row],[ENTITY]],Movement!$O$4:$O$2136,'Cash Balance'!$A$2)</f>
        <v>0</v>
      </c>
      <c r="S26" s="817">
        <f>SUMIFS(Movement!$G$4:$G$2136,Movement!$M$4:$M$2136,"USD",Movement!$C$4:$C$2136,Table11[[#This Row],[ACCOUNT NUMBER]],Movement!$J$4:$J$2136,Table11[[#This Row],[ENTITY]],Movement!$O$4:$O$2136,'Cash Balance'!$A$2)</f>
        <v>0</v>
      </c>
      <c r="T26" s="1087">
        <f t="shared" si="5"/>
        <v>51.599999999999987</v>
      </c>
      <c r="U26" s="817"/>
      <c r="V26" s="817">
        <f>Table11[[#This Row],[CLOSING BALANCE (USD)]]-Table11[[#This Row],[CB_BS (USD)]]</f>
        <v>51.599999999999987</v>
      </c>
      <c r="W26" s="1156" t="str">
        <f>VLOOKUP('Cash Balance'!$C26,Table2[#All],MATCH('Cash Balance'!W$3,Acc_Char!$B$1:$I$1,0),0)</f>
        <v>BWID JSC</v>
      </c>
      <c r="X26" s="1156" t="str">
        <f>VLOOKUP(IFERROR(MID($Y26,1,FIND("-",$Y26)-2),$Y26),Table3[#All],2,0)</f>
        <v>VIB</v>
      </c>
      <c r="Y26" s="1156" t="str">
        <f>VLOOKUP($B26,Table4[#All],2,0)</f>
        <v>VIB - HOI SO</v>
      </c>
      <c r="Z26" s="1151"/>
      <c r="AA26" s="49"/>
      <c r="AE26" s="818">
        <f>SUM(Table11[[#This Row],[CASH IN - CREDIT (VND)]],Table11[[#This Row],[CASH IN - CREDIT (USD)]])</f>
        <v>0</v>
      </c>
      <c r="AF26" s="818">
        <f>Table11[[#This Row],[CASH OUT - DEBIT (VND)]]+Table11[[#This Row],[CASH OUT - DEBIT (USD)]]</f>
        <v>0</v>
      </c>
      <c r="AH26" s="1158"/>
      <c r="AI26" s="49"/>
      <c r="AJ26" s="1158"/>
      <c r="AL26"/>
    </row>
    <row r="27" spans="1:38" ht="14.4">
      <c r="A27" s="1153" t="str">
        <f>VLOOKUP('Cash Balance'!$C27,Table2[#All],MATCH('Cash Balance'!A$3,Acc_Char!$B$1:$I$1,0),0)</f>
        <v>BWID BINH DUONG</v>
      </c>
      <c r="B27" s="1154" t="str">
        <f>VLOOKUP('Cash Balance'!$C27,Table2[#All],MATCH('Cash Balance'!B$3,Acc_Char!$B$1:$I$1,0),0)</f>
        <v>TECHCOMBANK</v>
      </c>
      <c r="C27" s="1155" t="s">
        <v>492</v>
      </c>
      <c r="D27" s="1156" t="str">
        <f>VLOOKUP('Cash Balance'!$C27,Table2[#All],MATCH('Cash Balance'!D$3,Acc_Char!$B$1:$I$1,0),0)</f>
        <v>Current Account</v>
      </c>
      <c r="E27" s="384" t="str">
        <f>VLOOKUP('Cash Balance'!$C27,Table2[#All],MATCH('Cash Balance'!E$3,Acc_Char!$B$1:$I$1,0),0)</f>
        <v>VND</v>
      </c>
      <c r="F27" s="1094"/>
      <c r="G27" s="1157"/>
      <c r="H27" s="1318">
        <f>SUMIFS('Cash balance (Prior period)'!F:F,'Cash balance (Prior period)'!C:C,Table11[[#This Row],[ACCOUNT NUMBER]],'Cash balance (Prior period)'!E:E,Table11[[#This Row],[CURRENCY]])</f>
        <v>1367012</v>
      </c>
      <c r="I27" s="1318">
        <f>SUMIFS(Movement!$F$4:$F$2136,Movement!$M$4:$M$2136,"VND",Movement!$C$4:$C$2136,Table11[[#This Row],[ACCOUNT NUMBER]],Movement!$J$4:$J$2136,Table11[[#This Row],[ENTITY]],Movement!$O$4:$O$2136,'Cash Balance'!$A$2)</f>
        <v>0</v>
      </c>
      <c r="J27" s="1318">
        <f>SUMIFS(Movement!$G$4:$G$2136,Movement!$M$4:$M$2136,"VND",Movement!$C$4:$C$2136,Table11[[#This Row],[ACCOUNT NUMBER]],Movement!$J$4:$J$2136,Table11[[#This Row],[ENTITY]],Movement!$O$4:$O$2136,'Cash Balance'!$A$2)</f>
        <v>0</v>
      </c>
      <c r="K27" s="1084">
        <f>Table11[[#This Row],[CASH IN - CREDIT (VND)]]-Table11[[#This Row],[CASH OUT - DEBIT (VND)]]</f>
        <v>0</v>
      </c>
      <c r="L27" s="1095">
        <f t="shared" si="3"/>
        <v>1367012</v>
      </c>
      <c r="M27" s="1184" t="e">
        <f>VLOOKUP(C27,'Cash balance (BS)'!A:D,4,)</f>
        <v>#N/A</v>
      </c>
      <c r="N27" s="1095" t="e">
        <f>Table11[[#This Row],[CLOSING BALANCE (VND)2]]-Table11[[#This Row],[CB_BS (VND)]]</f>
        <v>#N/A</v>
      </c>
      <c r="O27" s="1094">
        <v>0</v>
      </c>
      <c r="P27" s="1095">
        <f t="shared" si="4"/>
        <v>0</v>
      </c>
      <c r="Q27" s="817">
        <f>SUMIFS('Cash balance (Prior period)'!G:G,'Cash balance (Prior period)'!C:C,Table11[[#This Row],[ACCOUNT NUMBER]],'Cash balance (Prior period)'!E:E,Table11[[#This Row],[CURRENCY]])</f>
        <v>0</v>
      </c>
      <c r="R27" s="817">
        <f>SUMIFS(Movement!$F$4:$F$2136,Movement!$M$4:$M$2136,"USD",Movement!$C$4:$C$2136,Table11[[#This Row],[ACCOUNT NUMBER]],Movement!$J$4:$J$2136,Table11[[#This Row],[ENTITY]],Movement!$O$4:$O$2136,'Cash Balance'!$A$2)</f>
        <v>0</v>
      </c>
      <c r="S27" s="817">
        <f>SUMIFS(Movement!$G$4:$G$2136,Movement!$M$4:$M$2136,"USD",Movement!$C$4:$C$2136,Table11[[#This Row],[ACCOUNT NUMBER]],Movement!$J$4:$J$2136,Table11[[#This Row],[ENTITY]],Movement!$O$4:$O$2136,'Cash Balance'!$A$2)</f>
        <v>0</v>
      </c>
      <c r="T27" s="1087">
        <f t="shared" si="5"/>
        <v>0</v>
      </c>
      <c r="U27" s="817" t="e">
        <f>VLOOKUP(C27,'Cash balance (BS)'!A:D,4,)</f>
        <v>#N/A</v>
      </c>
      <c r="V27" s="817" t="e">
        <f>Table11[[#This Row],[CLOSING BALANCE (USD)]]-Table11[[#This Row],[CB_BS (USD)]]</f>
        <v>#N/A</v>
      </c>
      <c r="W27" s="1156" t="str">
        <f>VLOOKUP('Cash Balance'!$C27,Table2[#All],MATCH('Cash Balance'!W$3,Acc_Char!$B$1:$I$1,0),0)</f>
        <v>BWID JSC</v>
      </c>
      <c r="X27" s="1156" t="str">
        <f>VLOOKUP(IFERROR(MID($Y27,1,FIND("-",$Y27)-2),$Y27),Table3[#All],2,0)</f>
        <v>TCB</v>
      </c>
      <c r="Y27" s="1156" t="str">
        <f>VLOOKUP($B27,Table4[#All],2,0)</f>
        <v>TECHCOMBANK</v>
      </c>
      <c r="Z27" s="1151"/>
      <c r="AA27" s="49"/>
      <c r="AE27" s="818">
        <f>SUM(Table11[[#This Row],[CASH IN - CREDIT (VND)]],Table11[[#This Row],[CASH IN - CREDIT (USD)]])</f>
        <v>0</v>
      </c>
      <c r="AF27" s="818">
        <f>Table11[[#This Row],[CASH OUT - DEBIT (VND)]]+Table11[[#This Row],[CASH OUT - DEBIT (USD)]]</f>
        <v>0</v>
      </c>
      <c r="AH27" s="1158"/>
      <c r="AI27" s="49"/>
      <c r="AJ27" s="1158"/>
      <c r="AL27"/>
    </row>
    <row r="28" spans="1:38" ht="14.4">
      <c r="A28" s="1153" t="str">
        <f>VLOOKUP('Cash Balance'!$C28,Table2[#All],MATCH('Cash Balance'!A$3,Acc_Char!$B$1:$I$1,0),0)</f>
        <v>BWID BINH DUONG</v>
      </c>
      <c r="B28" s="1154" t="str">
        <f>VLOOKUP('Cash Balance'!$C28,Table2[#All],MATCH('Cash Balance'!B$3,Acc_Char!$B$1:$I$1,0),0)</f>
        <v>OCB - BINH DUONG</v>
      </c>
      <c r="C28" s="1155" t="s">
        <v>493</v>
      </c>
      <c r="D28" s="1156" t="str">
        <f>VLOOKUP('Cash Balance'!$C28,Table2[#All],MATCH('Cash Balance'!D$3,Acc_Char!$B$1:$I$1,0),0)</f>
        <v>Current Account</v>
      </c>
      <c r="E28" s="384" t="str">
        <f>VLOOKUP('Cash Balance'!$C28,Table2[#All],MATCH('Cash Balance'!E$3,Acc_Char!$B$1:$I$1,0),0)</f>
        <v>VND</v>
      </c>
      <c r="F28" s="1094" t="e">
        <f>VLOOKUP(C28,'Cash balance (BS)'!A:C,3,)</f>
        <v>#N/A</v>
      </c>
      <c r="G28" s="1157" t="e">
        <f t="shared" ref="G28:G35" si="7">F28-H28</f>
        <v>#N/A</v>
      </c>
      <c r="H28" s="1318">
        <f>SUMIFS('Cash balance (Prior period)'!F:F,'Cash balance (Prior period)'!C:C,Table11[[#This Row],[ACCOUNT NUMBER]],'Cash balance (Prior period)'!E:E,Table11[[#This Row],[CURRENCY]])</f>
        <v>69627514</v>
      </c>
      <c r="I28" s="1318">
        <f>SUMIFS(Movement!$F$4:$F$2136,Movement!$M$4:$M$2136,"VND",Movement!$C$4:$C$2136,Table11[[#This Row],[ACCOUNT NUMBER]],Movement!$J$4:$J$2136,Table11[[#This Row],[ENTITY]],Movement!$O$4:$O$2136,'Cash Balance'!$A$2)</f>
        <v>0</v>
      </c>
      <c r="J28" s="1318">
        <f>SUMIFS(Movement!$G$4:$G$2136,Movement!$M$4:$M$2136,"VND",Movement!$C$4:$C$2136,Table11[[#This Row],[ACCOUNT NUMBER]],Movement!$J$4:$J$2136,Table11[[#This Row],[ENTITY]],Movement!$O$4:$O$2136,'Cash Balance'!$A$2)</f>
        <v>0</v>
      </c>
      <c r="K28" s="1084">
        <f>Table11[[#This Row],[CASH IN - CREDIT (VND)]]-Table11[[#This Row],[CASH OUT - DEBIT (VND)]]</f>
        <v>0</v>
      </c>
      <c r="L28" s="1095">
        <f t="shared" si="3"/>
        <v>69627514</v>
      </c>
      <c r="M28" s="1184" t="e">
        <f>VLOOKUP(C28,'Cash balance (BS)'!A:D,4,)</f>
        <v>#N/A</v>
      </c>
      <c r="N28" s="1095" t="e">
        <f>Table11[[#This Row],[CLOSING BALANCE (VND)2]]-Table11[[#This Row],[CB_BS (VND)]]</f>
        <v>#N/A</v>
      </c>
      <c r="O28" s="1094">
        <v>0</v>
      </c>
      <c r="P28" s="1095">
        <f t="shared" si="4"/>
        <v>0</v>
      </c>
      <c r="Q28" s="817">
        <f>SUMIFS('Cash balance (Prior period)'!G:G,'Cash balance (Prior period)'!C:C,Table11[[#This Row],[ACCOUNT NUMBER]],'Cash balance (Prior period)'!E:E,Table11[[#This Row],[CURRENCY]])</f>
        <v>0</v>
      </c>
      <c r="R28" s="817">
        <f>SUMIFS(Movement!$F$4:$F$2136,Movement!$M$4:$M$2136,"USD",Movement!$C$4:$C$2136,Table11[[#This Row],[ACCOUNT NUMBER]],Movement!$J$4:$J$2136,Table11[[#This Row],[ENTITY]],Movement!$O$4:$O$2136,'Cash Balance'!$A$2)</f>
        <v>0</v>
      </c>
      <c r="S28" s="817">
        <f>SUMIFS(Movement!$G$4:$G$2136,Movement!$M$4:$M$2136,"USD",Movement!$C$4:$C$2136,Table11[[#This Row],[ACCOUNT NUMBER]],Movement!$J$4:$J$2136,Table11[[#This Row],[ENTITY]],Movement!$O$4:$O$2136,'Cash Balance'!$A$2)</f>
        <v>0</v>
      </c>
      <c r="T28" s="1087">
        <f t="shared" si="5"/>
        <v>0</v>
      </c>
      <c r="U28" s="817"/>
      <c r="V28" s="817">
        <f>Table11[[#This Row],[CLOSING BALANCE (USD)]]-Table11[[#This Row],[CB_BS (USD)]]</f>
        <v>0</v>
      </c>
      <c r="W28" s="1156" t="str">
        <f>VLOOKUP('Cash Balance'!$C28,Table2[#All],MATCH('Cash Balance'!W$3,Acc_Char!$B$1:$I$1,0),0)</f>
        <v>BWID JSC</v>
      </c>
      <c r="X28" s="1156" t="str">
        <f>VLOOKUP(IFERROR(MID($Y28,1,FIND("-",$Y28)-2),$Y28),Table3[#All],2,0)</f>
        <v>OCB</v>
      </c>
      <c r="Y28" s="1156" t="str">
        <f>VLOOKUP($B28,Table4[#All],2,0)</f>
        <v>OCB - BINH DUONG</v>
      </c>
      <c r="Z28" s="1151"/>
      <c r="AA28" s="49"/>
      <c r="AE28" s="818">
        <f>SUM(Table11[[#This Row],[CASH IN - CREDIT (VND)]],Table11[[#This Row],[CASH IN - CREDIT (USD)]])</f>
        <v>0</v>
      </c>
      <c r="AF28" s="818">
        <f>Table11[[#This Row],[CASH OUT - DEBIT (VND)]]+Table11[[#This Row],[CASH OUT - DEBIT (USD)]]</f>
        <v>0</v>
      </c>
      <c r="AH28" s="1158"/>
      <c r="AI28" s="49"/>
      <c r="AJ28" s="1158"/>
      <c r="AL28"/>
    </row>
    <row r="29" spans="1:38" ht="14.4">
      <c r="A29" s="1153" t="str">
        <f>VLOOKUP('Cash Balance'!$C29,Table2[#All],MATCH('Cash Balance'!A$3,Acc_Char!$B$1:$I$1,0),0)</f>
        <v>BWID BINH DUONG</v>
      </c>
      <c r="B29" s="1154" t="str">
        <f>VLOOKUP('Cash Balance'!$C29,Table2[#All],MATCH('Cash Balance'!B$3,Acc_Char!$B$1:$I$1,0),0)</f>
        <v>OCB - BINH DUONG</v>
      </c>
      <c r="C29" s="1155" t="s">
        <v>494</v>
      </c>
      <c r="D29" s="1156" t="str">
        <f>VLOOKUP('Cash Balance'!$C29,Table2[#All],MATCH('Cash Balance'!D$3,Acc_Char!$B$1:$I$1,0),0)</f>
        <v>Current Account</v>
      </c>
      <c r="E29" s="384" t="str">
        <f>VLOOKUP('Cash Balance'!$C29,Table2[#All],MATCH('Cash Balance'!E$3,Acc_Char!$B$1:$I$1,0),0)</f>
        <v>USD</v>
      </c>
      <c r="F29" s="1094" t="e">
        <f>VLOOKUP(C29,'Cash balance (BS)'!A:C,3,)</f>
        <v>#N/A</v>
      </c>
      <c r="G29" s="1157" t="e">
        <f t="shared" si="7"/>
        <v>#N/A</v>
      </c>
      <c r="H29" s="1318">
        <f>SUMIFS('Cash balance (Prior period)'!F:F,'Cash balance (Prior period)'!C:C,Table11[[#This Row],[ACCOUNT NUMBER]],'Cash balance (Prior period)'!E:E,Table11[[#This Row],[CURRENCY]])</f>
        <v>0</v>
      </c>
      <c r="I29" s="1318">
        <f>SUMIFS(Movement!$F$4:$F$2136,Movement!$M$4:$M$2136,"VND",Movement!$C$4:$C$2136,Table11[[#This Row],[ACCOUNT NUMBER]],Movement!$J$4:$J$2136,Table11[[#This Row],[ENTITY]],Movement!$O$4:$O$2136,'Cash Balance'!$A$2)</f>
        <v>0</v>
      </c>
      <c r="J29" s="1318">
        <f>SUMIFS(Movement!$G$4:$G$2136,Movement!$M$4:$M$2136,"VND",Movement!$C$4:$C$2136,Table11[[#This Row],[ACCOUNT NUMBER]],Movement!$J$4:$J$2136,Table11[[#This Row],[ENTITY]],Movement!$O$4:$O$2136,'Cash Balance'!$A$2)</f>
        <v>0</v>
      </c>
      <c r="K29" s="1084">
        <f>Table11[[#This Row],[CASH IN - CREDIT (VND)]]-Table11[[#This Row],[CASH OUT - DEBIT (VND)]]</f>
        <v>0</v>
      </c>
      <c r="L29" s="1095">
        <f t="shared" si="3"/>
        <v>0</v>
      </c>
      <c r="M29" s="1184" t="e">
        <f>VLOOKUP(C29,'Cash balance (BS)'!A:D,4,)</f>
        <v>#N/A</v>
      </c>
      <c r="N29" s="1095" t="e">
        <f>Table11[[#This Row],[CLOSING BALANCE (VND)2]]-Table11[[#This Row],[CB_BS (VND)]]</f>
        <v>#N/A</v>
      </c>
      <c r="O29" s="1094">
        <v>0</v>
      </c>
      <c r="P29" s="1095">
        <f t="shared" si="4"/>
        <v>-150</v>
      </c>
      <c r="Q29" s="817">
        <f>SUMIFS('Cash balance (Prior period)'!G:G,'Cash balance (Prior period)'!C:C,Table11[[#This Row],[ACCOUNT NUMBER]],'Cash balance (Prior period)'!E:E,Table11[[#This Row],[CURRENCY]])</f>
        <v>150</v>
      </c>
      <c r="R29" s="817">
        <f>SUMIFS(Movement!$F$4:$F$2136,Movement!$M$4:$M$2136,"USD",Movement!$C$4:$C$2136,Table11[[#This Row],[ACCOUNT NUMBER]],Movement!$J$4:$J$2136,Table11[[#This Row],[ENTITY]],Movement!$O$4:$O$2136,'Cash Balance'!$A$2)</f>
        <v>0</v>
      </c>
      <c r="S29" s="817">
        <f>SUMIFS(Movement!$G$4:$G$2136,Movement!$M$4:$M$2136,"USD",Movement!$C$4:$C$2136,Table11[[#This Row],[ACCOUNT NUMBER]],Movement!$J$4:$J$2136,Table11[[#This Row],[ENTITY]],Movement!$O$4:$O$2136,'Cash Balance'!$A$2)</f>
        <v>0</v>
      </c>
      <c r="T29" s="1087">
        <f t="shared" si="5"/>
        <v>150</v>
      </c>
      <c r="U29" s="817"/>
      <c r="V29" s="817">
        <f>Table11[[#This Row],[CLOSING BALANCE (USD)]]-Table11[[#This Row],[CB_BS (USD)]]</f>
        <v>150</v>
      </c>
      <c r="W29" s="1156" t="str">
        <f>VLOOKUP('Cash Balance'!$C29,Table2[#All],MATCH('Cash Balance'!W$3,Acc_Char!$B$1:$I$1,0),0)</f>
        <v>BWID JSC</v>
      </c>
      <c r="X29" s="1156" t="str">
        <f>VLOOKUP(IFERROR(MID($Y29,1,FIND("-",$Y29)-2),$Y29),Table3[#All],2,0)</f>
        <v>OCB</v>
      </c>
      <c r="Y29" s="1156" t="str">
        <f>VLOOKUP($B29,Table4[#All],2,0)</f>
        <v>OCB - BINH DUONG</v>
      </c>
      <c r="Z29" s="1151"/>
      <c r="AA29" s="49"/>
      <c r="AE29" s="818">
        <f>SUM(Table11[[#This Row],[CASH IN - CREDIT (VND)]],Table11[[#This Row],[CASH IN - CREDIT (USD)]])</f>
        <v>0</v>
      </c>
      <c r="AF29" s="818">
        <f>Table11[[#This Row],[CASH OUT - DEBIT (VND)]]+Table11[[#This Row],[CASH OUT - DEBIT (USD)]]</f>
        <v>0</v>
      </c>
      <c r="AH29" s="1158"/>
      <c r="AI29" s="49"/>
      <c r="AJ29" s="1158"/>
      <c r="AL29"/>
    </row>
    <row r="30" spans="1:38" ht="14.4">
      <c r="A30" s="1153" t="str">
        <f>VLOOKUP('Cash Balance'!$C30,Table2[#All],MATCH('Cash Balance'!A$3,Acc_Char!$B$1:$I$1,0),0)</f>
        <v>BWID BINH DUONG</v>
      </c>
      <c r="B30" s="1154" t="str">
        <f>VLOOKUP('Cash Balance'!$C30,Table2[#All],MATCH('Cash Balance'!B$3,Acc_Char!$B$1:$I$1,0),0)</f>
        <v>ACB - HCM</v>
      </c>
      <c r="C30" s="1155" t="s">
        <v>495</v>
      </c>
      <c r="D30" s="1156" t="str">
        <f>VLOOKUP('Cash Balance'!$C30,Table2[#All],MATCH('Cash Balance'!D$3,Acc_Char!$B$1:$I$1,0),0)</f>
        <v>Current Account</v>
      </c>
      <c r="E30" s="384" t="str">
        <f>VLOOKUP('Cash Balance'!$C30,Table2[#All],MATCH('Cash Balance'!E$3,Acc_Char!$B$1:$I$1,0),0)</f>
        <v>VND</v>
      </c>
      <c r="F30" s="1094" t="e">
        <f>VLOOKUP(C30,'Cash balance (BS)'!A:C,3,)</f>
        <v>#N/A</v>
      </c>
      <c r="G30" s="1157" t="e">
        <f t="shared" si="7"/>
        <v>#N/A</v>
      </c>
      <c r="H30" s="1318">
        <f>SUMIFS('Cash balance (Prior period)'!F:F,'Cash balance (Prior period)'!C:C,Table11[[#This Row],[ACCOUNT NUMBER]],'Cash balance (Prior period)'!E:E,Table11[[#This Row],[CURRENCY]])</f>
        <v>69320954</v>
      </c>
      <c r="I30" s="1318">
        <f>SUMIFS(Movement!$F$4:$F$2136,Movement!$M$4:$M$2136,"VND",Movement!$C$4:$C$2136,Table11[[#This Row],[ACCOUNT NUMBER]],Movement!$J$4:$J$2136,Table11[[#This Row],[ENTITY]],Movement!$O$4:$O$2136,'Cash Balance'!$A$2)</f>
        <v>0</v>
      </c>
      <c r="J30" s="1318">
        <f>SUMIFS(Movement!$G$4:$G$2136,Movement!$M$4:$M$2136,"VND",Movement!$C$4:$C$2136,Table11[[#This Row],[ACCOUNT NUMBER]],Movement!$J$4:$J$2136,Table11[[#This Row],[ENTITY]],Movement!$O$4:$O$2136,'Cash Balance'!$A$2)</f>
        <v>0</v>
      </c>
      <c r="K30" s="1084">
        <f>Table11[[#This Row],[CASH IN - CREDIT (VND)]]-Table11[[#This Row],[CASH OUT - DEBIT (VND)]]</f>
        <v>0</v>
      </c>
      <c r="L30" s="1095">
        <f t="shared" si="3"/>
        <v>69320954</v>
      </c>
      <c r="M30" s="1184" t="e">
        <f>VLOOKUP(C30,'Cash balance (BS)'!A:D,4,)</f>
        <v>#N/A</v>
      </c>
      <c r="N30" s="1095" t="e">
        <f>Table11[[#This Row],[CLOSING BALANCE (VND)2]]-Table11[[#This Row],[CB_BS (VND)]]</f>
        <v>#N/A</v>
      </c>
      <c r="O30" s="1094">
        <v>0</v>
      </c>
      <c r="P30" s="1095">
        <f t="shared" si="4"/>
        <v>0</v>
      </c>
      <c r="Q30" s="817">
        <f>SUMIFS('Cash balance (Prior period)'!G:G,'Cash balance (Prior period)'!C:C,Table11[[#This Row],[ACCOUNT NUMBER]],'Cash balance (Prior period)'!E:E,Table11[[#This Row],[CURRENCY]])</f>
        <v>0</v>
      </c>
      <c r="R30" s="817">
        <f>SUMIFS(Movement!$F$4:$F$2136,Movement!$M$4:$M$2136,"USD",Movement!$C$4:$C$2136,Table11[[#This Row],[ACCOUNT NUMBER]],Movement!$J$4:$J$2136,Table11[[#This Row],[ENTITY]],Movement!$O$4:$O$2136,'Cash Balance'!$A$2)</f>
        <v>0</v>
      </c>
      <c r="S30" s="817">
        <f>SUMIFS(Movement!$G$4:$G$2136,Movement!$M$4:$M$2136,"USD",Movement!$C$4:$C$2136,Table11[[#This Row],[ACCOUNT NUMBER]],Movement!$J$4:$J$2136,Table11[[#This Row],[ENTITY]],Movement!$O$4:$O$2136,'Cash Balance'!$A$2)</f>
        <v>0</v>
      </c>
      <c r="T30" s="1087">
        <f t="shared" si="5"/>
        <v>0</v>
      </c>
      <c r="U30" s="817"/>
      <c r="V30" s="817">
        <f>Table11[[#This Row],[CLOSING BALANCE (USD)]]-Table11[[#This Row],[CB_BS (USD)]]</f>
        <v>0</v>
      </c>
      <c r="W30" s="1156" t="str">
        <f>VLOOKUP('Cash Balance'!$C30,Table2[#All],MATCH('Cash Balance'!W$3,Acc_Char!$B$1:$I$1,0),0)</f>
        <v>BWID JSC</v>
      </c>
      <c r="X30" s="1156" t="str">
        <f>VLOOKUP(IFERROR(MID($Y30,1,FIND("-",$Y30)-2),$Y30),Table3[#All],2,0)</f>
        <v>ACB</v>
      </c>
      <c r="Y30" s="1156" t="str">
        <f>VLOOKUP($B30,Table4[#All],2,0)</f>
        <v>ACB - HCM</v>
      </c>
      <c r="Z30" s="1151"/>
      <c r="AA30" s="49"/>
      <c r="AE30" s="818">
        <f>SUM(Table11[[#This Row],[CASH IN - CREDIT (VND)]],Table11[[#This Row],[CASH IN - CREDIT (USD)]])</f>
        <v>0</v>
      </c>
      <c r="AF30" s="818">
        <f>Table11[[#This Row],[CASH OUT - DEBIT (VND)]]+Table11[[#This Row],[CASH OUT - DEBIT (USD)]]</f>
        <v>0</v>
      </c>
      <c r="AH30" s="1158"/>
      <c r="AI30" s="49"/>
      <c r="AJ30" s="1158"/>
      <c r="AL30"/>
    </row>
    <row r="31" spans="1:38" ht="14.4">
      <c r="A31" s="1153" t="str">
        <f>VLOOKUP('Cash Balance'!$C31,Table2[#All],MATCH('Cash Balance'!A$3,Acc_Char!$B$1:$I$1,0),0)</f>
        <v>BWID BINH DUONG</v>
      </c>
      <c r="B31" s="1154" t="str">
        <f>VLOOKUP('Cash Balance'!$C31,Table2[#All],MATCH('Cash Balance'!B$3,Acc_Char!$B$1:$I$1,0),0)</f>
        <v>ACB - HCM</v>
      </c>
      <c r="C31" s="1155" t="s">
        <v>496</v>
      </c>
      <c r="D31" s="1156" t="str">
        <f>VLOOKUP('Cash Balance'!$C31,Table2[#All],MATCH('Cash Balance'!D$3,Acc_Char!$B$1:$I$1,0),0)</f>
        <v>Current Account</v>
      </c>
      <c r="E31" s="384" t="str">
        <f>VLOOKUP('Cash Balance'!$C31,Table2[#All],MATCH('Cash Balance'!E$3,Acc_Char!$B$1:$I$1,0),0)</f>
        <v>USD</v>
      </c>
      <c r="F31" s="1094" t="e">
        <f>VLOOKUP(C31,'Cash balance (BS)'!A:C,3,)</f>
        <v>#N/A</v>
      </c>
      <c r="G31" s="1157" t="e">
        <f t="shared" si="7"/>
        <v>#N/A</v>
      </c>
      <c r="H31" s="1318">
        <f>SUMIFS('Cash balance (Prior period)'!F:F,'Cash balance (Prior period)'!C:C,Table11[[#This Row],[ACCOUNT NUMBER]],'Cash balance (Prior period)'!E:E,Table11[[#This Row],[CURRENCY]])</f>
        <v>0</v>
      </c>
      <c r="I31" s="1318">
        <f>SUMIFS(Movement!$F$4:$F$2136,Movement!$M$4:$M$2136,"VND",Movement!$C$4:$C$2136,Table11[[#This Row],[ACCOUNT NUMBER]],Movement!$J$4:$J$2136,Table11[[#This Row],[ENTITY]],Movement!$O$4:$O$2136,'Cash Balance'!$A$2)</f>
        <v>0</v>
      </c>
      <c r="J31" s="1318">
        <f>SUMIFS(Movement!$G$4:$G$2136,Movement!$M$4:$M$2136,"VND",Movement!$C$4:$C$2136,Table11[[#This Row],[ACCOUNT NUMBER]],Movement!$J$4:$J$2136,Table11[[#This Row],[ENTITY]],Movement!$O$4:$O$2136,'Cash Balance'!$A$2)</f>
        <v>0</v>
      </c>
      <c r="K31" s="1084">
        <f>Table11[[#This Row],[CASH IN - CREDIT (VND)]]-Table11[[#This Row],[CASH OUT - DEBIT (VND)]]</f>
        <v>0</v>
      </c>
      <c r="L31" s="1095">
        <f t="shared" si="3"/>
        <v>0</v>
      </c>
      <c r="M31" s="1184" t="e">
        <f>VLOOKUP(C31,'Cash balance (BS)'!A:D,4,)</f>
        <v>#N/A</v>
      </c>
      <c r="N31" s="1095" t="e">
        <f>Table11[[#This Row],[CLOSING BALANCE (VND)2]]-Table11[[#This Row],[CB_BS (VND)]]</f>
        <v>#N/A</v>
      </c>
      <c r="O31" s="1094">
        <v>0</v>
      </c>
      <c r="P31" s="1095">
        <f t="shared" si="4"/>
        <v>0</v>
      </c>
      <c r="Q31" s="817">
        <f>SUMIFS('Cash balance (Prior period)'!G:G,'Cash balance (Prior period)'!C:C,Table11[[#This Row],[ACCOUNT NUMBER]],'Cash balance (Prior period)'!E:E,Table11[[#This Row],[CURRENCY]])</f>
        <v>0</v>
      </c>
      <c r="R31" s="817">
        <f>SUMIFS(Movement!$F$4:$F$2136,Movement!$M$4:$M$2136,"USD",Movement!$C$4:$C$2136,Table11[[#This Row],[ACCOUNT NUMBER]],Movement!$J$4:$J$2136,Table11[[#This Row],[ENTITY]],Movement!$O$4:$O$2136,'Cash Balance'!$A$2)</f>
        <v>0</v>
      </c>
      <c r="S31" s="817">
        <f>SUMIFS(Movement!$G$4:$G$2136,Movement!$M$4:$M$2136,"USD",Movement!$C$4:$C$2136,Table11[[#This Row],[ACCOUNT NUMBER]],Movement!$J$4:$J$2136,Table11[[#This Row],[ENTITY]],Movement!$O$4:$O$2136,'Cash Balance'!$A$2)</f>
        <v>0</v>
      </c>
      <c r="T31" s="1087">
        <f t="shared" si="5"/>
        <v>0</v>
      </c>
      <c r="U31" s="817"/>
      <c r="V31" s="817">
        <f>Table11[[#This Row],[CLOSING BALANCE (USD)]]-Table11[[#This Row],[CB_BS (USD)]]</f>
        <v>0</v>
      </c>
      <c r="W31" s="1156" t="str">
        <f>VLOOKUP('Cash Balance'!$C31,Table2[#All],MATCH('Cash Balance'!W$3,Acc_Char!$B$1:$I$1,0),0)</f>
        <v>BWID JSC</v>
      </c>
      <c r="X31" s="1156" t="str">
        <f>VLOOKUP(IFERROR(MID($Y31,1,FIND("-",$Y31)-2),$Y31),Table3[#All],2,0)</f>
        <v>ACB</v>
      </c>
      <c r="Y31" s="1156" t="str">
        <f>VLOOKUP($B31,Table4[#All],2,0)</f>
        <v>ACB - HCM</v>
      </c>
      <c r="Z31" s="1151"/>
      <c r="AA31" s="49"/>
      <c r="AE31" s="818">
        <f>SUM(Table11[[#This Row],[CASH IN - CREDIT (VND)]],Table11[[#This Row],[CASH IN - CREDIT (USD)]])</f>
        <v>0</v>
      </c>
      <c r="AF31" s="818">
        <f>Table11[[#This Row],[CASH OUT - DEBIT (VND)]]+Table11[[#This Row],[CASH OUT - DEBIT (USD)]]</f>
        <v>0</v>
      </c>
      <c r="AH31" s="1158"/>
      <c r="AI31" s="49"/>
      <c r="AJ31" s="1158"/>
      <c r="AL31"/>
    </row>
    <row r="32" spans="1:38" ht="14.4">
      <c r="A32" s="1153" t="str">
        <f>VLOOKUP('Cash Balance'!$C32,Table2[#All],MATCH('Cash Balance'!A$3,Acc_Char!$B$1:$I$1,0),0)</f>
        <v>BW NAM DINH VU</v>
      </c>
      <c r="B32" s="1154" t="str">
        <f>VLOOKUP('Cash Balance'!$C32,Table2[#All],MATCH('Cash Balance'!B$3,Acc_Char!$B$1:$I$1,0),0)</f>
        <v>VIETINBANK - TIEN SON</v>
      </c>
      <c r="C32" s="1155" t="s">
        <v>497</v>
      </c>
      <c r="D32" s="1156" t="str">
        <f>VLOOKUP('Cash Balance'!$C32,Table2[#All],MATCH('Cash Balance'!D$3,Acc_Char!$B$1:$I$1,0),0)</f>
        <v>Current Account</v>
      </c>
      <c r="E32" s="384" t="str">
        <f>VLOOKUP('Cash Balance'!$C32,Table2[#All],MATCH('Cash Balance'!E$3,Acc_Char!$B$1:$I$1,0),0)</f>
        <v>USD</v>
      </c>
      <c r="F32" s="1094" t="e">
        <f>VLOOKUP(C32,'Cash balance (BS)'!A:C,3,)</f>
        <v>#N/A</v>
      </c>
      <c r="G32" s="1157" t="e">
        <f>F32-H32</f>
        <v>#N/A</v>
      </c>
      <c r="H32" s="1318">
        <f>SUMIFS('Cash balance (Prior period)'!F:F,'Cash balance (Prior period)'!C:C,Table11[[#This Row],[ACCOUNT NUMBER]],'Cash balance (Prior period)'!E:E,Table11[[#This Row],[CURRENCY]])</f>
        <v>0</v>
      </c>
      <c r="I32" s="1318">
        <f>SUMIFS(Movement!$F$4:$F$2136,Movement!$M$4:$M$2136,"VND",Movement!$C$4:$C$2136,Table11[[#This Row],[ACCOUNT NUMBER]],Movement!$J$4:$J$2136,Table11[[#This Row],[ENTITY]],Movement!$O$4:$O$2136,'Cash Balance'!$A$2)</f>
        <v>0</v>
      </c>
      <c r="J32" s="1318">
        <f>SUMIFS(Movement!$G$4:$G$2136,Movement!$M$4:$M$2136,"VND",Movement!$C$4:$C$2136,Table11[[#This Row],[ACCOUNT NUMBER]],Movement!$J$4:$J$2136,Table11[[#This Row],[ENTITY]],Movement!$O$4:$O$2136,'Cash Balance'!$A$2)</f>
        <v>0</v>
      </c>
      <c r="K32" s="1084">
        <f>Table11[[#This Row],[CASH IN - CREDIT (VND)]]-Table11[[#This Row],[CASH OUT - DEBIT (VND)]]</f>
        <v>0</v>
      </c>
      <c r="L32" s="1095">
        <f t="shared" ref="L32" si="8">H32+I32-J32</f>
        <v>0</v>
      </c>
      <c r="M32" s="1184" t="e">
        <f>VLOOKUP(C32,'Cash balance (BS)'!A:D,4,)</f>
        <v>#N/A</v>
      </c>
      <c r="N32" s="1095" t="e">
        <f>Table11[[#This Row],[CLOSING BALANCE (VND)2]]-Table11[[#This Row],[CB_BS (VND)]]</f>
        <v>#N/A</v>
      </c>
      <c r="O32" s="1094">
        <v>0</v>
      </c>
      <c r="P32" s="1095">
        <f t="shared" ref="P32" si="9">O32-Q32</f>
        <v>-29510.41</v>
      </c>
      <c r="Q32" s="817">
        <f>SUMIFS('Cash balance (Prior period)'!G:G,'Cash balance (Prior period)'!C:C,Table11[[#This Row],[ACCOUNT NUMBER]],'Cash balance (Prior period)'!E:E,Table11[[#This Row],[CURRENCY]])</f>
        <v>29510.41</v>
      </c>
      <c r="R32" s="817">
        <f>SUMIFS(Movement!$F$4:$F$2136,Movement!$M$4:$M$2136,"USD",Movement!$C$4:$C$2136,Table11[[#This Row],[ACCOUNT NUMBER]],Movement!$J$4:$J$2136,Table11[[#This Row],[ENTITY]],Movement!$O$4:$O$2136,'Cash Balance'!$A$2)</f>
        <v>0</v>
      </c>
      <c r="S32" s="817">
        <f>SUMIFS(Movement!$G$4:$G$2136,Movement!$M$4:$M$2136,"USD",Movement!$C$4:$C$2136,Table11[[#This Row],[ACCOUNT NUMBER]],Movement!$J$4:$J$2136,Table11[[#This Row],[ENTITY]],Movement!$O$4:$O$2136,'Cash Balance'!$A$2)</f>
        <v>0</v>
      </c>
      <c r="T32" s="1087">
        <f t="shared" ref="T32" si="10">Q32+R32-S32</f>
        <v>29510.41</v>
      </c>
      <c r="U32" s="817"/>
      <c r="V32" s="817">
        <f>Table11[[#This Row],[CLOSING BALANCE (USD)]]-Table11[[#This Row],[CB_BS (USD)]]</f>
        <v>29510.41</v>
      </c>
      <c r="W32" s="1156" t="str">
        <f>VLOOKUP('Cash Balance'!$C32,Table2[#All],MATCH('Cash Balance'!W$3,Acc_Char!$B$1:$I$1,0),0)</f>
        <v>Subsidiaries</v>
      </c>
      <c r="X32" s="1156" t="str">
        <f>VLOOKUP(IFERROR(MID($Y32,1,FIND("-",$Y32)-2),$Y32),Table3[#All],2,0)</f>
        <v>VTB</v>
      </c>
      <c r="Y32" s="1156" t="str">
        <f>VLOOKUP($B32,Table4[#All],2,0)</f>
        <v>VIETINBANK - TIEN SON</v>
      </c>
      <c r="Z32" s="1151"/>
      <c r="AA32" s="49"/>
      <c r="AE32" s="818"/>
      <c r="AF32" s="818"/>
      <c r="AH32" s="1158"/>
      <c r="AI32" s="49"/>
      <c r="AJ32" s="1158"/>
      <c r="AL32"/>
    </row>
    <row r="33" spans="1:39" ht="14.4">
      <c r="A33" s="1153" t="str">
        <f>VLOOKUP('Cash Balance'!$C33,Table2[#All],MATCH('Cash Balance'!A$3,Acc_Char!$B$1:$I$1,0),0)</f>
        <v>BWID BINH DUONG</v>
      </c>
      <c r="B33" s="1154" t="str">
        <f>VLOOKUP('Cash Balance'!$C33,Table2[#All],MATCH('Cash Balance'!B$3,Acc_Char!$B$1:$I$1,0),0)</f>
        <v>SINOPAC</v>
      </c>
      <c r="C33" s="1155" t="s">
        <v>498</v>
      </c>
      <c r="D33" s="1156" t="str">
        <f>VLOOKUP('Cash Balance'!$C33,Table2[#All],MATCH('Cash Balance'!D$3,Acc_Char!$B$1:$I$1,0),0)</f>
        <v>Current Account</v>
      </c>
      <c r="E33" s="384" t="str">
        <f>VLOOKUP('Cash Balance'!$C33,Table2[#All],MATCH('Cash Balance'!E$3,Acc_Char!$B$1:$I$1,0),0)</f>
        <v>VND</v>
      </c>
      <c r="F33" s="1094" t="e">
        <f>VLOOKUP(C33,'Cash balance (BS)'!A:C,3,)</f>
        <v>#N/A</v>
      </c>
      <c r="G33" s="1157" t="e">
        <f t="shared" si="7"/>
        <v>#N/A</v>
      </c>
      <c r="H33" s="1318">
        <f>SUMIFS('Cash balance (Prior period)'!F:F,'Cash balance (Prior period)'!C:C,Table11[[#This Row],[ACCOUNT NUMBER]],'Cash balance (Prior period)'!E:E,Table11[[#This Row],[CURRENCY]])</f>
        <v>375292939</v>
      </c>
      <c r="I33" s="1318">
        <f>SUMIFS(Movement!$F$4:$F$2136,Movement!$M$4:$M$2136,"VND",Movement!$C$4:$C$2136,Table11[[#This Row],[ACCOUNT NUMBER]],Movement!$J$4:$J$2136,Table11[[#This Row],[ENTITY]],Movement!$O$4:$O$2136,'Cash Balance'!$A$2)</f>
        <v>30238175743</v>
      </c>
      <c r="J33" s="1318">
        <f>SUMIFS(Movement!$G$4:$G$2136,Movement!$M$4:$M$2136,"VND",Movement!$C$4:$C$2136,Table11[[#This Row],[ACCOUNT NUMBER]],Movement!$J$4:$J$2136,Table11[[#This Row],[ENTITY]],Movement!$O$4:$O$2136,'Cash Balance'!$A$2)</f>
        <v>30000000000</v>
      </c>
      <c r="K33" s="1084">
        <f>Table11[[#This Row],[CASH IN - CREDIT (VND)]]-Table11[[#This Row],[CASH OUT - DEBIT (VND)]]</f>
        <v>238175743</v>
      </c>
      <c r="L33" s="1095">
        <f t="shared" si="3"/>
        <v>613468682</v>
      </c>
      <c r="M33" s="1184" t="e">
        <f>VLOOKUP(C33,'Cash balance (BS)'!A:D,4,)</f>
        <v>#N/A</v>
      </c>
      <c r="N33" s="1095" t="e">
        <f>Table11[[#This Row],[CLOSING BALANCE (VND)2]]-Table11[[#This Row],[CB_BS (VND)]]</f>
        <v>#N/A</v>
      </c>
      <c r="O33" s="1094">
        <v>0</v>
      </c>
      <c r="P33" s="1095">
        <f t="shared" si="4"/>
        <v>0</v>
      </c>
      <c r="Q33" s="817">
        <f>SUMIFS('Cash balance (Prior period)'!G:G,'Cash balance (Prior period)'!C:C,Table11[[#This Row],[ACCOUNT NUMBER]],'Cash balance (Prior period)'!E:E,Table11[[#This Row],[CURRENCY]])</f>
        <v>0</v>
      </c>
      <c r="R33" s="817">
        <f>SUMIFS(Movement!$F$4:$F$2136,Movement!$M$4:$M$2136,"USD",Movement!$C$4:$C$2136,Table11[[#This Row],[ACCOUNT NUMBER]],Movement!$J$4:$J$2136,Table11[[#This Row],[ENTITY]],Movement!$O$4:$O$2136,'Cash Balance'!$A$2)</f>
        <v>0</v>
      </c>
      <c r="S33" s="817">
        <f>SUMIFS(Movement!$G$4:$G$2136,Movement!$M$4:$M$2136,"USD",Movement!$C$4:$C$2136,Table11[[#This Row],[ACCOUNT NUMBER]],Movement!$J$4:$J$2136,Table11[[#This Row],[ENTITY]],Movement!$O$4:$O$2136,'Cash Balance'!$A$2)</f>
        <v>0</v>
      </c>
      <c r="T33" s="1087">
        <f t="shared" si="5"/>
        <v>0</v>
      </c>
      <c r="U33" s="817"/>
      <c r="V33" s="817">
        <f>Table11[[#This Row],[CLOSING BALANCE (USD)]]-Table11[[#This Row],[CB_BS (USD)]]</f>
        <v>0</v>
      </c>
      <c r="W33" s="1156" t="str">
        <f>VLOOKUP('Cash Balance'!$C33,Table2[#All],MATCH('Cash Balance'!W$3,Acc_Char!$B$1:$I$1,0),0)</f>
        <v>BWID JSC</v>
      </c>
      <c r="X33" s="1156" t="str">
        <f>VLOOKUP(IFERROR(MID($Y33,1,FIND("-",$Y33)-2),$Y33),Table3[#All],2,0)</f>
        <v>SNP</v>
      </c>
      <c r="Y33" s="1156" t="str">
        <f>VLOOKUP($B33,Table4[#All],2,0)</f>
        <v>SINOPAC</v>
      </c>
      <c r="Z33" s="1151"/>
      <c r="AA33" s="49"/>
      <c r="AE33" s="818">
        <f>SUM(Table11[[#This Row],[CASH IN - CREDIT (VND)]],Table11[[#This Row],[CASH IN - CREDIT (USD)]])</f>
        <v>30238175743</v>
      </c>
      <c r="AF33" s="818">
        <f>Table11[[#This Row],[CASH OUT - DEBIT (VND)]]+Table11[[#This Row],[CASH OUT - DEBIT (USD)]]</f>
        <v>30000000000</v>
      </c>
      <c r="AH33" s="1158"/>
      <c r="AI33" s="49"/>
      <c r="AJ33" s="1158"/>
      <c r="AL33"/>
    </row>
    <row r="34" spans="1:39" ht="14.4">
      <c r="A34" s="1153" t="str">
        <f>VLOOKUP('Cash Balance'!$C34,Table2[#All],MATCH('Cash Balance'!A$3,Acc_Char!$B$1:$I$1,0),0)</f>
        <v>BWID HAI DUONG</v>
      </c>
      <c r="B34" s="1154" t="str">
        <f>VLOOKUP('Cash Balance'!$C34,Table2[#All],MATCH('Cash Balance'!B$3,Acc_Char!$B$1:$I$1,0),0)</f>
        <v>VIETINBANK - TIEN SON</v>
      </c>
      <c r="C34" s="1155" t="s">
        <v>500</v>
      </c>
      <c r="D34" s="1156" t="str">
        <f>VLOOKUP('Cash Balance'!$C34,Table2[#All],MATCH('Cash Balance'!D$3,Acc_Char!$B$1:$I$1,0),0)</f>
        <v>Current Account</v>
      </c>
      <c r="E34" s="384" t="str">
        <f>VLOOKUP('Cash Balance'!$C34,Table2[#All],MATCH('Cash Balance'!E$3,Acc_Char!$B$1:$I$1,0),0)</f>
        <v>VND</v>
      </c>
      <c r="F34" s="1094" t="e">
        <f>VLOOKUP(C34,'Cash balance (BS)'!A:C,3,)</f>
        <v>#N/A</v>
      </c>
      <c r="G34" s="1157" t="e">
        <f t="shared" si="7"/>
        <v>#N/A</v>
      </c>
      <c r="H34" s="1318">
        <f>SUMIFS('Cash balance (Prior period)'!F:F,'Cash balance (Prior period)'!C:C,Table11[[#This Row],[ACCOUNT NUMBER]],'Cash balance (Prior period)'!E:E,Table11[[#This Row],[CURRENCY]])</f>
        <v>3189257680</v>
      </c>
      <c r="I34" s="1318">
        <f>SUMIFS(Movement!$F$4:$F$2136,Movement!$M$4:$M$2136,"VND",Movement!$C$4:$C$2136,Table11[[#This Row],[ACCOUNT NUMBER]],Movement!$J$4:$J$2136,Table11[[#This Row],[ENTITY]],Movement!$O$4:$O$2136,'Cash Balance'!$A$2)</f>
        <v>14643111823</v>
      </c>
      <c r="J34" s="1318">
        <f>SUMIFS(Movement!$G$4:$G$2136,Movement!$M$4:$M$2136,"VND",Movement!$C$4:$C$2136,Table11[[#This Row],[ACCOUNT NUMBER]],Movement!$J$4:$J$2136,Table11[[#This Row],[ENTITY]],Movement!$O$4:$O$2136,'Cash Balance'!$A$2)</f>
        <v>61347218</v>
      </c>
      <c r="K34" s="1084">
        <f>Table11[[#This Row],[CASH IN - CREDIT (VND)]]-Table11[[#This Row],[CASH OUT - DEBIT (VND)]]</f>
        <v>14581764605</v>
      </c>
      <c r="L34" s="1095">
        <f t="shared" si="3"/>
        <v>17771022285</v>
      </c>
      <c r="M34" s="1184" t="e">
        <f>VLOOKUP(C34,'Cash balance (BS)'!A:D,4,)</f>
        <v>#N/A</v>
      </c>
      <c r="N34" s="1095" t="e">
        <f>Table11[[#This Row],[CLOSING BALANCE (VND)2]]-Table11[[#This Row],[CB_BS (VND)]]</f>
        <v>#N/A</v>
      </c>
      <c r="O34" s="1094">
        <v>0</v>
      </c>
      <c r="P34" s="1095">
        <f t="shared" si="4"/>
        <v>0</v>
      </c>
      <c r="Q34" s="817">
        <f>SUMIFS('Cash balance (Prior period)'!G:G,'Cash balance (Prior period)'!C:C,Table11[[#This Row],[ACCOUNT NUMBER]],'Cash balance (Prior period)'!E:E,Table11[[#This Row],[CURRENCY]])</f>
        <v>0</v>
      </c>
      <c r="R34" s="817">
        <f>SUMIFS(Movement!$F$4:$F$2136,Movement!$M$4:$M$2136,"USD",Movement!$C$4:$C$2136,Table11[[#This Row],[ACCOUNT NUMBER]],Movement!$J$4:$J$2136,Table11[[#This Row],[ENTITY]],Movement!$O$4:$O$2136,'Cash Balance'!$A$2)</f>
        <v>0</v>
      </c>
      <c r="S34" s="817">
        <f>SUMIFS(Movement!$G$4:$G$2136,Movement!$M$4:$M$2136,"USD",Movement!$C$4:$C$2136,Table11[[#This Row],[ACCOUNT NUMBER]],Movement!$J$4:$J$2136,Table11[[#This Row],[ENTITY]],Movement!$O$4:$O$2136,'Cash Balance'!$A$2)</f>
        <v>0</v>
      </c>
      <c r="T34" s="1087">
        <f t="shared" si="5"/>
        <v>0</v>
      </c>
      <c r="U34" s="817"/>
      <c r="V34" s="817">
        <f>Table11[[#This Row],[CLOSING BALANCE (USD)]]-Table11[[#This Row],[CB_BS (USD)]]</f>
        <v>0</v>
      </c>
      <c r="W34" s="1156" t="str">
        <f>VLOOKUP('Cash Balance'!$C34,Table2[#All],MATCH('Cash Balance'!W$3,Acc_Char!$B$1:$I$1,0),0)</f>
        <v>Subsidiaries</v>
      </c>
      <c r="X34" s="1156" t="str">
        <f>VLOOKUP(IFERROR(MID($Y34,1,FIND("-",$Y34)-2),$Y34),Table3[#All],2,0)</f>
        <v>VTB</v>
      </c>
      <c r="Y34" s="1156" t="str">
        <f>VLOOKUP($B34,Table4[#All],2,0)</f>
        <v>VIETINBANK - TIEN SON</v>
      </c>
      <c r="Z34" s="1151"/>
      <c r="AA34" s="49"/>
      <c r="AE34" s="818">
        <f>SUM(Table11[[#This Row],[CASH IN - CREDIT (VND)]],Table11[[#This Row],[CASH IN - CREDIT (USD)]])</f>
        <v>14643111823</v>
      </c>
      <c r="AF34" s="818">
        <f>Table11[[#This Row],[CASH OUT - DEBIT (VND)]]+Table11[[#This Row],[CASH OUT - DEBIT (USD)]]</f>
        <v>61347218</v>
      </c>
      <c r="AH34" s="1158"/>
      <c r="AI34" s="49"/>
      <c r="AJ34" s="1158"/>
      <c r="AL34"/>
    </row>
    <row r="35" spans="1:39" ht="14.4">
      <c r="A35" s="1153" t="str">
        <f>VLOOKUP('Cash Balance'!$C35,Table2[#All],MATCH('Cash Balance'!A$3,Acc_Char!$B$1:$I$1,0),0)</f>
        <v>BWID HAI DUONG</v>
      </c>
      <c r="B35" s="1154" t="str">
        <f>VLOOKUP('Cash Balance'!$C35,Table2[#All],MATCH('Cash Balance'!B$3,Acc_Char!$B$1:$I$1,0),0)</f>
        <v>VIETINBANK - TIEN SON</v>
      </c>
      <c r="C35" s="1155" t="s">
        <v>501</v>
      </c>
      <c r="D35" s="1156" t="str">
        <f>VLOOKUP('Cash Balance'!$C35,Table2[#All],MATCH('Cash Balance'!D$3,Acc_Char!$B$1:$I$1,0),0)</f>
        <v>Current Account</v>
      </c>
      <c r="E35" s="384" t="str">
        <f>VLOOKUP('Cash Balance'!$C35,Table2[#All],MATCH('Cash Balance'!E$3,Acc_Char!$B$1:$I$1,0),0)</f>
        <v>USD</v>
      </c>
      <c r="F35" s="1094" t="e">
        <f>VLOOKUP(C35,'Cash balance (BS)'!A:C,3,)</f>
        <v>#N/A</v>
      </c>
      <c r="G35" s="1157" t="e">
        <f t="shared" si="7"/>
        <v>#N/A</v>
      </c>
      <c r="H35" s="1318">
        <f>SUMIFS('Cash balance (Prior period)'!F:F,'Cash balance (Prior period)'!C:C,Table11[[#This Row],[ACCOUNT NUMBER]],'Cash balance (Prior period)'!E:E,Table11[[#This Row],[CURRENCY]])</f>
        <v>0</v>
      </c>
      <c r="I35" s="1318">
        <f>SUMIFS(Movement!$F$4:$F$2136,Movement!$M$4:$M$2136,"VND",Movement!$C$4:$C$2136,Table11[[#This Row],[ACCOUNT NUMBER]],Movement!$J$4:$J$2136,Table11[[#This Row],[ENTITY]],Movement!$O$4:$O$2136,'Cash Balance'!$A$2)</f>
        <v>0</v>
      </c>
      <c r="J35" s="1318">
        <f>SUMIFS(Movement!$G$4:$G$2136,Movement!$M$4:$M$2136,"VND",Movement!$C$4:$C$2136,Table11[[#This Row],[ACCOUNT NUMBER]],Movement!$J$4:$J$2136,Table11[[#This Row],[ENTITY]],Movement!$O$4:$O$2136,'Cash Balance'!$A$2)</f>
        <v>0</v>
      </c>
      <c r="K35" s="1084">
        <f>Table11[[#This Row],[CASH IN - CREDIT (VND)]]-Table11[[#This Row],[CASH OUT - DEBIT (VND)]]</f>
        <v>0</v>
      </c>
      <c r="L35" s="1095">
        <f t="shared" si="3"/>
        <v>0</v>
      </c>
      <c r="M35" s="1184" t="e">
        <f>VLOOKUP(C35,'Cash balance (BS)'!A:D,4,)</f>
        <v>#N/A</v>
      </c>
      <c r="N35" s="1095" t="e">
        <f>Table11[[#This Row],[CLOSING BALANCE (VND)2]]-Table11[[#This Row],[CB_BS (VND)]]</f>
        <v>#N/A</v>
      </c>
      <c r="O35" s="1094">
        <v>0</v>
      </c>
      <c r="P35" s="1095">
        <f t="shared" si="4"/>
        <v>-276.64</v>
      </c>
      <c r="Q35" s="817">
        <f>SUMIFS('Cash balance (Prior period)'!G:G,'Cash balance (Prior period)'!C:C,Table11[[#This Row],[ACCOUNT NUMBER]],'Cash balance (Prior period)'!E:E,Table11[[#This Row],[CURRENCY]])</f>
        <v>276.64</v>
      </c>
      <c r="R35" s="817">
        <f>SUMIFS(Movement!$F$4:$F$2136,Movement!$M$4:$M$2136,"USD",Movement!$C$4:$C$2136,Table11[[#This Row],[ACCOUNT NUMBER]],Movement!$J$4:$J$2136,Table11[[#This Row],[ENTITY]],Movement!$O$4:$O$2136,'Cash Balance'!$A$2)</f>
        <v>0</v>
      </c>
      <c r="S35" s="817">
        <f>SUMIFS(Movement!$G$4:$G$2136,Movement!$M$4:$M$2136,"USD",Movement!$C$4:$C$2136,Table11[[#This Row],[ACCOUNT NUMBER]],Movement!$J$4:$J$2136,Table11[[#This Row],[ENTITY]],Movement!$O$4:$O$2136,'Cash Balance'!$A$2)</f>
        <v>0</v>
      </c>
      <c r="T35" s="1087">
        <f t="shared" si="5"/>
        <v>276.64</v>
      </c>
      <c r="U35" s="817"/>
      <c r="V35" s="817">
        <f>Table11[[#This Row],[CLOSING BALANCE (USD)]]-Table11[[#This Row],[CB_BS (USD)]]</f>
        <v>276.64</v>
      </c>
      <c r="W35" s="1156" t="str">
        <f>VLOOKUP('Cash Balance'!$C35,Table2[#All],MATCH('Cash Balance'!W$3,Acc_Char!$B$1:$I$1,0),0)</f>
        <v>Subsidiaries</v>
      </c>
      <c r="X35" s="1156" t="str">
        <f>VLOOKUP(IFERROR(MID($Y35,1,FIND("-",$Y35)-2),$Y35),Table3[#All],2,0)</f>
        <v>VTB</v>
      </c>
      <c r="Y35" s="1156" t="str">
        <f>VLOOKUP($B35,Table4[#All],2,0)</f>
        <v>VIETINBANK - TIEN SON</v>
      </c>
      <c r="Z35" s="1151"/>
      <c r="AA35" s="49"/>
      <c r="AE35" s="818">
        <f>SUM(Table11[[#This Row],[CASH IN - CREDIT (VND)]],Table11[[#This Row],[CASH IN - CREDIT (USD)]])</f>
        <v>0</v>
      </c>
      <c r="AF35" s="818">
        <f>Table11[[#This Row],[CASH OUT - DEBIT (VND)]]+Table11[[#This Row],[CASH OUT - DEBIT (USD)]]</f>
        <v>0</v>
      </c>
      <c r="AH35" s="1158"/>
      <c r="AI35" s="49"/>
      <c r="AJ35" s="1158"/>
      <c r="AL35"/>
    </row>
    <row r="36" spans="1:39" s="1368" customFormat="1" ht="14.4">
      <c r="A36" s="1153" t="str">
        <f>VLOOKUP('Cash Balance'!$C36,Table2[#All],MATCH('Cash Balance'!A$3,Acc_Char!$B$1:$I$1,0),0)</f>
        <v>BWID HAI DUONG</v>
      </c>
      <c r="B36" s="1154" t="str">
        <f>VLOOKUP('Cash Balance'!$C36,Table2[#All],MATCH('Cash Balance'!B$3,Acc_Char!$B$1:$I$1,0),0)</f>
        <v>VIETINBANK - TIEN SON</v>
      </c>
      <c r="C36" s="1155" t="s">
        <v>502</v>
      </c>
      <c r="D36" s="1156" t="str">
        <f>VLOOKUP('Cash Balance'!$C36,Table2[#All],MATCH('Cash Balance'!D$3,Acc_Char!$B$1:$I$1,0),0)</f>
        <v>Saving Account</v>
      </c>
      <c r="E36" s="384" t="str">
        <f>VLOOKUP('Cash Balance'!$C36,Table2[#All],MATCH('Cash Balance'!E$3,Acc_Char!$B$1:$I$1,0),0)</f>
        <v>VND</v>
      </c>
      <c r="F36" s="1230" t="e">
        <f>VLOOKUP(C36,'Cash balance (BS)'!A:C,3,)</f>
        <v>#N/A</v>
      </c>
      <c r="G36" s="1157" t="e">
        <f>F36-H36</f>
        <v>#N/A</v>
      </c>
      <c r="H36" s="1319">
        <f>SUMIFS('Cash balance (Prior period)'!F:F,'Cash balance (Prior period)'!C:C,Table11[[#This Row],[ACCOUNT NUMBER]],'Cash balance (Prior period)'!E:E,Table11[[#This Row],[CURRENCY]])</f>
        <v>0</v>
      </c>
      <c r="I36" s="1319">
        <f>SUMIFS(Movement!$F$4:$F$2136,Movement!$M$4:$M$2136,"VND",Movement!$C$4:$C$2136,Table11[[#This Row],[ACCOUNT NUMBER]],Movement!$J$4:$J$2136,Table11[[#This Row],[ENTITY]],Movement!$O$4:$O$2136,'Cash Balance'!$A$2)</f>
        <v>0</v>
      </c>
      <c r="J36" s="1319">
        <f>SUMIFS(Movement!$G$4:$G$2136,Movement!$M$4:$M$2136,"VND",Movement!$C$4:$C$2136,Table11[[#This Row],[ACCOUNT NUMBER]],Movement!$J$4:$J$2136,Table11[[#This Row],[ENTITY]],Movement!$O$4:$O$2136,'Cash Balance'!$A$2)</f>
        <v>0</v>
      </c>
      <c r="K36" s="1224">
        <f>Table11[[#This Row],[CASH IN - CREDIT (VND)]]-Table11[[#This Row],[CASH OUT - DEBIT (VND)]]</f>
        <v>0</v>
      </c>
      <c r="L36" s="1225">
        <f>H36+I36-J36</f>
        <v>0</v>
      </c>
      <c r="M36" s="1184" t="e">
        <f>VLOOKUP(C36,'Cash balance (BS)'!A:D,4,)</f>
        <v>#N/A</v>
      </c>
      <c r="N36" s="1225" t="e">
        <f>Table11[[#This Row],[CLOSING BALANCE (VND)2]]-Table11[[#This Row],[CB_BS (VND)]]</f>
        <v>#N/A</v>
      </c>
      <c r="O36" s="1230">
        <v>0</v>
      </c>
      <c r="P36" s="1225">
        <f>O36-Q36</f>
        <v>0</v>
      </c>
      <c r="Q36" s="1285">
        <f>SUMIFS('Cash balance (Prior period)'!G:G,'Cash balance (Prior period)'!C:C,Table11[[#This Row],[ACCOUNT NUMBER]],'Cash balance (Prior period)'!E:E,Table11[[#This Row],[CURRENCY]])</f>
        <v>0</v>
      </c>
      <c r="R36" s="1285">
        <f>SUMIFS(Movement!$F$4:$F$2136,Movement!$M$4:$M$2136,"USD",Movement!$C$4:$C$2136,Table11[[#This Row],[ACCOUNT NUMBER]],Movement!$J$4:$J$2136,Table11[[#This Row],[ENTITY]],Movement!$O$4:$O$2136,'Cash Balance'!$A$2)</f>
        <v>0</v>
      </c>
      <c r="S36" s="1285">
        <f>SUMIFS(Movement!$G$4:$G$2136,Movement!$M$4:$M$2136,"USD",Movement!$C$4:$C$2136,Table11[[#This Row],[ACCOUNT NUMBER]],Movement!$J$4:$J$2136,Table11[[#This Row],[ENTITY]],Movement!$O$4:$O$2136,'Cash Balance'!$A$2)</f>
        <v>0</v>
      </c>
      <c r="T36" s="1236">
        <f>Q36+R36-S36</f>
        <v>0</v>
      </c>
      <c r="U36" s="1285"/>
      <c r="V36" s="1285">
        <f>Table11[[#This Row],[CLOSING BALANCE (USD)]]-Table11[[#This Row],[CB_BS (USD)]]</f>
        <v>0</v>
      </c>
      <c r="W36" s="1156" t="str">
        <f>VLOOKUP('Cash Balance'!$C36,Table2[#All],MATCH('Cash Balance'!W$3,Acc_Char!$B$1:$I$1,0),0)</f>
        <v>Subsidiaries</v>
      </c>
      <c r="X36" s="1156" t="str">
        <f>VLOOKUP(IFERROR(MID($Y36,1,FIND("-",$Y36)-2),$Y36),Table3[#All],2,0)</f>
        <v>VTB</v>
      </c>
      <c r="Y36" s="1156" t="str">
        <f>VLOOKUP($B36,Table4[#All],2,0)</f>
        <v>VIETINBANK - TIEN SON</v>
      </c>
      <c r="Z36" s="1151"/>
      <c r="AA36" s="49"/>
      <c r="AB36" s="2"/>
      <c r="AC36" s="2"/>
      <c r="AD36" s="2"/>
      <c r="AE36" s="31">
        <f>SUM(Table11[[#This Row],[CASH IN - CREDIT (VND)]],Table11[[#This Row],[CASH IN - CREDIT (USD)]])</f>
        <v>0</v>
      </c>
      <c r="AF36" s="31">
        <f>Table11[[#This Row],[CASH OUT - DEBIT (VND)]]+Table11[[#This Row],[CASH OUT - DEBIT (USD)]]</f>
        <v>0</v>
      </c>
      <c r="AG36" s="2"/>
      <c r="AH36" s="1158"/>
      <c r="AI36" s="49"/>
      <c r="AJ36" s="1158"/>
      <c r="AK36" s="2"/>
      <c r="AL36"/>
      <c r="AM36" s="2"/>
    </row>
    <row r="37" spans="1:39" ht="14.4">
      <c r="A37" s="1153" t="str">
        <f>VLOOKUP('Cash Balance'!$C37,Table2[#All],MATCH('Cash Balance'!A$3,Acc_Char!$B$1:$I$1,0),0)</f>
        <v>BWID BAC NINH</v>
      </c>
      <c r="B37" s="1154" t="str">
        <f>VLOOKUP('Cash Balance'!$C37,Table2[#All],MATCH('Cash Balance'!B$3,Acc_Char!$B$1:$I$1,0),0)</f>
        <v>VIETINBANK - TIEN SON</v>
      </c>
      <c r="C37" s="1155" t="s">
        <v>504</v>
      </c>
      <c r="D37" s="1156" t="str">
        <f>VLOOKUP('Cash Balance'!$C37,Table2[#All],MATCH('Cash Balance'!D$3,Acc_Char!$B$1:$I$1,0),0)</f>
        <v>Current Account</v>
      </c>
      <c r="E37" s="384" t="str">
        <f>VLOOKUP('Cash Balance'!$C37,Table2[#All],MATCH('Cash Balance'!E$3,Acc_Char!$B$1:$I$1,0),0)</f>
        <v>VND</v>
      </c>
      <c r="F37" s="1094"/>
      <c r="G37" s="1157"/>
      <c r="H37" s="1318">
        <f>SUMIFS('Cash balance (Prior period)'!F:F,'Cash balance (Prior period)'!C:C,Table11[[#This Row],[ACCOUNT NUMBER]],'Cash balance (Prior period)'!E:E,Table11[[#This Row],[CURRENCY]])</f>
        <v>3068428982</v>
      </c>
      <c r="I37" s="1318">
        <f>SUMIFS(Movement!$F$4:$F$2136,Movement!$M$4:$M$2136,"VND",Movement!$C$4:$C$2136,Table11[[#This Row],[ACCOUNT NUMBER]],Movement!$J$4:$J$2136,Table11[[#This Row],[ENTITY]],Movement!$O$4:$O$2136,'Cash Balance'!$A$2)</f>
        <v>6572335449</v>
      </c>
      <c r="J37" s="1318">
        <f>SUMIFS(Movement!$G$4:$G$2136,Movement!$M$4:$M$2136,"VND",Movement!$C$4:$C$2136,Table11[[#This Row],[ACCOUNT NUMBER]],Movement!$J$4:$J$2136,Table11[[#This Row],[ENTITY]],Movement!$O$4:$O$2136,'Cash Balance'!$A$2)</f>
        <v>281447887</v>
      </c>
      <c r="K37" s="1084">
        <f>Table11[[#This Row],[CASH IN - CREDIT (VND)]]-Table11[[#This Row],[CASH OUT - DEBIT (VND)]]</f>
        <v>6290887562</v>
      </c>
      <c r="L37" s="1095">
        <f t="shared" si="3"/>
        <v>9359316544</v>
      </c>
      <c r="M37" s="1184" t="e">
        <f>VLOOKUP(C37,'Cash balance (BS)'!A:D,4,)</f>
        <v>#N/A</v>
      </c>
      <c r="N37" s="1095" t="e">
        <f>Table11[[#This Row],[CLOSING BALANCE (VND)2]]-Table11[[#This Row],[CB_BS (VND)]]</f>
        <v>#N/A</v>
      </c>
      <c r="O37" s="1094">
        <v>0</v>
      </c>
      <c r="P37" s="1095">
        <f t="shared" si="4"/>
        <v>0</v>
      </c>
      <c r="Q37" s="817">
        <f>SUMIFS('Cash balance (Prior period)'!G:G,'Cash balance (Prior period)'!C:C,Table11[[#This Row],[ACCOUNT NUMBER]],'Cash balance (Prior period)'!E:E,Table11[[#This Row],[CURRENCY]])</f>
        <v>0</v>
      </c>
      <c r="R37" s="817">
        <f>SUMIFS(Movement!$F$4:$F$2136,Movement!$M$4:$M$2136,"USD",Movement!$C$4:$C$2136,Table11[[#This Row],[ACCOUNT NUMBER]],Movement!$J$4:$J$2136,Table11[[#This Row],[ENTITY]],Movement!$O$4:$O$2136,'Cash Balance'!$A$2)</f>
        <v>0</v>
      </c>
      <c r="S37" s="817">
        <f>SUMIFS(Movement!$G$4:$G$2136,Movement!$M$4:$M$2136,"USD",Movement!$C$4:$C$2136,Table11[[#This Row],[ACCOUNT NUMBER]],Movement!$J$4:$J$2136,Table11[[#This Row],[ENTITY]],Movement!$O$4:$O$2136,'Cash Balance'!$A$2)</f>
        <v>0</v>
      </c>
      <c r="T37" s="1087">
        <f t="shared" si="5"/>
        <v>0</v>
      </c>
      <c r="U37" s="817" t="e">
        <f>VLOOKUP(C37,'Cash balance (BS)'!A:D,4,)</f>
        <v>#N/A</v>
      </c>
      <c r="V37" s="817" t="e">
        <f>Table11[[#This Row],[CLOSING BALANCE (USD)]]-Table11[[#This Row],[CB_BS (USD)]]</f>
        <v>#N/A</v>
      </c>
      <c r="W37" s="1156" t="str">
        <f>VLOOKUP('Cash Balance'!$C37,Table2[#All],MATCH('Cash Balance'!W$3,Acc_Char!$B$1:$I$1,0),0)</f>
        <v>Subsidiaries</v>
      </c>
      <c r="X37" s="1156" t="str">
        <f>VLOOKUP(IFERROR(MID($Y37,1,FIND("-",$Y37)-2),$Y37),Table3[#All],2,0)</f>
        <v>VTB</v>
      </c>
      <c r="Y37" s="1156" t="str">
        <f>VLOOKUP($B37,Table4[#All],2,0)</f>
        <v>VIETINBANK - TIEN SON</v>
      </c>
      <c r="Z37" s="1151"/>
      <c r="AA37" s="49"/>
      <c r="AE37" s="818">
        <f>SUM(Table11[[#This Row],[CASH IN - CREDIT (VND)]],Table11[[#This Row],[CASH IN - CREDIT (USD)]])</f>
        <v>6572335449</v>
      </c>
      <c r="AF37" s="818">
        <f>Table11[[#This Row],[CASH OUT - DEBIT (VND)]]+Table11[[#This Row],[CASH OUT - DEBIT (USD)]]</f>
        <v>281447887</v>
      </c>
      <c r="AH37" s="1158"/>
      <c r="AI37" s="49"/>
      <c r="AJ37" s="1158"/>
      <c r="AL37"/>
    </row>
    <row r="38" spans="1:39" ht="14.4">
      <c r="A38" s="1153" t="str">
        <f>VLOOKUP('Cash Balance'!$C38,Table2[#All],MATCH('Cash Balance'!A$3,Acc_Char!$B$1:$I$1,0),0)</f>
        <v>BWID BAC NINH</v>
      </c>
      <c r="B38" s="1154" t="str">
        <f>VLOOKUP('Cash Balance'!$C38,Table2[#All],MATCH('Cash Balance'!B$3,Acc_Char!$B$1:$I$1,0),0)</f>
        <v>VIETINBANK - TIEN SON</v>
      </c>
      <c r="C38" s="1155" t="s">
        <v>505</v>
      </c>
      <c r="D38" s="1156" t="str">
        <f>VLOOKUP('Cash Balance'!$C38,Table2[#All],MATCH('Cash Balance'!D$3,Acc_Char!$B$1:$I$1,0),0)</f>
        <v>Current Account</v>
      </c>
      <c r="E38" s="384" t="str">
        <f>VLOOKUP('Cash Balance'!$C38,Table2[#All],MATCH('Cash Balance'!E$3,Acc_Char!$B$1:$I$1,0),0)</f>
        <v>USD</v>
      </c>
      <c r="F38" s="1094" t="e">
        <f>VLOOKUP(C38,'Cash balance (BS)'!A:C,3,)</f>
        <v>#N/A</v>
      </c>
      <c r="G38" s="1157" t="e">
        <f>F38-H38</f>
        <v>#N/A</v>
      </c>
      <c r="H38" s="1318">
        <f>SUMIFS('Cash balance (Prior period)'!F:F,'Cash balance (Prior period)'!C:C,Table11[[#This Row],[ACCOUNT NUMBER]],'Cash balance (Prior period)'!E:E,Table11[[#This Row],[CURRENCY]])</f>
        <v>0</v>
      </c>
      <c r="I38" s="1318">
        <f>SUMIFS(Movement!$F$4:$F$2136,Movement!$M$4:$M$2136,"VND",Movement!$C$4:$C$2136,Table11[[#This Row],[ACCOUNT NUMBER]],Movement!$J$4:$J$2136,Table11[[#This Row],[ENTITY]],Movement!$O$4:$O$2136,'Cash Balance'!$A$2)</f>
        <v>0</v>
      </c>
      <c r="J38" s="1318">
        <f>SUMIFS(Movement!$G$4:$G$2136,Movement!$M$4:$M$2136,"VND",Movement!$C$4:$C$2136,Table11[[#This Row],[ACCOUNT NUMBER]],Movement!$J$4:$J$2136,Table11[[#This Row],[ENTITY]],Movement!$O$4:$O$2136,'Cash Balance'!$A$2)</f>
        <v>0</v>
      </c>
      <c r="K38" s="1084">
        <f>Table11[[#This Row],[CASH IN - CREDIT (VND)]]-Table11[[#This Row],[CASH OUT - DEBIT (VND)]]</f>
        <v>0</v>
      </c>
      <c r="L38" s="1095">
        <f t="shared" si="3"/>
        <v>0</v>
      </c>
      <c r="M38" s="1184" t="e">
        <f>VLOOKUP(C38,'Cash balance (BS)'!A:D,4,)</f>
        <v>#N/A</v>
      </c>
      <c r="N38" s="1095" t="e">
        <f>Table11[[#This Row],[CLOSING BALANCE (VND)2]]-Table11[[#This Row],[CB_BS (VND)]]</f>
        <v>#N/A</v>
      </c>
      <c r="O38" s="1094">
        <v>0</v>
      </c>
      <c r="P38" s="1095">
        <f t="shared" si="4"/>
        <v>0</v>
      </c>
      <c r="Q38" s="817">
        <f>SUMIFS('Cash balance (Prior period)'!G:G,'Cash balance (Prior period)'!C:C,Table11[[#This Row],[ACCOUNT NUMBER]],'Cash balance (Prior period)'!E:E,Table11[[#This Row],[CURRENCY]])</f>
        <v>0</v>
      </c>
      <c r="R38" s="817">
        <f>SUMIFS(Movement!$F$4:$F$2136,Movement!$M$4:$M$2136,"USD",Movement!$C$4:$C$2136,Table11[[#This Row],[ACCOUNT NUMBER]],Movement!$J$4:$J$2136,Table11[[#This Row],[ENTITY]],Movement!$O$4:$O$2136,'Cash Balance'!$A$2)</f>
        <v>0</v>
      </c>
      <c r="S38" s="817">
        <f>SUMIFS(Movement!$G$4:$G$2136,Movement!$M$4:$M$2136,"USD",Movement!$C$4:$C$2136,Table11[[#This Row],[ACCOUNT NUMBER]],Movement!$J$4:$J$2136,Table11[[#This Row],[ENTITY]],Movement!$O$4:$O$2136,'Cash Balance'!$A$2)</f>
        <v>0</v>
      </c>
      <c r="T38" s="1087">
        <f t="shared" si="5"/>
        <v>0</v>
      </c>
      <c r="U38" s="817"/>
      <c r="V38" s="817">
        <f>Table11[[#This Row],[CLOSING BALANCE (USD)]]-Table11[[#This Row],[CB_BS (USD)]]</f>
        <v>0</v>
      </c>
      <c r="W38" s="1156" t="str">
        <f>VLOOKUP('Cash Balance'!$C38,Table2[#All],MATCH('Cash Balance'!W$3,Acc_Char!$B$1:$I$1,0),0)</f>
        <v>Subsidiaries</v>
      </c>
      <c r="X38" s="1156" t="str">
        <f>VLOOKUP(IFERROR(MID($Y38,1,FIND("-",$Y38)-2),$Y38),Table3[#All],2,0)</f>
        <v>VTB</v>
      </c>
      <c r="Y38" s="1156" t="str">
        <f>VLOOKUP($B38,Table4[#All],2,0)</f>
        <v>VIETINBANK - TIEN SON</v>
      </c>
      <c r="Z38" s="1151"/>
      <c r="AA38" s="49"/>
      <c r="AE38" s="818">
        <f>SUM(Table11[[#This Row],[CASH IN - CREDIT (VND)]],Table11[[#This Row],[CASH IN - CREDIT (USD)]])</f>
        <v>0</v>
      </c>
      <c r="AF38" s="818">
        <f>Table11[[#This Row],[CASH OUT - DEBIT (VND)]]+Table11[[#This Row],[CASH OUT - DEBIT (USD)]]</f>
        <v>0</v>
      </c>
      <c r="AH38" s="1158"/>
      <c r="AI38" s="49"/>
      <c r="AJ38" s="1158"/>
      <c r="AL38"/>
      <c r="AM38"/>
    </row>
    <row r="39" spans="1:39" ht="14.4">
      <c r="A39" s="1153" t="str">
        <f>VLOOKUP('Cash Balance'!$C39,Table2[#All],MATCH('Cash Balance'!A$3,Acc_Char!$B$1:$I$1,0),0)</f>
        <v>BWID HAI DUONG 2</v>
      </c>
      <c r="B39" s="1154" t="str">
        <f>VLOOKUP('Cash Balance'!$C39,Table2[#All],MATCH('Cash Balance'!B$3,Acc_Char!$B$1:$I$1,0),0)</f>
        <v>VIETINBANK - TIEN SON</v>
      </c>
      <c r="C39" s="1155" t="s">
        <v>507</v>
      </c>
      <c r="D39" s="1156" t="str">
        <f>VLOOKUP('Cash Balance'!$C39,Table2[#All],MATCH('Cash Balance'!D$3,Acc_Char!$B$1:$I$1,0),0)</f>
        <v>Current Account</v>
      </c>
      <c r="E39" s="384" t="str">
        <f>VLOOKUP('Cash Balance'!$C39,Table2[#All],MATCH('Cash Balance'!E$3,Acc_Char!$B$1:$I$1,0),0)</f>
        <v>VND</v>
      </c>
      <c r="F39" s="1094"/>
      <c r="G39" s="1157"/>
      <c r="H39" s="1318">
        <f>SUMIFS('Cash balance (Prior period)'!F:F,'Cash balance (Prior period)'!C:C,Table11[[#This Row],[ACCOUNT NUMBER]],'Cash balance (Prior period)'!E:E,Table11[[#This Row],[CURRENCY]])</f>
        <v>2814603527</v>
      </c>
      <c r="I39" s="1318">
        <f>SUMIFS(Movement!$F$4:$F$2136,Movement!$M$4:$M$2136,"VND",Movement!$C$4:$C$2136,Table11[[#This Row],[ACCOUNT NUMBER]],Movement!$J$4:$J$2136,Table11[[#This Row],[ENTITY]],Movement!$O$4:$O$2136,'Cash Balance'!$A$2)</f>
        <v>13795374299</v>
      </c>
      <c r="J39" s="1318">
        <f>SUMIFS(Movement!$G$4:$G$2136,Movement!$M$4:$M$2136,"VND",Movement!$C$4:$C$2136,Table11[[#This Row],[ACCOUNT NUMBER]],Movement!$J$4:$J$2136,Table11[[#This Row],[ENTITY]],Movement!$O$4:$O$2136,'Cash Balance'!$A$2)</f>
        <v>55669075</v>
      </c>
      <c r="K39" s="1084">
        <f>Table11[[#This Row],[CASH IN - CREDIT (VND)]]-Table11[[#This Row],[CASH OUT - DEBIT (VND)]]</f>
        <v>13739705224</v>
      </c>
      <c r="L39" s="1095">
        <f t="shared" si="3"/>
        <v>16554308751</v>
      </c>
      <c r="M39" s="1184" t="e">
        <f>VLOOKUP(C39,'Cash balance (BS)'!A:D,4,)</f>
        <v>#N/A</v>
      </c>
      <c r="N39" s="1095" t="e">
        <f>Table11[[#This Row],[CLOSING BALANCE (VND)2]]-Table11[[#This Row],[CB_BS (VND)]]</f>
        <v>#N/A</v>
      </c>
      <c r="O39" s="1094">
        <v>0</v>
      </c>
      <c r="P39" s="1095">
        <f t="shared" si="4"/>
        <v>0</v>
      </c>
      <c r="Q39" s="817">
        <f>SUMIFS('Cash balance (Prior period)'!G:G,'Cash balance (Prior period)'!C:C,Table11[[#This Row],[ACCOUNT NUMBER]],'Cash balance (Prior period)'!E:E,Table11[[#This Row],[CURRENCY]])</f>
        <v>0</v>
      </c>
      <c r="R39" s="817">
        <f>SUMIFS(Movement!$F$4:$F$2136,Movement!$M$4:$M$2136,"USD",Movement!$C$4:$C$2136,Table11[[#This Row],[ACCOUNT NUMBER]],Movement!$J$4:$J$2136,Table11[[#This Row],[ENTITY]],Movement!$O$4:$O$2136,'Cash Balance'!$A$2)</f>
        <v>0</v>
      </c>
      <c r="S39" s="817">
        <f>SUMIFS(Movement!$G$4:$G$2136,Movement!$M$4:$M$2136,"USD",Movement!$C$4:$C$2136,Table11[[#This Row],[ACCOUNT NUMBER]],Movement!$J$4:$J$2136,Table11[[#This Row],[ENTITY]],Movement!$O$4:$O$2136,'Cash Balance'!$A$2)</f>
        <v>0</v>
      </c>
      <c r="T39" s="1087">
        <f t="shared" si="5"/>
        <v>0</v>
      </c>
      <c r="U39" s="817" t="e">
        <f>VLOOKUP(C39,'Cash balance (BS)'!A:D,4,)</f>
        <v>#N/A</v>
      </c>
      <c r="V39" s="817" t="e">
        <f>Table11[[#This Row],[CLOSING BALANCE (USD)]]-Table11[[#This Row],[CB_BS (USD)]]</f>
        <v>#N/A</v>
      </c>
      <c r="W39" s="1156" t="str">
        <f>VLOOKUP('Cash Balance'!$C39,Table2[#All],MATCH('Cash Balance'!W$3,Acc_Char!$B$1:$I$1,0),0)</f>
        <v>Subsidiaries</v>
      </c>
      <c r="X39" s="1156" t="str">
        <f>VLOOKUP(IFERROR(MID($Y39,1,FIND("-",$Y39)-2),$Y39),Table3[#All],2,0)</f>
        <v>VTB</v>
      </c>
      <c r="Y39" s="1156" t="str">
        <f>VLOOKUP($B39,Table4[#All],2,0)</f>
        <v>VIETINBANK - TIEN SON</v>
      </c>
      <c r="Z39" s="1151"/>
      <c r="AA39" s="49"/>
      <c r="AE39" s="818">
        <f>SUM(Table11[[#This Row],[CASH IN - CREDIT (VND)]],Table11[[#This Row],[CASH IN - CREDIT (USD)]])</f>
        <v>13795374299</v>
      </c>
      <c r="AF39" s="818">
        <f>Table11[[#This Row],[CASH OUT - DEBIT (VND)]]+Table11[[#This Row],[CASH OUT - DEBIT (USD)]]</f>
        <v>55669075</v>
      </c>
      <c r="AH39" s="1158"/>
      <c r="AI39" s="49"/>
      <c r="AJ39" s="1158"/>
      <c r="AL39"/>
      <c r="AM39"/>
    </row>
    <row r="40" spans="1:39" ht="14.4">
      <c r="A40" s="1153" t="str">
        <f>VLOOKUP('Cash Balance'!$C40,Table2[#All],MATCH('Cash Balance'!A$3,Acc_Char!$B$1:$I$1,0),0)</f>
        <v>BWID BAC NINH</v>
      </c>
      <c r="B40" s="1154" t="str">
        <f>VLOOKUP('Cash Balance'!$C40,Table2[#All],MATCH('Cash Balance'!B$3,Acc_Char!$B$1:$I$1,0),0)</f>
        <v>VIETINBANK - TIEN SON</v>
      </c>
      <c r="C40" s="1155" t="s">
        <v>508</v>
      </c>
      <c r="D40" s="1156" t="str">
        <f>VLOOKUP('Cash Balance'!$C40,Table2[#All],MATCH('Cash Balance'!D$3,Acc_Char!$B$1:$I$1,0),0)</f>
        <v>Saving Account</v>
      </c>
      <c r="E40" s="384" t="str">
        <f>VLOOKUP('Cash Balance'!$C40,Table2[#All],MATCH('Cash Balance'!E$3,Acc_Char!$B$1:$I$1,0),0)</f>
        <v>VND</v>
      </c>
      <c r="F40" s="1094" t="e">
        <f>VLOOKUP(C40,'Cash balance (BS)'!A:C,3,)</f>
        <v>#N/A</v>
      </c>
      <c r="G40" s="1157" t="e">
        <f>F40-H40</f>
        <v>#N/A</v>
      </c>
      <c r="H40" s="1318">
        <f>SUMIFS('Cash balance (Prior period)'!F:F,'Cash balance (Prior period)'!C:C,Table11[[#This Row],[ACCOUNT NUMBER]],'Cash balance (Prior period)'!E:E,Table11[[#This Row],[CURRENCY]])</f>
        <v>0</v>
      </c>
      <c r="I40" s="1318">
        <f>SUMIFS(Movement!$F$4:$F$2136,Movement!$M$4:$M$2136,"VND",Movement!$C$4:$C$2136,Table11[[#This Row],[ACCOUNT NUMBER]],Movement!$J$4:$J$2136,Table11[[#This Row],[ENTITY]],Movement!$O$4:$O$2136,'Cash Balance'!$A$2)</f>
        <v>0</v>
      </c>
      <c r="J40" s="1318">
        <f>SUMIFS(Movement!$G$4:$G$2136,Movement!$M$4:$M$2136,"VND",Movement!$C$4:$C$2136,Table11[[#This Row],[ACCOUNT NUMBER]],Movement!$J$4:$J$2136,Table11[[#This Row],[ENTITY]],Movement!$O$4:$O$2136,'Cash Balance'!$A$2)</f>
        <v>0</v>
      </c>
      <c r="K40" s="1084">
        <f>Table11[[#This Row],[CASH IN - CREDIT (VND)]]-Table11[[#This Row],[CASH OUT - DEBIT (VND)]]</f>
        <v>0</v>
      </c>
      <c r="L40" s="1095">
        <f>H40+I40-J40</f>
        <v>0</v>
      </c>
      <c r="M40" s="1184" t="e">
        <f>VLOOKUP(C40,'Cash balance (BS)'!A:D,4,)</f>
        <v>#N/A</v>
      </c>
      <c r="N40" s="1095" t="e">
        <f>Table11[[#This Row],[CLOSING BALANCE (VND)2]]-Table11[[#This Row],[CB_BS (VND)]]</f>
        <v>#N/A</v>
      </c>
      <c r="O40" s="1094"/>
      <c r="P40" s="1095">
        <f>O40-Q40</f>
        <v>0</v>
      </c>
      <c r="Q40" s="817">
        <f>SUMIFS('Cash balance (Prior period)'!G:G,'Cash balance (Prior period)'!C:C,Table11[[#This Row],[ACCOUNT NUMBER]],'Cash balance (Prior period)'!E:E,Table11[[#This Row],[CURRENCY]])</f>
        <v>0</v>
      </c>
      <c r="R40" s="817">
        <f>SUMIFS(Movement!$F$4:$F$2136,Movement!$M$4:$M$2136,"USD",Movement!$C$4:$C$2136,Table11[[#This Row],[ACCOUNT NUMBER]],Movement!$J$4:$J$2136,Table11[[#This Row],[ENTITY]],Movement!$O$4:$O$2136,'Cash Balance'!$A$2)</f>
        <v>0</v>
      </c>
      <c r="S40" s="817">
        <f>SUMIFS(Movement!$G$4:$G$2136,Movement!$M$4:$M$2136,"USD",Movement!$C$4:$C$2136,Table11[[#This Row],[ACCOUNT NUMBER]],Movement!$J$4:$J$2136,Table11[[#This Row],[ENTITY]],Movement!$O$4:$O$2136,'Cash Balance'!$A$2)</f>
        <v>0</v>
      </c>
      <c r="T40" s="1087">
        <f>Q40+R40-S40</f>
        <v>0</v>
      </c>
      <c r="U40" s="817"/>
      <c r="V40" s="817">
        <f>Table11[[#This Row],[CLOSING BALANCE (USD)]]-Table11[[#This Row],[CB_BS (USD)]]</f>
        <v>0</v>
      </c>
      <c r="W40" s="1156" t="str">
        <f>VLOOKUP('Cash Balance'!$C40,Table2[#All],MATCH('Cash Balance'!W$3,Acc_Char!$B$1:$I$1,0),0)</f>
        <v>Subsidiaries</v>
      </c>
      <c r="X40" s="1156" t="str">
        <f>VLOOKUP(IFERROR(MID($Y40,1,FIND("-",$Y40)-2),$Y40),Table3[#All],2,0)</f>
        <v>VTB</v>
      </c>
      <c r="Y40" s="1156" t="str">
        <f>VLOOKUP($B40,Table4[#All],2,0)</f>
        <v>VIETINBANK - TIEN SON</v>
      </c>
      <c r="Z40" s="1151"/>
      <c r="AA40" s="49"/>
      <c r="AE40" s="818"/>
      <c r="AF40" s="818"/>
      <c r="AH40" s="1158"/>
      <c r="AI40" s="49"/>
      <c r="AJ40" s="1158"/>
      <c r="AL40"/>
      <c r="AM40"/>
    </row>
    <row r="41" spans="1:39" ht="14.4">
      <c r="A41" s="1153" t="str">
        <f>VLOOKUP('Cash Balance'!$C41,Table2[#All],MATCH('Cash Balance'!A$3,Acc_Char!$B$1:$I$1,0),0)</f>
        <v>BWID HAI DUONG 2</v>
      </c>
      <c r="B41" s="1154" t="str">
        <f>VLOOKUP('Cash Balance'!$C41,Table2[#All],MATCH('Cash Balance'!B$3,Acc_Char!$B$1:$I$1,0),0)</f>
        <v>VIETINBANK - TIEN SON</v>
      </c>
      <c r="C41" s="1155" t="s">
        <v>509</v>
      </c>
      <c r="D41" s="1156" t="str">
        <f>VLOOKUP('Cash Balance'!$C41,Table2[#All],MATCH('Cash Balance'!D$3,Acc_Char!$B$1:$I$1,0),0)</f>
        <v>Current Account</v>
      </c>
      <c r="E41" s="384" t="str">
        <f>VLOOKUP('Cash Balance'!$C41,Table2[#All],MATCH('Cash Balance'!E$3,Acc_Char!$B$1:$I$1,0),0)</f>
        <v>USD</v>
      </c>
      <c r="F41" s="1094" t="e">
        <f>VLOOKUP(C41,'Cash balance (BS)'!A:C,3,)</f>
        <v>#N/A</v>
      </c>
      <c r="G41" s="1157" t="e">
        <f t="shared" ref="G41:G48" si="11">F41-H41</f>
        <v>#N/A</v>
      </c>
      <c r="H41" s="1318">
        <f>SUMIFS('Cash balance (Prior period)'!F:F,'Cash balance (Prior period)'!C:C,Table11[[#This Row],[ACCOUNT NUMBER]],'Cash balance (Prior period)'!E:E,Table11[[#This Row],[CURRENCY]])</f>
        <v>0</v>
      </c>
      <c r="I41" s="1318">
        <f>SUMIFS(Movement!$F$4:$F$2136,Movement!$M$4:$M$2136,"VND",Movement!$C$4:$C$2136,Table11[[#This Row],[ACCOUNT NUMBER]],Movement!$J$4:$J$2136,Table11[[#This Row],[ENTITY]],Movement!$O$4:$O$2136,'Cash Balance'!$A$2)</f>
        <v>0</v>
      </c>
      <c r="J41" s="1318">
        <f>SUMIFS(Movement!$G$4:$G$2136,Movement!$M$4:$M$2136,"VND",Movement!$C$4:$C$2136,Table11[[#This Row],[ACCOUNT NUMBER]],Movement!$J$4:$J$2136,Table11[[#This Row],[ENTITY]],Movement!$O$4:$O$2136,'Cash Balance'!$A$2)</f>
        <v>0</v>
      </c>
      <c r="K41" s="1084">
        <f>Table11[[#This Row],[CASH IN - CREDIT (VND)]]-Table11[[#This Row],[CASH OUT - DEBIT (VND)]]</f>
        <v>0</v>
      </c>
      <c r="L41" s="1095">
        <f t="shared" si="3"/>
        <v>0</v>
      </c>
      <c r="M41" s="1184" t="e">
        <f>VLOOKUP(C41,'Cash balance (BS)'!A:D,4,)</f>
        <v>#N/A</v>
      </c>
      <c r="N41" s="1095" t="e">
        <f>Table11[[#This Row],[CLOSING BALANCE (VND)2]]-Table11[[#This Row],[CB_BS (VND)]]</f>
        <v>#N/A</v>
      </c>
      <c r="O41" s="1094">
        <v>0</v>
      </c>
      <c r="P41" s="1095">
        <f t="shared" si="4"/>
        <v>0</v>
      </c>
      <c r="Q41" s="817">
        <f>SUMIFS('Cash balance (Prior period)'!G:G,'Cash balance (Prior period)'!C:C,Table11[[#This Row],[ACCOUNT NUMBER]],'Cash balance (Prior period)'!E:E,Table11[[#This Row],[CURRENCY]])</f>
        <v>0</v>
      </c>
      <c r="R41" s="817">
        <f>SUMIFS(Movement!$F$4:$F$2136,Movement!$M$4:$M$2136,"USD",Movement!$C$4:$C$2136,Table11[[#This Row],[ACCOUNT NUMBER]],Movement!$J$4:$J$2136,Table11[[#This Row],[ENTITY]],Movement!$O$4:$O$2136,'Cash Balance'!$A$2)</f>
        <v>0</v>
      </c>
      <c r="S41" s="817">
        <f>SUMIFS(Movement!$G$4:$G$2136,Movement!$M$4:$M$2136,"USD",Movement!$C$4:$C$2136,Table11[[#This Row],[ACCOUNT NUMBER]],Movement!$J$4:$J$2136,Table11[[#This Row],[ENTITY]],Movement!$O$4:$O$2136,'Cash Balance'!$A$2)</f>
        <v>0</v>
      </c>
      <c r="T41" s="1087">
        <f t="shared" si="5"/>
        <v>0</v>
      </c>
      <c r="U41" s="817"/>
      <c r="V41" s="817">
        <f>Table11[[#This Row],[CLOSING BALANCE (USD)]]-Table11[[#This Row],[CB_BS (USD)]]</f>
        <v>0</v>
      </c>
      <c r="W41" s="1156" t="str">
        <f>VLOOKUP('Cash Balance'!$C41,Table2[#All],MATCH('Cash Balance'!W$3,Acc_Char!$B$1:$I$1,0),0)</f>
        <v>Subsidiaries</v>
      </c>
      <c r="X41" s="1156" t="str">
        <f>VLOOKUP(IFERROR(MID($Y41,1,FIND("-",$Y41)-2),$Y41),Table3[#All],2,0)</f>
        <v>VTB</v>
      </c>
      <c r="Y41" s="1156" t="str">
        <f>VLOOKUP($B41,Table4[#All],2,0)</f>
        <v>VIETINBANK - TIEN SON</v>
      </c>
      <c r="Z41" s="1151"/>
      <c r="AA41" s="49"/>
      <c r="AE41" s="818">
        <f>SUM(Table11[[#This Row],[CASH IN - CREDIT (VND)]],Table11[[#This Row],[CASH IN - CREDIT (USD)]])</f>
        <v>0</v>
      </c>
      <c r="AF41" s="818">
        <f>Table11[[#This Row],[CASH OUT - DEBIT (VND)]]+Table11[[#This Row],[CASH OUT - DEBIT (USD)]]</f>
        <v>0</v>
      </c>
      <c r="AH41" s="1158"/>
      <c r="AI41" s="49"/>
      <c r="AJ41" s="1158"/>
      <c r="AL41"/>
      <c r="AM41"/>
    </row>
    <row r="42" spans="1:39" ht="14.4">
      <c r="A42" s="1153" t="str">
        <f>VLOOKUP('Cash Balance'!$C42,Table2[#All],MATCH('Cash Balance'!A$3,Acc_Char!$B$1:$I$1,0),0)</f>
        <v>BWID HAI PHONG</v>
      </c>
      <c r="B42" s="1154" t="str">
        <f>VLOOKUP('Cash Balance'!$C42,Table2[#All],MATCH('Cash Balance'!B$3,Acc_Char!$B$1:$I$1,0),0)</f>
        <v>VIETINBANK - TIEN SON</v>
      </c>
      <c r="C42" s="1155" t="s">
        <v>511</v>
      </c>
      <c r="D42" s="1156" t="str">
        <f>VLOOKUP('Cash Balance'!$C42,Table2[#All],MATCH('Cash Balance'!D$3,Acc_Char!$B$1:$I$1,0),0)</f>
        <v>Current Account</v>
      </c>
      <c r="E42" s="384" t="str">
        <f>VLOOKUP('Cash Balance'!$C42,Table2[#All],MATCH('Cash Balance'!E$3,Acc_Char!$B$1:$I$1,0),0)</f>
        <v>VND</v>
      </c>
      <c r="F42" s="1094" t="e">
        <f>VLOOKUP(C42,'Cash balance (BS)'!A:C,3,)</f>
        <v>#N/A</v>
      </c>
      <c r="G42" s="1157" t="e">
        <f t="shared" si="11"/>
        <v>#N/A</v>
      </c>
      <c r="H42" s="1318">
        <f>SUMIFS('Cash balance (Prior period)'!F:F,'Cash balance (Prior period)'!C:C,Table11[[#This Row],[ACCOUNT NUMBER]],'Cash balance (Prior period)'!E:E,Table11[[#This Row],[CURRENCY]])</f>
        <v>2343977042</v>
      </c>
      <c r="I42" s="1318">
        <f>SUMIFS(Movement!$F$4:$F$2136,Movement!$M$4:$M$2136,"VND",Movement!$C$4:$C$2136,Table11[[#This Row],[ACCOUNT NUMBER]],Movement!$J$4:$J$2136,Table11[[#This Row],[ENTITY]],Movement!$O$4:$O$2136,'Cash Balance'!$A$2)</f>
        <v>8539200722</v>
      </c>
      <c r="J42" s="1318">
        <f>SUMIFS(Movement!$G$4:$G$2136,Movement!$M$4:$M$2136,"VND",Movement!$C$4:$C$2136,Table11[[#This Row],[ACCOUNT NUMBER]],Movement!$J$4:$J$2136,Table11[[#This Row],[ENTITY]],Movement!$O$4:$O$2136,'Cash Balance'!$A$2)</f>
        <v>915792313</v>
      </c>
      <c r="K42" s="1084">
        <f>Table11[[#This Row],[CASH IN - CREDIT (VND)]]-Table11[[#This Row],[CASH OUT - DEBIT (VND)]]</f>
        <v>7623408409</v>
      </c>
      <c r="L42" s="1095">
        <f t="shared" si="3"/>
        <v>9967385451</v>
      </c>
      <c r="M42" s="1184" t="e">
        <f>VLOOKUP(C42,'Cash balance (BS)'!A:D,4,)</f>
        <v>#N/A</v>
      </c>
      <c r="N42" s="1095" t="e">
        <f>Table11[[#This Row],[CLOSING BALANCE (VND)2]]-Table11[[#This Row],[CB_BS (VND)]]</f>
        <v>#N/A</v>
      </c>
      <c r="O42" s="1094">
        <v>0</v>
      </c>
      <c r="P42" s="1095">
        <f t="shared" si="4"/>
        <v>0</v>
      </c>
      <c r="Q42" s="817">
        <f>SUMIFS('Cash balance (Prior period)'!G:G,'Cash balance (Prior period)'!C:C,Table11[[#This Row],[ACCOUNT NUMBER]],'Cash balance (Prior period)'!E:E,Table11[[#This Row],[CURRENCY]])</f>
        <v>0</v>
      </c>
      <c r="R42" s="817">
        <f>SUMIFS(Movement!$F$4:$F$2136,Movement!$M$4:$M$2136,"USD",Movement!$C$4:$C$2136,Table11[[#This Row],[ACCOUNT NUMBER]],Movement!$J$4:$J$2136,Table11[[#This Row],[ENTITY]],Movement!$O$4:$O$2136,'Cash Balance'!$A$2)</f>
        <v>0</v>
      </c>
      <c r="S42" s="817">
        <f>SUMIFS(Movement!$G$4:$G$2136,Movement!$M$4:$M$2136,"USD",Movement!$C$4:$C$2136,Table11[[#This Row],[ACCOUNT NUMBER]],Movement!$J$4:$J$2136,Table11[[#This Row],[ENTITY]],Movement!$O$4:$O$2136,'Cash Balance'!$A$2)</f>
        <v>0</v>
      </c>
      <c r="T42" s="1087">
        <f t="shared" si="5"/>
        <v>0</v>
      </c>
      <c r="U42" s="817"/>
      <c r="V42" s="817">
        <f>Table11[[#This Row],[CLOSING BALANCE (USD)]]-Table11[[#This Row],[CB_BS (USD)]]</f>
        <v>0</v>
      </c>
      <c r="W42" s="1156" t="str">
        <f>VLOOKUP('Cash Balance'!$C42,Table2[#All],MATCH('Cash Balance'!W$3,Acc_Char!$B$1:$I$1,0),0)</f>
        <v>Subsidiaries</v>
      </c>
      <c r="X42" s="1156" t="str">
        <f>VLOOKUP(IFERROR(MID($Y42,1,FIND("-",$Y42)-2),$Y42),Table3[#All],2,0)</f>
        <v>VTB</v>
      </c>
      <c r="Y42" s="1156" t="str">
        <f>VLOOKUP($B42,Table4[#All],2,0)</f>
        <v>VIETINBANK - TIEN SON</v>
      </c>
      <c r="Z42" s="1151"/>
      <c r="AA42" s="49"/>
      <c r="AE42" s="818">
        <f>SUM(Table11[[#This Row],[CASH IN - CREDIT (VND)]],Table11[[#This Row],[CASH IN - CREDIT (USD)]])</f>
        <v>8539200722</v>
      </c>
      <c r="AF42" s="818">
        <f>Table11[[#This Row],[CASH OUT - DEBIT (VND)]]+Table11[[#This Row],[CASH OUT - DEBIT (USD)]]</f>
        <v>915792313</v>
      </c>
      <c r="AH42" s="1158"/>
      <c r="AI42" s="49"/>
      <c r="AJ42" s="1158"/>
      <c r="AL42"/>
      <c r="AM42"/>
    </row>
    <row r="43" spans="1:39" ht="14.4">
      <c r="A43" s="1153" t="str">
        <f>VLOOKUP('Cash Balance'!$C43,Table2[#All],MATCH('Cash Balance'!A$3,Acc_Char!$B$1:$I$1,0),0)</f>
        <v>BWID HAI PHONG</v>
      </c>
      <c r="B43" s="1154" t="str">
        <f>VLOOKUP('Cash Balance'!$C43,Table2[#All],MATCH('Cash Balance'!B$3,Acc_Char!$B$1:$I$1,0),0)</f>
        <v>VIETINBANK - TIEN SON</v>
      </c>
      <c r="C43" s="1155" t="s">
        <v>512</v>
      </c>
      <c r="D43" s="1156" t="str">
        <f>VLOOKUP('Cash Balance'!$C43,Table2[#All],MATCH('Cash Balance'!D$3,Acc_Char!$B$1:$I$1,0),0)</f>
        <v>Current Account</v>
      </c>
      <c r="E43" s="384" t="str">
        <f>VLOOKUP('Cash Balance'!$C43,Table2[#All],MATCH('Cash Balance'!E$3,Acc_Char!$B$1:$I$1,0),0)</f>
        <v>USD</v>
      </c>
      <c r="F43" s="1094" t="e">
        <f>VLOOKUP(C43,'Cash balance (BS)'!A:C,3,)</f>
        <v>#N/A</v>
      </c>
      <c r="G43" s="1157" t="e">
        <f t="shared" si="11"/>
        <v>#N/A</v>
      </c>
      <c r="H43" s="1318">
        <f>SUMIFS('Cash balance (Prior period)'!F:F,'Cash balance (Prior period)'!C:C,Table11[[#This Row],[ACCOUNT NUMBER]],'Cash balance (Prior period)'!E:E,Table11[[#This Row],[CURRENCY]])</f>
        <v>0</v>
      </c>
      <c r="I43" s="1318">
        <f>SUMIFS(Movement!$F$4:$F$2136,Movement!$M$4:$M$2136,"VND",Movement!$C$4:$C$2136,Table11[[#This Row],[ACCOUNT NUMBER]],Movement!$J$4:$J$2136,Table11[[#This Row],[ENTITY]],Movement!$O$4:$O$2136,'Cash Balance'!$A$2)</f>
        <v>0</v>
      </c>
      <c r="J43" s="1318">
        <f>SUMIFS(Movement!$G$4:$G$2136,Movement!$M$4:$M$2136,"VND",Movement!$C$4:$C$2136,Table11[[#This Row],[ACCOUNT NUMBER]],Movement!$J$4:$J$2136,Table11[[#This Row],[ENTITY]],Movement!$O$4:$O$2136,'Cash Balance'!$A$2)</f>
        <v>0</v>
      </c>
      <c r="K43" s="1084">
        <f>Table11[[#This Row],[CASH IN - CREDIT (VND)]]-Table11[[#This Row],[CASH OUT - DEBIT (VND)]]</f>
        <v>0</v>
      </c>
      <c r="L43" s="1095">
        <f t="shared" si="3"/>
        <v>0</v>
      </c>
      <c r="M43" s="1184" t="e">
        <f>VLOOKUP(C43,'Cash balance (BS)'!A:D,4,)</f>
        <v>#N/A</v>
      </c>
      <c r="N43" s="1095" t="e">
        <f>Table11[[#This Row],[CLOSING BALANCE (VND)2]]-Table11[[#This Row],[CB_BS (VND)]]</f>
        <v>#N/A</v>
      </c>
      <c r="O43" s="1094">
        <v>0</v>
      </c>
      <c r="P43" s="1095">
        <f t="shared" si="4"/>
        <v>0</v>
      </c>
      <c r="Q43" s="817">
        <f>SUMIFS('Cash balance (Prior period)'!G:G,'Cash balance (Prior period)'!C:C,Table11[[#This Row],[ACCOUNT NUMBER]],'Cash balance (Prior period)'!E:E,Table11[[#This Row],[CURRENCY]])</f>
        <v>0</v>
      </c>
      <c r="R43" s="817">
        <f>SUMIFS(Movement!$F$4:$F$2136,Movement!$M$4:$M$2136,"USD",Movement!$C$4:$C$2136,Table11[[#This Row],[ACCOUNT NUMBER]],Movement!$J$4:$J$2136,Table11[[#This Row],[ENTITY]],Movement!$O$4:$O$2136,'Cash Balance'!$A$2)</f>
        <v>0</v>
      </c>
      <c r="S43" s="817">
        <f>SUMIFS(Movement!$G$4:$G$2136,Movement!$M$4:$M$2136,"USD",Movement!$C$4:$C$2136,Table11[[#This Row],[ACCOUNT NUMBER]],Movement!$J$4:$J$2136,Table11[[#This Row],[ENTITY]],Movement!$O$4:$O$2136,'Cash Balance'!$A$2)</f>
        <v>0</v>
      </c>
      <c r="T43" s="1087">
        <f t="shared" si="5"/>
        <v>0</v>
      </c>
      <c r="U43" s="817"/>
      <c r="V43" s="817">
        <f>Table11[[#This Row],[CLOSING BALANCE (USD)]]-Table11[[#This Row],[CB_BS (USD)]]</f>
        <v>0</v>
      </c>
      <c r="W43" s="1156" t="str">
        <f>VLOOKUP('Cash Balance'!$C43,Table2[#All],MATCH('Cash Balance'!W$3,Acc_Char!$B$1:$I$1,0),0)</f>
        <v>Subsidiaries</v>
      </c>
      <c r="X43" s="1156" t="str">
        <f>VLOOKUP(IFERROR(MID($Y43,1,FIND("-",$Y43)-2),$Y43),Table3[#All],2,0)</f>
        <v>VTB</v>
      </c>
      <c r="Y43" s="1156" t="str">
        <f>VLOOKUP($B43,Table4[#All],2,0)</f>
        <v>VIETINBANK - TIEN SON</v>
      </c>
      <c r="Z43" s="1151"/>
      <c r="AA43" s="49"/>
      <c r="AE43" s="818">
        <f>SUM(Table11[[#This Row],[CASH IN - CREDIT (VND)]],Table11[[#This Row],[CASH IN - CREDIT (USD)]])</f>
        <v>0</v>
      </c>
      <c r="AF43" s="818">
        <f>Table11[[#This Row],[CASH OUT - DEBIT (VND)]]+Table11[[#This Row],[CASH OUT - DEBIT (USD)]]</f>
        <v>0</v>
      </c>
      <c r="AH43" s="1158"/>
      <c r="AI43" s="49"/>
      <c r="AJ43" s="1158"/>
      <c r="AL43"/>
      <c r="AM43"/>
    </row>
    <row r="44" spans="1:39" ht="14.4">
      <c r="A44" s="1153" t="str">
        <f>VLOOKUP('Cash Balance'!$C44,Table2[#All],MATCH('Cash Balance'!A$3,Acc_Char!$B$1:$I$1,0),0)</f>
        <v>BWID NHON TRACH</v>
      </c>
      <c r="B44" s="1154" t="str">
        <f>VLOOKUP('Cash Balance'!$C44,Table2[#All],MATCH('Cash Balance'!B$3,Acc_Char!$B$1:$I$1,0),0)</f>
        <v>VIETCOMBANK - HCM</v>
      </c>
      <c r="C44" s="1155" t="s">
        <v>514</v>
      </c>
      <c r="D44" s="1156" t="str">
        <f>VLOOKUP('Cash Balance'!$C44,Table2[#All],MATCH('Cash Balance'!D$3,Acc_Char!$B$1:$I$1,0),0)</f>
        <v>Current Account</v>
      </c>
      <c r="E44" s="384" t="str">
        <f>VLOOKUP('Cash Balance'!$C44,Table2[#All],MATCH('Cash Balance'!E$3,Acc_Char!$B$1:$I$1,0),0)</f>
        <v>VND</v>
      </c>
      <c r="F44" s="1094" t="e">
        <f>VLOOKUP(C44,'Cash balance (BS)'!A:C,3,)</f>
        <v>#N/A</v>
      </c>
      <c r="G44" s="1157" t="e">
        <f t="shared" si="11"/>
        <v>#N/A</v>
      </c>
      <c r="H44" s="1318">
        <f>SUMIFS('Cash balance (Prior period)'!F:F,'Cash balance (Prior period)'!C:C,Table11[[#This Row],[ACCOUNT NUMBER]],'Cash balance (Prior period)'!E:E,Table11[[#This Row],[CURRENCY]])</f>
        <v>3536463117</v>
      </c>
      <c r="I44" s="1318">
        <f>SUMIFS(Movement!$F$4:$F$2136,Movement!$M$4:$M$2136,"VND",Movement!$C$4:$C$2136,Table11[[#This Row],[ACCOUNT NUMBER]],Movement!$J$4:$J$2136,Table11[[#This Row],[ENTITY]],Movement!$O$4:$O$2136,'Cash Balance'!$A$2)</f>
        <v>101246959</v>
      </c>
      <c r="J44" s="1318">
        <f>SUMIFS(Movement!$G$4:$G$2136,Movement!$M$4:$M$2136,"VND",Movement!$C$4:$C$2136,Table11[[#This Row],[ACCOUNT NUMBER]],Movement!$J$4:$J$2136,Table11[[#This Row],[ENTITY]],Movement!$O$4:$O$2136,'Cash Balance'!$A$2)</f>
        <v>135744977</v>
      </c>
      <c r="K44" s="1084">
        <f>Table11[[#This Row],[CASH IN - CREDIT (VND)]]-Table11[[#This Row],[CASH OUT - DEBIT (VND)]]</f>
        <v>-34498018</v>
      </c>
      <c r="L44" s="1095">
        <f t="shared" si="3"/>
        <v>3501965099</v>
      </c>
      <c r="M44" s="1184" t="e">
        <f>VLOOKUP(C44,'Cash balance (BS)'!A:D,4,)</f>
        <v>#N/A</v>
      </c>
      <c r="N44" s="1095" t="e">
        <f>Table11[[#This Row],[CLOSING BALANCE (VND)2]]-Table11[[#This Row],[CB_BS (VND)]]</f>
        <v>#N/A</v>
      </c>
      <c r="O44" s="1094">
        <v>0</v>
      </c>
      <c r="P44" s="1095">
        <f t="shared" si="4"/>
        <v>0</v>
      </c>
      <c r="Q44" s="817">
        <f>SUMIFS('Cash balance (Prior period)'!G:G,'Cash balance (Prior period)'!C:C,Table11[[#This Row],[ACCOUNT NUMBER]],'Cash balance (Prior period)'!E:E,Table11[[#This Row],[CURRENCY]])</f>
        <v>0</v>
      </c>
      <c r="R44" s="817">
        <f>SUMIFS(Movement!$F$4:$F$2136,Movement!$M$4:$M$2136,"USD",Movement!$C$4:$C$2136,Table11[[#This Row],[ACCOUNT NUMBER]],Movement!$J$4:$J$2136,Table11[[#This Row],[ENTITY]],Movement!$O$4:$O$2136,'Cash Balance'!$A$2)</f>
        <v>0</v>
      </c>
      <c r="S44" s="817">
        <f>SUMIFS(Movement!$G$4:$G$2136,Movement!$M$4:$M$2136,"USD",Movement!$C$4:$C$2136,Table11[[#This Row],[ACCOUNT NUMBER]],Movement!$J$4:$J$2136,Table11[[#This Row],[ENTITY]],Movement!$O$4:$O$2136,'Cash Balance'!$A$2)</f>
        <v>0</v>
      </c>
      <c r="T44" s="1087">
        <f t="shared" si="5"/>
        <v>0</v>
      </c>
      <c r="U44" s="817"/>
      <c r="V44" s="817">
        <f>Table11[[#This Row],[CLOSING BALANCE (USD)]]-Table11[[#This Row],[CB_BS (USD)]]</f>
        <v>0</v>
      </c>
      <c r="W44" s="1156" t="str">
        <f>VLOOKUP('Cash Balance'!$C44,Table2[#All],MATCH('Cash Balance'!W$3,Acc_Char!$B$1:$I$1,0),0)</f>
        <v>Subsidiaries</v>
      </c>
      <c r="X44" s="1156" t="str">
        <f>VLOOKUP(IFERROR(MID($Y44,1,FIND("-",$Y44)-2),$Y44),Table3[#All],2,0)</f>
        <v>VCB</v>
      </c>
      <c r="Y44" s="1156" t="str">
        <f>VLOOKUP($B44,Table4[#All],2,0)</f>
        <v>VIETCOMBANK - HCM</v>
      </c>
      <c r="Z44" s="1151"/>
      <c r="AA44" s="49"/>
      <c r="AE44" s="818">
        <f>SUM(Table11[[#This Row],[CASH IN - CREDIT (VND)]],Table11[[#This Row],[CASH IN - CREDIT (USD)]])</f>
        <v>101246959</v>
      </c>
      <c r="AF44" s="818">
        <f>Table11[[#This Row],[CASH OUT - DEBIT (VND)]]+Table11[[#This Row],[CASH OUT - DEBIT (USD)]]</f>
        <v>135744977</v>
      </c>
      <c r="AH44" s="1158"/>
      <c r="AI44" s="49"/>
      <c r="AJ44" s="1158"/>
      <c r="AL44"/>
      <c r="AM44"/>
    </row>
    <row r="45" spans="1:39" ht="14.4">
      <c r="A45" s="1153" t="str">
        <f>VLOOKUP('Cash Balance'!$C45,Table2[#All],MATCH('Cash Balance'!A$3,Acc_Char!$B$1:$I$1,0),0)</f>
        <v>BWID NHON TRACH</v>
      </c>
      <c r="B45" s="1154" t="str">
        <f>VLOOKUP('Cash Balance'!$C45,Table2[#All],MATCH('Cash Balance'!B$3,Acc_Char!$B$1:$I$1,0),0)</f>
        <v>VIETCOMBANK - HCM</v>
      </c>
      <c r="C45" s="1185" t="s">
        <v>5386</v>
      </c>
      <c r="D45" s="1156" t="str">
        <f>VLOOKUP('Cash Balance'!$C45,Table2[#All],MATCH('Cash Balance'!D$3,Acc_Char!$B$1:$I$1,0),0)</f>
        <v>Saving Account</v>
      </c>
      <c r="E45" s="384" t="str">
        <f>VLOOKUP('Cash Balance'!$C45,Table2[#All],MATCH('Cash Balance'!E$3,Acc_Char!$B$1:$I$1,0),0)</f>
        <v>VND</v>
      </c>
      <c r="F45" s="1094" t="e">
        <f>VLOOKUP(C45,'Cash balance (BS)'!A:C,3,)</f>
        <v>#N/A</v>
      </c>
      <c r="G45" s="1157" t="e">
        <f t="shared" si="11"/>
        <v>#N/A</v>
      </c>
      <c r="H45" s="1318">
        <f>SUMIFS('Cash balance (Prior period)'!F:F,'Cash balance (Prior period)'!C:C,Table11[[#This Row],[ACCOUNT NUMBER]],'Cash balance (Prior period)'!E:E,Table11[[#This Row],[CURRENCY]])</f>
        <v>1128000000</v>
      </c>
      <c r="I45" s="1318">
        <f>SUMIFS(Movement!$F$4:$F$2136,Movement!$M$4:$M$2136,"VND",Movement!$C$4:$C$2136,Table11[[#This Row],[ACCOUNT NUMBER]],Movement!$J$4:$J$2136,Table11[[#This Row],[ENTITY]],Movement!$O$4:$O$2136,'Cash Balance'!$A$2)</f>
        <v>0</v>
      </c>
      <c r="J45" s="1318">
        <f>SUMIFS(Movement!$G$4:$G$2136,Movement!$M$4:$M$2136,"VND",Movement!$C$4:$C$2136,Table11[[#This Row],[ACCOUNT NUMBER]],Movement!$J$4:$J$2136,Table11[[#This Row],[ENTITY]],Movement!$O$4:$O$2136,'Cash Balance'!$A$2)</f>
        <v>0</v>
      </c>
      <c r="K45" s="1084">
        <f>Table11[[#This Row],[CASH IN - CREDIT (VND)]]-Table11[[#This Row],[CASH OUT - DEBIT (VND)]]</f>
        <v>0</v>
      </c>
      <c r="L45" s="1095">
        <f t="shared" si="3"/>
        <v>1128000000</v>
      </c>
      <c r="M45" s="1184" t="e">
        <f>VLOOKUP(C45,'Cash balance (BS)'!A:D,4,)</f>
        <v>#N/A</v>
      </c>
      <c r="N45" s="1095" t="e">
        <f>Table11[[#This Row],[CLOSING BALANCE (VND)2]]-Table11[[#This Row],[CB_BS (VND)]]</f>
        <v>#N/A</v>
      </c>
      <c r="O45" s="1094">
        <v>0</v>
      </c>
      <c r="P45" s="1095">
        <f t="shared" si="4"/>
        <v>0</v>
      </c>
      <c r="Q45" s="817">
        <f>SUMIFS('Cash balance (Prior period)'!G:G,'Cash balance (Prior period)'!C:C,Table11[[#This Row],[ACCOUNT NUMBER]],'Cash balance (Prior period)'!E:E,Table11[[#This Row],[CURRENCY]])</f>
        <v>0</v>
      </c>
      <c r="R45" s="817">
        <f>SUMIFS(Movement!$F$4:$F$2136,Movement!$M$4:$M$2136,"USD",Movement!$C$4:$C$2136,Table11[[#This Row],[ACCOUNT NUMBER]],Movement!$J$4:$J$2136,Table11[[#This Row],[ENTITY]],Movement!$O$4:$O$2136,'Cash Balance'!$A$2)</f>
        <v>0</v>
      </c>
      <c r="S45" s="817">
        <f>SUMIFS(Movement!$G$4:$G$2136,Movement!$M$4:$M$2136,"USD",Movement!$C$4:$C$2136,Table11[[#This Row],[ACCOUNT NUMBER]],Movement!$J$4:$J$2136,Table11[[#This Row],[ENTITY]],Movement!$O$4:$O$2136,'Cash Balance'!$A$2)</f>
        <v>0</v>
      </c>
      <c r="T45" s="1087">
        <f t="shared" si="5"/>
        <v>0</v>
      </c>
      <c r="U45" s="817"/>
      <c r="V45" s="817">
        <f>Table11[[#This Row],[CLOSING BALANCE (USD)]]-Table11[[#This Row],[CB_BS (USD)]]</f>
        <v>0</v>
      </c>
      <c r="W45" s="1156" t="str">
        <f>VLOOKUP('Cash Balance'!$C45,Table2[#All],MATCH('Cash Balance'!W$3,Acc_Char!$B$1:$I$1,0),0)</f>
        <v>Subsidiaries</v>
      </c>
      <c r="X45" s="1156" t="str">
        <f>VLOOKUP(IFERROR(MID($Y45,1,FIND("-",$Y45)-2),$Y45),Table3[#All],2,0)</f>
        <v>VCB</v>
      </c>
      <c r="Y45" s="1156" t="str">
        <f>VLOOKUP($B45,Table4[#All],2,0)</f>
        <v>VIETCOMBANK - HCM</v>
      </c>
      <c r="Z45" s="1151"/>
      <c r="AA45" s="49"/>
      <c r="AE45" s="818">
        <f>SUM(Table11[[#This Row],[CASH IN - CREDIT (VND)]],Table11[[#This Row],[CASH IN - CREDIT (USD)]])</f>
        <v>0</v>
      </c>
      <c r="AF45" s="818">
        <f>Table11[[#This Row],[CASH OUT - DEBIT (VND)]]+Table11[[#This Row],[CASH OUT - DEBIT (USD)]]</f>
        <v>0</v>
      </c>
      <c r="AH45" s="1158"/>
      <c r="AI45" s="49"/>
      <c r="AJ45" s="1158"/>
      <c r="AL45"/>
      <c r="AM45"/>
    </row>
    <row r="46" spans="1:39" ht="14.4">
      <c r="A46" s="1153" t="str">
        <f>VLOOKUP('Cash Balance'!$C46,Table2[#All],MATCH('Cash Balance'!A$3,Acc_Char!$B$1:$I$1,0),0)</f>
        <v>BWID NHON TRACH</v>
      </c>
      <c r="B46" s="1154" t="str">
        <f>VLOOKUP('Cash Balance'!$C46,Table2[#All],MATCH('Cash Balance'!B$3,Acc_Char!$B$1:$I$1,0),0)</f>
        <v>VIETCOMBANK - HCM</v>
      </c>
      <c r="C46" s="1155" t="s">
        <v>515</v>
      </c>
      <c r="D46" s="1156" t="str">
        <f>VLOOKUP('Cash Balance'!$C46,Table2[#All],MATCH('Cash Balance'!D$3,Acc_Char!$B$1:$I$1,0),0)</f>
        <v>Current Account</v>
      </c>
      <c r="E46" s="384" t="str">
        <f>VLOOKUP('Cash Balance'!$C46,Table2[#All],MATCH('Cash Balance'!E$3,Acc_Char!$B$1:$I$1,0),0)</f>
        <v>USD</v>
      </c>
      <c r="F46" s="1094" t="e">
        <f>VLOOKUP(C46,'Cash balance (BS)'!A:C,3,)</f>
        <v>#N/A</v>
      </c>
      <c r="G46" s="1157" t="e">
        <f t="shared" si="11"/>
        <v>#N/A</v>
      </c>
      <c r="H46" s="1318">
        <f>SUMIFS('Cash balance (Prior period)'!F:F,'Cash balance (Prior period)'!C:C,Table11[[#This Row],[ACCOUNT NUMBER]],'Cash balance (Prior period)'!E:E,Table11[[#This Row],[CURRENCY]])</f>
        <v>0</v>
      </c>
      <c r="I46" s="1318">
        <f>SUMIFS(Movement!$F$4:$F$2136,Movement!$M$4:$M$2136,"VND",Movement!$C$4:$C$2136,Table11[[#This Row],[ACCOUNT NUMBER]],Movement!$J$4:$J$2136,Table11[[#This Row],[ENTITY]],Movement!$O$4:$O$2136,'Cash Balance'!$A$2)</f>
        <v>0</v>
      </c>
      <c r="J46" s="1318">
        <f>SUMIFS(Movement!$G$4:$G$2136,Movement!$M$4:$M$2136,"VND",Movement!$C$4:$C$2136,Table11[[#This Row],[ACCOUNT NUMBER]],Movement!$J$4:$J$2136,Table11[[#This Row],[ENTITY]],Movement!$O$4:$O$2136,'Cash Balance'!$A$2)</f>
        <v>0</v>
      </c>
      <c r="K46" s="1084">
        <f>Table11[[#This Row],[CASH IN - CREDIT (VND)]]-Table11[[#This Row],[CASH OUT - DEBIT (VND)]]</f>
        <v>0</v>
      </c>
      <c r="L46" s="1095">
        <f t="shared" si="3"/>
        <v>0</v>
      </c>
      <c r="M46" s="1184" t="e">
        <f>VLOOKUP(C46,'Cash balance (BS)'!A:D,4,)</f>
        <v>#N/A</v>
      </c>
      <c r="N46" s="1095" t="e">
        <f>Table11[[#This Row],[CLOSING BALANCE (VND)2]]-Table11[[#This Row],[CB_BS (VND)]]</f>
        <v>#N/A</v>
      </c>
      <c r="O46" s="1094">
        <v>0</v>
      </c>
      <c r="P46" s="1095">
        <f t="shared" si="4"/>
        <v>0</v>
      </c>
      <c r="Q46" s="817">
        <f>SUMIFS('Cash balance (Prior period)'!G:G,'Cash balance (Prior period)'!C:C,Table11[[#This Row],[ACCOUNT NUMBER]],'Cash balance (Prior period)'!E:E,Table11[[#This Row],[CURRENCY]])</f>
        <v>0</v>
      </c>
      <c r="R46" s="817">
        <f>SUMIFS(Movement!$F$4:$F$2136,Movement!$M$4:$M$2136,"USD",Movement!$C$4:$C$2136,Table11[[#This Row],[ACCOUNT NUMBER]],Movement!$J$4:$J$2136,Table11[[#This Row],[ENTITY]],Movement!$O$4:$O$2136,'Cash Balance'!$A$2)</f>
        <v>0</v>
      </c>
      <c r="S46" s="817">
        <f>SUMIFS(Movement!$G$4:$G$2136,Movement!$M$4:$M$2136,"USD",Movement!$C$4:$C$2136,Table11[[#This Row],[ACCOUNT NUMBER]],Movement!$J$4:$J$2136,Table11[[#This Row],[ENTITY]],Movement!$O$4:$O$2136,'Cash Balance'!$A$2)</f>
        <v>0</v>
      </c>
      <c r="T46" s="1087">
        <f t="shared" si="5"/>
        <v>0</v>
      </c>
      <c r="U46" s="817"/>
      <c r="V46" s="817">
        <f>Table11[[#This Row],[CLOSING BALANCE (USD)]]-Table11[[#This Row],[CB_BS (USD)]]</f>
        <v>0</v>
      </c>
      <c r="W46" s="1156" t="str">
        <f>VLOOKUP('Cash Balance'!$C46,Table2[#All],MATCH('Cash Balance'!W$3,Acc_Char!$B$1:$I$1,0),0)</f>
        <v>Subsidiaries</v>
      </c>
      <c r="X46" s="1156" t="str">
        <f>VLOOKUP(IFERROR(MID($Y46,1,FIND("-",$Y46)-2),$Y46),Table3[#All],2,0)</f>
        <v>VCB</v>
      </c>
      <c r="Y46" s="1156" t="str">
        <f>VLOOKUP($B46,Table4[#All],2,0)</f>
        <v>VIETCOMBANK - HCM</v>
      </c>
      <c r="Z46" s="1151"/>
      <c r="AA46" s="49"/>
      <c r="AE46" s="818">
        <f>SUM(Table11[[#This Row],[CASH IN - CREDIT (VND)]],Table11[[#This Row],[CASH IN - CREDIT (USD)]])</f>
        <v>0</v>
      </c>
      <c r="AF46" s="818">
        <f>Table11[[#This Row],[CASH OUT - DEBIT (VND)]]+Table11[[#This Row],[CASH OUT - DEBIT (USD)]]</f>
        <v>0</v>
      </c>
      <c r="AH46" s="1158"/>
      <c r="AI46" s="49"/>
      <c r="AJ46" s="1158"/>
      <c r="AL46"/>
      <c r="AM46"/>
    </row>
    <row r="47" spans="1:39" ht="14.4">
      <c r="A47" s="1153" t="str">
        <f>VLOOKUP('Cash Balance'!$C47,Table2[#All],MATCH('Cash Balance'!A$3,Acc_Char!$B$1:$I$1,0),0)</f>
        <v>BWID HAI DUONG 3</v>
      </c>
      <c r="B47" s="1154" t="str">
        <f>VLOOKUP('Cash Balance'!$C47,Table2[#All],MATCH('Cash Balance'!B$3,Acc_Char!$B$1:$I$1,0),0)</f>
        <v>BIDV - THANH XUAN</v>
      </c>
      <c r="C47" s="1183" t="s">
        <v>517</v>
      </c>
      <c r="D47" s="1156" t="str">
        <f>VLOOKUP('Cash Balance'!$C47,Table2[#All],MATCH('Cash Balance'!D$3,Acc_Char!$B$1:$I$1,0),0)</f>
        <v>Current Account</v>
      </c>
      <c r="E47" s="384" t="str">
        <f>VLOOKUP('Cash Balance'!$C47,Table2[#All],MATCH('Cash Balance'!E$3,Acc_Char!$B$1:$I$1,0),0)</f>
        <v>VND</v>
      </c>
      <c r="F47" s="1094" t="e">
        <f>VLOOKUP(C47,'Cash balance (BS)'!A:C,3,)</f>
        <v>#N/A</v>
      </c>
      <c r="G47" s="1157" t="e">
        <f t="shared" si="11"/>
        <v>#N/A</v>
      </c>
      <c r="H47" s="1318">
        <f>SUMIFS('Cash balance (Prior period)'!F:F,'Cash balance (Prior period)'!C:C,Table11[[#This Row],[ACCOUNT NUMBER]],'Cash balance (Prior period)'!E:E,Table11[[#This Row],[CURRENCY]])</f>
        <v>1630860712</v>
      </c>
      <c r="I47" s="1318">
        <f>SUMIFS(Movement!$F$4:$F$2136,Movement!$M$4:$M$2136,"VND",Movement!$C$4:$C$2136,Table11[[#This Row],[ACCOUNT NUMBER]],Movement!$J$4:$J$2136,Table11[[#This Row],[ENTITY]],Movement!$O$4:$O$2136,'Cash Balance'!$A$2)</f>
        <v>12315024641</v>
      </c>
      <c r="J47" s="1318">
        <f>SUMIFS(Movement!$G$4:$G$2136,Movement!$M$4:$M$2136,"VND",Movement!$C$4:$C$2136,Table11[[#This Row],[ACCOUNT NUMBER]],Movement!$J$4:$J$2136,Table11[[#This Row],[ENTITY]],Movement!$O$4:$O$2136,'Cash Balance'!$A$2)</f>
        <v>199665389</v>
      </c>
      <c r="K47" s="1084">
        <f>Table11[[#This Row],[CASH IN - CREDIT (VND)]]-Table11[[#This Row],[CASH OUT - DEBIT (VND)]]</f>
        <v>12115359252</v>
      </c>
      <c r="L47" s="1095">
        <f t="shared" si="3"/>
        <v>13746219964</v>
      </c>
      <c r="M47" s="1184" t="e">
        <f>VLOOKUP(C47,'Cash balance (BS)'!A:D,4,)</f>
        <v>#N/A</v>
      </c>
      <c r="N47" s="1095" t="e">
        <f>Table11[[#This Row],[CLOSING BALANCE (VND)2]]-Table11[[#This Row],[CB_BS (VND)]]</f>
        <v>#N/A</v>
      </c>
      <c r="O47" s="1094">
        <v>0</v>
      </c>
      <c r="P47" s="1095">
        <f t="shared" si="4"/>
        <v>0</v>
      </c>
      <c r="Q47" s="817">
        <f>SUMIFS('Cash balance (Prior period)'!G:G,'Cash balance (Prior period)'!C:C,Table11[[#This Row],[ACCOUNT NUMBER]],'Cash balance (Prior period)'!E:E,Table11[[#This Row],[CURRENCY]])</f>
        <v>0</v>
      </c>
      <c r="R47" s="817">
        <f>SUMIFS(Movement!$F$4:$F$2136,Movement!$M$4:$M$2136,"USD",Movement!$C$4:$C$2136,Table11[[#This Row],[ACCOUNT NUMBER]],Movement!$J$4:$J$2136,Table11[[#This Row],[ENTITY]],Movement!$O$4:$O$2136,'Cash Balance'!$A$2)</f>
        <v>0</v>
      </c>
      <c r="S47" s="817">
        <f>SUMIFS(Movement!$G$4:$G$2136,Movement!$M$4:$M$2136,"USD",Movement!$C$4:$C$2136,Table11[[#This Row],[ACCOUNT NUMBER]],Movement!$J$4:$J$2136,Table11[[#This Row],[ENTITY]],Movement!$O$4:$O$2136,'Cash Balance'!$A$2)</f>
        <v>0</v>
      </c>
      <c r="T47" s="1087">
        <f t="shared" si="5"/>
        <v>0</v>
      </c>
      <c r="U47" s="817"/>
      <c r="V47" s="817">
        <f>Table11[[#This Row],[CLOSING BALANCE (USD)]]-Table11[[#This Row],[CB_BS (USD)]]</f>
        <v>0</v>
      </c>
      <c r="W47" s="1156" t="str">
        <f>VLOOKUP('Cash Balance'!$C47,Table2[#All],MATCH('Cash Balance'!W$3,Acc_Char!$B$1:$I$1,0),0)</f>
        <v>Subsidiaries</v>
      </c>
      <c r="X47" s="1156" t="str">
        <f>VLOOKUP(IFERROR(MID($Y47,1,FIND("-",$Y47)-2),$Y47),Table3[#All],2,0)</f>
        <v>BIDV</v>
      </c>
      <c r="Y47" s="1156" t="str">
        <f>VLOOKUP($B47,Table4[#All],2,0)</f>
        <v>BIDV - THANH XUAN</v>
      </c>
      <c r="Z47" s="1151"/>
      <c r="AA47" s="49"/>
      <c r="AE47" s="818">
        <f>SUM(Table11[[#This Row],[CASH IN - CREDIT (VND)]],Table11[[#This Row],[CASH IN - CREDIT (USD)]])</f>
        <v>12315024641</v>
      </c>
      <c r="AF47" s="818">
        <f>Table11[[#This Row],[CASH OUT - DEBIT (VND)]]+Table11[[#This Row],[CASH OUT - DEBIT (USD)]]</f>
        <v>199665389</v>
      </c>
      <c r="AH47" s="1158" t="s">
        <v>1519</v>
      </c>
      <c r="AI47" s="49"/>
      <c r="AJ47" s="1158"/>
      <c r="AL47"/>
      <c r="AM47"/>
    </row>
    <row r="48" spans="1:39" ht="14.4">
      <c r="A48" s="1153" t="str">
        <f>VLOOKUP('Cash Balance'!$C48,Table2[#All],MATCH('Cash Balance'!A$3,Acc_Char!$B$1:$I$1,0),0)</f>
        <v>BWID THOI HOA</v>
      </c>
      <c r="B48" s="1154" t="str">
        <f>VLOOKUP('Cash Balance'!$C48,Table2[#All],MATCH('Cash Balance'!B$3,Acc_Char!$B$1:$I$1,0),0)</f>
        <v>OCB - BINH DUONG</v>
      </c>
      <c r="C48" s="1155" t="s">
        <v>519</v>
      </c>
      <c r="D48" s="1156" t="str">
        <f>VLOOKUP('Cash Balance'!$C48,Table2[#All],MATCH('Cash Balance'!D$3,Acc_Char!$B$1:$I$1,0),0)</f>
        <v>Current Account</v>
      </c>
      <c r="E48" s="384" t="str">
        <f>VLOOKUP('Cash Balance'!$C48,Table2[#All],MATCH('Cash Balance'!E$3,Acc_Char!$B$1:$I$1,0),0)</f>
        <v>VND</v>
      </c>
      <c r="F48" s="1094" t="e">
        <f>VLOOKUP(C48,'Cash balance (BS)'!A:C,3,)</f>
        <v>#N/A</v>
      </c>
      <c r="G48" s="1157" t="e">
        <f t="shared" si="11"/>
        <v>#N/A</v>
      </c>
      <c r="H48" s="1318">
        <f>SUMIFS('Cash balance (Prior period)'!F:F,'Cash balance (Prior period)'!C:C,Table11[[#This Row],[ACCOUNT NUMBER]],'Cash balance (Prior period)'!E:E,Table11[[#This Row],[CURRENCY]])</f>
        <v>0</v>
      </c>
      <c r="I48" s="1318">
        <f>SUMIFS(Movement!$F$4:$F$2136,Movement!$M$4:$M$2136,"VND",Movement!$C$4:$C$2136,Table11[[#This Row],[ACCOUNT NUMBER]],Movement!$J$4:$J$2136,Table11[[#This Row],[ENTITY]],Movement!$O$4:$O$2136,'Cash Balance'!$A$2)</f>
        <v>0</v>
      </c>
      <c r="J48" s="1318">
        <f>SUMIFS(Movement!$G$4:$G$2136,Movement!$M$4:$M$2136,"VND",Movement!$C$4:$C$2136,Table11[[#This Row],[ACCOUNT NUMBER]],Movement!$J$4:$J$2136,Table11[[#This Row],[ENTITY]],Movement!$O$4:$O$2136,'Cash Balance'!$A$2)</f>
        <v>0</v>
      </c>
      <c r="K48" s="1084">
        <f>Table11[[#This Row],[CASH IN - CREDIT (VND)]]-Table11[[#This Row],[CASH OUT - DEBIT (VND)]]</f>
        <v>0</v>
      </c>
      <c r="L48" s="1095">
        <f t="shared" si="3"/>
        <v>0</v>
      </c>
      <c r="M48" s="1184" t="e">
        <f>VLOOKUP(C48,'Cash balance (BS)'!A:D,4,)</f>
        <v>#N/A</v>
      </c>
      <c r="N48" s="1095" t="e">
        <f>Table11[[#This Row],[CLOSING BALANCE (VND)2]]-Table11[[#This Row],[CB_BS (VND)]]</f>
        <v>#N/A</v>
      </c>
      <c r="O48" s="1094">
        <v>0</v>
      </c>
      <c r="P48" s="1095">
        <f t="shared" si="4"/>
        <v>0</v>
      </c>
      <c r="Q48" s="817">
        <f>SUMIFS('Cash balance (Prior period)'!G:G,'Cash balance (Prior period)'!C:C,Table11[[#This Row],[ACCOUNT NUMBER]],'Cash balance (Prior period)'!E:E,Table11[[#This Row],[CURRENCY]])</f>
        <v>0</v>
      </c>
      <c r="R48" s="817">
        <f>SUMIFS(Movement!$F$4:$F$2136,Movement!$M$4:$M$2136,"USD",Movement!$C$4:$C$2136,Table11[[#This Row],[ACCOUNT NUMBER]],Movement!$J$4:$J$2136,Table11[[#This Row],[ENTITY]],Movement!$O$4:$O$2136,'Cash Balance'!$A$2)</f>
        <v>0</v>
      </c>
      <c r="S48" s="817">
        <f>SUMIFS(Movement!$G$4:$G$2136,Movement!$M$4:$M$2136,"USD",Movement!$C$4:$C$2136,Table11[[#This Row],[ACCOUNT NUMBER]],Movement!$J$4:$J$2136,Table11[[#This Row],[ENTITY]],Movement!$O$4:$O$2136,'Cash Balance'!$A$2)</f>
        <v>0</v>
      </c>
      <c r="T48" s="1087">
        <f t="shared" si="5"/>
        <v>0</v>
      </c>
      <c r="U48" s="817"/>
      <c r="V48" s="817">
        <f>Table11[[#This Row],[CLOSING BALANCE (USD)]]-Table11[[#This Row],[CB_BS (USD)]]</f>
        <v>0</v>
      </c>
      <c r="W48" s="1156" t="str">
        <f>VLOOKUP('Cash Balance'!$C48,Table2[#All],MATCH('Cash Balance'!W$3,Acc_Char!$B$1:$I$1,0),0)</f>
        <v>Subsidiaries</v>
      </c>
      <c r="X48" s="1156" t="str">
        <f>VLOOKUP(IFERROR(MID($Y48,1,FIND("-",$Y48)-2),$Y48),Table3[#All],2,0)</f>
        <v>OCB</v>
      </c>
      <c r="Y48" s="1156" t="str">
        <f>VLOOKUP($B48,Table4[#All],2,0)</f>
        <v>OCB - BINH DUONG</v>
      </c>
      <c r="Z48" s="1151"/>
      <c r="AA48" s="49"/>
      <c r="AE48" s="818">
        <f>SUM(Table11[[#This Row],[CASH IN - CREDIT (VND)]],Table11[[#This Row],[CASH IN - CREDIT (USD)]])</f>
        <v>0</v>
      </c>
      <c r="AF48" s="818">
        <f>Table11[[#This Row],[CASH OUT - DEBIT (VND)]]+Table11[[#This Row],[CASH OUT - DEBIT (USD)]]</f>
        <v>0</v>
      </c>
      <c r="AH48" s="1158"/>
      <c r="AI48" s="49"/>
      <c r="AJ48" s="1158"/>
      <c r="AL48"/>
      <c r="AM48"/>
    </row>
    <row r="49" spans="1:39" ht="14.4">
      <c r="A49" s="1153" t="str">
        <f>VLOOKUP('Cash Balance'!$C49,Table2[#All],MATCH('Cash Balance'!A$3,Acc_Char!$B$1:$I$1,0),0)</f>
        <v>TH1 HOLDCO</v>
      </c>
      <c r="B49" s="1154" t="str">
        <f>VLOOKUP('Cash Balance'!$C49,Table2[#All],MATCH('Cash Balance'!B$3,Acc_Char!$B$1:$I$1,0),0)</f>
        <v>VIETINBANK - CN1</v>
      </c>
      <c r="C49" s="1155" t="s">
        <v>521</v>
      </c>
      <c r="D49" s="1156" t="str">
        <f>VLOOKUP('Cash Balance'!$C49,Table2[#All],MATCH('Cash Balance'!D$3,Acc_Char!$B$1:$I$1,0),0)</f>
        <v>Current Account</v>
      </c>
      <c r="E49" s="384" t="str">
        <f>VLOOKUP('Cash Balance'!$C49,Table2[#All],MATCH('Cash Balance'!E$3,Acc_Char!$B$1:$I$1,0),0)</f>
        <v>VND</v>
      </c>
      <c r="F49" s="1094"/>
      <c r="G49" s="1157"/>
      <c r="H49" s="1318">
        <f>SUMIFS('Cash balance (Prior period)'!F:F,'Cash balance (Prior period)'!C:C,Table11[[#This Row],[ACCOUNT NUMBER]],'Cash balance (Prior period)'!E:E,Table11[[#This Row],[CURRENCY]])</f>
        <v>72518111</v>
      </c>
      <c r="I49" s="1318">
        <f>SUMIFS(Movement!$F$4:$F$2136,Movement!$M$4:$M$2136,"VND",Movement!$C$4:$C$2136,Table11[[#This Row],[ACCOUNT NUMBER]],Movement!$J$4:$J$2136,Table11[[#This Row],[ENTITY]],Movement!$O$4:$O$2136,'Cash Balance'!$A$2)</f>
        <v>0</v>
      </c>
      <c r="J49" s="1318">
        <f>SUMIFS(Movement!$G$4:$G$2136,Movement!$M$4:$M$2136,"VND",Movement!$C$4:$C$2136,Table11[[#This Row],[ACCOUNT NUMBER]],Movement!$J$4:$J$2136,Table11[[#This Row],[ENTITY]],Movement!$O$4:$O$2136,'Cash Balance'!$A$2)</f>
        <v>0</v>
      </c>
      <c r="K49" s="1084">
        <f>Table11[[#This Row],[CASH IN - CREDIT (VND)]]-Table11[[#This Row],[CASH OUT - DEBIT (VND)]]</f>
        <v>0</v>
      </c>
      <c r="L49" s="1095">
        <f t="shared" si="3"/>
        <v>72518111</v>
      </c>
      <c r="M49" s="1184" t="e">
        <f>VLOOKUP(C49,'Cash balance (BS)'!A:D,4,)</f>
        <v>#N/A</v>
      </c>
      <c r="N49" s="1095" t="e">
        <f>Table11[[#This Row],[CLOSING BALANCE (VND)2]]-Table11[[#This Row],[CB_BS (VND)]]</f>
        <v>#N/A</v>
      </c>
      <c r="O49" s="1094">
        <v>0</v>
      </c>
      <c r="P49" s="1095">
        <f t="shared" si="4"/>
        <v>0</v>
      </c>
      <c r="Q49" s="817">
        <f>SUMIFS('Cash balance (Prior period)'!G:G,'Cash balance (Prior period)'!C:C,Table11[[#This Row],[ACCOUNT NUMBER]],'Cash balance (Prior period)'!E:E,Table11[[#This Row],[CURRENCY]])</f>
        <v>0</v>
      </c>
      <c r="R49" s="817">
        <f>SUMIFS(Movement!$F$4:$F$2136,Movement!$M$4:$M$2136,"USD",Movement!$C$4:$C$2136,Table11[[#This Row],[ACCOUNT NUMBER]],Movement!$J$4:$J$2136,Table11[[#This Row],[ENTITY]],Movement!$O$4:$O$2136,'Cash Balance'!$A$2)</f>
        <v>0</v>
      </c>
      <c r="S49" s="817">
        <f>SUMIFS(Movement!$G$4:$G$2136,Movement!$M$4:$M$2136,"USD",Movement!$C$4:$C$2136,Table11[[#This Row],[ACCOUNT NUMBER]],Movement!$J$4:$J$2136,Table11[[#This Row],[ENTITY]],Movement!$O$4:$O$2136,'Cash Balance'!$A$2)</f>
        <v>0</v>
      </c>
      <c r="T49" s="1087">
        <f t="shared" si="5"/>
        <v>0</v>
      </c>
      <c r="U49" s="817" t="e">
        <f>VLOOKUP(C49,'Cash balance (BS)'!A:D,4,)</f>
        <v>#N/A</v>
      </c>
      <c r="V49" s="817" t="e">
        <f>Table11[[#This Row],[CLOSING BALANCE (USD)]]-Table11[[#This Row],[CB_BS (USD)]]</f>
        <v>#N/A</v>
      </c>
      <c r="W49" s="1156" t="str">
        <f>VLOOKUP('Cash Balance'!$C49,Table2[#All],MATCH('Cash Balance'!W$3,Acc_Char!$B$1:$I$1,0),0)</f>
        <v>Subsidiaries</v>
      </c>
      <c r="X49" s="1156" t="str">
        <f>VLOOKUP(IFERROR(MID($Y49,1,FIND("-",$Y49)-2),$Y49),Table3[#All],2,0)</f>
        <v>VTB</v>
      </c>
      <c r="Y49" s="1156" t="str">
        <f>VLOOKUP($B49,Table4[#All],2,0)</f>
        <v>VIETINBANK - CN1</v>
      </c>
      <c r="Z49" s="1151"/>
      <c r="AA49" s="49"/>
      <c r="AE49" s="818">
        <f>SUM(Table11[[#This Row],[CASH IN - CREDIT (VND)]],Table11[[#This Row],[CASH IN - CREDIT (USD)]])</f>
        <v>0</v>
      </c>
      <c r="AF49" s="818">
        <f>Table11[[#This Row],[CASH OUT - DEBIT (VND)]]+Table11[[#This Row],[CASH OUT - DEBIT (USD)]]</f>
        <v>0</v>
      </c>
      <c r="AH49" s="1158"/>
      <c r="AI49" s="49"/>
      <c r="AJ49" s="1158"/>
      <c r="AL49"/>
      <c r="AM49"/>
    </row>
    <row r="50" spans="1:39" ht="14.4">
      <c r="A50" s="1153" t="str">
        <f>VLOOKUP('Cash Balance'!$C50,Table2[#All],MATCH('Cash Balance'!A$3,Acc_Char!$B$1:$I$1,0),0)</f>
        <v>BWID THOI HOA 2</v>
      </c>
      <c r="B50" s="1154" t="str">
        <f>VLOOKUP('Cash Balance'!$C50,Table2[#All],MATCH('Cash Balance'!B$3,Acc_Char!$B$1:$I$1,0),0)</f>
        <v>OCB - BINH DUONG</v>
      </c>
      <c r="C50" s="1155" t="s">
        <v>523</v>
      </c>
      <c r="D50" s="1156" t="str">
        <f>VLOOKUP('Cash Balance'!$C50,Table2[#All],MATCH('Cash Balance'!D$3,Acc_Char!$B$1:$I$1,0),0)</f>
        <v>Current Account</v>
      </c>
      <c r="E50" s="384" t="str">
        <f>VLOOKUP('Cash Balance'!$C50,Table2[#All],MATCH('Cash Balance'!E$3,Acc_Char!$B$1:$I$1,0),0)</f>
        <v>VND</v>
      </c>
      <c r="F50" s="1094" t="e">
        <f>VLOOKUP(C50,'Cash balance (BS)'!A:C,3,)</f>
        <v>#N/A</v>
      </c>
      <c r="G50" s="1157" t="e">
        <f>F50-H50</f>
        <v>#N/A</v>
      </c>
      <c r="H50" s="1318">
        <f>SUMIFS('Cash balance (Prior period)'!F:F,'Cash balance (Prior period)'!C:C,Table11[[#This Row],[ACCOUNT NUMBER]],'Cash balance (Prior period)'!E:E,Table11[[#This Row],[CURRENCY]])</f>
        <v>1047085420</v>
      </c>
      <c r="I50" s="1318">
        <f>SUMIFS(Movement!$F$4:$F$2136,Movement!$M$4:$M$2136,"VND",Movement!$C$4:$C$2136,Table11[[#This Row],[ACCOUNT NUMBER]],Movement!$J$4:$J$2136,Table11[[#This Row],[ENTITY]],Movement!$O$4:$O$2136,'Cash Balance'!$A$2)</f>
        <v>0</v>
      </c>
      <c r="J50" s="1318">
        <f>SUMIFS(Movement!$G$4:$G$2136,Movement!$M$4:$M$2136,"VND",Movement!$C$4:$C$2136,Table11[[#This Row],[ACCOUNT NUMBER]],Movement!$J$4:$J$2136,Table11[[#This Row],[ENTITY]],Movement!$O$4:$O$2136,'Cash Balance'!$A$2)</f>
        <v>854558840</v>
      </c>
      <c r="K50" s="1084">
        <f>Table11[[#This Row],[CASH IN - CREDIT (VND)]]-Table11[[#This Row],[CASH OUT - DEBIT (VND)]]</f>
        <v>-854558840</v>
      </c>
      <c r="L50" s="1095">
        <f t="shared" si="3"/>
        <v>192526580</v>
      </c>
      <c r="M50" s="1184" t="e">
        <f>VLOOKUP(C50,'Cash balance (BS)'!A:D,4,)</f>
        <v>#N/A</v>
      </c>
      <c r="N50" s="1095" t="e">
        <f>Table11[[#This Row],[CLOSING BALANCE (VND)2]]-Table11[[#This Row],[CB_BS (VND)]]</f>
        <v>#N/A</v>
      </c>
      <c r="O50" s="1094">
        <v>0</v>
      </c>
      <c r="P50" s="1095">
        <f t="shared" si="4"/>
        <v>0</v>
      </c>
      <c r="Q50" s="817">
        <f>SUMIFS('Cash balance (Prior period)'!G:G,'Cash balance (Prior period)'!C:C,Table11[[#This Row],[ACCOUNT NUMBER]],'Cash balance (Prior period)'!E:E,Table11[[#This Row],[CURRENCY]])</f>
        <v>0</v>
      </c>
      <c r="R50" s="817">
        <f>SUMIFS(Movement!$F$4:$F$2136,Movement!$M$4:$M$2136,"USD",Movement!$C$4:$C$2136,Table11[[#This Row],[ACCOUNT NUMBER]],Movement!$J$4:$J$2136,Table11[[#This Row],[ENTITY]],Movement!$O$4:$O$2136,'Cash Balance'!$A$2)</f>
        <v>0</v>
      </c>
      <c r="S50" s="817">
        <f>SUMIFS(Movement!$G$4:$G$2136,Movement!$M$4:$M$2136,"USD",Movement!$C$4:$C$2136,Table11[[#This Row],[ACCOUNT NUMBER]],Movement!$J$4:$J$2136,Table11[[#This Row],[ENTITY]],Movement!$O$4:$O$2136,'Cash Balance'!$A$2)</f>
        <v>0</v>
      </c>
      <c r="T50" s="1087">
        <f t="shared" si="5"/>
        <v>0</v>
      </c>
      <c r="U50" s="817"/>
      <c r="V50" s="817">
        <f>Table11[[#This Row],[CLOSING BALANCE (USD)]]-Table11[[#This Row],[CB_BS (USD)]]</f>
        <v>0</v>
      </c>
      <c r="W50" s="1156" t="str">
        <f>VLOOKUP('Cash Balance'!$C50,Table2[#All],MATCH('Cash Balance'!W$3,Acc_Char!$B$1:$I$1,0),0)</f>
        <v>Subsidiaries</v>
      </c>
      <c r="X50" s="1156" t="str">
        <f>VLOOKUP(IFERROR(MID($Y50,1,FIND("-",$Y50)-2),$Y50),Table3[#All],2,0)</f>
        <v>OCB</v>
      </c>
      <c r="Y50" s="1156" t="str">
        <f>VLOOKUP($B50,Table4[#All],2,0)</f>
        <v>OCB - BINH DUONG</v>
      </c>
      <c r="Z50" s="1151"/>
      <c r="AA50" s="49"/>
      <c r="AE50" s="818">
        <f>SUM(Table11[[#This Row],[CASH IN - CREDIT (VND)]],Table11[[#This Row],[CASH IN - CREDIT (USD)]])</f>
        <v>0</v>
      </c>
      <c r="AF50" s="818">
        <f>Table11[[#This Row],[CASH OUT - DEBIT (VND)]]+Table11[[#This Row],[CASH OUT - DEBIT (USD)]]</f>
        <v>854558840</v>
      </c>
      <c r="AH50" s="1158"/>
      <c r="AI50" s="49"/>
      <c r="AJ50" s="1158"/>
      <c r="AL50"/>
      <c r="AM50"/>
    </row>
    <row r="51" spans="1:39" ht="14.4">
      <c r="A51" s="1153" t="str">
        <f>VLOOKUP('Cash Balance'!$C51,Table2[#All],MATCH('Cash Balance'!A$3,Acc_Char!$B$1:$I$1,0),0)</f>
        <v>TH2 HOLDCO</v>
      </c>
      <c r="B51" s="1154" t="str">
        <f>VLOOKUP('Cash Balance'!$C51,Table2[#All],MATCH('Cash Balance'!B$3,Acc_Char!$B$1:$I$1,0),0)</f>
        <v>VIETINBANK - CN1</v>
      </c>
      <c r="C51" s="1155" t="s">
        <v>525</v>
      </c>
      <c r="D51" s="1156" t="str">
        <f>VLOOKUP('Cash Balance'!$C51,Table2[#All],MATCH('Cash Balance'!D$3,Acc_Char!$B$1:$I$1,0),0)</f>
        <v>Current Account</v>
      </c>
      <c r="E51" s="384" t="str">
        <f>VLOOKUP('Cash Balance'!$C51,Table2[#All],MATCH('Cash Balance'!E$3,Acc_Char!$B$1:$I$1,0),0)</f>
        <v>VND</v>
      </c>
      <c r="F51" s="1094" t="e">
        <f>VLOOKUP(C51,'Cash balance (BS)'!A:C,3,)</f>
        <v>#N/A</v>
      </c>
      <c r="G51" s="1157" t="e">
        <f>F51-H51</f>
        <v>#N/A</v>
      </c>
      <c r="H51" s="1318">
        <f>SUMIFS('Cash balance (Prior period)'!F:F,'Cash balance (Prior period)'!C:C,Table11[[#This Row],[ACCOUNT NUMBER]],'Cash balance (Prior period)'!E:E,Table11[[#This Row],[CURRENCY]])</f>
        <v>5509929</v>
      </c>
      <c r="I51" s="1318">
        <f>SUMIFS(Movement!$F$4:$F$2136,Movement!$M$4:$M$2136,"VND",Movement!$C$4:$C$2136,Table11[[#This Row],[ACCOUNT NUMBER]],Movement!$J$4:$J$2136,Table11[[#This Row],[ENTITY]],Movement!$O$4:$O$2136,'Cash Balance'!$A$2)</f>
        <v>0</v>
      </c>
      <c r="J51" s="1318">
        <f>SUMIFS(Movement!$G$4:$G$2136,Movement!$M$4:$M$2136,"VND",Movement!$C$4:$C$2136,Table11[[#This Row],[ACCOUNT NUMBER]],Movement!$J$4:$J$2136,Table11[[#This Row],[ENTITY]],Movement!$O$4:$O$2136,'Cash Balance'!$A$2)</f>
        <v>0</v>
      </c>
      <c r="K51" s="1084">
        <f>Table11[[#This Row],[CASH IN - CREDIT (VND)]]-Table11[[#This Row],[CASH OUT - DEBIT (VND)]]</f>
        <v>0</v>
      </c>
      <c r="L51" s="1095">
        <f t="shared" si="3"/>
        <v>5509929</v>
      </c>
      <c r="M51" s="1184" t="e">
        <f>VLOOKUP(C51,'Cash balance (BS)'!A:D,4,)</f>
        <v>#N/A</v>
      </c>
      <c r="N51" s="1095" t="e">
        <f>Table11[[#This Row],[CLOSING BALANCE (VND)2]]-Table11[[#This Row],[CB_BS (VND)]]</f>
        <v>#N/A</v>
      </c>
      <c r="O51" s="1094">
        <v>0</v>
      </c>
      <c r="P51" s="1095">
        <f t="shared" si="4"/>
        <v>0</v>
      </c>
      <c r="Q51" s="817">
        <f>SUMIFS('Cash balance (Prior period)'!G:G,'Cash balance (Prior period)'!C:C,Table11[[#This Row],[ACCOUNT NUMBER]],'Cash balance (Prior period)'!E:E,Table11[[#This Row],[CURRENCY]])</f>
        <v>0</v>
      </c>
      <c r="R51" s="817">
        <f>SUMIFS(Movement!$F$4:$F$2136,Movement!$M$4:$M$2136,"USD",Movement!$C$4:$C$2136,Table11[[#This Row],[ACCOUNT NUMBER]],Movement!$J$4:$J$2136,Table11[[#This Row],[ENTITY]],Movement!$O$4:$O$2136,'Cash Balance'!$A$2)</f>
        <v>0</v>
      </c>
      <c r="S51" s="817">
        <f>SUMIFS(Movement!$G$4:$G$2136,Movement!$M$4:$M$2136,"USD",Movement!$C$4:$C$2136,Table11[[#This Row],[ACCOUNT NUMBER]],Movement!$J$4:$J$2136,Table11[[#This Row],[ENTITY]],Movement!$O$4:$O$2136,'Cash Balance'!$A$2)</f>
        <v>0</v>
      </c>
      <c r="T51" s="1087">
        <f t="shared" si="5"/>
        <v>0</v>
      </c>
      <c r="U51" s="817"/>
      <c r="V51" s="817">
        <f>Table11[[#This Row],[CLOSING BALANCE (USD)]]-Table11[[#This Row],[CB_BS (USD)]]</f>
        <v>0</v>
      </c>
      <c r="W51" s="1156" t="str">
        <f>VLOOKUP('Cash Balance'!$C51,Table2[#All],MATCH('Cash Balance'!W$3,Acc_Char!$B$1:$I$1,0),0)</f>
        <v>Subsidiaries</v>
      </c>
      <c r="X51" s="1156" t="str">
        <f>VLOOKUP(IFERROR(MID($Y51,1,FIND("-",$Y51)-2),$Y51),Table3[#All],2,0)</f>
        <v>VTB</v>
      </c>
      <c r="Y51" s="1156" t="str">
        <f>VLOOKUP($B51,Table4[#All],2,0)</f>
        <v>VIETINBANK - CN1</v>
      </c>
      <c r="Z51" s="1151"/>
      <c r="AA51" s="49"/>
      <c r="AE51" s="818">
        <f>SUM(Table11[[#This Row],[CASH IN - CREDIT (VND)]],Table11[[#This Row],[CASH IN - CREDIT (USD)]])</f>
        <v>0</v>
      </c>
      <c r="AF51" s="818">
        <f>Table11[[#This Row],[CASH OUT - DEBIT (VND)]]+Table11[[#This Row],[CASH OUT - DEBIT (USD)]]</f>
        <v>0</v>
      </c>
      <c r="AH51" s="1158"/>
      <c r="AI51" s="49"/>
      <c r="AJ51" s="1158"/>
      <c r="AL51"/>
      <c r="AM51"/>
    </row>
    <row r="52" spans="1:39" ht="14.4">
      <c r="A52" s="1153" t="str">
        <f>VLOOKUP('Cash Balance'!$C52,Table2[#All],MATCH('Cash Balance'!A$3,Acc_Char!$B$1:$I$1,0),0)</f>
        <v>BWID LOGISTICS TAN UYEN</v>
      </c>
      <c r="B52" s="1154" t="str">
        <f>VLOOKUP('Cash Balance'!$C52,Table2[#All],MATCH('Cash Balance'!B$3,Acc_Char!$B$1:$I$1,0),0)</f>
        <v>VIETCOMBANK - DONG SAI GON</v>
      </c>
      <c r="C52" s="1155" t="s">
        <v>528</v>
      </c>
      <c r="D52" s="1156" t="str">
        <f>VLOOKUP('Cash Balance'!$C52,Table2[#All],MATCH('Cash Balance'!D$3,Acc_Char!$B$1:$I$1,0),0)</f>
        <v>Current Account</v>
      </c>
      <c r="E52" s="384" t="str">
        <f>VLOOKUP('Cash Balance'!$C52,Table2[#All],MATCH('Cash Balance'!E$3,Acc_Char!$B$1:$I$1,0),0)</f>
        <v>VND</v>
      </c>
      <c r="F52" s="1094" t="e">
        <f>VLOOKUP(C52,'Cash balance (BS)'!A:C,3,)</f>
        <v>#N/A</v>
      </c>
      <c r="G52" s="1157" t="e">
        <f>F52-H52</f>
        <v>#N/A</v>
      </c>
      <c r="H52" s="1318">
        <f>SUMIFS('Cash balance (Prior period)'!F:F,'Cash balance (Prior period)'!C:C,Table11[[#This Row],[ACCOUNT NUMBER]],'Cash balance (Prior period)'!E:E,Table11[[#This Row],[CURRENCY]])</f>
        <v>132115989</v>
      </c>
      <c r="I52" s="1318">
        <f>SUMIFS(Movement!$F$4:$F$2136,Movement!$M$4:$M$2136,"VND",Movement!$C$4:$C$2136,Table11[[#This Row],[ACCOUNT NUMBER]],Movement!$J$4:$J$2136,Table11[[#This Row],[ENTITY]],Movement!$O$4:$O$2136,'Cash Balance'!$A$2)</f>
        <v>0</v>
      </c>
      <c r="J52" s="1318">
        <f>SUMIFS(Movement!$G$4:$G$2136,Movement!$M$4:$M$2136,"VND",Movement!$C$4:$C$2136,Table11[[#This Row],[ACCOUNT NUMBER]],Movement!$J$4:$J$2136,Table11[[#This Row],[ENTITY]],Movement!$O$4:$O$2136,'Cash Balance'!$A$2)</f>
        <v>0</v>
      </c>
      <c r="K52" s="1084">
        <f>Table11[[#This Row],[CASH IN - CREDIT (VND)]]-Table11[[#This Row],[CASH OUT - DEBIT (VND)]]</f>
        <v>0</v>
      </c>
      <c r="L52" s="1095">
        <f t="shared" si="3"/>
        <v>132115989</v>
      </c>
      <c r="M52" s="1184" t="e">
        <f>VLOOKUP(C52,'Cash balance (BS)'!A:D,4,)</f>
        <v>#N/A</v>
      </c>
      <c r="N52" s="1095" t="e">
        <f>Table11[[#This Row],[CLOSING BALANCE (VND)2]]-Table11[[#This Row],[CB_BS (VND)]]</f>
        <v>#N/A</v>
      </c>
      <c r="O52" s="1094">
        <v>0</v>
      </c>
      <c r="P52" s="1095">
        <f t="shared" si="4"/>
        <v>0</v>
      </c>
      <c r="Q52" s="817">
        <f>SUMIFS('Cash balance (Prior period)'!G:G,'Cash balance (Prior period)'!C:C,Table11[[#This Row],[ACCOUNT NUMBER]],'Cash balance (Prior period)'!E:E,Table11[[#This Row],[CURRENCY]])</f>
        <v>0</v>
      </c>
      <c r="R52" s="817">
        <f>SUMIFS(Movement!$F$4:$F$2136,Movement!$M$4:$M$2136,"USD",Movement!$C$4:$C$2136,Table11[[#This Row],[ACCOUNT NUMBER]],Movement!$J$4:$J$2136,Table11[[#This Row],[ENTITY]],Movement!$O$4:$O$2136,'Cash Balance'!$A$2)</f>
        <v>0</v>
      </c>
      <c r="S52" s="817">
        <f>SUMIFS(Movement!$G$4:$G$2136,Movement!$M$4:$M$2136,"USD",Movement!$C$4:$C$2136,Table11[[#This Row],[ACCOUNT NUMBER]],Movement!$J$4:$J$2136,Table11[[#This Row],[ENTITY]],Movement!$O$4:$O$2136,'Cash Balance'!$A$2)</f>
        <v>0</v>
      </c>
      <c r="T52" s="1087">
        <f t="shared" si="5"/>
        <v>0</v>
      </c>
      <c r="U52" s="817"/>
      <c r="V52" s="817">
        <f>Table11[[#This Row],[CLOSING BALANCE (USD)]]-Table11[[#This Row],[CB_BS (USD)]]</f>
        <v>0</v>
      </c>
      <c r="W52" s="1156" t="str">
        <f>VLOOKUP('Cash Balance'!$C52,Table2[#All],MATCH('Cash Balance'!W$3,Acc_Char!$B$1:$I$1,0),0)</f>
        <v>Subsidiaries</v>
      </c>
      <c r="X52" s="1156" t="str">
        <f>VLOOKUP(IFERROR(MID($Y52,1,FIND("-",$Y52)-2),$Y52),Table3[#All],2,0)</f>
        <v>Others</v>
      </c>
      <c r="Y52" s="1156" t="str">
        <f>VLOOKUP($B52,Table4[#All],2,0)</f>
        <v>OTHERS</v>
      </c>
      <c r="Z52" s="1151"/>
      <c r="AA52" s="49"/>
      <c r="AE52" s="818">
        <f>SUM(Table11[[#This Row],[CASH IN - CREDIT (VND)]],Table11[[#This Row],[CASH IN - CREDIT (USD)]])</f>
        <v>0</v>
      </c>
      <c r="AF52" s="818">
        <f>Table11[[#This Row],[CASH OUT - DEBIT (VND)]]+Table11[[#This Row],[CASH OUT - DEBIT (USD)]]</f>
        <v>0</v>
      </c>
      <c r="AH52" s="1158"/>
      <c r="AI52" s="49"/>
      <c r="AJ52" s="1158"/>
      <c r="AL52"/>
      <c r="AM52"/>
    </row>
    <row r="53" spans="1:39" ht="14.4">
      <c r="A53" s="1153" t="str">
        <f>VLOOKUP('Cash Balance'!$C53,Table2[#All],MATCH('Cash Balance'!A$3,Acc_Char!$B$1:$I$1,0),0)</f>
        <v>BWID LOGISTICS TAN UYEN</v>
      </c>
      <c r="B53" s="1154" t="str">
        <f>VLOOKUP('Cash Balance'!$C53,Table2[#All],MATCH('Cash Balance'!B$3,Acc_Char!$B$1:$I$1,0),0)</f>
        <v>VIETCOMBANK - BA DINH</v>
      </c>
      <c r="C53" s="1155" t="s">
        <v>529</v>
      </c>
      <c r="D53" s="1156" t="str">
        <f>VLOOKUP('Cash Balance'!$C53,Table2[#All],MATCH('Cash Balance'!D$3,Acc_Char!$B$1:$I$1,0),0)</f>
        <v>Current Account</v>
      </c>
      <c r="E53" s="384" t="str">
        <f>VLOOKUP('Cash Balance'!$C53,Table2[#All],MATCH('Cash Balance'!E$3,Acc_Char!$B$1:$I$1,0),0)</f>
        <v>VND</v>
      </c>
      <c r="F53" s="1094"/>
      <c r="G53" s="1157"/>
      <c r="H53" s="1318">
        <f>SUMIFS('Cash balance (Prior period)'!F:F,'Cash balance (Prior period)'!C:C,Table11[[#This Row],[ACCOUNT NUMBER]],'Cash balance (Prior period)'!E:E,Table11[[#This Row],[CURRENCY]])</f>
        <v>1231989818</v>
      </c>
      <c r="I53" s="1318">
        <f>SUMIFS(Movement!$F$4:$F$2136,Movement!$M$4:$M$2136,"VND",Movement!$C$4:$C$2136,Table11[[#This Row],[ACCOUNT NUMBER]],Movement!$J$4:$J$2136,Table11[[#This Row],[ENTITY]],Movement!$O$4:$O$2136,'Cash Balance'!$A$2)</f>
        <v>1493705375</v>
      </c>
      <c r="J53" s="1318">
        <f>SUMIFS(Movement!$G$4:$G$2136,Movement!$M$4:$M$2136,"VND",Movement!$C$4:$C$2136,Table11[[#This Row],[ACCOUNT NUMBER]],Movement!$J$4:$J$2136,Table11[[#This Row],[ENTITY]],Movement!$O$4:$O$2136,'Cash Balance'!$A$2)</f>
        <v>183845648</v>
      </c>
      <c r="K53" s="1084">
        <f>Table11[[#This Row],[CASH IN - CREDIT (VND)]]-Table11[[#This Row],[CASH OUT - DEBIT (VND)]]</f>
        <v>1309859727</v>
      </c>
      <c r="L53" s="1095">
        <f t="shared" si="3"/>
        <v>2541849545</v>
      </c>
      <c r="M53" s="1184" t="e">
        <f>VLOOKUP(C53,'Cash balance (BS)'!A:D,4,)</f>
        <v>#N/A</v>
      </c>
      <c r="N53" s="1095" t="e">
        <f>Table11[[#This Row],[CLOSING BALANCE (VND)2]]-Table11[[#This Row],[CB_BS (VND)]]</f>
        <v>#N/A</v>
      </c>
      <c r="O53" s="1094">
        <v>0</v>
      </c>
      <c r="P53" s="1095">
        <f t="shared" si="4"/>
        <v>0</v>
      </c>
      <c r="Q53" s="817">
        <f>SUMIFS('Cash balance (Prior period)'!G:G,'Cash balance (Prior period)'!C:C,Table11[[#This Row],[ACCOUNT NUMBER]],'Cash balance (Prior period)'!E:E,Table11[[#This Row],[CURRENCY]])</f>
        <v>0</v>
      </c>
      <c r="R53" s="817">
        <f>SUMIFS(Movement!$F$4:$F$2136,Movement!$M$4:$M$2136,"USD",Movement!$C$4:$C$2136,Table11[[#This Row],[ACCOUNT NUMBER]],Movement!$J$4:$J$2136,Table11[[#This Row],[ENTITY]],Movement!$O$4:$O$2136,'Cash Balance'!$A$2)</f>
        <v>0</v>
      </c>
      <c r="S53" s="817">
        <f>SUMIFS(Movement!$G$4:$G$2136,Movement!$M$4:$M$2136,"USD",Movement!$C$4:$C$2136,Table11[[#This Row],[ACCOUNT NUMBER]],Movement!$J$4:$J$2136,Table11[[#This Row],[ENTITY]],Movement!$O$4:$O$2136,'Cash Balance'!$A$2)</f>
        <v>0</v>
      </c>
      <c r="T53" s="1087">
        <f t="shared" si="5"/>
        <v>0</v>
      </c>
      <c r="U53" s="817" t="e">
        <f>VLOOKUP(C53,'Cash balance (BS)'!A:D,4,)</f>
        <v>#N/A</v>
      </c>
      <c r="V53" s="817" t="e">
        <f>Table11[[#This Row],[CLOSING BALANCE (USD)]]-Table11[[#This Row],[CB_BS (USD)]]</f>
        <v>#N/A</v>
      </c>
      <c r="W53" s="1156" t="str">
        <f>VLOOKUP('Cash Balance'!$C53,Table2[#All],MATCH('Cash Balance'!W$3,Acc_Char!$B$1:$I$1,0),0)</f>
        <v>Subsidiaries</v>
      </c>
      <c r="X53" s="1156" t="str">
        <f>VLOOKUP(IFERROR(MID($Y53,1,FIND("-",$Y53)-2),$Y53),Table3[#All],2,0)</f>
        <v>VCB</v>
      </c>
      <c r="Y53" s="1156" t="str">
        <f>VLOOKUP($B53,Table4[#All],2,0)</f>
        <v>VIETCOMBANK - BA DINH</v>
      </c>
      <c r="Z53" s="1151"/>
      <c r="AA53" s="49"/>
      <c r="AE53" s="818">
        <f>SUM(Table11[[#This Row],[CASH IN - CREDIT (VND)]],Table11[[#This Row],[CASH IN - CREDIT (USD)]])</f>
        <v>1493705375</v>
      </c>
      <c r="AF53" s="818">
        <f>Table11[[#This Row],[CASH OUT - DEBIT (VND)]]+Table11[[#This Row],[CASH OUT - DEBIT (USD)]]</f>
        <v>183845648</v>
      </c>
      <c r="AH53" s="1158"/>
      <c r="AI53" s="49"/>
      <c r="AJ53" s="1158"/>
      <c r="AL53"/>
      <c r="AM53"/>
    </row>
    <row r="54" spans="1:39" ht="14.4">
      <c r="A54" s="1153" t="str">
        <f>VLOOKUP('Cash Balance'!$C54,Table2[#All],MATCH('Cash Balance'!A$3,Acc_Char!$B$1:$I$1,0),0)</f>
        <v>BWID LOGISTICS TAN UYEN</v>
      </c>
      <c r="B54" s="1154" t="str">
        <f>VLOOKUP('Cash Balance'!$C54,Table2[#All],MATCH('Cash Balance'!B$3,Acc_Char!$B$1:$I$1,0),0)</f>
        <v>VIETCOMBANK - BA DINH</v>
      </c>
      <c r="C54" s="1155" t="s">
        <v>530</v>
      </c>
      <c r="D54" s="1156" t="str">
        <f>VLOOKUP('Cash Balance'!$C54,Table2[#All],MATCH('Cash Balance'!D$3,Acc_Char!$B$1:$I$1,0),0)</f>
        <v>Current Account</v>
      </c>
      <c r="E54" s="384" t="str">
        <f>VLOOKUP('Cash Balance'!$C54,Table2[#All],MATCH('Cash Balance'!E$3,Acc_Char!$B$1:$I$1,0),0)</f>
        <v>USD</v>
      </c>
      <c r="F54" s="1094" t="e">
        <f>VLOOKUP(C54,'Cash balance (BS)'!A:C,3,)</f>
        <v>#N/A</v>
      </c>
      <c r="G54" s="1157" t="e">
        <f>F54-H54</f>
        <v>#N/A</v>
      </c>
      <c r="H54" s="1318">
        <f>SUMIFS('Cash balance (Prior period)'!F:F,'Cash balance (Prior period)'!C:C,Table11[[#This Row],[ACCOUNT NUMBER]],'Cash balance (Prior period)'!E:E,Table11[[#This Row],[CURRENCY]])</f>
        <v>0</v>
      </c>
      <c r="I54" s="1318">
        <f>SUMIFS(Movement!$F$4:$F$2136,Movement!$M$4:$M$2136,"VND",Movement!$C$4:$C$2136,Table11[[#This Row],[ACCOUNT NUMBER]],Movement!$J$4:$J$2136,Table11[[#This Row],[ENTITY]],Movement!$O$4:$O$2136,'Cash Balance'!$A$2)</f>
        <v>0</v>
      </c>
      <c r="J54" s="1318">
        <f>SUMIFS(Movement!$G$4:$G$2136,Movement!$M$4:$M$2136,"VND",Movement!$C$4:$C$2136,Table11[[#This Row],[ACCOUNT NUMBER]],Movement!$J$4:$J$2136,Table11[[#This Row],[ENTITY]],Movement!$O$4:$O$2136,'Cash Balance'!$A$2)</f>
        <v>0</v>
      </c>
      <c r="K54" s="1084">
        <f>Table11[[#This Row],[CASH IN - CREDIT (VND)]]-Table11[[#This Row],[CASH OUT - DEBIT (VND)]]</f>
        <v>0</v>
      </c>
      <c r="L54" s="1095">
        <f t="shared" si="3"/>
        <v>0</v>
      </c>
      <c r="M54" s="1184" t="e">
        <f>VLOOKUP(C54,'Cash balance (BS)'!A:D,4,)</f>
        <v>#N/A</v>
      </c>
      <c r="N54" s="1095" t="e">
        <f>Table11[[#This Row],[CLOSING BALANCE (VND)2]]-Table11[[#This Row],[CB_BS (VND)]]</f>
        <v>#N/A</v>
      </c>
      <c r="O54" s="1094">
        <v>0</v>
      </c>
      <c r="P54" s="1095">
        <f t="shared" si="4"/>
        <v>0</v>
      </c>
      <c r="Q54" s="817">
        <f>SUMIFS('Cash balance (Prior period)'!G:G,'Cash balance (Prior period)'!C:C,Table11[[#This Row],[ACCOUNT NUMBER]],'Cash balance (Prior period)'!E:E,Table11[[#This Row],[CURRENCY]])</f>
        <v>0</v>
      </c>
      <c r="R54" s="817">
        <f>SUMIFS(Movement!$F$4:$F$2136,Movement!$M$4:$M$2136,"USD",Movement!$C$4:$C$2136,Table11[[#This Row],[ACCOUNT NUMBER]],Movement!$J$4:$J$2136,Table11[[#This Row],[ENTITY]],Movement!$O$4:$O$2136,'Cash Balance'!$A$2)</f>
        <v>0</v>
      </c>
      <c r="S54" s="817">
        <f>SUMIFS(Movement!$G$4:$G$2136,Movement!$M$4:$M$2136,"USD",Movement!$C$4:$C$2136,Table11[[#This Row],[ACCOUNT NUMBER]],Movement!$J$4:$J$2136,Table11[[#This Row],[ENTITY]],Movement!$O$4:$O$2136,'Cash Balance'!$A$2)</f>
        <v>0</v>
      </c>
      <c r="T54" s="1087">
        <f t="shared" si="5"/>
        <v>0</v>
      </c>
      <c r="U54" s="817"/>
      <c r="V54" s="817">
        <f>Table11[[#This Row],[CLOSING BALANCE (USD)]]-Table11[[#This Row],[CB_BS (USD)]]</f>
        <v>0</v>
      </c>
      <c r="W54" s="1156" t="str">
        <f>VLOOKUP('Cash Balance'!$C54,Table2[#All],MATCH('Cash Balance'!W$3,Acc_Char!$B$1:$I$1,0),0)</f>
        <v>Subsidiaries</v>
      </c>
      <c r="X54" s="1156" t="str">
        <f>VLOOKUP(IFERROR(MID($Y54,1,FIND("-",$Y54)-2),$Y54),Table3[#All],2,0)</f>
        <v>VCB</v>
      </c>
      <c r="Y54" s="1156" t="str">
        <f>VLOOKUP($B54,Table4[#All],2,0)</f>
        <v>VIETCOMBANK - BA DINH</v>
      </c>
      <c r="Z54" s="1151"/>
      <c r="AA54" s="49"/>
      <c r="AE54" s="818">
        <f>SUM(Table11[[#This Row],[CASH IN - CREDIT (VND)]],Table11[[#This Row],[CASH IN - CREDIT (USD)]])</f>
        <v>0</v>
      </c>
      <c r="AF54" s="818">
        <f>Table11[[#This Row],[CASH OUT - DEBIT (VND)]]+Table11[[#This Row],[CASH OUT - DEBIT (USD)]]</f>
        <v>0</v>
      </c>
      <c r="AH54" s="1158"/>
      <c r="AI54" s="49"/>
      <c r="AJ54" s="1158"/>
      <c r="AL54"/>
      <c r="AM54"/>
    </row>
    <row r="55" spans="1:39" ht="14.4">
      <c r="A55" s="1153" t="str">
        <f>VLOOKUP('Cash Balance'!$C55,Table2[#All],MATCH('Cash Balance'!A$3,Acc_Char!$B$1:$I$1,0),0)</f>
        <v>BWID LOGISTICS TAN UYEN</v>
      </c>
      <c r="B55" s="1154" t="str">
        <f>VLOOKUP('Cash Balance'!$C55,Table2[#All],MATCH('Cash Balance'!B$3,Acc_Char!$B$1:$I$1,0),0)</f>
        <v>VIETCOMBANK - BA DINH</v>
      </c>
      <c r="C55" s="1155" t="s">
        <v>531</v>
      </c>
      <c r="D55" s="1156" t="str">
        <f>VLOOKUP('Cash Balance'!$C55,Table2[#All],MATCH('Cash Balance'!D$3,Acc_Char!$B$1:$I$1,0),0)</f>
        <v>Saving Account</v>
      </c>
      <c r="E55" s="384" t="str">
        <f>VLOOKUP('Cash Balance'!$C55,Table2[#All],MATCH('Cash Balance'!E$3,Acc_Char!$B$1:$I$1,0),0)</f>
        <v>VND</v>
      </c>
      <c r="F55" s="1094" t="e">
        <f>VLOOKUP(C55,'Cash balance (BS)'!A:C,3,)</f>
        <v>#N/A</v>
      </c>
      <c r="G55" s="1157" t="e">
        <f>F55-H55</f>
        <v>#N/A</v>
      </c>
      <c r="H55" s="1318">
        <f>SUMIFS('Cash balance (Prior period)'!F:F,'Cash balance (Prior period)'!C:C,Table11[[#This Row],[ACCOUNT NUMBER]],'Cash balance (Prior period)'!E:E,Table11[[#This Row],[CURRENCY]])</f>
        <v>0</v>
      </c>
      <c r="I55" s="1318">
        <f>SUMIFS(Movement!$F$4:$F$2136,Movement!$M$4:$M$2136,"VND",Movement!$C$4:$C$2136,Table11[[#This Row],[ACCOUNT NUMBER]],Movement!$J$4:$J$2136,Table11[[#This Row],[ENTITY]],Movement!$O$4:$O$2136,'Cash Balance'!$A$2)</f>
        <v>0</v>
      </c>
      <c r="J55" s="1318">
        <f>SUMIFS(Movement!$G$4:$G$2136,Movement!$M$4:$M$2136,"VND",Movement!$C$4:$C$2136,Table11[[#This Row],[ACCOUNT NUMBER]],Movement!$J$4:$J$2136,Table11[[#This Row],[ENTITY]],Movement!$O$4:$O$2136,'Cash Balance'!$A$2)</f>
        <v>0</v>
      </c>
      <c r="K55" s="1084">
        <f>Table11[[#This Row],[CASH IN - CREDIT (VND)]]-Table11[[#This Row],[CASH OUT - DEBIT (VND)]]</f>
        <v>0</v>
      </c>
      <c r="L55" s="1095">
        <f t="shared" si="3"/>
        <v>0</v>
      </c>
      <c r="M55" s="1184" t="e">
        <f>VLOOKUP(C55,'Cash balance (BS)'!A:D,4,)</f>
        <v>#N/A</v>
      </c>
      <c r="N55" s="1095" t="e">
        <f>Table11[[#This Row],[CLOSING BALANCE (VND)2]]-Table11[[#This Row],[CB_BS (VND)]]</f>
        <v>#N/A</v>
      </c>
      <c r="O55" s="1094">
        <v>0</v>
      </c>
      <c r="P55" s="1095">
        <f t="shared" si="4"/>
        <v>0</v>
      </c>
      <c r="Q55" s="817">
        <f>SUMIFS('Cash balance (Prior period)'!G:G,'Cash balance (Prior period)'!C:C,Table11[[#This Row],[ACCOUNT NUMBER]],'Cash balance (Prior period)'!E:E,Table11[[#This Row],[CURRENCY]])</f>
        <v>0</v>
      </c>
      <c r="R55" s="817">
        <f>SUMIFS(Movement!$F$4:$F$2136,Movement!$M$4:$M$2136,"USD",Movement!$C$4:$C$2136,Table11[[#This Row],[ACCOUNT NUMBER]],Movement!$J$4:$J$2136,Table11[[#This Row],[ENTITY]],Movement!$O$4:$O$2136,'Cash Balance'!$A$2)</f>
        <v>0</v>
      </c>
      <c r="S55" s="817">
        <f>SUMIFS(Movement!$G$4:$G$2136,Movement!$M$4:$M$2136,"USD",Movement!$C$4:$C$2136,Table11[[#This Row],[ACCOUNT NUMBER]],Movement!$J$4:$J$2136,Table11[[#This Row],[ENTITY]],Movement!$O$4:$O$2136,'Cash Balance'!$A$2)</f>
        <v>0</v>
      </c>
      <c r="T55" s="1087">
        <f t="shared" si="5"/>
        <v>0</v>
      </c>
      <c r="U55" s="817"/>
      <c r="V55" s="817">
        <f>Table11[[#This Row],[CLOSING BALANCE (USD)]]-Table11[[#This Row],[CB_BS (USD)]]</f>
        <v>0</v>
      </c>
      <c r="W55" s="1156" t="str">
        <f>VLOOKUP('Cash Balance'!$C55,Table2[#All],MATCH('Cash Balance'!W$3,Acc_Char!$B$1:$I$1,0),0)</f>
        <v>Subsidiaries</v>
      </c>
      <c r="X55" s="1156" t="str">
        <f>VLOOKUP(IFERROR(MID($Y55,1,FIND("-",$Y55)-2),$Y55),Table3[#All],2,0)</f>
        <v>VCB</v>
      </c>
      <c r="Y55" s="1156" t="str">
        <f>VLOOKUP($B55,Table4[#All],2,0)</f>
        <v>VIETCOMBANK - BA DINH</v>
      </c>
      <c r="Z55" s="1151"/>
      <c r="AA55" s="49"/>
      <c r="AE55" s="818">
        <f>SUM(Table11[[#This Row],[CASH IN - CREDIT (VND)]],Table11[[#This Row],[CASH IN - CREDIT (USD)]])</f>
        <v>0</v>
      </c>
      <c r="AF55" s="818">
        <f>Table11[[#This Row],[CASH OUT - DEBIT (VND)]]+Table11[[#This Row],[CASH OUT - DEBIT (USD)]]</f>
        <v>0</v>
      </c>
      <c r="AH55" s="1158"/>
      <c r="AI55" s="49"/>
      <c r="AJ55" s="1158"/>
      <c r="AL55"/>
      <c r="AM55"/>
    </row>
    <row r="56" spans="1:39" ht="14.4">
      <c r="A56" s="1153" t="str">
        <f>VLOOKUP('Cash Balance'!$C56,Table2[#All],MATCH('Cash Balance'!A$3,Acc_Char!$B$1:$I$1,0),0)</f>
        <v>BW SAI GON</v>
      </c>
      <c r="B56" s="1154" t="str">
        <f>VLOOKUP('Cash Balance'!$C56,Table2[#All],MATCH('Cash Balance'!B$3,Acc_Char!$B$1:$I$1,0),0)</f>
        <v>SINOPAC</v>
      </c>
      <c r="C56" s="1155" t="s">
        <v>533</v>
      </c>
      <c r="D56" s="1156" t="str">
        <f>VLOOKUP('Cash Balance'!$C56,Table2[#All],MATCH('Cash Balance'!D$3,Acc_Char!$B$1:$I$1,0),0)</f>
        <v>Current Account</v>
      </c>
      <c r="E56" s="384" t="str">
        <f>VLOOKUP('Cash Balance'!$C56,Table2[#All],MATCH('Cash Balance'!E$3,Acc_Char!$B$1:$I$1,0),0)</f>
        <v>VND</v>
      </c>
      <c r="F56" s="1094" t="e">
        <f>VLOOKUP(C56,'Cash balance (BS)'!A:C,3,)</f>
        <v>#N/A</v>
      </c>
      <c r="G56" s="1157" t="e">
        <f>F56-H56</f>
        <v>#N/A</v>
      </c>
      <c r="H56" s="1318">
        <f>SUMIFS('Cash balance (Prior period)'!F:F,'Cash balance (Prior period)'!C:C,Table11[[#This Row],[ACCOUNT NUMBER]],'Cash balance (Prior period)'!E:E,Table11[[#This Row],[CURRENCY]])</f>
        <v>3379265156</v>
      </c>
      <c r="I56" s="1318">
        <f>SUMIFS(Movement!$F$4:$F$2136,Movement!$M$4:$M$2136,"VND",Movement!$C$4:$C$2136,Table11[[#This Row],[ACCOUNT NUMBER]],Movement!$J$4:$J$2136,Table11[[#This Row],[ENTITY]],Movement!$O$4:$O$2136,'Cash Balance'!$A$2)</f>
        <v>51470056</v>
      </c>
      <c r="J56" s="1318">
        <f>SUMIFS(Movement!$G$4:$G$2136,Movement!$M$4:$M$2136,"VND",Movement!$C$4:$C$2136,Table11[[#This Row],[ACCOUNT NUMBER]],Movement!$J$4:$J$2136,Table11[[#This Row],[ENTITY]],Movement!$O$4:$O$2136,'Cash Balance'!$A$2)</f>
        <v>0</v>
      </c>
      <c r="K56" s="1084">
        <f>Table11[[#This Row],[CASH IN - CREDIT (VND)]]-Table11[[#This Row],[CASH OUT - DEBIT (VND)]]</f>
        <v>51470056</v>
      </c>
      <c r="L56" s="1095">
        <f t="shared" si="3"/>
        <v>3430735212</v>
      </c>
      <c r="M56" s="1184" t="e">
        <f>VLOOKUP(C56,'Cash balance (BS)'!A:D,4,)</f>
        <v>#N/A</v>
      </c>
      <c r="N56" s="1095" t="e">
        <f>Table11[[#This Row],[CLOSING BALANCE (VND)2]]-Table11[[#This Row],[CB_BS (VND)]]</f>
        <v>#N/A</v>
      </c>
      <c r="O56" s="1094">
        <v>0</v>
      </c>
      <c r="P56" s="1095">
        <f t="shared" si="4"/>
        <v>0</v>
      </c>
      <c r="Q56" s="817">
        <f>SUMIFS('Cash balance (Prior period)'!G:G,'Cash balance (Prior period)'!C:C,Table11[[#This Row],[ACCOUNT NUMBER]],'Cash balance (Prior period)'!E:E,Table11[[#This Row],[CURRENCY]])</f>
        <v>0</v>
      </c>
      <c r="R56" s="817">
        <f>SUMIFS(Movement!$F$4:$F$2136,Movement!$M$4:$M$2136,"USD",Movement!$C$4:$C$2136,Table11[[#This Row],[ACCOUNT NUMBER]],Movement!$J$4:$J$2136,Table11[[#This Row],[ENTITY]],Movement!$O$4:$O$2136,'Cash Balance'!$A$2)</f>
        <v>0</v>
      </c>
      <c r="S56" s="817">
        <f>SUMIFS(Movement!$G$4:$G$2136,Movement!$M$4:$M$2136,"USD",Movement!$C$4:$C$2136,Table11[[#This Row],[ACCOUNT NUMBER]],Movement!$J$4:$J$2136,Table11[[#This Row],[ENTITY]],Movement!$O$4:$O$2136,'Cash Balance'!$A$2)</f>
        <v>0</v>
      </c>
      <c r="T56" s="1087">
        <f t="shared" si="5"/>
        <v>0</v>
      </c>
      <c r="U56" s="817"/>
      <c r="V56" s="817">
        <f>Table11[[#This Row],[CLOSING BALANCE (USD)]]-Table11[[#This Row],[CB_BS (USD)]]</f>
        <v>0</v>
      </c>
      <c r="W56" s="1156" t="str">
        <f>VLOOKUP('Cash Balance'!$C56,Table2[#All],MATCH('Cash Balance'!W$3,Acc_Char!$B$1:$I$1,0),0)</f>
        <v>Subsidiaries</v>
      </c>
      <c r="X56" s="1156" t="str">
        <f>VLOOKUP(IFERROR(MID($Y56,1,FIND("-",$Y56)-2),$Y56),Table3[#All],2,0)</f>
        <v>SNP</v>
      </c>
      <c r="Y56" s="1156" t="str">
        <f>VLOOKUP($B56,Table4[#All],2,0)</f>
        <v>SINOPAC</v>
      </c>
      <c r="Z56" s="1151"/>
      <c r="AA56" s="49"/>
      <c r="AE56" s="818">
        <f>SUM(Table11[[#This Row],[CASH IN - CREDIT (VND)]],Table11[[#This Row],[CASH IN - CREDIT (USD)]])</f>
        <v>51470056</v>
      </c>
      <c r="AF56" s="818">
        <f>Table11[[#This Row],[CASH OUT - DEBIT (VND)]]+Table11[[#This Row],[CASH OUT - DEBIT (USD)]]</f>
        <v>0</v>
      </c>
      <c r="AH56" s="1158"/>
      <c r="AI56" s="49"/>
      <c r="AJ56" s="1158"/>
      <c r="AL56"/>
      <c r="AM56"/>
    </row>
    <row r="57" spans="1:39" ht="14.4">
      <c r="A57" s="1153" t="str">
        <f>VLOOKUP('Cash Balance'!$C57,Table2[#All],MATCH('Cash Balance'!A$3,Acc_Char!$B$1:$I$1,0),0)</f>
        <v>BW SAI GON</v>
      </c>
      <c r="B57" s="1154" t="str">
        <f>VLOOKUP('Cash Balance'!$C57,Table2[#All],MATCH('Cash Balance'!B$3,Acc_Char!$B$1:$I$1,0),0)</f>
        <v>SINOPAC</v>
      </c>
      <c r="C57" s="1155" t="s">
        <v>534</v>
      </c>
      <c r="D57" s="1156" t="str">
        <f>VLOOKUP('Cash Balance'!$C57,Table2[#All],MATCH('Cash Balance'!D$3,Acc_Char!$B$1:$I$1,0),0)</f>
        <v>Current Account</v>
      </c>
      <c r="E57" s="384" t="str">
        <f>VLOOKUP('Cash Balance'!$C57,Table2[#All],MATCH('Cash Balance'!E$3,Acc_Char!$B$1:$I$1,0),0)</f>
        <v>VND</v>
      </c>
      <c r="F57" s="1094"/>
      <c r="G57" s="1157"/>
      <c r="H57" s="1318">
        <f>SUMIFS('Cash balance (Prior period)'!F:F,'Cash balance (Prior period)'!C:C,Table11[[#This Row],[ACCOUNT NUMBER]],'Cash balance (Prior period)'!E:E,Table11[[#This Row],[CURRENCY]])</f>
        <v>371758604</v>
      </c>
      <c r="I57" s="1318">
        <f>SUMIFS(Movement!$F$4:$F$2136,Movement!$M$4:$M$2136,"VND",Movement!$C$4:$C$2136,Table11[[#This Row],[ACCOUNT NUMBER]],Movement!$J$4:$J$2136,Table11[[#This Row],[ENTITY]],Movement!$O$4:$O$2136,'Cash Balance'!$A$2)</f>
        <v>0</v>
      </c>
      <c r="J57" s="1318">
        <f>SUMIFS(Movement!$G$4:$G$2136,Movement!$M$4:$M$2136,"VND",Movement!$C$4:$C$2136,Table11[[#This Row],[ACCOUNT NUMBER]],Movement!$J$4:$J$2136,Table11[[#This Row],[ENTITY]],Movement!$O$4:$O$2136,'Cash Balance'!$A$2)</f>
        <v>0</v>
      </c>
      <c r="K57" s="1084">
        <f>Table11[[#This Row],[CASH IN - CREDIT (VND)]]-Table11[[#This Row],[CASH OUT - DEBIT (VND)]]</f>
        <v>0</v>
      </c>
      <c r="L57" s="1095">
        <f t="shared" si="3"/>
        <v>371758604</v>
      </c>
      <c r="M57" s="1184" t="e">
        <f>VLOOKUP(C57,'Cash balance (BS)'!A:D,4,)</f>
        <v>#N/A</v>
      </c>
      <c r="N57" s="1095" t="e">
        <f>Table11[[#This Row],[CLOSING BALANCE (VND)2]]-Table11[[#This Row],[CB_BS (VND)]]</f>
        <v>#N/A</v>
      </c>
      <c r="O57" s="1094">
        <v>0</v>
      </c>
      <c r="P57" s="1095">
        <f t="shared" si="4"/>
        <v>0</v>
      </c>
      <c r="Q57" s="817">
        <f>SUMIFS('Cash balance (Prior period)'!G:G,'Cash balance (Prior period)'!C:C,Table11[[#This Row],[ACCOUNT NUMBER]],'Cash balance (Prior period)'!E:E,Table11[[#This Row],[CURRENCY]])</f>
        <v>0</v>
      </c>
      <c r="R57" s="817">
        <f>SUMIFS(Movement!$F$4:$F$2136,Movement!$M$4:$M$2136,"USD",Movement!$C$4:$C$2136,Table11[[#This Row],[ACCOUNT NUMBER]],Movement!$J$4:$J$2136,Table11[[#This Row],[ENTITY]],Movement!$O$4:$O$2136,'Cash Balance'!$A$2)</f>
        <v>0</v>
      </c>
      <c r="S57" s="817">
        <f>SUMIFS(Movement!$G$4:$G$2136,Movement!$M$4:$M$2136,"USD",Movement!$C$4:$C$2136,Table11[[#This Row],[ACCOUNT NUMBER]],Movement!$J$4:$J$2136,Table11[[#This Row],[ENTITY]],Movement!$O$4:$O$2136,'Cash Balance'!$A$2)</f>
        <v>0</v>
      </c>
      <c r="T57" s="1087">
        <f t="shared" si="5"/>
        <v>0</v>
      </c>
      <c r="U57" s="817" t="e">
        <f>VLOOKUP(C57,'Cash balance (BS)'!A:D,4,)</f>
        <v>#N/A</v>
      </c>
      <c r="V57" s="817" t="e">
        <f>Table11[[#This Row],[CLOSING BALANCE (USD)]]-Table11[[#This Row],[CB_BS (USD)]]</f>
        <v>#N/A</v>
      </c>
      <c r="W57" s="1156" t="str">
        <f>VLOOKUP('Cash Balance'!$C57,Table2[#All],MATCH('Cash Balance'!W$3,Acc_Char!$B$1:$I$1,0),0)</f>
        <v>Subsidiaries</v>
      </c>
      <c r="X57" s="1156" t="str">
        <f>VLOOKUP(IFERROR(MID($Y57,1,FIND("-",$Y57)-2),$Y57),Table3[#All],2,0)</f>
        <v>SNP</v>
      </c>
      <c r="Y57" s="1156" t="str">
        <f>VLOOKUP($B57,Table4[#All],2,0)</f>
        <v>SINOPAC</v>
      </c>
      <c r="Z57" s="1151"/>
      <c r="AA57" s="49"/>
      <c r="AE57" s="818">
        <f>SUM(Table11[[#This Row],[CASH IN - CREDIT (VND)]],Table11[[#This Row],[CASH IN - CREDIT (USD)]])</f>
        <v>0</v>
      </c>
      <c r="AF57" s="818">
        <f>Table11[[#This Row],[CASH OUT - DEBIT (VND)]]+Table11[[#This Row],[CASH OUT - DEBIT (USD)]]</f>
        <v>0</v>
      </c>
      <c r="AH57" s="1158"/>
      <c r="AI57" s="49"/>
      <c r="AJ57" s="1158"/>
      <c r="AL57"/>
      <c r="AM57"/>
    </row>
    <row r="58" spans="1:39" ht="14.4">
      <c r="A58" s="1153" t="str">
        <f>VLOOKUP('Cash Balance'!$C58,Table2[#All],MATCH('Cash Balance'!A$3,Acc_Char!$B$1:$I$1,0),0)</f>
        <v>BW SAI GON</v>
      </c>
      <c r="B58" s="1154" t="str">
        <f>VLOOKUP('Cash Balance'!$C58,Table2[#All],MATCH('Cash Balance'!B$3,Acc_Char!$B$1:$I$1,0),0)</f>
        <v>TECHCOMBANK</v>
      </c>
      <c r="C58" s="1155" t="s">
        <v>535</v>
      </c>
      <c r="D58" s="1156" t="str">
        <f>VLOOKUP('Cash Balance'!$C58,Table2[#All],MATCH('Cash Balance'!D$3,Acc_Char!$B$1:$I$1,0),0)</f>
        <v>Current Account</v>
      </c>
      <c r="E58" s="384" t="str">
        <f>VLOOKUP('Cash Balance'!$C58,Table2[#All],MATCH('Cash Balance'!E$3,Acc_Char!$B$1:$I$1,0),0)</f>
        <v>VND</v>
      </c>
      <c r="F58" s="1094" t="e">
        <f>VLOOKUP(C58,'Cash balance (BS)'!A:C,3,)</f>
        <v>#N/A</v>
      </c>
      <c r="G58" s="1157" t="e">
        <f t="shared" ref="G58:G90" si="12">F58-H58</f>
        <v>#N/A</v>
      </c>
      <c r="H58" s="1318">
        <f>SUMIFS('Cash balance (Prior period)'!F:F,'Cash balance (Prior period)'!C:C,Table11[[#This Row],[ACCOUNT NUMBER]],'Cash balance (Prior period)'!E:E,Table11[[#This Row],[CURRENCY]])</f>
        <v>77563682</v>
      </c>
      <c r="I58" s="1318">
        <f>SUMIFS(Movement!$F$4:$F$2136,Movement!$M$4:$M$2136,"VND",Movement!$C$4:$C$2136,Table11[[#This Row],[ACCOUNT NUMBER]],Movement!$J$4:$J$2136,Table11[[#This Row],[ENTITY]],Movement!$O$4:$O$2136,'Cash Balance'!$A$2)</f>
        <v>0</v>
      </c>
      <c r="J58" s="1318">
        <f>SUMIFS(Movement!$G$4:$G$2136,Movement!$M$4:$M$2136,"VND",Movement!$C$4:$C$2136,Table11[[#This Row],[ACCOUNT NUMBER]],Movement!$J$4:$J$2136,Table11[[#This Row],[ENTITY]],Movement!$O$4:$O$2136,'Cash Balance'!$A$2)</f>
        <v>0</v>
      </c>
      <c r="K58" s="1084">
        <f>Table11[[#This Row],[CASH IN - CREDIT (VND)]]-Table11[[#This Row],[CASH OUT - DEBIT (VND)]]</f>
        <v>0</v>
      </c>
      <c r="L58" s="1095">
        <f t="shared" si="3"/>
        <v>77563682</v>
      </c>
      <c r="M58" s="1184" t="e">
        <f>VLOOKUP(C58,'Cash balance (BS)'!A:D,4,)</f>
        <v>#N/A</v>
      </c>
      <c r="N58" s="1095" t="e">
        <f>Table11[[#This Row],[CLOSING BALANCE (VND)2]]-Table11[[#This Row],[CB_BS (VND)]]</f>
        <v>#N/A</v>
      </c>
      <c r="O58" s="1094">
        <v>0</v>
      </c>
      <c r="P58" s="1095">
        <f t="shared" si="4"/>
        <v>0</v>
      </c>
      <c r="Q58" s="817">
        <f>SUMIFS('Cash balance (Prior period)'!G:G,'Cash balance (Prior period)'!C:C,Table11[[#This Row],[ACCOUNT NUMBER]],'Cash balance (Prior period)'!E:E,Table11[[#This Row],[CURRENCY]])</f>
        <v>0</v>
      </c>
      <c r="R58" s="817">
        <f>SUMIFS(Movement!$F$4:$F$2136,Movement!$M$4:$M$2136,"USD",Movement!$C$4:$C$2136,Table11[[#This Row],[ACCOUNT NUMBER]],Movement!$J$4:$J$2136,Table11[[#This Row],[ENTITY]],Movement!$O$4:$O$2136,'Cash Balance'!$A$2)</f>
        <v>0</v>
      </c>
      <c r="S58" s="817">
        <f>SUMIFS(Movement!$G$4:$G$2136,Movement!$M$4:$M$2136,"USD",Movement!$C$4:$C$2136,Table11[[#This Row],[ACCOUNT NUMBER]],Movement!$J$4:$J$2136,Table11[[#This Row],[ENTITY]],Movement!$O$4:$O$2136,'Cash Balance'!$A$2)</f>
        <v>0</v>
      </c>
      <c r="T58" s="1087">
        <f t="shared" si="5"/>
        <v>0</v>
      </c>
      <c r="U58" s="817"/>
      <c r="V58" s="817">
        <f>Table11[[#This Row],[CLOSING BALANCE (USD)]]-Table11[[#This Row],[CB_BS (USD)]]</f>
        <v>0</v>
      </c>
      <c r="W58" s="1156" t="str">
        <f>VLOOKUP('Cash Balance'!$C58,Table2[#All],MATCH('Cash Balance'!W$3,Acc_Char!$B$1:$I$1,0),0)</f>
        <v>Subsidiaries</v>
      </c>
      <c r="X58" s="1156" t="str">
        <f>VLOOKUP(IFERROR(MID($Y58,1,FIND("-",$Y58)-2),$Y58),Table3[#All],2,0)</f>
        <v>TCB</v>
      </c>
      <c r="Y58" s="1156" t="str">
        <f>VLOOKUP($B58,Table4[#All],2,0)</f>
        <v>TECHCOMBANK</v>
      </c>
      <c r="Z58" s="1151"/>
      <c r="AA58" s="49"/>
      <c r="AE58" s="818">
        <f>SUM(Table11[[#This Row],[CASH IN - CREDIT (VND)]],Table11[[#This Row],[CASH IN - CREDIT (USD)]])</f>
        <v>0</v>
      </c>
      <c r="AF58" s="818">
        <f>Table11[[#This Row],[CASH OUT - DEBIT (VND)]]+Table11[[#This Row],[CASH OUT - DEBIT (USD)]]</f>
        <v>0</v>
      </c>
      <c r="AH58" s="1158"/>
      <c r="AI58" s="49"/>
      <c r="AJ58" s="1158"/>
      <c r="AL58"/>
      <c r="AM58"/>
    </row>
    <row r="59" spans="1:39" ht="14.4">
      <c r="A59" s="1153" t="str">
        <f>VLOOKUP('Cash Balance'!$C59,Table2[#All],MATCH('Cash Balance'!A$3,Acc_Char!$B$1:$I$1,0),0)</f>
        <v>BW SAI GON</v>
      </c>
      <c r="B59" s="1154" t="str">
        <f>VLOOKUP('Cash Balance'!$C59,Table2[#All],MATCH('Cash Balance'!B$3,Acc_Char!$B$1:$I$1,0),0)</f>
        <v>VIETCOMBANK - HCM</v>
      </c>
      <c r="C59" s="1155" t="s">
        <v>536</v>
      </c>
      <c r="D59" s="1156" t="str">
        <f>VLOOKUP('Cash Balance'!$C59,Table2[#All],MATCH('Cash Balance'!D$3,Acc_Char!$B$1:$I$1,0),0)</f>
        <v>Current Account</v>
      </c>
      <c r="E59" s="384" t="str">
        <f>VLOOKUP('Cash Balance'!$C59,Table2[#All],MATCH('Cash Balance'!E$3,Acc_Char!$B$1:$I$1,0),0)</f>
        <v>USD</v>
      </c>
      <c r="F59" s="1094" t="e">
        <f>VLOOKUP(C59,'Cash balance (BS)'!A:C,3,)</f>
        <v>#N/A</v>
      </c>
      <c r="G59" s="1157" t="e">
        <f t="shared" si="12"/>
        <v>#N/A</v>
      </c>
      <c r="H59" s="1318">
        <f>SUMIFS('Cash balance (Prior period)'!F:F,'Cash balance (Prior period)'!C:C,Table11[[#This Row],[ACCOUNT NUMBER]],'Cash balance (Prior period)'!E:E,Table11[[#This Row],[CURRENCY]])</f>
        <v>0</v>
      </c>
      <c r="I59" s="1318">
        <f>SUMIFS(Movement!$F$4:$F$2136,Movement!$M$4:$M$2136,"VND",Movement!$C$4:$C$2136,Table11[[#This Row],[ACCOUNT NUMBER]],Movement!$J$4:$J$2136,Table11[[#This Row],[ENTITY]],Movement!$O$4:$O$2136,'Cash Balance'!$A$2)</f>
        <v>0</v>
      </c>
      <c r="J59" s="1318">
        <f>SUMIFS(Movement!$G$4:$G$2136,Movement!$M$4:$M$2136,"VND",Movement!$C$4:$C$2136,Table11[[#This Row],[ACCOUNT NUMBER]],Movement!$J$4:$J$2136,Table11[[#This Row],[ENTITY]],Movement!$O$4:$O$2136,'Cash Balance'!$A$2)</f>
        <v>0</v>
      </c>
      <c r="K59" s="1084">
        <f>Table11[[#This Row],[CASH IN - CREDIT (VND)]]-Table11[[#This Row],[CASH OUT - DEBIT (VND)]]</f>
        <v>0</v>
      </c>
      <c r="L59" s="1095">
        <f t="shared" si="3"/>
        <v>0</v>
      </c>
      <c r="M59" s="1184" t="e">
        <f>VLOOKUP(C59,'Cash balance (BS)'!A:D,4,)</f>
        <v>#N/A</v>
      </c>
      <c r="N59" s="1095" t="e">
        <f>Table11[[#This Row],[CLOSING BALANCE (VND)2]]-Table11[[#This Row],[CB_BS (VND)]]</f>
        <v>#N/A</v>
      </c>
      <c r="O59" s="1094">
        <v>0</v>
      </c>
      <c r="P59" s="1095">
        <f t="shared" si="4"/>
        <v>0</v>
      </c>
      <c r="Q59" s="817">
        <f>SUMIFS('Cash balance (Prior period)'!G:G,'Cash balance (Prior period)'!C:C,Table11[[#This Row],[ACCOUNT NUMBER]],'Cash balance (Prior period)'!E:E,Table11[[#This Row],[CURRENCY]])</f>
        <v>0</v>
      </c>
      <c r="R59" s="817">
        <f>SUMIFS(Movement!$F$4:$F$2136,Movement!$M$4:$M$2136,"USD",Movement!$C$4:$C$2136,Table11[[#This Row],[ACCOUNT NUMBER]],Movement!$J$4:$J$2136,Table11[[#This Row],[ENTITY]],Movement!$O$4:$O$2136,'Cash Balance'!$A$2)</f>
        <v>0</v>
      </c>
      <c r="S59" s="817">
        <f>SUMIFS(Movement!$G$4:$G$2136,Movement!$M$4:$M$2136,"USD",Movement!$C$4:$C$2136,Table11[[#This Row],[ACCOUNT NUMBER]],Movement!$J$4:$J$2136,Table11[[#This Row],[ENTITY]],Movement!$O$4:$O$2136,'Cash Balance'!$A$2)</f>
        <v>0</v>
      </c>
      <c r="T59" s="1087">
        <f t="shared" si="5"/>
        <v>0</v>
      </c>
      <c r="U59" s="817"/>
      <c r="V59" s="817">
        <f>Table11[[#This Row],[CLOSING BALANCE (USD)]]-Table11[[#This Row],[CB_BS (USD)]]</f>
        <v>0</v>
      </c>
      <c r="W59" s="1156" t="str">
        <f>VLOOKUP('Cash Balance'!$C59,Table2[#All],MATCH('Cash Balance'!W$3,Acc_Char!$B$1:$I$1,0),0)</f>
        <v>Subsidiaries</v>
      </c>
      <c r="X59" s="1156" t="str">
        <f>VLOOKUP(IFERROR(MID($Y59,1,FIND("-",$Y59)-2),$Y59),Table3[#All],2,0)</f>
        <v>VCB</v>
      </c>
      <c r="Y59" s="1156" t="str">
        <f>VLOOKUP($B59,Table4[#All],2,0)</f>
        <v>VIETCOMBANK - HCM</v>
      </c>
      <c r="Z59" s="1151"/>
      <c r="AA59" s="49"/>
      <c r="AE59" s="818">
        <f>SUM(Table11[[#This Row],[CASH IN - CREDIT (VND)]],Table11[[#This Row],[CASH IN - CREDIT (USD)]])</f>
        <v>0</v>
      </c>
      <c r="AF59" s="818">
        <f>Table11[[#This Row],[CASH OUT - DEBIT (VND)]]+Table11[[#This Row],[CASH OUT - DEBIT (USD)]]</f>
        <v>0</v>
      </c>
      <c r="AH59" s="1158"/>
      <c r="AI59" s="49"/>
      <c r="AJ59" s="1158"/>
      <c r="AL59"/>
      <c r="AM59"/>
    </row>
    <row r="60" spans="1:39" ht="14.4">
      <c r="A60" s="1153" t="str">
        <f>VLOOKUP('Cash Balance'!$C60,Table2[#All],MATCH('Cash Balance'!A$3,Acc_Char!$B$1:$I$1,0),0)</f>
        <v>BW NEW CITY</v>
      </c>
      <c r="B60" s="1154" t="str">
        <f>VLOOKUP('Cash Balance'!$C60,Table2[#All],MATCH('Cash Balance'!B$3,Acc_Char!$B$1:$I$1,0),0)</f>
        <v>VIETCOMBANK - HCM</v>
      </c>
      <c r="C60" s="1155" t="s">
        <v>538</v>
      </c>
      <c r="D60" s="1156" t="str">
        <f>VLOOKUP('Cash Balance'!$C60,Table2[#All],MATCH('Cash Balance'!D$3,Acc_Char!$B$1:$I$1,0),0)</f>
        <v>Current Account</v>
      </c>
      <c r="E60" s="384" t="str">
        <f>VLOOKUP('Cash Balance'!$C60,Table2[#All],MATCH('Cash Balance'!E$3,Acc_Char!$B$1:$I$1,0),0)</f>
        <v>USD</v>
      </c>
      <c r="F60" s="1094" t="e">
        <f>VLOOKUP(C60,'Cash balance (BS)'!A:C,3,)</f>
        <v>#N/A</v>
      </c>
      <c r="G60" s="1157" t="e">
        <f t="shared" si="12"/>
        <v>#N/A</v>
      </c>
      <c r="H60" s="1318">
        <f>SUMIFS('Cash balance (Prior period)'!F:F,'Cash balance (Prior period)'!C:C,Table11[[#This Row],[ACCOUNT NUMBER]],'Cash balance (Prior period)'!E:E,Table11[[#This Row],[CURRENCY]])</f>
        <v>0</v>
      </c>
      <c r="I60" s="1318">
        <f>SUMIFS(Movement!$F$4:$F$2136,Movement!$M$4:$M$2136,"VND",Movement!$C$4:$C$2136,Table11[[#This Row],[ACCOUNT NUMBER]],Movement!$J$4:$J$2136,Table11[[#This Row],[ENTITY]],Movement!$O$4:$O$2136,'Cash Balance'!$A$2)</f>
        <v>0</v>
      </c>
      <c r="J60" s="1318">
        <f>SUMIFS(Movement!$G$4:$G$2136,Movement!$M$4:$M$2136,"VND",Movement!$C$4:$C$2136,Table11[[#This Row],[ACCOUNT NUMBER]],Movement!$J$4:$J$2136,Table11[[#This Row],[ENTITY]],Movement!$O$4:$O$2136,'Cash Balance'!$A$2)</f>
        <v>0</v>
      </c>
      <c r="K60" s="1084">
        <f>Table11[[#This Row],[CASH IN - CREDIT (VND)]]-Table11[[#This Row],[CASH OUT - DEBIT (VND)]]</f>
        <v>0</v>
      </c>
      <c r="L60" s="1095">
        <f t="shared" si="3"/>
        <v>0</v>
      </c>
      <c r="M60" s="1184" t="e">
        <f>VLOOKUP(C60,'Cash balance (BS)'!A:D,4,)</f>
        <v>#N/A</v>
      </c>
      <c r="N60" s="1095" t="e">
        <f>Table11[[#This Row],[CLOSING BALANCE (VND)2]]-Table11[[#This Row],[CB_BS (VND)]]</f>
        <v>#N/A</v>
      </c>
      <c r="O60" s="1094">
        <v>0</v>
      </c>
      <c r="P60" s="1095">
        <f t="shared" si="4"/>
        <v>0</v>
      </c>
      <c r="Q60" s="817">
        <f>SUMIFS('Cash balance (Prior period)'!G:G,'Cash balance (Prior period)'!C:C,Table11[[#This Row],[ACCOUNT NUMBER]],'Cash balance (Prior period)'!E:E,Table11[[#This Row],[CURRENCY]])</f>
        <v>0</v>
      </c>
      <c r="R60" s="817">
        <f>SUMIFS(Movement!$F$4:$F$2136,Movement!$M$4:$M$2136,"USD",Movement!$C$4:$C$2136,Table11[[#This Row],[ACCOUNT NUMBER]],Movement!$J$4:$J$2136,Table11[[#This Row],[ENTITY]],Movement!$O$4:$O$2136,'Cash Balance'!$A$2)</f>
        <v>0</v>
      </c>
      <c r="S60" s="817">
        <f>SUMIFS(Movement!$G$4:$G$2136,Movement!$M$4:$M$2136,"USD",Movement!$C$4:$C$2136,Table11[[#This Row],[ACCOUNT NUMBER]],Movement!$J$4:$J$2136,Table11[[#This Row],[ENTITY]],Movement!$O$4:$O$2136,'Cash Balance'!$A$2)</f>
        <v>0</v>
      </c>
      <c r="T60" s="1087">
        <f t="shared" si="5"/>
        <v>0</v>
      </c>
      <c r="U60" s="817">
        <v>0</v>
      </c>
      <c r="V60" s="817">
        <f>Table11[[#This Row],[CLOSING BALANCE (USD)]]-Table11[[#This Row],[CB_BS (USD)]]</f>
        <v>0</v>
      </c>
      <c r="W60" s="1156" t="str">
        <f>VLOOKUP('Cash Balance'!$C60,Table2[#All],MATCH('Cash Balance'!W$3,Acc_Char!$B$1:$I$1,0),0)</f>
        <v>Subsidiaries</v>
      </c>
      <c r="X60" s="1156" t="str">
        <f>VLOOKUP(IFERROR(MID($Y60,1,FIND("-",$Y60)-2),$Y60),Table3[#All],2,0)</f>
        <v>VCB</v>
      </c>
      <c r="Y60" s="1156" t="str">
        <f>VLOOKUP($B60,Table4[#All],2,0)</f>
        <v>VIETCOMBANK - HCM</v>
      </c>
      <c r="Z60" s="1151"/>
      <c r="AA60" s="49"/>
      <c r="AE60" s="818">
        <f>SUM(Table11[[#This Row],[CASH IN - CREDIT (VND)]],Table11[[#This Row],[CASH IN - CREDIT (USD)]])</f>
        <v>0</v>
      </c>
      <c r="AF60" s="818">
        <f>Table11[[#This Row],[CASH OUT - DEBIT (VND)]]+Table11[[#This Row],[CASH OUT - DEBIT (USD)]]</f>
        <v>0</v>
      </c>
      <c r="AH60" s="1158"/>
      <c r="AI60" s="49"/>
      <c r="AJ60" s="1158"/>
      <c r="AL60"/>
      <c r="AM60"/>
    </row>
    <row r="61" spans="1:39" ht="14.4">
      <c r="A61" s="1153" t="str">
        <f>VLOOKUP('Cash Balance'!$C61,Table2[#All],MATCH('Cash Balance'!A$3,Acc_Char!$B$1:$I$1,0),0)</f>
        <v>BW NEW CITY</v>
      </c>
      <c r="B61" s="1154" t="str">
        <f>VLOOKUP('Cash Balance'!$C61,Table2[#All],MATCH('Cash Balance'!B$3,Acc_Char!$B$1:$I$1,0),0)</f>
        <v>VIETCOMBANK - HCM</v>
      </c>
      <c r="C61" s="1155" t="s">
        <v>539</v>
      </c>
      <c r="D61" s="1156" t="str">
        <f>VLOOKUP('Cash Balance'!$C61,Table2[#All],MATCH('Cash Balance'!D$3,Acc_Char!$B$1:$I$1,0),0)</f>
        <v>Current Account</v>
      </c>
      <c r="E61" s="384" t="str">
        <f>VLOOKUP('Cash Balance'!$C61,Table2[#All],MATCH('Cash Balance'!E$3,Acc_Char!$B$1:$I$1,0),0)</f>
        <v>VND</v>
      </c>
      <c r="F61" s="1094"/>
      <c r="G61" s="1157">
        <f t="shared" si="12"/>
        <v>-14864338</v>
      </c>
      <c r="H61" s="1318">
        <f>SUMIFS('Cash balance (Prior period)'!F:F,'Cash balance (Prior period)'!C:C,Table11[[#This Row],[ACCOUNT NUMBER]],'Cash balance (Prior period)'!E:E,Table11[[#This Row],[CURRENCY]])</f>
        <v>14864338</v>
      </c>
      <c r="I61" s="1318">
        <f>SUMIFS(Movement!$F$4:$F$2136,Movement!$M$4:$M$2136,"VND",Movement!$C$4:$C$2136,Table11[[#This Row],[ACCOUNT NUMBER]],Movement!$J$4:$J$2136,Table11[[#This Row],[ENTITY]],Movement!$O$4:$O$2136,'Cash Balance'!$A$2)</f>
        <v>0</v>
      </c>
      <c r="J61" s="1318">
        <f>SUMIFS(Movement!$G$4:$G$2136,Movement!$M$4:$M$2136,"VND",Movement!$C$4:$C$2136,Table11[[#This Row],[ACCOUNT NUMBER]],Movement!$J$4:$J$2136,Table11[[#This Row],[ENTITY]],Movement!$O$4:$O$2136,'Cash Balance'!$A$2)</f>
        <v>0</v>
      </c>
      <c r="K61" s="1084">
        <f>Table11[[#This Row],[CASH IN - CREDIT (VND)]]-Table11[[#This Row],[CASH OUT - DEBIT (VND)]]</f>
        <v>0</v>
      </c>
      <c r="L61" s="1095">
        <f t="shared" si="3"/>
        <v>14864338</v>
      </c>
      <c r="M61" s="1184" t="e">
        <f>VLOOKUP(C61,'Cash balance (BS)'!A:D,4,)</f>
        <v>#N/A</v>
      </c>
      <c r="N61" s="1095" t="e">
        <f>Table11[[#This Row],[CLOSING BALANCE (VND)2]]-Table11[[#This Row],[CB_BS (VND)]]</f>
        <v>#N/A</v>
      </c>
      <c r="O61" s="1094">
        <v>0</v>
      </c>
      <c r="P61" s="1095">
        <f t="shared" si="4"/>
        <v>0</v>
      </c>
      <c r="Q61" s="817">
        <f>SUMIFS('Cash balance (Prior period)'!G:G,'Cash balance (Prior period)'!C:C,Table11[[#This Row],[ACCOUNT NUMBER]],'Cash balance (Prior period)'!E:E,Table11[[#This Row],[CURRENCY]])</f>
        <v>0</v>
      </c>
      <c r="R61" s="817">
        <f>SUMIFS(Movement!$F$4:$F$2136,Movement!$M$4:$M$2136,"USD",Movement!$C$4:$C$2136,Table11[[#This Row],[ACCOUNT NUMBER]],Movement!$J$4:$J$2136,Table11[[#This Row],[ENTITY]],Movement!$O$4:$O$2136,'Cash Balance'!$A$2)</f>
        <v>0</v>
      </c>
      <c r="S61" s="817">
        <f>SUMIFS(Movement!$G$4:$G$2136,Movement!$M$4:$M$2136,"USD",Movement!$C$4:$C$2136,Table11[[#This Row],[ACCOUNT NUMBER]],Movement!$J$4:$J$2136,Table11[[#This Row],[ENTITY]],Movement!$O$4:$O$2136,'Cash Balance'!$A$2)</f>
        <v>0</v>
      </c>
      <c r="T61" s="1087">
        <f t="shared" si="5"/>
        <v>0</v>
      </c>
      <c r="U61" s="817" t="e">
        <f>VLOOKUP(C61,'Cash balance (BS)'!A:D,4,)</f>
        <v>#N/A</v>
      </c>
      <c r="V61" s="817" t="e">
        <f>Table11[[#This Row],[CLOSING BALANCE (USD)]]-Table11[[#This Row],[CB_BS (USD)]]</f>
        <v>#N/A</v>
      </c>
      <c r="W61" s="1156" t="str">
        <f>VLOOKUP('Cash Balance'!$C61,Table2[#All],MATCH('Cash Balance'!W$3,Acc_Char!$B$1:$I$1,0),0)</f>
        <v>Subsidiaries</v>
      </c>
      <c r="X61" s="1156" t="str">
        <f>VLOOKUP(IFERROR(MID($Y61,1,FIND("-",$Y61)-2),$Y61),Table3[#All],2,0)</f>
        <v>VCB</v>
      </c>
      <c r="Y61" s="1156" t="str">
        <f>VLOOKUP($B61,Table4[#All],2,0)</f>
        <v>VIETCOMBANK - HCM</v>
      </c>
      <c r="Z61" s="1151"/>
      <c r="AA61" s="49"/>
      <c r="AE61" s="818">
        <f>SUM(Table11[[#This Row],[CASH IN - CREDIT (VND)]],Table11[[#This Row],[CASH IN - CREDIT (USD)]])</f>
        <v>0</v>
      </c>
      <c r="AF61" s="818">
        <f>Table11[[#This Row],[CASH OUT - DEBIT (VND)]]+Table11[[#This Row],[CASH OUT - DEBIT (USD)]]</f>
        <v>0</v>
      </c>
      <c r="AH61" s="1158"/>
      <c r="AI61" s="49"/>
      <c r="AJ61" s="1158"/>
      <c r="AL61"/>
      <c r="AM61"/>
    </row>
    <row r="62" spans="1:39" ht="14.4">
      <c r="A62" s="1153" t="str">
        <f>VLOOKUP('Cash Balance'!$C62,Table2[#All],MATCH('Cash Balance'!A$3,Acc_Char!$B$1:$I$1,0),0)</f>
        <v>BW NEW CITY</v>
      </c>
      <c r="B62" s="1154" t="str">
        <f>VLOOKUP('Cash Balance'!$C62,Table2[#All],MATCH('Cash Balance'!B$3,Acc_Char!$B$1:$I$1,0),0)</f>
        <v>BIDV - THANH XUAN</v>
      </c>
      <c r="C62" s="1155" t="s">
        <v>540</v>
      </c>
      <c r="D62" s="1156" t="str">
        <f>VLOOKUP('Cash Balance'!$C62,Table2[#All],MATCH('Cash Balance'!D$3,Acc_Char!$B$1:$I$1,0),0)</f>
        <v>Current Account</v>
      </c>
      <c r="E62" s="384" t="str">
        <f>VLOOKUP('Cash Balance'!$C62,Table2[#All],MATCH('Cash Balance'!E$3,Acc_Char!$B$1:$I$1,0),0)</f>
        <v>VND</v>
      </c>
      <c r="F62" s="1094" t="e">
        <f>VLOOKUP(C62,'Cash balance (BS)'!A:C,3,)</f>
        <v>#N/A</v>
      </c>
      <c r="G62" s="1157" t="e">
        <f t="shared" si="12"/>
        <v>#N/A</v>
      </c>
      <c r="H62" s="1318">
        <f>SUMIFS('Cash balance (Prior period)'!F:F,'Cash balance (Prior period)'!C:C,Table11[[#This Row],[ACCOUNT NUMBER]],'Cash balance (Prior period)'!E:E,Table11[[#This Row],[CURRENCY]])</f>
        <v>3994617</v>
      </c>
      <c r="I62" s="1318">
        <f>SUMIFS(Movement!$F$4:$F$2136,Movement!$M$4:$M$2136,"VND",Movement!$C$4:$C$2136,Table11[[#This Row],[ACCOUNT NUMBER]],Movement!$J$4:$J$2136,Table11[[#This Row],[ENTITY]],Movement!$O$4:$O$2136,'Cash Balance'!$A$2)</f>
        <v>0</v>
      </c>
      <c r="J62" s="1318">
        <f>SUMIFS(Movement!$G$4:$G$2136,Movement!$M$4:$M$2136,"VND",Movement!$C$4:$C$2136,Table11[[#This Row],[ACCOUNT NUMBER]],Movement!$J$4:$J$2136,Table11[[#This Row],[ENTITY]],Movement!$O$4:$O$2136,'Cash Balance'!$A$2)</f>
        <v>55000</v>
      </c>
      <c r="K62" s="1084">
        <f>Table11[[#This Row],[CASH IN - CREDIT (VND)]]-Table11[[#This Row],[CASH OUT - DEBIT (VND)]]</f>
        <v>-55000</v>
      </c>
      <c r="L62" s="1095">
        <f t="shared" si="3"/>
        <v>3939617</v>
      </c>
      <c r="M62" s="1184" t="e">
        <f>VLOOKUP(C62,'Cash balance (BS)'!A:D,4,)</f>
        <v>#N/A</v>
      </c>
      <c r="N62" s="1095" t="e">
        <f>Table11[[#This Row],[CLOSING BALANCE (VND)2]]-Table11[[#This Row],[CB_BS (VND)]]</f>
        <v>#N/A</v>
      </c>
      <c r="O62" s="1094">
        <v>0</v>
      </c>
      <c r="P62" s="1095">
        <f t="shared" si="4"/>
        <v>0</v>
      </c>
      <c r="Q62" s="817">
        <f>SUMIFS('Cash balance (Prior period)'!G:G,'Cash balance (Prior period)'!C:C,Table11[[#This Row],[ACCOUNT NUMBER]],'Cash balance (Prior period)'!E:E,Table11[[#This Row],[CURRENCY]])</f>
        <v>0</v>
      </c>
      <c r="R62" s="817">
        <f>SUMIFS(Movement!$F$4:$F$2136,Movement!$M$4:$M$2136,"USD",Movement!$C$4:$C$2136,Table11[[#This Row],[ACCOUNT NUMBER]],Movement!$J$4:$J$2136,Table11[[#This Row],[ENTITY]],Movement!$O$4:$O$2136,'Cash Balance'!$A$2)</f>
        <v>0</v>
      </c>
      <c r="S62" s="817">
        <f>SUMIFS(Movement!$G$4:$G$2136,Movement!$M$4:$M$2136,"USD",Movement!$C$4:$C$2136,Table11[[#This Row],[ACCOUNT NUMBER]],Movement!$J$4:$J$2136,Table11[[#This Row],[ENTITY]],Movement!$O$4:$O$2136,'Cash Balance'!$A$2)</f>
        <v>0</v>
      </c>
      <c r="T62" s="1087">
        <f t="shared" si="5"/>
        <v>0</v>
      </c>
      <c r="U62" s="817">
        <v>0</v>
      </c>
      <c r="V62" s="817">
        <f>Table11[[#This Row],[CLOSING BALANCE (USD)]]-Table11[[#This Row],[CB_BS (USD)]]</f>
        <v>0</v>
      </c>
      <c r="W62" s="1156" t="str">
        <f>VLOOKUP('Cash Balance'!$C62,Table2[#All],MATCH('Cash Balance'!W$3,Acc_Char!$B$1:$I$1,0),0)</f>
        <v>Subsidiaries</v>
      </c>
      <c r="X62" s="1156" t="str">
        <f>VLOOKUP(IFERROR(MID($Y62,1,FIND("-",$Y62)-2),$Y62),Table3[#All],2,0)</f>
        <v>BIDV</v>
      </c>
      <c r="Y62" s="1156" t="str">
        <f>VLOOKUP($B62,Table4[#All],2,0)</f>
        <v>BIDV - THANH XUAN</v>
      </c>
      <c r="Z62" s="1151"/>
      <c r="AA62" s="49"/>
      <c r="AE62" s="818">
        <f>SUM(Table11[[#This Row],[CASH IN - CREDIT (VND)]],Table11[[#This Row],[CASH IN - CREDIT (USD)]])</f>
        <v>0</v>
      </c>
      <c r="AF62" s="818">
        <f>Table11[[#This Row],[CASH OUT - DEBIT (VND)]]+Table11[[#This Row],[CASH OUT - DEBIT (USD)]]</f>
        <v>55000</v>
      </c>
      <c r="AH62" s="1158" t="s">
        <v>466</v>
      </c>
      <c r="AI62" s="49"/>
      <c r="AJ62" s="1158"/>
      <c r="AL62"/>
      <c r="AM62"/>
    </row>
    <row r="63" spans="1:39" ht="14.4">
      <c r="A63" s="1153" t="str">
        <f>VLOOKUP('Cash Balance'!$C63,Table2[#All],MATCH('Cash Balance'!A$3,Acc_Char!$B$1:$I$1,0),0)</f>
        <v>GREAT KINGDOM NT 2</v>
      </c>
      <c r="B63" s="1154" t="str">
        <f>VLOOKUP('Cash Balance'!$C63,Table2[#All],MATCH('Cash Balance'!B$3,Acc_Char!$B$1:$I$1,0),0)</f>
        <v>VIETINBANK - CN1</v>
      </c>
      <c r="C63" s="1155" t="s">
        <v>542</v>
      </c>
      <c r="D63" s="1156" t="str">
        <f>VLOOKUP('Cash Balance'!$C63,Table2[#All],MATCH('Cash Balance'!D$3,Acc_Char!$B$1:$I$1,0),0)</f>
        <v>Saving Account</v>
      </c>
      <c r="E63" s="384" t="str">
        <f>VLOOKUP('Cash Balance'!$C63,Table2[#All],MATCH('Cash Balance'!E$3,Acc_Char!$B$1:$I$1,0),0)</f>
        <v>VND</v>
      </c>
      <c r="F63" s="1094" t="e">
        <f>VLOOKUP(C63,'Cash balance (BS)'!A:C,3,)</f>
        <v>#N/A</v>
      </c>
      <c r="G63" s="1157" t="e">
        <f t="shared" si="12"/>
        <v>#N/A</v>
      </c>
      <c r="H63" s="1318">
        <f>SUMIFS('Cash balance (Prior period)'!F:F,'Cash balance (Prior period)'!C:C,Table11[[#This Row],[ACCOUNT NUMBER]],'Cash balance (Prior period)'!E:E,Table11[[#This Row],[CURRENCY]])</f>
        <v>2883354342</v>
      </c>
      <c r="I63" s="1318">
        <f>SUMIFS(Movement!$F$4:$F$2136,Movement!$M$4:$M$2136,"VND",Movement!$C$4:$C$2136,Table11[[#This Row],[ACCOUNT NUMBER]],Movement!$J$4:$J$2136,Table11[[#This Row],[ENTITY]],Movement!$O$4:$O$2136,'Cash Balance'!$A$2)</f>
        <v>0</v>
      </c>
      <c r="J63" s="1318">
        <f>SUMIFS(Movement!$G$4:$G$2136,Movement!$M$4:$M$2136,"VND",Movement!$C$4:$C$2136,Table11[[#This Row],[ACCOUNT NUMBER]],Movement!$J$4:$J$2136,Table11[[#This Row],[ENTITY]],Movement!$O$4:$O$2136,'Cash Balance'!$A$2)</f>
        <v>0</v>
      </c>
      <c r="K63" s="1084">
        <f>Table11[[#This Row],[CASH IN - CREDIT (VND)]]-Table11[[#This Row],[CASH OUT - DEBIT (VND)]]</f>
        <v>0</v>
      </c>
      <c r="L63" s="1095">
        <f t="shared" si="3"/>
        <v>2883354342</v>
      </c>
      <c r="M63" s="1184" t="e">
        <f>VLOOKUP(C63,'Cash balance (BS)'!A:D,4,)</f>
        <v>#N/A</v>
      </c>
      <c r="N63" s="1095" t="e">
        <f>Table11[[#This Row],[CLOSING BALANCE (VND)2]]-Table11[[#This Row],[CB_BS (VND)]]</f>
        <v>#N/A</v>
      </c>
      <c r="O63" s="1094">
        <v>0</v>
      </c>
      <c r="P63" s="1095">
        <f t="shared" si="4"/>
        <v>0</v>
      </c>
      <c r="Q63" s="817">
        <f>SUMIFS('Cash balance (Prior period)'!G:G,'Cash balance (Prior period)'!C:C,Table11[[#This Row],[ACCOUNT NUMBER]],'Cash balance (Prior period)'!E:E,Table11[[#This Row],[CURRENCY]])</f>
        <v>0</v>
      </c>
      <c r="R63" s="817">
        <f>SUMIFS(Movement!$F$4:$F$2136,Movement!$M$4:$M$2136,"USD",Movement!$C$4:$C$2136,Table11[[#This Row],[ACCOUNT NUMBER]],Movement!$J$4:$J$2136,Table11[[#This Row],[ENTITY]],Movement!$O$4:$O$2136,'Cash Balance'!$A$2)</f>
        <v>0</v>
      </c>
      <c r="S63" s="817">
        <f>SUMIFS(Movement!$G$4:$G$2136,Movement!$M$4:$M$2136,"USD",Movement!$C$4:$C$2136,Table11[[#This Row],[ACCOUNT NUMBER]],Movement!$J$4:$J$2136,Table11[[#This Row],[ENTITY]],Movement!$O$4:$O$2136,'Cash Balance'!$A$2)</f>
        <v>0</v>
      </c>
      <c r="T63" s="1087">
        <f t="shared" si="5"/>
        <v>0</v>
      </c>
      <c r="U63" s="817"/>
      <c r="V63" s="817">
        <f>Table11[[#This Row],[CLOSING BALANCE (USD)]]-Table11[[#This Row],[CB_BS (USD)]]</f>
        <v>0</v>
      </c>
      <c r="W63" s="1156" t="str">
        <f>VLOOKUP('Cash Balance'!$C63,Table2[#All],MATCH('Cash Balance'!W$3,Acc_Char!$B$1:$I$1,0),0)</f>
        <v>Subsidiaries</v>
      </c>
      <c r="X63" s="1156" t="str">
        <f>VLOOKUP(IFERROR(MID($Y63,1,FIND("-",$Y63)-2),$Y63),Table3[#All],2,0)</f>
        <v>VTB</v>
      </c>
      <c r="Y63" s="1156" t="str">
        <f>VLOOKUP($B63,Table4[#All],2,0)</f>
        <v>VIETINBANK - CN1</v>
      </c>
      <c r="Z63" s="1151"/>
      <c r="AA63" s="49"/>
      <c r="AE63" s="818">
        <f>SUM(Table11[[#This Row],[CASH IN - CREDIT (VND)]],Table11[[#This Row],[CASH IN - CREDIT (USD)]])</f>
        <v>0</v>
      </c>
      <c r="AF63" s="818">
        <f>Table11[[#This Row],[CASH OUT - DEBIT (VND)]]+Table11[[#This Row],[CASH OUT - DEBIT (USD)]]</f>
        <v>0</v>
      </c>
      <c r="AH63" s="1158"/>
      <c r="AI63" s="49"/>
      <c r="AJ63" s="1158"/>
      <c r="AL63"/>
      <c r="AM63"/>
    </row>
    <row r="64" spans="1:39" ht="14.4">
      <c r="A64" s="1153" t="str">
        <f>VLOOKUP('Cash Balance'!$C64,Table2[#All],MATCH('Cash Balance'!A$3,Acc_Char!$B$1:$I$1,0),0)</f>
        <v>GREAT KINGDOM NT 2</v>
      </c>
      <c r="B64" s="1154" t="str">
        <f>VLOOKUP('Cash Balance'!$C64,Table2[#All],MATCH('Cash Balance'!B$3,Acc_Char!$B$1:$I$1,0),0)</f>
        <v>VIETINBANK - CN1</v>
      </c>
      <c r="C64" s="1155" t="s">
        <v>543</v>
      </c>
      <c r="D64" s="1156" t="str">
        <f>VLOOKUP('Cash Balance'!$C64,Table2[#All],MATCH('Cash Balance'!D$3,Acc_Char!$B$1:$I$1,0),0)</f>
        <v>Current Account</v>
      </c>
      <c r="E64" s="384" t="str">
        <f>VLOOKUP('Cash Balance'!$C64,Table2[#All],MATCH('Cash Balance'!E$3,Acc_Char!$B$1:$I$1,0),0)</f>
        <v>VND</v>
      </c>
      <c r="F64" s="1094"/>
      <c r="G64" s="1157">
        <f t="shared" si="12"/>
        <v>-2389512653</v>
      </c>
      <c r="H64" s="1318">
        <f>SUMIFS('Cash balance (Prior period)'!F:F,'Cash balance (Prior period)'!C:C,Table11[[#This Row],[ACCOUNT NUMBER]],'Cash balance (Prior period)'!E:E,Table11[[#This Row],[CURRENCY]])</f>
        <v>2389512653</v>
      </c>
      <c r="I64" s="1318">
        <f>SUMIFS(Movement!$F$4:$F$2136,Movement!$M$4:$M$2136,"VND",Movement!$C$4:$C$2136,Table11[[#This Row],[ACCOUNT NUMBER]],Movement!$J$4:$J$2136,Table11[[#This Row],[ENTITY]],Movement!$O$4:$O$2136,'Cash Balance'!$A$2)</f>
        <v>3288140017</v>
      </c>
      <c r="J64" s="1318">
        <f>SUMIFS(Movement!$G$4:$G$2136,Movement!$M$4:$M$2136,"VND",Movement!$C$4:$C$2136,Table11[[#This Row],[ACCOUNT NUMBER]],Movement!$J$4:$J$2136,Table11[[#This Row],[ENTITY]],Movement!$O$4:$O$2136,'Cash Balance'!$A$2)</f>
        <v>803982791</v>
      </c>
      <c r="K64" s="1084">
        <f>Table11[[#This Row],[CASH IN - CREDIT (VND)]]-Table11[[#This Row],[CASH OUT - DEBIT (VND)]]</f>
        <v>2484157226</v>
      </c>
      <c r="L64" s="1095">
        <f t="shared" si="3"/>
        <v>4873669879</v>
      </c>
      <c r="M64" s="1184" t="e">
        <f>VLOOKUP(C64,'Cash balance (BS)'!A:D,4,)</f>
        <v>#N/A</v>
      </c>
      <c r="N64" s="1095" t="e">
        <f>Table11[[#This Row],[CLOSING BALANCE (VND)2]]-Table11[[#This Row],[CB_BS (VND)]]</f>
        <v>#N/A</v>
      </c>
      <c r="O64" s="1094">
        <v>0</v>
      </c>
      <c r="P64" s="1095">
        <f t="shared" si="4"/>
        <v>0</v>
      </c>
      <c r="Q64" s="817">
        <f>SUMIFS('Cash balance (Prior period)'!G:G,'Cash balance (Prior period)'!C:C,Table11[[#This Row],[ACCOUNT NUMBER]],'Cash balance (Prior period)'!E:E,Table11[[#This Row],[CURRENCY]])</f>
        <v>0</v>
      </c>
      <c r="R64" s="817">
        <f>SUMIFS(Movement!$F$4:$F$2136,Movement!$M$4:$M$2136,"USD",Movement!$C$4:$C$2136,Table11[[#This Row],[ACCOUNT NUMBER]],Movement!$J$4:$J$2136,Table11[[#This Row],[ENTITY]],Movement!$O$4:$O$2136,'Cash Balance'!$A$2)</f>
        <v>0</v>
      </c>
      <c r="S64" s="817">
        <f>SUMIFS(Movement!$G$4:$G$2136,Movement!$M$4:$M$2136,"USD",Movement!$C$4:$C$2136,Table11[[#This Row],[ACCOUNT NUMBER]],Movement!$J$4:$J$2136,Table11[[#This Row],[ENTITY]],Movement!$O$4:$O$2136,'Cash Balance'!$A$2)</f>
        <v>0</v>
      </c>
      <c r="T64" s="1087">
        <f t="shared" si="5"/>
        <v>0</v>
      </c>
      <c r="U64" s="817" t="e">
        <f>VLOOKUP(C64,'Cash balance (BS)'!A:D,4,)</f>
        <v>#N/A</v>
      </c>
      <c r="V64" s="817" t="e">
        <f>Table11[[#This Row],[CLOSING BALANCE (USD)]]-Table11[[#This Row],[CB_BS (USD)]]</f>
        <v>#N/A</v>
      </c>
      <c r="W64" s="1156" t="str">
        <f>VLOOKUP('Cash Balance'!$C64,Table2[#All],MATCH('Cash Balance'!W$3,Acc_Char!$B$1:$I$1,0),0)</f>
        <v>Subsidiaries</v>
      </c>
      <c r="X64" s="1156" t="str">
        <f>VLOOKUP(IFERROR(MID($Y64,1,FIND("-",$Y64)-2),$Y64),Table3[#All],2,0)</f>
        <v>VTB</v>
      </c>
      <c r="Y64" s="1156" t="str">
        <f>VLOOKUP($B64,Table4[#All],2,0)</f>
        <v>VIETINBANK - CN1</v>
      </c>
      <c r="Z64" s="1151"/>
      <c r="AA64" s="49"/>
      <c r="AE64" s="818">
        <f>SUM(Table11[[#This Row],[CASH IN - CREDIT (VND)]],Table11[[#This Row],[CASH IN - CREDIT (USD)]])</f>
        <v>3288140017</v>
      </c>
      <c r="AF64" s="818">
        <f>Table11[[#This Row],[CASH OUT - DEBIT (VND)]]+Table11[[#This Row],[CASH OUT - DEBIT (USD)]]</f>
        <v>803982791</v>
      </c>
      <c r="AH64" s="1158"/>
      <c r="AI64" s="49"/>
      <c r="AJ64" s="1158"/>
      <c r="AL64"/>
      <c r="AM64"/>
    </row>
    <row r="65" spans="1:39" ht="14.4">
      <c r="A65" s="1153" t="str">
        <f>VLOOKUP('Cash Balance'!$C65,Table2[#All],MATCH('Cash Balance'!A$3,Acc_Char!$B$1:$I$1,0),0)</f>
        <v>BW BAU BANG</v>
      </c>
      <c r="B65" s="1154" t="str">
        <f>VLOOKUP('Cash Balance'!$C65,Table2[#All],MATCH('Cash Balance'!B$3,Acc_Char!$B$1:$I$1,0),0)</f>
        <v>VIETINBANK - TIEN SON</v>
      </c>
      <c r="C65" s="1155" t="s">
        <v>545</v>
      </c>
      <c r="D65" s="1156" t="str">
        <f>VLOOKUP('Cash Balance'!$C65,Table2[#All],MATCH('Cash Balance'!D$3,Acc_Char!$B$1:$I$1,0),0)</f>
        <v>Current Account</v>
      </c>
      <c r="E65" s="384" t="str">
        <f>VLOOKUP('Cash Balance'!$C65,Table2[#All],MATCH('Cash Balance'!E$3,Acc_Char!$B$1:$I$1,0),0)</f>
        <v>VND</v>
      </c>
      <c r="F65" s="1094" t="e">
        <f>VLOOKUP(C65,'Cash balance (BS)'!A:C,3,)</f>
        <v>#N/A</v>
      </c>
      <c r="G65" s="1157" t="e">
        <f t="shared" si="12"/>
        <v>#N/A</v>
      </c>
      <c r="H65" s="1318">
        <f>SUMIFS('Cash balance (Prior period)'!F:F,'Cash balance (Prior period)'!C:C,Table11[[#This Row],[ACCOUNT NUMBER]],'Cash balance (Prior period)'!E:E,Table11[[#This Row],[CURRENCY]])</f>
        <v>172905696</v>
      </c>
      <c r="I65" s="1318">
        <f>SUMIFS(Movement!$F$4:$F$2136,Movement!$M$4:$M$2136,"VND",Movement!$C$4:$C$2136,Table11[[#This Row],[ACCOUNT NUMBER]],Movement!$J$4:$J$2136,Table11[[#This Row],[ENTITY]],Movement!$O$4:$O$2136,'Cash Balance'!$A$2)</f>
        <v>0</v>
      </c>
      <c r="J65" s="1318">
        <f>SUMIFS(Movement!$G$4:$G$2136,Movement!$M$4:$M$2136,"VND",Movement!$C$4:$C$2136,Table11[[#This Row],[ACCOUNT NUMBER]],Movement!$J$4:$J$2136,Table11[[#This Row],[ENTITY]],Movement!$O$4:$O$2136,'Cash Balance'!$A$2)</f>
        <v>0</v>
      </c>
      <c r="K65" s="1084">
        <f>Table11[[#This Row],[CASH IN - CREDIT (VND)]]-Table11[[#This Row],[CASH OUT - DEBIT (VND)]]</f>
        <v>0</v>
      </c>
      <c r="L65" s="1095">
        <f t="shared" si="3"/>
        <v>172905696</v>
      </c>
      <c r="M65" s="1184" t="e">
        <f>VLOOKUP(C65,'Cash balance (BS)'!A:D,4,)</f>
        <v>#N/A</v>
      </c>
      <c r="N65" s="1095" t="e">
        <f>Table11[[#This Row],[CLOSING BALANCE (VND)2]]-Table11[[#This Row],[CB_BS (VND)]]</f>
        <v>#N/A</v>
      </c>
      <c r="O65" s="1094">
        <v>0</v>
      </c>
      <c r="P65" s="1095">
        <f t="shared" si="4"/>
        <v>0</v>
      </c>
      <c r="Q65" s="817">
        <f>SUMIFS('Cash balance (Prior period)'!G:G,'Cash balance (Prior period)'!C:C,Table11[[#This Row],[ACCOUNT NUMBER]],'Cash balance (Prior period)'!E:E,Table11[[#This Row],[CURRENCY]])</f>
        <v>0</v>
      </c>
      <c r="R65" s="817">
        <f>SUMIFS(Movement!$F$4:$F$2136,Movement!$M$4:$M$2136,"USD",Movement!$C$4:$C$2136,Table11[[#This Row],[ACCOUNT NUMBER]],Movement!$J$4:$J$2136,Table11[[#This Row],[ENTITY]],Movement!$O$4:$O$2136,'Cash Balance'!$A$2)</f>
        <v>0</v>
      </c>
      <c r="S65" s="817">
        <f>SUMIFS(Movement!$G$4:$G$2136,Movement!$M$4:$M$2136,"USD",Movement!$C$4:$C$2136,Table11[[#This Row],[ACCOUNT NUMBER]],Movement!$J$4:$J$2136,Table11[[#This Row],[ENTITY]],Movement!$O$4:$O$2136,'Cash Balance'!$A$2)</f>
        <v>0</v>
      </c>
      <c r="T65" s="1087">
        <f t="shared" si="5"/>
        <v>0</v>
      </c>
      <c r="U65" s="817">
        <v>0</v>
      </c>
      <c r="V65" s="817">
        <f>Table11[[#This Row],[CLOSING BALANCE (USD)]]-Table11[[#This Row],[CB_BS (USD)]]</f>
        <v>0</v>
      </c>
      <c r="W65" s="1156" t="str">
        <f>VLOOKUP('Cash Balance'!$C65,Table2[#All],MATCH('Cash Balance'!W$3,Acc_Char!$B$1:$I$1,0),0)</f>
        <v>Subsidiaries</v>
      </c>
      <c r="X65" s="1156" t="str">
        <f>VLOOKUP(IFERROR(MID($Y65,1,FIND("-",$Y65)-2),$Y65),Table3[#All],2,0)</f>
        <v>VTB</v>
      </c>
      <c r="Y65" s="1156" t="str">
        <f>VLOOKUP($B65,Table4[#All],2,0)</f>
        <v>VIETINBANK - TIEN SON</v>
      </c>
      <c r="Z65" s="1151"/>
      <c r="AA65" s="49"/>
      <c r="AE65" s="818">
        <f>SUM(Table11[[#This Row],[CASH IN - CREDIT (VND)]],Table11[[#This Row],[CASH IN - CREDIT (USD)]])</f>
        <v>0</v>
      </c>
      <c r="AF65" s="818">
        <f>Table11[[#This Row],[CASH OUT - DEBIT (VND)]]+Table11[[#This Row],[CASH OUT - DEBIT (USD)]]</f>
        <v>0</v>
      </c>
      <c r="AH65" s="1158"/>
      <c r="AI65" s="49"/>
      <c r="AJ65" s="1158"/>
      <c r="AL65"/>
      <c r="AM65"/>
    </row>
    <row r="66" spans="1:39" ht="14.4">
      <c r="A66" s="1153" t="str">
        <f>VLOOKUP('Cash Balance'!$C66,Table2[#All],MATCH('Cash Balance'!A$3,Acc_Char!$B$1:$I$1,0),0)</f>
        <v>BW PHU NGHIA</v>
      </c>
      <c r="B66" s="1154" t="str">
        <f>VLOOKUP('Cash Balance'!$C66,Table2[#All],MATCH('Cash Balance'!B$3,Acc_Char!$B$1:$I$1,0),0)</f>
        <v>BIDV - THANH XUAN</v>
      </c>
      <c r="C66" s="1183" t="s">
        <v>547</v>
      </c>
      <c r="D66" s="1156" t="str">
        <f>VLOOKUP('Cash Balance'!$C66,Table2[#All],MATCH('Cash Balance'!D$3,Acc_Char!$B$1:$I$1,0),0)</f>
        <v>Current Account</v>
      </c>
      <c r="E66" s="384" t="str">
        <f>VLOOKUP('Cash Balance'!$C66,Table2[#All],MATCH('Cash Balance'!E$3,Acc_Char!$B$1:$I$1,0),0)</f>
        <v>VND</v>
      </c>
      <c r="F66" s="1094"/>
      <c r="G66" s="1157">
        <f t="shared" si="12"/>
        <v>-4087680891</v>
      </c>
      <c r="H66" s="1318">
        <f>SUMIFS('Cash balance (Prior period)'!F:F,'Cash balance (Prior period)'!C:C,Table11[[#This Row],[ACCOUNT NUMBER]],'Cash balance (Prior period)'!E:E,Table11[[#This Row],[CURRENCY]])</f>
        <v>4087680891</v>
      </c>
      <c r="I66" s="1318">
        <f>SUMIFS(Movement!$F$4:$F$2136,Movement!$M$4:$M$2136,"VND",Movement!$C$4:$C$2136,Table11[[#This Row],[ACCOUNT NUMBER]],Movement!$J$4:$J$2136,Table11[[#This Row],[ENTITY]],Movement!$O$4:$O$2136,'Cash Balance'!$A$2)</f>
        <v>272448</v>
      </c>
      <c r="J66" s="1318">
        <f>SUMIFS(Movement!$G$4:$G$2136,Movement!$M$4:$M$2136,"VND",Movement!$C$4:$C$2136,Table11[[#This Row],[ACCOUNT NUMBER]],Movement!$J$4:$J$2136,Table11[[#This Row],[ENTITY]],Movement!$O$4:$O$2136,'Cash Balance'!$A$2)</f>
        <v>70998851</v>
      </c>
      <c r="K66" s="1084">
        <f>Table11[[#This Row],[CASH IN - CREDIT (VND)]]-Table11[[#This Row],[CASH OUT - DEBIT (VND)]]</f>
        <v>-70726403</v>
      </c>
      <c r="L66" s="1095">
        <f t="shared" si="3"/>
        <v>4016954488</v>
      </c>
      <c r="M66" s="1184" t="e">
        <f>VLOOKUP(C66,'Cash balance (BS)'!A:D,4,)</f>
        <v>#N/A</v>
      </c>
      <c r="N66" s="1095" t="e">
        <f>Table11[[#This Row],[CLOSING BALANCE (VND)2]]-Table11[[#This Row],[CB_BS (VND)]]</f>
        <v>#N/A</v>
      </c>
      <c r="O66" s="1094">
        <v>0</v>
      </c>
      <c r="P66" s="1095">
        <f t="shared" si="4"/>
        <v>0</v>
      </c>
      <c r="Q66" s="817">
        <f>SUMIFS('Cash balance (Prior period)'!G:G,'Cash balance (Prior period)'!C:C,Table11[[#This Row],[ACCOUNT NUMBER]],'Cash balance (Prior period)'!E:E,Table11[[#This Row],[CURRENCY]])</f>
        <v>0</v>
      </c>
      <c r="R66" s="817">
        <f>SUMIFS(Movement!$F$4:$F$2136,Movement!$M$4:$M$2136,"USD",Movement!$C$4:$C$2136,Table11[[#This Row],[ACCOUNT NUMBER]],Movement!$J$4:$J$2136,Table11[[#This Row],[ENTITY]],Movement!$O$4:$O$2136,'Cash Balance'!$A$2)</f>
        <v>0</v>
      </c>
      <c r="S66" s="817">
        <f>SUMIFS(Movement!$G$4:$G$2136,Movement!$M$4:$M$2136,"USD",Movement!$C$4:$C$2136,Table11[[#This Row],[ACCOUNT NUMBER]],Movement!$J$4:$J$2136,Table11[[#This Row],[ENTITY]],Movement!$O$4:$O$2136,'Cash Balance'!$A$2)</f>
        <v>0</v>
      </c>
      <c r="T66" s="1087">
        <f t="shared" si="5"/>
        <v>0</v>
      </c>
      <c r="U66" s="817" t="e">
        <f>VLOOKUP(C66,'Cash balance (BS)'!A:D,4,)</f>
        <v>#N/A</v>
      </c>
      <c r="V66" s="817" t="e">
        <f>Table11[[#This Row],[CLOSING BALANCE (USD)]]-Table11[[#This Row],[CB_BS (USD)]]</f>
        <v>#N/A</v>
      </c>
      <c r="W66" s="1156" t="str">
        <f>VLOOKUP('Cash Balance'!$C66,Table2[#All],MATCH('Cash Balance'!W$3,Acc_Char!$B$1:$I$1,0),0)</f>
        <v>Subsidiaries</v>
      </c>
      <c r="X66" s="1156" t="str">
        <f>VLOOKUP(IFERROR(MID($Y66,1,FIND("-",$Y66)-2),$Y66),Table3[#All],2,0)</f>
        <v>BIDV</v>
      </c>
      <c r="Y66" s="1156" t="str">
        <f>VLOOKUP($B66,Table4[#All],2,0)</f>
        <v>BIDV - THANH XUAN</v>
      </c>
      <c r="Z66" s="1151"/>
      <c r="AA66" s="49"/>
      <c r="AE66" s="818">
        <f>SUM(Table11[[#This Row],[CASH IN - CREDIT (VND)]],Table11[[#This Row],[CASH IN - CREDIT (USD)]])</f>
        <v>272448</v>
      </c>
      <c r="AF66" s="818">
        <f>Table11[[#This Row],[CASH OUT - DEBIT (VND)]]+Table11[[#This Row],[CASH OUT - DEBIT (USD)]]</f>
        <v>70998851</v>
      </c>
      <c r="AH66" s="1158" t="s">
        <v>1519</v>
      </c>
      <c r="AI66" s="49"/>
      <c r="AJ66" s="1158"/>
      <c r="AL66"/>
      <c r="AM66"/>
    </row>
    <row r="67" spans="1:39" ht="14.4">
      <c r="A67" s="1153" t="str">
        <f>VLOOKUP('Cash Balance'!$C67,Table2[#All],MATCH('Cash Balance'!A$3,Acc_Char!$B$1:$I$1,0),0)</f>
        <v>BW DINH VU</v>
      </c>
      <c r="B67" s="1154" t="str">
        <f>VLOOKUP('Cash Balance'!$C67,Table2[#All],MATCH('Cash Balance'!B$3,Acc_Char!$B$1:$I$1,0),0)</f>
        <v>BIDV - THANH XUAN</v>
      </c>
      <c r="C67" s="1085" t="s">
        <v>549</v>
      </c>
      <c r="D67" s="1156" t="str">
        <f>VLOOKUP('Cash Balance'!$C67,Table2[#All],MATCH('Cash Balance'!D$3,Acc_Char!$B$1:$I$1,0),0)</f>
        <v>Current Account</v>
      </c>
      <c r="E67" s="384" t="str">
        <f>VLOOKUP('Cash Balance'!$C67,Table2[#All],MATCH('Cash Balance'!E$3,Acc_Char!$B$1:$I$1,0),0)</f>
        <v>VND</v>
      </c>
      <c r="F67" s="1094"/>
      <c r="G67" s="1157">
        <f t="shared" si="12"/>
        <v>-1456436782</v>
      </c>
      <c r="H67" s="1318">
        <f>SUMIFS('Cash balance (Prior period)'!F:F,'Cash balance (Prior period)'!C:C,Table11[[#This Row],[ACCOUNT NUMBER]],'Cash balance (Prior period)'!E:E,Table11[[#This Row],[CURRENCY]])</f>
        <v>1456436782</v>
      </c>
      <c r="I67" s="1318">
        <f>SUMIFS(Movement!$F$4:$F$2136,Movement!$M$4:$M$2136,"VND",Movement!$C$4:$C$2136,Table11[[#This Row],[ACCOUNT NUMBER]],Movement!$J$4:$J$2136,Table11[[#This Row],[ENTITY]],Movement!$O$4:$O$2136,'Cash Balance'!$A$2)</f>
        <v>0</v>
      </c>
      <c r="J67" s="1318">
        <f>SUMIFS(Movement!$G$4:$G$2136,Movement!$M$4:$M$2136,"VND",Movement!$C$4:$C$2136,Table11[[#This Row],[ACCOUNT NUMBER]],Movement!$J$4:$J$2136,Table11[[#This Row],[ENTITY]],Movement!$O$4:$O$2136,'Cash Balance'!$A$2)</f>
        <v>202020731</v>
      </c>
      <c r="K67" s="1084">
        <f>Table11[[#This Row],[CASH IN - CREDIT (VND)]]-Table11[[#This Row],[CASH OUT - DEBIT (VND)]]</f>
        <v>-202020731</v>
      </c>
      <c r="L67" s="1095">
        <f t="shared" si="3"/>
        <v>1254416051</v>
      </c>
      <c r="M67" s="1184" t="e">
        <f>VLOOKUP(C67,'Cash balance (BS)'!A:D,4,)</f>
        <v>#N/A</v>
      </c>
      <c r="N67" s="1095" t="e">
        <f>Table11[[#This Row],[CLOSING BALANCE (VND)2]]-Table11[[#This Row],[CB_BS (VND)]]</f>
        <v>#N/A</v>
      </c>
      <c r="O67" s="1094">
        <v>0</v>
      </c>
      <c r="P67" s="1095">
        <f t="shared" si="4"/>
        <v>0</v>
      </c>
      <c r="Q67" s="817">
        <f>SUMIFS('Cash balance (Prior period)'!G:G,'Cash balance (Prior period)'!C:C,Table11[[#This Row],[ACCOUNT NUMBER]],'Cash balance (Prior period)'!E:E,Table11[[#This Row],[CURRENCY]])</f>
        <v>0</v>
      </c>
      <c r="R67" s="817">
        <f>SUMIFS(Movement!$F$4:$F$2136,Movement!$M$4:$M$2136,"USD",Movement!$C$4:$C$2136,Table11[[#This Row],[ACCOUNT NUMBER]],Movement!$J$4:$J$2136,Table11[[#This Row],[ENTITY]],Movement!$O$4:$O$2136,'Cash Balance'!$A$2)</f>
        <v>0</v>
      </c>
      <c r="S67" s="817">
        <f>SUMIFS(Movement!$G$4:$G$2136,Movement!$M$4:$M$2136,"USD",Movement!$C$4:$C$2136,Table11[[#This Row],[ACCOUNT NUMBER]],Movement!$J$4:$J$2136,Table11[[#This Row],[ENTITY]],Movement!$O$4:$O$2136,'Cash Balance'!$A$2)</f>
        <v>0</v>
      </c>
      <c r="T67" s="1087">
        <f t="shared" si="5"/>
        <v>0</v>
      </c>
      <c r="U67" s="817" t="e">
        <f>VLOOKUP(C67,'Cash balance (BS)'!A:D,4,)</f>
        <v>#N/A</v>
      </c>
      <c r="V67" s="817" t="e">
        <f>Table11[[#This Row],[CLOSING BALANCE (USD)]]-Table11[[#This Row],[CB_BS (USD)]]</f>
        <v>#N/A</v>
      </c>
      <c r="W67" s="1156" t="str">
        <f>VLOOKUP('Cash Balance'!$C67,Table2[#All],MATCH('Cash Balance'!W$3,Acc_Char!$B$1:$I$1,0),0)</f>
        <v>Subsidiaries</v>
      </c>
      <c r="X67" s="1156" t="str">
        <f>VLOOKUP(IFERROR(MID($Y67,1,FIND("-",$Y67)-2),$Y67),Table3[#All],2,0)</f>
        <v>BIDV</v>
      </c>
      <c r="Y67" s="1156" t="str">
        <f>VLOOKUP($B67,Table4[#All],2,0)</f>
        <v>BIDV - THANH XUAN</v>
      </c>
      <c r="Z67" s="1151"/>
      <c r="AA67" s="49"/>
      <c r="AE67" s="818">
        <f>SUM(Table11[[#This Row],[CASH IN - CREDIT (VND)]],Table11[[#This Row],[CASH IN - CREDIT (USD)]])</f>
        <v>0</v>
      </c>
      <c r="AF67" s="818">
        <f>Table11[[#This Row],[CASH OUT - DEBIT (VND)]]+Table11[[#This Row],[CASH OUT - DEBIT (USD)]]</f>
        <v>202020731</v>
      </c>
      <c r="AH67" s="1158" t="s">
        <v>466</v>
      </c>
      <c r="AI67" s="49"/>
      <c r="AJ67" s="1158"/>
      <c r="AL67"/>
      <c r="AM67"/>
    </row>
    <row r="68" spans="1:39" ht="14.4">
      <c r="A68" s="1153" t="str">
        <f>VLOOKUP('Cash Balance'!$C68,Table2[#All],MATCH('Cash Balance'!A$3,Acc_Char!$B$1:$I$1,0),0)</f>
        <v>BW DINH VU</v>
      </c>
      <c r="B68" s="1154" t="str">
        <f>VLOOKUP('Cash Balance'!$C68,Table2[#All],MATCH('Cash Balance'!B$3,Acc_Char!$B$1:$I$1,0),0)</f>
        <v>BIDV - THANH XUAN</v>
      </c>
      <c r="C68" s="1085" t="s">
        <v>550</v>
      </c>
      <c r="D68" s="1156" t="str">
        <f>VLOOKUP('Cash Balance'!$C68,Table2[#All],MATCH('Cash Balance'!D$3,Acc_Char!$B$1:$I$1,0),0)</f>
        <v>Current Account</v>
      </c>
      <c r="E68" s="384" t="str">
        <f>VLOOKUP('Cash Balance'!$C68,Table2[#All],MATCH('Cash Balance'!E$3,Acc_Char!$B$1:$I$1,0),0)</f>
        <v>USD</v>
      </c>
      <c r="F68" s="1094" t="e">
        <f>VLOOKUP(C68,'Cash balance (BS)'!A:C,3,)</f>
        <v>#N/A</v>
      </c>
      <c r="G68" s="1157" t="e">
        <f t="shared" si="12"/>
        <v>#N/A</v>
      </c>
      <c r="H68" s="1318">
        <f>SUMIFS('Cash balance (Prior period)'!F:F,'Cash balance (Prior period)'!C:C,Table11[[#This Row],[ACCOUNT NUMBER]],'Cash balance (Prior period)'!E:E,Table11[[#This Row],[CURRENCY]])</f>
        <v>0</v>
      </c>
      <c r="I68" s="1318">
        <f>SUMIFS(Movement!$F$4:$F$2136,Movement!$M$4:$M$2136,"VND",Movement!$C$4:$C$2136,Table11[[#This Row],[ACCOUNT NUMBER]],Movement!$J$4:$J$2136,Table11[[#This Row],[ENTITY]],Movement!$O$4:$O$2136,'Cash Balance'!$A$2)</f>
        <v>0</v>
      </c>
      <c r="J68" s="1318">
        <f>SUMIFS(Movement!$G$4:$G$2136,Movement!$M$4:$M$2136,"VND",Movement!$C$4:$C$2136,Table11[[#This Row],[ACCOUNT NUMBER]],Movement!$J$4:$J$2136,Table11[[#This Row],[ENTITY]],Movement!$O$4:$O$2136,'Cash Balance'!$A$2)</f>
        <v>0</v>
      </c>
      <c r="K68" s="1084">
        <f>Table11[[#This Row],[CASH IN - CREDIT (VND)]]-Table11[[#This Row],[CASH OUT - DEBIT (VND)]]</f>
        <v>0</v>
      </c>
      <c r="L68" s="1095">
        <f t="shared" si="3"/>
        <v>0</v>
      </c>
      <c r="M68" s="1184" t="e">
        <f>VLOOKUP(C68,'Cash balance (BS)'!A:D,4,)</f>
        <v>#N/A</v>
      </c>
      <c r="N68" s="1095" t="e">
        <f>Table11[[#This Row],[CLOSING BALANCE (VND)2]]-Table11[[#This Row],[CB_BS (VND)]]</f>
        <v>#N/A</v>
      </c>
      <c r="O68" s="1094">
        <v>0</v>
      </c>
      <c r="P68" s="1095">
        <f t="shared" si="4"/>
        <v>-131.89000000000004</v>
      </c>
      <c r="Q68" s="817">
        <f>SUMIFS('Cash balance (Prior period)'!G:G,'Cash balance (Prior period)'!C:C,Table11[[#This Row],[ACCOUNT NUMBER]],'Cash balance (Prior period)'!E:E,Table11[[#This Row],[CURRENCY]])</f>
        <v>131.89000000000004</v>
      </c>
      <c r="R68" s="817">
        <f>SUMIFS(Movement!$F$4:$F$2136,Movement!$M$4:$M$2136,"USD",Movement!$C$4:$C$2136,Table11[[#This Row],[ACCOUNT NUMBER]],Movement!$J$4:$J$2136,Table11[[#This Row],[ENTITY]],Movement!$O$4:$O$2136,'Cash Balance'!$A$2)</f>
        <v>0</v>
      </c>
      <c r="S68" s="817">
        <f>SUMIFS(Movement!$G$4:$G$2136,Movement!$M$4:$M$2136,"USD",Movement!$C$4:$C$2136,Table11[[#This Row],[ACCOUNT NUMBER]],Movement!$J$4:$J$2136,Table11[[#This Row],[ENTITY]],Movement!$O$4:$O$2136,'Cash Balance'!$A$2)</f>
        <v>2.2000000000000002</v>
      </c>
      <c r="T68" s="1087">
        <f t="shared" si="5"/>
        <v>129.69000000000005</v>
      </c>
      <c r="U68" s="817">
        <v>0</v>
      </c>
      <c r="V68" s="817">
        <f>Table11[[#This Row],[CLOSING BALANCE (USD)]]-Table11[[#This Row],[CB_BS (USD)]]</f>
        <v>129.69000000000005</v>
      </c>
      <c r="W68" s="1156" t="str">
        <f>VLOOKUP('Cash Balance'!$C68,Table2[#All],MATCH('Cash Balance'!W$3,Acc_Char!$B$1:$I$1,0),0)</f>
        <v>Subsidiaries</v>
      </c>
      <c r="X68" s="1156" t="str">
        <f>VLOOKUP(IFERROR(MID($Y68,1,FIND("-",$Y68)-2),$Y68),Table3[#All],2,0)</f>
        <v>BIDV</v>
      </c>
      <c r="Y68" s="1156" t="str">
        <f>VLOOKUP($B68,Table4[#All],2,0)</f>
        <v>BIDV - THANH XUAN</v>
      </c>
      <c r="Z68" s="1151"/>
      <c r="AA68" s="49"/>
      <c r="AE68" s="818">
        <f>SUM(Table11[[#This Row],[CASH IN - CREDIT (VND)]],Table11[[#This Row],[CASH IN - CREDIT (USD)]])</f>
        <v>0</v>
      </c>
      <c r="AF68" s="818">
        <f>Table11[[#This Row],[CASH OUT - DEBIT (VND)]]+Table11[[#This Row],[CASH OUT - DEBIT (USD)]]</f>
        <v>2.2000000000000002</v>
      </c>
      <c r="AH68" s="1158"/>
      <c r="AI68" s="49"/>
      <c r="AJ68" s="1158"/>
      <c r="AL68"/>
      <c r="AM68"/>
    </row>
    <row r="69" spans="1:39" ht="14.4">
      <c r="A69" s="1153" t="str">
        <f>VLOOKUP('Cash Balance'!$C69,Table2[#All],MATCH('Cash Balance'!A$3,Acc_Char!$B$1:$I$1,0),0)</f>
        <v>BW DINH VU</v>
      </c>
      <c r="B69" s="1154" t="str">
        <f>VLOOKUP('Cash Balance'!$C69,Table2[#All],MATCH('Cash Balance'!B$3,Acc_Char!$B$1:$I$1,0),0)</f>
        <v>BIDV - THANH XUAN</v>
      </c>
      <c r="C69" s="1086" t="s">
        <v>551</v>
      </c>
      <c r="D69" s="1156" t="str">
        <f>VLOOKUP('Cash Balance'!$C69,Table2[#All],MATCH('Cash Balance'!D$3,Acc_Char!$B$1:$I$1,0),0)</f>
        <v>Saving Account</v>
      </c>
      <c r="E69" s="384" t="str">
        <f>VLOOKUP('Cash Balance'!$C69,Table2[#All],MATCH('Cash Balance'!E$3,Acc_Char!$B$1:$I$1,0),0)</f>
        <v>VND</v>
      </c>
      <c r="F69" s="1094" t="e">
        <f>VLOOKUP(C69,'Cash balance (BS)'!A:C,3,)</f>
        <v>#N/A</v>
      </c>
      <c r="G69" s="1157" t="e">
        <f t="shared" si="12"/>
        <v>#N/A</v>
      </c>
      <c r="H69" s="1318">
        <f>SUMIFS('Cash balance (Prior period)'!F:F,'Cash balance (Prior period)'!C:C,Table11[[#This Row],[ACCOUNT NUMBER]],'Cash balance (Prior period)'!E:E,Table11[[#This Row],[CURRENCY]])</f>
        <v>5000000000</v>
      </c>
      <c r="I69" s="1318">
        <f>SUMIFS(Movement!$F$4:$F$2136,Movement!$M$4:$M$2136,"VND",Movement!$C$4:$C$2136,Table11[[#This Row],[ACCOUNT NUMBER]],Movement!$J$4:$J$2136,Table11[[#This Row],[ENTITY]],Movement!$O$4:$O$2136,'Cash Balance'!$A$2)</f>
        <v>0</v>
      </c>
      <c r="J69" s="1318">
        <f>SUMIFS(Movement!$G$4:$G$2136,Movement!$M$4:$M$2136,"VND",Movement!$C$4:$C$2136,Table11[[#This Row],[ACCOUNT NUMBER]],Movement!$J$4:$J$2136,Table11[[#This Row],[ENTITY]],Movement!$O$4:$O$2136,'Cash Balance'!$A$2)</f>
        <v>0</v>
      </c>
      <c r="K69" s="1084">
        <f>Table11[[#This Row],[CASH IN - CREDIT (VND)]]-Table11[[#This Row],[CASH OUT - DEBIT (VND)]]</f>
        <v>0</v>
      </c>
      <c r="L69" s="1095">
        <f t="shared" si="3"/>
        <v>5000000000</v>
      </c>
      <c r="M69" s="1184" t="e">
        <f>VLOOKUP(C69,'Cash balance (BS)'!A:D,4,)</f>
        <v>#N/A</v>
      </c>
      <c r="N69" s="1095" t="e">
        <f>Table11[[#This Row],[CLOSING BALANCE (VND)2]]-Table11[[#This Row],[CB_BS (VND)]]</f>
        <v>#N/A</v>
      </c>
      <c r="O69" s="1094">
        <v>0</v>
      </c>
      <c r="P69" s="1095">
        <f t="shared" si="4"/>
        <v>0</v>
      </c>
      <c r="Q69" s="817">
        <f>SUMIFS('Cash balance (Prior period)'!G:G,'Cash balance (Prior period)'!C:C,Table11[[#This Row],[ACCOUNT NUMBER]],'Cash balance (Prior period)'!E:E,Table11[[#This Row],[CURRENCY]])</f>
        <v>0</v>
      </c>
      <c r="R69" s="817">
        <f>SUMIFS(Movement!$F$4:$F$2136,Movement!$M$4:$M$2136,"USD",Movement!$C$4:$C$2136,Table11[[#This Row],[ACCOUNT NUMBER]],Movement!$J$4:$J$2136,Table11[[#This Row],[ENTITY]],Movement!$O$4:$O$2136,'Cash Balance'!$A$2)</f>
        <v>0</v>
      </c>
      <c r="S69" s="817">
        <f>SUMIFS(Movement!$G$4:$G$2136,Movement!$M$4:$M$2136,"USD",Movement!$C$4:$C$2136,Table11[[#This Row],[ACCOUNT NUMBER]],Movement!$J$4:$J$2136,Table11[[#This Row],[ENTITY]],Movement!$O$4:$O$2136,'Cash Balance'!$A$2)</f>
        <v>0</v>
      </c>
      <c r="T69" s="1087">
        <f t="shared" si="5"/>
        <v>0</v>
      </c>
      <c r="U69" s="817"/>
      <c r="V69" s="817">
        <f>Table11[[#This Row],[CLOSING BALANCE (USD)]]-Table11[[#This Row],[CB_BS (USD)]]</f>
        <v>0</v>
      </c>
      <c r="W69" s="1156" t="str">
        <f>VLOOKUP('Cash Balance'!$C69,Table2[#All],MATCH('Cash Balance'!W$3,Acc_Char!$B$1:$I$1,0),0)</f>
        <v>Subsidiaries</v>
      </c>
      <c r="X69" s="1156" t="str">
        <f>VLOOKUP(IFERROR(MID($Y69,1,FIND("-",$Y69)-2),$Y69),Table3[#All],2,0)</f>
        <v>BIDV</v>
      </c>
      <c r="Y69" s="1156" t="str">
        <f>VLOOKUP($B69,Table4[#All],2,0)</f>
        <v>BIDV - THANH XUAN</v>
      </c>
      <c r="Z69" s="1151"/>
      <c r="AA69" s="49"/>
      <c r="AE69" s="818">
        <f>SUM(Table11[[#This Row],[CASH IN - CREDIT (VND)]],Table11[[#This Row],[CASH IN - CREDIT (USD)]])</f>
        <v>0</v>
      </c>
      <c r="AF69" s="818">
        <f>Table11[[#This Row],[CASH OUT - DEBIT (VND)]]+Table11[[#This Row],[CASH OUT - DEBIT (USD)]]</f>
        <v>0</v>
      </c>
      <c r="AH69" s="1158"/>
      <c r="AI69" s="49"/>
      <c r="AJ69" s="1158"/>
      <c r="AL69"/>
      <c r="AM69"/>
    </row>
    <row r="70" spans="1:39" ht="14.4">
      <c r="A70" s="1153" t="str">
        <f>VLOOKUP('Cash Balance'!$C70,Table2[#All],MATCH('Cash Balance'!A$3,Acc_Char!$B$1:$I$1,0),0)</f>
        <v>BW NAM DINH VU</v>
      </c>
      <c r="B70" s="1154" t="str">
        <f>VLOOKUP('Cash Balance'!$C70,Table2[#All],MATCH('Cash Balance'!B$3,Acc_Char!$B$1:$I$1,0),0)</f>
        <v>BIDV - LONG BIEN</v>
      </c>
      <c r="C70" s="1085" t="s">
        <v>337</v>
      </c>
      <c r="D70" s="1156" t="str">
        <f>VLOOKUP('Cash Balance'!$C70,Table2[#All],MATCH('Cash Balance'!D$3,Acc_Char!$B$1:$I$1,0),0)</f>
        <v>Current Account</v>
      </c>
      <c r="E70" s="384" t="str">
        <f>VLOOKUP('Cash Balance'!$C70,Table2[#All],MATCH('Cash Balance'!E$3,Acc_Char!$B$1:$I$1,0),0)</f>
        <v>USD</v>
      </c>
      <c r="F70" s="1094"/>
      <c r="G70" s="1157">
        <f t="shared" si="12"/>
        <v>0</v>
      </c>
      <c r="H70" s="1318">
        <f>SUMIFS('Cash balance (Prior period)'!F:F,'Cash balance (Prior period)'!C:C,Table11[[#This Row],[ACCOUNT NUMBER]],'Cash balance (Prior period)'!E:E,Table11[[#This Row],[CURRENCY]])</f>
        <v>0</v>
      </c>
      <c r="I70" s="1318">
        <f>SUMIFS(Movement!$F$4:$F$2136,Movement!$M$4:$M$2136,"VND",Movement!$C$4:$C$2136,Table11[[#This Row],[ACCOUNT NUMBER]],Movement!$J$4:$J$2136,Table11[[#This Row],[ENTITY]],Movement!$O$4:$O$2136,'Cash Balance'!$A$2)</f>
        <v>0</v>
      </c>
      <c r="J70" s="1318">
        <f>SUMIFS(Movement!$G$4:$G$2136,Movement!$M$4:$M$2136,"VND",Movement!$C$4:$C$2136,Table11[[#This Row],[ACCOUNT NUMBER]],Movement!$J$4:$J$2136,Table11[[#This Row],[ENTITY]],Movement!$O$4:$O$2136,'Cash Balance'!$A$2)</f>
        <v>0</v>
      </c>
      <c r="K70" s="1084">
        <f>Table11[[#This Row],[CASH IN - CREDIT (VND)]]-Table11[[#This Row],[CASH OUT - DEBIT (VND)]]</f>
        <v>0</v>
      </c>
      <c r="L70" s="1095">
        <f t="shared" si="3"/>
        <v>0</v>
      </c>
      <c r="M70" s="1184" t="e">
        <f>VLOOKUP(C70,'Cash balance (BS)'!A:D,4,)</f>
        <v>#N/A</v>
      </c>
      <c r="N70" s="1095" t="e">
        <f>Table11[[#This Row],[CLOSING BALANCE (VND)2]]-Table11[[#This Row],[CB_BS (VND)]]</f>
        <v>#N/A</v>
      </c>
      <c r="O70" s="1094">
        <v>0</v>
      </c>
      <c r="P70" s="1095">
        <f t="shared" si="4"/>
        <v>-143.39999999999566</v>
      </c>
      <c r="Q70" s="817">
        <f>SUMIFS('Cash balance (Prior period)'!G:G,'Cash balance (Prior period)'!C:C,Table11[[#This Row],[ACCOUNT NUMBER]],'Cash balance (Prior period)'!E:E,Table11[[#This Row],[CURRENCY]])</f>
        <v>143.39999999999566</v>
      </c>
      <c r="R70" s="817">
        <f>SUMIFS(Movement!$F$4:$F$2136,Movement!$M$4:$M$2136,"USD",Movement!$C$4:$C$2136,Table11[[#This Row],[ACCOUNT NUMBER]],Movement!$J$4:$J$2136,Table11[[#This Row],[ENTITY]],Movement!$O$4:$O$2136,'Cash Balance'!$A$2)</f>
        <v>0</v>
      </c>
      <c r="S70" s="817">
        <f>SUMIFS(Movement!$G$4:$G$2136,Movement!$M$4:$M$2136,"USD",Movement!$C$4:$C$2136,Table11[[#This Row],[ACCOUNT NUMBER]],Movement!$J$4:$J$2136,Table11[[#This Row],[ENTITY]],Movement!$O$4:$O$2136,'Cash Balance'!$A$2)</f>
        <v>2.2000000000000002</v>
      </c>
      <c r="T70" s="1087">
        <f t="shared" si="5"/>
        <v>141.19999999999567</v>
      </c>
      <c r="U70" s="817" t="e">
        <f>VLOOKUP(C70,'Cash balance (BS)'!A:D,4,)</f>
        <v>#N/A</v>
      </c>
      <c r="V70" s="817" t="e">
        <f>Table11[[#This Row],[CLOSING BALANCE (USD)]]-Table11[[#This Row],[CB_BS (USD)]]</f>
        <v>#N/A</v>
      </c>
      <c r="W70" s="1156" t="str">
        <f>VLOOKUP('Cash Balance'!$C70,Table2[#All],MATCH('Cash Balance'!W$3,Acc_Char!$B$1:$I$1,0),0)</f>
        <v>Subsidiaries</v>
      </c>
      <c r="X70" s="1156" t="str">
        <f>VLOOKUP(IFERROR(MID($Y70,1,FIND("-",$Y70)-2),$Y70),Table3[#All],2,0)</f>
        <v>BIDV</v>
      </c>
      <c r="Y70" s="1156" t="str">
        <f>VLOOKUP($B70,Table4[#All],2,0)</f>
        <v>BIDV - LONG BIEN</v>
      </c>
      <c r="Z70" s="1151"/>
      <c r="AA70" s="49"/>
      <c r="AE70" s="818">
        <f>SUM(Table11[[#This Row],[CASH IN - CREDIT (VND)]],Table11[[#This Row],[CASH IN - CREDIT (USD)]])</f>
        <v>0</v>
      </c>
      <c r="AF70" s="818">
        <f>Table11[[#This Row],[CASH OUT - DEBIT (VND)]]+Table11[[#This Row],[CASH OUT - DEBIT (USD)]]</f>
        <v>2.2000000000000002</v>
      </c>
      <c r="AH70" s="1158" t="s">
        <v>1520</v>
      </c>
      <c r="AI70" s="49"/>
      <c r="AJ70" s="1158"/>
      <c r="AL70"/>
      <c r="AM70"/>
    </row>
    <row r="71" spans="1:39" ht="14.4">
      <c r="A71" s="1153" t="str">
        <f>VLOOKUP('Cash Balance'!$C71,Table2[#All],MATCH('Cash Balance'!A$3,Acc_Char!$B$1:$I$1,0),0)</f>
        <v>BW NAM DINH VU</v>
      </c>
      <c r="B71" s="1154" t="str">
        <f>VLOOKUP('Cash Balance'!$C71,Table2[#All],MATCH('Cash Balance'!B$3,Acc_Char!$B$1:$I$1,0),0)</f>
        <v>BIDV - LONG BIEN</v>
      </c>
      <c r="C71" s="1085" t="s">
        <v>336</v>
      </c>
      <c r="D71" s="1156" t="str">
        <f>VLOOKUP('Cash Balance'!$C71,Table2[#All],MATCH('Cash Balance'!D$3,Acc_Char!$B$1:$I$1,0),0)</f>
        <v>Current Account</v>
      </c>
      <c r="E71" s="384" t="str">
        <f>VLOOKUP('Cash Balance'!$C71,Table2[#All],MATCH('Cash Balance'!E$3,Acc_Char!$B$1:$I$1,0),0)</f>
        <v>VND</v>
      </c>
      <c r="F71" s="1094" t="e">
        <f>VLOOKUP(C71,'Cash balance (BS)'!A:C,3,)</f>
        <v>#N/A</v>
      </c>
      <c r="G71" s="1157" t="e">
        <f t="shared" si="12"/>
        <v>#N/A</v>
      </c>
      <c r="H71" s="1318">
        <f>SUMIFS('Cash balance (Prior period)'!F:F,'Cash balance (Prior period)'!C:C,Table11[[#This Row],[ACCOUNT NUMBER]],'Cash balance (Prior period)'!E:E,Table11[[#This Row],[CURRENCY]])</f>
        <v>96106553</v>
      </c>
      <c r="I71" s="1318">
        <f>SUMIFS(Movement!$F$4:$F$2136,Movement!$M$4:$M$2136,"VND",Movement!$C$4:$C$2136,Table11[[#This Row],[ACCOUNT NUMBER]],Movement!$J$4:$J$2136,Table11[[#This Row],[ENTITY]],Movement!$O$4:$O$2136,'Cash Balance'!$A$2)</f>
        <v>5576343</v>
      </c>
      <c r="J71" s="1318">
        <f>SUMIFS(Movement!$G$4:$G$2136,Movement!$M$4:$M$2136,"VND",Movement!$C$4:$C$2136,Table11[[#This Row],[ACCOUNT NUMBER]],Movement!$J$4:$J$2136,Table11[[#This Row],[ENTITY]],Movement!$O$4:$O$2136,'Cash Balance'!$A$2)</f>
        <v>55000</v>
      </c>
      <c r="K71" s="1084">
        <f>Table11[[#This Row],[CASH IN - CREDIT (VND)]]-Table11[[#This Row],[CASH OUT - DEBIT (VND)]]</f>
        <v>5521343</v>
      </c>
      <c r="L71" s="1095">
        <f t="shared" si="3"/>
        <v>101627896</v>
      </c>
      <c r="M71" s="1184" t="e">
        <f>VLOOKUP(C71,'Cash balance (BS)'!A:D,4,)</f>
        <v>#N/A</v>
      </c>
      <c r="N71" s="1095" t="e">
        <f>Table11[[#This Row],[CLOSING BALANCE (VND)2]]-Table11[[#This Row],[CB_BS (VND)]]</f>
        <v>#N/A</v>
      </c>
      <c r="O71" s="1094">
        <v>0</v>
      </c>
      <c r="P71" s="1095">
        <f t="shared" si="4"/>
        <v>0</v>
      </c>
      <c r="Q71" s="817">
        <f>SUMIFS('Cash balance (Prior period)'!G:G,'Cash balance (Prior period)'!C:C,Table11[[#This Row],[ACCOUNT NUMBER]],'Cash balance (Prior period)'!E:E,Table11[[#This Row],[CURRENCY]])</f>
        <v>0</v>
      </c>
      <c r="R71" s="817">
        <f>SUMIFS(Movement!$F$4:$F$2136,Movement!$M$4:$M$2136,"USD",Movement!$C$4:$C$2136,Table11[[#This Row],[ACCOUNT NUMBER]],Movement!$J$4:$J$2136,Table11[[#This Row],[ENTITY]],Movement!$O$4:$O$2136,'Cash Balance'!$A$2)</f>
        <v>0</v>
      </c>
      <c r="S71" s="817">
        <f>SUMIFS(Movement!$G$4:$G$2136,Movement!$M$4:$M$2136,"USD",Movement!$C$4:$C$2136,Table11[[#This Row],[ACCOUNT NUMBER]],Movement!$J$4:$J$2136,Table11[[#This Row],[ENTITY]],Movement!$O$4:$O$2136,'Cash Balance'!$A$2)</f>
        <v>0</v>
      </c>
      <c r="T71" s="1087">
        <f t="shared" si="5"/>
        <v>0</v>
      </c>
      <c r="U71" s="817"/>
      <c r="V71" s="817">
        <f>Table11[[#This Row],[CLOSING BALANCE (USD)]]-Table11[[#This Row],[CB_BS (USD)]]</f>
        <v>0</v>
      </c>
      <c r="W71" s="1156" t="str">
        <f>VLOOKUP('Cash Balance'!$C71,Table2[#All],MATCH('Cash Balance'!W$3,Acc_Char!$B$1:$I$1,0),0)</f>
        <v>Subsidiaries</v>
      </c>
      <c r="X71" s="1156" t="str">
        <f>VLOOKUP(IFERROR(MID($Y71,1,FIND("-",$Y71)-2),$Y71),Table3[#All],2,0)</f>
        <v>BIDV</v>
      </c>
      <c r="Y71" s="1156" t="str">
        <f>VLOOKUP($B71,Table4[#All],2,0)</f>
        <v>BIDV - LONG BIEN</v>
      </c>
      <c r="Z71" s="1151"/>
      <c r="AA71" s="49"/>
      <c r="AE71" s="818">
        <f>SUM(Table11[[#This Row],[CASH IN - CREDIT (VND)]],Table11[[#This Row],[CASH IN - CREDIT (USD)]])</f>
        <v>5576343</v>
      </c>
      <c r="AF71" s="818">
        <f>Table11[[#This Row],[CASH OUT - DEBIT (VND)]]+Table11[[#This Row],[CASH OUT - DEBIT (USD)]]</f>
        <v>55000</v>
      </c>
      <c r="AH71" s="1158" t="s">
        <v>1519</v>
      </c>
      <c r="AI71" s="49"/>
      <c r="AJ71" s="1158"/>
      <c r="AL71"/>
      <c r="AM71"/>
    </row>
    <row r="72" spans="1:39" ht="14.4">
      <c r="A72" s="1153" t="str">
        <f>VLOOKUP('Cash Balance'!$C72,Table2[#All],MATCH('Cash Balance'!A$3,Acc_Char!$B$1:$I$1,0),0)</f>
        <v>BWID TAN DONG HIEP</v>
      </c>
      <c r="B72" s="1154" t="str">
        <f>VLOOKUP('Cash Balance'!$C72,Table2[#All],MATCH('Cash Balance'!B$3,Acc_Char!$B$1:$I$1,0),0)</f>
        <v>VIB - HOI SO</v>
      </c>
      <c r="C72" s="1086" t="s">
        <v>553</v>
      </c>
      <c r="D72" s="1156" t="str">
        <f>VLOOKUP('Cash Balance'!$C72,Table2[#All],MATCH('Cash Balance'!D$3,Acc_Char!$B$1:$I$1,0),0)</f>
        <v>Current Account</v>
      </c>
      <c r="E72" s="384" t="str">
        <f>VLOOKUP('Cash Balance'!$C72,Table2[#All],MATCH('Cash Balance'!E$3,Acc_Char!$B$1:$I$1,0),0)</f>
        <v>VND</v>
      </c>
      <c r="F72" s="1094" t="e">
        <f>VLOOKUP(C72,'Cash balance (BS)'!A:C,3,)</f>
        <v>#N/A</v>
      </c>
      <c r="G72" s="1157" t="e">
        <f t="shared" si="12"/>
        <v>#N/A</v>
      </c>
      <c r="H72" s="1318">
        <f>SUMIFS('Cash balance (Prior period)'!F:F,'Cash balance (Prior period)'!C:C,Table11[[#This Row],[ACCOUNT NUMBER]],'Cash balance (Prior period)'!E:E,Table11[[#This Row],[CURRENCY]])</f>
        <v>38567564</v>
      </c>
      <c r="I72" s="1318">
        <f>SUMIFS(Movement!$F$4:$F$2136,Movement!$M$4:$M$2136,"VND",Movement!$C$4:$C$2136,Table11[[#This Row],[ACCOUNT NUMBER]],Movement!$J$4:$J$2136,Table11[[#This Row],[ENTITY]],Movement!$O$4:$O$2136,'Cash Balance'!$A$2)</f>
        <v>0</v>
      </c>
      <c r="J72" s="1318">
        <f>SUMIFS(Movement!$G$4:$G$2136,Movement!$M$4:$M$2136,"VND",Movement!$C$4:$C$2136,Table11[[#This Row],[ACCOUNT NUMBER]],Movement!$J$4:$J$2136,Table11[[#This Row],[ENTITY]],Movement!$O$4:$O$2136,'Cash Balance'!$A$2)</f>
        <v>0</v>
      </c>
      <c r="K72" s="1084">
        <f>Table11[[#This Row],[CASH IN - CREDIT (VND)]]-Table11[[#This Row],[CASH OUT - DEBIT (VND)]]</f>
        <v>0</v>
      </c>
      <c r="L72" s="1095">
        <f t="shared" ref="L72:L134" si="13">H72+I72-J72</f>
        <v>38567564</v>
      </c>
      <c r="M72" s="1184" t="e">
        <f>VLOOKUP(C72,'Cash balance (BS)'!A:D,4,)</f>
        <v>#N/A</v>
      </c>
      <c r="N72" s="1095" t="e">
        <f>Table11[[#This Row],[CLOSING BALANCE (VND)2]]-Table11[[#This Row],[CB_BS (VND)]]</f>
        <v>#N/A</v>
      </c>
      <c r="O72" s="1094">
        <v>0</v>
      </c>
      <c r="P72" s="1095">
        <f t="shared" ref="P72:P134" si="14">O72-Q72</f>
        <v>0</v>
      </c>
      <c r="Q72" s="817">
        <f>SUMIFS('Cash balance (Prior period)'!G:G,'Cash balance (Prior period)'!C:C,Table11[[#This Row],[ACCOUNT NUMBER]],'Cash balance (Prior period)'!E:E,Table11[[#This Row],[CURRENCY]])</f>
        <v>0</v>
      </c>
      <c r="R72" s="817">
        <f>SUMIFS(Movement!$F$4:$F$2136,Movement!$M$4:$M$2136,"USD",Movement!$C$4:$C$2136,Table11[[#This Row],[ACCOUNT NUMBER]],Movement!$J$4:$J$2136,Table11[[#This Row],[ENTITY]],Movement!$O$4:$O$2136,'Cash Balance'!$A$2)</f>
        <v>0</v>
      </c>
      <c r="S72" s="817">
        <f>SUMIFS(Movement!$G$4:$G$2136,Movement!$M$4:$M$2136,"USD",Movement!$C$4:$C$2136,Table11[[#This Row],[ACCOUNT NUMBER]],Movement!$J$4:$J$2136,Table11[[#This Row],[ENTITY]],Movement!$O$4:$O$2136,'Cash Balance'!$A$2)</f>
        <v>0</v>
      </c>
      <c r="T72" s="1087">
        <f t="shared" ref="T72:T134" si="15">Q72+R72-S72</f>
        <v>0</v>
      </c>
      <c r="U72" s="817"/>
      <c r="V72" s="817">
        <f>Table11[[#This Row],[CLOSING BALANCE (USD)]]-Table11[[#This Row],[CB_BS (USD)]]</f>
        <v>0</v>
      </c>
      <c r="W72" s="1156" t="str">
        <f>VLOOKUP('Cash Balance'!$C72,Table2[#All],MATCH('Cash Balance'!W$3,Acc_Char!$B$1:$I$1,0),0)</f>
        <v>Subsidiaries</v>
      </c>
      <c r="X72" s="1156" t="str">
        <f>VLOOKUP(IFERROR(MID($Y72,1,FIND("-",$Y72)-2),$Y72),Table3[#All],2,0)</f>
        <v>VIB</v>
      </c>
      <c r="Y72" s="1156" t="str">
        <f>VLOOKUP($B72,Table4[#All],2,0)</f>
        <v>VIB - HOI SO</v>
      </c>
      <c r="Z72" s="1151"/>
      <c r="AA72" s="49"/>
      <c r="AE72" s="818">
        <f>SUM(Table11[[#This Row],[CASH IN - CREDIT (VND)]],Table11[[#This Row],[CASH IN - CREDIT (USD)]])</f>
        <v>0</v>
      </c>
      <c r="AF72" s="818">
        <f>Table11[[#This Row],[CASH OUT - DEBIT (VND)]]+Table11[[#This Row],[CASH OUT - DEBIT (USD)]]</f>
        <v>0</v>
      </c>
      <c r="AH72" s="1158"/>
      <c r="AI72" s="49"/>
      <c r="AJ72" s="1158"/>
      <c r="AL72"/>
      <c r="AM72"/>
    </row>
    <row r="73" spans="1:39" ht="14.4">
      <c r="A73" s="1153" t="str">
        <f>VLOOKUP('Cash Balance'!$C73,Table2[#All],MATCH('Cash Balance'!A$3,Acc_Char!$B$1:$I$1,0),0)</f>
        <v>BWID DONG AN LID</v>
      </c>
      <c r="B73" s="1154" t="str">
        <f>VLOOKUP('Cash Balance'!$C73,Table2[#All],MATCH('Cash Balance'!B$3,Acc_Char!$B$1:$I$1,0),0)</f>
        <v>VIETINBANK - DONG SAI GON</v>
      </c>
      <c r="C73" s="1086" t="s">
        <v>555</v>
      </c>
      <c r="D73" s="1156" t="str">
        <f>VLOOKUP('Cash Balance'!$C73,Table2[#All],MATCH('Cash Balance'!D$3,Acc_Char!$B$1:$I$1,0),0)</f>
        <v>Current Account</v>
      </c>
      <c r="E73" s="384" t="str">
        <f>VLOOKUP('Cash Balance'!$C73,Table2[#All],MATCH('Cash Balance'!E$3,Acc_Char!$B$1:$I$1,0),0)</f>
        <v>VND</v>
      </c>
      <c r="F73" s="1094" t="e">
        <f>VLOOKUP(C73,'Cash balance (BS)'!A:C,3,)</f>
        <v>#N/A</v>
      </c>
      <c r="G73" s="1157" t="e">
        <f t="shared" si="12"/>
        <v>#N/A</v>
      </c>
      <c r="H73" s="1318">
        <f>SUMIFS('Cash balance (Prior period)'!F:F,'Cash balance (Prior period)'!C:C,Table11[[#This Row],[ACCOUNT NUMBER]],'Cash balance (Prior period)'!E:E,Table11[[#This Row],[CURRENCY]])</f>
        <v>2849653916</v>
      </c>
      <c r="I73" s="1318">
        <f>SUMIFS(Movement!$F$4:$F$2136,Movement!$M$4:$M$2136,"VND",Movement!$C$4:$C$2136,Table11[[#This Row],[ACCOUNT NUMBER]],Movement!$J$4:$J$2136,Table11[[#This Row],[ENTITY]],Movement!$O$4:$O$2136,'Cash Balance'!$A$2)</f>
        <v>4910127942</v>
      </c>
      <c r="J73" s="1318">
        <f>SUMIFS(Movement!$G$4:$G$2136,Movement!$M$4:$M$2136,"VND",Movement!$C$4:$C$2136,Table11[[#This Row],[ACCOUNT NUMBER]],Movement!$J$4:$J$2136,Table11[[#This Row],[ENTITY]],Movement!$O$4:$O$2136,'Cash Balance'!$A$2)</f>
        <v>421101742</v>
      </c>
      <c r="K73" s="1084">
        <f>Table11[[#This Row],[CASH IN - CREDIT (VND)]]-Table11[[#This Row],[CASH OUT - DEBIT (VND)]]</f>
        <v>4489026200</v>
      </c>
      <c r="L73" s="1095">
        <f t="shared" si="13"/>
        <v>7338680116</v>
      </c>
      <c r="M73" s="1184" t="e">
        <f>VLOOKUP(C73,'Cash balance (BS)'!A:D,4,)</f>
        <v>#N/A</v>
      </c>
      <c r="N73" s="1095" t="e">
        <f>Table11[[#This Row],[CLOSING BALANCE (VND)2]]-Table11[[#This Row],[CB_BS (VND)]]</f>
        <v>#N/A</v>
      </c>
      <c r="O73" s="1094">
        <v>0</v>
      </c>
      <c r="P73" s="1095">
        <f t="shared" si="14"/>
        <v>0</v>
      </c>
      <c r="Q73" s="817">
        <f>SUMIFS('Cash balance (Prior period)'!G:G,'Cash balance (Prior period)'!C:C,Table11[[#This Row],[ACCOUNT NUMBER]],'Cash balance (Prior period)'!E:E,Table11[[#This Row],[CURRENCY]])</f>
        <v>0</v>
      </c>
      <c r="R73" s="817">
        <f>SUMIFS(Movement!$F$4:$F$2136,Movement!$M$4:$M$2136,"USD",Movement!$C$4:$C$2136,Table11[[#This Row],[ACCOUNT NUMBER]],Movement!$J$4:$J$2136,Table11[[#This Row],[ENTITY]],Movement!$O$4:$O$2136,'Cash Balance'!$A$2)</f>
        <v>0</v>
      </c>
      <c r="S73" s="817">
        <f>SUMIFS(Movement!$G$4:$G$2136,Movement!$M$4:$M$2136,"USD",Movement!$C$4:$C$2136,Table11[[#This Row],[ACCOUNT NUMBER]],Movement!$J$4:$J$2136,Table11[[#This Row],[ENTITY]],Movement!$O$4:$O$2136,'Cash Balance'!$A$2)</f>
        <v>0</v>
      </c>
      <c r="T73" s="1087">
        <f t="shared" si="15"/>
        <v>0</v>
      </c>
      <c r="U73" s="817"/>
      <c r="V73" s="817">
        <f>Table11[[#This Row],[CLOSING BALANCE (USD)]]-Table11[[#This Row],[CB_BS (USD)]]</f>
        <v>0</v>
      </c>
      <c r="W73" s="1156" t="str">
        <f>VLOOKUP('Cash Balance'!$C73,Table2[#All],MATCH('Cash Balance'!W$3,Acc_Char!$B$1:$I$1,0),0)</f>
        <v>Subsidiaries</v>
      </c>
      <c r="X73" s="1156" t="str">
        <f>VLOOKUP(IFERROR(MID($Y73,1,FIND("-",$Y73)-2),$Y73),Table3[#All],2,0)</f>
        <v>VTB</v>
      </c>
      <c r="Y73" s="1156" t="str">
        <f>VLOOKUP($B73,Table4[#All],2,0)</f>
        <v>VIETINBANK - DONG SAI GON</v>
      </c>
      <c r="Z73" s="1151"/>
      <c r="AA73" s="49"/>
      <c r="AE73" s="818">
        <f>SUM(Table11[[#This Row],[CASH IN - CREDIT (VND)]],Table11[[#This Row],[CASH IN - CREDIT (USD)]])</f>
        <v>4910127942</v>
      </c>
      <c r="AF73" s="818">
        <f>Table11[[#This Row],[CASH OUT - DEBIT (VND)]]+Table11[[#This Row],[CASH OUT - DEBIT (USD)]]</f>
        <v>421101742</v>
      </c>
      <c r="AH73" s="1158"/>
      <c r="AI73" s="49"/>
      <c r="AJ73" s="1158"/>
      <c r="AL73"/>
      <c r="AM73"/>
    </row>
    <row r="74" spans="1:39" ht="14.4">
      <c r="A74" s="1153" t="str">
        <f>VLOOKUP('Cash Balance'!$C74,Table2[#All],MATCH('Cash Balance'!A$3,Acc_Char!$B$1:$I$1,0),0)</f>
        <v>BWID DONG AN LID</v>
      </c>
      <c r="B74" s="1154" t="str">
        <f>VLOOKUP('Cash Balance'!$C74,Table2[#All],MATCH('Cash Balance'!B$3,Acc_Char!$B$1:$I$1,0),0)</f>
        <v>VIETINBANK - DONG SAI GON</v>
      </c>
      <c r="C74" s="1086" t="s">
        <v>556</v>
      </c>
      <c r="D74" s="1156" t="str">
        <f>VLOOKUP('Cash Balance'!$C74,Table2[#All],MATCH('Cash Balance'!D$3,Acc_Char!$B$1:$I$1,0),0)</f>
        <v>Saving Account</v>
      </c>
      <c r="E74" s="384" t="str">
        <f>VLOOKUP('Cash Balance'!$C74,Table2[#All],MATCH('Cash Balance'!E$3,Acc_Char!$B$1:$I$1,0),0)</f>
        <v>VND</v>
      </c>
      <c r="F74" s="1094" t="e">
        <f>VLOOKUP(C74,'Cash balance (BS)'!A:C,3,)</f>
        <v>#N/A</v>
      </c>
      <c r="G74" s="1157" t="e">
        <f t="shared" si="12"/>
        <v>#N/A</v>
      </c>
      <c r="H74" s="1318">
        <f>SUMIFS('Cash balance (Prior period)'!F:F,'Cash balance (Prior period)'!C:C,Table11[[#This Row],[ACCOUNT NUMBER]],'Cash balance (Prior period)'!E:E,Table11[[#This Row],[CURRENCY]])</f>
        <v>0</v>
      </c>
      <c r="I74" s="1318">
        <f>SUMIFS(Movement!$F$4:$F$2136,Movement!$M$4:$M$2136,"VND",Movement!$C$4:$C$2136,Table11[[#This Row],[ACCOUNT NUMBER]],Movement!$J$4:$J$2136,Table11[[#This Row],[ENTITY]],Movement!$O$4:$O$2136,'Cash Balance'!$A$2)</f>
        <v>0</v>
      </c>
      <c r="J74" s="1318">
        <f>SUMIFS(Movement!$G$4:$G$2136,Movement!$M$4:$M$2136,"VND",Movement!$C$4:$C$2136,Table11[[#This Row],[ACCOUNT NUMBER]],Movement!$J$4:$J$2136,Table11[[#This Row],[ENTITY]],Movement!$O$4:$O$2136,'Cash Balance'!$A$2)</f>
        <v>0</v>
      </c>
      <c r="K74" s="1084">
        <f>Table11[[#This Row],[CASH IN - CREDIT (VND)]]-Table11[[#This Row],[CASH OUT - DEBIT (VND)]]</f>
        <v>0</v>
      </c>
      <c r="L74" s="1095">
        <f t="shared" si="13"/>
        <v>0</v>
      </c>
      <c r="M74" s="1184" t="e">
        <f>VLOOKUP(C74,'Cash balance (BS)'!A:D,4,)</f>
        <v>#N/A</v>
      </c>
      <c r="N74" s="1095" t="e">
        <f>Table11[[#This Row],[CLOSING BALANCE (VND)2]]-Table11[[#This Row],[CB_BS (VND)]]</f>
        <v>#N/A</v>
      </c>
      <c r="O74" s="1094">
        <v>0</v>
      </c>
      <c r="P74" s="1095">
        <f t="shared" si="14"/>
        <v>0</v>
      </c>
      <c r="Q74" s="817">
        <f>SUMIFS('Cash balance (Prior period)'!G:G,'Cash balance (Prior period)'!C:C,Table11[[#This Row],[ACCOUNT NUMBER]],'Cash balance (Prior period)'!E:E,Table11[[#This Row],[CURRENCY]])</f>
        <v>0</v>
      </c>
      <c r="R74" s="817">
        <f>SUMIFS(Movement!$F$4:$F$2136,Movement!$M$4:$M$2136,"USD",Movement!$C$4:$C$2136,Table11[[#This Row],[ACCOUNT NUMBER]],Movement!$J$4:$J$2136,Table11[[#This Row],[ENTITY]],Movement!$O$4:$O$2136,'Cash Balance'!$A$2)</f>
        <v>0</v>
      </c>
      <c r="S74" s="817">
        <f>SUMIFS(Movement!$G$4:$G$2136,Movement!$M$4:$M$2136,"USD",Movement!$C$4:$C$2136,Table11[[#This Row],[ACCOUNT NUMBER]],Movement!$J$4:$J$2136,Table11[[#This Row],[ENTITY]],Movement!$O$4:$O$2136,'Cash Balance'!$A$2)</f>
        <v>0</v>
      </c>
      <c r="T74" s="1087">
        <f t="shared" si="15"/>
        <v>0</v>
      </c>
      <c r="U74" s="817"/>
      <c r="V74" s="817">
        <f>Table11[[#This Row],[CLOSING BALANCE (USD)]]-Table11[[#This Row],[CB_BS (USD)]]</f>
        <v>0</v>
      </c>
      <c r="W74" s="1156" t="str">
        <f>VLOOKUP('Cash Balance'!$C74,Table2[#All],MATCH('Cash Balance'!W$3,Acc_Char!$B$1:$I$1,0),0)</f>
        <v>Subsidiaries</v>
      </c>
      <c r="X74" s="1156" t="str">
        <f>VLOOKUP(IFERROR(MID($Y74,1,FIND("-",$Y74)-2),$Y74),Table3[#All],2,0)</f>
        <v>VTB</v>
      </c>
      <c r="Y74" s="1156" t="str">
        <f>VLOOKUP($B74,Table4[#All],2,0)</f>
        <v>VIETINBANK - DONG SAI GON</v>
      </c>
      <c r="Z74" s="1151"/>
      <c r="AA74" s="49"/>
      <c r="AE74" s="818">
        <f>SUM(Table11[[#This Row],[CASH IN - CREDIT (VND)]],Table11[[#This Row],[CASH IN - CREDIT (USD)]])</f>
        <v>0</v>
      </c>
      <c r="AF74" s="818">
        <f>Table11[[#This Row],[CASH OUT - DEBIT (VND)]]+Table11[[#This Row],[CASH OUT - DEBIT (USD)]]</f>
        <v>0</v>
      </c>
      <c r="AH74" s="1158"/>
      <c r="AI74" s="49"/>
      <c r="AJ74" s="1158"/>
      <c r="AL74"/>
      <c r="AM74"/>
    </row>
    <row r="75" spans="1:39" ht="14.4">
      <c r="A75" s="1153" t="str">
        <f>VLOOKUP('Cash Balance'!$C75,Table2[#All],MATCH('Cash Balance'!A$3,Acc_Char!$B$1:$I$1,0),0)</f>
        <v>BWID LONG AN</v>
      </c>
      <c r="B75" s="1154" t="str">
        <f>VLOOKUP('Cash Balance'!$C75,Table2[#All],MATCH('Cash Balance'!B$3,Acc_Char!$B$1:$I$1,0),0)</f>
        <v>OCB - BINH DUONG</v>
      </c>
      <c r="C75" s="1086" t="s">
        <v>558</v>
      </c>
      <c r="D75" s="1156" t="str">
        <f>VLOOKUP('Cash Balance'!$C75,Table2[#All],MATCH('Cash Balance'!D$3,Acc_Char!$B$1:$I$1,0),0)</f>
        <v>Current Account</v>
      </c>
      <c r="E75" s="384" t="str">
        <f>VLOOKUP('Cash Balance'!$C75,Table2[#All],MATCH('Cash Balance'!E$3,Acc_Char!$B$1:$I$1,0),0)</f>
        <v>VND</v>
      </c>
      <c r="F75" s="1094" t="e">
        <f>VLOOKUP(C75,'Cash balance (BS)'!A:C,3,)</f>
        <v>#N/A</v>
      </c>
      <c r="G75" s="1157" t="e">
        <f t="shared" si="12"/>
        <v>#N/A</v>
      </c>
      <c r="H75" s="1318">
        <f>SUMIFS('Cash balance (Prior period)'!F:F,'Cash balance (Prior period)'!C:C,Table11[[#This Row],[ACCOUNT NUMBER]],'Cash balance (Prior period)'!E:E,Table11[[#This Row],[CURRENCY]])</f>
        <v>64326416</v>
      </c>
      <c r="I75" s="1318">
        <f>SUMIFS(Movement!$F$4:$F$2136,Movement!$M$4:$M$2136,"VND",Movement!$C$4:$C$2136,Table11[[#This Row],[ACCOUNT NUMBER]],Movement!$J$4:$J$2136,Table11[[#This Row],[ENTITY]],Movement!$O$4:$O$2136,'Cash Balance'!$A$2)</f>
        <v>0</v>
      </c>
      <c r="J75" s="1318">
        <f>SUMIFS(Movement!$G$4:$G$2136,Movement!$M$4:$M$2136,"VND",Movement!$C$4:$C$2136,Table11[[#This Row],[ACCOUNT NUMBER]],Movement!$J$4:$J$2136,Table11[[#This Row],[ENTITY]],Movement!$O$4:$O$2136,'Cash Balance'!$A$2)</f>
        <v>0</v>
      </c>
      <c r="K75" s="1084">
        <f>Table11[[#This Row],[CASH IN - CREDIT (VND)]]-Table11[[#This Row],[CASH OUT - DEBIT (VND)]]</f>
        <v>0</v>
      </c>
      <c r="L75" s="1095">
        <f t="shared" si="13"/>
        <v>64326416</v>
      </c>
      <c r="M75" s="1184" t="e">
        <f>VLOOKUP(C75,'Cash balance (BS)'!A:D,4,)</f>
        <v>#N/A</v>
      </c>
      <c r="N75" s="1095" t="e">
        <f>Table11[[#This Row],[CLOSING BALANCE (VND)2]]-Table11[[#This Row],[CB_BS (VND)]]</f>
        <v>#N/A</v>
      </c>
      <c r="O75" s="1094">
        <v>0</v>
      </c>
      <c r="P75" s="1095">
        <f t="shared" si="14"/>
        <v>0</v>
      </c>
      <c r="Q75" s="817">
        <f>SUMIFS('Cash balance (Prior period)'!G:G,'Cash balance (Prior period)'!C:C,Table11[[#This Row],[ACCOUNT NUMBER]],'Cash balance (Prior period)'!E:E,Table11[[#This Row],[CURRENCY]])</f>
        <v>0</v>
      </c>
      <c r="R75" s="817">
        <f>SUMIFS(Movement!$F$4:$F$2136,Movement!$M$4:$M$2136,"USD",Movement!$C$4:$C$2136,Table11[[#This Row],[ACCOUNT NUMBER]],Movement!$J$4:$J$2136,Table11[[#This Row],[ENTITY]],Movement!$O$4:$O$2136,'Cash Balance'!$A$2)</f>
        <v>0</v>
      </c>
      <c r="S75" s="817">
        <f>SUMIFS(Movement!$G$4:$G$2136,Movement!$M$4:$M$2136,"USD",Movement!$C$4:$C$2136,Table11[[#This Row],[ACCOUNT NUMBER]],Movement!$J$4:$J$2136,Table11[[#This Row],[ENTITY]],Movement!$O$4:$O$2136,'Cash Balance'!$A$2)</f>
        <v>0</v>
      </c>
      <c r="T75" s="1087">
        <f t="shared" si="15"/>
        <v>0</v>
      </c>
      <c r="U75" s="817"/>
      <c r="V75" s="817">
        <f>Table11[[#This Row],[CLOSING BALANCE (USD)]]-Table11[[#This Row],[CB_BS (USD)]]</f>
        <v>0</v>
      </c>
      <c r="W75" s="1156" t="str">
        <f>VLOOKUP('Cash Balance'!$C75,Table2[#All],MATCH('Cash Balance'!W$3,Acc_Char!$B$1:$I$1,0),0)</f>
        <v>Subsidiaries</v>
      </c>
      <c r="X75" s="1156" t="str">
        <f>VLOOKUP(IFERROR(MID($Y75,1,FIND("-",$Y75)-2),$Y75),Table3[#All],2,0)</f>
        <v>OCB</v>
      </c>
      <c r="Y75" s="1156" t="str">
        <f>VLOOKUP($B75,Table4[#All],2,0)</f>
        <v>OCB - BINH DUONG</v>
      </c>
      <c r="Z75" s="1151"/>
      <c r="AA75" s="49"/>
      <c r="AE75" s="818">
        <f>SUM(Table11[[#This Row],[CASH IN - CREDIT (VND)]],Table11[[#This Row],[CASH IN - CREDIT (USD)]])</f>
        <v>0</v>
      </c>
      <c r="AF75" s="818">
        <f>Table11[[#This Row],[CASH OUT - DEBIT (VND)]]+Table11[[#This Row],[CASH OUT - DEBIT (USD)]]</f>
        <v>0</v>
      </c>
      <c r="AH75" s="1158"/>
      <c r="AI75" s="49"/>
      <c r="AJ75" s="1158"/>
      <c r="AL75"/>
      <c r="AM75"/>
    </row>
    <row r="76" spans="1:39" ht="14.4">
      <c r="A76" s="1153" t="str">
        <f>VLOOKUP('Cash Balance'!$C76,Table2[#All],MATCH('Cash Balance'!A$3,Acc_Char!$B$1:$I$1,0),0)</f>
        <v>SG LOGISTICS</v>
      </c>
      <c r="B76" s="1154" t="str">
        <f>VLOOKUP('Cash Balance'!$C76,Table2[#All],MATCH('Cash Balance'!B$3,Acc_Char!$B$1:$I$1,0),0)</f>
        <v>VIETINBANK - TIEN SON</v>
      </c>
      <c r="C76" s="1086" t="s">
        <v>560</v>
      </c>
      <c r="D76" s="1156" t="str">
        <f>VLOOKUP('Cash Balance'!$C76,Table2[#All],MATCH('Cash Balance'!D$3,Acc_Char!$B$1:$I$1,0),0)</f>
        <v>Current Account</v>
      </c>
      <c r="E76" s="384" t="str">
        <f>VLOOKUP('Cash Balance'!$C76,Table2[#All],MATCH('Cash Balance'!E$3,Acc_Char!$B$1:$I$1,0),0)</f>
        <v>VND</v>
      </c>
      <c r="F76" s="1094" t="e">
        <f>VLOOKUP(C76,'Cash balance (BS)'!A:C,3,)</f>
        <v>#N/A</v>
      </c>
      <c r="G76" s="1157" t="e">
        <f t="shared" si="12"/>
        <v>#N/A</v>
      </c>
      <c r="H76" s="1318">
        <f>SUMIFS('Cash balance (Prior period)'!F:F,'Cash balance (Prior period)'!C:C,Table11[[#This Row],[ACCOUNT NUMBER]],'Cash balance (Prior period)'!E:E,Table11[[#This Row],[CURRENCY]])</f>
        <v>18425371</v>
      </c>
      <c r="I76" s="1318">
        <f>SUMIFS(Movement!$F$4:$F$2136,Movement!$M$4:$M$2136,"VND",Movement!$C$4:$C$2136,Table11[[#This Row],[ACCOUNT NUMBER]],Movement!$J$4:$J$2136,Table11[[#This Row],[ENTITY]],Movement!$O$4:$O$2136,'Cash Balance'!$A$2)</f>
        <v>0</v>
      </c>
      <c r="J76" s="1318">
        <f>SUMIFS(Movement!$G$4:$G$2136,Movement!$M$4:$M$2136,"VND",Movement!$C$4:$C$2136,Table11[[#This Row],[ACCOUNT NUMBER]],Movement!$J$4:$J$2136,Table11[[#This Row],[ENTITY]],Movement!$O$4:$O$2136,'Cash Balance'!$A$2)</f>
        <v>0</v>
      </c>
      <c r="K76" s="1084">
        <f>Table11[[#This Row],[CASH IN - CREDIT (VND)]]-Table11[[#This Row],[CASH OUT - DEBIT (VND)]]</f>
        <v>0</v>
      </c>
      <c r="L76" s="1095">
        <f t="shared" si="13"/>
        <v>18425371</v>
      </c>
      <c r="M76" s="1184" t="e">
        <f>VLOOKUP(C76,'Cash balance (BS)'!A:D,4,)</f>
        <v>#N/A</v>
      </c>
      <c r="N76" s="1095" t="e">
        <f>Table11[[#This Row],[CLOSING BALANCE (VND)2]]-Table11[[#This Row],[CB_BS (VND)]]</f>
        <v>#N/A</v>
      </c>
      <c r="O76" s="1094">
        <v>0</v>
      </c>
      <c r="P76" s="1095">
        <f t="shared" si="14"/>
        <v>0</v>
      </c>
      <c r="Q76" s="817">
        <f>SUMIFS('Cash balance (Prior period)'!G:G,'Cash balance (Prior period)'!C:C,Table11[[#This Row],[ACCOUNT NUMBER]],'Cash balance (Prior period)'!E:E,Table11[[#This Row],[CURRENCY]])</f>
        <v>0</v>
      </c>
      <c r="R76" s="817">
        <f>SUMIFS(Movement!$F$4:$F$2136,Movement!$M$4:$M$2136,"USD",Movement!$C$4:$C$2136,Table11[[#This Row],[ACCOUNT NUMBER]],Movement!$J$4:$J$2136,Table11[[#This Row],[ENTITY]],Movement!$O$4:$O$2136,'Cash Balance'!$A$2)</f>
        <v>0</v>
      </c>
      <c r="S76" s="817">
        <f>SUMIFS(Movement!$G$4:$G$2136,Movement!$M$4:$M$2136,"USD",Movement!$C$4:$C$2136,Table11[[#This Row],[ACCOUNT NUMBER]],Movement!$J$4:$J$2136,Table11[[#This Row],[ENTITY]],Movement!$O$4:$O$2136,'Cash Balance'!$A$2)</f>
        <v>0</v>
      </c>
      <c r="T76" s="1087">
        <f t="shared" si="15"/>
        <v>0</v>
      </c>
      <c r="U76" s="817"/>
      <c r="V76" s="817">
        <f>Table11[[#This Row],[CLOSING BALANCE (USD)]]-Table11[[#This Row],[CB_BS (USD)]]</f>
        <v>0</v>
      </c>
      <c r="W76" s="1156" t="str">
        <f>VLOOKUP('Cash Balance'!$C76,Table2[#All],MATCH('Cash Balance'!W$3,Acc_Char!$B$1:$I$1,0),0)</f>
        <v>Subsidiaries</v>
      </c>
      <c r="X76" s="1156" t="str">
        <f>VLOOKUP(IFERROR(MID($Y76,1,FIND("-",$Y76)-2),$Y76),Table3[#All],2,0)</f>
        <v>VTB</v>
      </c>
      <c r="Y76" s="1156" t="str">
        <f>VLOOKUP($B76,Table4[#All],2,0)</f>
        <v>VIETINBANK - TIEN SON</v>
      </c>
      <c r="Z76" s="1151"/>
      <c r="AA76" s="49"/>
      <c r="AE76" s="818">
        <f>SUM(Table11[[#This Row],[CASH IN - CREDIT (VND)]],Table11[[#This Row],[CASH IN - CREDIT (USD)]])</f>
        <v>0</v>
      </c>
      <c r="AF76" s="818">
        <f>Table11[[#This Row],[CASH OUT - DEBIT (VND)]]+Table11[[#This Row],[CASH OUT - DEBIT (USD)]]</f>
        <v>0</v>
      </c>
      <c r="AH76" s="1158"/>
      <c r="AI76" s="49"/>
      <c r="AJ76" s="1158"/>
      <c r="AL76"/>
      <c r="AM76"/>
    </row>
    <row r="77" spans="1:39" ht="14.4">
      <c r="A77" s="1153" t="str">
        <f>VLOOKUP('Cash Balance'!$C77,Table2[#All],MATCH('Cash Balance'!A$3,Acc_Char!$B$1:$I$1,0),0)</f>
        <v>HANOI MANAGEMENT SERVICES</v>
      </c>
      <c r="B77" s="1154" t="str">
        <f>VLOOKUP('Cash Balance'!$C77,Table2[#All],MATCH('Cash Balance'!B$3,Acc_Char!$B$1:$I$1,0),0)</f>
        <v>VIETINBANK - TIEN SON</v>
      </c>
      <c r="C77" s="1086" t="s">
        <v>562</v>
      </c>
      <c r="D77" s="1156" t="str">
        <f>VLOOKUP('Cash Balance'!$C77,Table2[#All],MATCH('Cash Balance'!D$3,Acc_Char!$B$1:$I$1,0),0)</f>
        <v>Current Account</v>
      </c>
      <c r="E77" s="384" t="str">
        <f>VLOOKUP('Cash Balance'!$C77,Table2[#All],MATCH('Cash Balance'!E$3,Acc_Char!$B$1:$I$1,0),0)</f>
        <v>VND</v>
      </c>
      <c r="F77" s="1094" t="e">
        <f>VLOOKUP(C77,'Cash balance (BS)'!A:C,3,)</f>
        <v>#N/A</v>
      </c>
      <c r="G77" s="1157" t="e">
        <f t="shared" si="12"/>
        <v>#N/A</v>
      </c>
      <c r="H77" s="1318">
        <f>SUMIFS('Cash balance (Prior period)'!F:F,'Cash balance (Prior period)'!C:C,Table11[[#This Row],[ACCOUNT NUMBER]],'Cash balance (Prior period)'!E:E,Table11[[#This Row],[CURRENCY]])</f>
        <v>170955371</v>
      </c>
      <c r="I77" s="1318">
        <f>SUMIFS(Movement!$F$4:$F$2136,Movement!$M$4:$M$2136,"VND",Movement!$C$4:$C$2136,Table11[[#This Row],[ACCOUNT NUMBER]],Movement!$J$4:$J$2136,Table11[[#This Row],[ENTITY]],Movement!$O$4:$O$2136,'Cash Balance'!$A$2)</f>
        <v>24296651</v>
      </c>
      <c r="J77" s="1318">
        <f>SUMIFS(Movement!$G$4:$G$2136,Movement!$M$4:$M$2136,"VND",Movement!$C$4:$C$2136,Table11[[#This Row],[ACCOUNT NUMBER]],Movement!$J$4:$J$2136,Table11[[#This Row],[ENTITY]],Movement!$O$4:$O$2136,'Cash Balance'!$A$2)</f>
        <v>0</v>
      </c>
      <c r="K77" s="1084">
        <f>Table11[[#This Row],[CASH IN - CREDIT (VND)]]-Table11[[#This Row],[CASH OUT - DEBIT (VND)]]</f>
        <v>24296651</v>
      </c>
      <c r="L77" s="1095">
        <f t="shared" si="13"/>
        <v>195252022</v>
      </c>
      <c r="M77" s="1184" t="e">
        <f>VLOOKUP(C77,'Cash balance (BS)'!A:D,4,)</f>
        <v>#N/A</v>
      </c>
      <c r="N77" s="1095" t="e">
        <f>Table11[[#This Row],[CLOSING BALANCE (VND)2]]-Table11[[#This Row],[CB_BS (VND)]]</f>
        <v>#N/A</v>
      </c>
      <c r="O77" s="1094">
        <v>0</v>
      </c>
      <c r="P77" s="1095">
        <f t="shared" si="14"/>
        <v>0</v>
      </c>
      <c r="Q77" s="817">
        <f>SUMIFS('Cash balance (Prior period)'!G:G,'Cash balance (Prior period)'!C:C,Table11[[#This Row],[ACCOUNT NUMBER]],'Cash balance (Prior period)'!E:E,Table11[[#This Row],[CURRENCY]])</f>
        <v>0</v>
      </c>
      <c r="R77" s="817">
        <f>SUMIFS(Movement!$F$4:$F$2136,Movement!$M$4:$M$2136,"USD",Movement!$C$4:$C$2136,Table11[[#This Row],[ACCOUNT NUMBER]],Movement!$J$4:$J$2136,Table11[[#This Row],[ENTITY]],Movement!$O$4:$O$2136,'Cash Balance'!$A$2)</f>
        <v>0</v>
      </c>
      <c r="S77" s="817">
        <f>SUMIFS(Movement!$G$4:$G$2136,Movement!$M$4:$M$2136,"USD",Movement!$C$4:$C$2136,Table11[[#This Row],[ACCOUNT NUMBER]],Movement!$J$4:$J$2136,Table11[[#This Row],[ENTITY]],Movement!$O$4:$O$2136,'Cash Balance'!$A$2)</f>
        <v>0</v>
      </c>
      <c r="T77" s="1087">
        <f t="shared" si="15"/>
        <v>0</v>
      </c>
      <c r="U77" s="817"/>
      <c r="V77" s="817">
        <f>Table11[[#This Row],[CLOSING BALANCE (USD)]]-Table11[[#This Row],[CB_BS (USD)]]</f>
        <v>0</v>
      </c>
      <c r="W77" s="1156" t="str">
        <f>VLOOKUP('Cash Balance'!$C77,Table2[#All],MATCH('Cash Balance'!W$3,Acc_Char!$B$1:$I$1,0),0)</f>
        <v>Subsidiaries</v>
      </c>
      <c r="X77" s="1156" t="str">
        <f>VLOOKUP(IFERROR(MID($Y77,1,FIND("-",$Y77)-2),$Y77),Table3[#All],2,0)</f>
        <v>VTB</v>
      </c>
      <c r="Y77" s="1156" t="str">
        <f>VLOOKUP($B77,Table4[#All],2,0)</f>
        <v>VIETINBANK - TIEN SON</v>
      </c>
      <c r="Z77" s="1151"/>
      <c r="AA77" s="49"/>
      <c r="AE77" s="818">
        <f>SUM(Table11[[#This Row],[CASH IN - CREDIT (VND)]],Table11[[#This Row],[CASH IN - CREDIT (USD)]])</f>
        <v>24296651</v>
      </c>
      <c r="AF77" s="818">
        <f>Table11[[#This Row],[CASH OUT - DEBIT (VND)]]+Table11[[#This Row],[CASH OUT - DEBIT (USD)]]</f>
        <v>0</v>
      </c>
      <c r="AH77" s="1158"/>
      <c r="AI77" s="49"/>
      <c r="AJ77" s="1158"/>
      <c r="AL77"/>
      <c r="AM77"/>
    </row>
    <row r="78" spans="1:39" ht="14.4">
      <c r="A78" s="1153" t="str">
        <f>VLOOKUP('Cash Balance'!$C78,Table2[#All],MATCH('Cash Balance'!A$3,Acc_Char!$B$1:$I$1,0),0)</f>
        <v>IRE CONSULTANCY &amp; MANAGEMENT</v>
      </c>
      <c r="B78" s="1154" t="str">
        <f>VLOOKUP('Cash Balance'!$C78,Table2[#All],MATCH('Cash Balance'!B$3,Acc_Char!$B$1:$I$1,0),0)</f>
        <v>VIETINBANK - TIEN SON</v>
      </c>
      <c r="C78" s="1086" t="s">
        <v>564</v>
      </c>
      <c r="D78" s="1156" t="str">
        <f>VLOOKUP('Cash Balance'!$C78,Table2[#All],MATCH('Cash Balance'!D$3,Acc_Char!$B$1:$I$1,0),0)</f>
        <v>Current Account</v>
      </c>
      <c r="E78" s="384" t="str">
        <f>VLOOKUP('Cash Balance'!$C78,Table2[#All],MATCH('Cash Balance'!E$3,Acc_Char!$B$1:$I$1,0),0)</f>
        <v>VND</v>
      </c>
      <c r="F78" s="1094" t="e">
        <f>VLOOKUP(C78,'Cash balance (BS)'!A:C,3,)</f>
        <v>#N/A</v>
      </c>
      <c r="G78" s="1157" t="e">
        <f t="shared" si="12"/>
        <v>#N/A</v>
      </c>
      <c r="H78" s="1318">
        <f>SUMIFS('Cash balance (Prior period)'!F:F,'Cash balance (Prior period)'!C:C,Table11[[#This Row],[ACCOUNT NUMBER]],'Cash balance (Prior period)'!E:E,Table11[[#This Row],[CURRENCY]])</f>
        <v>18983305</v>
      </c>
      <c r="I78" s="1318">
        <f>SUMIFS(Movement!$F$4:$F$2136,Movement!$M$4:$M$2136,"VND",Movement!$C$4:$C$2136,Table11[[#This Row],[ACCOUNT NUMBER]],Movement!$J$4:$J$2136,Table11[[#This Row],[ENTITY]],Movement!$O$4:$O$2136,'Cash Balance'!$A$2)</f>
        <v>34027397</v>
      </c>
      <c r="J78" s="1318">
        <f>SUMIFS(Movement!$G$4:$G$2136,Movement!$M$4:$M$2136,"VND",Movement!$C$4:$C$2136,Table11[[#This Row],[ACCOUNT NUMBER]],Movement!$J$4:$J$2136,Table11[[#This Row],[ENTITY]],Movement!$O$4:$O$2136,'Cash Balance'!$A$2)</f>
        <v>0</v>
      </c>
      <c r="K78" s="1084">
        <f>Table11[[#This Row],[CASH IN - CREDIT (VND)]]-Table11[[#This Row],[CASH OUT - DEBIT (VND)]]</f>
        <v>34027397</v>
      </c>
      <c r="L78" s="1095">
        <f t="shared" si="13"/>
        <v>53010702</v>
      </c>
      <c r="M78" s="1184" t="e">
        <f>VLOOKUP(C78,'Cash balance (BS)'!A:D,4,)</f>
        <v>#N/A</v>
      </c>
      <c r="N78" s="1095" t="e">
        <f>Table11[[#This Row],[CLOSING BALANCE (VND)2]]-Table11[[#This Row],[CB_BS (VND)]]</f>
        <v>#N/A</v>
      </c>
      <c r="O78" s="1094">
        <v>0</v>
      </c>
      <c r="P78" s="1095">
        <f t="shared" si="14"/>
        <v>0</v>
      </c>
      <c r="Q78" s="817">
        <f>SUMIFS('Cash balance (Prior period)'!G:G,'Cash balance (Prior period)'!C:C,Table11[[#This Row],[ACCOUNT NUMBER]],'Cash balance (Prior period)'!E:E,Table11[[#This Row],[CURRENCY]])</f>
        <v>0</v>
      </c>
      <c r="R78" s="817">
        <f>SUMIFS(Movement!$F$4:$F$2136,Movement!$M$4:$M$2136,"USD",Movement!$C$4:$C$2136,Table11[[#This Row],[ACCOUNT NUMBER]],Movement!$J$4:$J$2136,Table11[[#This Row],[ENTITY]],Movement!$O$4:$O$2136,'Cash Balance'!$A$2)</f>
        <v>0</v>
      </c>
      <c r="S78" s="817">
        <f>SUMIFS(Movement!$G$4:$G$2136,Movement!$M$4:$M$2136,"USD",Movement!$C$4:$C$2136,Table11[[#This Row],[ACCOUNT NUMBER]],Movement!$J$4:$J$2136,Table11[[#This Row],[ENTITY]],Movement!$O$4:$O$2136,'Cash Balance'!$A$2)</f>
        <v>0</v>
      </c>
      <c r="T78" s="1087">
        <f t="shared" si="15"/>
        <v>0</v>
      </c>
      <c r="U78" s="817"/>
      <c r="V78" s="817">
        <f>Table11[[#This Row],[CLOSING BALANCE (USD)]]-Table11[[#This Row],[CB_BS (USD)]]</f>
        <v>0</v>
      </c>
      <c r="W78" s="1156" t="str">
        <f>VLOOKUP('Cash Balance'!$C78,Table2[#All],MATCH('Cash Balance'!W$3,Acc_Char!$B$1:$I$1,0),0)</f>
        <v>Subsidiaries</v>
      </c>
      <c r="X78" s="1156" t="str">
        <f>VLOOKUP(IFERROR(MID($Y78,1,FIND("-",$Y78)-2),$Y78),Table3[#All],2,0)</f>
        <v>VTB</v>
      </c>
      <c r="Y78" s="1156" t="str">
        <f>VLOOKUP($B78,Table4[#All],2,0)</f>
        <v>VIETINBANK - TIEN SON</v>
      </c>
      <c r="Z78" s="1151"/>
      <c r="AA78" s="49"/>
      <c r="AE78" s="818">
        <f>SUM(Table11[[#This Row],[CASH IN - CREDIT (VND)]],Table11[[#This Row],[CASH IN - CREDIT (USD)]])</f>
        <v>34027397</v>
      </c>
      <c r="AF78" s="818">
        <f>Table11[[#This Row],[CASH OUT - DEBIT (VND)]]+Table11[[#This Row],[CASH OUT - DEBIT (USD)]]</f>
        <v>0</v>
      </c>
      <c r="AH78" s="1158"/>
      <c r="AI78" s="49"/>
      <c r="AJ78" s="1158"/>
      <c r="AL78"/>
      <c r="AM78"/>
    </row>
    <row r="79" spans="1:39" ht="14.4">
      <c r="A79" s="1153" t="str">
        <f>VLOOKUP('Cash Balance'!$C79,Table2[#All],MATCH('Cash Balance'!A$3,Acc_Char!$B$1:$I$1,0),0)</f>
        <v>BW THU DAU MOT</v>
      </c>
      <c r="B79" s="1154" t="str">
        <f>VLOOKUP('Cash Balance'!$C79,Table2[#All],MATCH('Cash Balance'!B$3,Acc_Char!$B$1:$I$1,0),0)</f>
        <v>VIETINBANK - TIEN SON</v>
      </c>
      <c r="C79" s="1086" t="s">
        <v>566</v>
      </c>
      <c r="D79" s="1156" t="str">
        <f>VLOOKUP('Cash Balance'!$C79,Table2[#All],MATCH('Cash Balance'!D$3,Acc_Char!$B$1:$I$1,0),0)</f>
        <v>Current Account</v>
      </c>
      <c r="E79" s="384" t="str">
        <f>VLOOKUP('Cash Balance'!$C79,Table2[#All],MATCH('Cash Balance'!E$3,Acc_Char!$B$1:$I$1,0),0)</f>
        <v>VND</v>
      </c>
      <c r="F79" s="1094" t="e">
        <f>VLOOKUP(C79,'Cash balance (BS)'!A:C,3,)</f>
        <v>#N/A</v>
      </c>
      <c r="G79" s="1157" t="e">
        <f t="shared" si="12"/>
        <v>#N/A</v>
      </c>
      <c r="H79" s="1318">
        <f>SUMIFS('Cash balance (Prior period)'!F:F,'Cash balance (Prior period)'!C:C,Table11[[#This Row],[ACCOUNT NUMBER]],'Cash balance (Prior period)'!E:E,Table11[[#This Row],[CURRENCY]])</f>
        <v>41428998</v>
      </c>
      <c r="I79" s="1318">
        <f>SUMIFS(Movement!$F$4:$F$2136,Movement!$M$4:$M$2136,"VND",Movement!$C$4:$C$2136,Table11[[#This Row],[ACCOUNT NUMBER]],Movement!$J$4:$J$2136,Table11[[#This Row],[ENTITY]],Movement!$O$4:$O$2136,'Cash Balance'!$A$2)</f>
        <v>0</v>
      </c>
      <c r="J79" s="1318">
        <f>SUMIFS(Movement!$G$4:$G$2136,Movement!$M$4:$M$2136,"VND",Movement!$C$4:$C$2136,Table11[[#This Row],[ACCOUNT NUMBER]],Movement!$J$4:$J$2136,Table11[[#This Row],[ENTITY]],Movement!$O$4:$O$2136,'Cash Balance'!$A$2)</f>
        <v>0</v>
      </c>
      <c r="K79" s="1084">
        <f>Table11[[#This Row],[CASH IN - CREDIT (VND)]]-Table11[[#This Row],[CASH OUT - DEBIT (VND)]]</f>
        <v>0</v>
      </c>
      <c r="L79" s="1095">
        <f t="shared" si="13"/>
        <v>41428998</v>
      </c>
      <c r="M79" s="1184" t="e">
        <f>VLOOKUP(C79,'Cash balance (BS)'!A:D,4,)</f>
        <v>#N/A</v>
      </c>
      <c r="N79" s="1095" t="e">
        <f>Table11[[#This Row],[CLOSING BALANCE (VND)2]]-Table11[[#This Row],[CB_BS (VND)]]</f>
        <v>#N/A</v>
      </c>
      <c r="O79" s="1094">
        <v>0</v>
      </c>
      <c r="P79" s="1095">
        <f t="shared" si="14"/>
        <v>0</v>
      </c>
      <c r="Q79" s="817">
        <f>SUMIFS('Cash balance (Prior period)'!G:G,'Cash balance (Prior period)'!C:C,Table11[[#This Row],[ACCOUNT NUMBER]],'Cash balance (Prior period)'!E:E,Table11[[#This Row],[CURRENCY]])</f>
        <v>0</v>
      </c>
      <c r="R79" s="817">
        <f>SUMIFS(Movement!$F$4:$F$2136,Movement!$M$4:$M$2136,"USD",Movement!$C$4:$C$2136,Table11[[#This Row],[ACCOUNT NUMBER]],Movement!$J$4:$J$2136,Table11[[#This Row],[ENTITY]],Movement!$O$4:$O$2136,'Cash Balance'!$A$2)</f>
        <v>0</v>
      </c>
      <c r="S79" s="817">
        <f>SUMIFS(Movement!$G$4:$G$2136,Movement!$M$4:$M$2136,"USD",Movement!$C$4:$C$2136,Table11[[#This Row],[ACCOUNT NUMBER]],Movement!$J$4:$J$2136,Table11[[#This Row],[ENTITY]],Movement!$O$4:$O$2136,'Cash Balance'!$A$2)</f>
        <v>0</v>
      </c>
      <c r="T79" s="1087">
        <f t="shared" si="15"/>
        <v>0</v>
      </c>
      <c r="U79" s="817"/>
      <c r="V79" s="817">
        <f>Table11[[#This Row],[CLOSING BALANCE (USD)]]-Table11[[#This Row],[CB_BS (USD)]]</f>
        <v>0</v>
      </c>
      <c r="W79" s="1156" t="str">
        <f>VLOOKUP('Cash Balance'!$C79,Table2[#All],MATCH('Cash Balance'!W$3,Acc_Char!$B$1:$I$1,0),0)</f>
        <v>Subsidiaries</v>
      </c>
      <c r="X79" s="1156" t="str">
        <f>VLOOKUP(IFERROR(MID($Y79,1,FIND("-",$Y79)-2),$Y79),Table3[#All],2,0)</f>
        <v>VTB</v>
      </c>
      <c r="Y79" s="1156" t="str">
        <f>VLOOKUP($B79,Table4[#All],2,0)</f>
        <v>VIETINBANK - TIEN SON</v>
      </c>
      <c r="Z79" s="1151"/>
      <c r="AA79" s="49"/>
      <c r="AE79" s="818">
        <f>SUM(Table11[[#This Row],[CASH IN - CREDIT (VND)]],Table11[[#This Row],[CASH IN - CREDIT (USD)]])</f>
        <v>0</v>
      </c>
      <c r="AF79" s="818">
        <f>Table11[[#This Row],[CASH OUT - DEBIT (VND)]]+Table11[[#This Row],[CASH OUT - DEBIT (USD)]]</f>
        <v>0</v>
      </c>
      <c r="AH79" s="1158"/>
      <c r="AI79" s="49"/>
      <c r="AJ79" s="1158"/>
      <c r="AL79"/>
      <c r="AM79"/>
    </row>
    <row r="80" spans="1:39" ht="14.4">
      <c r="A80" s="1153" t="str">
        <f>VLOOKUP('Cash Balance'!$C80,Table2[#All],MATCH('Cash Balance'!A$3,Acc_Char!$B$1:$I$1,0),0)</f>
        <v>KIM TRUC DN</v>
      </c>
      <c r="B80" s="1154" t="str">
        <f>VLOOKUP('Cash Balance'!$C80,Table2[#All],MATCH('Cash Balance'!B$3,Acc_Char!$B$1:$I$1,0),0)</f>
        <v>BIDV - NAM SAI GON</v>
      </c>
      <c r="C80" s="1085" t="s">
        <v>568</v>
      </c>
      <c r="D80" s="1156" t="str">
        <f>VLOOKUP('Cash Balance'!$C80,Table2[#All],MATCH('Cash Balance'!D$3,Acc_Char!$B$1:$I$1,0),0)</f>
        <v>Current Account</v>
      </c>
      <c r="E80" s="384" t="str">
        <f>VLOOKUP('Cash Balance'!$C80,Table2[#All],MATCH('Cash Balance'!E$3,Acc_Char!$B$1:$I$1,0),0)</f>
        <v>VND</v>
      </c>
      <c r="F80" s="1094" t="e">
        <f>VLOOKUP(C80,'Cash balance (BS)'!A:C,3,)</f>
        <v>#N/A</v>
      </c>
      <c r="G80" s="1157" t="e">
        <f t="shared" si="12"/>
        <v>#N/A</v>
      </c>
      <c r="H80" s="1318">
        <f>SUMIFS('Cash balance (Prior period)'!F:F,'Cash balance (Prior period)'!C:C,Table11[[#This Row],[ACCOUNT NUMBER]],'Cash balance (Prior period)'!E:E,Table11[[#This Row],[CURRENCY]])</f>
        <v>3056513144</v>
      </c>
      <c r="I80" s="1318">
        <f>SUMIFS(Movement!$F$4:$F$2136,Movement!$M$4:$M$2136,"VND",Movement!$C$4:$C$2136,Table11[[#This Row],[ACCOUNT NUMBER]],Movement!$J$4:$J$2136,Table11[[#This Row],[ENTITY]],Movement!$O$4:$O$2136,'Cash Balance'!$A$2)</f>
        <v>5860124671</v>
      </c>
      <c r="J80" s="1318">
        <f>SUMIFS(Movement!$G$4:$G$2136,Movement!$M$4:$M$2136,"VND",Movement!$C$4:$C$2136,Table11[[#This Row],[ACCOUNT NUMBER]],Movement!$J$4:$J$2136,Table11[[#This Row],[ENTITY]],Movement!$O$4:$O$2136,'Cash Balance'!$A$2)</f>
        <v>1636369918</v>
      </c>
      <c r="K80" s="1084">
        <f>Table11[[#This Row],[CASH IN - CREDIT (VND)]]-Table11[[#This Row],[CASH OUT - DEBIT (VND)]]</f>
        <v>4223754753</v>
      </c>
      <c r="L80" s="1095">
        <f t="shared" si="13"/>
        <v>7280267897</v>
      </c>
      <c r="M80" s="1184" t="e">
        <f>VLOOKUP(C80,'Cash balance (BS)'!A:D,4,)</f>
        <v>#N/A</v>
      </c>
      <c r="N80" s="1095" t="e">
        <f>Table11[[#This Row],[CLOSING BALANCE (VND)2]]-Table11[[#This Row],[CB_BS (VND)]]</f>
        <v>#N/A</v>
      </c>
      <c r="O80" s="1094">
        <v>0</v>
      </c>
      <c r="P80" s="1095">
        <f t="shared" si="14"/>
        <v>0</v>
      </c>
      <c r="Q80" s="817">
        <f>SUMIFS('Cash balance (Prior period)'!G:G,'Cash balance (Prior period)'!C:C,Table11[[#This Row],[ACCOUNT NUMBER]],'Cash balance (Prior period)'!E:E,Table11[[#This Row],[CURRENCY]])</f>
        <v>0</v>
      </c>
      <c r="R80" s="817">
        <f>SUMIFS(Movement!$F$4:$F$2136,Movement!$M$4:$M$2136,"USD",Movement!$C$4:$C$2136,Table11[[#This Row],[ACCOUNT NUMBER]],Movement!$J$4:$J$2136,Table11[[#This Row],[ENTITY]],Movement!$O$4:$O$2136,'Cash Balance'!$A$2)</f>
        <v>0</v>
      </c>
      <c r="S80" s="817">
        <f>SUMIFS(Movement!$G$4:$G$2136,Movement!$M$4:$M$2136,"USD",Movement!$C$4:$C$2136,Table11[[#This Row],[ACCOUNT NUMBER]],Movement!$J$4:$J$2136,Table11[[#This Row],[ENTITY]],Movement!$O$4:$O$2136,'Cash Balance'!$A$2)</f>
        <v>0</v>
      </c>
      <c r="T80" s="1087">
        <f t="shared" si="15"/>
        <v>0</v>
      </c>
      <c r="U80" s="817"/>
      <c r="V80" s="817">
        <f>Table11[[#This Row],[CLOSING BALANCE (USD)]]-Table11[[#This Row],[CB_BS (USD)]]</f>
        <v>0</v>
      </c>
      <c r="W80" s="1156" t="str">
        <f>VLOOKUP('Cash Balance'!$C80,Table2[#All],MATCH('Cash Balance'!W$3,Acc_Char!$B$1:$I$1,0),0)</f>
        <v>Subsidiaries</v>
      </c>
      <c r="X80" s="1156" t="str">
        <f>VLOOKUP(IFERROR(MID($Y80,1,FIND("-",$Y80)-2),$Y80),Table3[#All],2,0)</f>
        <v>BIDV</v>
      </c>
      <c r="Y80" s="1156" t="str">
        <f>VLOOKUP($B80,Table4[#All],2,0)</f>
        <v>BIDV - NAM SAI GON</v>
      </c>
      <c r="Z80" s="1151"/>
      <c r="AA80" s="49"/>
      <c r="AE80" s="818">
        <f>SUM(Table11[[#This Row],[CASH IN - CREDIT (VND)]],Table11[[#This Row],[CASH IN - CREDIT (USD)]])</f>
        <v>5860124671</v>
      </c>
      <c r="AF80" s="818">
        <f>Table11[[#This Row],[CASH OUT - DEBIT (VND)]]+Table11[[#This Row],[CASH OUT - DEBIT (USD)]]</f>
        <v>1636369918</v>
      </c>
      <c r="AH80" s="1158" t="s">
        <v>1519</v>
      </c>
      <c r="AI80" s="49"/>
      <c r="AJ80" s="1158"/>
      <c r="AL80"/>
      <c r="AM80"/>
    </row>
    <row r="81" spans="1:39" ht="14.4">
      <c r="A81" s="1153" t="str">
        <f>VLOOKUP('Cash Balance'!$C81,Table2[#All],MATCH('Cash Balance'!A$3,Acc_Char!$B$1:$I$1,0),0)</f>
        <v>KIM TRUC DN</v>
      </c>
      <c r="B81" s="1154" t="str">
        <f>VLOOKUP('Cash Balance'!$C81,Table2[#All],MATCH('Cash Balance'!B$3,Acc_Char!$B$1:$I$1,0),0)</f>
        <v>BIDV - NAM SAI GON</v>
      </c>
      <c r="C81" s="1086" t="s">
        <v>569</v>
      </c>
      <c r="D81" s="1156" t="str">
        <f>VLOOKUP('Cash Balance'!$C81,Table2[#All],MATCH('Cash Balance'!D$3,Acc_Char!$B$1:$I$1,0),0)</f>
        <v>Saving Account</v>
      </c>
      <c r="E81" s="384" t="str">
        <f>VLOOKUP('Cash Balance'!$C81,Table2[#All],MATCH('Cash Balance'!E$3,Acc_Char!$B$1:$I$1,0),0)</f>
        <v>VND</v>
      </c>
      <c r="F81" s="1094" t="e">
        <f>VLOOKUP(C81,'Cash balance (BS)'!A:C,3,)</f>
        <v>#N/A</v>
      </c>
      <c r="G81" s="1157" t="e">
        <f t="shared" si="12"/>
        <v>#N/A</v>
      </c>
      <c r="H81" s="1318">
        <f>SUMIFS('Cash balance (Prior period)'!F:F,'Cash balance (Prior period)'!C:C,Table11[[#This Row],[ACCOUNT NUMBER]],'Cash balance (Prior period)'!E:E,Table11[[#This Row],[CURRENCY]])</f>
        <v>1418000000</v>
      </c>
      <c r="I81" s="1318">
        <f>SUMIFS(Movement!$F$4:$F$2136,Movement!$M$4:$M$2136,"VND",Movement!$C$4:$C$2136,Table11[[#This Row],[ACCOUNT NUMBER]],Movement!$J$4:$J$2136,Table11[[#This Row],[ENTITY]],Movement!$O$4:$O$2136,'Cash Balance'!$A$2)</f>
        <v>0</v>
      </c>
      <c r="J81" s="1318">
        <f>SUMIFS(Movement!$G$4:$G$2136,Movement!$M$4:$M$2136,"VND",Movement!$C$4:$C$2136,Table11[[#This Row],[ACCOUNT NUMBER]],Movement!$J$4:$J$2136,Table11[[#This Row],[ENTITY]],Movement!$O$4:$O$2136,'Cash Balance'!$A$2)</f>
        <v>0</v>
      </c>
      <c r="K81" s="1084">
        <f>Table11[[#This Row],[CASH IN - CREDIT (VND)]]-Table11[[#This Row],[CASH OUT - DEBIT (VND)]]</f>
        <v>0</v>
      </c>
      <c r="L81" s="1095">
        <f t="shared" si="13"/>
        <v>1418000000</v>
      </c>
      <c r="M81" s="1184" t="e">
        <f>VLOOKUP(C81,'Cash balance (BS)'!A:D,4,)</f>
        <v>#N/A</v>
      </c>
      <c r="N81" s="1095" t="e">
        <f>Table11[[#This Row],[CLOSING BALANCE (VND)2]]-Table11[[#This Row],[CB_BS (VND)]]</f>
        <v>#N/A</v>
      </c>
      <c r="O81" s="1094">
        <v>0</v>
      </c>
      <c r="P81" s="1095">
        <f t="shared" si="14"/>
        <v>0</v>
      </c>
      <c r="Q81" s="817">
        <f>SUMIFS('Cash balance (Prior period)'!G:G,'Cash balance (Prior period)'!C:C,Table11[[#This Row],[ACCOUNT NUMBER]],'Cash balance (Prior period)'!E:E,Table11[[#This Row],[CURRENCY]])</f>
        <v>0</v>
      </c>
      <c r="R81" s="817">
        <f>SUMIFS(Movement!$F$4:$F$2136,Movement!$M$4:$M$2136,"USD",Movement!$C$4:$C$2136,Table11[[#This Row],[ACCOUNT NUMBER]],Movement!$J$4:$J$2136,Table11[[#This Row],[ENTITY]],Movement!$O$4:$O$2136,'Cash Balance'!$A$2)</f>
        <v>0</v>
      </c>
      <c r="S81" s="817">
        <f>SUMIFS(Movement!$G$4:$G$2136,Movement!$M$4:$M$2136,"USD",Movement!$C$4:$C$2136,Table11[[#This Row],[ACCOUNT NUMBER]],Movement!$J$4:$J$2136,Table11[[#This Row],[ENTITY]],Movement!$O$4:$O$2136,'Cash Balance'!$A$2)</f>
        <v>0</v>
      </c>
      <c r="T81" s="1087">
        <f t="shared" si="15"/>
        <v>0</v>
      </c>
      <c r="U81" s="817"/>
      <c r="V81" s="817">
        <f>Table11[[#This Row],[CLOSING BALANCE (USD)]]-Table11[[#This Row],[CB_BS (USD)]]</f>
        <v>0</v>
      </c>
      <c r="W81" s="1156" t="str">
        <f>VLOOKUP('Cash Balance'!$C81,Table2[#All],MATCH('Cash Balance'!W$3,Acc_Char!$B$1:$I$1,0),0)</f>
        <v>Subsidiaries</v>
      </c>
      <c r="X81" s="1156" t="str">
        <f>VLOOKUP(IFERROR(MID($Y81,1,FIND("-",$Y81)-2),$Y81),Table3[#All],2,0)</f>
        <v>BIDV</v>
      </c>
      <c r="Y81" s="1156" t="str">
        <f>VLOOKUP($B81,Table4[#All],2,0)</f>
        <v>BIDV - NAM SAI GON</v>
      </c>
      <c r="Z81" s="1151"/>
      <c r="AA81" s="49"/>
      <c r="AE81" s="818">
        <f>SUM(Table11[[#This Row],[CASH IN - CREDIT (VND)]],Table11[[#This Row],[CASH IN - CREDIT (USD)]])</f>
        <v>0</v>
      </c>
      <c r="AF81" s="818">
        <f>Table11[[#This Row],[CASH OUT - DEBIT (VND)]]+Table11[[#This Row],[CASH OUT - DEBIT (USD)]]</f>
        <v>0</v>
      </c>
      <c r="AH81" s="1158"/>
      <c r="AI81" s="49"/>
      <c r="AJ81" s="1158"/>
      <c r="AL81"/>
      <c r="AM81"/>
    </row>
    <row r="82" spans="1:39" ht="14.4">
      <c r="A82" s="1153" t="str">
        <f>VLOOKUP('Cash Balance'!$C82,Table2[#All],MATCH('Cash Balance'!A$3,Acc_Char!$B$1:$I$1,0),0)</f>
        <v>BW SUPLLY CHAIN CITY</v>
      </c>
      <c r="B82" s="1154" t="str">
        <f>VLOOKUP('Cash Balance'!$C82,Table2[#All],MATCH('Cash Balance'!B$3,Acc_Char!$B$1:$I$1,0),0)</f>
        <v>SUMITOMO - HCM</v>
      </c>
      <c r="C82" s="1086" t="s">
        <v>572</v>
      </c>
      <c r="D82" s="1156" t="str">
        <f>VLOOKUP('Cash Balance'!$C82,Table2[#All],MATCH('Cash Balance'!D$3,Acc_Char!$B$1:$I$1,0),0)</f>
        <v>Current Account</v>
      </c>
      <c r="E82" s="384" t="str">
        <f>VLOOKUP('Cash Balance'!$C82,Table2[#All],MATCH('Cash Balance'!E$3,Acc_Char!$B$1:$I$1,0),0)</f>
        <v>VND</v>
      </c>
      <c r="F82" s="1094" t="e">
        <f>VLOOKUP(C82,'Cash balance (BS)'!A:C,3,)</f>
        <v>#N/A</v>
      </c>
      <c r="G82" s="1157" t="e">
        <f t="shared" si="12"/>
        <v>#N/A</v>
      </c>
      <c r="H82" s="1318">
        <f>SUMIFS('Cash balance (Prior period)'!F:F,'Cash balance (Prior period)'!C:C,Table11[[#This Row],[ACCOUNT NUMBER]],'Cash balance (Prior period)'!E:E,Table11[[#This Row],[CURRENCY]])</f>
        <v>0</v>
      </c>
      <c r="I82" s="1318">
        <f>SUMIFS(Movement!$F$4:$F$2136,Movement!$M$4:$M$2136,"VND",Movement!$C$4:$C$2136,Table11[[#This Row],[ACCOUNT NUMBER]],Movement!$J$4:$J$2136,Table11[[#This Row],[ENTITY]],Movement!$O$4:$O$2136,'Cash Balance'!$A$2)</f>
        <v>0</v>
      </c>
      <c r="J82" s="1318">
        <f>SUMIFS(Movement!$G$4:$G$2136,Movement!$M$4:$M$2136,"VND",Movement!$C$4:$C$2136,Table11[[#This Row],[ACCOUNT NUMBER]],Movement!$J$4:$J$2136,Table11[[#This Row],[ENTITY]],Movement!$O$4:$O$2136,'Cash Balance'!$A$2)</f>
        <v>0</v>
      </c>
      <c r="K82" s="1084">
        <f>Table11[[#This Row],[CASH IN - CREDIT (VND)]]-Table11[[#This Row],[CASH OUT - DEBIT (VND)]]</f>
        <v>0</v>
      </c>
      <c r="L82" s="1095">
        <f t="shared" si="13"/>
        <v>0</v>
      </c>
      <c r="M82" s="1184" t="e">
        <f>VLOOKUP(C82,'Cash balance (BS)'!A:D,4,)</f>
        <v>#N/A</v>
      </c>
      <c r="N82" s="1095" t="e">
        <f>Table11[[#This Row],[CLOSING BALANCE (VND)2]]-Table11[[#This Row],[CB_BS (VND)]]</f>
        <v>#N/A</v>
      </c>
      <c r="O82" s="1094">
        <v>0</v>
      </c>
      <c r="P82" s="1095">
        <f t="shared" si="14"/>
        <v>0</v>
      </c>
      <c r="Q82" s="817">
        <f>SUMIFS('Cash balance (Prior period)'!G:G,'Cash balance (Prior period)'!C:C,Table11[[#This Row],[ACCOUNT NUMBER]],'Cash balance (Prior period)'!E:E,Table11[[#This Row],[CURRENCY]])</f>
        <v>0</v>
      </c>
      <c r="R82" s="817">
        <f>SUMIFS(Movement!$F$4:$F$2136,Movement!$M$4:$M$2136,"USD",Movement!$C$4:$C$2136,Table11[[#This Row],[ACCOUNT NUMBER]],Movement!$J$4:$J$2136,Table11[[#This Row],[ENTITY]],Movement!$O$4:$O$2136,'Cash Balance'!$A$2)</f>
        <v>0</v>
      </c>
      <c r="S82" s="817">
        <f>SUMIFS(Movement!$G$4:$G$2136,Movement!$M$4:$M$2136,"USD",Movement!$C$4:$C$2136,Table11[[#This Row],[ACCOUNT NUMBER]],Movement!$J$4:$J$2136,Table11[[#This Row],[ENTITY]],Movement!$O$4:$O$2136,'Cash Balance'!$A$2)</f>
        <v>0</v>
      </c>
      <c r="T82" s="1087">
        <f t="shared" si="15"/>
        <v>0</v>
      </c>
      <c r="U82" s="817"/>
      <c r="V82" s="817">
        <f>Table11[[#This Row],[CLOSING BALANCE (USD)]]-Table11[[#This Row],[CB_BS (USD)]]</f>
        <v>0</v>
      </c>
      <c r="W82" s="1156" t="str">
        <f>VLOOKUP('Cash Balance'!$C82,Table2[#All],MATCH('Cash Balance'!W$3,Acc_Char!$B$1:$I$1,0),0)</f>
        <v>Subsidiaries</v>
      </c>
      <c r="X82" s="1156" t="str">
        <f>VLOOKUP(IFERROR(MID($Y82,1,FIND("-",$Y82)-2),$Y82),Table3[#All],2,0)</f>
        <v>Others</v>
      </c>
      <c r="Y82" s="1156" t="str">
        <f>VLOOKUP($B82,Table4[#All],2,0)</f>
        <v>OTHERS</v>
      </c>
      <c r="Z82" s="1151"/>
      <c r="AA82" s="49"/>
      <c r="AE82" s="818">
        <f>SUM(Table11[[#This Row],[CASH IN - CREDIT (VND)]],Table11[[#This Row],[CASH IN - CREDIT (USD)]])</f>
        <v>0</v>
      </c>
      <c r="AF82" s="818">
        <f>Table11[[#This Row],[CASH OUT - DEBIT (VND)]]+Table11[[#This Row],[CASH OUT - DEBIT (USD)]]</f>
        <v>0</v>
      </c>
      <c r="AH82" s="1158"/>
      <c r="AI82" s="49"/>
      <c r="AJ82" s="1158"/>
      <c r="AL82"/>
      <c r="AM82"/>
    </row>
    <row r="83" spans="1:39" ht="14.4">
      <c r="A83" s="1153" t="str">
        <f>VLOOKUP('Cash Balance'!$C83,Table2[#All],MATCH('Cash Balance'!A$3,Acc_Char!$B$1:$I$1,0),0)</f>
        <v>BW SUPLLY CHAIN CITY</v>
      </c>
      <c r="B83" s="1154" t="str">
        <f>VLOOKUP('Cash Balance'!$C83,Table2[#All],MATCH('Cash Balance'!B$3,Acc_Char!$B$1:$I$1,0),0)</f>
        <v>SUMITOMO - HCM</v>
      </c>
      <c r="C83" s="1086" t="s">
        <v>573</v>
      </c>
      <c r="D83" s="1156" t="str">
        <f>VLOOKUP('Cash Balance'!$C83,Table2[#All],MATCH('Cash Balance'!D$3,Acc_Char!$B$1:$I$1,0),0)</f>
        <v>Current Account</v>
      </c>
      <c r="E83" s="384" t="str">
        <f>VLOOKUP('Cash Balance'!$C83,Table2[#All],MATCH('Cash Balance'!E$3,Acc_Char!$B$1:$I$1,0),0)</f>
        <v>VND</v>
      </c>
      <c r="F83" s="1094" t="e">
        <f>VLOOKUP(C83,'Cash balance (BS)'!A:C,3,)</f>
        <v>#N/A</v>
      </c>
      <c r="G83" s="1157" t="e">
        <f t="shared" si="12"/>
        <v>#N/A</v>
      </c>
      <c r="H83" s="1318">
        <f>SUMIFS('Cash balance (Prior period)'!F:F,'Cash balance (Prior period)'!C:C,Table11[[#This Row],[ACCOUNT NUMBER]],'Cash balance (Prior period)'!E:E,Table11[[#This Row],[CURRENCY]])</f>
        <v>146779</v>
      </c>
      <c r="I83" s="1318">
        <f>SUMIFS(Movement!$F$4:$F$2136,Movement!$M$4:$M$2136,"VND",Movement!$C$4:$C$2136,Table11[[#This Row],[ACCOUNT NUMBER]],Movement!$J$4:$J$2136,Table11[[#This Row],[ENTITY]],Movement!$O$4:$O$2136,'Cash Balance'!$A$2)</f>
        <v>0</v>
      </c>
      <c r="J83" s="1318">
        <f>SUMIFS(Movement!$G$4:$G$2136,Movement!$M$4:$M$2136,"VND",Movement!$C$4:$C$2136,Table11[[#This Row],[ACCOUNT NUMBER]],Movement!$J$4:$J$2136,Table11[[#This Row],[ENTITY]],Movement!$O$4:$O$2136,'Cash Balance'!$A$2)</f>
        <v>0</v>
      </c>
      <c r="K83" s="1084">
        <f>Table11[[#This Row],[CASH IN - CREDIT (VND)]]-Table11[[#This Row],[CASH OUT - DEBIT (VND)]]</f>
        <v>0</v>
      </c>
      <c r="L83" s="1095">
        <f t="shared" si="13"/>
        <v>146779</v>
      </c>
      <c r="M83" s="1184" t="e">
        <f>VLOOKUP(C83,'Cash balance (BS)'!A:D,4,)</f>
        <v>#N/A</v>
      </c>
      <c r="N83" s="1095" t="e">
        <f>Table11[[#This Row],[CLOSING BALANCE (VND)2]]-Table11[[#This Row],[CB_BS (VND)]]</f>
        <v>#N/A</v>
      </c>
      <c r="O83" s="1094">
        <v>0</v>
      </c>
      <c r="P83" s="1095">
        <f t="shared" si="14"/>
        <v>0</v>
      </c>
      <c r="Q83" s="817">
        <f>SUMIFS('Cash balance (Prior period)'!G:G,'Cash balance (Prior period)'!C:C,Table11[[#This Row],[ACCOUNT NUMBER]],'Cash balance (Prior period)'!E:E,Table11[[#This Row],[CURRENCY]])</f>
        <v>0</v>
      </c>
      <c r="R83" s="817">
        <f>SUMIFS(Movement!$F$4:$F$2136,Movement!$M$4:$M$2136,"USD",Movement!$C$4:$C$2136,Table11[[#This Row],[ACCOUNT NUMBER]],Movement!$J$4:$J$2136,Table11[[#This Row],[ENTITY]],Movement!$O$4:$O$2136,'Cash Balance'!$A$2)</f>
        <v>0</v>
      </c>
      <c r="S83" s="817">
        <f>SUMIFS(Movement!$G$4:$G$2136,Movement!$M$4:$M$2136,"USD",Movement!$C$4:$C$2136,Table11[[#This Row],[ACCOUNT NUMBER]],Movement!$J$4:$J$2136,Table11[[#This Row],[ENTITY]],Movement!$O$4:$O$2136,'Cash Balance'!$A$2)</f>
        <v>0</v>
      </c>
      <c r="T83" s="1087">
        <f t="shared" si="15"/>
        <v>0</v>
      </c>
      <c r="U83" s="817"/>
      <c r="V83" s="817">
        <f>Table11[[#This Row],[CLOSING BALANCE (USD)]]-Table11[[#This Row],[CB_BS (USD)]]</f>
        <v>0</v>
      </c>
      <c r="W83" s="1156" t="str">
        <f>VLOOKUP('Cash Balance'!$C83,Table2[#All],MATCH('Cash Balance'!W$3,Acc_Char!$B$1:$I$1,0),0)</f>
        <v>Subsidiaries</v>
      </c>
      <c r="X83" s="1156" t="str">
        <f>VLOOKUP(IFERROR(MID($Y83,1,FIND("-",$Y83)-2),$Y83),Table3[#All],2,0)</f>
        <v>Others</v>
      </c>
      <c r="Y83" s="1156" t="str">
        <f>VLOOKUP($B83,Table4[#All],2,0)</f>
        <v>OTHERS</v>
      </c>
      <c r="Z83" s="1151"/>
      <c r="AA83" s="49"/>
      <c r="AE83" s="818">
        <f>SUM(Table11[[#This Row],[CASH IN - CREDIT (VND)]],Table11[[#This Row],[CASH IN - CREDIT (USD)]])</f>
        <v>0</v>
      </c>
      <c r="AF83" s="818">
        <f>Table11[[#This Row],[CASH OUT - DEBIT (VND)]]+Table11[[#This Row],[CASH OUT - DEBIT (USD)]]</f>
        <v>0</v>
      </c>
      <c r="AH83" s="1158"/>
      <c r="AI83" s="49"/>
      <c r="AJ83" s="1158"/>
      <c r="AL83"/>
      <c r="AM83"/>
    </row>
    <row r="84" spans="1:39" ht="14.4">
      <c r="A84" s="1153" t="str">
        <f>VLOOKUP('Cash Balance'!$C84,Table2[#All],MATCH('Cash Balance'!A$3,Acc_Char!$B$1:$I$1,0),0)</f>
        <v>BW SUPLLY CHAIN CITY</v>
      </c>
      <c r="B84" s="1154" t="str">
        <f>VLOOKUP('Cash Balance'!$C84,Table2[#All],MATCH('Cash Balance'!B$3,Acc_Char!$B$1:$I$1,0),0)</f>
        <v>VIETCOMBANK - HCM</v>
      </c>
      <c r="C84" s="1086" t="s">
        <v>574</v>
      </c>
      <c r="D84" s="1156" t="str">
        <f>VLOOKUP('Cash Balance'!$C84,Table2[#All],MATCH('Cash Balance'!D$3,Acc_Char!$B$1:$I$1,0),0)</f>
        <v>Current Account</v>
      </c>
      <c r="E84" s="384" t="str">
        <f>VLOOKUP('Cash Balance'!$C84,Table2[#All],MATCH('Cash Balance'!E$3,Acc_Char!$B$1:$I$1,0),0)</f>
        <v>VND</v>
      </c>
      <c r="F84" s="1094" t="e">
        <f>VLOOKUP(C84,'Cash balance (BS)'!A:C,3,)</f>
        <v>#N/A</v>
      </c>
      <c r="G84" s="1157" t="e">
        <f t="shared" si="12"/>
        <v>#N/A</v>
      </c>
      <c r="H84" s="1318">
        <f>SUMIFS('Cash balance (Prior period)'!F:F,'Cash balance (Prior period)'!C:C,Table11[[#This Row],[ACCOUNT NUMBER]],'Cash balance (Prior period)'!E:E,Table11[[#This Row],[CURRENCY]])</f>
        <v>10566779309</v>
      </c>
      <c r="I84" s="1318">
        <f>SUMIFS(Movement!$F$4:$F$2136,Movement!$M$4:$M$2136,"VND",Movement!$C$4:$C$2136,Table11[[#This Row],[ACCOUNT NUMBER]],Movement!$J$4:$J$2136,Table11[[#This Row],[ENTITY]],Movement!$O$4:$O$2136,'Cash Balance'!$A$2)</f>
        <v>5687251250</v>
      </c>
      <c r="J84" s="1318">
        <f>SUMIFS(Movement!$G$4:$G$2136,Movement!$M$4:$M$2136,"VND",Movement!$C$4:$C$2136,Table11[[#This Row],[ACCOUNT NUMBER]],Movement!$J$4:$J$2136,Table11[[#This Row],[ENTITY]],Movement!$O$4:$O$2136,'Cash Balance'!$A$2)</f>
        <v>5508006449</v>
      </c>
      <c r="K84" s="1084">
        <f>Table11[[#This Row],[CASH IN - CREDIT (VND)]]-Table11[[#This Row],[CASH OUT - DEBIT (VND)]]</f>
        <v>179244801</v>
      </c>
      <c r="L84" s="1095">
        <f t="shared" si="13"/>
        <v>10746024110</v>
      </c>
      <c r="M84" s="1184" t="e">
        <f>VLOOKUP(C84,'Cash balance (BS)'!A:D,4,)</f>
        <v>#N/A</v>
      </c>
      <c r="N84" s="1095" t="e">
        <f>Table11[[#This Row],[CLOSING BALANCE (VND)2]]-Table11[[#This Row],[CB_BS (VND)]]</f>
        <v>#N/A</v>
      </c>
      <c r="O84" s="1094">
        <v>0</v>
      </c>
      <c r="P84" s="1095">
        <f t="shared" si="14"/>
        <v>0</v>
      </c>
      <c r="Q84" s="817">
        <f>SUMIFS('Cash balance (Prior period)'!G:G,'Cash balance (Prior period)'!C:C,Table11[[#This Row],[ACCOUNT NUMBER]],'Cash balance (Prior period)'!E:E,Table11[[#This Row],[CURRENCY]])</f>
        <v>0</v>
      </c>
      <c r="R84" s="817">
        <f>SUMIFS(Movement!$F$4:$F$2136,Movement!$M$4:$M$2136,"USD",Movement!$C$4:$C$2136,Table11[[#This Row],[ACCOUNT NUMBER]],Movement!$J$4:$J$2136,Table11[[#This Row],[ENTITY]],Movement!$O$4:$O$2136,'Cash Balance'!$A$2)</f>
        <v>0</v>
      </c>
      <c r="S84" s="817">
        <f>SUMIFS(Movement!$G$4:$G$2136,Movement!$M$4:$M$2136,"USD",Movement!$C$4:$C$2136,Table11[[#This Row],[ACCOUNT NUMBER]],Movement!$J$4:$J$2136,Table11[[#This Row],[ENTITY]],Movement!$O$4:$O$2136,'Cash Balance'!$A$2)</f>
        <v>0</v>
      </c>
      <c r="T84" s="1087">
        <f t="shared" si="15"/>
        <v>0</v>
      </c>
      <c r="U84" s="817"/>
      <c r="V84" s="817">
        <f>Table11[[#This Row],[CLOSING BALANCE (USD)]]-Table11[[#This Row],[CB_BS (USD)]]</f>
        <v>0</v>
      </c>
      <c r="W84" s="1156" t="str">
        <f>VLOOKUP('Cash Balance'!$C84,Table2[#All],MATCH('Cash Balance'!W$3,Acc_Char!$B$1:$I$1,0),0)</f>
        <v>Subsidiaries</v>
      </c>
      <c r="X84" s="1156" t="str">
        <f>VLOOKUP(IFERROR(MID($Y84,1,FIND("-",$Y84)-2),$Y84),Table3[#All],2,0)</f>
        <v>VCB</v>
      </c>
      <c r="Y84" s="1156" t="str">
        <f>VLOOKUP($B84,Table4[#All],2,0)</f>
        <v>VIETCOMBANK - HCM</v>
      </c>
      <c r="Z84" s="1151"/>
      <c r="AA84" s="49"/>
      <c r="AE84" s="818">
        <f>SUM(Table11[[#This Row],[CASH IN - CREDIT (VND)]],Table11[[#This Row],[CASH IN - CREDIT (USD)]])</f>
        <v>5687251250</v>
      </c>
      <c r="AF84" s="818">
        <f>Table11[[#This Row],[CASH OUT - DEBIT (VND)]]+Table11[[#This Row],[CASH OUT - DEBIT (USD)]]</f>
        <v>5508006449</v>
      </c>
      <c r="AH84" s="1158"/>
      <c r="AI84" s="49"/>
      <c r="AJ84" s="1158"/>
      <c r="AL84"/>
      <c r="AM84"/>
    </row>
    <row r="85" spans="1:39" ht="14.4">
      <c r="A85" s="1153" t="str">
        <f>VLOOKUP('Cash Balance'!$C85,Table2[#All],MATCH('Cash Balance'!A$3,Acc_Char!$B$1:$I$1,0),0)</f>
        <v>BW SUPLLY CHAIN CITY</v>
      </c>
      <c r="B85" s="1154" t="str">
        <f>VLOOKUP('Cash Balance'!$C85,Table2[#All],MATCH('Cash Balance'!B$3,Acc_Char!$B$1:$I$1,0),0)</f>
        <v>VIETCOMBANK - HCM</v>
      </c>
      <c r="C85" s="1086" t="s">
        <v>575</v>
      </c>
      <c r="D85" s="1156" t="str">
        <f>VLOOKUP('Cash Balance'!$C85,Table2[#All],MATCH('Cash Balance'!D$3,Acc_Char!$B$1:$I$1,0),0)</f>
        <v>Current Account</v>
      </c>
      <c r="E85" s="384" t="str">
        <f>VLOOKUP('Cash Balance'!$C85,Table2[#All],MATCH('Cash Balance'!E$3,Acc_Char!$B$1:$I$1,0),0)</f>
        <v>USD</v>
      </c>
      <c r="F85" s="1094" t="e">
        <f>VLOOKUP(C85,'Cash balance (BS)'!A:C,3,)</f>
        <v>#N/A</v>
      </c>
      <c r="G85" s="1157" t="e">
        <f t="shared" si="12"/>
        <v>#N/A</v>
      </c>
      <c r="H85" s="1318">
        <f>SUMIFS('Cash balance (Prior period)'!F:F,'Cash balance (Prior period)'!C:C,Table11[[#This Row],[ACCOUNT NUMBER]],'Cash balance (Prior period)'!E:E,Table11[[#This Row],[CURRENCY]])</f>
        <v>0</v>
      </c>
      <c r="I85" s="1318">
        <f>SUMIFS(Movement!$F$4:$F$2136,Movement!$M$4:$M$2136,"VND",Movement!$C$4:$C$2136,Table11[[#This Row],[ACCOUNT NUMBER]],Movement!$J$4:$J$2136,Table11[[#This Row],[ENTITY]],Movement!$O$4:$O$2136,'Cash Balance'!$A$2)</f>
        <v>0</v>
      </c>
      <c r="J85" s="1318">
        <f>SUMIFS(Movement!$G$4:$G$2136,Movement!$M$4:$M$2136,"VND",Movement!$C$4:$C$2136,Table11[[#This Row],[ACCOUNT NUMBER]],Movement!$J$4:$J$2136,Table11[[#This Row],[ENTITY]],Movement!$O$4:$O$2136,'Cash Balance'!$A$2)</f>
        <v>0</v>
      </c>
      <c r="K85" s="1084">
        <f>Table11[[#This Row],[CASH IN - CREDIT (VND)]]-Table11[[#This Row],[CASH OUT - DEBIT (VND)]]</f>
        <v>0</v>
      </c>
      <c r="L85" s="1095">
        <f t="shared" si="13"/>
        <v>0</v>
      </c>
      <c r="M85" s="1184" t="e">
        <f>VLOOKUP(C85,'Cash balance (BS)'!A:D,4,)</f>
        <v>#N/A</v>
      </c>
      <c r="N85" s="1095" t="e">
        <f>Table11[[#This Row],[CLOSING BALANCE (VND)2]]-Table11[[#This Row],[CB_BS (VND)]]</f>
        <v>#N/A</v>
      </c>
      <c r="O85" s="1094">
        <v>0</v>
      </c>
      <c r="P85" s="1095">
        <f t="shared" si="14"/>
        <v>-5642.5699999999979</v>
      </c>
      <c r="Q85" s="817">
        <f>SUMIFS('Cash balance (Prior period)'!G:G,'Cash balance (Prior period)'!C:C,Table11[[#This Row],[ACCOUNT NUMBER]],'Cash balance (Prior period)'!E:E,Table11[[#This Row],[CURRENCY]])</f>
        <v>5642.5699999999979</v>
      </c>
      <c r="R85" s="817">
        <f>SUMIFS(Movement!$F$4:$F$2136,Movement!$M$4:$M$2136,"USD",Movement!$C$4:$C$2136,Table11[[#This Row],[ACCOUNT NUMBER]],Movement!$J$4:$J$2136,Table11[[#This Row],[ENTITY]],Movement!$O$4:$O$2136,'Cash Balance'!$A$2)</f>
        <v>6705.95</v>
      </c>
      <c r="S85" s="817">
        <f>SUMIFS(Movement!$G$4:$G$2136,Movement!$M$4:$M$2136,"USD",Movement!$C$4:$C$2136,Table11[[#This Row],[ACCOUNT NUMBER]],Movement!$J$4:$J$2136,Table11[[#This Row],[ENTITY]],Movement!$O$4:$O$2136,'Cash Balance'!$A$2)</f>
        <v>6759.2</v>
      </c>
      <c r="T85" s="1087">
        <f t="shared" si="15"/>
        <v>5589.319999999997</v>
      </c>
      <c r="U85" s="817"/>
      <c r="V85" s="817">
        <f>Table11[[#This Row],[CLOSING BALANCE (USD)]]-Table11[[#This Row],[CB_BS (USD)]]</f>
        <v>5589.319999999997</v>
      </c>
      <c r="W85" s="1156" t="str">
        <f>VLOOKUP('Cash Balance'!$C85,Table2[#All],MATCH('Cash Balance'!W$3,Acc_Char!$B$1:$I$1,0),0)</f>
        <v>Subsidiaries</v>
      </c>
      <c r="X85" s="1156" t="str">
        <f>VLOOKUP(IFERROR(MID($Y85,1,FIND("-",$Y85)-2),$Y85),Table3[#All],2,0)</f>
        <v>VCB</v>
      </c>
      <c r="Y85" s="1156" t="str">
        <f>VLOOKUP($B85,Table4[#All],2,0)</f>
        <v>VIETCOMBANK - HCM</v>
      </c>
      <c r="Z85" s="1151"/>
      <c r="AA85" s="49"/>
      <c r="AE85" s="818">
        <f>SUM(Table11[[#This Row],[CASH IN - CREDIT (VND)]],Table11[[#This Row],[CASH IN - CREDIT (USD)]])</f>
        <v>6705.95</v>
      </c>
      <c r="AF85" s="818">
        <f>Table11[[#This Row],[CASH OUT - DEBIT (VND)]]+Table11[[#This Row],[CASH OUT - DEBIT (USD)]]</f>
        <v>6759.2</v>
      </c>
      <c r="AH85" s="1158"/>
      <c r="AI85" s="49"/>
      <c r="AJ85" s="1158"/>
      <c r="AL85"/>
      <c r="AM85"/>
    </row>
    <row r="86" spans="1:39" ht="14.4">
      <c r="A86" s="1153" t="str">
        <f>VLOOKUP('Cash Balance'!$C86,Table2[#All],MATCH('Cash Balance'!A$3,Acc_Char!$B$1:$I$1,0),0)</f>
        <v>SAO THO</v>
      </c>
      <c r="B86" s="1154" t="str">
        <f>VLOOKUP('Cash Balance'!$C86,Table2[#All],MATCH('Cash Balance'!B$3,Acc_Char!$B$1:$I$1,0),0)</f>
        <v>VIETINBANK - CN1</v>
      </c>
      <c r="C86" s="1086" t="s">
        <v>577</v>
      </c>
      <c r="D86" s="1156" t="str">
        <f>VLOOKUP('Cash Balance'!$C86,Table2[#All],MATCH('Cash Balance'!D$3,Acc_Char!$B$1:$I$1,0),0)</f>
        <v>Current Account</v>
      </c>
      <c r="E86" s="384" t="str">
        <f>VLOOKUP('Cash Balance'!$C86,Table2[#All],MATCH('Cash Balance'!E$3,Acc_Char!$B$1:$I$1,0),0)</f>
        <v>VND</v>
      </c>
      <c r="F86" s="1094" t="e">
        <f>VLOOKUP(C86,'Cash balance (BS)'!A:C,3,)</f>
        <v>#N/A</v>
      </c>
      <c r="G86" s="1157" t="e">
        <f t="shared" si="12"/>
        <v>#N/A</v>
      </c>
      <c r="H86" s="1318">
        <f>SUMIFS('Cash balance (Prior period)'!F:F,'Cash balance (Prior period)'!C:C,Table11[[#This Row],[ACCOUNT NUMBER]],'Cash balance (Prior period)'!E:E,Table11[[#This Row],[CURRENCY]])</f>
        <v>13439784</v>
      </c>
      <c r="I86" s="1318">
        <f>SUMIFS(Movement!$F$4:$F$2136,Movement!$M$4:$M$2136,"VND",Movement!$C$4:$C$2136,Table11[[#This Row],[ACCOUNT NUMBER]],Movement!$J$4:$J$2136,Table11[[#This Row],[ENTITY]],Movement!$O$4:$O$2136,'Cash Balance'!$A$2)</f>
        <v>0</v>
      </c>
      <c r="J86" s="1318">
        <f>SUMIFS(Movement!$G$4:$G$2136,Movement!$M$4:$M$2136,"VND",Movement!$C$4:$C$2136,Table11[[#This Row],[ACCOUNT NUMBER]],Movement!$J$4:$J$2136,Table11[[#This Row],[ENTITY]],Movement!$O$4:$O$2136,'Cash Balance'!$A$2)</f>
        <v>0</v>
      </c>
      <c r="K86" s="1084">
        <f>Table11[[#This Row],[CASH IN - CREDIT (VND)]]-Table11[[#This Row],[CASH OUT - DEBIT (VND)]]</f>
        <v>0</v>
      </c>
      <c r="L86" s="1095">
        <f t="shared" si="13"/>
        <v>13439784</v>
      </c>
      <c r="M86" s="1184" t="e">
        <f>VLOOKUP(C86,'Cash balance (BS)'!A:D,4,)</f>
        <v>#N/A</v>
      </c>
      <c r="N86" s="1095" t="e">
        <f>Table11[[#This Row],[CLOSING BALANCE (VND)2]]-Table11[[#This Row],[CB_BS (VND)]]</f>
        <v>#N/A</v>
      </c>
      <c r="O86" s="1094">
        <v>0</v>
      </c>
      <c r="P86" s="1095">
        <f t="shared" si="14"/>
        <v>0</v>
      </c>
      <c r="Q86" s="817">
        <f>SUMIFS('Cash balance (Prior period)'!G:G,'Cash balance (Prior period)'!C:C,Table11[[#This Row],[ACCOUNT NUMBER]],'Cash balance (Prior period)'!E:E,Table11[[#This Row],[CURRENCY]])</f>
        <v>0</v>
      </c>
      <c r="R86" s="817">
        <f>SUMIFS(Movement!$F$4:$F$2136,Movement!$M$4:$M$2136,"USD",Movement!$C$4:$C$2136,Table11[[#This Row],[ACCOUNT NUMBER]],Movement!$J$4:$J$2136,Table11[[#This Row],[ENTITY]],Movement!$O$4:$O$2136,'Cash Balance'!$A$2)</f>
        <v>0</v>
      </c>
      <c r="S86" s="817">
        <f>SUMIFS(Movement!$G$4:$G$2136,Movement!$M$4:$M$2136,"USD",Movement!$C$4:$C$2136,Table11[[#This Row],[ACCOUNT NUMBER]],Movement!$J$4:$J$2136,Table11[[#This Row],[ENTITY]],Movement!$O$4:$O$2136,'Cash Balance'!$A$2)</f>
        <v>0</v>
      </c>
      <c r="T86" s="1087">
        <f t="shared" si="15"/>
        <v>0</v>
      </c>
      <c r="U86" s="817"/>
      <c r="V86" s="817">
        <f>Table11[[#This Row],[CLOSING BALANCE (USD)]]-Table11[[#This Row],[CB_BS (USD)]]</f>
        <v>0</v>
      </c>
      <c r="W86" s="1156" t="str">
        <f>VLOOKUP('Cash Balance'!$C86,Table2[#All],MATCH('Cash Balance'!W$3,Acc_Char!$B$1:$I$1,0),0)</f>
        <v>Subsidiaries</v>
      </c>
      <c r="X86" s="1156" t="str">
        <f>VLOOKUP(IFERROR(MID($Y86,1,FIND("-",$Y86)-2),$Y86),Table3[#All],2,0)</f>
        <v>VTB</v>
      </c>
      <c r="Y86" s="1156" t="str">
        <f>VLOOKUP($B86,Table4[#All],2,0)</f>
        <v>VIETINBANK - CN1</v>
      </c>
      <c r="Z86" s="1151"/>
      <c r="AA86" s="49"/>
      <c r="AE86" s="818">
        <f>SUM(Table11[[#This Row],[CASH IN - CREDIT (VND)]],Table11[[#This Row],[CASH IN - CREDIT (USD)]])</f>
        <v>0</v>
      </c>
      <c r="AF86" s="818">
        <f>Table11[[#This Row],[CASH OUT - DEBIT (VND)]]+Table11[[#This Row],[CASH OUT - DEBIT (USD)]]</f>
        <v>0</v>
      </c>
      <c r="AH86" s="1158"/>
      <c r="AI86" s="49"/>
      <c r="AJ86" s="1158"/>
      <c r="AL86"/>
      <c r="AM86"/>
    </row>
    <row r="87" spans="1:39" ht="14.4">
      <c r="A87" s="1153" t="str">
        <f>VLOOKUP('Cash Balance'!$C87,Table2[#All],MATCH('Cash Balance'!A$3,Acc_Char!$B$1:$I$1,0),0)</f>
        <v>SAO THO</v>
      </c>
      <c r="B87" s="1154" t="str">
        <f>VLOOKUP('Cash Balance'!$C87,Table2[#All],MATCH('Cash Balance'!B$3,Acc_Char!$B$1:$I$1,0),0)</f>
        <v>VIETINBANK - CN1</v>
      </c>
      <c r="C87" s="1086" t="s">
        <v>578</v>
      </c>
      <c r="D87" s="1156" t="str">
        <f>VLOOKUP('Cash Balance'!$C87,Table2[#All],MATCH('Cash Balance'!D$3,Acc_Char!$B$1:$I$1,0),0)</f>
        <v>Current Account</v>
      </c>
      <c r="E87" s="384" t="str">
        <f>VLOOKUP('Cash Balance'!$C87,Table2[#All],MATCH('Cash Balance'!E$3,Acc_Char!$B$1:$I$1,0),0)</f>
        <v>USD</v>
      </c>
      <c r="F87" s="1094" t="e">
        <f>VLOOKUP(C87,'Cash balance (BS)'!A:C,3,)</f>
        <v>#N/A</v>
      </c>
      <c r="G87" s="1157" t="e">
        <f t="shared" si="12"/>
        <v>#N/A</v>
      </c>
      <c r="H87" s="1318">
        <f>SUMIFS('Cash balance (Prior period)'!F:F,'Cash balance (Prior period)'!C:C,Table11[[#This Row],[ACCOUNT NUMBER]],'Cash balance (Prior period)'!E:E,Table11[[#This Row],[CURRENCY]])</f>
        <v>0</v>
      </c>
      <c r="I87" s="1318">
        <f>SUMIFS(Movement!$F$4:$F$2136,Movement!$M$4:$M$2136,"VND",Movement!$C$4:$C$2136,Table11[[#This Row],[ACCOUNT NUMBER]],Movement!$J$4:$J$2136,Table11[[#This Row],[ENTITY]],Movement!$O$4:$O$2136,'Cash Balance'!$A$2)</f>
        <v>0</v>
      </c>
      <c r="J87" s="1318">
        <f>SUMIFS(Movement!$G$4:$G$2136,Movement!$M$4:$M$2136,"VND",Movement!$C$4:$C$2136,Table11[[#This Row],[ACCOUNT NUMBER]],Movement!$J$4:$J$2136,Table11[[#This Row],[ENTITY]],Movement!$O$4:$O$2136,'Cash Balance'!$A$2)</f>
        <v>0</v>
      </c>
      <c r="K87" s="1084">
        <f>Table11[[#This Row],[CASH IN - CREDIT (VND)]]-Table11[[#This Row],[CASH OUT - DEBIT (VND)]]</f>
        <v>0</v>
      </c>
      <c r="L87" s="1095">
        <f t="shared" si="13"/>
        <v>0</v>
      </c>
      <c r="M87" s="1184" t="e">
        <f>VLOOKUP(C87,'Cash balance (BS)'!A:D,4,)</f>
        <v>#N/A</v>
      </c>
      <c r="N87" s="1095" t="e">
        <f>Table11[[#This Row],[CLOSING BALANCE (VND)2]]-Table11[[#This Row],[CB_BS (VND)]]</f>
        <v>#N/A</v>
      </c>
      <c r="O87" s="1094">
        <v>0</v>
      </c>
      <c r="P87" s="1095">
        <f t="shared" si="14"/>
        <v>0</v>
      </c>
      <c r="Q87" s="817">
        <f>SUMIFS('Cash balance (Prior period)'!G:G,'Cash balance (Prior period)'!C:C,Table11[[#This Row],[ACCOUNT NUMBER]],'Cash balance (Prior period)'!E:E,Table11[[#This Row],[CURRENCY]])</f>
        <v>0</v>
      </c>
      <c r="R87" s="817">
        <f>SUMIFS(Movement!$F$4:$F$2136,Movement!$M$4:$M$2136,"USD",Movement!$C$4:$C$2136,Table11[[#This Row],[ACCOUNT NUMBER]],Movement!$J$4:$J$2136,Table11[[#This Row],[ENTITY]],Movement!$O$4:$O$2136,'Cash Balance'!$A$2)</f>
        <v>0</v>
      </c>
      <c r="S87" s="817">
        <f>SUMIFS(Movement!$G$4:$G$2136,Movement!$M$4:$M$2136,"USD",Movement!$C$4:$C$2136,Table11[[#This Row],[ACCOUNT NUMBER]],Movement!$J$4:$J$2136,Table11[[#This Row],[ENTITY]],Movement!$O$4:$O$2136,'Cash Balance'!$A$2)</f>
        <v>0</v>
      </c>
      <c r="T87" s="1087">
        <f t="shared" si="15"/>
        <v>0</v>
      </c>
      <c r="U87" s="817"/>
      <c r="V87" s="817">
        <f>Table11[[#This Row],[CLOSING BALANCE (USD)]]-Table11[[#This Row],[CB_BS (USD)]]</f>
        <v>0</v>
      </c>
      <c r="W87" s="1156" t="str">
        <f>VLOOKUP('Cash Balance'!$C87,Table2[#All],MATCH('Cash Balance'!W$3,Acc_Char!$B$1:$I$1,0),0)</f>
        <v>Subsidiaries</v>
      </c>
      <c r="X87" s="1156" t="str">
        <f>VLOOKUP(IFERROR(MID($Y87,1,FIND("-",$Y87)-2),$Y87),Table3[#All],2,0)</f>
        <v>VTB</v>
      </c>
      <c r="Y87" s="1156" t="str">
        <f>VLOOKUP($B87,Table4[#All],2,0)</f>
        <v>VIETINBANK - CN1</v>
      </c>
      <c r="Z87" s="1151"/>
      <c r="AA87" s="49"/>
      <c r="AE87" s="818">
        <f>SUM(Table11[[#This Row],[CASH IN - CREDIT (VND)]],Table11[[#This Row],[CASH IN - CREDIT (USD)]])</f>
        <v>0</v>
      </c>
      <c r="AF87" s="818">
        <f>Table11[[#This Row],[CASH OUT - DEBIT (VND)]]+Table11[[#This Row],[CASH OUT - DEBIT (USD)]]</f>
        <v>0</v>
      </c>
      <c r="AH87" s="1158"/>
      <c r="AI87" s="49"/>
      <c r="AJ87" s="1158"/>
      <c r="AL87"/>
      <c r="AM87"/>
    </row>
    <row r="88" spans="1:39" ht="14.4">
      <c r="A88" s="1153" t="str">
        <f>VLOOKUP('Cash Balance'!$C88,Table2[#All],MATCH('Cash Balance'!A$3,Acc_Char!$B$1:$I$1,0),0)</f>
        <v>SAO MOC</v>
      </c>
      <c r="B88" s="1154" t="str">
        <f>VLOOKUP('Cash Balance'!$C88,Table2[#All],MATCH('Cash Balance'!B$3,Acc_Char!$B$1:$I$1,0),0)</f>
        <v>VIETINBANK - CN1</v>
      </c>
      <c r="C88" s="1086" t="s">
        <v>580</v>
      </c>
      <c r="D88" s="1156" t="str">
        <f>VLOOKUP('Cash Balance'!$C88,Table2[#All],MATCH('Cash Balance'!D$3,Acc_Char!$B$1:$I$1,0),0)</f>
        <v>Current Account</v>
      </c>
      <c r="E88" s="384" t="str">
        <f>VLOOKUP('Cash Balance'!$C88,Table2[#All],MATCH('Cash Balance'!E$3,Acc_Char!$B$1:$I$1,0),0)</f>
        <v>VND</v>
      </c>
      <c r="F88" s="1094" t="e">
        <f>VLOOKUP(C88,'Cash balance (BS)'!A:C,3,)</f>
        <v>#N/A</v>
      </c>
      <c r="G88" s="1157" t="e">
        <f t="shared" si="12"/>
        <v>#N/A</v>
      </c>
      <c r="H88" s="1318">
        <f>SUMIFS('Cash balance (Prior period)'!F:F,'Cash balance (Prior period)'!C:C,Table11[[#This Row],[ACCOUNT NUMBER]],'Cash balance (Prior period)'!E:E,Table11[[#This Row],[CURRENCY]])</f>
        <v>15339591</v>
      </c>
      <c r="I88" s="1318">
        <f>SUMIFS(Movement!$F$4:$F$2136,Movement!$M$4:$M$2136,"VND",Movement!$C$4:$C$2136,Table11[[#This Row],[ACCOUNT NUMBER]],Movement!$J$4:$J$2136,Table11[[#This Row],[ENTITY]],Movement!$O$4:$O$2136,'Cash Balance'!$A$2)</f>
        <v>0</v>
      </c>
      <c r="J88" s="1318">
        <f>SUMIFS(Movement!$G$4:$G$2136,Movement!$M$4:$M$2136,"VND",Movement!$C$4:$C$2136,Table11[[#This Row],[ACCOUNT NUMBER]],Movement!$J$4:$J$2136,Table11[[#This Row],[ENTITY]],Movement!$O$4:$O$2136,'Cash Balance'!$A$2)</f>
        <v>0</v>
      </c>
      <c r="K88" s="1084">
        <f>Table11[[#This Row],[CASH IN - CREDIT (VND)]]-Table11[[#This Row],[CASH OUT - DEBIT (VND)]]</f>
        <v>0</v>
      </c>
      <c r="L88" s="1095">
        <f t="shared" si="13"/>
        <v>15339591</v>
      </c>
      <c r="M88" s="1184" t="e">
        <f>VLOOKUP(C88,'Cash balance (BS)'!A:D,4,)</f>
        <v>#N/A</v>
      </c>
      <c r="N88" s="1095" t="e">
        <f>Table11[[#This Row],[CLOSING BALANCE (VND)2]]-Table11[[#This Row],[CB_BS (VND)]]</f>
        <v>#N/A</v>
      </c>
      <c r="O88" s="1094">
        <v>0</v>
      </c>
      <c r="P88" s="1095">
        <f t="shared" si="14"/>
        <v>0</v>
      </c>
      <c r="Q88" s="817">
        <f>SUMIFS('Cash balance (Prior period)'!G:G,'Cash balance (Prior period)'!C:C,Table11[[#This Row],[ACCOUNT NUMBER]],'Cash balance (Prior period)'!E:E,Table11[[#This Row],[CURRENCY]])</f>
        <v>0</v>
      </c>
      <c r="R88" s="817">
        <f>SUMIFS(Movement!$F$4:$F$2136,Movement!$M$4:$M$2136,"USD",Movement!$C$4:$C$2136,Table11[[#This Row],[ACCOUNT NUMBER]],Movement!$J$4:$J$2136,Table11[[#This Row],[ENTITY]],Movement!$O$4:$O$2136,'Cash Balance'!$A$2)</f>
        <v>0</v>
      </c>
      <c r="S88" s="817">
        <f>SUMIFS(Movement!$G$4:$G$2136,Movement!$M$4:$M$2136,"USD",Movement!$C$4:$C$2136,Table11[[#This Row],[ACCOUNT NUMBER]],Movement!$J$4:$J$2136,Table11[[#This Row],[ENTITY]],Movement!$O$4:$O$2136,'Cash Balance'!$A$2)</f>
        <v>0</v>
      </c>
      <c r="T88" s="1087">
        <f t="shared" si="15"/>
        <v>0</v>
      </c>
      <c r="U88" s="817"/>
      <c r="V88" s="817">
        <f>Table11[[#This Row],[CLOSING BALANCE (USD)]]-Table11[[#This Row],[CB_BS (USD)]]</f>
        <v>0</v>
      </c>
      <c r="W88" s="1156" t="str">
        <f>VLOOKUP('Cash Balance'!$C88,Table2[#All],MATCH('Cash Balance'!W$3,Acc_Char!$B$1:$I$1,0),0)</f>
        <v>Subsidiaries</v>
      </c>
      <c r="X88" s="1156" t="str">
        <f>VLOOKUP(IFERROR(MID($Y88,1,FIND("-",$Y88)-2),$Y88),Table3[#All],2,0)</f>
        <v>VTB</v>
      </c>
      <c r="Y88" s="1156" t="str">
        <f>VLOOKUP($B88,Table4[#All],2,0)</f>
        <v>VIETINBANK - CN1</v>
      </c>
      <c r="Z88" s="1151"/>
      <c r="AA88" s="49"/>
      <c r="AE88" s="818">
        <f>SUM(Table11[[#This Row],[CASH IN - CREDIT (VND)]],Table11[[#This Row],[CASH IN - CREDIT (USD)]])</f>
        <v>0</v>
      </c>
      <c r="AF88" s="818">
        <f>Table11[[#This Row],[CASH OUT - DEBIT (VND)]]+Table11[[#This Row],[CASH OUT - DEBIT (USD)]]</f>
        <v>0</v>
      </c>
      <c r="AH88" s="1158"/>
      <c r="AI88" s="49"/>
      <c r="AJ88" s="1158"/>
      <c r="AL88"/>
      <c r="AM88"/>
    </row>
    <row r="89" spans="1:39" ht="14.4">
      <c r="A89" s="1153" t="str">
        <f>VLOOKUP('Cash Balance'!$C89,Table2[#All],MATCH('Cash Balance'!A$3,Acc_Char!$B$1:$I$1,0),0)</f>
        <v>SAO MOC</v>
      </c>
      <c r="B89" s="1154" t="str">
        <f>VLOOKUP('Cash Balance'!$C89,Table2[#All],MATCH('Cash Balance'!B$3,Acc_Char!$B$1:$I$1,0),0)</f>
        <v>VIETINBANK - CN1</v>
      </c>
      <c r="C89" s="1086" t="s">
        <v>581</v>
      </c>
      <c r="D89" s="1156" t="str">
        <f>VLOOKUP('Cash Balance'!$C89,Table2[#All],MATCH('Cash Balance'!D$3,Acc_Char!$B$1:$I$1,0),0)</f>
        <v>Current Account</v>
      </c>
      <c r="E89" s="384" t="str">
        <f>VLOOKUP('Cash Balance'!$C89,Table2[#All],MATCH('Cash Balance'!E$3,Acc_Char!$B$1:$I$1,0),0)</f>
        <v>USD</v>
      </c>
      <c r="F89" s="1094" t="e">
        <f>VLOOKUP(C89,'Cash balance (BS)'!A:C,3,)</f>
        <v>#N/A</v>
      </c>
      <c r="G89" s="1157" t="e">
        <f t="shared" si="12"/>
        <v>#N/A</v>
      </c>
      <c r="H89" s="1318">
        <f>SUMIFS('Cash balance (Prior period)'!F:F,'Cash balance (Prior period)'!C:C,Table11[[#This Row],[ACCOUNT NUMBER]],'Cash balance (Prior period)'!E:E,Table11[[#This Row],[CURRENCY]])</f>
        <v>0</v>
      </c>
      <c r="I89" s="1318">
        <f>SUMIFS(Movement!$F$4:$F$2136,Movement!$M$4:$M$2136,"VND",Movement!$C$4:$C$2136,Table11[[#This Row],[ACCOUNT NUMBER]],Movement!$J$4:$J$2136,Table11[[#This Row],[ENTITY]],Movement!$O$4:$O$2136,'Cash Balance'!$A$2)</f>
        <v>0</v>
      </c>
      <c r="J89" s="1318">
        <f>SUMIFS(Movement!$G$4:$G$2136,Movement!$M$4:$M$2136,"VND",Movement!$C$4:$C$2136,Table11[[#This Row],[ACCOUNT NUMBER]],Movement!$J$4:$J$2136,Table11[[#This Row],[ENTITY]],Movement!$O$4:$O$2136,'Cash Balance'!$A$2)</f>
        <v>0</v>
      </c>
      <c r="K89" s="1084">
        <f>Table11[[#This Row],[CASH IN - CREDIT (VND)]]-Table11[[#This Row],[CASH OUT - DEBIT (VND)]]</f>
        <v>0</v>
      </c>
      <c r="L89" s="1095">
        <f t="shared" si="13"/>
        <v>0</v>
      </c>
      <c r="M89" s="1184" t="e">
        <f>VLOOKUP(C89,'Cash balance (BS)'!A:D,4,)</f>
        <v>#N/A</v>
      </c>
      <c r="N89" s="1095" t="e">
        <f>Table11[[#This Row],[CLOSING BALANCE (VND)2]]-Table11[[#This Row],[CB_BS (VND)]]</f>
        <v>#N/A</v>
      </c>
      <c r="O89" s="1094">
        <v>0</v>
      </c>
      <c r="P89" s="1095">
        <f t="shared" si="14"/>
        <v>0</v>
      </c>
      <c r="Q89" s="817">
        <f>SUMIFS('Cash balance (Prior period)'!G:G,'Cash balance (Prior period)'!C:C,Table11[[#This Row],[ACCOUNT NUMBER]],'Cash balance (Prior period)'!E:E,Table11[[#This Row],[CURRENCY]])</f>
        <v>0</v>
      </c>
      <c r="R89" s="817">
        <f>SUMIFS(Movement!$F$4:$F$2136,Movement!$M$4:$M$2136,"USD",Movement!$C$4:$C$2136,Table11[[#This Row],[ACCOUNT NUMBER]],Movement!$J$4:$J$2136,Table11[[#This Row],[ENTITY]],Movement!$O$4:$O$2136,'Cash Balance'!$A$2)</f>
        <v>0</v>
      </c>
      <c r="S89" s="817">
        <f>SUMIFS(Movement!$G$4:$G$2136,Movement!$M$4:$M$2136,"USD",Movement!$C$4:$C$2136,Table11[[#This Row],[ACCOUNT NUMBER]],Movement!$J$4:$J$2136,Table11[[#This Row],[ENTITY]],Movement!$O$4:$O$2136,'Cash Balance'!$A$2)</f>
        <v>0</v>
      </c>
      <c r="T89" s="1087">
        <f t="shared" si="15"/>
        <v>0</v>
      </c>
      <c r="U89" s="817"/>
      <c r="V89" s="817">
        <f>Table11[[#This Row],[CLOSING BALANCE (USD)]]-Table11[[#This Row],[CB_BS (USD)]]</f>
        <v>0</v>
      </c>
      <c r="W89" s="1156" t="str">
        <f>VLOOKUP('Cash Balance'!$C89,Table2[#All],MATCH('Cash Balance'!W$3,Acc_Char!$B$1:$I$1,0),0)</f>
        <v>Subsidiaries</v>
      </c>
      <c r="X89" s="1156" t="str">
        <f>VLOOKUP(IFERROR(MID($Y89,1,FIND("-",$Y89)-2),$Y89),Table3[#All],2,0)</f>
        <v>VTB</v>
      </c>
      <c r="Y89" s="1156" t="str">
        <f>VLOOKUP($B89,Table4[#All],2,0)</f>
        <v>VIETINBANK - CN1</v>
      </c>
      <c r="Z89" s="1151"/>
      <c r="AA89" s="49"/>
      <c r="AE89" s="818">
        <f>SUM(Table11[[#This Row],[CASH IN - CREDIT (VND)]],Table11[[#This Row],[CASH IN - CREDIT (USD)]])</f>
        <v>0</v>
      </c>
      <c r="AF89" s="818">
        <f>Table11[[#This Row],[CASH OUT - DEBIT (VND)]]+Table11[[#This Row],[CASH OUT - DEBIT (USD)]]</f>
        <v>0</v>
      </c>
      <c r="AH89" s="1158"/>
      <c r="AI89" s="49"/>
      <c r="AJ89" s="1158"/>
      <c r="AL89"/>
      <c r="AM89"/>
    </row>
    <row r="90" spans="1:39" ht="14.4">
      <c r="A90" s="1153" t="str">
        <f>VLOOKUP('Cash Balance'!$C90,Table2[#All],MATCH('Cash Balance'!A$3,Acc_Char!$B$1:$I$1,0),0)</f>
        <v>SAO HOA</v>
      </c>
      <c r="B90" s="1154" t="str">
        <f>VLOOKUP('Cash Balance'!$C90,Table2[#All],MATCH('Cash Balance'!B$3,Acc_Char!$B$1:$I$1,0),0)</f>
        <v>VIETINBANK - CN1</v>
      </c>
      <c r="C90" s="1086" t="s">
        <v>583</v>
      </c>
      <c r="D90" s="1156" t="str">
        <f>VLOOKUP('Cash Balance'!$C90,Table2[#All],MATCH('Cash Balance'!D$3,Acc_Char!$B$1:$I$1,0),0)</f>
        <v>Current Account</v>
      </c>
      <c r="E90" s="384" t="str">
        <f>VLOOKUP('Cash Balance'!$C90,Table2[#All],MATCH('Cash Balance'!E$3,Acc_Char!$B$1:$I$1,0),0)</f>
        <v>VND</v>
      </c>
      <c r="F90" s="1094" t="e">
        <f>VLOOKUP(C90,'Cash balance (BS)'!A:C,3,)</f>
        <v>#N/A</v>
      </c>
      <c r="G90" s="1157" t="e">
        <f t="shared" si="12"/>
        <v>#N/A</v>
      </c>
      <c r="H90" s="1318">
        <f>SUMIFS('Cash balance (Prior period)'!F:F,'Cash balance (Prior period)'!C:C,Table11[[#This Row],[ACCOUNT NUMBER]],'Cash balance (Prior period)'!E:E,Table11[[#This Row],[CURRENCY]])</f>
        <v>172543116</v>
      </c>
      <c r="I90" s="1318">
        <f>SUMIFS(Movement!$F$4:$F$2136,Movement!$M$4:$M$2136,"VND",Movement!$C$4:$C$2136,Table11[[#This Row],[ACCOUNT NUMBER]],Movement!$J$4:$J$2136,Table11[[#This Row],[ENTITY]],Movement!$O$4:$O$2136,'Cash Balance'!$A$2)</f>
        <v>0</v>
      </c>
      <c r="J90" s="1318">
        <f>SUMIFS(Movement!$G$4:$G$2136,Movement!$M$4:$M$2136,"VND",Movement!$C$4:$C$2136,Table11[[#This Row],[ACCOUNT NUMBER]],Movement!$J$4:$J$2136,Table11[[#This Row],[ENTITY]],Movement!$O$4:$O$2136,'Cash Balance'!$A$2)</f>
        <v>0</v>
      </c>
      <c r="K90" s="1084">
        <f>Table11[[#This Row],[CASH IN - CREDIT (VND)]]-Table11[[#This Row],[CASH OUT - DEBIT (VND)]]</f>
        <v>0</v>
      </c>
      <c r="L90" s="1095">
        <f t="shared" si="13"/>
        <v>172543116</v>
      </c>
      <c r="M90" s="1184" t="e">
        <f>VLOOKUP(C90,'Cash balance (BS)'!A:D,4,)</f>
        <v>#N/A</v>
      </c>
      <c r="N90" s="1095" t="e">
        <f>Table11[[#This Row],[CLOSING BALANCE (VND)2]]-Table11[[#This Row],[CB_BS (VND)]]</f>
        <v>#N/A</v>
      </c>
      <c r="O90" s="1094">
        <v>0</v>
      </c>
      <c r="P90" s="1095">
        <f t="shared" si="14"/>
        <v>0</v>
      </c>
      <c r="Q90" s="817">
        <f>SUMIFS('Cash balance (Prior period)'!G:G,'Cash balance (Prior period)'!C:C,Table11[[#This Row],[ACCOUNT NUMBER]],'Cash balance (Prior period)'!E:E,Table11[[#This Row],[CURRENCY]])</f>
        <v>0</v>
      </c>
      <c r="R90" s="817">
        <f>SUMIFS(Movement!$F$4:$F$2136,Movement!$M$4:$M$2136,"USD",Movement!$C$4:$C$2136,Table11[[#This Row],[ACCOUNT NUMBER]],Movement!$J$4:$J$2136,Table11[[#This Row],[ENTITY]],Movement!$O$4:$O$2136,'Cash Balance'!$A$2)</f>
        <v>0</v>
      </c>
      <c r="S90" s="817">
        <f>SUMIFS(Movement!$G$4:$G$2136,Movement!$M$4:$M$2136,"USD",Movement!$C$4:$C$2136,Table11[[#This Row],[ACCOUNT NUMBER]],Movement!$J$4:$J$2136,Table11[[#This Row],[ENTITY]],Movement!$O$4:$O$2136,'Cash Balance'!$A$2)</f>
        <v>0</v>
      </c>
      <c r="T90" s="1087">
        <f t="shared" si="15"/>
        <v>0</v>
      </c>
      <c r="U90" s="817"/>
      <c r="V90" s="817">
        <f>Table11[[#This Row],[CLOSING BALANCE (USD)]]-Table11[[#This Row],[CB_BS (USD)]]</f>
        <v>0</v>
      </c>
      <c r="W90" s="1156" t="str">
        <f>VLOOKUP('Cash Balance'!$C90,Table2[#All],MATCH('Cash Balance'!W$3,Acc_Char!$B$1:$I$1,0),0)</f>
        <v>VC3</v>
      </c>
      <c r="X90" s="1156" t="str">
        <f>VLOOKUP(IFERROR(MID($Y90,1,FIND("-",$Y90)-2),$Y90),Table3[#All],2,0)</f>
        <v>VTB</v>
      </c>
      <c r="Y90" s="1156" t="str">
        <f>VLOOKUP($B90,Table4[#All],2,0)</f>
        <v>VIETINBANK - CN1</v>
      </c>
      <c r="Z90" s="1151"/>
      <c r="AA90" s="49"/>
      <c r="AE90" s="818">
        <f>SUM(Table11[[#This Row],[CASH IN - CREDIT (VND)]],Table11[[#This Row],[CASH IN - CREDIT (USD)]])</f>
        <v>0</v>
      </c>
      <c r="AF90" s="818">
        <f>Table11[[#This Row],[CASH OUT - DEBIT (VND)]]+Table11[[#This Row],[CASH OUT - DEBIT (USD)]]</f>
        <v>0</v>
      </c>
      <c r="AH90" s="1158"/>
      <c r="AI90" s="49"/>
      <c r="AJ90" s="1158"/>
      <c r="AL90"/>
      <c r="AM90"/>
    </row>
    <row r="91" spans="1:39" ht="14.4">
      <c r="A91" s="1153" t="str">
        <f>VLOOKUP('Cash Balance'!$C91,Table2[#All],MATCH('Cash Balance'!A$3,Acc_Char!$B$1:$I$1,0),0)</f>
        <v>SAO HOA</v>
      </c>
      <c r="B91" s="1154" t="str">
        <f>VLOOKUP('Cash Balance'!$C91,Table2[#All],MATCH('Cash Balance'!B$3,Acc_Char!$B$1:$I$1,0),0)</f>
        <v>VIETINBANK - CN1</v>
      </c>
      <c r="C91" s="1086" t="s">
        <v>584</v>
      </c>
      <c r="D91" s="1156" t="str">
        <f>VLOOKUP('Cash Balance'!$C91,Table2[#All],MATCH('Cash Balance'!D$3,Acc_Char!$B$1:$I$1,0),0)</f>
        <v>Foreign Loan</v>
      </c>
      <c r="E91" s="384" t="str">
        <f>VLOOKUP('Cash Balance'!$C91,Table2[#All],MATCH('Cash Balance'!E$3,Acc_Char!$B$1:$I$1,0),0)</f>
        <v>USD</v>
      </c>
      <c r="F91" s="1094"/>
      <c r="G91" s="1157"/>
      <c r="H91" s="1318">
        <f>SUMIFS('Cash balance (Prior period)'!F:F,'Cash balance (Prior period)'!C:C,Table11[[#This Row],[ACCOUNT NUMBER]],'Cash balance (Prior period)'!E:E,Table11[[#This Row],[CURRENCY]])</f>
        <v>0</v>
      </c>
      <c r="I91" s="1318">
        <f>SUMIFS(Movement!$F$4:$F$2136,Movement!$M$4:$M$2136,"VND",Movement!$C$4:$C$2136,Table11[[#This Row],[ACCOUNT NUMBER]],Movement!$J$4:$J$2136,Table11[[#This Row],[ENTITY]],Movement!$O$4:$O$2136,'Cash Balance'!$A$2)</f>
        <v>0</v>
      </c>
      <c r="J91" s="1318">
        <f>SUMIFS(Movement!$G$4:$G$2136,Movement!$M$4:$M$2136,"VND",Movement!$C$4:$C$2136,Table11[[#This Row],[ACCOUNT NUMBER]],Movement!$J$4:$J$2136,Table11[[#This Row],[ENTITY]],Movement!$O$4:$O$2136,'Cash Balance'!$A$2)</f>
        <v>0</v>
      </c>
      <c r="K91" s="1084">
        <f>Table11[[#This Row],[CASH IN - CREDIT (VND)]]-Table11[[#This Row],[CASH OUT - DEBIT (VND)]]</f>
        <v>0</v>
      </c>
      <c r="L91" s="1095">
        <f t="shared" si="13"/>
        <v>0</v>
      </c>
      <c r="M91" s="1184" t="e">
        <f>VLOOKUP(C91,'Cash balance (BS)'!A:D,4,)</f>
        <v>#N/A</v>
      </c>
      <c r="N91" s="1095" t="e">
        <f>Table11[[#This Row],[CLOSING BALANCE (VND)2]]-Table11[[#This Row],[CB_BS (VND)]]</f>
        <v>#N/A</v>
      </c>
      <c r="O91" s="1094">
        <v>0</v>
      </c>
      <c r="P91" s="1095">
        <f t="shared" si="14"/>
        <v>0</v>
      </c>
      <c r="Q91" s="817">
        <f>SUMIFS('Cash balance (Prior period)'!G:G,'Cash balance (Prior period)'!C:C,Table11[[#This Row],[ACCOUNT NUMBER]],'Cash balance (Prior period)'!E:E,Table11[[#This Row],[CURRENCY]])</f>
        <v>0</v>
      </c>
      <c r="R91" s="817">
        <f>SUMIFS(Movement!$F$4:$F$2136,Movement!$M$4:$M$2136,"USD",Movement!$C$4:$C$2136,Table11[[#This Row],[ACCOUNT NUMBER]],Movement!$J$4:$J$2136,Table11[[#This Row],[ENTITY]],Movement!$O$4:$O$2136,'Cash Balance'!$A$2)</f>
        <v>0</v>
      </c>
      <c r="S91" s="817">
        <f>SUMIFS(Movement!$G$4:$G$2136,Movement!$M$4:$M$2136,"USD",Movement!$C$4:$C$2136,Table11[[#This Row],[ACCOUNT NUMBER]],Movement!$J$4:$J$2136,Table11[[#This Row],[ENTITY]],Movement!$O$4:$O$2136,'Cash Balance'!$A$2)</f>
        <v>0</v>
      </c>
      <c r="T91" s="1087">
        <f t="shared" si="15"/>
        <v>0</v>
      </c>
      <c r="U91" s="817" t="e">
        <f>VLOOKUP(C91,'Cash balance (BS)'!A:D,4,)</f>
        <v>#N/A</v>
      </c>
      <c r="V91" s="1087" t="e">
        <f>Table11[[#This Row],[CLOSING BALANCE (USD)]]-Table11[[#This Row],[CB_BS (USD)]]</f>
        <v>#N/A</v>
      </c>
      <c r="W91" s="1156" t="str">
        <f>VLOOKUP('Cash Balance'!$C91,Table2[#All],MATCH('Cash Balance'!W$3,Acc_Char!$B$1:$I$1,0),0)</f>
        <v>VC3</v>
      </c>
      <c r="X91" s="1156" t="str">
        <f>VLOOKUP(IFERROR(MID($Y91,1,FIND("-",$Y91)-2),$Y91),Table3[#All],2,0)</f>
        <v>VTB</v>
      </c>
      <c r="Y91" s="1156" t="str">
        <f>VLOOKUP($B91,Table4[#All],2,0)</f>
        <v>VIETINBANK - CN1</v>
      </c>
      <c r="Z91" s="1151"/>
      <c r="AA91" s="49"/>
      <c r="AE91" s="818">
        <f>SUM(Table11[[#This Row],[CASH IN - CREDIT (VND)]],Table11[[#This Row],[CASH IN - CREDIT (USD)]])</f>
        <v>0</v>
      </c>
      <c r="AF91" s="818">
        <f>Table11[[#This Row],[CASH OUT - DEBIT (VND)]]+Table11[[#This Row],[CASH OUT - DEBIT (USD)]]</f>
        <v>0</v>
      </c>
      <c r="AH91" s="1158"/>
      <c r="AI91" s="49"/>
      <c r="AJ91" s="1158"/>
      <c r="AL91"/>
      <c r="AM91"/>
    </row>
    <row r="92" spans="1:39" ht="14.4">
      <c r="A92" s="1153" t="str">
        <f>VLOOKUP('Cash Balance'!$C92,Table2[#All],MATCH('Cash Balance'!A$3,Acc_Char!$B$1:$I$1,0),0)</f>
        <v>SAO HOA</v>
      </c>
      <c r="B92" s="1154" t="str">
        <f>VLOOKUP('Cash Balance'!$C92,Table2[#All],MATCH('Cash Balance'!B$3,Acc_Char!$B$1:$I$1,0),0)</f>
        <v>VIETINBANK - CN1</v>
      </c>
      <c r="C92" s="1086" t="s">
        <v>585</v>
      </c>
      <c r="D92" s="1156" t="str">
        <f>VLOOKUP('Cash Balance'!$C92,Table2[#All],MATCH('Cash Balance'!D$3,Acc_Char!$B$1:$I$1,0),0)</f>
        <v>Current Account</v>
      </c>
      <c r="E92" s="384" t="str">
        <f>VLOOKUP('Cash Balance'!$C92,Table2[#All],MATCH('Cash Balance'!E$3,Acc_Char!$B$1:$I$1,0),0)</f>
        <v>USD</v>
      </c>
      <c r="F92" s="1094" t="e">
        <f>VLOOKUP(C92,'Cash balance (BS)'!A:C,3,)</f>
        <v>#N/A</v>
      </c>
      <c r="G92" s="1157" t="e">
        <f t="shared" ref="G92:G104" si="16">F92-H92</f>
        <v>#N/A</v>
      </c>
      <c r="H92" s="1318">
        <f>SUMIFS('Cash balance (Prior period)'!F:F,'Cash balance (Prior period)'!C:C,Table11[[#This Row],[ACCOUNT NUMBER]],'Cash balance (Prior period)'!E:E,Table11[[#This Row],[CURRENCY]])</f>
        <v>0</v>
      </c>
      <c r="I92" s="1318">
        <f>SUMIFS(Movement!$F$4:$F$2136,Movement!$M$4:$M$2136,"VND",Movement!$C$4:$C$2136,Table11[[#This Row],[ACCOUNT NUMBER]],Movement!$J$4:$J$2136,Table11[[#This Row],[ENTITY]],Movement!$O$4:$O$2136,'Cash Balance'!$A$2)</f>
        <v>0</v>
      </c>
      <c r="J92" s="1318">
        <f>SUMIFS(Movement!$G$4:$G$2136,Movement!$M$4:$M$2136,"VND",Movement!$C$4:$C$2136,Table11[[#This Row],[ACCOUNT NUMBER]],Movement!$J$4:$J$2136,Table11[[#This Row],[ENTITY]],Movement!$O$4:$O$2136,'Cash Balance'!$A$2)</f>
        <v>0</v>
      </c>
      <c r="K92" s="1084">
        <f>Table11[[#This Row],[CASH IN - CREDIT (VND)]]-Table11[[#This Row],[CASH OUT - DEBIT (VND)]]</f>
        <v>0</v>
      </c>
      <c r="L92" s="1095">
        <f t="shared" si="13"/>
        <v>0</v>
      </c>
      <c r="M92" s="1184" t="e">
        <f>VLOOKUP(C92,'Cash balance (BS)'!A:D,4,)</f>
        <v>#N/A</v>
      </c>
      <c r="N92" s="1095" t="e">
        <f>Table11[[#This Row],[CLOSING BALANCE (VND)2]]-Table11[[#This Row],[CB_BS (VND)]]</f>
        <v>#N/A</v>
      </c>
      <c r="O92" s="1094">
        <v>0</v>
      </c>
      <c r="P92" s="1095">
        <f t="shared" si="14"/>
        <v>-541.76</v>
      </c>
      <c r="Q92" s="817">
        <f>SUMIFS('Cash balance (Prior period)'!G:G,'Cash balance (Prior period)'!C:C,Table11[[#This Row],[ACCOUNT NUMBER]],'Cash balance (Prior period)'!E:E,Table11[[#This Row],[CURRENCY]])</f>
        <v>541.76</v>
      </c>
      <c r="R92" s="817">
        <f>SUMIFS(Movement!$F$4:$F$2136,Movement!$M$4:$M$2136,"USD",Movement!$C$4:$C$2136,Table11[[#This Row],[ACCOUNT NUMBER]],Movement!$J$4:$J$2136,Table11[[#This Row],[ENTITY]],Movement!$O$4:$O$2136,'Cash Balance'!$A$2)</f>
        <v>0</v>
      </c>
      <c r="S92" s="817">
        <f>SUMIFS(Movement!$G$4:$G$2136,Movement!$M$4:$M$2136,"USD",Movement!$C$4:$C$2136,Table11[[#This Row],[ACCOUNT NUMBER]],Movement!$J$4:$J$2136,Table11[[#This Row],[ENTITY]],Movement!$O$4:$O$2136,'Cash Balance'!$A$2)</f>
        <v>0</v>
      </c>
      <c r="T92" s="1087">
        <f t="shared" si="15"/>
        <v>541.76</v>
      </c>
      <c r="U92" s="817"/>
      <c r="V92" s="817">
        <f>Table11[[#This Row],[CLOSING BALANCE (USD)]]-Table11[[#This Row],[CB_BS (USD)]]</f>
        <v>541.76</v>
      </c>
      <c r="W92" s="1156" t="str">
        <f>VLOOKUP('Cash Balance'!$C92,Table2[#All],MATCH('Cash Balance'!W$3,Acc_Char!$B$1:$I$1,0),0)</f>
        <v>VC3</v>
      </c>
      <c r="X92" s="1156" t="str">
        <f>VLOOKUP(IFERROR(MID($Y92,1,FIND("-",$Y92)-2),$Y92),Table3[#All],2,0)</f>
        <v>VTB</v>
      </c>
      <c r="Y92" s="1156" t="str">
        <f>VLOOKUP($B92,Table4[#All],2,0)</f>
        <v>VIETINBANK - CN1</v>
      </c>
      <c r="Z92" s="1151"/>
      <c r="AA92" s="49"/>
      <c r="AE92" s="818">
        <f>SUM(Table11[[#This Row],[CASH IN - CREDIT (VND)]],Table11[[#This Row],[CASH IN - CREDIT (USD)]])</f>
        <v>0</v>
      </c>
      <c r="AF92" s="818">
        <f>Table11[[#This Row],[CASH OUT - DEBIT (VND)]]+Table11[[#This Row],[CASH OUT - DEBIT (USD)]]</f>
        <v>0</v>
      </c>
      <c r="AH92" s="1158"/>
      <c r="AI92" s="49"/>
      <c r="AJ92" s="1158"/>
      <c r="AL92"/>
      <c r="AM92"/>
    </row>
    <row r="93" spans="1:39" ht="14.4">
      <c r="A93" s="1153" t="str">
        <f>VLOOKUP('Cash Balance'!$C93,Table2[#All],MATCH('Cash Balance'!A$3,Acc_Char!$B$1:$I$1,0),0)</f>
        <v>SAO HOA</v>
      </c>
      <c r="B93" s="1154" t="str">
        <f>VLOOKUP('Cash Balance'!$C93,Table2[#All],MATCH('Cash Balance'!B$3,Acc_Char!$B$1:$I$1,0),0)</f>
        <v>VIETINBANK - QUANG MINH</v>
      </c>
      <c r="C93" s="1086" t="s">
        <v>586</v>
      </c>
      <c r="D93" s="1156" t="str">
        <f>VLOOKUP('Cash Balance'!$C93,Table2[#All],MATCH('Cash Balance'!D$3,Acc_Char!$B$1:$I$1,0),0)</f>
        <v>Current Account</v>
      </c>
      <c r="E93" s="384" t="str">
        <f>VLOOKUP('Cash Balance'!$C93,Table2[#All],MATCH('Cash Balance'!E$3,Acc_Char!$B$1:$I$1,0),0)</f>
        <v>VND</v>
      </c>
      <c r="F93" s="1094" t="e">
        <f>VLOOKUP(C93,'Cash balance (BS)'!A:C,3,)</f>
        <v>#N/A</v>
      </c>
      <c r="G93" s="1157" t="e">
        <f t="shared" si="16"/>
        <v>#N/A</v>
      </c>
      <c r="H93" s="1318">
        <f>SUMIFS('Cash balance (Prior period)'!F:F,'Cash balance (Prior period)'!C:C,Table11[[#This Row],[ACCOUNT NUMBER]],'Cash balance (Prior period)'!E:E,Table11[[#This Row],[CURRENCY]])</f>
        <v>343824630</v>
      </c>
      <c r="I93" s="1318">
        <f>SUMIFS(Movement!$F$4:$F$2136,Movement!$M$4:$M$2136,"VND",Movement!$C$4:$C$2136,Table11[[#This Row],[ACCOUNT NUMBER]],Movement!$J$4:$J$2136,Table11[[#This Row],[ENTITY]],Movement!$O$4:$O$2136,'Cash Balance'!$A$2)</f>
        <v>0</v>
      </c>
      <c r="J93" s="1318">
        <f>SUMIFS(Movement!$G$4:$G$2136,Movement!$M$4:$M$2136,"VND",Movement!$C$4:$C$2136,Table11[[#This Row],[ACCOUNT NUMBER]],Movement!$J$4:$J$2136,Table11[[#This Row],[ENTITY]],Movement!$O$4:$O$2136,'Cash Balance'!$A$2)</f>
        <v>0</v>
      </c>
      <c r="K93" s="1084">
        <f>Table11[[#This Row],[CASH IN - CREDIT (VND)]]-Table11[[#This Row],[CASH OUT - DEBIT (VND)]]</f>
        <v>0</v>
      </c>
      <c r="L93" s="1095">
        <f t="shared" si="13"/>
        <v>343824630</v>
      </c>
      <c r="M93" s="1184" t="e">
        <f>VLOOKUP(C93,'Cash balance (BS)'!A:D,4,)</f>
        <v>#N/A</v>
      </c>
      <c r="N93" s="1095" t="e">
        <f>Table11[[#This Row],[CLOSING BALANCE (VND)2]]-Table11[[#This Row],[CB_BS (VND)]]</f>
        <v>#N/A</v>
      </c>
      <c r="O93" s="1094">
        <v>0</v>
      </c>
      <c r="P93" s="1095">
        <f t="shared" si="14"/>
        <v>0</v>
      </c>
      <c r="Q93" s="817">
        <f>SUMIFS('Cash balance (Prior period)'!G:G,'Cash balance (Prior period)'!C:C,Table11[[#This Row],[ACCOUNT NUMBER]],'Cash balance (Prior period)'!E:E,Table11[[#This Row],[CURRENCY]])</f>
        <v>0</v>
      </c>
      <c r="R93" s="817">
        <f>SUMIFS(Movement!$F$4:$F$2136,Movement!$M$4:$M$2136,"USD",Movement!$C$4:$C$2136,Table11[[#This Row],[ACCOUNT NUMBER]],Movement!$J$4:$J$2136,Table11[[#This Row],[ENTITY]],Movement!$O$4:$O$2136,'Cash Balance'!$A$2)</f>
        <v>0</v>
      </c>
      <c r="S93" s="817">
        <f>SUMIFS(Movement!$G$4:$G$2136,Movement!$M$4:$M$2136,"USD",Movement!$C$4:$C$2136,Table11[[#This Row],[ACCOUNT NUMBER]],Movement!$J$4:$J$2136,Table11[[#This Row],[ENTITY]],Movement!$O$4:$O$2136,'Cash Balance'!$A$2)</f>
        <v>0</v>
      </c>
      <c r="T93" s="1087">
        <f t="shared" si="15"/>
        <v>0</v>
      </c>
      <c r="U93" s="817"/>
      <c r="V93" s="817">
        <f>Table11[[#This Row],[CLOSING BALANCE (USD)]]-Table11[[#This Row],[CB_BS (USD)]]</f>
        <v>0</v>
      </c>
      <c r="W93" s="1156" t="str">
        <f>VLOOKUP('Cash Balance'!$C93,Table2[#All],MATCH('Cash Balance'!W$3,Acc_Char!$B$1:$I$1,0),0)</f>
        <v>VC3</v>
      </c>
      <c r="X93" s="1156" t="str">
        <f>VLOOKUP(IFERROR(MID($Y93,1,FIND("-",$Y93)-2),$Y93),Table3[#All],2,0)</f>
        <v>VTB</v>
      </c>
      <c r="Y93" s="1156" t="str">
        <f>VLOOKUP($B93,Table4[#All],2,0)</f>
        <v>VIETINBANK - BINH DUONG + QM</v>
      </c>
      <c r="Z93" s="1151"/>
      <c r="AA93" s="49"/>
      <c r="AE93" s="818">
        <f>SUM(Table11[[#This Row],[CASH IN - CREDIT (VND)]],Table11[[#This Row],[CASH IN - CREDIT (USD)]])</f>
        <v>0</v>
      </c>
      <c r="AF93" s="818">
        <f>Table11[[#This Row],[CASH OUT - DEBIT (VND)]]+Table11[[#This Row],[CASH OUT - DEBIT (USD)]]</f>
        <v>0</v>
      </c>
      <c r="AH93" s="1158"/>
      <c r="AI93" s="49"/>
      <c r="AJ93" s="1158"/>
      <c r="AL93"/>
      <c r="AM93"/>
    </row>
    <row r="94" spans="1:39" ht="14.4">
      <c r="A94" s="1153" t="str">
        <f>VLOOKUP('Cash Balance'!$C94,Table2[#All],MATCH('Cash Balance'!A$3,Acc_Char!$B$1:$I$1,0),0)</f>
        <v>SAO HOA</v>
      </c>
      <c r="B94" s="1154" t="str">
        <f>VLOOKUP('Cash Balance'!$C94,Table2[#All],MATCH('Cash Balance'!B$3,Acc_Char!$B$1:$I$1,0),0)</f>
        <v>VIETINBANK - TIEN SON</v>
      </c>
      <c r="C94" s="1086" t="s">
        <v>587</v>
      </c>
      <c r="D94" s="1156" t="str">
        <f>VLOOKUP('Cash Balance'!$C94,Table2[#All],MATCH('Cash Balance'!D$3,Acc_Char!$B$1:$I$1,0),0)</f>
        <v>Current Account</v>
      </c>
      <c r="E94" s="384" t="str">
        <f>VLOOKUP('Cash Balance'!$C94,Table2[#All],MATCH('Cash Balance'!E$3,Acc_Char!$B$1:$I$1,0),0)</f>
        <v>VND</v>
      </c>
      <c r="F94" s="1094" t="e">
        <f>VLOOKUP(C94,'Cash balance (BS)'!A:C,3,)</f>
        <v>#N/A</v>
      </c>
      <c r="G94" s="1157" t="e">
        <f t="shared" si="16"/>
        <v>#N/A</v>
      </c>
      <c r="H94" s="1318">
        <f>SUMIFS('Cash balance (Prior period)'!F:F,'Cash balance (Prior period)'!C:C,Table11[[#This Row],[ACCOUNT NUMBER]],'Cash balance (Prior period)'!E:E,Table11[[#This Row],[CURRENCY]])</f>
        <v>40385168617</v>
      </c>
      <c r="I94" s="1318">
        <f>SUMIFS(Movement!$F$4:$F$2136,Movement!$M$4:$M$2136,"VND",Movement!$C$4:$C$2136,Table11[[#This Row],[ACCOUNT NUMBER]],Movement!$J$4:$J$2136,Table11[[#This Row],[ENTITY]],Movement!$O$4:$O$2136,'Cash Balance'!$A$2)</f>
        <v>347977796092</v>
      </c>
      <c r="J94" s="1318">
        <f>SUMIFS(Movement!$G$4:$G$2136,Movement!$M$4:$M$2136,"VND",Movement!$C$4:$C$2136,Table11[[#This Row],[ACCOUNT NUMBER]],Movement!$J$4:$J$2136,Table11[[#This Row],[ENTITY]],Movement!$O$4:$O$2136,'Cash Balance'!$A$2)</f>
        <v>177026782168</v>
      </c>
      <c r="K94" s="1084">
        <f>Table11[[#This Row],[CASH IN - CREDIT (VND)]]-Table11[[#This Row],[CASH OUT - DEBIT (VND)]]</f>
        <v>170951013924</v>
      </c>
      <c r="L94" s="1095">
        <f t="shared" si="13"/>
        <v>211336182541</v>
      </c>
      <c r="M94" s="1184" t="e">
        <f>VLOOKUP(C94,'Cash balance (BS)'!A:D,4,)</f>
        <v>#N/A</v>
      </c>
      <c r="N94" s="1095" t="e">
        <f>Table11[[#This Row],[CLOSING BALANCE (VND)2]]-Table11[[#This Row],[CB_BS (VND)]]</f>
        <v>#N/A</v>
      </c>
      <c r="O94" s="1094">
        <v>0</v>
      </c>
      <c r="P94" s="1095">
        <f t="shared" si="14"/>
        <v>0</v>
      </c>
      <c r="Q94" s="817">
        <f>SUMIFS('Cash balance (Prior period)'!G:G,'Cash balance (Prior period)'!C:C,Table11[[#This Row],[ACCOUNT NUMBER]],'Cash balance (Prior period)'!E:E,Table11[[#This Row],[CURRENCY]])</f>
        <v>0</v>
      </c>
      <c r="R94" s="817">
        <f>SUMIFS(Movement!$F$4:$F$2136,Movement!$M$4:$M$2136,"USD",Movement!$C$4:$C$2136,Table11[[#This Row],[ACCOUNT NUMBER]],Movement!$J$4:$J$2136,Table11[[#This Row],[ENTITY]],Movement!$O$4:$O$2136,'Cash Balance'!$A$2)</f>
        <v>0</v>
      </c>
      <c r="S94" s="817">
        <f>SUMIFS(Movement!$G$4:$G$2136,Movement!$M$4:$M$2136,"USD",Movement!$C$4:$C$2136,Table11[[#This Row],[ACCOUNT NUMBER]],Movement!$J$4:$J$2136,Table11[[#This Row],[ENTITY]],Movement!$O$4:$O$2136,'Cash Balance'!$A$2)</f>
        <v>0</v>
      </c>
      <c r="T94" s="1087">
        <f t="shared" si="15"/>
        <v>0</v>
      </c>
      <c r="U94" s="817"/>
      <c r="V94" s="817">
        <f>Table11[[#This Row],[CLOSING BALANCE (USD)]]-Table11[[#This Row],[CB_BS (USD)]]</f>
        <v>0</v>
      </c>
      <c r="W94" s="1156" t="str">
        <f>VLOOKUP('Cash Balance'!$C94,Table2[#All],MATCH('Cash Balance'!W$3,Acc_Char!$B$1:$I$1,0),0)</f>
        <v>VC3</v>
      </c>
      <c r="X94" s="1156" t="str">
        <f>VLOOKUP(IFERROR(MID($Y94,1,FIND("-",$Y94)-2),$Y94),Table3[#All],2,0)</f>
        <v>VTB</v>
      </c>
      <c r="Y94" s="1156" t="str">
        <f>VLOOKUP($B94,Table4[#All],2,0)</f>
        <v>VIETINBANK - TIEN SON</v>
      </c>
      <c r="Z94" s="1151"/>
      <c r="AA94" s="49"/>
      <c r="AE94" s="818">
        <f>SUM(Table11[[#This Row],[CASH IN - CREDIT (VND)]],Table11[[#This Row],[CASH IN - CREDIT (USD)]])</f>
        <v>347977796092</v>
      </c>
      <c r="AF94" s="818">
        <f>Table11[[#This Row],[CASH OUT - DEBIT (VND)]]+Table11[[#This Row],[CASH OUT - DEBIT (USD)]]</f>
        <v>177026782168</v>
      </c>
      <c r="AH94" s="1158"/>
      <c r="AI94" s="49"/>
      <c r="AJ94" s="1158"/>
      <c r="AL94"/>
      <c r="AM94"/>
    </row>
    <row r="95" spans="1:39" ht="14.4">
      <c r="A95" s="1153" t="str">
        <f>VLOOKUP('Cash Balance'!$C95,Table2[#All],MATCH('Cash Balance'!A$3,Acc_Char!$B$1:$I$1,0),0)</f>
        <v>SAO HOA</v>
      </c>
      <c r="B95" s="1154" t="str">
        <f>VLOOKUP('Cash Balance'!$C95,Table2[#All],MATCH('Cash Balance'!B$3,Acc_Char!$B$1:$I$1,0),0)</f>
        <v>VIETINBANK - TIEN SON</v>
      </c>
      <c r="C95" s="1086" t="s">
        <v>588</v>
      </c>
      <c r="D95" s="1156" t="str">
        <f>VLOOKUP('Cash Balance'!$C95,Table2[#All],MATCH('Cash Balance'!D$3,Acc_Char!$B$1:$I$1,0),0)</f>
        <v>Current Account</v>
      </c>
      <c r="E95" s="384" t="str">
        <f>VLOOKUP('Cash Balance'!$C95,Table2[#All],MATCH('Cash Balance'!E$3,Acc_Char!$B$1:$I$1,0),0)</f>
        <v>USD</v>
      </c>
      <c r="F95" s="1094" t="e">
        <f>VLOOKUP(C95,'Cash balance (BS)'!A:C,3,)</f>
        <v>#N/A</v>
      </c>
      <c r="G95" s="1157" t="e">
        <f t="shared" si="16"/>
        <v>#N/A</v>
      </c>
      <c r="H95" s="1318">
        <f>SUMIFS('Cash balance (Prior period)'!F:F,'Cash balance (Prior period)'!C:C,Table11[[#This Row],[ACCOUNT NUMBER]],'Cash balance (Prior period)'!E:E,Table11[[#This Row],[CURRENCY]])</f>
        <v>0</v>
      </c>
      <c r="I95" s="1318">
        <f>SUMIFS(Movement!$F$4:$F$2136,Movement!$M$4:$M$2136,"VND",Movement!$C$4:$C$2136,Table11[[#This Row],[ACCOUNT NUMBER]],Movement!$J$4:$J$2136,Table11[[#This Row],[ENTITY]],Movement!$O$4:$O$2136,'Cash Balance'!$A$2)</f>
        <v>0</v>
      </c>
      <c r="J95" s="1318">
        <f>SUMIFS(Movement!$G$4:$G$2136,Movement!$M$4:$M$2136,"VND",Movement!$C$4:$C$2136,Table11[[#This Row],[ACCOUNT NUMBER]],Movement!$J$4:$J$2136,Table11[[#This Row],[ENTITY]],Movement!$O$4:$O$2136,'Cash Balance'!$A$2)</f>
        <v>0</v>
      </c>
      <c r="K95" s="1084">
        <f>Table11[[#This Row],[CASH IN - CREDIT (VND)]]-Table11[[#This Row],[CASH OUT - DEBIT (VND)]]</f>
        <v>0</v>
      </c>
      <c r="L95" s="1095">
        <f t="shared" si="13"/>
        <v>0</v>
      </c>
      <c r="M95" s="1184" t="e">
        <f>VLOOKUP(C95,'Cash balance (BS)'!A:D,4,)</f>
        <v>#N/A</v>
      </c>
      <c r="N95" s="1095" t="e">
        <f>Table11[[#This Row],[CLOSING BALANCE (VND)2]]-Table11[[#This Row],[CB_BS (VND)]]</f>
        <v>#N/A</v>
      </c>
      <c r="O95" s="1094">
        <v>0</v>
      </c>
      <c r="P95" s="1095">
        <f t="shared" si="14"/>
        <v>-438.53</v>
      </c>
      <c r="Q95" s="817">
        <f>SUMIFS('Cash balance (Prior period)'!G:G,'Cash balance (Prior period)'!C:C,Table11[[#This Row],[ACCOUNT NUMBER]],'Cash balance (Prior period)'!E:E,Table11[[#This Row],[CURRENCY]])</f>
        <v>438.53</v>
      </c>
      <c r="R95" s="817">
        <f>SUMIFS(Movement!$F$4:$F$2136,Movement!$M$4:$M$2136,"USD",Movement!$C$4:$C$2136,Table11[[#This Row],[ACCOUNT NUMBER]],Movement!$J$4:$J$2136,Table11[[#This Row],[ENTITY]],Movement!$O$4:$O$2136,'Cash Balance'!$A$2)</f>
        <v>0</v>
      </c>
      <c r="S95" s="817">
        <f>SUMIFS(Movement!$G$4:$G$2136,Movement!$M$4:$M$2136,"USD",Movement!$C$4:$C$2136,Table11[[#This Row],[ACCOUNT NUMBER]],Movement!$J$4:$J$2136,Table11[[#This Row],[ENTITY]],Movement!$O$4:$O$2136,'Cash Balance'!$A$2)</f>
        <v>0</v>
      </c>
      <c r="T95" s="1087">
        <f t="shared" si="15"/>
        <v>438.53</v>
      </c>
      <c r="U95" s="817"/>
      <c r="V95" s="817">
        <f>Table11[[#This Row],[CLOSING BALANCE (USD)]]-Table11[[#This Row],[CB_BS (USD)]]</f>
        <v>438.53</v>
      </c>
      <c r="W95" s="1156" t="str">
        <f>VLOOKUP('Cash Balance'!$C95,Table2[#All],MATCH('Cash Balance'!W$3,Acc_Char!$B$1:$I$1,0),0)</f>
        <v>VC3</v>
      </c>
      <c r="X95" s="1156" t="str">
        <f>VLOOKUP(IFERROR(MID($Y95,1,FIND("-",$Y95)-2),$Y95),Table3[#All],2,0)</f>
        <v>VTB</v>
      </c>
      <c r="Y95" s="1156" t="str">
        <f>VLOOKUP($B95,Table4[#All],2,0)</f>
        <v>VIETINBANK - TIEN SON</v>
      </c>
      <c r="Z95" s="1151"/>
      <c r="AA95" s="49"/>
      <c r="AE95" s="818">
        <f>SUM(Table11[[#This Row],[CASH IN - CREDIT (VND)]],Table11[[#This Row],[CASH IN - CREDIT (USD)]])</f>
        <v>0</v>
      </c>
      <c r="AF95" s="818">
        <f>Table11[[#This Row],[CASH OUT - DEBIT (VND)]]+Table11[[#This Row],[CASH OUT - DEBIT (USD)]]</f>
        <v>0</v>
      </c>
      <c r="AH95" s="1158"/>
      <c r="AI95" s="49"/>
      <c r="AJ95" s="1158"/>
      <c r="AL95"/>
      <c r="AM95"/>
    </row>
    <row r="96" spans="1:39" ht="14.4">
      <c r="A96" s="1153" t="str">
        <f>VLOOKUP('Cash Balance'!$C96,Table2[#All],MATCH('Cash Balance'!A$3,Acc_Char!$B$1:$I$1,0),0)</f>
        <v>SAO HOA</v>
      </c>
      <c r="B96" s="1154" t="str">
        <f>VLOOKUP('Cash Balance'!$C96,Table2[#All],MATCH('Cash Balance'!B$3,Acc_Char!$B$1:$I$1,0),0)</f>
        <v>VIETINBANK - BINH DUONG</v>
      </c>
      <c r="C96" s="1086" t="s">
        <v>589</v>
      </c>
      <c r="D96" s="1156" t="str">
        <f>VLOOKUP('Cash Balance'!$C96,Table2[#All],MATCH('Cash Balance'!D$3,Acc_Char!$B$1:$I$1,0),0)</f>
        <v>Current Account</v>
      </c>
      <c r="E96" s="384" t="str">
        <f>VLOOKUP('Cash Balance'!$C96,Table2[#All],MATCH('Cash Balance'!E$3,Acc_Char!$B$1:$I$1,0),0)</f>
        <v>VND</v>
      </c>
      <c r="F96" s="1094" t="e">
        <f>VLOOKUP(C96,'Cash balance (BS)'!A:C,3,)</f>
        <v>#N/A</v>
      </c>
      <c r="G96" s="1157" t="e">
        <f t="shared" si="16"/>
        <v>#N/A</v>
      </c>
      <c r="H96" s="1318">
        <f>SUMIFS('Cash balance (Prior period)'!F:F,'Cash balance (Prior period)'!C:C,Table11[[#This Row],[ACCOUNT NUMBER]],'Cash balance (Prior period)'!E:E,Table11[[#This Row],[CURRENCY]])</f>
        <v>9682550172</v>
      </c>
      <c r="I96" s="1318">
        <f>SUMIFS(Movement!$F$4:$F$2136,Movement!$M$4:$M$2136,"VND",Movement!$C$4:$C$2136,Table11[[#This Row],[ACCOUNT NUMBER]],Movement!$J$4:$J$2136,Table11[[#This Row],[ENTITY]],Movement!$O$4:$O$2136,'Cash Balance'!$A$2)</f>
        <v>100401424658</v>
      </c>
      <c r="J96" s="1318">
        <f>SUMIFS(Movement!$G$4:$G$2136,Movement!$M$4:$M$2136,"VND",Movement!$C$4:$C$2136,Table11[[#This Row],[ACCOUNT NUMBER]],Movement!$J$4:$J$2136,Table11[[#This Row],[ENTITY]],Movement!$O$4:$O$2136,'Cash Balance'!$A$2)</f>
        <v>0</v>
      </c>
      <c r="K96" s="1084">
        <f>Table11[[#This Row],[CASH IN - CREDIT (VND)]]-Table11[[#This Row],[CASH OUT - DEBIT (VND)]]</f>
        <v>100401424658</v>
      </c>
      <c r="L96" s="1095">
        <f t="shared" si="13"/>
        <v>110083974830</v>
      </c>
      <c r="M96" s="1184" t="e">
        <f>VLOOKUP(C96,'Cash balance (BS)'!A:D,4,)</f>
        <v>#N/A</v>
      </c>
      <c r="N96" s="1095" t="e">
        <f>Table11[[#This Row],[CLOSING BALANCE (VND)2]]-Table11[[#This Row],[CB_BS (VND)]]</f>
        <v>#N/A</v>
      </c>
      <c r="O96" s="1094">
        <v>0</v>
      </c>
      <c r="P96" s="1095">
        <f t="shared" si="14"/>
        <v>0</v>
      </c>
      <c r="Q96" s="817">
        <f>SUMIFS('Cash balance (Prior period)'!G:G,'Cash balance (Prior period)'!C:C,Table11[[#This Row],[ACCOUNT NUMBER]],'Cash balance (Prior period)'!E:E,Table11[[#This Row],[CURRENCY]])</f>
        <v>0</v>
      </c>
      <c r="R96" s="817">
        <f>SUMIFS(Movement!$F$4:$F$2136,Movement!$M$4:$M$2136,"USD",Movement!$C$4:$C$2136,Table11[[#This Row],[ACCOUNT NUMBER]],Movement!$J$4:$J$2136,Table11[[#This Row],[ENTITY]],Movement!$O$4:$O$2136,'Cash Balance'!$A$2)</f>
        <v>0</v>
      </c>
      <c r="S96" s="817">
        <f>SUMIFS(Movement!$G$4:$G$2136,Movement!$M$4:$M$2136,"USD",Movement!$C$4:$C$2136,Table11[[#This Row],[ACCOUNT NUMBER]],Movement!$J$4:$J$2136,Table11[[#This Row],[ENTITY]],Movement!$O$4:$O$2136,'Cash Balance'!$A$2)</f>
        <v>0</v>
      </c>
      <c r="T96" s="1087">
        <f t="shared" si="15"/>
        <v>0</v>
      </c>
      <c r="U96" s="817"/>
      <c r="V96" s="817">
        <f>Table11[[#This Row],[CLOSING BALANCE (USD)]]-Table11[[#This Row],[CB_BS (USD)]]</f>
        <v>0</v>
      </c>
      <c r="W96" s="1156" t="str">
        <f>VLOOKUP('Cash Balance'!$C96,Table2[#All],MATCH('Cash Balance'!W$3,Acc_Char!$B$1:$I$1,0),0)</f>
        <v>VC3</v>
      </c>
      <c r="X96" s="1156" t="str">
        <f>VLOOKUP(IFERROR(MID($Y96,1,FIND("-",$Y96)-2),$Y96),Table3[#All],2,0)</f>
        <v>VTB</v>
      </c>
      <c r="Y96" s="1156" t="str">
        <f>VLOOKUP($B96,Table4[#All],2,0)</f>
        <v>VIETINBANK - BINH DUONG + QM</v>
      </c>
      <c r="Z96" s="1151"/>
      <c r="AA96" s="49"/>
      <c r="AE96" s="818">
        <f>SUM(Table11[[#This Row],[CASH IN - CREDIT (VND)]],Table11[[#This Row],[CASH IN - CREDIT (USD)]])</f>
        <v>100401424658</v>
      </c>
      <c r="AF96" s="818">
        <f>Table11[[#This Row],[CASH OUT - DEBIT (VND)]]+Table11[[#This Row],[CASH OUT - DEBIT (USD)]]</f>
        <v>0</v>
      </c>
      <c r="AH96" s="1158"/>
      <c r="AI96" s="49"/>
      <c r="AJ96" s="1158"/>
      <c r="AL96"/>
      <c r="AM96"/>
    </row>
    <row r="97" spans="1:39" ht="14.4">
      <c r="A97" s="1153" t="str">
        <f>VLOOKUP('Cash Balance'!$C97,Table2[#All],MATCH('Cash Balance'!A$3,Acc_Char!$B$1:$I$1,0),0)</f>
        <v>SAO HOA</v>
      </c>
      <c r="B97" s="1154" t="str">
        <f>VLOOKUP('Cash Balance'!$C97,Table2[#All],MATCH('Cash Balance'!B$3,Acc_Char!$B$1:$I$1,0),0)</f>
        <v>VIETINBANK - BINH DUONG</v>
      </c>
      <c r="C97" s="1086" t="s">
        <v>590</v>
      </c>
      <c r="D97" s="1156" t="str">
        <f>VLOOKUP('Cash Balance'!$C97,Table2[#All],MATCH('Cash Balance'!D$3,Acc_Char!$B$1:$I$1,0),0)</f>
        <v>Current Account</v>
      </c>
      <c r="E97" s="384" t="str">
        <f>VLOOKUP('Cash Balance'!$C97,Table2[#All],MATCH('Cash Balance'!E$3,Acc_Char!$B$1:$I$1,0),0)</f>
        <v>USD</v>
      </c>
      <c r="F97" s="1094" t="e">
        <f>VLOOKUP(C97,'Cash balance (BS)'!A:C,3,)</f>
        <v>#N/A</v>
      </c>
      <c r="G97" s="1157" t="e">
        <f t="shared" si="16"/>
        <v>#N/A</v>
      </c>
      <c r="H97" s="1318">
        <f>SUMIFS('Cash balance (Prior period)'!F:F,'Cash balance (Prior period)'!C:C,Table11[[#This Row],[ACCOUNT NUMBER]],'Cash balance (Prior period)'!E:E,Table11[[#This Row],[CURRENCY]])</f>
        <v>0</v>
      </c>
      <c r="I97" s="1318">
        <f>SUMIFS(Movement!$F$4:$F$2136,Movement!$M$4:$M$2136,"VND",Movement!$C$4:$C$2136,Table11[[#This Row],[ACCOUNT NUMBER]],Movement!$J$4:$J$2136,Table11[[#This Row],[ENTITY]],Movement!$O$4:$O$2136,'Cash Balance'!$A$2)</f>
        <v>0</v>
      </c>
      <c r="J97" s="1318">
        <f>SUMIFS(Movement!$G$4:$G$2136,Movement!$M$4:$M$2136,"VND",Movement!$C$4:$C$2136,Table11[[#This Row],[ACCOUNT NUMBER]],Movement!$J$4:$J$2136,Table11[[#This Row],[ENTITY]],Movement!$O$4:$O$2136,'Cash Balance'!$A$2)</f>
        <v>0</v>
      </c>
      <c r="K97" s="1084">
        <f>Table11[[#This Row],[CASH IN - CREDIT (VND)]]-Table11[[#This Row],[CASH OUT - DEBIT (VND)]]</f>
        <v>0</v>
      </c>
      <c r="L97" s="1095">
        <f t="shared" si="13"/>
        <v>0</v>
      </c>
      <c r="M97" s="1184" t="e">
        <f>VLOOKUP(C97,'Cash balance (BS)'!A:D,4,)</f>
        <v>#N/A</v>
      </c>
      <c r="N97" s="1095" t="e">
        <f>Table11[[#This Row],[CLOSING BALANCE (VND)2]]-Table11[[#This Row],[CB_BS (VND)]]</f>
        <v>#N/A</v>
      </c>
      <c r="O97" s="1094">
        <v>0</v>
      </c>
      <c r="P97" s="1095">
        <f t="shared" si="14"/>
        <v>-1812.22</v>
      </c>
      <c r="Q97" s="817">
        <f>SUMIFS('Cash balance (Prior period)'!G:G,'Cash balance (Prior period)'!C:C,Table11[[#This Row],[ACCOUNT NUMBER]],'Cash balance (Prior period)'!E:E,Table11[[#This Row],[CURRENCY]])</f>
        <v>1812.22</v>
      </c>
      <c r="R97" s="817">
        <f>SUMIFS(Movement!$F$4:$F$2136,Movement!$M$4:$M$2136,"USD",Movement!$C$4:$C$2136,Table11[[#This Row],[ACCOUNT NUMBER]],Movement!$J$4:$J$2136,Table11[[#This Row],[ENTITY]],Movement!$O$4:$O$2136,'Cash Balance'!$A$2)</f>
        <v>0</v>
      </c>
      <c r="S97" s="817">
        <f>SUMIFS(Movement!$G$4:$G$2136,Movement!$M$4:$M$2136,"USD",Movement!$C$4:$C$2136,Table11[[#This Row],[ACCOUNT NUMBER]],Movement!$J$4:$J$2136,Table11[[#This Row],[ENTITY]],Movement!$O$4:$O$2136,'Cash Balance'!$A$2)</f>
        <v>0</v>
      </c>
      <c r="T97" s="1087">
        <f t="shared" si="15"/>
        <v>1812.22</v>
      </c>
      <c r="U97" s="817"/>
      <c r="V97" s="817">
        <f>Table11[[#This Row],[CLOSING BALANCE (USD)]]-Table11[[#This Row],[CB_BS (USD)]]</f>
        <v>1812.22</v>
      </c>
      <c r="W97" s="1156" t="str">
        <f>VLOOKUP('Cash Balance'!$C97,Table2[#All],MATCH('Cash Balance'!W$3,Acc_Char!$B$1:$I$1,0),0)</f>
        <v>VC3</v>
      </c>
      <c r="X97" s="1156" t="str">
        <f>VLOOKUP(IFERROR(MID($Y97,1,FIND("-",$Y97)-2),$Y97),Table3[#All],2,0)</f>
        <v>VTB</v>
      </c>
      <c r="Y97" s="1156" t="str">
        <f>VLOOKUP($B97,Table4[#All],2,0)</f>
        <v>VIETINBANK - BINH DUONG + QM</v>
      </c>
      <c r="Z97" s="1151"/>
      <c r="AA97" s="49"/>
      <c r="AE97" s="818">
        <f>SUM(Table11[[#This Row],[CASH IN - CREDIT (VND)]],Table11[[#This Row],[CASH IN - CREDIT (USD)]])</f>
        <v>0</v>
      </c>
      <c r="AF97" s="818">
        <f>Table11[[#This Row],[CASH OUT - DEBIT (VND)]]+Table11[[#This Row],[CASH OUT - DEBIT (USD)]]</f>
        <v>0</v>
      </c>
      <c r="AH97" s="1158"/>
      <c r="AI97" s="49"/>
      <c r="AJ97" s="1158"/>
      <c r="AL97"/>
      <c r="AM97"/>
    </row>
    <row r="98" spans="1:39" ht="14.4">
      <c r="A98" s="1153" t="str">
        <f>VLOOKUP('Cash Balance'!$C98,Table2[#All],MATCH('Cash Balance'!A$3,Acc_Char!$B$1:$I$1,0),0)</f>
        <v>SAO HOA</v>
      </c>
      <c r="B98" s="1154" t="str">
        <f>VLOOKUP('Cash Balance'!$C98,Table2[#All],MATCH('Cash Balance'!B$3,Acc_Char!$B$1:$I$1,0),0)</f>
        <v>VIETCOMBANK - HCM</v>
      </c>
      <c r="C98" s="1086" t="s">
        <v>591</v>
      </c>
      <c r="D98" s="1156" t="str">
        <f>VLOOKUP('Cash Balance'!$C98,Table2[#All],MATCH('Cash Balance'!D$3,Acc_Char!$B$1:$I$1,0),0)</f>
        <v>Current Account</v>
      </c>
      <c r="E98" s="384" t="str">
        <f>VLOOKUP('Cash Balance'!$C98,Table2[#All],MATCH('Cash Balance'!E$3,Acc_Char!$B$1:$I$1,0),0)</f>
        <v>VND</v>
      </c>
      <c r="F98" s="1094" t="e">
        <f>VLOOKUP(C98,'Cash balance (BS)'!A:C,3,)</f>
        <v>#N/A</v>
      </c>
      <c r="G98" s="1157" t="e">
        <f t="shared" si="16"/>
        <v>#N/A</v>
      </c>
      <c r="H98" s="1318">
        <f>SUMIFS('Cash balance (Prior period)'!F:F,'Cash balance (Prior period)'!C:C,Table11[[#This Row],[ACCOUNT NUMBER]],'Cash balance (Prior period)'!E:E,Table11[[#This Row],[CURRENCY]])</f>
        <v>5415885621</v>
      </c>
      <c r="I98" s="1318">
        <f>SUMIFS(Movement!$F$4:$F$2136,Movement!$M$4:$M$2136,"VND",Movement!$C$4:$C$2136,Table11[[#This Row],[ACCOUNT NUMBER]],Movement!$J$4:$J$2136,Table11[[#This Row],[ENTITY]],Movement!$O$4:$O$2136,'Cash Balance'!$A$2)</f>
        <v>602420547945</v>
      </c>
      <c r="J98" s="1318">
        <f>SUMIFS(Movement!$G$4:$G$2136,Movement!$M$4:$M$2136,"VND",Movement!$C$4:$C$2136,Table11[[#This Row],[ACCOUNT NUMBER]],Movement!$J$4:$J$2136,Table11[[#This Row],[ENTITY]],Movement!$O$4:$O$2136,'Cash Balance'!$A$2)</f>
        <v>600000000000</v>
      </c>
      <c r="K98" s="1084">
        <f>Table11[[#This Row],[CASH IN - CREDIT (VND)]]-Table11[[#This Row],[CASH OUT - DEBIT (VND)]]</f>
        <v>2420547945</v>
      </c>
      <c r="L98" s="1095">
        <f t="shared" si="13"/>
        <v>7836433566</v>
      </c>
      <c r="M98" s="1184" t="e">
        <f>VLOOKUP(C98,'Cash balance (BS)'!A:D,4,)</f>
        <v>#N/A</v>
      </c>
      <c r="N98" s="1095" t="e">
        <f>Table11[[#This Row],[CLOSING BALANCE (VND)2]]-Table11[[#This Row],[CB_BS (VND)]]</f>
        <v>#N/A</v>
      </c>
      <c r="O98" s="1094">
        <v>0</v>
      </c>
      <c r="P98" s="1095">
        <f t="shared" si="14"/>
        <v>0</v>
      </c>
      <c r="Q98" s="817">
        <f>SUMIFS('Cash balance (Prior period)'!G:G,'Cash balance (Prior period)'!C:C,Table11[[#This Row],[ACCOUNT NUMBER]],'Cash balance (Prior period)'!E:E,Table11[[#This Row],[CURRENCY]])</f>
        <v>0</v>
      </c>
      <c r="R98" s="817">
        <f>SUMIFS(Movement!$F$4:$F$2136,Movement!$M$4:$M$2136,"USD",Movement!$C$4:$C$2136,Table11[[#This Row],[ACCOUNT NUMBER]],Movement!$J$4:$J$2136,Table11[[#This Row],[ENTITY]],Movement!$O$4:$O$2136,'Cash Balance'!$A$2)</f>
        <v>0</v>
      </c>
      <c r="S98" s="817">
        <f>SUMIFS(Movement!$G$4:$G$2136,Movement!$M$4:$M$2136,"USD",Movement!$C$4:$C$2136,Table11[[#This Row],[ACCOUNT NUMBER]],Movement!$J$4:$J$2136,Table11[[#This Row],[ENTITY]],Movement!$O$4:$O$2136,'Cash Balance'!$A$2)</f>
        <v>0</v>
      </c>
      <c r="T98" s="1087">
        <f t="shared" si="15"/>
        <v>0</v>
      </c>
      <c r="U98" s="817"/>
      <c r="V98" s="817">
        <f>Table11[[#This Row],[CLOSING BALANCE (USD)]]-Table11[[#This Row],[CB_BS (USD)]]</f>
        <v>0</v>
      </c>
      <c r="W98" s="1156" t="str">
        <f>VLOOKUP('Cash Balance'!$C98,Table2[#All],MATCH('Cash Balance'!W$3,Acc_Char!$B$1:$I$1,0),0)</f>
        <v>VC3</v>
      </c>
      <c r="X98" s="1156" t="str">
        <f>VLOOKUP(IFERROR(MID($Y98,1,FIND("-",$Y98)-2),$Y98),Table3[#All],2,0)</f>
        <v>VCB</v>
      </c>
      <c r="Y98" s="1156" t="str">
        <f>VLOOKUP($B98,Table4[#All],2,0)</f>
        <v>VIETCOMBANK - HCM</v>
      </c>
      <c r="Z98" s="1151"/>
      <c r="AA98" s="49"/>
      <c r="AE98" s="818">
        <f>SUM(Table11[[#This Row],[CASH IN - CREDIT (VND)]],Table11[[#This Row],[CASH IN - CREDIT (USD)]])</f>
        <v>602420547945</v>
      </c>
      <c r="AF98" s="818">
        <f>Table11[[#This Row],[CASH OUT - DEBIT (VND)]]+Table11[[#This Row],[CASH OUT - DEBIT (USD)]]</f>
        <v>600000000000</v>
      </c>
      <c r="AH98" s="1158"/>
      <c r="AI98" s="49"/>
      <c r="AJ98" s="1158"/>
      <c r="AL98"/>
      <c r="AM98"/>
    </row>
    <row r="99" spans="1:39" ht="14.4">
      <c r="A99" s="1153" t="str">
        <f>VLOOKUP('Cash Balance'!$C99,Table2[#All],MATCH('Cash Balance'!A$3,Acc_Char!$B$1:$I$1,0),0)</f>
        <v>SAO HOA</v>
      </c>
      <c r="B99" s="1154" t="str">
        <f>VLOOKUP('Cash Balance'!$C99,Table2[#All],MATCH('Cash Balance'!B$3,Acc_Char!$B$1:$I$1,0),0)</f>
        <v>VIETCOMBANK - HCM</v>
      </c>
      <c r="C99" s="1086" t="s">
        <v>592</v>
      </c>
      <c r="D99" s="1156" t="str">
        <f>VLOOKUP('Cash Balance'!$C99,Table2[#All],MATCH('Cash Balance'!D$3,Acc_Char!$B$1:$I$1,0),0)</f>
        <v>Current Account</v>
      </c>
      <c r="E99" s="384" t="str">
        <f>VLOOKUP('Cash Balance'!$C99,Table2[#All],MATCH('Cash Balance'!E$3,Acc_Char!$B$1:$I$1,0),0)</f>
        <v>USD</v>
      </c>
      <c r="F99" s="1094" t="e">
        <f>VLOOKUP(C99,'Cash balance (BS)'!A:C,3,)</f>
        <v>#N/A</v>
      </c>
      <c r="G99" s="1157" t="e">
        <f t="shared" si="16"/>
        <v>#N/A</v>
      </c>
      <c r="H99" s="1318">
        <f>SUMIFS('Cash balance (Prior period)'!F:F,'Cash balance (Prior period)'!C:C,Table11[[#This Row],[ACCOUNT NUMBER]],'Cash balance (Prior period)'!E:E,Table11[[#This Row],[CURRENCY]])</f>
        <v>0</v>
      </c>
      <c r="I99" s="1318">
        <f>SUMIFS(Movement!$F$4:$F$2136,Movement!$M$4:$M$2136,"VND",Movement!$C$4:$C$2136,Table11[[#This Row],[ACCOUNT NUMBER]],Movement!$J$4:$J$2136,Table11[[#This Row],[ENTITY]],Movement!$O$4:$O$2136,'Cash Balance'!$A$2)</f>
        <v>0</v>
      </c>
      <c r="J99" s="1318">
        <f>SUMIFS(Movement!$G$4:$G$2136,Movement!$M$4:$M$2136,"VND",Movement!$C$4:$C$2136,Table11[[#This Row],[ACCOUNT NUMBER]],Movement!$J$4:$J$2136,Table11[[#This Row],[ENTITY]],Movement!$O$4:$O$2136,'Cash Balance'!$A$2)</f>
        <v>0</v>
      </c>
      <c r="K99" s="1084">
        <f>Table11[[#This Row],[CASH IN - CREDIT (VND)]]-Table11[[#This Row],[CASH OUT - DEBIT (VND)]]</f>
        <v>0</v>
      </c>
      <c r="L99" s="1095">
        <f t="shared" si="13"/>
        <v>0</v>
      </c>
      <c r="M99" s="1184" t="e">
        <f>VLOOKUP(C99,'Cash balance (BS)'!A:D,4,)</f>
        <v>#N/A</v>
      </c>
      <c r="N99" s="1095" t="e">
        <f>Table11[[#This Row],[CLOSING BALANCE (VND)2]]-Table11[[#This Row],[CB_BS (VND)]]</f>
        <v>#N/A</v>
      </c>
      <c r="O99" s="1094">
        <v>0</v>
      </c>
      <c r="P99" s="1095">
        <f t="shared" si="14"/>
        <v>-92.500000000000014</v>
      </c>
      <c r="Q99" s="817">
        <f>SUMIFS('Cash balance (Prior period)'!G:G,'Cash balance (Prior period)'!C:C,Table11[[#This Row],[ACCOUNT NUMBER]],'Cash balance (Prior period)'!E:E,Table11[[#This Row],[CURRENCY]])</f>
        <v>92.500000000000014</v>
      </c>
      <c r="R99" s="817">
        <f>SUMIFS(Movement!$F$4:$F$2136,Movement!$M$4:$M$2136,"USD",Movement!$C$4:$C$2136,Table11[[#This Row],[ACCOUNT NUMBER]],Movement!$J$4:$J$2136,Table11[[#This Row],[ENTITY]],Movement!$O$4:$O$2136,'Cash Balance'!$A$2)</f>
        <v>0</v>
      </c>
      <c r="S99" s="817">
        <f>SUMIFS(Movement!$G$4:$G$2136,Movement!$M$4:$M$2136,"USD",Movement!$C$4:$C$2136,Table11[[#This Row],[ACCOUNT NUMBER]],Movement!$J$4:$J$2136,Table11[[#This Row],[ENTITY]],Movement!$O$4:$O$2136,'Cash Balance'!$A$2)</f>
        <v>0</v>
      </c>
      <c r="T99" s="1087">
        <f t="shared" si="15"/>
        <v>92.500000000000014</v>
      </c>
      <c r="U99" s="817"/>
      <c r="V99" s="817">
        <f>Table11[[#This Row],[CLOSING BALANCE (USD)]]-Table11[[#This Row],[CB_BS (USD)]]</f>
        <v>92.500000000000014</v>
      </c>
      <c r="W99" s="1156" t="str">
        <f>VLOOKUP('Cash Balance'!$C99,Table2[#All],MATCH('Cash Balance'!W$3,Acc_Char!$B$1:$I$1,0),0)</f>
        <v>VC3</v>
      </c>
      <c r="X99" s="1156" t="str">
        <f>VLOOKUP(IFERROR(MID($Y99,1,FIND("-",$Y99)-2),$Y99),Table3[#All],2,0)</f>
        <v>VCB</v>
      </c>
      <c r="Y99" s="1156" t="str">
        <f>VLOOKUP($B99,Table4[#All],2,0)</f>
        <v>VIETCOMBANK - HCM</v>
      </c>
      <c r="Z99" s="1151"/>
      <c r="AA99" s="49"/>
      <c r="AE99" s="818">
        <f>SUM(Table11[[#This Row],[CASH IN - CREDIT (VND)]],Table11[[#This Row],[CASH IN - CREDIT (USD)]])</f>
        <v>0</v>
      </c>
      <c r="AF99" s="818">
        <f>Table11[[#This Row],[CASH OUT - DEBIT (VND)]]+Table11[[#This Row],[CASH OUT - DEBIT (USD)]]</f>
        <v>0</v>
      </c>
      <c r="AH99" s="1158"/>
      <c r="AI99" s="49"/>
      <c r="AJ99" s="1158"/>
      <c r="AL99"/>
      <c r="AM99"/>
    </row>
    <row r="100" spans="1:39" ht="14.4">
      <c r="A100" s="1153" t="str">
        <f>VLOOKUP('Cash Balance'!$C100,Table2[#All],MATCH('Cash Balance'!A$3,Acc_Char!$B$1:$I$1,0),0)</f>
        <v>SAO HOA</v>
      </c>
      <c r="B100" s="1154" t="str">
        <f>VLOOKUP('Cash Balance'!$C100,Table2[#All],MATCH('Cash Balance'!B$3,Acc_Char!$B$1:$I$1,0),0)</f>
        <v>VIETCOMBANK - BA DINH</v>
      </c>
      <c r="C100" s="1086" t="s">
        <v>593</v>
      </c>
      <c r="D100" s="1156" t="str">
        <f>VLOOKUP('Cash Balance'!$C100,Table2[#All],MATCH('Cash Balance'!D$3,Acc_Char!$B$1:$I$1,0),0)</f>
        <v>Current Account</v>
      </c>
      <c r="E100" s="384" t="str">
        <f>VLOOKUP('Cash Balance'!$C100,Table2[#All],MATCH('Cash Balance'!E$3,Acc_Char!$B$1:$I$1,0),0)</f>
        <v>VND</v>
      </c>
      <c r="F100" s="1094" t="e">
        <f>VLOOKUP(C100,'Cash balance (BS)'!A:C,3,)</f>
        <v>#N/A</v>
      </c>
      <c r="G100" s="1157" t="e">
        <f t="shared" si="16"/>
        <v>#N/A</v>
      </c>
      <c r="H100" s="1318">
        <f>SUMIFS('Cash balance (Prior period)'!F:F,'Cash balance (Prior period)'!C:C,Table11[[#This Row],[ACCOUNT NUMBER]],'Cash balance (Prior period)'!E:E,Table11[[#This Row],[CURRENCY]])</f>
        <v>2034926215</v>
      </c>
      <c r="I100" s="1318">
        <f>SUMIFS(Movement!$F$4:$F$2136,Movement!$M$4:$M$2136,"VND",Movement!$C$4:$C$2136,Table11[[#This Row],[ACCOUNT NUMBER]],Movement!$J$4:$J$2136,Table11[[#This Row],[ENTITY]],Movement!$O$4:$O$2136,'Cash Balance'!$A$2)</f>
        <v>0</v>
      </c>
      <c r="J100" s="1318">
        <f>SUMIFS(Movement!$G$4:$G$2136,Movement!$M$4:$M$2136,"VND",Movement!$C$4:$C$2136,Table11[[#This Row],[ACCOUNT NUMBER]],Movement!$J$4:$J$2136,Table11[[#This Row],[ENTITY]],Movement!$O$4:$O$2136,'Cash Balance'!$A$2)</f>
        <v>0</v>
      </c>
      <c r="K100" s="1084">
        <f>Table11[[#This Row],[CASH IN - CREDIT (VND)]]-Table11[[#This Row],[CASH OUT - DEBIT (VND)]]</f>
        <v>0</v>
      </c>
      <c r="L100" s="1095">
        <f t="shared" si="13"/>
        <v>2034926215</v>
      </c>
      <c r="M100" s="1184" t="e">
        <f>VLOOKUP(C100,'Cash balance (BS)'!A:D,4,)</f>
        <v>#N/A</v>
      </c>
      <c r="N100" s="1095" t="e">
        <f>Table11[[#This Row],[CLOSING BALANCE (VND)2]]-Table11[[#This Row],[CB_BS (VND)]]</f>
        <v>#N/A</v>
      </c>
      <c r="O100" s="1094">
        <v>0</v>
      </c>
      <c r="P100" s="1095">
        <f t="shared" si="14"/>
        <v>0</v>
      </c>
      <c r="Q100" s="817">
        <f>SUMIFS('Cash balance (Prior period)'!G:G,'Cash balance (Prior period)'!C:C,Table11[[#This Row],[ACCOUNT NUMBER]],'Cash balance (Prior period)'!E:E,Table11[[#This Row],[CURRENCY]])</f>
        <v>0</v>
      </c>
      <c r="R100" s="817">
        <f>SUMIFS(Movement!$F$4:$F$2136,Movement!$M$4:$M$2136,"USD",Movement!$C$4:$C$2136,Table11[[#This Row],[ACCOUNT NUMBER]],Movement!$J$4:$J$2136,Table11[[#This Row],[ENTITY]],Movement!$O$4:$O$2136,'Cash Balance'!$A$2)</f>
        <v>0</v>
      </c>
      <c r="S100" s="817">
        <f>SUMIFS(Movement!$G$4:$G$2136,Movement!$M$4:$M$2136,"USD",Movement!$C$4:$C$2136,Table11[[#This Row],[ACCOUNT NUMBER]],Movement!$J$4:$J$2136,Table11[[#This Row],[ENTITY]],Movement!$O$4:$O$2136,'Cash Balance'!$A$2)</f>
        <v>0</v>
      </c>
      <c r="T100" s="1087">
        <f t="shared" si="15"/>
        <v>0</v>
      </c>
      <c r="U100" s="817"/>
      <c r="V100" s="817">
        <f>Table11[[#This Row],[CLOSING BALANCE (USD)]]-Table11[[#This Row],[CB_BS (USD)]]</f>
        <v>0</v>
      </c>
      <c r="W100" s="1156" t="str">
        <f>VLOOKUP('Cash Balance'!$C100,Table2[#All],MATCH('Cash Balance'!W$3,Acc_Char!$B$1:$I$1,0),0)</f>
        <v>VC3</v>
      </c>
      <c r="X100" s="1156" t="str">
        <f>VLOOKUP(IFERROR(MID($Y100,1,FIND("-",$Y100)-2),$Y100),Table3[#All],2,0)</f>
        <v>VCB</v>
      </c>
      <c r="Y100" s="1156" t="str">
        <f>VLOOKUP($B100,Table4[#All],2,0)</f>
        <v>VIETCOMBANK - BA DINH</v>
      </c>
      <c r="Z100" s="1151"/>
      <c r="AA100" s="49"/>
      <c r="AE100" s="818">
        <f>SUM(Table11[[#This Row],[CASH IN - CREDIT (VND)]],Table11[[#This Row],[CASH IN - CREDIT (USD)]])</f>
        <v>0</v>
      </c>
      <c r="AF100" s="818">
        <f>Table11[[#This Row],[CASH OUT - DEBIT (VND)]]+Table11[[#This Row],[CASH OUT - DEBIT (USD)]]</f>
        <v>0</v>
      </c>
      <c r="AH100" s="1158"/>
      <c r="AI100" s="49"/>
      <c r="AJ100" s="1158"/>
      <c r="AL100"/>
      <c r="AM100"/>
    </row>
    <row r="101" spans="1:39" ht="14.4">
      <c r="A101" s="1153" t="str">
        <f>VLOOKUP('Cash Balance'!$C101,Table2[#All],MATCH('Cash Balance'!A$3,Acc_Char!$B$1:$I$1,0),0)</f>
        <v>SAO HOA</v>
      </c>
      <c r="B101" s="1154" t="str">
        <f>VLOOKUP('Cash Balance'!$C101,Table2[#All],MATCH('Cash Balance'!B$3,Acc_Char!$B$1:$I$1,0),0)</f>
        <v>VIETCOMBANK - BA DINH</v>
      </c>
      <c r="C101" s="1086" t="s">
        <v>594</v>
      </c>
      <c r="D101" s="1156" t="str">
        <f>VLOOKUP('Cash Balance'!$C101,Table2[#All],MATCH('Cash Balance'!D$3,Acc_Char!$B$1:$I$1,0),0)</f>
        <v>Current Account</v>
      </c>
      <c r="E101" s="384" t="str">
        <f>VLOOKUP('Cash Balance'!$C101,Table2[#All],MATCH('Cash Balance'!E$3,Acc_Char!$B$1:$I$1,0),0)</f>
        <v>USD</v>
      </c>
      <c r="F101" s="1094" t="e">
        <f>VLOOKUP(C101,'Cash balance (BS)'!A:C,3,)</f>
        <v>#N/A</v>
      </c>
      <c r="G101" s="1157" t="e">
        <f t="shared" si="16"/>
        <v>#N/A</v>
      </c>
      <c r="H101" s="1318">
        <f>SUMIFS('Cash balance (Prior period)'!F:F,'Cash balance (Prior period)'!C:C,Table11[[#This Row],[ACCOUNT NUMBER]],'Cash balance (Prior period)'!E:E,Table11[[#This Row],[CURRENCY]])</f>
        <v>0</v>
      </c>
      <c r="I101" s="1318">
        <f>SUMIFS(Movement!$F$4:$F$2136,Movement!$M$4:$M$2136,"VND",Movement!$C$4:$C$2136,Table11[[#This Row],[ACCOUNT NUMBER]],Movement!$J$4:$J$2136,Table11[[#This Row],[ENTITY]],Movement!$O$4:$O$2136,'Cash Balance'!$A$2)</f>
        <v>0</v>
      </c>
      <c r="J101" s="1318">
        <f>SUMIFS(Movement!$G$4:$G$2136,Movement!$M$4:$M$2136,"VND",Movement!$C$4:$C$2136,Table11[[#This Row],[ACCOUNT NUMBER]],Movement!$J$4:$J$2136,Table11[[#This Row],[ENTITY]],Movement!$O$4:$O$2136,'Cash Balance'!$A$2)</f>
        <v>0</v>
      </c>
      <c r="K101" s="1084">
        <f>Table11[[#This Row],[CASH IN - CREDIT (VND)]]-Table11[[#This Row],[CASH OUT - DEBIT (VND)]]</f>
        <v>0</v>
      </c>
      <c r="L101" s="1095">
        <f t="shared" si="13"/>
        <v>0</v>
      </c>
      <c r="M101" s="1184" t="e">
        <f>VLOOKUP(C101,'Cash balance (BS)'!A:D,4,)</f>
        <v>#N/A</v>
      </c>
      <c r="N101" s="1095" t="e">
        <f>Table11[[#This Row],[CLOSING BALANCE (VND)2]]-Table11[[#This Row],[CB_BS (VND)]]</f>
        <v>#N/A</v>
      </c>
      <c r="O101" s="1094">
        <v>0</v>
      </c>
      <c r="P101" s="1095">
        <f t="shared" si="14"/>
        <v>-606.19999999999982</v>
      </c>
      <c r="Q101" s="817">
        <f>SUMIFS('Cash balance (Prior period)'!G:G,'Cash balance (Prior period)'!C:C,Table11[[#This Row],[ACCOUNT NUMBER]],'Cash balance (Prior period)'!E:E,Table11[[#This Row],[CURRENCY]])</f>
        <v>606.19999999999982</v>
      </c>
      <c r="R101" s="817">
        <f>SUMIFS(Movement!$F$4:$F$2136,Movement!$M$4:$M$2136,"USD",Movement!$C$4:$C$2136,Table11[[#This Row],[ACCOUNT NUMBER]],Movement!$J$4:$J$2136,Table11[[#This Row],[ENTITY]],Movement!$O$4:$O$2136,'Cash Balance'!$A$2)</f>
        <v>0</v>
      </c>
      <c r="S101" s="817">
        <f>SUMIFS(Movement!$G$4:$G$2136,Movement!$M$4:$M$2136,"USD",Movement!$C$4:$C$2136,Table11[[#This Row],[ACCOUNT NUMBER]],Movement!$J$4:$J$2136,Table11[[#This Row],[ENTITY]],Movement!$O$4:$O$2136,'Cash Balance'!$A$2)</f>
        <v>0</v>
      </c>
      <c r="T101" s="1087">
        <f t="shared" si="15"/>
        <v>606.19999999999982</v>
      </c>
      <c r="U101" s="817"/>
      <c r="V101" s="817">
        <f>Table11[[#This Row],[CLOSING BALANCE (USD)]]-Table11[[#This Row],[CB_BS (USD)]]</f>
        <v>606.19999999999982</v>
      </c>
      <c r="W101" s="1156" t="str">
        <f>VLOOKUP('Cash Balance'!$C101,Table2[#All],MATCH('Cash Balance'!W$3,Acc_Char!$B$1:$I$1,0),0)</f>
        <v>VC3</v>
      </c>
      <c r="X101" s="1156" t="str">
        <f>VLOOKUP(IFERROR(MID($Y101,1,FIND("-",$Y101)-2),$Y101),Table3[#All],2,0)</f>
        <v>VCB</v>
      </c>
      <c r="Y101" s="1156" t="str">
        <f>VLOOKUP($B101,Table4[#All],2,0)</f>
        <v>VIETCOMBANK - BA DINH</v>
      </c>
      <c r="Z101" s="1151"/>
      <c r="AA101" s="49"/>
      <c r="AE101" s="818">
        <f>SUM(Table11[[#This Row],[CASH IN - CREDIT (VND)]],Table11[[#This Row],[CASH IN - CREDIT (USD)]])</f>
        <v>0</v>
      </c>
      <c r="AF101" s="818">
        <f>Table11[[#This Row],[CASH OUT - DEBIT (VND)]]+Table11[[#This Row],[CASH OUT - DEBIT (USD)]]</f>
        <v>0</v>
      </c>
      <c r="AH101" s="1158"/>
      <c r="AI101" s="49"/>
      <c r="AJ101" s="1158"/>
      <c r="AL101"/>
      <c r="AM101"/>
    </row>
    <row r="102" spans="1:39" ht="14.4">
      <c r="A102" s="1153" t="str">
        <f>VLOOKUP('Cash Balance'!$C102,Table2[#All],MATCH('Cash Balance'!A$3,Acc_Char!$B$1:$I$1,0),0)</f>
        <v>SAO HOA</v>
      </c>
      <c r="B102" s="1154" t="str">
        <f>VLOOKUP('Cash Balance'!$C102,Table2[#All],MATCH('Cash Balance'!B$3,Acc_Char!$B$1:$I$1,0),0)</f>
        <v>MB - BAC SAI GON</v>
      </c>
      <c r="C102" s="1086" t="s">
        <v>595</v>
      </c>
      <c r="D102" s="1156" t="str">
        <f>VLOOKUP('Cash Balance'!$C102,Table2[#All],MATCH('Cash Balance'!D$3,Acc_Char!$B$1:$I$1,0),0)</f>
        <v>Current Account</v>
      </c>
      <c r="E102" s="384" t="str">
        <f>VLOOKUP('Cash Balance'!$C102,Table2[#All],MATCH('Cash Balance'!E$3,Acc_Char!$B$1:$I$1,0),0)</f>
        <v>VND</v>
      </c>
      <c r="F102" s="1094" t="e">
        <f>VLOOKUP(C102,'Cash balance (BS)'!A:C,3,)</f>
        <v>#N/A</v>
      </c>
      <c r="G102" s="1157" t="e">
        <f t="shared" si="16"/>
        <v>#N/A</v>
      </c>
      <c r="H102" s="1318">
        <f>SUMIFS('Cash balance (Prior period)'!F:F,'Cash balance (Prior period)'!C:C,Table11[[#This Row],[ACCOUNT NUMBER]],'Cash balance (Prior period)'!E:E,Table11[[#This Row],[CURRENCY]])</f>
        <v>7958304</v>
      </c>
      <c r="I102" s="1318">
        <f>SUMIFS(Movement!$F$4:$F$2136,Movement!$M$4:$M$2136,"VND",Movement!$C$4:$C$2136,Table11[[#This Row],[ACCOUNT NUMBER]],Movement!$J$4:$J$2136,Table11[[#This Row],[ENTITY]],Movement!$O$4:$O$2136,'Cash Balance'!$A$2)</f>
        <v>0</v>
      </c>
      <c r="J102" s="1318">
        <f>SUMIFS(Movement!$G$4:$G$2136,Movement!$M$4:$M$2136,"VND",Movement!$C$4:$C$2136,Table11[[#This Row],[ACCOUNT NUMBER]],Movement!$J$4:$J$2136,Table11[[#This Row],[ENTITY]],Movement!$O$4:$O$2136,'Cash Balance'!$A$2)</f>
        <v>0</v>
      </c>
      <c r="K102" s="1084">
        <f>Table11[[#This Row],[CASH IN - CREDIT (VND)]]-Table11[[#This Row],[CASH OUT - DEBIT (VND)]]</f>
        <v>0</v>
      </c>
      <c r="L102" s="1095">
        <f t="shared" si="13"/>
        <v>7958304</v>
      </c>
      <c r="M102" s="1184" t="e">
        <f>VLOOKUP(C102,'Cash balance (BS)'!A:D,4,)</f>
        <v>#N/A</v>
      </c>
      <c r="N102" s="1095" t="e">
        <f>Table11[[#This Row],[CLOSING BALANCE (VND)2]]-Table11[[#This Row],[CB_BS (VND)]]</f>
        <v>#N/A</v>
      </c>
      <c r="O102" s="1094">
        <v>0</v>
      </c>
      <c r="P102" s="1095">
        <f t="shared" si="14"/>
        <v>0</v>
      </c>
      <c r="Q102" s="817">
        <f>SUMIFS('Cash balance (Prior period)'!G:G,'Cash balance (Prior period)'!C:C,Table11[[#This Row],[ACCOUNT NUMBER]],'Cash balance (Prior period)'!E:E,Table11[[#This Row],[CURRENCY]])</f>
        <v>0</v>
      </c>
      <c r="R102" s="817">
        <f>SUMIFS(Movement!$F$4:$F$2136,Movement!$M$4:$M$2136,"USD",Movement!$C$4:$C$2136,Table11[[#This Row],[ACCOUNT NUMBER]],Movement!$J$4:$J$2136,Table11[[#This Row],[ENTITY]],Movement!$O$4:$O$2136,'Cash Balance'!$A$2)</f>
        <v>0</v>
      </c>
      <c r="S102" s="817">
        <f>SUMIFS(Movement!$G$4:$G$2136,Movement!$M$4:$M$2136,"USD",Movement!$C$4:$C$2136,Table11[[#This Row],[ACCOUNT NUMBER]],Movement!$J$4:$J$2136,Table11[[#This Row],[ENTITY]],Movement!$O$4:$O$2136,'Cash Balance'!$A$2)</f>
        <v>0</v>
      </c>
      <c r="T102" s="1087">
        <f t="shared" si="15"/>
        <v>0</v>
      </c>
      <c r="U102" s="817"/>
      <c r="V102" s="817">
        <f>Table11[[#This Row],[CLOSING BALANCE (USD)]]-Table11[[#This Row],[CB_BS (USD)]]</f>
        <v>0</v>
      </c>
      <c r="W102" s="1156" t="str">
        <f>VLOOKUP('Cash Balance'!$C102,Table2[#All],MATCH('Cash Balance'!W$3,Acc_Char!$B$1:$I$1,0),0)</f>
        <v>VC3</v>
      </c>
      <c r="X102" s="1156" t="str">
        <f>VLOOKUP(IFERROR(MID($Y102,1,FIND("-",$Y102)-2),$Y102),Table3[#All],2,0)</f>
        <v>MBB</v>
      </c>
      <c r="Y102" s="1156" t="str">
        <f>VLOOKUP($B102,Table4[#All],2,0)</f>
        <v>MB - BAC SAI GON</v>
      </c>
      <c r="Z102" s="1151"/>
      <c r="AA102" s="49"/>
      <c r="AE102" s="818">
        <f>SUM(Table11[[#This Row],[CASH IN - CREDIT (VND)]],Table11[[#This Row],[CASH IN - CREDIT (USD)]])</f>
        <v>0</v>
      </c>
      <c r="AF102" s="818">
        <f>Table11[[#This Row],[CASH OUT - DEBIT (VND)]]+Table11[[#This Row],[CASH OUT - DEBIT (USD)]]</f>
        <v>0</v>
      </c>
      <c r="AH102" s="1158"/>
      <c r="AI102" s="49"/>
      <c r="AJ102" s="1158"/>
      <c r="AL102"/>
      <c r="AM102"/>
    </row>
    <row r="103" spans="1:39" ht="14.4">
      <c r="A103" s="1153" t="str">
        <f>VLOOKUP('Cash Balance'!$C103,Table2[#All],MATCH('Cash Balance'!A$3,Acc_Char!$B$1:$I$1,0),0)</f>
        <v>SAO HOA</v>
      </c>
      <c r="B103" s="1154" t="str">
        <f>VLOOKUP('Cash Balance'!$C103,Table2[#All],MATCH('Cash Balance'!B$3,Acc_Char!$B$1:$I$1,0),0)</f>
        <v>MB - BAC SAI GON</v>
      </c>
      <c r="C103" s="1086" t="s">
        <v>596</v>
      </c>
      <c r="D103" s="1156" t="str">
        <f>VLOOKUP('Cash Balance'!$C103,Table2[#All],MATCH('Cash Balance'!D$3,Acc_Char!$B$1:$I$1,0),0)</f>
        <v>Current Account</v>
      </c>
      <c r="E103" s="384" t="str">
        <f>VLOOKUP('Cash Balance'!$C103,Table2[#All],MATCH('Cash Balance'!E$3,Acc_Char!$B$1:$I$1,0),0)</f>
        <v>USD</v>
      </c>
      <c r="F103" s="1094" t="e">
        <f>VLOOKUP(C103,'Cash balance (BS)'!A:C,3,)</f>
        <v>#N/A</v>
      </c>
      <c r="G103" s="1157" t="e">
        <f t="shared" si="16"/>
        <v>#N/A</v>
      </c>
      <c r="H103" s="1318">
        <f>SUMIFS('Cash balance (Prior period)'!F:F,'Cash balance (Prior period)'!C:C,Table11[[#This Row],[ACCOUNT NUMBER]],'Cash balance (Prior period)'!E:E,Table11[[#This Row],[CURRENCY]])</f>
        <v>0</v>
      </c>
      <c r="I103" s="1318">
        <f>SUMIFS(Movement!$F$4:$F$2136,Movement!$M$4:$M$2136,"VND",Movement!$C$4:$C$2136,Table11[[#This Row],[ACCOUNT NUMBER]],Movement!$J$4:$J$2136,Table11[[#This Row],[ENTITY]],Movement!$O$4:$O$2136,'Cash Balance'!$A$2)</f>
        <v>0</v>
      </c>
      <c r="J103" s="1318">
        <f>SUMIFS(Movement!$G$4:$G$2136,Movement!$M$4:$M$2136,"VND",Movement!$C$4:$C$2136,Table11[[#This Row],[ACCOUNT NUMBER]],Movement!$J$4:$J$2136,Table11[[#This Row],[ENTITY]],Movement!$O$4:$O$2136,'Cash Balance'!$A$2)</f>
        <v>0</v>
      </c>
      <c r="K103" s="1084">
        <f>Table11[[#This Row],[CASH IN - CREDIT (VND)]]-Table11[[#This Row],[CASH OUT - DEBIT (VND)]]</f>
        <v>0</v>
      </c>
      <c r="L103" s="1095">
        <f t="shared" si="13"/>
        <v>0</v>
      </c>
      <c r="M103" s="1184" t="e">
        <f>VLOOKUP(C103,'Cash balance (BS)'!A:D,4,)</f>
        <v>#N/A</v>
      </c>
      <c r="N103" s="1095" t="e">
        <f>Table11[[#This Row],[CLOSING BALANCE (VND)2]]-Table11[[#This Row],[CB_BS (VND)]]</f>
        <v>#N/A</v>
      </c>
      <c r="O103" s="1094">
        <v>0</v>
      </c>
      <c r="P103" s="1095">
        <f t="shared" si="14"/>
        <v>-90</v>
      </c>
      <c r="Q103" s="817">
        <f>SUMIFS('Cash balance (Prior period)'!G:G,'Cash balance (Prior period)'!C:C,Table11[[#This Row],[ACCOUNT NUMBER]],'Cash balance (Prior period)'!E:E,Table11[[#This Row],[CURRENCY]])</f>
        <v>90</v>
      </c>
      <c r="R103" s="817">
        <f>SUMIFS(Movement!$F$4:$F$2136,Movement!$M$4:$M$2136,"USD",Movement!$C$4:$C$2136,Table11[[#This Row],[ACCOUNT NUMBER]],Movement!$J$4:$J$2136,Table11[[#This Row],[ENTITY]],Movement!$O$4:$O$2136,'Cash Balance'!$A$2)</f>
        <v>0</v>
      </c>
      <c r="S103" s="817">
        <f>SUMIFS(Movement!$G$4:$G$2136,Movement!$M$4:$M$2136,"USD",Movement!$C$4:$C$2136,Table11[[#This Row],[ACCOUNT NUMBER]],Movement!$J$4:$J$2136,Table11[[#This Row],[ENTITY]],Movement!$O$4:$O$2136,'Cash Balance'!$A$2)</f>
        <v>0</v>
      </c>
      <c r="T103" s="1087">
        <f t="shared" si="15"/>
        <v>90</v>
      </c>
      <c r="U103" s="817"/>
      <c r="V103" s="817">
        <f>Table11[[#This Row],[CLOSING BALANCE (USD)]]-Table11[[#This Row],[CB_BS (USD)]]</f>
        <v>90</v>
      </c>
      <c r="W103" s="1156" t="str">
        <f>VLOOKUP('Cash Balance'!$C103,Table2[#All],MATCH('Cash Balance'!W$3,Acc_Char!$B$1:$I$1,0),0)</f>
        <v>VC3</v>
      </c>
      <c r="X103" s="1156" t="str">
        <f>VLOOKUP(IFERROR(MID($Y103,1,FIND("-",$Y103)-2),$Y103),Table3[#All],2,0)</f>
        <v>MBB</v>
      </c>
      <c r="Y103" s="1156" t="str">
        <f>VLOOKUP($B103,Table4[#All],2,0)</f>
        <v>MB - BAC SAI GON</v>
      </c>
      <c r="Z103" s="1151"/>
      <c r="AA103" s="49"/>
      <c r="AE103" s="818">
        <f>SUM(Table11[[#This Row],[CASH IN - CREDIT (VND)]],Table11[[#This Row],[CASH IN - CREDIT (USD)]])</f>
        <v>0</v>
      </c>
      <c r="AF103" s="818">
        <f>Table11[[#This Row],[CASH OUT - DEBIT (VND)]]+Table11[[#This Row],[CASH OUT - DEBIT (USD)]]</f>
        <v>0</v>
      </c>
      <c r="AH103" s="1158"/>
      <c r="AI103" s="49"/>
      <c r="AJ103" s="1158"/>
      <c r="AL103"/>
      <c r="AM103"/>
    </row>
    <row r="104" spans="1:39" ht="14.4">
      <c r="A104" s="1153" t="str">
        <f>VLOOKUP('Cash Balance'!$C104,Table2[#All],MATCH('Cash Balance'!A$3,Acc_Char!$B$1:$I$1,0),0)</f>
        <v>SAO HOA</v>
      </c>
      <c r="B104" s="1154" t="str">
        <f>VLOOKUP('Cash Balance'!$C104,Table2[#All],MATCH('Cash Balance'!B$3,Acc_Char!$B$1:$I$1,0),0)</f>
        <v>OCB - BINH DUONG</v>
      </c>
      <c r="C104" s="1086" t="s">
        <v>597</v>
      </c>
      <c r="D104" s="1156" t="str">
        <f>VLOOKUP('Cash Balance'!$C104,Table2[#All],MATCH('Cash Balance'!D$3,Acc_Char!$B$1:$I$1,0),0)</f>
        <v>Current Account</v>
      </c>
      <c r="E104" s="384" t="str">
        <f>VLOOKUP('Cash Balance'!$C104,Table2[#All],MATCH('Cash Balance'!E$3,Acc_Char!$B$1:$I$1,0),0)</f>
        <v>VND</v>
      </c>
      <c r="F104" s="1094" t="e">
        <f>VLOOKUP(C104,'Cash balance (BS)'!A:C,3,)</f>
        <v>#N/A</v>
      </c>
      <c r="G104" s="1157" t="e">
        <f t="shared" si="16"/>
        <v>#N/A</v>
      </c>
      <c r="H104" s="1318">
        <f>SUMIFS('Cash balance (Prior period)'!F:F,'Cash balance (Prior period)'!C:C,Table11[[#This Row],[ACCOUNT NUMBER]],'Cash balance (Prior period)'!E:E,Table11[[#This Row],[CURRENCY]])</f>
        <v>56483173</v>
      </c>
      <c r="I104" s="1318">
        <f>SUMIFS(Movement!$F$4:$F$2136,Movement!$M$4:$M$2136,"VND",Movement!$C$4:$C$2136,Table11[[#This Row],[ACCOUNT NUMBER]],Movement!$J$4:$J$2136,Table11[[#This Row],[ENTITY]],Movement!$O$4:$O$2136,'Cash Balance'!$A$2)</f>
        <v>0</v>
      </c>
      <c r="J104" s="1318">
        <f>SUMIFS(Movement!$G$4:$G$2136,Movement!$M$4:$M$2136,"VND",Movement!$C$4:$C$2136,Table11[[#This Row],[ACCOUNT NUMBER]],Movement!$J$4:$J$2136,Table11[[#This Row],[ENTITY]],Movement!$O$4:$O$2136,'Cash Balance'!$A$2)</f>
        <v>0</v>
      </c>
      <c r="K104" s="1084">
        <f>Table11[[#This Row],[CASH IN - CREDIT (VND)]]-Table11[[#This Row],[CASH OUT - DEBIT (VND)]]</f>
        <v>0</v>
      </c>
      <c r="L104" s="1095">
        <f t="shared" si="13"/>
        <v>56483173</v>
      </c>
      <c r="M104" s="1184" t="e">
        <f>VLOOKUP(C104,'Cash balance (BS)'!A:D,4,)</f>
        <v>#N/A</v>
      </c>
      <c r="N104" s="1095" t="e">
        <f>Table11[[#This Row],[CLOSING BALANCE (VND)2]]-Table11[[#This Row],[CB_BS (VND)]]</f>
        <v>#N/A</v>
      </c>
      <c r="O104" s="1094">
        <v>0</v>
      </c>
      <c r="P104" s="1095">
        <f t="shared" si="14"/>
        <v>0</v>
      </c>
      <c r="Q104" s="817">
        <f>SUMIFS('Cash balance (Prior period)'!G:G,'Cash balance (Prior period)'!C:C,Table11[[#This Row],[ACCOUNT NUMBER]],'Cash balance (Prior period)'!E:E,Table11[[#This Row],[CURRENCY]])</f>
        <v>0</v>
      </c>
      <c r="R104" s="817">
        <f>SUMIFS(Movement!$F$4:$F$2136,Movement!$M$4:$M$2136,"USD",Movement!$C$4:$C$2136,Table11[[#This Row],[ACCOUNT NUMBER]],Movement!$J$4:$J$2136,Table11[[#This Row],[ENTITY]],Movement!$O$4:$O$2136,'Cash Balance'!$A$2)</f>
        <v>0</v>
      </c>
      <c r="S104" s="817">
        <f>SUMIFS(Movement!$G$4:$G$2136,Movement!$M$4:$M$2136,"USD",Movement!$C$4:$C$2136,Table11[[#This Row],[ACCOUNT NUMBER]],Movement!$J$4:$J$2136,Table11[[#This Row],[ENTITY]],Movement!$O$4:$O$2136,'Cash Balance'!$A$2)</f>
        <v>0</v>
      </c>
      <c r="T104" s="1087">
        <f t="shared" si="15"/>
        <v>0</v>
      </c>
      <c r="U104" s="817"/>
      <c r="V104" s="817">
        <f>Table11[[#This Row],[CLOSING BALANCE (USD)]]-Table11[[#This Row],[CB_BS (USD)]]</f>
        <v>0</v>
      </c>
      <c r="W104" s="1156" t="str">
        <f>VLOOKUP('Cash Balance'!$C104,Table2[#All],MATCH('Cash Balance'!W$3,Acc_Char!$B$1:$I$1,0),0)</f>
        <v>VC3</v>
      </c>
      <c r="X104" s="1156" t="str">
        <f>VLOOKUP(IFERROR(MID($Y104,1,FIND("-",$Y104)-2),$Y104),Table3[#All],2,0)</f>
        <v>OCB</v>
      </c>
      <c r="Y104" s="1156" t="str">
        <f>VLOOKUP($B104,Table4[#All],2,0)</f>
        <v>OCB - BINH DUONG</v>
      </c>
      <c r="Z104" s="1151"/>
      <c r="AA104" s="49"/>
      <c r="AE104" s="818">
        <f>SUM(Table11[[#This Row],[CASH IN - CREDIT (VND)]],Table11[[#This Row],[CASH IN - CREDIT (USD)]])</f>
        <v>0</v>
      </c>
      <c r="AF104" s="818">
        <f>Table11[[#This Row],[CASH OUT - DEBIT (VND)]]+Table11[[#This Row],[CASH OUT - DEBIT (USD)]]</f>
        <v>0</v>
      </c>
      <c r="AH104" s="1158"/>
      <c r="AI104" s="49"/>
      <c r="AJ104" s="1158"/>
      <c r="AL104"/>
      <c r="AM104"/>
    </row>
    <row r="105" spans="1:39" ht="14.4">
      <c r="A105" s="1153" t="str">
        <f>VLOOKUP('Cash Balance'!$C105,Table2[#All],MATCH('Cash Balance'!A$3,Acc_Char!$B$1:$I$1,0),0)</f>
        <v>SAO HOA</v>
      </c>
      <c r="B105" s="1154" t="str">
        <f>VLOOKUP('Cash Balance'!$C105,Table2[#All],MATCH('Cash Balance'!B$3,Acc_Char!$B$1:$I$1,0),0)</f>
        <v>OCB - BINH DUONG</v>
      </c>
      <c r="C105" s="1156" t="s">
        <v>598</v>
      </c>
      <c r="D105" s="1156" t="str">
        <f>VLOOKUP('Cash Balance'!$C105,Table2[#All],MATCH('Cash Balance'!D$3,Acc_Char!$B$1:$I$1,0),0)</f>
        <v>Current Account</v>
      </c>
      <c r="E105" s="384" t="str">
        <f>VLOOKUP('Cash Balance'!$C105,Table2[#All],MATCH('Cash Balance'!E$3,Acc_Char!$B$1:$I$1,0),0)</f>
        <v>USD</v>
      </c>
      <c r="F105" s="1094"/>
      <c r="G105" s="1157"/>
      <c r="H105" s="1318">
        <f>SUMIFS('Cash balance (Prior period)'!F:F,'Cash balance (Prior period)'!C:C,Table11[[#This Row],[ACCOUNT NUMBER]],'Cash balance (Prior period)'!E:E,Table11[[#This Row],[CURRENCY]])</f>
        <v>0</v>
      </c>
      <c r="I105" s="1318">
        <f>SUMIFS(Movement!$F$4:$F$2136,Movement!$M$4:$M$2136,"VND",Movement!$C$4:$C$2136,Table11[[#This Row],[ACCOUNT NUMBER]],Movement!$J$4:$J$2136,Table11[[#This Row],[ENTITY]],Movement!$O$4:$O$2136,'Cash Balance'!$A$2)</f>
        <v>0</v>
      </c>
      <c r="J105" s="1318">
        <f>SUMIFS(Movement!$G$4:$G$2136,Movement!$M$4:$M$2136,"VND",Movement!$C$4:$C$2136,Table11[[#This Row],[ACCOUNT NUMBER]],Movement!$J$4:$J$2136,Table11[[#This Row],[ENTITY]],Movement!$O$4:$O$2136,'Cash Balance'!$A$2)</f>
        <v>0</v>
      </c>
      <c r="K105" s="1084">
        <f>Table11[[#This Row],[CASH IN - CREDIT (VND)]]-Table11[[#This Row],[CASH OUT - DEBIT (VND)]]</f>
        <v>0</v>
      </c>
      <c r="L105" s="1095">
        <f t="shared" si="13"/>
        <v>0</v>
      </c>
      <c r="M105" s="1184" t="e">
        <f>VLOOKUP(C105,'Cash balance (BS)'!A:D,4,)</f>
        <v>#N/A</v>
      </c>
      <c r="N105" s="1095" t="e">
        <f>Table11[[#This Row],[CLOSING BALANCE (VND)2]]-Table11[[#This Row],[CB_BS (VND)]]</f>
        <v>#N/A</v>
      </c>
      <c r="O105" s="1094">
        <v>0</v>
      </c>
      <c r="P105" s="1095">
        <f t="shared" si="14"/>
        <v>-100</v>
      </c>
      <c r="Q105" s="817">
        <f>SUMIFS('Cash balance (Prior period)'!G:G,'Cash balance (Prior period)'!C:C,Table11[[#This Row],[ACCOUNT NUMBER]],'Cash balance (Prior period)'!E:E,Table11[[#This Row],[CURRENCY]])</f>
        <v>100</v>
      </c>
      <c r="R105" s="817">
        <f>SUMIFS(Movement!$F$4:$F$2136,Movement!$M$4:$M$2136,"USD",Movement!$C$4:$C$2136,Table11[[#This Row],[ACCOUNT NUMBER]],Movement!$J$4:$J$2136,Table11[[#This Row],[ENTITY]],Movement!$O$4:$O$2136,'Cash Balance'!$A$2)</f>
        <v>0</v>
      </c>
      <c r="S105" s="817">
        <f>SUMIFS(Movement!$G$4:$G$2136,Movement!$M$4:$M$2136,"USD",Movement!$C$4:$C$2136,Table11[[#This Row],[ACCOUNT NUMBER]],Movement!$J$4:$J$2136,Table11[[#This Row],[ENTITY]],Movement!$O$4:$O$2136,'Cash Balance'!$A$2)</f>
        <v>0</v>
      </c>
      <c r="T105" s="1087">
        <f t="shared" si="15"/>
        <v>100</v>
      </c>
      <c r="U105" s="817" t="e">
        <f>VLOOKUP(C105,'Cash balance (BS)'!A:D,4,)</f>
        <v>#N/A</v>
      </c>
      <c r="V105" s="1087" t="e">
        <f>Table11[[#This Row],[CLOSING BALANCE (USD)]]-Table11[[#This Row],[CB_BS (USD)]]</f>
        <v>#N/A</v>
      </c>
      <c r="W105" s="1156" t="str">
        <f>VLOOKUP('Cash Balance'!$C105,Table2[#All],MATCH('Cash Balance'!W$3,Acc_Char!$B$1:$I$1,0),0)</f>
        <v>VC3</v>
      </c>
      <c r="X105" s="1156" t="str">
        <f>VLOOKUP(IFERROR(MID($Y105,1,FIND("-",$Y105)-2),$Y105),Table3[#All],2,0)</f>
        <v>OCB</v>
      </c>
      <c r="Y105" s="1156" t="str">
        <f>VLOOKUP($B105,Table4[#All],2,0)</f>
        <v>OCB - BINH DUONG</v>
      </c>
      <c r="Z105" s="1151"/>
      <c r="AA105" s="49"/>
      <c r="AE105" s="818">
        <f>SUM(Table11[[#This Row],[CASH IN - CREDIT (VND)]],Table11[[#This Row],[CASH IN - CREDIT (USD)]])</f>
        <v>0</v>
      </c>
      <c r="AF105" s="818">
        <f>Table11[[#This Row],[CASH OUT - DEBIT (VND)]]+Table11[[#This Row],[CASH OUT - DEBIT (USD)]]</f>
        <v>0</v>
      </c>
      <c r="AH105" s="1158"/>
      <c r="AI105" s="49"/>
      <c r="AJ105" s="1158"/>
      <c r="AL105"/>
      <c r="AM105"/>
    </row>
    <row r="106" spans="1:39" ht="14.4">
      <c r="A106" s="1153" t="str">
        <f>VLOOKUP('Cash Balance'!$C106,Table2[#All],MATCH('Cash Balance'!A$3,Acc_Char!$B$1:$I$1,0),0)</f>
        <v>SAO HOA</v>
      </c>
      <c r="B106" s="1154" t="str">
        <f>VLOOKUP('Cash Balance'!$C106,Table2[#All],MATCH('Cash Balance'!B$3,Acc_Char!$B$1:$I$1,0),0)</f>
        <v>VIB - HOI SO</v>
      </c>
      <c r="C106" s="1156" t="s">
        <v>599</v>
      </c>
      <c r="D106" s="1156" t="str">
        <f>VLOOKUP('Cash Balance'!$C106,Table2[#All],MATCH('Cash Balance'!D$3,Acc_Char!$B$1:$I$1,0),0)</f>
        <v>Current Account</v>
      </c>
      <c r="E106" s="384" t="str">
        <f>VLOOKUP('Cash Balance'!$C106,Table2[#All],MATCH('Cash Balance'!E$3,Acc_Char!$B$1:$I$1,0),0)</f>
        <v>VND</v>
      </c>
      <c r="F106" s="1094" t="e">
        <f>VLOOKUP(C106,'Cash balance (BS)'!A:C,3,)</f>
        <v>#N/A</v>
      </c>
      <c r="G106" s="1157" t="e">
        <f>F106-H106</f>
        <v>#N/A</v>
      </c>
      <c r="H106" s="1318">
        <f>SUMIFS('Cash balance (Prior period)'!F:F,'Cash balance (Prior period)'!C:C,Table11[[#This Row],[ACCOUNT NUMBER]],'Cash balance (Prior period)'!E:E,Table11[[#This Row],[CURRENCY]])</f>
        <v>187619615</v>
      </c>
      <c r="I106" s="1318">
        <f>SUMIFS(Movement!$F$4:$F$2136,Movement!$M$4:$M$2136,"VND",Movement!$C$4:$C$2136,Table11[[#This Row],[ACCOUNT NUMBER]],Movement!$J$4:$J$2136,Table11[[#This Row],[ENTITY]],Movement!$O$4:$O$2136,'Cash Balance'!$A$2)</f>
        <v>0</v>
      </c>
      <c r="J106" s="1318">
        <f>SUMIFS(Movement!$G$4:$G$2136,Movement!$M$4:$M$2136,"VND",Movement!$C$4:$C$2136,Table11[[#This Row],[ACCOUNT NUMBER]],Movement!$J$4:$J$2136,Table11[[#This Row],[ENTITY]],Movement!$O$4:$O$2136,'Cash Balance'!$A$2)</f>
        <v>0</v>
      </c>
      <c r="K106" s="1084">
        <f>Table11[[#This Row],[CASH IN - CREDIT (VND)]]-Table11[[#This Row],[CASH OUT - DEBIT (VND)]]</f>
        <v>0</v>
      </c>
      <c r="L106" s="1095">
        <f t="shared" si="13"/>
        <v>187619615</v>
      </c>
      <c r="M106" s="1184" t="e">
        <f>VLOOKUP(C106,'Cash balance (BS)'!A:D,4,)</f>
        <v>#N/A</v>
      </c>
      <c r="N106" s="1095" t="e">
        <f>Table11[[#This Row],[CLOSING BALANCE (VND)2]]-Table11[[#This Row],[CB_BS (VND)]]</f>
        <v>#N/A</v>
      </c>
      <c r="O106" s="1094">
        <v>0</v>
      </c>
      <c r="P106" s="1095">
        <f t="shared" si="14"/>
        <v>0</v>
      </c>
      <c r="Q106" s="817">
        <f>SUMIFS('Cash balance (Prior period)'!G:G,'Cash balance (Prior period)'!C:C,Table11[[#This Row],[ACCOUNT NUMBER]],'Cash balance (Prior period)'!E:E,Table11[[#This Row],[CURRENCY]])</f>
        <v>0</v>
      </c>
      <c r="R106" s="817">
        <f>SUMIFS(Movement!$F$4:$F$2136,Movement!$M$4:$M$2136,"USD",Movement!$C$4:$C$2136,Table11[[#This Row],[ACCOUNT NUMBER]],Movement!$J$4:$J$2136,Table11[[#This Row],[ENTITY]],Movement!$O$4:$O$2136,'Cash Balance'!$A$2)</f>
        <v>0</v>
      </c>
      <c r="S106" s="817">
        <f>SUMIFS(Movement!$G$4:$G$2136,Movement!$M$4:$M$2136,"USD",Movement!$C$4:$C$2136,Table11[[#This Row],[ACCOUNT NUMBER]],Movement!$J$4:$J$2136,Table11[[#This Row],[ENTITY]],Movement!$O$4:$O$2136,'Cash Balance'!$A$2)</f>
        <v>0</v>
      </c>
      <c r="T106" s="1087">
        <f t="shared" si="15"/>
        <v>0</v>
      </c>
      <c r="U106" s="817"/>
      <c r="V106" s="817">
        <f>Table11[[#This Row],[CLOSING BALANCE (USD)]]-Table11[[#This Row],[CB_BS (USD)]]</f>
        <v>0</v>
      </c>
      <c r="W106" s="1156" t="str">
        <f>VLOOKUP('Cash Balance'!$C106,Table2[#All],MATCH('Cash Balance'!W$3,Acc_Char!$B$1:$I$1,0),0)</f>
        <v>VC3</v>
      </c>
      <c r="X106" s="1156" t="str">
        <f>VLOOKUP(IFERROR(MID($Y106,1,FIND("-",$Y106)-2),$Y106),Table3[#All],2,0)</f>
        <v>VIB</v>
      </c>
      <c r="Y106" s="1156" t="str">
        <f>VLOOKUP($B106,Table4[#All],2,0)</f>
        <v>VIB - HOI SO</v>
      </c>
      <c r="Z106" s="1151"/>
      <c r="AA106" s="49"/>
      <c r="AE106" s="818">
        <f>SUM(Table11[[#This Row],[CASH IN - CREDIT (VND)]],Table11[[#This Row],[CASH IN - CREDIT (USD)]])</f>
        <v>0</v>
      </c>
      <c r="AF106" s="818">
        <f>Table11[[#This Row],[CASH OUT - DEBIT (VND)]]+Table11[[#This Row],[CASH OUT - DEBIT (USD)]]</f>
        <v>0</v>
      </c>
      <c r="AH106" s="1158"/>
      <c r="AI106" s="49"/>
      <c r="AJ106" s="1158"/>
      <c r="AL106"/>
      <c r="AM106"/>
    </row>
    <row r="107" spans="1:39" ht="14.4">
      <c r="A107" s="1153" t="str">
        <f>VLOOKUP('Cash Balance'!$C107,Table2[#All],MATCH('Cash Balance'!A$3,Acc_Char!$B$1:$I$1,0),0)</f>
        <v>SAO HOA</v>
      </c>
      <c r="B107" s="1154" t="str">
        <f>VLOOKUP('Cash Balance'!$C107,Table2[#All],MATCH('Cash Balance'!B$3,Acc_Char!$B$1:$I$1,0),0)</f>
        <v>VIB - HOI SO</v>
      </c>
      <c r="C107" s="1185" t="s">
        <v>600</v>
      </c>
      <c r="D107" s="1156" t="str">
        <f>VLOOKUP('Cash Balance'!$C107,Table2[#All],MATCH('Cash Balance'!D$3,Acc_Char!$B$1:$I$1,0),0)</f>
        <v>Current Account</v>
      </c>
      <c r="E107" s="384" t="str">
        <f>VLOOKUP('Cash Balance'!$C107,Table2[#All],MATCH('Cash Balance'!E$3,Acc_Char!$B$1:$I$1,0),0)</f>
        <v>USD</v>
      </c>
      <c r="F107" s="1094"/>
      <c r="G107" s="1157"/>
      <c r="H107" s="1318">
        <f>SUMIFS('Cash balance (Prior period)'!F:F,'Cash balance (Prior period)'!C:C,Table11[[#This Row],[ACCOUNT NUMBER]],'Cash balance (Prior period)'!E:E,Table11[[#This Row],[CURRENCY]])</f>
        <v>0</v>
      </c>
      <c r="I107" s="1318">
        <f>SUMIFS(Movement!$F$4:$F$2136,Movement!$M$4:$M$2136,"VND",Movement!$C$4:$C$2136,Table11[[#This Row],[ACCOUNT NUMBER]],Movement!$J$4:$J$2136,Table11[[#This Row],[ENTITY]],Movement!$O$4:$O$2136,'Cash Balance'!$A$2)</f>
        <v>0</v>
      </c>
      <c r="J107" s="1318">
        <f>SUMIFS(Movement!$G$4:$G$2136,Movement!$M$4:$M$2136,"VND",Movement!$C$4:$C$2136,Table11[[#This Row],[ACCOUNT NUMBER]],Movement!$J$4:$J$2136,Table11[[#This Row],[ENTITY]],Movement!$O$4:$O$2136,'Cash Balance'!$A$2)</f>
        <v>0</v>
      </c>
      <c r="K107" s="1084">
        <f>Table11[[#This Row],[CASH IN - CREDIT (VND)]]-Table11[[#This Row],[CASH OUT - DEBIT (VND)]]</f>
        <v>0</v>
      </c>
      <c r="L107" s="1095">
        <f t="shared" si="13"/>
        <v>0</v>
      </c>
      <c r="M107" s="1184" t="e">
        <f>VLOOKUP(C107,'Cash balance (BS)'!A:D,4,)</f>
        <v>#N/A</v>
      </c>
      <c r="N107" s="1095" t="e">
        <f>Table11[[#This Row],[CLOSING BALANCE (VND)2]]-Table11[[#This Row],[CB_BS (VND)]]</f>
        <v>#N/A</v>
      </c>
      <c r="O107" s="1094">
        <v>0</v>
      </c>
      <c r="P107" s="1095">
        <f t="shared" si="14"/>
        <v>-100</v>
      </c>
      <c r="Q107" s="817">
        <f>SUMIFS('Cash balance (Prior period)'!G:G,'Cash balance (Prior period)'!C:C,Table11[[#This Row],[ACCOUNT NUMBER]],'Cash balance (Prior period)'!E:E,Table11[[#This Row],[CURRENCY]])</f>
        <v>100</v>
      </c>
      <c r="R107" s="817">
        <f>SUMIFS(Movement!$F$4:$F$2136,Movement!$M$4:$M$2136,"USD",Movement!$C$4:$C$2136,Table11[[#This Row],[ACCOUNT NUMBER]],Movement!$J$4:$J$2136,Table11[[#This Row],[ENTITY]],Movement!$O$4:$O$2136,'Cash Balance'!$A$2)</f>
        <v>0</v>
      </c>
      <c r="S107" s="817">
        <f>SUMIFS(Movement!$G$4:$G$2136,Movement!$M$4:$M$2136,"USD",Movement!$C$4:$C$2136,Table11[[#This Row],[ACCOUNT NUMBER]],Movement!$J$4:$J$2136,Table11[[#This Row],[ENTITY]],Movement!$O$4:$O$2136,'Cash Balance'!$A$2)</f>
        <v>0</v>
      </c>
      <c r="T107" s="1087">
        <f t="shared" si="15"/>
        <v>100</v>
      </c>
      <c r="U107" s="817" t="e">
        <f>VLOOKUP(C107,'Cash balance (BS)'!A:D,4,)</f>
        <v>#N/A</v>
      </c>
      <c r="V107" s="1087" t="e">
        <f>Table11[[#This Row],[CLOSING BALANCE (USD)]]-Table11[[#This Row],[CB_BS (USD)]]</f>
        <v>#N/A</v>
      </c>
      <c r="W107" s="1156" t="str">
        <f>VLOOKUP('Cash Balance'!$C107,Table2[#All],MATCH('Cash Balance'!W$3,Acc_Char!$B$1:$I$1,0),0)</f>
        <v>VC3</v>
      </c>
      <c r="X107" s="1156" t="str">
        <f>VLOOKUP(IFERROR(MID($Y107,1,FIND("-",$Y107)-2),$Y107),Table3[#All],2,0)</f>
        <v>VIB</v>
      </c>
      <c r="Y107" s="1156" t="str">
        <f>VLOOKUP($B107,Table4[#All],2,0)</f>
        <v>VIB - HOI SO</v>
      </c>
      <c r="Z107" s="1151"/>
      <c r="AA107" s="49"/>
      <c r="AE107" s="818">
        <f>SUM(Table11[[#This Row],[CASH IN - CREDIT (VND)]],Table11[[#This Row],[CASH IN - CREDIT (USD)]])</f>
        <v>0</v>
      </c>
      <c r="AF107" s="818">
        <f>Table11[[#This Row],[CASH OUT - DEBIT (VND)]]+Table11[[#This Row],[CASH OUT - DEBIT (USD)]]</f>
        <v>0</v>
      </c>
      <c r="AH107" s="1158"/>
      <c r="AI107" s="49"/>
      <c r="AJ107" s="1158"/>
      <c r="AL107"/>
      <c r="AM107"/>
    </row>
    <row r="108" spans="1:39" ht="14.4">
      <c r="A108" s="1153" t="str">
        <f>VLOOKUP('Cash Balance'!$C108,Table2[#All],MATCH('Cash Balance'!A$3,Acc_Char!$B$1:$I$1,0),0)</f>
        <v>SAO HOA</v>
      </c>
      <c r="B108" s="1154" t="str">
        <f>VLOOKUP('Cash Balance'!$C108,Table2[#All],MATCH('Cash Balance'!B$3,Acc_Char!$B$1:$I$1,0),0)</f>
        <v>BIDV - THANH XUAN</v>
      </c>
      <c r="C108" s="1185" t="s">
        <v>601</v>
      </c>
      <c r="D108" s="1156" t="str">
        <f>VLOOKUP('Cash Balance'!$C108,Table2[#All],MATCH('Cash Balance'!D$3,Acc_Char!$B$1:$I$1,0),0)</f>
        <v>Current Account</v>
      </c>
      <c r="E108" s="384" t="str">
        <f>VLOOKUP('Cash Balance'!$C108,Table2[#All],MATCH('Cash Balance'!E$3,Acc_Char!$B$1:$I$1,0),0)</f>
        <v>VND</v>
      </c>
      <c r="F108" s="1094"/>
      <c r="G108" s="1157"/>
      <c r="H108" s="1318">
        <f>SUMIFS('Cash balance (Prior period)'!F:F,'Cash balance (Prior period)'!C:C,Table11[[#This Row],[ACCOUNT NUMBER]],'Cash balance (Prior period)'!E:E,Table11[[#This Row],[CURRENCY]])</f>
        <v>5452184673</v>
      </c>
      <c r="I108" s="1318">
        <f>SUMIFS(Movement!$F$4:$F$2136,Movement!$M$4:$M$2136,"VND",Movement!$C$4:$C$2136,Table11[[#This Row],[ACCOUNT NUMBER]],Movement!$J$4:$J$2136,Table11[[#This Row],[ENTITY]],Movement!$O$4:$O$2136,'Cash Balance'!$A$2)</f>
        <v>0</v>
      </c>
      <c r="J108" s="1318">
        <f>SUMIFS(Movement!$G$4:$G$2136,Movement!$M$4:$M$2136,"VND",Movement!$C$4:$C$2136,Table11[[#This Row],[ACCOUNT NUMBER]],Movement!$J$4:$J$2136,Table11[[#This Row],[ENTITY]],Movement!$O$4:$O$2136,'Cash Balance'!$A$2)</f>
        <v>55000</v>
      </c>
      <c r="K108" s="1084">
        <f>Table11[[#This Row],[CASH IN - CREDIT (VND)]]-Table11[[#This Row],[CASH OUT - DEBIT (VND)]]</f>
        <v>-55000</v>
      </c>
      <c r="L108" s="1095">
        <f t="shared" si="13"/>
        <v>5452129673</v>
      </c>
      <c r="M108" s="1184" t="e">
        <f>VLOOKUP(C108,'Cash balance (BS)'!A:D,4,)</f>
        <v>#N/A</v>
      </c>
      <c r="N108" s="1095" t="e">
        <f>Table11[[#This Row],[CLOSING BALANCE (VND)2]]-Table11[[#This Row],[CB_BS (VND)]]</f>
        <v>#N/A</v>
      </c>
      <c r="O108" s="1094">
        <v>0</v>
      </c>
      <c r="P108" s="1095">
        <f t="shared" si="14"/>
        <v>0</v>
      </c>
      <c r="Q108" s="817">
        <f>SUMIFS('Cash balance (Prior period)'!G:G,'Cash balance (Prior period)'!C:C,Table11[[#This Row],[ACCOUNT NUMBER]],'Cash balance (Prior period)'!E:E,Table11[[#This Row],[CURRENCY]])</f>
        <v>0</v>
      </c>
      <c r="R108" s="817">
        <f>SUMIFS(Movement!$F$4:$F$2136,Movement!$M$4:$M$2136,"USD",Movement!$C$4:$C$2136,Table11[[#This Row],[ACCOUNT NUMBER]],Movement!$J$4:$J$2136,Table11[[#This Row],[ENTITY]],Movement!$O$4:$O$2136,'Cash Balance'!$A$2)</f>
        <v>0</v>
      </c>
      <c r="S108" s="817">
        <f>SUMIFS(Movement!$G$4:$G$2136,Movement!$M$4:$M$2136,"USD",Movement!$C$4:$C$2136,Table11[[#This Row],[ACCOUNT NUMBER]],Movement!$J$4:$J$2136,Table11[[#This Row],[ENTITY]],Movement!$O$4:$O$2136,'Cash Balance'!$A$2)</f>
        <v>0</v>
      </c>
      <c r="T108" s="1087">
        <f t="shared" si="15"/>
        <v>0</v>
      </c>
      <c r="U108" s="817" t="e">
        <f>VLOOKUP(C108,'Cash balance (BS)'!A:D,4,)</f>
        <v>#N/A</v>
      </c>
      <c r="V108" s="1087" t="e">
        <f>Table11[[#This Row],[CLOSING BALANCE (USD)]]-Table11[[#This Row],[CB_BS (USD)]]</f>
        <v>#N/A</v>
      </c>
      <c r="W108" s="1156" t="str">
        <f>VLOOKUP('Cash Balance'!$C108,Table2[#All],MATCH('Cash Balance'!W$3,Acc_Char!$B$1:$I$1,0),0)</f>
        <v>VC3</v>
      </c>
      <c r="X108" s="1156" t="str">
        <f>VLOOKUP(IFERROR(MID($Y108,1,FIND("-",$Y108)-2),$Y108),Table3[#All],2,0)</f>
        <v>BIDV</v>
      </c>
      <c r="Y108" s="1156" t="str">
        <f>VLOOKUP($B108,Table4[#All],2,0)</f>
        <v>BIDV - THANH XUAN</v>
      </c>
      <c r="Z108" s="1151"/>
      <c r="AA108" s="49"/>
      <c r="AE108" s="818">
        <f>SUM(Table11[[#This Row],[CASH IN - CREDIT (VND)]],Table11[[#This Row],[CASH IN - CREDIT (USD)]])</f>
        <v>0</v>
      </c>
      <c r="AF108" s="818">
        <f>Table11[[#This Row],[CASH OUT - DEBIT (VND)]]+Table11[[#This Row],[CASH OUT - DEBIT (USD)]]</f>
        <v>55000</v>
      </c>
      <c r="AH108" s="1158" t="s">
        <v>1521</v>
      </c>
      <c r="AI108" s="49"/>
      <c r="AJ108" s="1158"/>
      <c r="AL108"/>
      <c r="AM108"/>
    </row>
    <row r="109" spans="1:39" ht="14.4">
      <c r="A109" s="1153" t="str">
        <f>VLOOKUP('Cash Balance'!$C109,Table2[#All],MATCH('Cash Balance'!A$3,Acc_Char!$B$1:$I$1,0),0)</f>
        <v>SAO HOA</v>
      </c>
      <c r="B109" s="1154" t="str">
        <f>VLOOKUP('Cash Balance'!$C109,Table2[#All],MATCH('Cash Balance'!B$3,Acc_Char!$B$1:$I$1,0),0)</f>
        <v>BIDV - THANH XUAN</v>
      </c>
      <c r="C109" s="1185" t="s">
        <v>602</v>
      </c>
      <c r="D109" s="1156" t="str">
        <f>VLOOKUP('Cash Balance'!$C109,Table2[#All],MATCH('Cash Balance'!D$3,Acc_Char!$B$1:$I$1,0),0)</f>
        <v>Current Account</v>
      </c>
      <c r="E109" s="384" t="str">
        <f>VLOOKUP('Cash Balance'!$C109,Table2[#All],MATCH('Cash Balance'!E$3,Acc_Char!$B$1:$I$1,0),0)</f>
        <v>USD</v>
      </c>
      <c r="F109" s="1094" t="e">
        <f>VLOOKUP(C109,'Cash balance (BS)'!A:C,3,)</f>
        <v>#N/A</v>
      </c>
      <c r="G109" s="1157" t="e">
        <f>F109-H109</f>
        <v>#N/A</v>
      </c>
      <c r="H109" s="1318">
        <f>SUMIFS('Cash balance (Prior period)'!F:F,'Cash balance (Prior period)'!C:C,Table11[[#This Row],[ACCOUNT NUMBER]],'Cash balance (Prior period)'!E:E,Table11[[#This Row],[CURRENCY]])</f>
        <v>0</v>
      </c>
      <c r="I109" s="1318">
        <f>SUMIFS(Movement!$F$4:$F$2136,Movement!$M$4:$M$2136,"VND",Movement!$C$4:$C$2136,Table11[[#This Row],[ACCOUNT NUMBER]],Movement!$J$4:$J$2136,Table11[[#This Row],[ENTITY]],Movement!$O$4:$O$2136,'Cash Balance'!$A$2)</f>
        <v>0</v>
      </c>
      <c r="J109" s="1318">
        <f>SUMIFS(Movement!$G$4:$G$2136,Movement!$M$4:$M$2136,"VND",Movement!$C$4:$C$2136,Table11[[#This Row],[ACCOUNT NUMBER]],Movement!$J$4:$J$2136,Table11[[#This Row],[ENTITY]],Movement!$O$4:$O$2136,'Cash Balance'!$A$2)</f>
        <v>0</v>
      </c>
      <c r="K109" s="1084">
        <f>Table11[[#This Row],[CASH IN - CREDIT (VND)]]-Table11[[#This Row],[CASH OUT - DEBIT (VND)]]</f>
        <v>0</v>
      </c>
      <c r="L109" s="1095">
        <f t="shared" si="13"/>
        <v>0</v>
      </c>
      <c r="M109" s="1184" t="e">
        <f>VLOOKUP(C109,'Cash balance (BS)'!A:D,4,)</f>
        <v>#N/A</v>
      </c>
      <c r="N109" s="1095" t="e">
        <f>Table11[[#This Row],[CLOSING BALANCE (VND)2]]-Table11[[#This Row],[CB_BS (VND)]]</f>
        <v>#N/A</v>
      </c>
      <c r="O109" s="1094">
        <v>0</v>
      </c>
      <c r="P109" s="1095">
        <f t="shared" si="14"/>
        <v>-213.81000000000006</v>
      </c>
      <c r="Q109" s="817">
        <f>SUMIFS('Cash balance (Prior period)'!G:G,'Cash balance (Prior period)'!C:C,Table11[[#This Row],[ACCOUNT NUMBER]],'Cash balance (Prior period)'!E:E,Table11[[#This Row],[CURRENCY]])</f>
        <v>213.81000000000006</v>
      </c>
      <c r="R109" s="817">
        <f>SUMIFS(Movement!$F$4:$F$2136,Movement!$M$4:$M$2136,"USD",Movement!$C$4:$C$2136,Table11[[#This Row],[ACCOUNT NUMBER]],Movement!$J$4:$J$2136,Table11[[#This Row],[ENTITY]],Movement!$O$4:$O$2136,'Cash Balance'!$A$2)</f>
        <v>0</v>
      </c>
      <c r="S109" s="817">
        <f>SUMIFS(Movement!$G$4:$G$2136,Movement!$M$4:$M$2136,"USD",Movement!$C$4:$C$2136,Table11[[#This Row],[ACCOUNT NUMBER]],Movement!$J$4:$J$2136,Table11[[#This Row],[ENTITY]],Movement!$O$4:$O$2136,'Cash Balance'!$A$2)</f>
        <v>2.2000000000000002</v>
      </c>
      <c r="T109" s="1087">
        <f>Q109+R109-S109</f>
        <v>211.61000000000007</v>
      </c>
      <c r="U109" s="817"/>
      <c r="V109" s="817">
        <f>Table11[[#This Row],[CLOSING BALANCE (USD)]]-Table11[[#This Row],[CB_BS (USD)]]</f>
        <v>211.61000000000007</v>
      </c>
      <c r="W109" s="1156" t="str">
        <f>VLOOKUP('Cash Balance'!$C109,Table2[#All],MATCH('Cash Balance'!W$3,Acc_Char!$B$1:$I$1,0),0)</f>
        <v>VC3</v>
      </c>
      <c r="X109" s="1156" t="str">
        <f>VLOOKUP(IFERROR(MID($Y109,1,FIND("-",$Y109)-2),$Y109),Table3[#All],2,0)</f>
        <v>BIDV</v>
      </c>
      <c r="Y109" s="1156" t="str">
        <f>VLOOKUP($B109,Table4[#All],2,0)</f>
        <v>BIDV - THANH XUAN</v>
      </c>
      <c r="Z109" s="1151"/>
      <c r="AA109" s="49"/>
      <c r="AE109" s="818">
        <f>SUM(Table11[[#This Row],[CASH IN - CREDIT (VND)]],Table11[[#This Row],[CASH IN - CREDIT (USD)]])</f>
        <v>0</v>
      </c>
      <c r="AF109" s="818">
        <f>Table11[[#This Row],[CASH OUT - DEBIT (VND)]]+Table11[[#This Row],[CASH OUT - DEBIT (USD)]]</f>
        <v>2.2000000000000002</v>
      </c>
      <c r="AH109" s="1158"/>
      <c r="AI109" s="49"/>
      <c r="AJ109" s="1158"/>
      <c r="AL109"/>
      <c r="AM109"/>
    </row>
    <row r="110" spans="1:39" ht="14.4">
      <c r="A110" s="1153" t="str">
        <f>VLOOKUP('Cash Balance'!$C110,Table2[#All],MATCH('Cash Balance'!A$3,Acc_Char!$B$1:$I$1,0),0)</f>
        <v>SAO HOA</v>
      </c>
      <c r="B110" s="1154" t="str">
        <f>VLOOKUP('Cash Balance'!$C110,Table2[#All],MATCH('Cash Balance'!B$3,Acc_Char!$B$1:$I$1,0),0)</f>
        <v>BIDV - THANH XUAN</v>
      </c>
      <c r="C110" s="1156" t="s">
        <v>603</v>
      </c>
      <c r="D110" s="1156" t="str">
        <f>VLOOKUP('Cash Balance'!$C110,Table2[#All],MATCH('Cash Balance'!D$3,Acc_Char!$B$1:$I$1,0),0)</f>
        <v>Foreign Loan</v>
      </c>
      <c r="E110" s="384" t="str">
        <f>VLOOKUP('Cash Balance'!$C110,Table2[#All],MATCH('Cash Balance'!E$3,Acc_Char!$B$1:$I$1,0),0)</f>
        <v>USD</v>
      </c>
      <c r="F110" s="1094"/>
      <c r="G110" s="1157"/>
      <c r="H110" s="1318">
        <f>SUMIFS('Cash balance (Prior period)'!F:F,'Cash balance (Prior period)'!C:C,Table11[[#This Row],[ACCOUNT NUMBER]],'Cash balance (Prior period)'!E:E,Table11[[#This Row],[CURRENCY]])</f>
        <v>0</v>
      </c>
      <c r="I110" s="1318">
        <f>SUMIFS(Movement!$F$4:$F$2136,Movement!$M$4:$M$2136,"VND",Movement!$C$4:$C$2136,Table11[[#This Row],[ACCOUNT NUMBER]],Movement!$J$4:$J$2136,Table11[[#This Row],[ENTITY]],Movement!$O$4:$O$2136,'Cash Balance'!$A$2)</f>
        <v>0</v>
      </c>
      <c r="J110" s="1318">
        <f>SUMIFS(Movement!$G$4:$G$2136,Movement!$M$4:$M$2136,"VND",Movement!$C$4:$C$2136,Table11[[#This Row],[ACCOUNT NUMBER]],Movement!$J$4:$J$2136,Table11[[#This Row],[ENTITY]],Movement!$O$4:$O$2136,'Cash Balance'!$A$2)</f>
        <v>0</v>
      </c>
      <c r="K110" s="1084">
        <f>Table11[[#This Row],[CASH IN - CREDIT (VND)]]-Table11[[#This Row],[CASH OUT - DEBIT (VND)]]</f>
        <v>0</v>
      </c>
      <c r="L110" s="1095">
        <f t="shared" si="13"/>
        <v>0</v>
      </c>
      <c r="M110" s="1184" t="e">
        <f>VLOOKUP(C110,'Cash balance (BS)'!A:D,4,)</f>
        <v>#N/A</v>
      </c>
      <c r="N110" s="1095" t="e">
        <f>Table11[[#This Row],[CLOSING BALANCE (VND)2]]-Table11[[#This Row],[CB_BS (VND)]]</f>
        <v>#N/A</v>
      </c>
      <c r="O110" s="1094">
        <v>0</v>
      </c>
      <c r="P110" s="1095">
        <f t="shared" si="14"/>
        <v>0</v>
      </c>
      <c r="Q110" s="817">
        <f>SUMIFS('Cash balance (Prior period)'!G:G,'Cash balance (Prior period)'!C:C,Table11[[#This Row],[ACCOUNT NUMBER]],'Cash balance (Prior period)'!E:E,Table11[[#This Row],[CURRENCY]])</f>
        <v>0</v>
      </c>
      <c r="R110" s="817">
        <f>SUMIFS(Movement!$F$4:$F$2136,Movement!$M$4:$M$2136,"USD",Movement!$C$4:$C$2136,Table11[[#This Row],[ACCOUNT NUMBER]],Movement!$J$4:$J$2136,Table11[[#This Row],[ENTITY]],Movement!$O$4:$O$2136,'Cash Balance'!$A$2)</f>
        <v>0</v>
      </c>
      <c r="S110" s="817">
        <f>SUMIFS(Movement!$G$4:$G$2136,Movement!$M$4:$M$2136,"USD",Movement!$C$4:$C$2136,Table11[[#This Row],[ACCOUNT NUMBER]],Movement!$J$4:$J$2136,Table11[[#This Row],[ENTITY]],Movement!$O$4:$O$2136,'Cash Balance'!$A$2)</f>
        <v>0</v>
      </c>
      <c r="T110" s="1087">
        <f t="shared" si="15"/>
        <v>0</v>
      </c>
      <c r="U110" s="817" t="e">
        <f>VLOOKUP(C110,'Cash balance (BS)'!A:D,4,)</f>
        <v>#N/A</v>
      </c>
      <c r="V110" s="1087" t="e">
        <f>Table11[[#This Row],[CLOSING BALANCE (USD)]]-Table11[[#This Row],[CB_BS (USD)]]</f>
        <v>#N/A</v>
      </c>
      <c r="W110" s="1156" t="str">
        <f>VLOOKUP('Cash Balance'!$C110,Table2[#All],MATCH('Cash Balance'!W$3,Acc_Char!$B$1:$I$1,0),0)</f>
        <v>VC3</v>
      </c>
      <c r="X110" s="1156" t="str">
        <f>VLOOKUP(IFERROR(MID($Y110,1,FIND("-",$Y110)-2),$Y110),Table3[#All],2,0)</f>
        <v>BIDV</v>
      </c>
      <c r="Y110" s="1156" t="str">
        <f>VLOOKUP($B110,Table4[#All],2,0)</f>
        <v>BIDV - THANH XUAN</v>
      </c>
      <c r="Z110" s="1151"/>
      <c r="AA110" s="49"/>
      <c r="AE110" s="818">
        <f>SUM(Table11[[#This Row],[CASH IN - CREDIT (VND)]],Table11[[#This Row],[CASH IN - CREDIT (USD)]])</f>
        <v>0</v>
      </c>
      <c r="AF110" s="818">
        <f>Table11[[#This Row],[CASH OUT - DEBIT (VND)]]+Table11[[#This Row],[CASH OUT - DEBIT (USD)]]</f>
        <v>0</v>
      </c>
      <c r="AH110" s="1158"/>
      <c r="AI110" s="49"/>
      <c r="AJ110" s="1158"/>
      <c r="AL110"/>
      <c r="AM110"/>
    </row>
    <row r="111" spans="1:39" ht="14.4">
      <c r="A111" s="1153" t="str">
        <f>VLOOKUP('Cash Balance'!$C111,Table2[#All],MATCH('Cash Balance'!A$3,Acc_Char!$B$1:$I$1,0),0)</f>
        <v>SAO HOA</v>
      </c>
      <c r="B111" s="1154" t="str">
        <f>VLOOKUP('Cash Balance'!$C111,Table2[#All],MATCH('Cash Balance'!B$3,Acc_Char!$B$1:$I$1,0),0)</f>
        <v>ACB - HCM</v>
      </c>
      <c r="C111" s="1156" t="s">
        <v>604</v>
      </c>
      <c r="D111" s="1156" t="str">
        <f>VLOOKUP('Cash Balance'!$C111,Table2[#All],MATCH('Cash Balance'!D$3,Acc_Char!$B$1:$I$1,0),0)</f>
        <v>Current Account</v>
      </c>
      <c r="E111" s="384" t="str">
        <f>VLOOKUP('Cash Balance'!$C111,Table2[#All],MATCH('Cash Balance'!E$3,Acc_Char!$B$1:$I$1,0),0)</f>
        <v>VND</v>
      </c>
      <c r="F111" s="1094" t="e">
        <f>VLOOKUP(C111,'Cash balance (BS)'!A:C,3,)</f>
        <v>#N/A</v>
      </c>
      <c r="G111" s="1157" t="e">
        <f>F111-H111</f>
        <v>#N/A</v>
      </c>
      <c r="H111" s="1318">
        <f>SUMIFS('Cash balance (Prior period)'!F:F,'Cash balance (Prior period)'!C:C,Table11[[#This Row],[ACCOUNT NUMBER]],'Cash balance (Prior period)'!E:E,Table11[[#This Row],[CURRENCY]])</f>
        <v>253471960</v>
      </c>
      <c r="I111" s="1318">
        <f>SUMIFS(Movement!$F$4:$F$2136,Movement!$M$4:$M$2136,"VND",Movement!$C$4:$C$2136,Table11[[#This Row],[ACCOUNT NUMBER]],Movement!$J$4:$J$2136,Table11[[#This Row],[ENTITY]],Movement!$O$4:$O$2136,'Cash Balance'!$A$2)</f>
        <v>0</v>
      </c>
      <c r="J111" s="1318">
        <f>SUMIFS(Movement!$G$4:$G$2136,Movement!$M$4:$M$2136,"VND",Movement!$C$4:$C$2136,Table11[[#This Row],[ACCOUNT NUMBER]],Movement!$J$4:$J$2136,Table11[[#This Row],[ENTITY]],Movement!$O$4:$O$2136,'Cash Balance'!$A$2)</f>
        <v>0</v>
      </c>
      <c r="K111" s="1084">
        <f>Table11[[#This Row],[CASH IN - CREDIT (VND)]]-Table11[[#This Row],[CASH OUT - DEBIT (VND)]]</f>
        <v>0</v>
      </c>
      <c r="L111" s="1095">
        <f t="shared" si="13"/>
        <v>253471960</v>
      </c>
      <c r="M111" s="1184" t="e">
        <f>VLOOKUP(C111,'Cash balance (BS)'!A:D,4,)</f>
        <v>#N/A</v>
      </c>
      <c r="N111" s="1095" t="e">
        <f>Table11[[#This Row],[CLOSING BALANCE (VND)2]]-Table11[[#This Row],[CB_BS (VND)]]</f>
        <v>#N/A</v>
      </c>
      <c r="O111" s="1094">
        <v>0</v>
      </c>
      <c r="P111" s="1095">
        <f t="shared" si="14"/>
        <v>0</v>
      </c>
      <c r="Q111" s="817">
        <f>SUMIFS('Cash balance (Prior period)'!G:G,'Cash balance (Prior period)'!C:C,Table11[[#This Row],[ACCOUNT NUMBER]],'Cash balance (Prior period)'!E:E,Table11[[#This Row],[CURRENCY]])</f>
        <v>0</v>
      </c>
      <c r="R111" s="817">
        <f>SUMIFS(Movement!$F$4:$F$2136,Movement!$M$4:$M$2136,"USD",Movement!$C$4:$C$2136,Table11[[#This Row],[ACCOUNT NUMBER]],Movement!$J$4:$J$2136,Table11[[#This Row],[ENTITY]],Movement!$O$4:$O$2136,'Cash Balance'!$A$2)</f>
        <v>0</v>
      </c>
      <c r="S111" s="817">
        <f>SUMIFS(Movement!$G$4:$G$2136,Movement!$M$4:$M$2136,"USD",Movement!$C$4:$C$2136,Table11[[#This Row],[ACCOUNT NUMBER]],Movement!$J$4:$J$2136,Table11[[#This Row],[ENTITY]],Movement!$O$4:$O$2136,'Cash Balance'!$A$2)</f>
        <v>0</v>
      </c>
      <c r="T111" s="1087">
        <f t="shared" si="15"/>
        <v>0</v>
      </c>
      <c r="U111" s="817"/>
      <c r="V111" s="817">
        <f>Table11[[#This Row],[CLOSING BALANCE (USD)]]-Table11[[#This Row],[CB_BS (USD)]]</f>
        <v>0</v>
      </c>
      <c r="W111" s="1156" t="str">
        <f>VLOOKUP('Cash Balance'!$C111,Table2[#All],MATCH('Cash Balance'!W$3,Acc_Char!$B$1:$I$1,0),0)</f>
        <v>VC3</v>
      </c>
      <c r="X111" s="1156" t="str">
        <f>VLOOKUP(IFERROR(MID($Y111,1,FIND("-",$Y111)-2),$Y111),Table3[#All],2,0)</f>
        <v>ACB</v>
      </c>
      <c r="Y111" s="1156" t="str">
        <f>VLOOKUP($B111,Table4[#All],2,0)</f>
        <v>ACB - HCM</v>
      </c>
      <c r="Z111" s="1151"/>
      <c r="AA111" s="49"/>
      <c r="AE111" s="818">
        <f>SUM(Table11[[#This Row],[CASH IN - CREDIT (VND)]],Table11[[#This Row],[CASH IN - CREDIT (USD)]])</f>
        <v>0</v>
      </c>
      <c r="AF111" s="818">
        <f>Table11[[#This Row],[CASH OUT - DEBIT (VND)]]+Table11[[#This Row],[CASH OUT - DEBIT (USD)]]</f>
        <v>0</v>
      </c>
      <c r="AH111" s="1158"/>
      <c r="AI111" s="49"/>
      <c r="AJ111" s="1158"/>
      <c r="AL111"/>
      <c r="AM111"/>
    </row>
    <row r="112" spans="1:39" ht="14.4">
      <c r="A112" s="1153" t="str">
        <f>VLOOKUP('Cash Balance'!$C112,Table2[#All],MATCH('Cash Balance'!A$3,Acc_Char!$B$1:$I$1,0),0)</f>
        <v>SAO HOA</v>
      </c>
      <c r="B112" s="1154" t="str">
        <f>VLOOKUP('Cash Balance'!$C112,Table2[#All],MATCH('Cash Balance'!B$3,Acc_Char!$B$1:$I$1,0),0)</f>
        <v>ACB - HCM</v>
      </c>
      <c r="C112" s="1156" t="s">
        <v>605</v>
      </c>
      <c r="D112" s="1156" t="str">
        <f>VLOOKUP('Cash Balance'!$C112,Table2[#All],MATCH('Cash Balance'!D$3,Acc_Char!$B$1:$I$1,0),0)</f>
        <v>Current Account</v>
      </c>
      <c r="E112" s="384" t="str">
        <f>VLOOKUP('Cash Balance'!$C112,Table2[#All],MATCH('Cash Balance'!E$3,Acc_Char!$B$1:$I$1,0),0)</f>
        <v>USD</v>
      </c>
      <c r="F112" s="1094"/>
      <c r="G112" s="1157"/>
      <c r="H112" s="1318">
        <f>SUMIFS('Cash balance (Prior period)'!F:F,'Cash balance (Prior period)'!C:C,Table11[[#This Row],[ACCOUNT NUMBER]],'Cash balance (Prior period)'!E:E,Table11[[#This Row],[CURRENCY]])</f>
        <v>0</v>
      </c>
      <c r="I112" s="1318">
        <f>SUMIFS(Movement!$F$4:$F$2136,Movement!$M$4:$M$2136,"VND",Movement!$C$4:$C$2136,Table11[[#This Row],[ACCOUNT NUMBER]],Movement!$J$4:$J$2136,Table11[[#This Row],[ENTITY]],Movement!$O$4:$O$2136,'Cash Balance'!$A$2)</f>
        <v>0</v>
      </c>
      <c r="J112" s="1318">
        <f>SUMIFS(Movement!$G$4:$G$2136,Movement!$M$4:$M$2136,"VND",Movement!$C$4:$C$2136,Table11[[#This Row],[ACCOUNT NUMBER]],Movement!$J$4:$J$2136,Table11[[#This Row],[ENTITY]],Movement!$O$4:$O$2136,'Cash Balance'!$A$2)</f>
        <v>0</v>
      </c>
      <c r="K112" s="1084">
        <f>Table11[[#This Row],[CASH IN - CREDIT (VND)]]-Table11[[#This Row],[CASH OUT - DEBIT (VND)]]</f>
        <v>0</v>
      </c>
      <c r="L112" s="1095">
        <f t="shared" si="13"/>
        <v>0</v>
      </c>
      <c r="M112" s="1184" t="e">
        <f>VLOOKUP(C112,'Cash balance (BS)'!A:D,4,)</f>
        <v>#N/A</v>
      </c>
      <c r="N112" s="1095" t="e">
        <f>Table11[[#This Row],[CLOSING BALANCE (VND)2]]-Table11[[#This Row],[CB_BS (VND)]]</f>
        <v>#N/A</v>
      </c>
      <c r="O112" s="1094">
        <v>0</v>
      </c>
      <c r="P112" s="1095">
        <f t="shared" si="14"/>
        <v>0</v>
      </c>
      <c r="Q112" s="817">
        <f>SUMIFS('Cash balance (Prior period)'!G:G,'Cash balance (Prior period)'!C:C,Table11[[#This Row],[ACCOUNT NUMBER]],'Cash balance (Prior period)'!E:E,Table11[[#This Row],[CURRENCY]])</f>
        <v>0</v>
      </c>
      <c r="R112" s="817">
        <f>SUMIFS(Movement!$F$4:$F$2136,Movement!$M$4:$M$2136,"USD",Movement!$C$4:$C$2136,Table11[[#This Row],[ACCOUNT NUMBER]],Movement!$J$4:$J$2136,Table11[[#This Row],[ENTITY]],Movement!$O$4:$O$2136,'Cash Balance'!$A$2)</f>
        <v>0</v>
      </c>
      <c r="S112" s="817">
        <f>SUMIFS(Movement!$G$4:$G$2136,Movement!$M$4:$M$2136,"USD",Movement!$C$4:$C$2136,Table11[[#This Row],[ACCOUNT NUMBER]],Movement!$J$4:$J$2136,Table11[[#This Row],[ENTITY]],Movement!$O$4:$O$2136,'Cash Balance'!$A$2)</f>
        <v>0</v>
      </c>
      <c r="T112" s="1087">
        <f t="shared" si="15"/>
        <v>0</v>
      </c>
      <c r="U112" s="817" t="e">
        <f>VLOOKUP(C112,'Cash balance (BS)'!A:D,4,)</f>
        <v>#N/A</v>
      </c>
      <c r="V112" s="1087" t="e">
        <f>Table11[[#This Row],[CLOSING BALANCE (USD)]]-Table11[[#This Row],[CB_BS (USD)]]</f>
        <v>#N/A</v>
      </c>
      <c r="W112" s="1156" t="str">
        <f>VLOOKUP('Cash Balance'!$C112,Table2[#All],MATCH('Cash Balance'!W$3,Acc_Char!$B$1:$I$1,0),0)</f>
        <v>VC3</v>
      </c>
      <c r="X112" s="1156" t="str">
        <f>VLOOKUP(IFERROR(MID($Y112,1,FIND("-",$Y112)-2),$Y112),Table3[#All],2,0)</f>
        <v>ACB</v>
      </c>
      <c r="Y112" s="1156" t="str">
        <f>VLOOKUP($B112,Table4[#All],2,0)</f>
        <v>ACB - HCM</v>
      </c>
      <c r="Z112" s="1151"/>
      <c r="AA112" s="49"/>
      <c r="AE112" s="818">
        <f>SUM(Table11[[#This Row],[CASH IN - CREDIT (VND)]],Table11[[#This Row],[CASH IN - CREDIT (USD)]])</f>
        <v>0</v>
      </c>
      <c r="AF112" s="818">
        <f>Table11[[#This Row],[CASH OUT - DEBIT (VND)]]+Table11[[#This Row],[CASH OUT - DEBIT (USD)]]</f>
        <v>0</v>
      </c>
      <c r="AH112" s="1158"/>
      <c r="AI112" s="49"/>
      <c r="AJ112" s="1158"/>
      <c r="AL112"/>
      <c r="AM112"/>
    </row>
    <row r="113" spans="1:39" ht="14.4">
      <c r="A113" s="1153" t="str">
        <f>VLOOKUP('Cash Balance'!$C113,Table2[#All],MATCH('Cash Balance'!A$3,Acc_Char!$B$1:$I$1,0),0)</f>
        <v>BAU BANG 3</v>
      </c>
      <c r="B113" s="1154" t="str">
        <f>VLOOKUP('Cash Balance'!$C113,Table2[#All],MATCH('Cash Balance'!B$3,Acc_Char!$B$1:$I$1,0),0)</f>
        <v>VIETINBANK - BINH DUONG</v>
      </c>
      <c r="C113" s="1156" t="s">
        <v>607</v>
      </c>
      <c r="D113" s="1156" t="str">
        <f>VLOOKUP('Cash Balance'!$C113,Table2[#All],MATCH('Cash Balance'!D$3,Acc_Char!$B$1:$I$1,0),0)</f>
        <v>Current Account</v>
      </c>
      <c r="E113" s="384" t="str">
        <f>VLOOKUP('Cash Balance'!$C113,Table2[#All],MATCH('Cash Balance'!E$3,Acc_Char!$B$1:$I$1,0),0)</f>
        <v>VND</v>
      </c>
      <c r="F113" s="1094" t="e">
        <f>VLOOKUP(C113,'Cash balance (BS)'!A:C,3,)</f>
        <v>#N/A</v>
      </c>
      <c r="G113" s="1157" t="e">
        <f>F113-H113</f>
        <v>#N/A</v>
      </c>
      <c r="H113" s="1318">
        <f>SUMIFS('Cash balance (Prior period)'!F:F,'Cash balance (Prior period)'!C:C,Table11[[#This Row],[ACCOUNT NUMBER]],'Cash balance (Prior period)'!E:E,Table11[[#This Row],[CURRENCY]])</f>
        <v>13463043</v>
      </c>
      <c r="I113" s="1318">
        <f>SUMIFS(Movement!$F$4:$F$2136,Movement!$M$4:$M$2136,"VND",Movement!$C$4:$C$2136,Table11[[#This Row],[ACCOUNT NUMBER]],Movement!$J$4:$J$2136,Table11[[#This Row],[ENTITY]],Movement!$O$4:$O$2136,'Cash Balance'!$A$2)</f>
        <v>0</v>
      </c>
      <c r="J113" s="1318">
        <f>SUMIFS(Movement!$G$4:$G$2136,Movement!$M$4:$M$2136,"VND",Movement!$C$4:$C$2136,Table11[[#This Row],[ACCOUNT NUMBER]],Movement!$J$4:$J$2136,Table11[[#This Row],[ENTITY]],Movement!$O$4:$O$2136,'Cash Balance'!$A$2)</f>
        <v>0</v>
      </c>
      <c r="K113" s="1084">
        <f>Table11[[#This Row],[CASH IN - CREDIT (VND)]]-Table11[[#This Row],[CASH OUT - DEBIT (VND)]]</f>
        <v>0</v>
      </c>
      <c r="L113" s="1095">
        <f t="shared" si="13"/>
        <v>13463043</v>
      </c>
      <c r="M113" s="1184" t="e">
        <f>VLOOKUP(C113,'Cash balance (BS)'!A:D,4,)</f>
        <v>#N/A</v>
      </c>
      <c r="N113" s="1095" t="e">
        <f>Table11[[#This Row],[CLOSING BALANCE (VND)2]]-Table11[[#This Row],[CB_BS (VND)]]</f>
        <v>#N/A</v>
      </c>
      <c r="O113" s="1094">
        <v>0</v>
      </c>
      <c r="P113" s="1095">
        <f t="shared" si="14"/>
        <v>0</v>
      </c>
      <c r="Q113" s="817">
        <f>SUMIFS('Cash balance (Prior period)'!G:G,'Cash balance (Prior period)'!C:C,Table11[[#This Row],[ACCOUNT NUMBER]],'Cash balance (Prior period)'!E:E,Table11[[#This Row],[CURRENCY]])</f>
        <v>0</v>
      </c>
      <c r="R113" s="817">
        <f>SUMIFS(Movement!$F$4:$F$2136,Movement!$M$4:$M$2136,"USD",Movement!$C$4:$C$2136,Table11[[#This Row],[ACCOUNT NUMBER]],Movement!$J$4:$J$2136,Table11[[#This Row],[ENTITY]],Movement!$O$4:$O$2136,'Cash Balance'!$A$2)</f>
        <v>0</v>
      </c>
      <c r="S113" s="817">
        <f>SUMIFS(Movement!$G$4:$G$2136,Movement!$M$4:$M$2136,"USD",Movement!$C$4:$C$2136,Table11[[#This Row],[ACCOUNT NUMBER]],Movement!$J$4:$J$2136,Table11[[#This Row],[ENTITY]],Movement!$O$4:$O$2136,'Cash Balance'!$A$2)</f>
        <v>0</v>
      </c>
      <c r="T113" s="1087">
        <f t="shared" si="15"/>
        <v>0</v>
      </c>
      <c r="U113" s="817"/>
      <c r="V113" s="817">
        <f>Table11[[#This Row],[CLOSING BALANCE (USD)]]-Table11[[#This Row],[CB_BS (USD)]]</f>
        <v>0</v>
      </c>
      <c r="W113" s="1156" t="str">
        <f>VLOOKUP('Cash Balance'!$C113,Table2[#All],MATCH('Cash Balance'!W$3,Acc_Char!$B$1:$I$1,0),0)</f>
        <v>Subsidiaries</v>
      </c>
      <c r="X113" s="1156" t="str">
        <f>VLOOKUP(IFERROR(MID($Y113,1,FIND("-",$Y113)-2),$Y113),Table3[#All],2,0)</f>
        <v>VTB</v>
      </c>
      <c r="Y113" s="1156" t="str">
        <f>VLOOKUP($B113,Table4[#All],2,0)</f>
        <v>VIETINBANK - BINH DUONG + QM</v>
      </c>
      <c r="Z113" s="1151"/>
      <c r="AA113" s="49"/>
      <c r="AE113" s="818">
        <f>SUM(Table11[[#This Row],[CASH IN - CREDIT (VND)]],Table11[[#This Row],[CASH IN - CREDIT (USD)]])</f>
        <v>0</v>
      </c>
      <c r="AF113" s="818">
        <f>Table11[[#This Row],[CASH OUT - DEBIT (VND)]]+Table11[[#This Row],[CASH OUT - DEBIT (USD)]]</f>
        <v>0</v>
      </c>
      <c r="AH113" s="1158"/>
      <c r="AI113" s="49"/>
      <c r="AJ113" s="1158"/>
      <c r="AL113"/>
      <c r="AM113"/>
    </row>
    <row r="114" spans="1:39" ht="14.4">
      <c r="A114" s="1153" t="str">
        <f>VLOOKUP('Cash Balance'!$C114,Table2[#All],MATCH('Cash Balance'!A$3,Acc_Char!$B$1:$I$1,0),0)</f>
        <v>BAU BANG 3</v>
      </c>
      <c r="B114" s="1154" t="str">
        <f>VLOOKUP('Cash Balance'!$C114,Table2[#All],MATCH('Cash Balance'!B$3,Acc_Char!$B$1:$I$1,0),0)</f>
        <v>VIETINBANK - BINH DUONG</v>
      </c>
      <c r="C114" s="1156" t="s">
        <v>608</v>
      </c>
      <c r="D114" s="1156" t="str">
        <f>VLOOKUP('Cash Balance'!$C114,Table2[#All],MATCH('Cash Balance'!D$3,Acc_Char!$B$1:$I$1,0),0)</f>
        <v>Current Account</v>
      </c>
      <c r="E114" s="384" t="str">
        <f>VLOOKUP('Cash Balance'!$C114,Table2[#All],MATCH('Cash Balance'!E$3,Acc_Char!$B$1:$I$1,0),0)</f>
        <v>USD</v>
      </c>
      <c r="F114" s="1094"/>
      <c r="G114" s="1157"/>
      <c r="H114" s="1318">
        <f>SUMIFS('Cash balance (Prior period)'!F:F,'Cash balance (Prior period)'!C:C,Table11[[#This Row],[ACCOUNT NUMBER]],'Cash balance (Prior period)'!E:E,Table11[[#This Row],[CURRENCY]])</f>
        <v>0</v>
      </c>
      <c r="I114" s="1318">
        <f>SUMIFS(Movement!$F$4:$F$2136,Movement!$M$4:$M$2136,"VND",Movement!$C$4:$C$2136,Table11[[#This Row],[ACCOUNT NUMBER]],Movement!$J$4:$J$2136,Table11[[#This Row],[ENTITY]],Movement!$O$4:$O$2136,'Cash Balance'!$A$2)</f>
        <v>0</v>
      </c>
      <c r="J114" s="1318">
        <f>SUMIFS(Movement!$G$4:$G$2136,Movement!$M$4:$M$2136,"VND",Movement!$C$4:$C$2136,Table11[[#This Row],[ACCOUNT NUMBER]],Movement!$J$4:$J$2136,Table11[[#This Row],[ENTITY]],Movement!$O$4:$O$2136,'Cash Balance'!$A$2)</f>
        <v>0</v>
      </c>
      <c r="K114" s="1084">
        <f>Table11[[#This Row],[CASH IN - CREDIT (VND)]]-Table11[[#This Row],[CASH OUT - DEBIT (VND)]]</f>
        <v>0</v>
      </c>
      <c r="L114" s="1095">
        <f t="shared" si="13"/>
        <v>0</v>
      </c>
      <c r="M114" s="1184" t="e">
        <f>VLOOKUP(C114,'Cash balance (BS)'!A:D,4,)</f>
        <v>#N/A</v>
      </c>
      <c r="N114" s="1095" t="e">
        <f>Table11[[#This Row],[CLOSING BALANCE (VND)2]]-Table11[[#This Row],[CB_BS (VND)]]</f>
        <v>#N/A</v>
      </c>
      <c r="O114" s="1094">
        <v>0</v>
      </c>
      <c r="P114" s="1095">
        <f t="shared" si="14"/>
        <v>0</v>
      </c>
      <c r="Q114" s="817">
        <f>SUMIFS('Cash balance (Prior period)'!G:G,'Cash balance (Prior period)'!C:C,Table11[[#This Row],[ACCOUNT NUMBER]],'Cash balance (Prior period)'!E:E,Table11[[#This Row],[CURRENCY]])</f>
        <v>0</v>
      </c>
      <c r="R114" s="817">
        <f>SUMIFS(Movement!$F$4:$F$2136,Movement!$M$4:$M$2136,"USD",Movement!$C$4:$C$2136,Table11[[#This Row],[ACCOUNT NUMBER]],Movement!$J$4:$J$2136,Table11[[#This Row],[ENTITY]],Movement!$O$4:$O$2136,'Cash Balance'!$A$2)</f>
        <v>0</v>
      </c>
      <c r="S114" s="817">
        <f>SUMIFS(Movement!$G$4:$G$2136,Movement!$M$4:$M$2136,"USD",Movement!$C$4:$C$2136,Table11[[#This Row],[ACCOUNT NUMBER]],Movement!$J$4:$J$2136,Table11[[#This Row],[ENTITY]],Movement!$O$4:$O$2136,'Cash Balance'!$A$2)</f>
        <v>0</v>
      </c>
      <c r="T114" s="1087">
        <f t="shared" si="15"/>
        <v>0</v>
      </c>
      <c r="U114" s="817" t="e">
        <f>VLOOKUP(C114,'Cash balance (BS)'!A:D,4,)</f>
        <v>#N/A</v>
      </c>
      <c r="V114" s="817" t="e">
        <f>Table11[[#This Row],[CLOSING BALANCE (USD)]]-Table11[[#This Row],[CB_BS (USD)]]</f>
        <v>#N/A</v>
      </c>
      <c r="W114" s="1156" t="str">
        <f>VLOOKUP('Cash Balance'!$C114,Table2[#All],MATCH('Cash Balance'!W$3,Acc_Char!$B$1:$I$1,0),0)</f>
        <v>Subsidiaries</v>
      </c>
      <c r="X114" s="1156" t="str">
        <f>VLOOKUP(IFERROR(MID($Y114,1,FIND("-",$Y114)-2),$Y114),Table3[#All],2,0)</f>
        <v>VTB</v>
      </c>
      <c r="Y114" s="1156" t="str">
        <f>VLOOKUP($B114,Table4[#All],2,0)</f>
        <v>VIETINBANK - BINH DUONG + QM</v>
      </c>
      <c r="Z114" s="1151"/>
      <c r="AA114" s="49"/>
      <c r="AE114" s="818">
        <f>SUM(Table11[[#This Row],[CASH IN - CREDIT (VND)]],Table11[[#This Row],[CASH IN - CREDIT (USD)]])</f>
        <v>0</v>
      </c>
      <c r="AF114" s="818">
        <f>Table11[[#This Row],[CASH OUT - DEBIT (VND)]]+Table11[[#This Row],[CASH OUT - DEBIT (USD)]]</f>
        <v>0</v>
      </c>
      <c r="AH114" s="1158"/>
      <c r="AI114" s="49"/>
      <c r="AJ114" s="1158"/>
      <c r="AL114"/>
      <c r="AM114"/>
    </row>
    <row r="115" spans="1:39" ht="14.4">
      <c r="A115" s="1153" t="str">
        <f>VLOOKUP('Cash Balance'!$C115,Table2[#All],MATCH('Cash Balance'!A$3,Acc_Char!$B$1:$I$1,0),0)</f>
        <v>BWID Tan Phu Trung</v>
      </c>
      <c r="B115" s="1154" t="str">
        <f>VLOOKUP('Cash Balance'!$C115,Table2[#All],MATCH('Cash Balance'!B$3,Acc_Char!$B$1:$I$1,0),0)</f>
        <v>VIETINBANK - TIEN SON</v>
      </c>
      <c r="C115" s="1156" t="s">
        <v>610</v>
      </c>
      <c r="D115" s="1156" t="str">
        <f>VLOOKUP('Cash Balance'!$C115,Table2[#All],MATCH('Cash Balance'!D$3,Acc_Char!$B$1:$I$1,0),0)</f>
        <v>Current Account</v>
      </c>
      <c r="E115" s="384" t="str">
        <f>VLOOKUP('Cash Balance'!$C115,Table2[#All],MATCH('Cash Balance'!E$3,Acc_Char!$B$1:$I$1,0),0)</f>
        <v>VND</v>
      </c>
      <c r="F115" s="1094" t="e">
        <f>VLOOKUP(C115,'Cash balance (BS)'!A:C,3,)</f>
        <v>#N/A</v>
      </c>
      <c r="G115" s="1157" t="e">
        <f>F115-H115</f>
        <v>#N/A</v>
      </c>
      <c r="H115" s="1318">
        <f>SUMIFS('Cash balance (Prior period)'!F:F,'Cash balance (Prior period)'!C:C,Table11[[#This Row],[ACCOUNT NUMBER]],'Cash balance (Prior period)'!E:E,Table11[[#This Row],[CURRENCY]])</f>
        <v>10986980172</v>
      </c>
      <c r="I115" s="1318">
        <f>SUMIFS(Movement!$F$4:$F$2136,Movement!$M$4:$M$2136,"VND",Movement!$C$4:$C$2136,Table11[[#This Row],[ACCOUNT NUMBER]],Movement!$J$4:$J$2136,Table11[[#This Row],[ENTITY]],Movement!$O$4:$O$2136,'Cash Balance'!$A$2)</f>
        <v>19230389856</v>
      </c>
      <c r="J115" s="1318">
        <f>SUMIFS(Movement!$G$4:$G$2136,Movement!$M$4:$M$2136,"VND",Movement!$C$4:$C$2136,Table11[[#This Row],[ACCOUNT NUMBER]],Movement!$J$4:$J$2136,Table11[[#This Row],[ENTITY]],Movement!$O$4:$O$2136,'Cash Balance'!$A$2)</f>
        <v>15557103981</v>
      </c>
      <c r="K115" s="1084">
        <f>Table11[[#This Row],[CASH IN - CREDIT (VND)]]-Table11[[#This Row],[CASH OUT - DEBIT (VND)]]</f>
        <v>3673285875</v>
      </c>
      <c r="L115" s="1095">
        <f t="shared" si="13"/>
        <v>14660266047</v>
      </c>
      <c r="M115" s="1184" t="e">
        <f>VLOOKUP(C115,'Cash balance (BS)'!A:D,4,)</f>
        <v>#N/A</v>
      </c>
      <c r="N115" s="1095" t="e">
        <f>Table11[[#This Row],[CLOSING BALANCE (VND)2]]-Table11[[#This Row],[CB_BS (VND)]]</f>
        <v>#N/A</v>
      </c>
      <c r="O115" s="1094">
        <v>0</v>
      </c>
      <c r="P115" s="1095">
        <f t="shared" si="14"/>
        <v>0</v>
      </c>
      <c r="Q115" s="817">
        <f>SUMIFS('Cash balance (Prior period)'!G:G,'Cash balance (Prior period)'!C:C,Table11[[#This Row],[ACCOUNT NUMBER]],'Cash balance (Prior period)'!E:E,Table11[[#This Row],[CURRENCY]])</f>
        <v>0</v>
      </c>
      <c r="R115" s="817">
        <f>SUMIFS(Movement!$F$4:$F$2136,Movement!$M$4:$M$2136,"USD",Movement!$C$4:$C$2136,Table11[[#This Row],[ACCOUNT NUMBER]],Movement!$J$4:$J$2136,Table11[[#This Row],[ENTITY]],Movement!$O$4:$O$2136,'Cash Balance'!$A$2)</f>
        <v>0</v>
      </c>
      <c r="S115" s="817">
        <f>SUMIFS(Movement!$G$4:$G$2136,Movement!$M$4:$M$2136,"USD",Movement!$C$4:$C$2136,Table11[[#This Row],[ACCOUNT NUMBER]],Movement!$J$4:$J$2136,Table11[[#This Row],[ENTITY]],Movement!$O$4:$O$2136,'Cash Balance'!$A$2)</f>
        <v>0</v>
      </c>
      <c r="T115" s="1087">
        <f t="shared" si="15"/>
        <v>0</v>
      </c>
      <c r="U115" s="817"/>
      <c r="V115" s="817">
        <f>Table11[[#This Row],[CLOSING BALANCE (USD)]]-Table11[[#This Row],[CB_BS (USD)]]</f>
        <v>0</v>
      </c>
      <c r="W115" s="1156" t="str">
        <f>VLOOKUP('Cash Balance'!$C115,Table2[#All],MATCH('Cash Balance'!W$3,Acc_Char!$B$1:$I$1,0),0)</f>
        <v>Subsidiaries</v>
      </c>
      <c r="X115" s="1156" t="str">
        <f>VLOOKUP(IFERROR(MID($Y115,1,FIND("-",$Y115)-2),$Y115),Table3[#All],2,0)</f>
        <v>VTB</v>
      </c>
      <c r="Y115" s="1156" t="str">
        <f>VLOOKUP($B115,Table4[#All],2,0)</f>
        <v>VIETINBANK - TIEN SON</v>
      </c>
      <c r="Z115" s="1151"/>
      <c r="AA115" s="49"/>
      <c r="AE115" s="818">
        <f>SUM(Table11[[#This Row],[CASH IN - CREDIT (VND)]],Table11[[#This Row],[CASH IN - CREDIT (USD)]])</f>
        <v>19230389856</v>
      </c>
      <c r="AF115" s="818">
        <f>Table11[[#This Row],[CASH OUT - DEBIT (VND)]]+Table11[[#This Row],[CASH OUT - DEBIT (USD)]]</f>
        <v>15557103981</v>
      </c>
      <c r="AH115" s="1158"/>
      <c r="AI115" s="49"/>
      <c r="AJ115" s="1158"/>
      <c r="AL115"/>
      <c r="AM115"/>
    </row>
    <row r="116" spans="1:39" ht="14.4">
      <c r="A116" s="1153" t="str">
        <f>VLOOKUP('Cash Balance'!$C116,Table2[#All],MATCH('Cash Balance'!A$3,Acc_Char!$B$1:$I$1,0),0)</f>
        <v>BAU BANG 4</v>
      </c>
      <c r="B116" s="1154" t="str">
        <f>VLOOKUP('Cash Balance'!$C116,Table2[#All],MATCH('Cash Balance'!B$3,Acc_Char!$B$1:$I$1,0),0)</f>
        <v>VIETINBANK - BINH DUONG</v>
      </c>
      <c r="C116" s="1156" t="s">
        <v>612</v>
      </c>
      <c r="D116" s="1156" t="str">
        <f>VLOOKUP('Cash Balance'!$C116,Table2[#All],MATCH('Cash Balance'!D$3,Acc_Char!$B$1:$I$1,0),0)</f>
        <v>Current Account</v>
      </c>
      <c r="E116" s="384" t="str">
        <f>VLOOKUP('Cash Balance'!$C116,Table2[#All],MATCH('Cash Balance'!E$3,Acc_Char!$B$1:$I$1,0),0)</f>
        <v>VND</v>
      </c>
      <c r="F116" s="1094"/>
      <c r="G116" s="1157"/>
      <c r="H116" s="1318">
        <f>SUMIFS('Cash balance (Prior period)'!F:F,'Cash balance (Prior period)'!C:C,Table11[[#This Row],[ACCOUNT NUMBER]],'Cash balance (Prior period)'!E:E,Table11[[#This Row],[CURRENCY]])</f>
        <v>11350990</v>
      </c>
      <c r="I116" s="1318">
        <f>SUMIFS(Movement!$F$4:$F$2136,Movement!$M$4:$M$2136,"VND",Movement!$C$4:$C$2136,Table11[[#This Row],[ACCOUNT NUMBER]],Movement!$J$4:$J$2136,Table11[[#This Row],[ENTITY]],Movement!$O$4:$O$2136,'Cash Balance'!$A$2)</f>
        <v>0</v>
      </c>
      <c r="J116" s="1318">
        <f>SUMIFS(Movement!$G$4:$G$2136,Movement!$M$4:$M$2136,"VND",Movement!$C$4:$C$2136,Table11[[#This Row],[ACCOUNT NUMBER]],Movement!$J$4:$J$2136,Table11[[#This Row],[ENTITY]],Movement!$O$4:$O$2136,'Cash Balance'!$A$2)</f>
        <v>0</v>
      </c>
      <c r="K116" s="1084">
        <f>Table11[[#This Row],[CASH IN - CREDIT (VND)]]-Table11[[#This Row],[CASH OUT - DEBIT (VND)]]</f>
        <v>0</v>
      </c>
      <c r="L116" s="1095">
        <f t="shared" si="13"/>
        <v>11350990</v>
      </c>
      <c r="M116" s="1184" t="e">
        <f>VLOOKUP(C116,'Cash balance (BS)'!A:D,4,)</f>
        <v>#N/A</v>
      </c>
      <c r="N116" s="1095" t="e">
        <f>Table11[[#This Row],[CLOSING BALANCE (VND)2]]-Table11[[#This Row],[CB_BS (VND)]]</f>
        <v>#N/A</v>
      </c>
      <c r="O116" s="1094">
        <v>0</v>
      </c>
      <c r="P116" s="1095">
        <f t="shared" si="14"/>
        <v>0</v>
      </c>
      <c r="Q116" s="817">
        <f>SUMIFS('Cash balance (Prior period)'!G:G,'Cash balance (Prior period)'!C:C,Table11[[#This Row],[ACCOUNT NUMBER]],'Cash balance (Prior period)'!E:E,Table11[[#This Row],[CURRENCY]])</f>
        <v>0</v>
      </c>
      <c r="R116" s="817">
        <f>SUMIFS(Movement!$F$4:$F$2136,Movement!$M$4:$M$2136,"USD",Movement!$C$4:$C$2136,Table11[[#This Row],[ACCOUNT NUMBER]],Movement!$J$4:$J$2136,Table11[[#This Row],[ENTITY]],Movement!$O$4:$O$2136,'Cash Balance'!$A$2)</f>
        <v>0</v>
      </c>
      <c r="S116" s="817">
        <f>SUMIFS(Movement!$G$4:$G$2136,Movement!$M$4:$M$2136,"USD",Movement!$C$4:$C$2136,Table11[[#This Row],[ACCOUNT NUMBER]],Movement!$J$4:$J$2136,Table11[[#This Row],[ENTITY]],Movement!$O$4:$O$2136,'Cash Balance'!$A$2)</f>
        <v>0</v>
      </c>
      <c r="T116" s="1087">
        <f t="shared" si="15"/>
        <v>0</v>
      </c>
      <c r="U116" s="817" t="e">
        <f>VLOOKUP(C116,'Cash balance (BS)'!A:D,4,)</f>
        <v>#N/A</v>
      </c>
      <c r="V116" s="817" t="e">
        <f>Table11[[#This Row],[CLOSING BALANCE (USD)]]-Table11[[#This Row],[CB_BS (USD)]]</f>
        <v>#N/A</v>
      </c>
      <c r="W116" s="1156" t="str">
        <f>VLOOKUP('Cash Balance'!$C116,Table2[#All],MATCH('Cash Balance'!W$3,Acc_Char!$B$1:$I$1,0),0)</f>
        <v>Subsidiaries</v>
      </c>
      <c r="X116" s="1156" t="str">
        <f>VLOOKUP(IFERROR(MID($Y116,1,FIND("-",$Y116)-2),$Y116),Table3[#All],2,0)</f>
        <v>VTB</v>
      </c>
      <c r="Y116" s="1156" t="str">
        <f>VLOOKUP($B116,Table4[#All],2,0)</f>
        <v>VIETINBANK - BINH DUONG + QM</v>
      </c>
      <c r="Z116" s="1151"/>
      <c r="AA116" s="49"/>
      <c r="AE116" s="818">
        <f>SUM(Table11[[#This Row],[CASH IN - CREDIT (VND)]],Table11[[#This Row],[CASH IN - CREDIT (USD)]])</f>
        <v>0</v>
      </c>
      <c r="AF116" s="818">
        <f>Table11[[#This Row],[CASH OUT - DEBIT (VND)]]+Table11[[#This Row],[CASH OUT - DEBIT (USD)]]</f>
        <v>0</v>
      </c>
      <c r="AH116" s="1158"/>
      <c r="AI116" s="49"/>
      <c r="AJ116" s="1158"/>
      <c r="AL116"/>
      <c r="AM116"/>
    </row>
    <row r="117" spans="1:39" ht="14.4">
      <c r="A117" s="1153" t="str">
        <f>VLOOKUP('Cash Balance'!$C117,Table2[#All],MATCH('Cash Balance'!A$3,Acc_Char!$B$1:$I$1,0),0)</f>
        <v>BAU BANG 4</v>
      </c>
      <c r="B117" s="1154" t="str">
        <f>VLOOKUP('Cash Balance'!$C117,Table2[#All],MATCH('Cash Balance'!B$3,Acc_Char!$B$1:$I$1,0),0)</f>
        <v>VIETINBANK - BINH DUONG</v>
      </c>
      <c r="C117" s="1156" t="s">
        <v>613</v>
      </c>
      <c r="D117" s="1156" t="str">
        <f>VLOOKUP('Cash Balance'!$C117,Table2[#All],MATCH('Cash Balance'!D$3,Acc_Char!$B$1:$I$1,0),0)</f>
        <v>Current Account</v>
      </c>
      <c r="E117" s="384" t="str">
        <f>VLOOKUP('Cash Balance'!$C117,Table2[#All],MATCH('Cash Balance'!E$3,Acc_Char!$B$1:$I$1,0),0)</f>
        <v>USD</v>
      </c>
      <c r="F117" s="1094"/>
      <c r="G117" s="1157"/>
      <c r="H117" s="1318">
        <f>SUMIFS('Cash balance (Prior period)'!F:F,'Cash balance (Prior period)'!C:C,Table11[[#This Row],[ACCOUNT NUMBER]],'Cash balance (Prior period)'!E:E,Table11[[#This Row],[CURRENCY]])</f>
        <v>0</v>
      </c>
      <c r="I117" s="1318">
        <f>SUMIFS(Movement!$F$4:$F$2136,Movement!$M$4:$M$2136,"VND",Movement!$C$4:$C$2136,Table11[[#This Row],[ACCOUNT NUMBER]],Movement!$J$4:$J$2136,Table11[[#This Row],[ENTITY]],Movement!$O$4:$O$2136,'Cash Balance'!$A$2)</f>
        <v>0</v>
      </c>
      <c r="J117" s="1318">
        <f>SUMIFS(Movement!$G$4:$G$2136,Movement!$M$4:$M$2136,"VND",Movement!$C$4:$C$2136,Table11[[#This Row],[ACCOUNT NUMBER]],Movement!$J$4:$J$2136,Table11[[#This Row],[ENTITY]],Movement!$O$4:$O$2136,'Cash Balance'!$A$2)</f>
        <v>0</v>
      </c>
      <c r="K117" s="1084">
        <f>Table11[[#This Row],[CASH IN - CREDIT (VND)]]-Table11[[#This Row],[CASH OUT - DEBIT (VND)]]</f>
        <v>0</v>
      </c>
      <c r="L117" s="1095">
        <f t="shared" si="13"/>
        <v>0</v>
      </c>
      <c r="M117" s="1184" t="e">
        <f>VLOOKUP(C117,'Cash balance (BS)'!A:D,4,)</f>
        <v>#N/A</v>
      </c>
      <c r="N117" s="1095" t="e">
        <f>Table11[[#This Row],[CLOSING BALANCE (VND)2]]-Table11[[#This Row],[CB_BS (VND)]]</f>
        <v>#N/A</v>
      </c>
      <c r="O117" s="1094">
        <v>0</v>
      </c>
      <c r="P117" s="1095">
        <f t="shared" si="14"/>
        <v>0</v>
      </c>
      <c r="Q117" s="817">
        <f>SUMIFS('Cash balance (Prior period)'!G:G,'Cash balance (Prior period)'!C:C,Table11[[#This Row],[ACCOUNT NUMBER]],'Cash balance (Prior period)'!E:E,Table11[[#This Row],[CURRENCY]])</f>
        <v>0</v>
      </c>
      <c r="R117" s="817">
        <f>SUMIFS(Movement!$F$4:$F$2136,Movement!$M$4:$M$2136,"USD",Movement!$C$4:$C$2136,Table11[[#This Row],[ACCOUNT NUMBER]],Movement!$J$4:$J$2136,Table11[[#This Row],[ENTITY]],Movement!$O$4:$O$2136,'Cash Balance'!$A$2)</f>
        <v>0</v>
      </c>
      <c r="S117" s="817">
        <f>SUMIFS(Movement!$G$4:$G$2136,Movement!$M$4:$M$2136,"USD",Movement!$C$4:$C$2136,Table11[[#This Row],[ACCOUNT NUMBER]],Movement!$J$4:$J$2136,Table11[[#This Row],[ENTITY]],Movement!$O$4:$O$2136,'Cash Balance'!$A$2)</f>
        <v>0</v>
      </c>
      <c r="T117" s="1087">
        <f t="shared" si="15"/>
        <v>0</v>
      </c>
      <c r="U117" s="817" t="e">
        <f>VLOOKUP(C117,'Cash balance (BS)'!A:D,4,)</f>
        <v>#N/A</v>
      </c>
      <c r="V117" s="817" t="e">
        <f>Table11[[#This Row],[CLOSING BALANCE (USD)]]-Table11[[#This Row],[CB_BS (USD)]]</f>
        <v>#N/A</v>
      </c>
      <c r="W117" s="1156" t="str">
        <f>VLOOKUP('Cash Balance'!$C117,Table2[#All],MATCH('Cash Balance'!W$3,Acc_Char!$B$1:$I$1,0),0)</f>
        <v>Subsidiaries</v>
      </c>
      <c r="X117" s="1156" t="str">
        <f>VLOOKUP(IFERROR(MID($Y117,1,FIND("-",$Y117)-2),$Y117),Table3[#All],2,0)</f>
        <v>VTB</v>
      </c>
      <c r="Y117" s="1156" t="str">
        <f>VLOOKUP($B117,Table4[#All],2,0)</f>
        <v>VIETINBANK - BINH DUONG + QM</v>
      </c>
      <c r="Z117" s="1151"/>
      <c r="AA117" s="49"/>
      <c r="AE117" s="818">
        <f>SUM(Table11[[#This Row],[CASH IN - CREDIT (VND)]],Table11[[#This Row],[CASH IN - CREDIT (USD)]])</f>
        <v>0</v>
      </c>
      <c r="AF117" s="818">
        <f>Table11[[#This Row],[CASH OUT - DEBIT (VND)]]+Table11[[#This Row],[CASH OUT - DEBIT (USD)]]</f>
        <v>0</v>
      </c>
      <c r="AH117" s="1158"/>
      <c r="AI117" s="49"/>
      <c r="AJ117" s="1158"/>
      <c r="AL117"/>
      <c r="AM117"/>
    </row>
    <row r="118" spans="1:39" ht="14.4">
      <c r="A118" s="1153" t="str">
        <f>VLOOKUP('Cash Balance'!$C118,Table2[#All],MATCH('Cash Balance'!A$3,Acc_Char!$B$1:$I$1,0),0)</f>
        <v>SONGTHAN LID</v>
      </c>
      <c r="B118" s="1154" t="str">
        <f>VLOOKUP('Cash Balance'!$C118,Table2[#All],MATCH('Cash Balance'!B$3,Acc_Char!$B$1:$I$1,0),0)</f>
        <v>VIETINBANK - DONG SAI GON</v>
      </c>
      <c r="C118" s="1156" t="s">
        <v>615</v>
      </c>
      <c r="D118" s="1156" t="str">
        <f>VLOOKUP('Cash Balance'!$C118,Table2[#All],MATCH('Cash Balance'!D$3,Acc_Char!$B$1:$I$1,0),0)</f>
        <v>Current Account</v>
      </c>
      <c r="E118" s="384" t="str">
        <f>VLOOKUP('Cash Balance'!$C118,Table2[#All],MATCH('Cash Balance'!E$3,Acc_Char!$B$1:$I$1,0),0)</f>
        <v>VND</v>
      </c>
      <c r="F118" s="1094" t="e">
        <f>VLOOKUP(C118,'Cash balance (BS)'!A:C,3,)</f>
        <v>#N/A</v>
      </c>
      <c r="G118" s="1157" t="e">
        <f>F118-H118</f>
        <v>#N/A</v>
      </c>
      <c r="H118" s="1318">
        <f>SUMIFS('Cash balance (Prior period)'!F:F,'Cash balance (Prior period)'!C:C,Table11[[#This Row],[ACCOUNT NUMBER]],'Cash balance (Prior period)'!E:E,Table11[[#This Row],[CURRENCY]])</f>
        <v>2298489593</v>
      </c>
      <c r="I118" s="1318">
        <f>SUMIFS(Movement!$F$4:$F$2136,Movement!$M$4:$M$2136,"VND",Movement!$C$4:$C$2136,Table11[[#This Row],[ACCOUNT NUMBER]],Movement!$J$4:$J$2136,Table11[[#This Row],[ENTITY]],Movement!$O$4:$O$2136,'Cash Balance'!$A$2)</f>
        <v>0</v>
      </c>
      <c r="J118" s="1318">
        <f>SUMIFS(Movement!$G$4:$G$2136,Movement!$M$4:$M$2136,"VND",Movement!$C$4:$C$2136,Table11[[#This Row],[ACCOUNT NUMBER]],Movement!$J$4:$J$2136,Table11[[#This Row],[ENTITY]],Movement!$O$4:$O$2136,'Cash Balance'!$A$2)</f>
        <v>149482800</v>
      </c>
      <c r="K118" s="1084">
        <f>Table11[[#This Row],[CASH IN - CREDIT (VND)]]-Table11[[#This Row],[CASH OUT - DEBIT (VND)]]</f>
        <v>-149482800</v>
      </c>
      <c r="L118" s="1095">
        <f t="shared" si="13"/>
        <v>2149006793</v>
      </c>
      <c r="M118" s="1184" t="e">
        <f>VLOOKUP(C118,'Cash balance (BS)'!A:D,4,)</f>
        <v>#N/A</v>
      </c>
      <c r="N118" s="1095" t="e">
        <f>Table11[[#This Row],[CLOSING BALANCE (VND)2]]-Table11[[#This Row],[CB_BS (VND)]]</f>
        <v>#N/A</v>
      </c>
      <c r="O118" s="1094">
        <v>0</v>
      </c>
      <c r="P118" s="1095">
        <f t="shared" si="14"/>
        <v>0</v>
      </c>
      <c r="Q118" s="817">
        <f>SUMIFS('Cash balance (Prior period)'!G:G,'Cash balance (Prior period)'!C:C,Table11[[#This Row],[ACCOUNT NUMBER]],'Cash balance (Prior period)'!E:E,Table11[[#This Row],[CURRENCY]])</f>
        <v>0</v>
      </c>
      <c r="R118" s="817">
        <f>SUMIFS(Movement!$F$4:$F$2136,Movement!$M$4:$M$2136,"USD",Movement!$C$4:$C$2136,Table11[[#This Row],[ACCOUNT NUMBER]],Movement!$J$4:$J$2136,Table11[[#This Row],[ENTITY]],Movement!$O$4:$O$2136,'Cash Balance'!$A$2)</f>
        <v>0</v>
      </c>
      <c r="S118" s="817">
        <f>SUMIFS(Movement!$G$4:$G$2136,Movement!$M$4:$M$2136,"USD",Movement!$C$4:$C$2136,Table11[[#This Row],[ACCOUNT NUMBER]],Movement!$J$4:$J$2136,Table11[[#This Row],[ENTITY]],Movement!$O$4:$O$2136,'Cash Balance'!$A$2)</f>
        <v>0</v>
      </c>
      <c r="T118" s="1087">
        <f t="shared" si="15"/>
        <v>0</v>
      </c>
      <c r="U118" s="817"/>
      <c r="V118" s="817">
        <f>Table11[[#This Row],[CLOSING BALANCE (USD)]]-Table11[[#This Row],[CB_BS (USD)]]</f>
        <v>0</v>
      </c>
      <c r="W118" s="1156" t="str">
        <f>VLOOKUP('Cash Balance'!$C118,Table2[#All],MATCH('Cash Balance'!W$3,Acc_Char!$B$1:$I$1,0),0)</f>
        <v>Subsidiaries</v>
      </c>
      <c r="X118" s="1156" t="str">
        <f>VLOOKUP(IFERROR(MID($Y118,1,FIND("-",$Y118)-2),$Y118),Table3[#All],2,0)</f>
        <v>VTB</v>
      </c>
      <c r="Y118" s="1156" t="str">
        <f>VLOOKUP($B118,Table4[#All],2,0)</f>
        <v>VIETINBANK - DONG SAI GON</v>
      </c>
      <c r="Z118" s="1151"/>
      <c r="AA118" s="49"/>
      <c r="AE118" s="818">
        <f>SUM(Table11[[#This Row],[CASH IN - CREDIT (VND)]],Table11[[#This Row],[CASH IN - CREDIT (USD)]])</f>
        <v>0</v>
      </c>
      <c r="AF118" s="818">
        <f>Table11[[#This Row],[CASH OUT - DEBIT (VND)]]+Table11[[#This Row],[CASH OUT - DEBIT (USD)]]</f>
        <v>149482800</v>
      </c>
      <c r="AH118" s="1158"/>
      <c r="AI118" s="49"/>
      <c r="AJ118" s="1158"/>
      <c r="AL118"/>
      <c r="AM118"/>
    </row>
    <row r="119" spans="1:39" ht="14.4">
      <c r="A119" s="1153" t="str">
        <f>VLOOKUP('Cash Balance'!$C119,Table2[#All],MATCH('Cash Balance'!A$3,Acc_Char!$B$1:$I$1,0),0)</f>
        <v>SONGTHAN LID</v>
      </c>
      <c r="B119" s="1154" t="str">
        <f>VLOOKUP('Cash Balance'!$C119,Table2[#All],MATCH('Cash Balance'!B$3,Acc_Char!$B$1:$I$1,0),0)</f>
        <v>VIETINBANK - DONG SAI GON</v>
      </c>
      <c r="C119" s="1156" t="s">
        <v>616</v>
      </c>
      <c r="D119" s="1156" t="str">
        <f>VLOOKUP('Cash Balance'!$C119,Table2[#All],MATCH('Cash Balance'!D$3,Acc_Char!$B$1:$I$1,0),0)</f>
        <v>Current Account</v>
      </c>
      <c r="E119" s="384" t="str">
        <f>VLOOKUP('Cash Balance'!$C119,Table2[#All],MATCH('Cash Balance'!E$3,Acc_Char!$B$1:$I$1,0),0)</f>
        <v>USD</v>
      </c>
      <c r="F119" s="1094"/>
      <c r="G119" s="1157"/>
      <c r="H119" s="1318">
        <f>SUMIFS('Cash balance (Prior period)'!F:F,'Cash balance (Prior period)'!C:C,Table11[[#This Row],[ACCOUNT NUMBER]],'Cash balance (Prior period)'!E:E,Table11[[#This Row],[CURRENCY]])</f>
        <v>0</v>
      </c>
      <c r="I119" s="1318">
        <f>SUMIFS(Movement!$F$4:$F$2136,Movement!$M$4:$M$2136,"VND",Movement!$C$4:$C$2136,Table11[[#This Row],[ACCOUNT NUMBER]],Movement!$J$4:$J$2136,Table11[[#This Row],[ENTITY]],Movement!$O$4:$O$2136,'Cash Balance'!$A$2)</f>
        <v>0</v>
      </c>
      <c r="J119" s="1318">
        <f>SUMIFS(Movement!$G$4:$G$2136,Movement!$M$4:$M$2136,"VND",Movement!$C$4:$C$2136,Table11[[#This Row],[ACCOUNT NUMBER]],Movement!$J$4:$J$2136,Table11[[#This Row],[ENTITY]],Movement!$O$4:$O$2136,'Cash Balance'!$A$2)</f>
        <v>0</v>
      </c>
      <c r="K119" s="1084">
        <f>Table11[[#This Row],[CASH IN - CREDIT (VND)]]-Table11[[#This Row],[CASH OUT - DEBIT (VND)]]</f>
        <v>0</v>
      </c>
      <c r="L119" s="1095">
        <f t="shared" si="13"/>
        <v>0</v>
      </c>
      <c r="M119" s="1184" t="e">
        <f>VLOOKUP(C119,'Cash balance (BS)'!A:D,4,)</f>
        <v>#N/A</v>
      </c>
      <c r="N119" s="1095" t="e">
        <f>Table11[[#This Row],[CLOSING BALANCE (VND)2]]-Table11[[#This Row],[CB_BS (VND)]]</f>
        <v>#N/A</v>
      </c>
      <c r="O119" s="1094">
        <v>0</v>
      </c>
      <c r="P119" s="1095">
        <f t="shared" si="14"/>
        <v>0</v>
      </c>
      <c r="Q119" s="817">
        <f>SUMIFS('Cash balance (Prior period)'!G:G,'Cash balance (Prior period)'!C:C,Table11[[#This Row],[ACCOUNT NUMBER]],'Cash balance (Prior period)'!E:E,Table11[[#This Row],[CURRENCY]])</f>
        <v>0</v>
      </c>
      <c r="R119" s="817">
        <f>SUMIFS(Movement!$F$4:$F$2136,Movement!$M$4:$M$2136,"USD",Movement!$C$4:$C$2136,Table11[[#This Row],[ACCOUNT NUMBER]],Movement!$J$4:$J$2136,Table11[[#This Row],[ENTITY]],Movement!$O$4:$O$2136,'Cash Balance'!$A$2)</f>
        <v>0</v>
      </c>
      <c r="S119" s="817">
        <f>SUMIFS(Movement!$G$4:$G$2136,Movement!$M$4:$M$2136,"USD",Movement!$C$4:$C$2136,Table11[[#This Row],[ACCOUNT NUMBER]],Movement!$J$4:$J$2136,Table11[[#This Row],[ENTITY]],Movement!$O$4:$O$2136,'Cash Balance'!$A$2)</f>
        <v>0</v>
      </c>
      <c r="T119" s="1087">
        <f t="shared" si="15"/>
        <v>0</v>
      </c>
      <c r="U119" s="817" t="e">
        <f>VLOOKUP(C119,'Cash balance (BS)'!A:D,4,)</f>
        <v>#N/A</v>
      </c>
      <c r="V119" s="817" t="e">
        <f>Table11[[#This Row],[CLOSING BALANCE (USD)]]-Table11[[#This Row],[CB_BS (USD)]]</f>
        <v>#N/A</v>
      </c>
      <c r="W119" s="1156" t="str">
        <f>VLOOKUP('Cash Balance'!$C119,Table2[#All],MATCH('Cash Balance'!W$3,Acc_Char!$B$1:$I$1,0),0)</f>
        <v>Subsidiaries</v>
      </c>
      <c r="X119" s="1156" t="str">
        <f>VLOOKUP(IFERROR(MID($Y119,1,FIND("-",$Y119)-2),$Y119),Table3[#All],2,0)</f>
        <v>VTB</v>
      </c>
      <c r="Y119" s="1156" t="str">
        <f>VLOOKUP($B119,Table4[#All],2,0)</f>
        <v>VIETINBANK - DONG SAI GON</v>
      </c>
      <c r="Z119" s="1151"/>
      <c r="AA119" s="49"/>
      <c r="AE119" s="818">
        <f>SUM(Table11[[#This Row],[CASH IN - CREDIT (VND)]],Table11[[#This Row],[CASH IN - CREDIT (USD)]])</f>
        <v>0</v>
      </c>
      <c r="AF119" s="818">
        <f>Table11[[#This Row],[CASH OUT - DEBIT (VND)]]+Table11[[#This Row],[CASH OUT - DEBIT (USD)]]</f>
        <v>0</v>
      </c>
      <c r="AH119" s="1158"/>
      <c r="AI119" s="49"/>
      <c r="AJ119" s="1158"/>
      <c r="AL119"/>
      <c r="AM119"/>
    </row>
    <row r="120" spans="1:39" ht="14.4">
      <c r="A120" s="1153" t="str">
        <f>VLOOKUP('Cash Balance'!$C120,Table2[#All],MATCH('Cash Balance'!A$3,Acc_Char!$B$1:$I$1,0),0)</f>
        <v>BW HAI AN</v>
      </c>
      <c r="B120" s="1154" t="str">
        <f>VLOOKUP('Cash Balance'!$C120,Table2[#All],MATCH('Cash Balance'!B$3,Acc_Char!$B$1:$I$1,0),0)</f>
        <v>BIDV - THANH XUAN</v>
      </c>
      <c r="C120" s="1185" t="s">
        <v>618</v>
      </c>
      <c r="D120" s="1156" t="str">
        <f>VLOOKUP('Cash Balance'!$C120,Table2[#All],MATCH('Cash Balance'!D$3,Acc_Char!$B$1:$I$1,0),0)</f>
        <v>Current Account</v>
      </c>
      <c r="E120" s="384" t="str">
        <f>VLOOKUP('Cash Balance'!$C120,Table2[#All],MATCH('Cash Balance'!E$3,Acc_Char!$B$1:$I$1,0),0)</f>
        <v>VND</v>
      </c>
      <c r="F120" s="1094"/>
      <c r="G120" s="1157"/>
      <c r="H120" s="1318">
        <f>SUMIFS('Cash balance (Prior period)'!F:F,'Cash balance (Prior period)'!C:C,Table11[[#This Row],[ACCOUNT NUMBER]],'Cash balance (Prior period)'!E:E,Table11[[#This Row],[CURRENCY]])</f>
        <v>29270061338</v>
      </c>
      <c r="I120" s="1318">
        <f>SUMIFS(Movement!$F$4:$F$2136,Movement!$M$4:$M$2136,"VND",Movement!$C$4:$C$2136,Table11[[#This Row],[ACCOUNT NUMBER]],Movement!$J$4:$J$2136,Table11[[#This Row],[ENTITY]],Movement!$O$4:$O$2136,'Cash Balance'!$A$2)</f>
        <v>318109143</v>
      </c>
      <c r="J120" s="1318">
        <f>SUMIFS(Movement!$G$4:$G$2136,Movement!$M$4:$M$2136,"VND",Movement!$C$4:$C$2136,Table11[[#This Row],[ACCOUNT NUMBER]],Movement!$J$4:$J$2136,Table11[[#This Row],[ENTITY]],Movement!$O$4:$O$2136,'Cash Balance'!$A$2)</f>
        <v>466235160</v>
      </c>
      <c r="K120" s="1084">
        <f>Table11[[#This Row],[CASH IN - CREDIT (VND)]]-Table11[[#This Row],[CASH OUT - DEBIT (VND)]]</f>
        <v>-148126017</v>
      </c>
      <c r="L120" s="1095">
        <f t="shared" si="13"/>
        <v>29121935321</v>
      </c>
      <c r="M120" s="1184" t="e">
        <f>VLOOKUP(C120,'Cash balance (BS)'!A:D,4,)</f>
        <v>#N/A</v>
      </c>
      <c r="N120" s="1095" t="e">
        <f>Table11[[#This Row],[CLOSING BALANCE (VND)2]]-Table11[[#This Row],[CB_BS (VND)]]</f>
        <v>#N/A</v>
      </c>
      <c r="O120" s="1094">
        <v>0</v>
      </c>
      <c r="P120" s="1095">
        <f t="shared" si="14"/>
        <v>0</v>
      </c>
      <c r="Q120" s="817">
        <f>SUMIFS('Cash balance (Prior period)'!G:G,'Cash balance (Prior period)'!C:C,Table11[[#This Row],[ACCOUNT NUMBER]],'Cash balance (Prior period)'!E:E,Table11[[#This Row],[CURRENCY]])</f>
        <v>0</v>
      </c>
      <c r="R120" s="817">
        <f>SUMIFS(Movement!$F$4:$F$2136,Movement!$M$4:$M$2136,"USD",Movement!$C$4:$C$2136,Table11[[#This Row],[ACCOUNT NUMBER]],Movement!$J$4:$J$2136,Table11[[#This Row],[ENTITY]],Movement!$O$4:$O$2136,'Cash Balance'!$A$2)</f>
        <v>0</v>
      </c>
      <c r="S120" s="817">
        <f>SUMIFS(Movement!$G$4:$G$2136,Movement!$M$4:$M$2136,"USD",Movement!$C$4:$C$2136,Table11[[#This Row],[ACCOUNT NUMBER]],Movement!$J$4:$J$2136,Table11[[#This Row],[ENTITY]],Movement!$O$4:$O$2136,'Cash Balance'!$A$2)</f>
        <v>0</v>
      </c>
      <c r="T120" s="1087">
        <f t="shared" si="15"/>
        <v>0</v>
      </c>
      <c r="U120" s="817" t="e">
        <f>VLOOKUP(C120,'Cash balance (BS)'!A:D,4,)</f>
        <v>#N/A</v>
      </c>
      <c r="V120" s="817" t="e">
        <f>Table11[[#This Row],[CLOSING BALANCE (USD)]]-Table11[[#This Row],[CB_BS (USD)]]</f>
        <v>#N/A</v>
      </c>
      <c r="W120" s="1156" t="str">
        <f>VLOOKUP('Cash Balance'!$C120,Table2[#All],MATCH('Cash Balance'!W$3,Acc_Char!$B$1:$I$1,0),0)</f>
        <v>Subsidiaries</v>
      </c>
      <c r="X120" s="1156" t="str">
        <f>VLOOKUP(IFERROR(MID($Y120,1,FIND("-",$Y120)-2),$Y120),Table3[#All],2,0)</f>
        <v>BIDV</v>
      </c>
      <c r="Y120" s="1156" t="str">
        <f>VLOOKUP($B120,Table4[#All],2,0)</f>
        <v>BIDV - THANH XUAN</v>
      </c>
      <c r="Z120" s="1151"/>
      <c r="AA120" s="49"/>
      <c r="AE120" s="818">
        <f>SUM(Table11[[#This Row],[CASH IN - CREDIT (VND)]],Table11[[#This Row],[CASH IN - CREDIT (USD)]])</f>
        <v>318109143</v>
      </c>
      <c r="AF120" s="818">
        <f>Table11[[#This Row],[CASH OUT - DEBIT (VND)]]+Table11[[#This Row],[CASH OUT - DEBIT (USD)]]</f>
        <v>466235160</v>
      </c>
      <c r="AH120" s="1158" t="s">
        <v>1521</v>
      </c>
      <c r="AI120" s="49"/>
      <c r="AJ120" s="1158"/>
      <c r="AL120"/>
      <c r="AM120"/>
    </row>
    <row r="121" spans="1:39" ht="14.4">
      <c r="A121" s="1153" t="str">
        <f>VLOOKUP('Cash Balance'!$C121,Table2[#All],MATCH('Cash Balance'!A$3,Acc_Char!$B$1:$I$1,0),0)</f>
        <v>BW HAI AN</v>
      </c>
      <c r="B121" s="1154" t="str">
        <f>VLOOKUP('Cash Balance'!$C121,Table2[#All],MATCH('Cash Balance'!B$3,Acc_Char!$B$1:$I$1,0),0)</f>
        <v>BIDV - THANH XUAN</v>
      </c>
      <c r="C121" s="1185" t="s">
        <v>619</v>
      </c>
      <c r="D121" s="1156" t="str">
        <f>VLOOKUP('Cash Balance'!$C121,Table2[#All],MATCH('Cash Balance'!D$3,Acc_Char!$B$1:$I$1,0),0)</f>
        <v>Saving Account</v>
      </c>
      <c r="E121" s="384" t="str">
        <f>VLOOKUP('Cash Balance'!$C121,Table2[#All],MATCH('Cash Balance'!E$3,Acc_Char!$B$1:$I$1,0),0)</f>
        <v>VND</v>
      </c>
      <c r="F121" s="1094" t="e">
        <f>VLOOKUP(C121,'Cash balance (BS)'!A:C,3,)</f>
        <v>#N/A</v>
      </c>
      <c r="G121" s="1157" t="e">
        <f>F121-H121</f>
        <v>#N/A</v>
      </c>
      <c r="H121" s="1318">
        <f>SUMIFS('Cash balance (Prior period)'!F:F,'Cash balance (Prior period)'!C:C,Table11[[#This Row],[ACCOUNT NUMBER]],'Cash balance (Prior period)'!E:E,Table11[[#This Row],[CURRENCY]])</f>
        <v>2000000000</v>
      </c>
      <c r="I121" s="1318">
        <f>SUMIFS(Movement!$F$4:$F$2136,Movement!$M$4:$M$2136,"VND",Movement!$C$4:$C$2136,Table11[[#This Row],[ACCOUNT NUMBER]],Movement!$J$4:$J$2136,Table11[[#This Row],[ENTITY]],Movement!$O$4:$O$2136,'Cash Balance'!$A$2)</f>
        <v>0</v>
      </c>
      <c r="J121" s="1318">
        <f>SUMIFS(Movement!$G$4:$G$2136,Movement!$M$4:$M$2136,"VND",Movement!$C$4:$C$2136,Table11[[#This Row],[ACCOUNT NUMBER]],Movement!$J$4:$J$2136,Table11[[#This Row],[ENTITY]],Movement!$O$4:$O$2136,'Cash Balance'!$A$2)</f>
        <v>0</v>
      </c>
      <c r="K121" s="1084">
        <f>Table11[[#This Row],[CASH IN - CREDIT (VND)]]-Table11[[#This Row],[CASH OUT - DEBIT (VND)]]</f>
        <v>0</v>
      </c>
      <c r="L121" s="1095">
        <f t="shared" si="13"/>
        <v>2000000000</v>
      </c>
      <c r="M121" s="1184" t="e">
        <f>VLOOKUP(C121,'Cash balance (BS)'!A:D,4,)</f>
        <v>#N/A</v>
      </c>
      <c r="N121" s="1095" t="e">
        <f>Table11[[#This Row],[CLOSING BALANCE (VND)2]]-Table11[[#This Row],[CB_BS (VND)]]</f>
        <v>#N/A</v>
      </c>
      <c r="O121" s="1094">
        <v>0</v>
      </c>
      <c r="P121" s="1095">
        <f t="shared" si="14"/>
        <v>0</v>
      </c>
      <c r="Q121" s="817">
        <f>SUMIFS('Cash balance (Prior period)'!G:G,'Cash balance (Prior period)'!C:C,Table11[[#This Row],[ACCOUNT NUMBER]],'Cash balance (Prior period)'!E:E,Table11[[#This Row],[CURRENCY]])</f>
        <v>0</v>
      </c>
      <c r="R121" s="817">
        <f>SUMIFS(Movement!$F$4:$F$2136,Movement!$M$4:$M$2136,"USD",Movement!$C$4:$C$2136,Table11[[#This Row],[ACCOUNT NUMBER]],Movement!$J$4:$J$2136,Table11[[#This Row],[ENTITY]],Movement!$O$4:$O$2136,'Cash Balance'!$A$2)</f>
        <v>0</v>
      </c>
      <c r="S121" s="817">
        <f>SUMIFS(Movement!$G$4:$G$2136,Movement!$M$4:$M$2136,"USD",Movement!$C$4:$C$2136,Table11[[#This Row],[ACCOUNT NUMBER]],Movement!$J$4:$J$2136,Table11[[#This Row],[ENTITY]],Movement!$O$4:$O$2136,'Cash Balance'!$A$2)</f>
        <v>0</v>
      </c>
      <c r="T121" s="1087">
        <f t="shared" si="15"/>
        <v>0</v>
      </c>
      <c r="U121" s="817"/>
      <c r="V121" s="817">
        <f>Table11[[#This Row],[CLOSING BALANCE (USD)]]-Table11[[#This Row],[CB_BS (USD)]]</f>
        <v>0</v>
      </c>
      <c r="W121" s="1156" t="str">
        <f>VLOOKUP('Cash Balance'!$C121,Table2[#All],MATCH('Cash Balance'!W$3,Acc_Char!$B$1:$I$1,0),0)</f>
        <v>Subsidiaries</v>
      </c>
      <c r="X121" s="1156" t="str">
        <f>VLOOKUP(IFERROR(MID($Y121,1,FIND("-",$Y121)-2),$Y121),Table3[#All],2,0)</f>
        <v>BIDV</v>
      </c>
      <c r="Y121" s="1156" t="str">
        <f>VLOOKUP($B121,Table4[#All],2,0)</f>
        <v>BIDV - THANH XUAN</v>
      </c>
      <c r="Z121" s="1151"/>
      <c r="AA121" s="49"/>
      <c r="AE121" s="818">
        <f>SUM(Table11[[#This Row],[CASH IN - CREDIT (VND)]],Table11[[#This Row],[CASH IN - CREDIT (USD)]])</f>
        <v>0</v>
      </c>
      <c r="AF121" s="818">
        <f>Table11[[#This Row],[CASH OUT - DEBIT (VND)]]+Table11[[#This Row],[CASH OUT - DEBIT (USD)]]</f>
        <v>0</v>
      </c>
      <c r="AH121" s="1158"/>
      <c r="AI121" s="49"/>
      <c r="AJ121" s="1158"/>
      <c r="AL121"/>
      <c r="AM121"/>
    </row>
    <row r="122" spans="1:39" ht="14.4">
      <c r="A122" s="1153" t="str">
        <f>VLOOKUP('Cash Balance'!$C122,Table2[#All],MATCH('Cash Balance'!A$3,Acc_Char!$B$1:$I$1,0),0)</f>
        <v>SPV4A</v>
      </c>
      <c r="B122" s="1154" t="str">
        <f>VLOOKUP('Cash Balance'!$C122,Table2[#All],MATCH('Cash Balance'!B$3,Acc_Char!$B$1:$I$1,0),0)</f>
        <v>VIETINBANK - TIEN SON</v>
      </c>
      <c r="C122" s="1156" t="s">
        <v>621</v>
      </c>
      <c r="D122" s="1156" t="str">
        <f>VLOOKUP('Cash Balance'!$C122,Table2[#All],MATCH('Cash Balance'!D$3,Acc_Char!$B$1:$I$1,0),0)</f>
        <v>Current Account</v>
      </c>
      <c r="E122" s="384" t="str">
        <f>VLOOKUP('Cash Balance'!$C122,Table2[#All],MATCH('Cash Balance'!E$3,Acc_Char!$B$1:$I$1,0),0)</f>
        <v>VND</v>
      </c>
      <c r="F122" s="1094" t="e">
        <f>VLOOKUP(C122,'Cash balance (BS)'!A:C,3,)</f>
        <v>#N/A</v>
      </c>
      <c r="G122" s="1157" t="e">
        <f>F122-H122</f>
        <v>#N/A</v>
      </c>
      <c r="H122" s="1318">
        <f>SUMIFS('Cash balance (Prior period)'!F:F,'Cash balance (Prior period)'!C:C,Table11[[#This Row],[ACCOUNT NUMBER]],'Cash balance (Prior period)'!E:E,Table11[[#This Row],[CURRENCY]])</f>
        <v>40099279</v>
      </c>
      <c r="I122" s="1318">
        <f>SUMIFS(Movement!$F$4:$F$2136,Movement!$M$4:$M$2136,"VND",Movement!$C$4:$C$2136,Table11[[#This Row],[ACCOUNT NUMBER]],Movement!$J$4:$J$2136,Table11[[#This Row],[ENTITY]],Movement!$O$4:$O$2136,'Cash Balance'!$A$2)</f>
        <v>0</v>
      </c>
      <c r="J122" s="1318">
        <f>SUMIFS(Movement!$G$4:$G$2136,Movement!$M$4:$M$2136,"VND",Movement!$C$4:$C$2136,Table11[[#This Row],[ACCOUNT NUMBER]],Movement!$J$4:$J$2136,Table11[[#This Row],[ENTITY]],Movement!$O$4:$O$2136,'Cash Balance'!$A$2)</f>
        <v>0</v>
      </c>
      <c r="K122" s="1084">
        <f>Table11[[#This Row],[CASH IN - CREDIT (VND)]]-Table11[[#This Row],[CASH OUT - DEBIT (VND)]]</f>
        <v>0</v>
      </c>
      <c r="L122" s="1095">
        <f t="shared" si="13"/>
        <v>40099279</v>
      </c>
      <c r="M122" s="1184" t="e">
        <f>VLOOKUP(C122,'Cash balance (BS)'!A:D,4,)</f>
        <v>#N/A</v>
      </c>
      <c r="N122" s="1095" t="e">
        <f>Table11[[#This Row],[CLOSING BALANCE (VND)2]]-Table11[[#This Row],[CB_BS (VND)]]</f>
        <v>#N/A</v>
      </c>
      <c r="O122" s="1094">
        <v>0</v>
      </c>
      <c r="P122" s="1095">
        <f t="shared" si="14"/>
        <v>0</v>
      </c>
      <c r="Q122" s="817">
        <f>SUMIFS('Cash balance (Prior period)'!G:G,'Cash balance (Prior period)'!C:C,Table11[[#This Row],[ACCOUNT NUMBER]],'Cash balance (Prior period)'!E:E,Table11[[#This Row],[CURRENCY]])</f>
        <v>0</v>
      </c>
      <c r="R122" s="817">
        <f>SUMIFS(Movement!$F$4:$F$2136,Movement!$M$4:$M$2136,"USD",Movement!$C$4:$C$2136,Table11[[#This Row],[ACCOUNT NUMBER]],Movement!$J$4:$J$2136,Table11[[#This Row],[ENTITY]],Movement!$O$4:$O$2136,'Cash Balance'!$A$2)</f>
        <v>0</v>
      </c>
      <c r="S122" s="817">
        <f>SUMIFS(Movement!$G$4:$G$2136,Movement!$M$4:$M$2136,"USD",Movement!$C$4:$C$2136,Table11[[#This Row],[ACCOUNT NUMBER]],Movement!$J$4:$J$2136,Table11[[#This Row],[ENTITY]],Movement!$O$4:$O$2136,'Cash Balance'!$A$2)</f>
        <v>0</v>
      </c>
      <c r="T122" s="1087">
        <f t="shared" si="15"/>
        <v>0</v>
      </c>
      <c r="U122" s="817"/>
      <c r="V122" s="817">
        <f>Table11[[#This Row],[CLOSING BALANCE (USD)]]-Table11[[#This Row],[CB_BS (USD)]]</f>
        <v>0</v>
      </c>
      <c r="W122" s="1156" t="str">
        <f>VLOOKUP('Cash Balance'!$C122,Table2[#All],MATCH('Cash Balance'!W$3,Acc_Char!$B$1:$I$1,0),0)</f>
        <v>Subsidiaries</v>
      </c>
      <c r="X122" s="1156" t="str">
        <f>VLOOKUP(IFERROR(MID($Y122,1,FIND("-",$Y122)-2),$Y122),Table3[#All],2,0)</f>
        <v>VTB</v>
      </c>
      <c r="Y122" s="1156" t="str">
        <f>VLOOKUP($B122,Table4[#All],2,0)</f>
        <v>VIETINBANK - TIEN SON</v>
      </c>
      <c r="Z122" s="1151"/>
      <c r="AA122" s="49"/>
      <c r="AE122" s="818">
        <f>SUM(Table11[[#This Row],[CASH IN - CREDIT (VND)]],Table11[[#This Row],[CASH IN - CREDIT (USD)]])</f>
        <v>0</v>
      </c>
      <c r="AF122" s="818">
        <f>Table11[[#This Row],[CASH OUT - DEBIT (VND)]]+Table11[[#This Row],[CASH OUT - DEBIT (USD)]]</f>
        <v>0</v>
      </c>
      <c r="AH122" s="1158"/>
      <c r="AI122" s="49"/>
      <c r="AJ122" s="1158"/>
      <c r="AL122"/>
      <c r="AM122"/>
    </row>
    <row r="123" spans="1:39" ht="14.4">
      <c r="A123" s="1153" t="str">
        <f>VLOOKUP('Cash Balance'!$C123,Table2[#All],MATCH('Cash Balance'!A$3,Acc_Char!$B$1:$I$1,0),0)</f>
        <v>SPV4A</v>
      </c>
      <c r="B123" s="1154" t="str">
        <f>VLOOKUP('Cash Balance'!$C123,Table2[#All],MATCH('Cash Balance'!B$3,Acc_Char!$B$1:$I$1,0),0)</f>
        <v>VIETINBANK - TIEN SON</v>
      </c>
      <c r="C123" s="1156" t="s">
        <v>622</v>
      </c>
      <c r="D123" s="1156" t="str">
        <f>VLOOKUP('Cash Balance'!$C123,Table2[#All],MATCH('Cash Balance'!D$3,Acc_Char!$B$1:$I$1,0),0)</f>
        <v>Current Account</v>
      </c>
      <c r="E123" s="384" t="str">
        <f>VLOOKUP('Cash Balance'!$C123,Table2[#All],MATCH('Cash Balance'!E$3,Acc_Char!$B$1:$I$1,0),0)</f>
        <v>USD</v>
      </c>
      <c r="F123" s="1094"/>
      <c r="G123" s="1157"/>
      <c r="H123" s="1318">
        <f>SUMIFS('Cash balance (Prior period)'!F:F,'Cash balance (Prior period)'!C:C,Table11[[#This Row],[ACCOUNT NUMBER]],'Cash balance (Prior period)'!E:E,Table11[[#This Row],[CURRENCY]])</f>
        <v>0</v>
      </c>
      <c r="I123" s="1318">
        <f>SUMIFS(Movement!$F$4:$F$2136,Movement!$M$4:$M$2136,"VND",Movement!$C$4:$C$2136,Table11[[#This Row],[ACCOUNT NUMBER]],Movement!$J$4:$J$2136,Table11[[#This Row],[ENTITY]],Movement!$O$4:$O$2136,'Cash Balance'!$A$2)</f>
        <v>0</v>
      </c>
      <c r="J123" s="1318">
        <f>SUMIFS(Movement!$G$4:$G$2136,Movement!$M$4:$M$2136,"VND",Movement!$C$4:$C$2136,Table11[[#This Row],[ACCOUNT NUMBER]],Movement!$J$4:$J$2136,Table11[[#This Row],[ENTITY]],Movement!$O$4:$O$2136,'Cash Balance'!$A$2)</f>
        <v>0</v>
      </c>
      <c r="K123" s="1084">
        <f>Table11[[#This Row],[CASH IN - CREDIT (VND)]]-Table11[[#This Row],[CASH OUT - DEBIT (VND)]]</f>
        <v>0</v>
      </c>
      <c r="L123" s="1095">
        <f t="shared" si="13"/>
        <v>0</v>
      </c>
      <c r="M123" s="1184" t="e">
        <f>VLOOKUP(C123,'Cash balance (BS)'!A:D,4,)</f>
        <v>#N/A</v>
      </c>
      <c r="N123" s="1095" t="e">
        <f>Table11[[#This Row],[CLOSING BALANCE (VND)2]]-Table11[[#This Row],[CB_BS (VND)]]</f>
        <v>#N/A</v>
      </c>
      <c r="O123" s="1094">
        <v>0</v>
      </c>
      <c r="P123" s="1095">
        <f t="shared" si="14"/>
        <v>0</v>
      </c>
      <c r="Q123" s="817">
        <f>SUMIFS('Cash balance (Prior period)'!G:G,'Cash balance (Prior period)'!C:C,Table11[[#This Row],[ACCOUNT NUMBER]],'Cash balance (Prior period)'!E:E,Table11[[#This Row],[CURRENCY]])</f>
        <v>0</v>
      </c>
      <c r="R123" s="817">
        <f>SUMIFS(Movement!$F$4:$F$2136,Movement!$M$4:$M$2136,"USD",Movement!$C$4:$C$2136,Table11[[#This Row],[ACCOUNT NUMBER]],Movement!$J$4:$J$2136,Table11[[#This Row],[ENTITY]],Movement!$O$4:$O$2136,'Cash Balance'!$A$2)</f>
        <v>0</v>
      </c>
      <c r="S123" s="817">
        <f>SUMIFS(Movement!$G$4:$G$2136,Movement!$M$4:$M$2136,"USD",Movement!$C$4:$C$2136,Table11[[#This Row],[ACCOUNT NUMBER]],Movement!$J$4:$J$2136,Table11[[#This Row],[ENTITY]],Movement!$O$4:$O$2136,'Cash Balance'!$A$2)</f>
        <v>0</v>
      </c>
      <c r="T123" s="1087">
        <f t="shared" si="15"/>
        <v>0</v>
      </c>
      <c r="U123" s="817" t="e">
        <f>VLOOKUP(C123,'Cash balance (BS)'!A:D,4,)</f>
        <v>#N/A</v>
      </c>
      <c r="V123" s="817" t="e">
        <f>Table11[[#This Row],[CLOSING BALANCE (USD)]]-Table11[[#This Row],[CB_BS (USD)]]</f>
        <v>#N/A</v>
      </c>
      <c r="W123" s="1156" t="str">
        <f>VLOOKUP('Cash Balance'!$C123,Table2[#All],MATCH('Cash Balance'!W$3,Acc_Char!$B$1:$I$1,0),0)</f>
        <v>Subsidiaries</v>
      </c>
      <c r="X123" s="1156" t="str">
        <f>VLOOKUP(IFERROR(MID($Y123,1,FIND("-",$Y123)-2),$Y123),Table3[#All],2,0)</f>
        <v>VTB</v>
      </c>
      <c r="Y123" s="1156" t="str">
        <f>VLOOKUP($B123,Table4[#All],2,0)</f>
        <v>VIETINBANK - TIEN SON</v>
      </c>
      <c r="Z123" s="1151"/>
      <c r="AA123" s="49"/>
      <c r="AE123" s="818">
        <f>SUM(Table11[[#This Row],[CASH IN - CREDIT (VND)]],Table11[[#This Row],[CASH IN - CREDIT (USD)]])</f>
        <v>0</v>
      </c>
      <c r="AF123" s="818">
        <f>Table11[[#This Row],[CASH OUT - DEBIT (VND)]]+Table11[[#This Row],[CASH OUT - DEBIT (USD)]]</f>
        <v>0</v>
      </c>
      <c r="AH123" s="1158"/>
      <c r="AI123" s="49"/>
      <c r="AJ123" s="1158"/>
      <c r="AL123"/>
      <c r="AM123"/>
    </row>
    <row r="124" spans="1:39" ht="14.4">
      <c r="A124" s="1153" t="str">
        <f>VLOOKUP('Cash Balance'!$C124,Table2[#All],MATCH('Cash Balance'!A$3,Acc_Char!$B$1:$I$1,0),0)</f>
        <v>SPV4A</v>
      </c>
      <c r="B124" s="1154" t="str">
        <f>VLOOKUP('Cash Balance'!$C124,Table2[#All],MATCH('Cash Balance'!B$3,Acc_Char!$B$1:$I$1,0),0)</f>
        <v>OCB - BINH DUONG</v>
      </c>
      <c r="C124" s="1156" t="s">
        <v>623</v>
      </c>
      <c r="D124" s="1156" t="str">
        <f>VLOOKUP('Cash Balance'!$C124,Table2[#All],MATCH('Cash Balance'!D$3,Acc_Char!$B$1:$I$1,0),0)</f>
        <v>Current Account</v>
      </c>
      <c r="E124" s="384" t="str">
        <f>VLOOKUP('Cash Balance'!$C124,Table2[#All],MATCH('Cash Balance'!E$3,Acc_Char!$B$1:$I$1,0),0)</f>
        <v>VND</v>
      </c>
      <c r="F124" s="1094" t="e">
        <f>VLOOKUP(C124,'Cash balance (BS)'!A:C,3,)</f>
        <v>#N/A</v>
      </c>
      <c r="G124" s="1157" t="e">
        <f>F124-H124</f>
        <v>#N/A</v>
      </c>
      <c r="H124" s="1318">
        <f>SUMIFS('Cash balance (Prior period)'!F:F,'Cash balance (Prior period)'!C:C,Table11[[#This Row],[ACCOUNT NUMBER]],'Cash balance (Prior period)'!E:E,Table11[[#This Row],[CURRENCY]])</f>
        <v>136622</v>
      </c>
      <c r="I124" s="1318">
        <f>SUMIFS(Movement!$F$4:$F$2136,Movement!$M$4:$M$2136,"VND",Movement!$C$4:$C$2136,Table11[[#This Row],[ACCOUNT NUMBER]],Movement!$J$4:$J$2136,Table11[[#This Row],[ENTITY]],Movement!$O$4:$O$2136,'Cash Balance'!$A$2)</f>
        <v>0</v>
      </c>
      <c r="J124" s="1318">
        <f>SUMIFS(Movement!$G$4:$G$2136,Movement!$M$4:$M$2136,"VND",Movement!$C$4:$C$2136,Table11[[#This Row],[ACCOUNT NUMBER]],Movement!$J$4:$J$2136,Table11[[#This Row],[ENTITY]],Movement!$O$4:$O$2136,'Cash Balance'!$A$2)</f>
        <v>55000</v>
      </c>
      <c r="K124" s="1084">
        <f>Table11[[#This Row],[CASH IN - CREDIT (VND)]]-Table11[[#This Row],[CASH OUT - DEBIT (VND)]]</f>
        <v>-55000</v>
      </c>
      <c r="L124" s="1095">
        <f t="shared" si="13"/>
        <v>81622</v>
      </c>
      <c r="M124" s="1184" t="e">
        <f>VLOOKUP(C124,'Cash balance (BS)'!A:D,4,)</f>
        <v>#N/A</v>
      </c>
      <c r="N124" s="1095" t="e">
        <f>Table11[[#This Row],[CLOSING BALANCE (VND)2]]-Table11[[#This Row],[CB_BS (VND)]]</f>
        <v>#N/A</v>
      </c>
      <c r="O124" s="1094">
        <v>0</v>
      </c>
      <c r="P124" s="1095">
        <f t="shared" si="14"/>
        <v>0</v>
      </c>
      <c r="Q124" s="817">
        <f>SUMIFS('Cash balance (Prior period)'!G:G,'Cash balance (Prior period)'!C:C,Table11[[#This Row],[ACCOUNT NUMBER]],'Cash balance (Prior period)'!E:E,Table11[[#This Row],[CURRENCY]])</f>
        <v>0</v>
      </c>
      <c r="R124" s="817">
        <f>SUMIFS(Movement!$F$4:$F$2136,Movement!$M$4:$M$2136,"USD",Movement!$C$4:$C$2136,Table11[[#This Row],[ACCOUNT NUMBER]],Movement!$J$4:$J$2136,Table11[[#This Row],[ENTITY]],Movement!$O$4:$O$2136,'Cash Balance'!$A$2)</f>
        <v>0</v>
      </c>
      <c r="S124" s="817">
        <f>SUMIFS(Movement!$G$4:$G$2136,Movement!$M$4:$M$2136,"USD",Movement!$C$4:$C$2136,Table11[[#This Row],[ACCOUNT NUMBER]],Movement!$J$4:$J$2136,Table11[[#This Row],[ENTITY]],Movement!$O$4:$O$2136,'Cash Balance'!$A$2)</f>
        <v>0</v>
      </c>
      <c r="T124" s="1087">
        <f t="shared" si="15"/>
        <v>0</v>
      </c>
      <c r="U124" s="817"/>
      <c r="V124" s="817">
        <f>Table11[[#This Row],[CLOSING BALANCE (USD)]]-Table11[[#This Row],[CB_BS (USD)]]</f>
        <v>0</v>
      </c>
      <c r="W124" s="1156" t="str">
        <f>VLOOKUP('Cash Balance'!$C124,Table2[#All],MATCH('Cash Balance'!W$3,Acc_Char!$B$1:$I$1,0),0)</f>
        <v>Subsidiaries</v>
      </c>
      <c r="X124" s="1156" t="str">
        <f>VLOOKUP(IFERROR(MID($Y124,1,FIND("-",$Y124)-2),$Y124),Table3[#All],2,0)</f>
        <v>OCB</v>
      </c>
      <c r="Y124" s="1156" t="str">
        <f>VLOOKUP($B124,Table4[#All],2,0)</f>
        <v>OCB - BINH DUONG</v>
      </c>
      <c r="Z124" s="1151"/>
      <c r="AA124" s="49"/>
      <c r="AE124" s="818">
        <f>SUM(Table11[[#This Row],[CASH IN - CREDIT (VND)]],Table11[[#This Row],[CASH IN - CREDIT (USD)]])</f>
        <v>0</v>
      </c>
      <c r="AF124" s="818">
        <f>Table11[[#This Row],[CASH OUT - DEBIT (VND)]]+Table11[[#This Row],[CASH OUT - DEBIT (USD)]]</f>
        <v>55000</v>
      </c>
      <c r="AH124" s="1158"/>
      <c r="AI124" s="49"/>
      <c r="AJ124" s="1158"/>
      <c r="AL124"/>
      <c r="AM124"/>
    </row>
    <row r="125" spans="1:39" ht="14.4">
      <c r="A125" s="1153" t="str">
        <f>VLOOKUP('Cash Balance'!$C125,Table2[#All],MATCH('Cash Balance'!A$3,Acc_Char!$B$1:$I$1,0),0)</f>
        <v>SPV4B</v>
      </c>
      <c r="B125" s="1154" t="str">
        <f>VLOOKUP('Cash Balance'!$C125,Table2[#All],MATCH('Cash Balance'!B$3,Acc_Char!$B$1:$I$1,0),0)</f>
        <v>VIETINBANK - TIEN SON</v>
      </c>
      <c r="C125" s="1156" t="s">
        <v>625</v>
      </c>
      <c r="D125" s="1156" t="str">
        <f>VLOOKUP('Cash Balance'!$C125,Table2[#All],MATCH('Cash Balance'!D$3,Acc_Char!$B$1:$I$1,0),0)</f>
        <v>Current Account</v>
      </c>
      <c r="E125" s="384" t="str">
        <f>VLOOKUP('Cash Balance'!$C125,Table2[#All],MATCH('Cash Balance'!E$3,Acc_Char!$B$1:$I$1,0),0)</f>
        <v>VND</v>
      </c>
      <c r="F125" s="1094"/>
      <c r="G125" s="1157"/>
      <c r="H125" s="1318">
        <f>SUMIFS('Cash balance (Prior period)'!F:F,'Cash balance (Prior period)'!C:C,Table11[[#This Row],[ACCOUNT NUMBER]],'Cash balance (Prior period)'!E:E,Table11[[#This Row],[CURRENCY]])</f>
        <v>24135447</v>
      </c>
      <c r="I125" s="1318">
        <f>SUMIFS(Movement!$F$4:$F$2136,Movement!$M$4:$M$2136,"VND",Movement!$C$4:$C$2136,Table11[[#This Row],[ACCOUNT NUMBER]],Movement!$J$4:$J$2136,Table11[[#This Row],[ENTITY]],Movement!$O$4:$O$2136,'Cash Balance'!$A$2)</f>
        <v>0</v>
      </c>
      <c r="J125" s="1318">
        <f>SUMIFS(Movement!$G$4:$G$2136,Movement!$M$4:$M$2136,"VND",Movement!$C$4:$C$2136,Table11[[#This Row],[ACCOUNT NUMBER]],Movement!$J$4:$J$2136,Table11[[#This Row],[ENTITY]],Movement!$O$4:$O$2136,'Cash Balance'!$A$2)</f>
        <v>0</v>
      </c>
      <c r="K125" s="1084">
        <f>Table11[[#This Row],[CASH IN - CREDIT (VND)]]-Table11[[#This Row],[CASH OUT - DEBIT (VND)]]</f>
        <v>0</v>
      </c>
      <c r="L125" s="1095">
        <f t="shared" si="13"/>
        <v>24135447</v>
      </c>
      <c r="M125" s="1184" t="e">
        <f>VLOOKUP(C125,'Cash balance (BS)'!A:D,4,)</f>
        <v>#N/A</v>
      </c>
      <c r="N125" s="1095" t="e">
        <f>Table11[[#This Row],[CLOSING BALANCE (VND)2]]-Table11[[#This Row],[CB_BS (VND)]]</f>
        <v>#N/A</v>
      </c>
      <c r="O125" s="1094">
        <v>0</v>
      </c>
      <c r="P125" s="1095">
        <f t="shared" si="14"/>
        <v>0</v>
      </c>
      <c r="Q125" s="817">
        <f>SUMIFS('Cash balance (Prior period)'!G:G,'Cash balance (Prior period)'!C:C,Table11[[#This Row],[ACCOUNT NUMBER]],'Cash balance (Prior period)'!E:E,Table11[[#This Row],[CURRENCY]])</f>
        <v>0</v>
      </c>
      <c r="R125" s="817">
        <f>SUMIFS(Movement!$F$4:$F$2136,Movement!$M$4:$M$2136,"USD",Movement!$C$4:$C$2136,Table11[[#This Row],[ACCOUNT NUMBER]],Movement!$J$4:$J$2136,Table11[[#This Row],[ENTITY]],Movement!$O$4:$O$2136,'Cash Balance'!$A$2)</f>
        <v>0</v>
      </c>
      <c r="S125" s="817">
        <f>SUMIFS(Movement!$G$4:$G$2136,Movement!$M$4:$M$2136,"USD",Movement!$C$4:$C$2136,Table11[[#This Row],[ACCOUNT NUMBER]],Movement!$J$4:$J$2136,Table11[[#This Row],[ENTITY]],Movement!$O$4:$O$2136,'Cash Balance'!$A$2)</f>
        <v>0</v>
      </c>
      <c r="T125" s="1087">
        <f t="shared" si="15"/>
        <v>0</v>
      </c>
      <c r="U125" s="817" t="e">
        <f>VLOOKUP(C125,'Cash balance (BS)'!A:D,4,)</f>
        <v>#N/A</v>
      </c>
      <c r="V125" s="817" t="e">
        <f>Table11[[#This Row],[CLOSING BALANCE (USD)]]-Table11[[#This Row],[CB_BS (USD)]]</f>
        <v>#N/A</v>
      </c>
      <c r="W125" s="1156" t="str">
        <f>VLOOKUP('Cash Balance'!$C125,Table2[#All],MATCH('Cash Balance'!W$3,Acc_Char!$B$1:$I$1,0),0)</f>
        <v>Subsidiaries</v>
      </c>
      <c r="X125" s="1156" t="str">
        <f>VLOOKUP(IFERROR(MID($Y125,1,FIND("-",$Y125)-2),$Y125),Table3[#All],2,0)</f>
        <v>VTB</v>
      </c>
      <c r="Y125" s="1156" t="str">
        <f>VLOOKUP($B125,Table4[#All],2,0)</f>
        <v>VIETINBANK - TIEN SON</v>
      </c>
      <c r="Z125" s="1151"/>
      <c r="AA125" s="49"/>
      <c r="AE125" s="818">
        <f>SUM(Table11[[#This Row],[CASH IN - CREDIT (VND)]],Table11[[#This Row],[CASH IN - CREDIT (USD)]])</f>
        <v>0</v>
      </c>
      <c r="AF125" s="818">
        <f>Table11[[#This Row],[CASH OUT - DEBIT (VND)]]+Table11[[#This Row],[CASH OUT - DEBIT (USD)]]</f>
        <v>0</v>
      </c>
      <c r="AH125" s="1158"/>
      <c r="AI125" s="49"/>
      <c r="AJ125" s="1158"/>
      <c r="AL125"/>
      <c r="AM125"/>
    </row>
    <row r="126" spans="1:39" ht="14.4">
      <c r="A126" s="1153" t="str">
        <f>VLOOKUP('Cash Balance'!$C126,Table2[#All],MATCH('Cash Balance'!A$3,Acc_Char!$B$1:$I$1,0),0)</f>
        <v>SPV4C</v>
      </c>
      <c r="B126" s="1154" t="str">
        <f>VLOOKUP('Cash Balance'!$C126,Table2[#All],MATCH('Cash Balance'!B$3,Acc_Char!$B$1:$I$1,0),0)</f>
        <v>VIETINBANK - TIEN SON</v>
      </c>
      <c r="C126" s="1156" t="s">
        <v>627</v>
      </c>
      <c r="D126" s="1156" t="str">
        <f>VLOOKUP('Cash Balance'!$C126,Table2[#All],MATCH('Cash Balance'!D$3,Acc_Char!$B$1:$I$1,0),0)</f>
        <v>Current Account</v>
      </c>
      <c r="E126" s="384" t="str">
        <f>VLOOKUP('Cash Balance'!$C126,Table2[#All],MATCH('Cash Balance'!E$3,Acc_Char!$B$1:$I$1,0),0)</f>
        <v>VND</v>
      </c>
      <c r="F126" s="1094"/>
      <c r="G126" s="1157"/>
      <c r="H126" s="1318">
        <f>SUMIFS('Cash balance (Prior period)'!F:F,'Cash balance (Prior period)'!C:C,Table11[[#This Row],[ACCOUNT NUMBER]],'Cash balance (Prior period)'!E:E,Table11[[#This Row],[CURRENCY]])</f>
        <v>31357113</v>
      </c>
      <c r="I126" s="1318">
        <f>SUMIFS(Movement!$F$4:$F$2136,Movement!$M$4:$M$2136,"VND",Movement!$C$4:$C$2136,Table11[[#This Row],[ACCOUNT NUMBER]],Movement!$J$4:$J$2136,Table11[[#This Row],[ENTITY]],Movement!$O$4:$O$2136,'Cash Balance'!$A$2)</f>
        <v>0</v>
      </c>
      <c r="J126" s="1318">
        <f>SUMIFS(Movement!$G$4:$G$2136,Movement!$M$4:$M$2136,"VND",Movement!$C$4:$C$2136,Table11[[#This Row],[ACCOUNT NUMBER]],Movement!$J$4:$J$2136,Table11[[#This Row],[ENTITY]],Movement!$O$4:$O$2136,'Cash Balance'!$A$2)</f>
        <v>0</v>
      </c>
      <c r="K126" s="1084">
        <f>Table11[[#This Row],[CASH IN - CREDIT (VND)]]-Table11[[#This Row],[CASH OUT - DEBIT (VND)]]</f>
        <v>0</v>
      </c>
      <c r="L126" s="1095">
        <f t="shared" si="13"/>
        <v>31357113</v>
      </c>
      <c r="M126" s="1184" t="e">
        <f>VLOOKUP(C126,'Cash balance (BS)'!A:D,4,)</f>
        <v>#N/A</v>
      </c>
      <c r="N126" s="1095" t="e">
        <f>Table11[[#This Row],[CLOSING BALANCE (VND)2]]-Table11[[#This Row],[CB_BS (VND)]]</f>
        <v>#N/A</v>
      </c>
      <c r="O126" s="1094">
        <v>0</v>
      </c>
      <c r="P126" s="1095">
        <f t="shared" si="14"/>
        <v>0</v>
      </c>
      <c r="Q126" s="817">
        <f>SUMIFS('Cash balance (Prior period)'!G:G,'Cash balance (Prior period)'!C:C,Table11[[#This Row],[ACCOUNT NUMBER]],'Cash balance (Prior period)'!E:E,Table11[[#This Row],[CURRENCY]])</f>
        <v>0</v>
      </c>
      <c r="R126" s="817">
        <f>SUMIFS(Movement!$F$4:$F$2136,Movement!$M$4:$M$2136,"USD",Movement!$C$4:$C$2136,Table11[[#This Row],[ACCOUNT NUMBER]],Movement!$J$4:$J$2136,Table11[[#This Row],[ENTITY]],Movement!$O$4:$O$2136,'Cash Balance'!$A$2)</f>
        <v>0</v>
      </c>
      <c r="S126" s="817">
        <f>SUMIFS(Movement!$G$4:$G$2136,Movement!$M$4:$M$2136,"USD",Movement!$C$4:$C$2136,Table11[[#This Row],[ACCOUNT NUMBER]],Movement!$J$4:$J$2136,Table11[[#This Row],[ENTITY]],Movement!$O$4:$O$2136,'Cash Balance'!$A$2)</f>
        <v>0</v>
      </c>
      <c r="T126" s="1087">
        <f t="shared" si="15"/>
        <v>0</v>
      </c>
      <c r="U126" s="817" t="e">
        <f>VLOOKUP(C126,'Cash balance (BS)'!A:D,4,)</f>
        <v>#N/A</v>
      </c>
      <c r="V126" s="817" t="e">
        <f>Table11[[#This Row],[CLOSING BALANCE (USD)]]-Table11[[#This Row],[CB_BS (USD)]]</f>
        <v>#N/A</v>
      </c>
      <c r="W126" s="1156" t="str">
        <f>VLOOKUP('Cash Balance'!$C126,Table2[#All],MATCH('Cash Balance'!W$3,Acc_Char!$B$1:$I$1,0),0)</f>
        <v>Subsidiaries</v>
      </c>
      <c r="X126" s="1156" t="str">
        <f>VLOOKUP(IFERROR(MID($Y126,1,FIND("-",$Y126)-2),$Y126),Table3[#All],2,0)</f>
        <v>VTB</v>
      </c>
      <c r="Y126" s="1156" t="str">
        <f>VLOOKUP($B126,Table4[#All],2,0)</f>
        <v>VIETINBANK - TIEN SON</v>
      </c>
      <c r="Z126" s="1151"/>
      <c r="AA126" s="49"/>
      <c r="AE126" s="818">
        <f>SUM(Table11[[#This Row],[CASH IN - CREDIT (VND)]],Table11[[#This Row],[CASH IN - CREDIT (USD)]])</f>
        <v>0</v>
      </c>
      <c r="AF126" s="818">
        <f>Table11[[#This Row],[CASH OUT - DEBIT (VND)]]+Table11[[#This Row],[CASH OUT - DEBIT (USD)]]</f>
        <v>0</v>
      </c>
      <c r="AH126" s="1158"/>
      <c r="AI126" s="49"/>
      <c r="AJ126" s="1158"/>
      <c r="AL126"/>
      <c r="AM126"/>
    </row>
    <row r="127" spans="1:39" ht="14.4">
      <c r="A127" s="1153" t="str">
        <f>VLOOKUP('Cash Balance'!$C127,Table2[#All],MATCH('Cash Balance'!A$3,Acc_Char!$B$1:$I$1,0),0)</f>
        <v>SPV4C</v>
      </c>
      <c r="B127" s="1154" t="str">
        <f>VLOOKUP('Cash Balance'!$C127,Table2[#All],MATCH('Cash Balance'!B$3,Acc_Char!$B$1:$I$1,0),0)</f>
        <v>VIETINBANK - TIEN SON</v>
      </c>
      <c r="C127" s="1156" t="s">
        <v>628</v>
      </c>
      <c r="D127" s="1156" t="str">
        <f>VLOOKUP('Cash Balance'!$C127,Table2[#All],MATCH('Cash Balance'!D$3,Acc_Char!$B$1:$I$1,0),0)</f>
        <v>Current Account</v>
      </c>
      <c r="E127" s="384" t="str">
        <f>VLOOKUP('Cash Balance'!$C127,Table2[#All],MATCH('Cash Balance'!E$3,Acc_Char!$B$1:$I$1,0),0)</f>
        <v>USD</v>
      </c>
      <c r="F127" s="1094" t="e">
        <f>VLOOKUP(C127,'Cash balance (BS)'!A:C,3,)</f>
        <v>#N/A</v>
      </c>
      <c r="G127" s="1157" t="e">
        <f>F127-H127</f>
        <v>#N/A</v>
      </c>
      <c r="H127" s="1318">
        <f>SUMIFS('Cash balance (Prior period)'!F:F,'Cash balance (Prior period)'!C:C,Table11[[#This Row],[ACCOUNT NUMBER]],'Cash balance (Prior period)'!E:E,Table11[[#This Row],[CURRENCY]])</f>
        <v>0</v>
      </c>
      <c r="I127" s="1318">
        <f>SUMIFS(Movement!$F$4:$F$2136,Movement!$M$4:$M$2136,"VND",Movement!$C$4:$C$2136,Table11[[#This Row],[ACCOUNT NUMBER]],Movement!$J$4:$J$2136,Table11[[#This Row],[ENTITY]],Movement!$O$4:$O$2136,'Cash Balance'!$A$2)</f>
        <v>0</v>
      </c>
      <c r="J127" s="1318">
        <f>SUMIFS(Movement!$G$4:$G$2136,Movement!$M$4:$M$2136,"VND",Movement!$C$4:$C$2136,Table11[[#This Row],[ACCOUNT NUMBER]],Movement!$J$4:$J$2136,Table11[[#This Row],[ENTITY]],Movement!$O$4:$O$2136,'Cash Balance'!$A$2)</f>
        <v>0</v>
      </c>
      <c r="K127" s="1084">
        <f>Table11[[#This Row],[CASH IN - CREDIT (VND)]]-Table11[[#This Row],[CASH OUT - DEBIT (VND)]]</f>
        <v>0</v>
      </c>
      <c r="L127" s="1095">
        <f t="shared" si="13"/>
        <v>0</v>
      </c>
      <c r="M127" s="1184" t="e">
        <f>VLOOKUP(C127,'Cash balance (BS)'!A:D,4,)</f>
        <v>#N/A</v>
      </c>
      <c r="N127" s="1095" t="e">
        <f>Table11[[#This Row],[CLOSING BALANCE (VND)2]]-Table11[[#This Row],[CB_BS (VND)]]</f>
        <v>#N/A</v>
      </c>
      <c r="O127" s="1094">
        <v>0</v>
      </c>
      <c r="P127" s="1095">
        <f t="shared" si="14"/>
        <v>0</v>
      </c>
      <c r="Q127" s="817">
        <f>SUMIFS('Cash balance (Prior period)'!G:G,'Cash balance (Prior period)'!C:C,Table11[[#This Row],[ACCOUNT NUMBER]],'Cash balance (Prior period)'!E:E,Table11[[#This Row],[CURRENCY]])</f>
        <v>0</v>
      </c>
      <c r="R127" s="817">
        <f>SUMIFS(Movement!$F$4:$F$2136,Movement!$M$4:$M$2136,"USD",Movement!$C$4:$C$2136,Table11[[#This Row],[ACCOUNT NUMBER]],Movement!$J$4:$J$2136,Table11[[#This Row],[ENTITY]],Movement!$O$4:$O$2136,'Cash Balance'!$A$2)</f>
        <v>0</v>
      </c>
      <c r="S127" s="817">
        <f>SUMIFS(Movement!$G$4:$G$2136,Movement!$M$4:$M$2136,"USD",Movement!$C$4:$C$2136,Table11[[#This Row],[ACCOUNT NUMBER]],Movement!$J$4:$J$2136,Table11[[#This Row],[ENTITY]],Movement!$O$4:$O$2136,'Cash Balance'!$A$2)</f>
        <v>0</v>
      </c>
      <c r="T127" s="1087">
        <f t="shared" si="15"/>
        <v>0</v>
      </c>
      <c r="U127" s="817"/>
      <c r="V127" s="817">
        <f>Table11[[#This Row],[CLOSING BALANCE (USD)]]-Table11[[#This Row],[CB_BS (USD)]]</f>
        <v>0</v>
      </c>
      <c r="W127" s="1156" t="str">
        <f>VLOOKUP('Cash Balance'!$C127,Table2[#All],MATCH('Cash Balance'!W$3,Acc_Char!$B$1:$I$1,0),0)</f>
        <v>Subsidiaries</v>
      </c>
      <c r="X127" s="1156" t="str">
        <f>VLOOKUP(IFERROR(MID($Y127,1,FIND("-",$Y127)-2),$Y127),Table3[#All],2,0)</f>
        <v>VTB</v>
      </c>
      <c r="Y127" s="1156" t="str">
        <f>VLOOKUP($B127,Table4[#All],2,0)</f>
        <v>VIETINBANK - TIEN SON</v>
      </c>
      <c r="Z127" s="1151"/>
      <c r="AA127" s="49"/>
      <c r="AE127" s="818">
        <f>SUM(Table11[[#This Row],[CASH IN - CREDIT (VND)]],Table11[[#This Row],[CASH IN - CREDIT (USD)]])</f>
        <v>0</v>
      </c>
      <c r="AF127" s="818">
        <f>Table11[[#This Row],[CASH OUT - DEBIT (VND)]]+Table11[[#This Row],[CASH OUT - DEBIT (USD)]]</f>
        <v>0</v>
      </c>
      <c r="AH127" s="1158"/>
      <c r="AI127" s="49"/>
      <c r="AJ127" s="1158"/>
      <c r="AL127"/>
      <c r="AM127"/>
    </row>
    <row r="128" spans="1:39" ht="14.4">
      <c r="A128" s="1153" t="str">
        <f>VLOOKUP('Cash Balance'!$C128,Table2[#All],MATCH('Cash Balance'!A$3,Acc_Char!$B$1:$I$1,0),0)</f>
        <v>SPV4C</v>
      </c>
      <c r="B128" s="1154" t="str">
        <f>VLOOKUP('Cash Balance'!$C128,Table2[#All],MATCH('Cash Balance'!B$3,Acc_Char!$B$1:$I$1,0),0)</f>
        <v>OCB - BINH DUONG</v>
      </c>
      <c r="C128" s="1156" t="s">
        <v>629</v>
      </c>
      <c r="D128" s="1156" t="str">
        <f>VLOOKUP('Cash Balance'!$C128,Table2[#All],MATCH('Cash Balance'!D$3,Acc_Char!$B$1:$I$1,0),0)</f>
        <v>Current Account</v>
      </c>
      <c r="E128" s="384" t="str">
        <f>VLOOKUP('Cash Balance'!$C128,Table2[#All],MATCH('Cash Balance'!E$3,Acc_Char!$B$1:$I$1,0),0)</f>
        <v>VND</v>
      </c>
      <c r="F128" s="1094"/>
      <c r="G128" s="1157"/>
      <c r="H128" s="1318">
        <f>SUMIFS('Cash balance (Prior period)'!F:F,'Cash balance (Prior period)'!C:C,Table11[[#This Row],[ACCOUNT NUMBER]],'Cash balance (Prior period)'!E:E,Table11[[#This Row],[CURRENCY]])</f>
        <v>5658311</v>
      </c>
      <c r="I128" s="1318">
        <f>SUMIFS(Movement!$F$4:$F$2136,Movement!$M$4:$M$2136,"VND",Movement!$C$4:$C$2136,Table11[[#This Row],[ACCOUNT NUMBER]],Movement!$J$4:$J$2136,Table11[[#This Row],[ENTITY]],Movement!$O$4:$O$2136,'Cash Balance'!$A$2)</f>
        <v>0</v>
      </c>
      <c r="J128" s="1318">
        <f>SUMIFS(Movement!$G$4:$G$2136,Movement!$M$4:$M$2136,"VND",Movement!$C$4:$C$2136,Table11[[#This Row],[ACCOUNT NUMBER]],Movement!$J$4:$J$2136,Table11[[#This Row],[ENTITY]],Movement!$O$4:$O$2136,'Cash Balance'!$A$2)</f>
        <v>0</v>
      </c>
      <c r="K128" s="1084">
        <f>Table11[[#This Row],[CASH IN - CREDIT (VND)]]-Table11[[#This Row],[CASH OUT - DEBIT (VND)]]</f>
        <v>0</v>
      </c>
      <c r="L128" s="1095">
        <f t="shared" si="13"/>
        <v>5658311</v>
      </c>
      <c r="M128" s="1184" t="e">
        <f>VLOOKUP(C128,'Cash balance (BS)'!A:D,4,)</f>
        <v>#N/A</v>
      </c>
      <c r="N128" s="1095" t="e">
        <f>Table11[[#This Row],[CLOSING BALANCE (VND)2]]-Table11[[#This Row],[CB_BS (VND)]]</f>
        <v>#N/A</v>
      </c>
      <c r="O128" s="1094">
        <v>0</v>
      </c>
      <c r="P128" s="1095">
        <f t="shared" si="14"/>
        <v>0</v>
      </c>
      <c r="Q128" s="817">
        <f>SUMIFS('Cash balance (Prior period)'!G:G,'Cash balance (Prior period)'!C:C,Table11[[#This Row],[ACCOUNT NUMBER]],'Cash balance (Prior period)'!E:E,Table11[[#This Row],[CURRENCY]])</f>
        <v>0</v>
      </c>
      <c r="R128" s="817">
        <f>SUMIFS(Movement!$F$4:$F$2136,Movement!$M$4:$M$2136,"USD",Movement!$C$4:$C$2136,Table11[[#This Row],[ACCOUNT NUMBER]],Movement!$J$4:$J$2136,Table11[[#This Row],[ENTITY]],Movement!$O$4:$O$2136,'Cash Balance'!$A$2)</f>
        <v>0</v>
      </c>
      <c r="S128" s="817">
        <f>SUMIFS(Movement!$G$4:$G$2136,Movement!$M$4:$M$2136,"USD",Movement!$C$4:$C$2136,Table11[[#This Row],[ACCOUNT NUMBER]],Movement!$J$4:$J$2136,Table11[[#This Row],[ENTITY]],Movement!$O$4:$O$2136,'Cash Balance'!$A$2)</f>
        <v>0</v>
      </c>
      <c r="T128" s="1087">
        <f t="shared" si="15"/>
        <v>0</v>
      </c>
      <c r="U128" s="817" t="e">
        <f>VLOOKUP(C128,'Cash balance (BS)'!A:D,4,)</f>
        <v>#N/A</v>
      </c>
      <c r="V128" s="817" t="e">
        <f>Table11[[#This Row],[CLOSING BALANCE (USD)]]-Table11[[#This Row],[CB_BS (USD)]]</f>
        <v>#N/A</v>
      </c>
      <c r="W128" s="1156" t="str">
        <f>VLOOKUP('Cash Balance'!$C128,Table2[#All],MATCH('Cash Balance'!W$3,Acc_Char!$B$1:$I$1,0),0)</f>
        <v>Subsidiaries</v>
      </c>
      <c r="X128" s="1156" t="str">
        <f>VLOOKUP(IFERROR(MID($Y128,1,FIND("-",$Y128)-2),$Y128),Table3[#All],2,0)</f>
        <v>OCB</v>
      </c>
      <c r="Y128" s="1156" t="str">
        <f>VLOOKUP($B128,Table4[#All],2,0)</f>
        <v>OCB - BINH DUONG</v>
      </c>
      <c r="Z128" s="1151"/>
      <c r="AA128" s="49"/>
      <c r="AE128" s="818">
        <f>SUM(Table11[[#This Row],[CASH IN - CREDIT (VND)]],Table11[[#This Row],[CASH IN - CREDIT (USD)]])</f>
        <v>0</v>
      </c>
      <c r="AF128" s="818">
        <f>Table11[[#This Row],[CASH OUT - DEBIT (VND)]]+Table11[[#This Row],[CASH OUT - DEBIT (USD)]]</f>
        <v>0</v>
      </c>
      <c r="AH128" s="1158"/>
      <c r="AI128" s="49"/>
      <c r="AJ128" s="1158"/>
      <c r="AL128"/>
      <c r="AM128"/>
    </row>
    <row r="129" spans="1:39" ht="14.4">
      <c r="A129" s="1153" t="str">
        <f>VLOOKUP('Cash Balance'!$C129,Table2[#All],MATCH('Cash Balance'!A$3,Acc_Char!$B$1:$I$1,0),0)</f>
        <v>SPV4D</v>
      </c>
      <c r="B129" s="1154" t="str">
        <f>VLOOKUP('Cash Balance'!$C129,Table2[#All],MATCH('Cash Balance'!B$3,Acc_Char!$B$1:$I$1,0),0)</f>
        <v>VIETINBANK - TIEN SON</v>
      </c>
      <c r="C129" s="1156" t="s">
        <v>631</v>
      </c>
      <c r="D129" s="1156" t="str">
        <f>VLOOKUP('Cash Balance'!$C129,Table2[#All],MATCH('Cash Balance'!D$3,Acc_Char!$B$1:$I$1,0),0)</f>
        <v>Current Account</v>
      </c>
      <c r="E129" s="384" t="str">
        <f>VLOOKUP('Cash Balance'!$C129,Table2[#All],MATCH('Cash Balance'!E$3,Acc_Char!$B$1:$I$1,0),0)</f>
        <v>VND</v>
      </c>
      <c r="F129" s="1094" t="e">
        <f>VLOOKUP(C129,'Cash balance (BS)'!A:C,3,)</f>
        <v>#N/A</v>
      </c>
      <c r="G129" s="1157" t="e">
        <f>F129-H129</f>
        <v>#N/A</v>
      </c>
      <c r="H129" s="1318">
        <f>SUMIFS('Cash balance (Prior period)'!F:F,'Cash balance (Prior period)'!C:C,Table11[[#This Row],[ACCOUNT NUMBER]],'Cash balance (Prior period)'!E:E,Table11[[#This Row],[CURRENCY]])</f>
        <v>18436599</v>
      </c>
      <c r="I129" s="1318">
        <f>SUMIFS(Movement!$F$4:$F$2136,Movement!$M$4:$M$2136,"VND",Movement!$C$4:$C$2136,Table11[[#This Row],[ACCOUNT NUMBER]],Movement!$J$4:$J$2136,Table11[[#This Row],[ENTITY]],Movement!$O$4:$O$2136,'Cash Balance'!$A$2)</f>
        <v>17694247</v>
      </c>
      <c r="J129" s="1318">
        <f>SUMIFS(Movement!$G$4:$G$2136,Movement!$M$4:$M$2136,"VND",Movement!$C$4:$C$2136,Table11[[#This Row],[ACCOUNT NUMBER]],Movement!$J$4:$J$2136,Table11[[#This Row],[ENTITY]],Movement!$O$4:$O$2136,'Cash Balance'!$A$2)</f>
        <v>0</v>
      </c>
      <c r="K129" s="1084">
        <f>Table11[[#This Row],[CASH IN - CREDIT (VND)]]-Table11[[#This Row],[CASH OUT - DEBIT (VND)]]</f>
        <v>17694247</v>
      </c>
      <c r="L129" s="1095">
        <f t="shared" si="13"/>
        <v>36130846</v>
      </c>
      <c r="M129" s="1184" t="e">
        <f>VLOOKUP(C129,'Cash balance (BS)'!A:D,4,)</f>
        <v>#N/A</v>
      </c>
      <c r="N129" s="1095" t="e">
        <f>Table11[[#This Row],[CLOSING BALANCE (VND)2]]-Table11[[#This Row],[CB_BS (VND)]]</f>
        <v>#N/A</v>
      </c>
      <c r="O129" s="1094">
        <v>0</v>
      </c>
      <c r="P129" s="1095">
        <f t="shared" si="14"/>
        <v>0</v>
      </c>
      <c r="Q129" s="817">
        <f>SUMIFS('Cash balance (Prior period)'!G:G,'Cash balance (Prior period)'!C:C,Table11[[#This Row],[ACCOUNT NUMBER]],'Cash balance (Prior period)'!E:E,Table11[[#This Row],[CURRENCY]])</f>
        <v>0</v>
      </c>
      <c r="R129" s="817">
        <f>SUMIFS(Movement!$F$4:$F$2136,Movement!$M$4:$M$2136,"USD",Movement!$C$4:$C$2136,Table11[[#This Row],[ACCOUNT NUMBER]],Movement!$J$4:$J$2136,Table11[[#This Row],[ENTITY]],Movement!$O$4:$O$2136,'Cash Balance'!$A$2)</f>
        <v>0</v>
      </c>
      <c r="S129" s="817">
        <f>SUMIFS(Movement!$G$4:$G$2136,Movement!$M$4:$M$2136,"USD",Movement!$C$4:$C$2136,Table11[[#This Row],[ACCOUNT NUMBER]],Movement!$J$4:$J$2136,Table11[[#This Row],[ENTITY]],Movement!$O$4:$O$2136,'Cash Balance'!$A$2)</f>
        <v>0</v>
      </c>
      <c r="T129" s="1087">
        <f t="shared" si="15"/>
        <v>0</v>
      </c>
      <c r="U129" s="817"/>
      <c r="V129" s="817">
        <f>Table11[[#This Row],[CLOSING BALANCE (USD)]]-Table11[[#This Row],[CB_BS (USD)]]</f>
        <v>0</v>
      </c>
      <c r="W129" s="1156" t="str">
        <f>VLOOKUP('Cash Balance'!$C129,Table2[#All],MATCH('Cash Balance'!W$3,Acc_Char!$B$1:$I$1,0),0)</f>
        <v>Subsidiaries</v>
      </c>
      <c r="X129" s="1156" t="str">
        <f>VLOOKUP(IFERROR(MID($Y129,1,FIND("-",$Y129)-2),$Y129),Table3[#All],2,0)</f>
        <v>VTB</v>
      </c>
      <c r="Y129" s="1156" t="str">
        <f>VLOOKUP($B129,Table4[#All],2,0)</f>
        <v>VIETINBANK - TIEN SON</v>
      </c>
      <c r="Z129" s="1151"/>
      <c r="AA129" s="49"/>
      <c r="AE129" s="818">
        <f>SUM(Table11[[#This Row],[CASH IN - CREDIT (VND)]],Table11[[#This Row],[CASH IN - CREDIT (USD)]])</f>
        <v>17694247</v>
      </c>
      <c r="AF129" s="818">
        <f>Table11[[#This Row],[CASH OUT - DEBIT (VND)]]+Table11[[#This Row],[CASH OUT - DEBIT (USD)]]</f>
        <v>0</v>
      </c>
      <c r="AH129" s="1158"/>
      <c r="AI129" s="49"/>
      <c r="AJ129" s="1158"/>
      <c r="AL129"/>
      <c r="AM129"/>
    </row>
    <row r="130" spans="1:39" ht="14.4">
      <c r="A130" s="1153" t="str">
        <f>VLOOKUP('Cash Balance'!$C130,Table2[#All],MATCH('Cash Balance'!A$3,Acc_Char!$B$1:$I$1,0),0)</f>
        <v>SPV4D</v>
      </c>
      <c r="B130" s="1154" t="str">
        <f>VLOOKUP('Cash Balance'!$C130,Table2[#All],MATCH('Cash Balance'!B$3,Acc_Char!$B$1:$I$1,0),0)</f>
        <v>VIETINBANK - TIEN SON</v>
      </c>
      <c r="C130" s="1156" t="s">
        <v>632</v>
      </c>
      <c r="D130" s="1156" t="str">
        <f>VLOOKUP('Cash Balance'!$C130,Table2[#All],MATCH('Cash Balance'!D$3,Acc_Char!$B$1:$I$1,0),0)</f>
        <v>Current Account</v>
      </c>
      <c r="E130" s="384" t="str">
        <f>VLOOKUP('Cash Balance'!$C130,Table2[#All],MATCH('Cash Balance'!E$3,Acc_Char!$B$1:$I$1,0),0)</f>
        <v>USD</v>
      </c>
      <c r="F130" s="1094"/>
      <c r="G130" s="1157"/>
      <c r="H130" s="1318">
        <f>SUMIFS('Cash balance (Prior period)'!F:F,'Cash balance (Prior period)'!C:C,Table11[[#This Row],[ACCOUNT NUMBER]],'Cash balance (Prior period)'!E:E,Table11[[#This Row],[CURRENCY]])</f>
        <v>0</v>
      </c>
      <c r="I130" s="1318">
        <f>SUMIFS(Movement!$F$4:$F$2136,Movement!$M$4:$M$2136,"VND",Movement!$C$4:$C$2136,Table11[[#This Row],[ACCOUNT NUMBER]],Movement!$J$4:$J$2136,Table11[[#This Row],[ENTITY]],Movement!$O$4:$O$2136,'Cash Balance'!$A$2)</f>
        <v>0</v>
      </c>
      <c r="J130" s="1318">
        <f>SUMIFS(Movement!$G$4:$G$2136,Movement!$M$4:$M$2136,"VND",Movement!$C$4:$C$2136,Table11[[#This Row],[ACCOUNT NUMBER]],Movement!$J$4:$J$2136,Table11[[#This Row],[ENTITY]],Movement!$O$4:$O$2136,'Cash Balance'!$A$2)</f>
        <v>0</v>
      </c>
      <c r="K130" s="1084">
        <f>Table11[[#This Row],[CASH IN - CREDIT (VND)]]-Table11[[#This Row],[CASH OUT - DEBIT (VND)]]</f>
        <v>0</v>
      </c>
      <c r="L130" s="1095">
        <f t="shared" si="13"/>
        <v>0</v>
      </c>
      <c r="M130" s="1184" t="e">
        <f>VLOOKUP(C130,'Cash balance (BS)'!A:D,4,)</f>
        <v>#N/A</v>
      </c>
      <c r="N130" s="1095" t="e">
        <f>Table11[[#This Row],[CLOSING BALANCE (VND)2]]-Table11[[#This Row],[CB_BS (VND)]]</f>
        <v>#N/A</v>
      </c>
      <c r="O130" s="1094">
        <v>0</v>
      </c>
      <c r="P130" s="1095">
        <f t="shared" si="14"/>
        <v>-179.18</v>
      </c>
      <c r="Q130" s="817">
        <f>SUMIFS('Cash balance (Prior period)'!G:G,'Cash balance (Prior period)'!C:C,Table11[[#This Row],[ACCOUNT NUMBER]],'Cash balance (Prior period)'!E:E,Table11[[#This Row],[CURRENCY]])</f>
        <v>179.18</v>
      </c>
      <c r="R130" s="817">
        <f>SUMIFS(Movement!$F$4:$F$2136,Movement!$M$4:$M$2136,"USD",Movement!$C$4:$C$2136,Table11[[#This Row],[ACCOUNT NUMBER]],Movement!$J$4:$J$2136,Table11[[#This Row],[ENTITY]],Movement!$O$4:$O$2136,'Cash Balance'!$A$2)</f>
        <v>0</v>
      </c>
      <c r="S130" s="817">
        <f>SUMIFS(Movement!$G$4:$G$2136,Movement!$M$4:$M$2136,"USD",Movement!$C$4:$C$2136,Table11[[#This Row],[ACCOUNT NUMBER]],Movement!$J$4:$J$2136,Table11[[#This Row],[ENTITY]],Movement!$O$4:$O$2136,'Cash Balance'!$A$2)</f>
        <v>0</v>
      </c>
      <c r="T130" s="1087">
        <f t="shared" si="15"/>
        <v>179.18</v>
      </c>
      <c r="U130" s="817" t="e">
        <f>VLOOKUP(C130,'Cash balance (BS)'!A:D,4,)</f>
        <v>#N/A</v>
      </c>
      <c r="V130" s="817" t="e">
        <f>Table11[[#This Row],[CLOSING BALANCE (USD)]]-Table11[[#This Row],[CB_BS (USD)]]</f>
        <v>#N/A</v>
      </c>
      <c r="W130" s="1156" t="str">
        <f>VLOOKUP('Cash Balance'!$C130,Table2[#All],MATCH('Cash Balance'!W$3,Acc_Char!$B$1:$I$1,0),0)</f>
        <v>Subsidiaries</v>
      </c>
      <c r="X130" s="1156" t="str">
        <f>VLOOKUP(IFERROR(MID($Y130,1,FIND("-",$Y130)-2),$Y130),Table3[#All],2,0)</f>
        <v>VTB</v>
      </c>
      <c r="Y130" s="1156" t="str">
        <f>VLOOKUP($B130,Table4[#All],2,0)</f>
        <v>VIETINBANK - TIEN SON</v>
      </c>
      <c r="Z130" s="1151"/>
      <c r="AA130" s="49"/>
      <c r="AE130" s="818">
        <f>SUM(Table11[[#This Row],[CASH IN - CREDIT (VND)]],Table11[[#This Row],[CASH IN - CREDIT (USD)]])</f>
        <v>0</v>
      </c>
      <c r="AF130" s="818">
        <f>Table11[[#This Row],[CASH OUT - DEBIT (VND)]]+Table11[[#This Row],[CASH OUT - DEBIT (USD)]]</f>
        <v>0</v>
      </c>
      <c r="AH130" s="1158"/>
      <c r="AI130" s="49"/>
      <c r="AJ130" s="1158"/>
      <c r="AL130"/>
      <c r="AM130"/>
    </row>
    <row r="131" spans="1:39" ht="14.4">
      <c r="A131" s="1153" t="str">
        <f>VLOOKUP('Cash Balance'!$C131,Table2[#All],MATCH('Cash Balance'!A$3,Acc_Char!$B$1:$I$1,0),0)</f>
        <v>SPV4D</v>
      </c>
      <c r="B131" s="1154" t="str">
        <f>VLOOKUP('Cash Balance'!$C131,Table2[#All],MATCH('Cash Balance'!B$3,Acc_Char!$B$1:$I$1,0),0)</f>
        <v>VIETINBANK - TIEN SON</v>
      </c>
      <c r="C131" s="1156" t="s">
        <v>633</v>
      </c>
      <c r="D131" s="1156" t="str">
        <f>VLOOKUP('Cash Balance'!$C131,Table2[#All],MATCH('Cash Balance'!D$3,Acc_Char!$B$1:$I$1,0),0)</f>
        <v>Capital Account</v>
      </c>
      <c r="E131" s="384" t="str">
        <f>VLOOKUP('Cash Balance'!$C131,Table2[#All],MATCH('Cash Balance'!E$3,Acc_Char!$B$1:$I$1,0),0)</f>
        <v>USD</v>
      </c>
      <c r="F131" s="1094"/>
      <c r="G131" s="1157"/>
      <c r="H131" s="1318">
        <f>SUMIFS('Cash balance (Prior period)'!F:F,'Cash balance (Prior period)'!C:C,Table11[[#This Row],[ACCOUNT NUMBER]],'Cash balance (Prior period)'!E:E,Table11[[#This Row],[CURRENCY]])</f>
        <v>0</v>
      </c>
      <c r="I131" s="1318">
        <f>SUMIFS(Movement!$F$4:$F$2136,Movement!$M$4:$M$2136,"VND",Movement!$C$4:$C$2136,Table11[[#This Row],[ACCOUNT NUMBER]],Movement!$J$4:$J$2136,Table11[[#This Row],[ENTITY]],Movement!$O$4:$O$2136,'Cash Balance'!$A$2)</f>
        <v>0</v>
      </c>
      <c r="J131" s="1318">
        <f>SUMIFS(Movement!$G$4:$G$2136,Movement!$M$4:$M$2136,"VND",Movement!$C$4:$C$2136,Table11[[#This Row],[ACCOUNT NUMBER]],Movement!$J$4:$J$2136,Table11[[#This Row],[ENTITY]],Movement!$O$4:$O$2136,'Cash Balance'!$A$2)</f>
        <v>0</v>
      </c>
      <c r="K131" s="1084">
        <f>Table11[[#This Row],[CASH IN - CREDIT (VND)]]-Table11[[#This Row],[CASH OUT - DEBIT (VND)]]</f>
        <v>0</v>
      </c>
      <c r="L131" s="1095">
        <f t="shared" si="13"/>
        <v>0</v>
      </c>
      <c r="M131" s="1184" t="e">
        <f>VLOOKUP(C131,'Cash balance (BS)'!A:D,4,)</f>
        <v>#N/A</v>
      </c>
      <c r="N131" s="1095" t="e">
        <f>Table11[[#This Row],[CLOSING BALANCE (VND)2]]-Table11[[#This Row],[CB_BS (VND)]]</f>
        <v>#N/A</v>
      </c>
      <c r="O131" s="1094">
        <v>0</v>
      </c>
      <c r="P131" s="1095">
        <f t="shared" si="14"/>
        <v>0</v>
      </c>
      <c r="Q131" s="817">
        <f>SUMIFS('Cash balance (Prior period)'!G:G,'Cash balance (Prior period)'!C:C,Table11[[#This Row],[ACCOUNT NUMBER]],'Cash balance (Prior period)'!E:E,Table11[[#This Row],[CURRENCY]])</f>
        <v>0</v>
      </c>
      <c r="R131" s="817">
        <f>SUMIFS(Movement!$F$4:$F$2136,Movement!$M$4:$M$2136,"USD",Movement!$C$4:$C$2136,Table11[[#This Row],[ACCOUNT NUMBER]],Movement!$J$4:$J$2136,Table11[[#This Row],[ENTITY]],Movement!$O$4:$O$2136,'Cash Balance'!$A$2)</f>
        <v>0</v>
      </c>
      <c r="S131" s="817">
        <f>SUMIFS(Movement!$G$4:$G$2136,Movement!$M$4:$M$2136,"USD",Movement!$C$4:$C$2136,Table11[[#This Row],[ACCOUNT NUMBER]],Movement!$J$4:$J$2136,Table11[[#This Row],[ENTITY]],Movement!$O$4:$O$2136,'Cash Balance'!$A$2)</f>
        <v>0</v>
      </c>
      <c r="T131" s="1087">
        <f t="shared" si="15"/>
        <v>0</v>
      </c>
      <c r="U131" s="817" t="e">
        <f>VLOOKUP(C131,'Cash balance (BS)'!A:D,4,)</f>
        <v>#N/A</v>
      </c>
      <c r="V131" s="817" t="e">
        <f>Table11[[#This Row],[CLOSING BALANCE (USD)]]-Table11[[#This Row],[CB_BS (USD)]]</f>
        <v>#N/A</v>
      </c>
      <c r="W131" s="1156" t="str">
        <f>VLOOKUP('Cash Balance'!$C131,Table2[#All],MATCH('Cash Balance'!W$3,Acc_Char!$B$1:$I$1,0),0)</f>
        <v>Subsidiaries</v>
      </c>
      <c r="X131" s="1156" t="str">
        <f>VLOOKUP(IFERROR(MID($Y131,1,FIND("-",$Y131)-2),$Y131),Table3[#All],2,0)</f>
        <v>VTB</v>
      </c>
      <c r="Y131" s="1156" t="str">
        <f>VLOOKUP($B131,Table4[#All],2,0)</f>
        <v>VIETINBANK - TIEN SON</v>
      </c>
      <c r="Z131" s="1151"/>
      <c r="AA131" s="49"/>
      <c r="AE131" s="818">
        <f>SUM(Table11[[#This Row],[CASH IN - CREDIT (VND)]],Table11[[#This Row],[CASH IN - CREDIT (USD)]])</f>
        <v>0</v>
      </c>
      <c r="AF131" s="818">
        <f>Table11[[#This Row],[CASH OUT - DEBIT (VND)]]+Table11[[#This Row],[CASH OUT - DEBIT (USD)]]</f>
        <v>0</v>
      </c>
      <c r="AH131" s="1158"/>
      <c r="AI131" s="49"/>
      <c r="AJ131" s="1158"/>
      <c r="AL131"/>
      <c r="AM131"/>
    </row>
    <row r="132" spans="1:39" ht="14.4">
      <c r="A132" s="1153" t="str">
        <f>VLOOKUP('Cash Balance'!$C132,Table2[#All],MATCH('Cash Balance'!A$3,Acc_Char!$B$1:$I$1,0),0)</f>
        <v>SPV4E</v>
      </c>
      <c r="B132" s="1154" t="str">
        <f>VLOOKUP('Cash Balance'!$C132,Table2[#All],MATCH('Cash Balance'!B$3,Acc_Char!$B$1:$I$1,0),0)</f>
        <v>VIETINBANK - TIEN SON</v>
      </c>
      <c r="C132" s="1156" t="s">
        <v>635</v>
      </c>
      <c r="D132" s="1156" t="str">
        <f>VLOOKUP('Cash Balance'!$C132,Table2[#All],MATCH('Cash Balance'!D$3,Acc_Char!$B$1:$I$1,0),0)</f>
        <v>Current Account</v>
      </c>
      <c r="E132" s="384" t="str">
        <f>VLOOKUP('Cash Balance'!$C132,Table2[#All],MATCH('Cash Balance'!E$3,Acc_Char!$B$1:$I$1,0),0)</f>
        <v>VND</v>
      </c>
      <c r="F132" s="1094" t="e">
        <f>VLOOKUP(C132,'Cash balance (BS)'!A:C,3,)</f>
        <v>#N/A</v>
      </c>
      <c r="G132" s="1157" t="e">
        <f>F132-H132</f>
        <v>#N/A</v>
      </c>
      <c r="H132" s="1318">
        <f>SUMIFS('Cash balance (Prior period)'!F:F,'Cash balance (Prior period)'!C:C,Table11[[#This Row],[ACCOUNT NUMBER]],'Cash balance (Prior period)'!E:E,Table11[[#This Row],[CURRENCY]])</f>
        <v>3025156654</v>
      </c>
      <c r="I132" s="1318">
        <f>SUMIFS(Movement!$F$4:$F$2136,Movement!$M$4:$M$2136,"VND",Movement!$C$4:$C$2136,Table11[[#This Row],[ACCOUNT NUMBER]],Movement!$J$4:$J$2136,Table11[[#This Row],[ENTITY]],Movement!$O$4:$O$2136,'Cash Balance'!$A$2)</f>
        <v>9073973</v>
      </c>
      <c r="J132" s="1318">
        <f>SUMIFS(Movement!$G$4:$G$2136,Movement!$M$4:$M$2136,"VND",Movement!$C$4:$C$2136,Table11[[#This Row],[ACCOUNT NUMBER]],Movement!$J$4:$J$2136,Table11[[#This Row],[ENTITY]],Movement!$O$4:$O$2136,'Cash Balance'!$A$2)</f>
        <v>0</v>
      </c>
      <c r="K132" s="1084">
        <f>Table11[[#This Row],[CASH IN - CREDIT (VND)]]-Table11[[#This Row],[CASH OUT - DEBIT (VND)]]</f>
        <v>9073973</v>
      </c>
      <c r="L132" s="1095">
        <f t="shared" si="13"/>
        <v>3034230627</v>
      </c>
      <c r="M132" s="1184" t="e">
        <f>VLOOKUP(C132,'Cash balance (BS)'!A:D,4,)</f>
        <v>#N/A</v>
      </c>
      <c r="N132" s="1095" t="e">
        <f>Table11[[#This Row],[CLOSING BALANCE (VND)2]]-Table11[[#This Row],[CB_BS (VND)]]</f>
        <v>#N/A</v>
      </c>
      <c r="O132" s="1094">
        <v>0</v>
      </c>
      <c r="P132" s="1095">
        <f t="shared" si="14"/>
        <v>0</v>
      </c>
      <c r="Q132" s="817">
        <f>SUMIFS('Cash balance (Prior period)'!G:G,'Cash balance (Prior period)'!C:C,Table11[[#This Row],[ACCOUNT NUMBER]],'Cash balance (Prior period)'!E:E,Table11[[#This Row],[CURRENCY]])</f>
        <v>0</v>
      </c>
      <c r="R132" s="817">
        <f>SUMIFS(Movement!$F$4:$F$2136,Movement!$M$4:$M$2136,"USD",Movement!$C$4:$C$2136,Table11[[#This Row],[ACCOUNT NUMBER]],Movement!$J$4:$J$2136,Table11[[#This Row],[ENTITY]],Movement!$O$4:$O$2136,'Cash Balance'!$A$2)</f>
        <v>0</v>
      </c>
      <c r="S132" s="817">
        <f>SUMIFS(Movement!$G$4:$G$2136,Movement!$M$4:$M$2136,"USD",Movement!$C$4:$C$2136,Table11[[#This Row],[ACCOUNT NUMBER]],Movement!$J$4:$J$2136,Table11[[#This Row],[ENTITY]],Movement!$O$4:$O$2136,'Cash Balance'!$A$2)</f>
        <v>0</v>
      </c>
      <c r="T132" s="1087">
        <f t="shared" si="15"/>
        <v>0</v>
      </c>
      <c r="U132" s="817"/>
      <c r="V132" s="817">
        <f>Table11[[#This Row],[CLOSING BALANCE (USD)]]-Table11[[#This Row],[CB_BS (USD)]]</f>
        <v>0</v>
      </c>
      <c r="W132" s="1156" t="str">
        <f>VLOOKUP('Cash Balance'!$C132,Table2[#All],MATCH('Cash Balance'!W$3,Acc_Char!$B$1:$I$1,0),0)</f>
        <v>Subsidiaries</v>
      </c>
      <c r="X132" s="1156" t="str">
        <f>VLOOKUP(IFERROR(MID($Y132,1,FIND("-",$Y132)-2),$Y132),Table3[#All],2,0)</f>
        <v>VTB</v>
      </c>
      <c r="Y132" s="1156" t="str">
        <f>VLOOKUP($B132,Table4[#All],2,0)</f>
        <v>VIETINBANK - TIEN SON</v>
      </c>
      <c r="Z132" s="1151"/>
      <c r="AA132" s="49"/>
      <c r="AE132" s="818">
        <f>SUM(Table11[[#This Row],[CASH IN - CREDIT (VND)]],Table11[[#This Row],[CASH IN - CREDIT (USD)]])</f>
        <v>9073973</v>
      </c>
      <c r="AF132" s="818">
        <f>Table11[[#This Row],[CASH OUT - DEBIT (VND)]]+Table11[[#This Row],[CASH OUT - DEBIT (USD)]]</f>
        <v>0</v>
      </c>
      <c r="AH132" s="1158"/>
      <c r="AI132" s="49"/>
      <c r="AJ132" s="1158"/>
      <c r="AL132"/>
      <c r="AM132"/>
    </row>
    <row r="133" spans="1:39" ht="14.4">
      <c r="A133" s="1153" t="str">
        <f>VLOOKUP('Cash Balance'!$C133,Table2[#All],MATCH('Cash Balance'!A$3,Acc_Char!$B$1:$I$1,0),0)</f>
        <v>SPV4E</v>
      </c>
      <c r="B133" s="1154" t="str">
        <f>VLOOKUP('Cash Balance'!$C133,Table2[#All],MATCH('Cash Balance'!B$3,Acc_Char!$B$1:$I$1,0),0)</f>
        <v>VIETINBANK - TIEN SON</v>
      </c>
      <c r="C133" s="1156" t="s">
        <v>636</v>
      </c>
      <c r="D133" s="1156" t="str">
        <f>VLOOKUP('Cash Balance'!$C133,Table2[#All],MATCH('Cash Balance'!D$3,Acc_Char!$B$1:$I$1,0),0)</f>
        <v>Current Account</v>
      </c>
      <c r="E133" s="384" t="str">
        <f>VLOOKUP('Cash Balance'!$C133,Table2[#All],MATCH('Cash Balance'!E$3,Acc_Char!$B$1:$I$1,0),0)</f>
        <v>USD</v>
      </c>
      <c r="F133" s="1094"/>
      <c r="G133" s="1157"/>
      <c r="H133" s="1318">
        <f>SUMIFS('Cash balance (Prior period)'!F:F,'Cash balance (Prior period)'!C:C,Table11[[#This Row],[ACCOUNT NUMBER]],'Cash balance (Prior period)'!E:E,Table11[[#This Row],[CURRENCY]])</f>
        <v>0</v>
      </c>
      <c r="I133" s="1318">
        <f>SUMIFS(Movement!$F$4:$F$2136,Movement!$M$4:$M$2136,"VND",Movement!$C$4:$C$2136,Table11[[#This Row],[ACCOUNT NUMBER]],Movement!$J$4:$J$2136,Table11[[#This Row],[ENTITY]],Movement!$O$4:$O$2136,'Cash Balance'!$A$2)</f>
        <v>0</v>
      </c>
      <c r="J133" s="1318">
        <f>SUMIFS(Movement!$G$4:$G$2136,Movement!$M$4:$M$2136,"VND",Movement!$C$4:$C$2136,Table11[[#This Row],[ACCOUNT NUMBER]],Movement!$J$4:$J$2136,Table11[[#This Row],[ENTITY]],Movement!$O$4:$O$2136,'Cash Balance'!$A$2)</f>
        <v>0</v>
      </c>
      <c r="K133" s="1084">
        <f>Table11[[#This Row],[CASH IN - CREDIT (VND)]]-Table11[[#This Row],[CASH OUT - DEBIT (VND)]]</f>
        <v>0</v>
      </c>
      <c r="L133" s="1095">
        <f t="shared" si="13"/>
        <v>0</v>
      </c>
      <c r="M133" s="1184" t="e">
        <f>VLOOKUP(C133,'Cash balance (BS)'!A:D,4,)</f>
        <v>#N/A</v>
      </c>
      <c r="N133" s="1095" t="e">
        <f>Table11[[#This Row],[CLOSING BALANCE (VND)2]]-Table11[[#This Row],[CB_BS (VND)]]</f>
        <v>#N/A</v>
      </c>
      <c r="O133" s="1094">
        <v>0</v>
      </c>
      <c r="P133" s="1095">
        <f t="shared" si="14"/>
        <v>-176.18</v>
      </c>
      <c r="Q133" s="817">
        <f>SUMIFS('Cash balance (Prior period)'!G:G,'Cash balance (Prior period)'!C:C,Table11[[#This Row],[ACCOUNT NUMBER]],'Cash balance (Prior period)'!E:E,Table11[[#This Row],[CURRENCY]])</f>
        <v>176.18</v>
      </c>
      <c r="R133" s="817">
        <f>SUMIFS(Movement!$F$4:$F$2136,Movement!$M$4:$M$2136,"USD",Movement!$C$4:$C$2136,Table11[[#This Row],[ACCOUNT NUMBER]],Movement!$J$4:$J$2136,Table11[[#This Row],[ENTITY]],Movement!$O$4:$O$2136,'Cash Balance'!$A$2)</f>
        <v>0</v>
      </c>
      <c r="S133" s="817">
        <f>SUMIFS(Movement!$G$4:$G$2136,Movement!$M$4:$M$2136,"USD",Movement!$C$4:$C$2136,Table11[[#This Row],[ACCOUNT NUMBER]],Movement!$J$4:$J$2136,Table11[[#This Row],[ENTITY]],Movement!$O$4:$O$2136,'Cash Balance'!$A$2)</f>
        <v>0</v>
      </c>
      <c r="T133" s="1087">
        <f t="shared" si="15"/>
        <v>176.18</v>
      </c>
      <c r="U133" s="817" t="e">
        <f>VLOOKUP(C133,'Cash balance (BS)'!A:D,4,)</f>
        <v>#N/A</v>
      </c>
      <c r="V133" s="817" t="e">
        <f>Table11[[#This Row],[CLOSING BALANCE (USD)]]-Table11[[#This Row],[CB_BS (USD)]]</f>
        <v>#N/A</v>
      </c>
      <c r="W133" s="1156" t="str">
        <f>VLOOKUP('Cash Balance'!$C133,Table2[#All],MATCH('Cash Balance'!W$3,Acc_Char!$B$1:$I$1,0),0)</f>
        <v>Subsidiaries</v>
      </c>
      <c r="X133" s="1156" t="str">
        <f>VLOOKUP(IFERROR(MID($Y133,1,FIND("-",$Y133)-2),$Y133),Table3[#All],2,0)</f>
        <v>VTB</v>
      </c>
      <c r="Y133" s="1156" t="str">
        <f>VLOOKUP($B133,Table4[#All],2,0)</f>
        <v>VIETINBANK - TIEN SON</v>
      </c>
      <c r="Z133" s="1151"/>
      <c r="AA133" s="49"/>
      <c r="AE133" s="818">
        <f>SUM(Table11[[#This Row],[CASH IN - CREDIT (VND)]],Table11[[#This Row],[CASH IN - CREDIT (USD)]])</f>
        <v>0</v>
      </c>
      <c r="AF133" s="818">
        <f>Table11[[#This Row],[CASH OUT - DEBIT (VND)]]+Table11[[#This Row],[CASH OUT - DEBIT (USD)]]</f>
        <v>0</v>
      </c>
      <c r="AH133" s="1158"/>
      <c r="AI133" s="49"/>
      <c r="AJ133" s="1158"/>
      <c r="AL133"/>
      <c r="AM133"/>
    </row>
    <row r="134" spans="1:39" ht="14.4">
      <c r="A134" s="1153" t="str">
        <f>VLOOKUP('Cash Balance'!$C134,Table2[#All],MATCH('Cash Balance'!A$3,Acc_Char!$B$1:$I$1,0),0)</f>
        <v>SPV4E</v>
      </c>
      <c r="B134" s="1154" t="str">
        <f>VLOOKUP('Cash Balance'!$C134,Table2[#All],MATCH('Cash Balance'!B$3,Acc_Char!$B$1:$I$1,0),0)</f>
        <v>VIETINBANK - TIEN SON</v>
      </c>
      <c r="C134" s="1156" t="s">
        <v>637</v>
      </c>
      <c r="D134" s="1156" t="str">
        <f>VLOOKUP('Cash Balance'!$C134,Table2[#All],MATCH('Cash Balance'!D$3,Acc_Char!$B$1:$I$1,0),0)</f>
        <v>Capital Account</v>
      </c>
      <c r="E134" s="384" t="str">
        <f>VLOOKUP('Cash Balance'!$C134,Table2[#All],MATCH('Cash Balance'!E$3,Acc_Char!$B$1:$I$1,0),0)</f>
        <v>USD</v>
      </c>
      <c r="F134" s="1094"/>
      <c r="G134" s="1157"/>
      <c r="H134" s="1318">
        <f>SUMIFS('Cash balance (Prior period)'!F:F,'Cash balance (Prior period)'!C:C,Table11[[#This Row],[ACCOUNT NUMBER]],'Cash balance (Prior period)'!E:E,Table11[[#This Row],[CURRENCY]])</f>
        <v>0</v>
      </c>
      <c r="I134" s="1318">
        <f>SUMIFS(Movement!$F$4:$F$2136,Movement!$M$4:$M$2136,"VND",Movement!$C$4:$C$2136,Table11[[#This Row],[ACCOUNT NUMBER]],Movement!$J$4:$J$2136,Table11[[#This Row],[ENTITY]],Movement!$O$4:$O$2136,'Cash Balance'!$A$2)</f>
        <v>0</v>
      </c>
      <c r="J134" s="1318">
        <f>SUMIFS(Movement!$G$4:$G$2136,Movement!$M$4:$M$2136,"VND",Movement!$C$4:$C$2136,Table11[[#This Row],[ACCOUNT NUMBER]],Movement!$J$4:$J$2136,Table11[[#This Row],[ENTITY]],Movement!$O$4:$O$2136,'Cash Balance'!$A$2)</f>
        <v>0</v>
      </c>
      <c r="K134" s="1084">
        <f>Table11[[#This Row],[CASH IN - CREDIT (VND)]]-Table11[[#This Row],[CASH OUT - DEBIT (VND)]]</f>
        <v>0</v>
      </c>
      <c r="L134" s="1095">
        <f t="shared" si="13"/>
        <v>0</v>
      </c>
      <c r="M134" s="1184" t="e">
        <f>VLOOKUP(C134,'Cash balance (BS)'!A:D,4,)</f>
        <v>#N/A</v>
      </c>
      <c r="N134" s="1095" t="e">
        <f>Table11[[#This Row],[CLOSING BALANCE (VND)2]]-Table11[[#This Row],[CB_BS (VND)]]</f>
        <v>#N/A</v>
      </c>
      <c r="O134" s="1094">
        <v>0</v>
      </c>
      <c r="P134" s="1095">
        <f t="shared" si="14"/>
        <v>0</v>
      </c>
      <c r="Q134" s="817">
        <f>SUMIFS('Cash balance (Prior period)'!G:G,'Cash balance (Prior period)'!C:C,Table11[[#This Row],[ACCOUNT NUMBER]],'Cash balance (Prior period)'!E:E,Table11[[#This Row],[CURRENCY]])</f>
        <v>0</v>
      </c>
      <c r="R134" s="817">
        <f>SUMIFS(Movement!$F$4:$F$2136,Movement!$M$4:$M$2136,"USD",Movement!$C$4:$C$2136,Table11[[#This Row],[ACCOUNT NUMBER]],Movement!$J$4:$J$2136,Table11[[#This Row],[ENTITY]],Movement!$O$4:$O$2136,'Cash Balance'!$A$2)</f>
        <v>0</v>
      </c>
      <c r="S134" s="817">
        <f>SUMIFS(Movement!$G$4:$G$2136,Movement!$M$4:$M$2136,"USD",Movement!$C$4:$C$2136,Table11[[#This Row],[ACCOUNT NUMBER]],Movement!$J$4:$J$2136,Table11[[#This Row],[ENTITY]],Movement!$O$4:$O$2136,'Cash Balance'!$A$2)</f>
        <v>0</v>
      </c>
      <c r="T134" s="1087">
        <f t="shared" si="15"/>
        <v>0</v>
      </c>
      <c r="U134" s="817" t="e">
        <f>VLOOKUP(C134,'Cash balance (BS)'!A:D,4,)</f>
        <v>#N/A</v>
      </c>
      <c r="V134" s="817" t="e">
        <f>Table11[[#This Row],[CLOSING BALANCE (USD)]]-Table11[[#This Row],[CB_BS (USD)]]</f>
        <v>#N/A</v>
      </c>
      <c r="W134" s="1156" t="str">
        <f>VLOOKUP('Cash Balance'!$C134,Table2[#All],MATCH('Cash Balance'!W$3,Acc_Char!$B$1:$I$1,0),0)</f>
        <v>Subsidiaries</v>
      </c>
      <c r="X134" s="1156" t="str">
        <f>VLOOKUP(IFERROR(MID($Y134,1,FIND("-",$Y134)-2),$Y134),Table3[#All],2,0)</f>
        <v>VTB</v>
      </c>
      <c r="Y134" s="1156" t="str">
        <f>VLOOKUP($B134,Table4[#All],2,0)</f>
        <v>VIETINBANK - TIEN SON</v>
      </c>
      <c r="Z134" s="1151"/>
      <c r="AA134" s="49"/>
      <c r="AE134" s="818">
        <f>SUM(Table11[[#This Row],[CASH IN - CREDIT (VND)]],Table11[[#This Row],[CASH IN - CREDIT (USD)]])</f>
        <v>0</v>
      </c>
      <c r="AF134" s="818">
        <f>Table11[[#This Row],[CASH OUT - DEBIT (VND)]]+Table11[[#This Row],[CASH OUT - DEBIT (USD)]]</f>
        <v>0</v>
      </c>
      <c r="AH134" s="1158"/>
      <c r="AI134" s="49"/>
      <c r="AJ134" s="1158"/>
      <c r="AL134"/>
      <c r="AM134"/>
    </row>
    <row r="135" spans="1:39" ht="14.4">
      <c r="A135" s="1153" t="str">
        <f>VLOOKUP('Cash Balance'!$C135,Table2[#All],MATCH('Cash Balance'!A$3,Acc_Char!$B$1:$I$1,0),0)</f>
        <v>SPV5A</v>
      </c>
      <c r="B135" s="1154" t="str">
        <f>VLOOKUP('Cash Balance'!$C135,Table2[#All],MATCH('Cash Balance'!B$3,Acc_Char!$B$1:$I$1,0),0)</f>
        <v>VIETINBANK - TIEN SON</v>
      </c>
      <c r="C135" s="1156" t="s">
        <v>639</v>
      </c>
      <c r="D135" s="1156" t="str">
        <f>VLOOKUP('Cash Balance'!$C135,Table2[#All],MATCH('Cash Balance'!D$3,Acc_Char!$B$1:$I$1,0),0)</f>
        <v>Current Account</v>
      </c>
      <c r="E135" s="384" t="str">
        <f>VLOOKUP('Cash Balance'!$C135,Table2[#All],MATCH('Cash Balance'!E$3,Acc_Char!$B$1:$I$1,0),0)</f>
        <v>VND</v>
      </c>
      <c r="F135" s="1094" t="e">
        <f>VLOOKUP(C135,'Cash balance (BS)'!A:C,3,)</f>
        <v>#N/A</v>
      </c>
      <c r="G135" s="1157" t="e">
        <f>F135-H135</f>
        <v>#N/A</v>
      </c>
      <c r="H135" s="1318">
        <f>SUMIFS('Cash balance (Prior period)'!F:F,'Cash balance (Prior period)'!C:C,Table11[[#This Row],[ACCOUNT NUMBER]],'Cash balance (Prior period)'!E:E,Table11[[#This Row],[CURRENCY]])</f>
        <v>62023630</v>
      </c>
      <c r="I135" s="1318">
        <f>SUMIFS(Movement!$F$4:$F$2136,Movement!$M$4:$M$2136,"VND",Movement!$C$4:$C$2136,Table11[[#This Row],[ACCOUNT NUMBER]],Movement!$J$4:$J$2136,Table11[[#This Row],[ENTITY]],Movement!$O$4:$O$2136,'Cash Balance'!$A$2)</f>
        <v>2268493</v>
      </c>
      <c r="J135" s="1318">
        <f>SUMIFS(Movement!$G$4:$G$2136,Movement!$M$4:$M$2136,"VND",Movement!$C$4:$C$2136,Table11[[#This Row],[ACCOUNT NUMBER]],Movement!$J$4:$J$2136,Table11[[#This Row],[ENTITY]],Movement!$O$4:$O$2136,'Cash Balance'!$A$2)</f>
        <v>0</v>
      </c>
      <c r="K135" s="1084">
        <f>Table11[[#This Row],[CASH IN - CREDIT (VND)]]-Table11[[#This Row],[CASH OUT - DEBIT (VND)]]</f>
        <v>2268493</v>
      </c>
      <c r="L135" s="1095">
        <f t="shared" ref="L135:L198" si="17">H135+I135-J135</f>
        <v>64292123</v>
      </c>
      <c r="M135" s="1184" t="e">
        <f>VLOOKUP(C135,'Cash balance (BS)'!A:D,4,)</f>
        <v>#N/A</v>
      </c>
      <c r="N135" s="1095" t="e">
        <f>Table11[[#This Row],[CLOSING BALANCE (VND)2]]-Table11[[#This Row],[CB_BS (VND)]]</f>
        <v>#N/A</v>
      </c>
      <c r="O135" s="1094">
        <v>0</v>
      </c>
      <c r="P135" s="1095">
        <f t="shared" ref="P135:P198" si="18">O135-Q135</f>
        <v>0</v>
      </c>
      <c r="Q135" s="817">
        <f>SUMIFS('Cash balance (Prior period)'!G:G,'Cash balance (Prior period)'!C:C,Table11[[#This Row],[ACCOUNT NUMBER]],'Cash balance (Prior period)'!E:E,Table11[[#This Row],[CURRENCY]])</f>
        <v>0</v>
      </c>
      <c r="R135" s="817">
        <f>SUMIFS(Movement!$F$4:$F$2136,Movement!$M$4:$M$2136,"USD",Movement!$C$4:$C$2136,Table11[[#This Row],[ACCOUNT NUMBER]],Movement!$J$4:$J$2136,Table11[[#This Row],[ENTITY]],Movement!$O$4:$O$2136,'Cash Balance'!$A$2)</f>
        <v>0</v>
      </c>
      <c r="S135" s="817">
        <f>SUMIFS(Movement!$G$4:$G$2136,Movement!$M$4:$M$2136,"USD",Movement!$C$4:$C$2136,Table11[[#This Row],[ACCOUNT NUMBER]],Movement!$J$4:$J$2136,Table11[[#This Row],[ENTITY]],Movement!$O$4:$O$2136,'Cash Balance'!$A$2)</f>
        <v>0</v>
      </c>
      <c r="T135" s="1087">
        <f t="shared" ref="T135:T198" si="19">Q135+R135-S135</f>
        <v>0</v>
      </c>
      <c r="U135" s="817"/>
      <c r="V135" s="817">
        <f>Table11[[#This Row],[CLOSING BALANCE (USD)]]-Table11[[#This Row],[CB_BS (USD)]]</f>
        <v>0</v>
      </c>
      <c r="W135" s="1156" t="str">
        <f>VLOOKUP('Cash Balance'!$C135,Table2[#All],MATCH('Cash Balance'!W$3,Acc_Char!$B$1:$I$1,0),0)</f>
        <v>Subsidiaries</v>
      </c>
      <c r="X135" s="1156" t="str">
        <f>VLOOKUP(IFERROR(MID($Y135,1,FIND("-",$Y135)-2),$Y135),Table3[#All],2,0)</f>
        <v>VTB</v>
      </c>
      <c r="Y135" s="1156" t="str">
        <f>VLOOKUP($B135,Table4[#All],2,0)</f>
        <v>VIETINBANK - TIEN SON</v>
      </c>
      <c r="Z135" s="1151"/>
      <c r="AA135" s="49"/>
      <c r="AE135" s="818">
        <f>SUM(Table11[[#This Row],[CASH IN - CREDIT (VND)]],Table11[[#This Row],[CASH IN - CREDIT (USD)]])</f>
        <v>2268493</v>
      </c>
      <c r="AF135" s="818">
        <f>Table11[[#This Row],[CASH OUT - DEBIT (VND)]]+Table11[[#This Row],[CASH OUT - DEBIT (USD)]]</f>
        <v>0</v>
      </c>
      <c r="AH135" s="1158"/>
      <c r="AI135" s="49"/>
      <c r="AJ135" s="1158"/>
      <c r="AL135"/>
      <c r="AM135"/>
    </row>
    <row r="136" spans="1:39" ht="14.4">
      <c r="A136" s="1153" t="str">
        <f>VLOOKUP('Cash Balance'!$C136,Table2[#All],MATCH('Cash Balance'!A$3,Acc_Char!$B$1:$I$1,0),0)</f>
        <v>SPV5A</v>
      </c>
      <c r="B136" s="1154" t="str">
        <f>VLOOKUP('Cash Balance'!$C136,Table2[#All],MATCH('Cash Balance'!B$3,Acc_Char!$B$1:$I$1,0),0)</f>
        <v>VIETINBANK - TIEN SON</v>
      </c>
      <c r="C136" s="1156" t="s">
        <v>640</v>
      </c>
      <c r="D136" s="1156" t="str">
        <f>VLOOKUP('Cash Balance'!$C136,Table2[#All],MATCH('Cash Balance'!D$3,Acc_Char!$B$1:$I$1,0),0)</f>
        <v>Current Account</v>
      </c>
      <c r="E136" s="384" t="str">
        <f>VLOOKUP('Cash Balance'!$C136,Table2[#All],MATCH('Cash Balance'!E$3,Acc_Char!$B$1:$I$1,0),0)</f>
        <v>USD</v>
      </c>
      <c r="F136" s="1094"/>
      <c r="G136" s="1157"/>
      <c r="H136" s="1318">
        <f>SUMIFS('Cash balance (Prior period)'!F:F,'Cash balance (Prior period)'!C:C,Table11[[#This Row],[ACCOUNT NUMBER]],'Cash balance (Prior period)'!E:E,Table11[[#This Row],[CURRENCY]])</f>
        <v>0</v>
      </c>
      <c r="I136" s="1318">
        <f>SUMIFS(Movement!$F$4:$F$2136,Movement!$M$4:$M$2136,"VND",Movement!$C$4:$C$2136,Table11[[#This Row],[ACCOUNT NUMBER]],Movement!$J$4:$J$2136,Table11[[#This Row],[ENTITY]],Movement!$O$4:$O$2136,'Cash Balance'!$A$2)</f>
        <v>0</v>
      </c>
      <c r="J136" s="1318">
        <f>SUMIFS(Movement!$G$4:$G$2136,Movement!$M$4:$M$2136,"VND",Movement!$C$4:$C$2136,Table11[[#This Row],[ACCOUNT NUMBER]],Movement!$J$4:$J$2136,Table11[[#This Row],[ENTITY]],Movement!$O$4:$O$2136,'Cash Balance'!$A$2)</f>
        <v>0</v>
      </c>
      <c r="K136" s="1084">
        <f>Table11[[#This Row],[CASH IN - CREDIT (VND)]]-Table11[[#This Row],[CASH OUT - DEBIT (VND)]]</f>
        <v>0</v>
      </c>
      <c r="L136" s="1095">
        <f t="shared" si="17"/>
        <v>0</v>
      </c>
      <c r="M136" s="1184" t="e">
        <f>VLOOKUP(C136,'Cash balance (BS)'!A:D,4,)</f>
        <v>#N/A</v>
      </c>
      <c r="N136" s="1095" t="e">
        <f>Table11[[#This Row],[CLOSING BALANCE (VND)2]]-Table11[[#This Row],[CB_BS (VND)]]</f>
        <v>#N/A</v>
      </c>
      <c r="O136" s="1094">
        <v>0</v>
      </c>
      <c r="P136" s="1095">
        <f t="shared" si="18"/>
        <v>0</v>
      </c>
      <c r="Q136" s="817">
        <f>SUMIFS('Cash balance (Prior period)'!G:G,'Cash balance (Prior period)'!C:C,Table11[[#This Row],[ACCOUNT NUMBER]],'Cash balance (Prior period)'!E:E,Table11[[#This Row],[CURRENCY]])</f>
        <v>0</v>
      </c>
      <c r="R136" s="817">
        <f>SUMIFS(Movement!$F$4:$F$2136,Movement!$M$4:$M$2136,"USD",Movement!$C$4:$C$2136,Table11[[#This Row],[ACCOUNT NUMBER]],Movement!$J$4:$J$2136,Table11[[#This Row],[ENTITY]],Movement!$O$4:$O$2136,'Cash Balance'!$A$2)</f>
        <v>0</v>
      </c>
      <c r="S136" s="817">
        <f>SUMIFS(Movement!$G$4:$G$2136,Movement!$M$4:$M$2136,"USD",Movement!$C$4:$C$2136,Table11[[#This Row],[ACCOUNT NUMBER]],Movement!$J$4:$J$2136,Table11[[#This Row],[ENTITY]],Movement!$O$4:$O$2136,'Cash Balance'!$A$2)</f>
        <v>0</v>
      </c>
      <c r="T136" s="1087">
        <f t="shared" si="19"/>
        <v>0</v>
      </c>
      <c r="U136" s="817" t="e">
        <f>VLOOKUP(C136,'Cash balance (BS)'!A:D,4,)</f>
        <v>#N/A</v>
      </c>
      <c r="V136" s="817" t="e">
        <f>Table11[[#This Row],[CLOSING BALANCE (USD)]]-Table11[[#This Row],[CB_BS (USD)]]</f>
        <v>#N/A</v>
      </c>
      <c r="W136" s="1156" t="str">
        <f>VLOOKUP('Cash Balance'!$C136,Table2[#All],MATCH('Cash Balance'!W$3,Acc_Char!$B$1:$I$1,0),0)</f>
        <v>Subsidiaries</v>
      </c>
      <c r="X136" s="1156" t="str">
        <f>VLOOKUP(IFERROR(MID($Y136,1,FIND("-",$Y136)-2),$Y136),Table3[#All],2,0)</f>
        <v>VTB</v>
      </c>
      <c r="Y136" s="1156" t="str">
        <f>VLOOKUP($B136,Table4[#All],2,0)</f>
        <v>VIETINBANK - TIEN SON</v>
      </c>
      <c r="Z136" s="1151"/>
      <c r="AA136" s="49"/>
      <c r="AE136" s="818">
        <f>SUM(Table11[[#This Row],[CASH IN - CREDIT (VND)]],Table11[[#This Row],[CASH IN - CREDIT (USD)]])</f>
        <v>0</v>
      </c>
      <c r="AF136" s="818">
        <f>Table11[[#This Row],[CASH OUT - DEBIT (VND)]]+Table11[[#This Row],[CASH OUT - DEBIT (USD)]]</f>
        <v>0</v>
      </c>
      <c r="AH136" s="1158"/>
      <c r="AI136" s="49"/>
      <c r="AJ136" s="1158"/>
      <c r="AL136"/>
      <c r="AM136"/>
    </row>
    <row r="137" spans="1:39" ht="14.4">
      <c r="A137" s="1153" t="str">
        <f>VLOOKUP('Cash Balance'!$C137,Table2[#All],MATCH('Cash Balance'!A$3,Acc_Char!$B$1:$I$1,0),0)</f>
        <v>SPV5C</v>
      </c>
      <c r="B137" s="1154" t="str">
        <f>VLOOKUP('Cash Balance'!$C137,Table2[#All],MATCH('Cash Balance'!B$3,Acc_Char!$B$1:$I$1,0),0)</f>
        <v>VIETINBANK - TIEN SON</v>
      </c>
      <c r="C137" s="1156" t="s">
        <v>642</v>
      </c>
      <c r="D137" s="1156" t="str">
        <f>VLOOKUP('Cash Balance'!$C137,Table2[#All],MATCH('Cash Balance'!D$3,Acc_Char!$B$1:$I$1,0),0)</f>
        <v>Current Account</v>
      </c>
      <c r="E137" s="384" t="str">
        <f>VLOOKUP('Cash Balance'!$C137,Table2[#All],MATCH('Cash Balance'!E$3,Acc_Char!$B$1:$I$1,0),0)</f>
        <v>VND</v>
      </c>
      <c r="F137" s="1094" t="e">
        <f>VLOOKUP(C137,'Cash balance (BS)'!A:C,3,)</f>
        <v>#N/A</v>
      </c>
      <c r="G137" s="1157" t="e">
        <f>F137-H137</f>
        <v>#N/A</v>
      </c>
      <c r="H137" s="1318">
        <f>SUMIFS('Cash balance (Prior period)'!F:F,'Cash balance (Prior period)'!C:C,Table11[[#This Row],[ACCOUNT NUMBER]],'Cash balance (Prior period)'!E:E,Table11[[#This Row],[CURRENCY]])</f>
        <v>4640123</v>
      </c>
      <c r="I137" s="1318">
        <f>SUMIFS(Movement!$F$4:$F$2136,Movement!$M$4:$M$2136,"VND",Movement!$C$4:$C$2136,Table11[[#This Row],[ACCOUNT NUMBER]],Movement!$J$4:$J$2136,Table11[[#This Row],[ENTITY]],Movement!$O$4:$O$2136,'Cash Balance'!$A$2)</f>
        <v>0</v>
      </c>
      <c r="J137" s="1318">
        <f>SUMIFS(Movement!$G$4:$G$2136,Movement!$M$4:$M$2136,"VND",Movement!$C$4:$C$2136,Table11[[#This Row],[ACCOUNT NUMBER]],Movement!$J$4:$J$2136,Table11[[#This Row],[ENTITY]],Movement!$O$4:$O$2136,'Cash Balance'!$A$2)</f>
        <v>0</v>
      </c>
      <c r="K137" s="1084">
        <f>Table11[[#This Row],[CASH IN - CREDIT (VND)]]-Table11[[#This Row],[CASH OUT - DEBIT (VND)]]</f>
        <v>0</v>
      </c>
      <c r="L137" s="1095">
        <f t="shared" si="17"/>
        <v>4640123</v>
      </c>
      <c r="M137" s="1184" t="e">
        <f>VLOOKUP(C137,'Cash balance (BS)'!A:D,4,)</f>
        <v>#N/A</v>
      </c>
      <c r="N137" s="1095" t="e">
        <f>Table11[[#This Row],[CLOSING BALANCE (VND)2]]-Table11[[#This Row],[CB_BS (VND)]]</f>
        <v>#N/A</v>
      </c>
      <c r="O137" s="1094">
        <v>0</v>
      </c>
      <c r="P137" s="1095">
        <f t="shared" si="18"/>
        <v>0</v>
      </c>
      <c r="Q137" s="817">
        <f>SUMIFS('Cash balance (Prior period)'!G:G,'Cash balance (Prior period)'!C:C,Table11[[#This Row],[ACCOUNT NUMBER]],'Cash balance (Prior period)'!E:E,Table11[[#This Row],[CURRENCY]])</f>
        <v>0</v>
      </c>
      <c r="R137" s="817">
        <f>SUMIFS(Movement!$F$4:$F$2136,Movement!$M$4:$M$2136,"USD",Movement!$C$4:$C$2136,Table11[[#This Row],[ACCOUNT NUMBER]],Movement!$J$4:$J$2136,Table11[[#This Row],[ENTITY]],Movement!$O$4:$O$2136,'Cash Balance'!$A$2)</f>
        <v>0</v>
      </c>
      <c r="S137" s="817">
        <f>SUMIFS(Movement!$G$4:$G$2136,Movement!$M$4:$M$2136,"USD",Movement!$C$4:$C$2136,Table11[[#This Row],[ACCOUNT NUMBER]],Movement!$J$4:$J$2136,Table11[[#This Row],[ENTITY]],Movement!$O$4:$O$2136,'Cash Balance'!$A$2)</f>
        <v>0</v>
      </c>
      <c r="T137" s="1087">
        <f t="shared" si="19"/>
        <v>0</v>
      </c>
      <c r="U137" s="817"/>
      <c r="V137" s="817">
        <f>Table11[[#This Row],[CLOSING BALANCE (USD)]]-Table11[[#This Row],[CB_BS (USD)]]</f>
        <v>0</v>
      </c>
      <c r="W137" s="1156" t="str">
        <f>VLOOKUP('Cash Balance'!$C137,Table2[#All],MATCH('Cash Balance'!W$3,Acc_Char!$B$1:$I$1,0),0)</f>
        <v>Subsidiaries</v>
      </c>
      <c r="X137" s="1156" t="str">
        <f>VLOOKUP(IFERROR(MID($Y137,1,FIND("-",$Y137)-2),$Y137),Table3[#All],2,0)</f>
        <v>VTB</v>
      </c>
      <c r="Y137" s="1156" t="str">
        <f>VLOOKUP($B137,Table4[#All],2,0)</f>
        <v>VIETINBANK - TIEN SON</v>
      </c>
      <c r="Z137" s="1151"/>
      <c r="AA137" s="49"/>
      <c r="AE137" s="818">
        <f>SUM(Table11[[#This Row],[CASH IN - CREDIT (VND)]],Table11[[#This Row],[CASH IN - CREDIT (USD)]])</f>
        <v>0</v>
      </c>
      <c r="AF137" s="818">
        <f>Table11[[#This Row],[CASH OUT - DEBIT (VND)]]+Table11[[#This Row],[CASH OUT - DEBIT (USD)]]</f>
        <v>0</v>
      </c>
      <c r="AH137" s="1158"/>
      <c r="AI137" s="49"/>
      <c r="AJ137" s="1158"/>
      <c r="AL137"/>
      <c r="AM137"/>
    </row>
    <row r="138" spans="1:39" ht="14.4">
      <c r="A138" s="1153" t="str">
        <f>VLOOKUP('Cash Balance'!$C138,Table2[#All],MATCH('Cash Balance'!A$3,Acc_Char!$B$1:$I$1,0),0)</f>
        <v>SPV5C</v>
      </c>
      <c r="B138" s="1154" t="str">
        <f>VLOOKUP('Cash Balance'!$C138,Table2[#All],MATCH('Cash Balance'!B$3,Acc_Char!$B$1:$I$1,0),0)</f>
        <v>VIETINBANK - TIEN SON</v>
      </c>
      <c r="C138" s="1156" t="s">
        <v>643</v>
      </c>
      <c r="D138" s="1156" t="str">
        <f>VLOOKUP('Cash Balance'!$C138,Table2[#All],MATCH('Cash Balance'!D$3,Acc_Char!$B$1:$I$1,0),0)</f>
        <v>Current Account</v>
      </c>
      <c r="E138" s="384" t="str">
        <f>VLOOKUP('Cash Balance'!$C138,Table2[#All],MATCH('Cash Balance'!E$3,Acc_Char!$B$1:$I$1,0),0)</f>
        <v>USD</v>
      </c>
      <c r="F138" s="1094"/>
      <c r="G138" s="1157"/>
      <c r="H138" s="1318">
        <f>SUMIFS('Cash balance (Prior period)'!F:F,'Cash balance (Prior period)'!C:C,Table11[[#This Row],[ACCOUNT NUMBER]],'Cash balance (Prior period)'!E:E,Table11[[#This Row],[CURRENCY]])</f>
        <v>0</v>
      </c>
      <c r="I138" s="1318">
        <f>SUMIFS(Movement!$F$4:$F$2136,Movement!$M$4:$M$2136,"VND",Movement!$C$4:$C$2136,Table11[[#This Row],[ACCOUNT NUMBER]],Movement!$J$4:$J$2136,Table11[[#This Row],[ENTITY]],Movement!$O$4:$O$2136,'Cash Balance'!$A$2)</f>
        <v>0</v>
      </c>
      <c r="J138" s="1318">
        <f>SUMIFS(Movement!$G$4:$G$2136,Movement!$M$4:$M$2136,"VND",Movement!$C$4:$C$2136,Table11[[#This Row],[ACCOUNT NUMBER]],Movement!$J$4:$J$2136,Table11[[#This Row],[ENTITY]],Movement!$O$4:$O$2136,'Cash Balance'!$A$2)</f>
        <v>0</v>
      </c>
      <c r="K138" s="1084">
        <f>Table11[[#This Row],[CASH IN - CREDIT (VND)]]-Table11[[#This Row],[CASH OUT - DEBIT (VND)]]</f>
        <v>0</v>
      </c>
      <c r="L138" s="1095">
        <f t="shared" si="17"/>
        <v>0</v>
      </c>
      <c r="M138" s="1184" t="e">
        <f>VLOOKUP(C138,'Cash balance (BS)'!A:D,4,)</f>
        <v>#N/A</v>
      </c>
      <c r="N138" s="1095" t="e">
        <f>Table11[[#This Row],[CLOSING BALANCE (VND)2]]-Table11[[#This Row],[CB_BS (VND)]]</f>
        <v>#N/A</v>
      </c>
      <c r="O138" s="1094">
        <v>0</v>
      </c>
      <c r="P138" s="1095">
        <f t="shared" si="18"/>
        <v>0</v>
      </c>
      <c r="Q138" s="817">
        <f>SUMIFS('Cash balance (Prior period)'!G:G,'Cash balance (Prior period)'!C:C,Table11[[#This Row],[ACCOUNT NUMBER]],'Cash balance (Prior period)'!E:E,Table11[[#This Row],[CURRENCY]])</f>
        <v>0</v>
      </c>
      <c r="R138" s="817">
        <f>SUMIFS(Movement!$F$4:$F$2136,Movement!$M$4:$M$2136,"USD",Movement!$C$4:$C$2136,Table11[[#This Row],[ACCOUNT NUMBER]],Movement!$J$4:$J$2136,Table11[[#This Row],[ENTITY]],Movement!$O$4:$O$2136,'Cash Balance'!$A$2)</f>
        <v>0</v>
      </c>
      <c r="S138" s="817">
        <f>SUMIFS(Movement!$G$4:$G$2136,Movement!$M$4:$M$2136,"USD",Movement!$C$4:$C$2136,Table11[[#This Row],[ACCOUNT NUMBER]],Movement!$J$4:$J$2136,Table11[[#This Row],[ENTITY]],Movement!$O$4:$O$2136,'Cash Balance'!$A$2)</f>
        <v>0</v>
      </c>
      <c r="T138" s="1087">
        <f t="shared" si="19"/>
        <v>0</v>
      </c>
      <c r="U138" s="817" t="e">
        <f>VLOOKUP(C138,'Cash balance (BS)'!A:D,4,)</f>
        <v>#N/A</v>
      </c>
      <c r="V138" s="817" t="e">
        <f>Table11[[#This Row],[CLOSING BALANCE (USD)]]-Table11[[#This Row],[CB_BS (USD)]]</f>
        <v>#N/A</v>
      </c>
      <c r="W138" s="1156" t="str">
        <f>VLOOKUP('Cash Balance'!$C138,Table2[#All],MATCH('Cash Balance'!W$3,Acc_Char!$B$1:$I$1,0),0)</f>
        <v>Subsidiaries</v>
      </c>
      <c r="X138" s="1156" t="str">
        <f>VLOOKUP(IFERROR(MID($Y138,1,FIND("-",$Y138)-2),$Y138),Table3[#All],2,0)</f>
        <v>VTB</v>
      </c>
      <c r="Y138" s="1156" t="str">
        <f>VLOOKUP($B138,Table4[#All],2,0)</f>
        <v>VIETINBANK - TIEN SON</v>
      </c>
      <c r="Z138" s="1151"/>
      <c r="AA138" s="49"/>
      <c r="AE138" s="818">
        <f>SUM(Table11[[#This Row],[CASH IN - CREDIT (VND)]],Table11[[#This Row],[CASH IN - CREDIT (USD)]])</f>
        <v>0</v>
      </c>
      <c r="AF138" s="818">
        <f>Table11[[#This Row],[CASH OUT - DEBIT (VND)]]+Table11[[#This Row],[CASH OUT - DEBIT (USD)]]</f>
        <v>0</v>
      </c>
      <c r="AH138" s="1158"/>
      <c r="AI138" s="49"/>
      <c r="AJ138" s="1158"/>
      <c r="AL138"/>
      <c r="AM138"/>
    </row>
    <row r="139" spans="1:39" ht="14.4">
      <c r="A139" s="1153" t="str">
        <f>VLOOKUP('Cash Balance'!$C139,Table2[#All],MATCH('Cash Balance'!A$3,Acc_Char!$B$1:$I$1,0),0)</f>
        <v>SPV5C</v>
      </c>
      <c r="B139" s="1154" t="str">
        <f>VLOOKUP('Cash Balance'!$C139,Table2[#All],MATCH('Cash Balance'!B$3,Acc_Char!$B$1:$I$1,0),0)</f>
        <v>OCB - BINH DUONG</v>
      </c>
      <c r="C139" s="1156" t="s">
        <v>644</v>
      </c>
      <c r="D139" s="1156" t="str">
        <f>VLOOKUP('Cash Balance'!$C139,Table2[#All],MATCH('Cash Balance'!D$3,Acc_Char!$B$1:$I$1,0),0)</f>
        <v>Current Account</v>
      </c>
      <c r="E139" s="384" t="str">
        <f>VLOOKUP('Cash Balance'!$C139,Table2[#All],MATCH('Cash Balance'!E$3,Acc_Char!$B$1:$I$1,0),0)</f>
        <v>VND</v>
      </c>
      <c r="F139" s="1094" t="e">
        <f>VLOOKUP(C139,'Cash balance (BS)'!A:C,3,)</f>
        <v>#N/A</v>
      </c>
      <c r="G139" s="1157" t="e">
        <f>F139-H139</f>
        <v>#N/A</v>
      </c>
      <c r="H139" s="1318">
        <f>SUMIFS('Cash balance (Prior period)'!F:F,'Cash balance (Prior period)'!C:C,Table11[[#This Row],[ACCOUNT NUMBER]],'Cash balance (Prior period)'!E:E,Table11[[#This Row],[CURRENCY]])</f>
        <v>3297571</v>
      </c>
      <c r="I139" s="1318">
        <f>SUMIFS(Movement!$F$4:$F$2136,Movement!$M$4:$M$2136,"VND",Movement!$C$4:$C$2136,Table11[[#This Row],[ACCOUNT NUMBER]],Movement!$J$4:$J$2136,Table11[[#This Row],[ENTITY]],Movement!$O$4:$O$2136,'Cash Balance'!$A$2)</f>
        <v>0</v>
      </c>
      <c r="J139" s="1318">
        <f>SUMIFS(Movement!$G$4:$G$2136,Movement!$M$4:$M$2136,"VND",Movement!$C$4:$C$2136,Table11[[#This Row],[ACCOUNT NUMBER]],Movement!$J$4:$J$2136,Table11[[#This Row],[ENTITY]],Movement!$O$4:$O$2136,'Cash Balance'!$A$2)</f>
        <v>0</v>
      </c>
      <c r="K139" s="1084">
        <f>Table11[[#This Row],[CASH IN - CREDIT (VND)]]-Table11[[#This Row],[CASH OUT - DEBIT (VND)]]</f>
        <v>0</v>
      </c>
      <c r="L139" s="1095">
        <f t="shared" si="17"/>
        <v>3297571</v>
      </c>
      <c r="M139" s="1184" t="e">
        <f>VLOOKUP(C139,'Cash balance (BS)'!A:D,4,)</f>
        <v>#N/A</v>
      </c>
      <c r="N139" s="1095" t="e">
        <f>Table11[[#This Row],[CLOSING BALANCE (VND)2]]-Table11[[#This Row],[CB_BS (VND)]]</f>
        <v>#N/A</v>
      </c>
      <c r="O139" s="1094">
        <v>0</v>
      </c>
      <c r="P139" s="1095">
        <f t="shared" si="18"/>
        <v>0</v>
      </c>
      <c r="Q139" s="817">
        <f>SUMIFS('Cash balance (Prior period)'!G:G,'Cash balance (Prior period)'!C:C,Table11[[#This Row],[ACCOUNT NUMBER]],'Cash balance (Prior period)'!E:E,Table11[[#This Row],[CURRENCY]])</f>
        <v>0</v>
      </c>
      <c r="R139" s="817">
        <f>SUMIFS(Movement!$F$4:$F$2136,Movement!$M$4:$M$2136,"USD",Movement!$C$4:$C$2136,Table11[[#This Row],[ACCOUNT NUMBER]],Movement!$J$4:$J$2136,Table11[[#This Row],[ENTITY]],Movement!$O$4:$O$2136,'Cash Balance'!$A$2)</f>
        <v>0</v>
      </c>
      <c r="S139" s="817">
        <f>SUMIFS(Movement!$G$4:$G$2136,Movement!$M$4:$M$2136,"USD",Movement!$C$4:$C$2136,Table11[[#This Row],[ACCOUNT NUMBER]],Movement!$J$4:$J$2136,Table11[[#This Row],[ENTITY]],Movement!$O$4:$O$2136,'Cash Balance'!$A$2)</f>
        <v>0</v>
      </c>
      <c r="T139" s="1087">
        <f t="shared" si="19"/>
        <v>0</v>
      </c>
      <c r="U139" s="817"/>
      <c r="V139" s="817">
        <f>Table11[[#This Row],[CLOSING BALANCE (USD)]]-Table11[[#This Row],[CB_BS (USD)]]</f>
        <v>0</v>
      </c>
      <c r="W139" s="1156" t="str">
        <f>VLOOKUP('Cash Balance'!$C139,Table2[#All],MATCH('Cash Balance'!W$3,Acc_Char!$B$1:$I$1,0),0)</f>
        <v>Subsidiaries</v>
      </c>
      <c r="X139" s="1156" t="str">
        <f>VLOOKUP(IFERROR(MID($Y139,1,FIND("-",$Y139)-2),$Y139),Table3[#All],2,0)</f>
        <v>OCB</v>
      </c>
      <c r="Y139" s="1156" t="str">
        <f>VLOOKUP($B139,Table4[#All],2,0)</f>
        <v>OCB - BINH DUONG</v>
      </c>
      <c r="Z139" s="1151"/>
      <c r="AA139" s="49"/>
      <c r="AE139" s="818">
        <f>SUM(Table11[[#This Row],[CASH IN - CREDIT (VND)]],Table11[[#This Row],[CASH IN - CREDIT (USD)]])</f>
        <v>0</v>
      </c>
      <c r="AF139" s="818">
        <f>Table11[[#This Row],[CASH OUT - DEBIT (VND)]]+Table11[[#This Row],[CASH OUT - DEBIT (USD)]]</f>
        <v>0</v>
      </c>
      <c r="AH139" s="1158"/>
      <c r="AI139" s="49"/>
      <c r="AJ139" s="1158"/>
      <c r="AL139"/>
      <c r="AM139"/>
    </row>
    <row r="140" spans="1:39" ht="14.4">
      <c r="A140" s="1153" t="str">
        <f>VLOOKUP('Cash Balance'!$C140,Table2[#All],MATCH('Cash Balance'!A$3,Acc_Char!$B$1:$I$1,0),0)</f>
        <v>SPV5B</v>
      </c>
      <c r="B140" s="1154" t="str">
        <f>VLOOKUP('Cash Balance'!$C140,Table2[#All],MATCH('Cash Balance'!B$3,Acc_Char!$B$1:$I$1,0),0)</f>
        <v>VIETINBANK - TIEN SON</v>
      </c>
      <c r="C140" s="1156" t="s">
        <v>646</v>
      </c>
      <c r="D140" s="1156" t="str">
        <f>VLOOKUP('Cash Balance'!$C140,Table2[#All],MATCH('Cash Balance'!D$3,Acc_Char!$B$1:$I$1,0),0)</f>
        <v>Current Account</v>
      </c>
      <c r="E140" s="384" t="str">
        <f>VLOOKUP('Cash Balance'!$C140,Table2[#All],MATCH('Cash Balance'!E$3,Acc_Char!$B$1:$I$1,0),0)</f>
        <v>VND</v>
      </c>
      <c r="F140" s="1094" t="e">
        <f>VLOOKUP(C140,'Cash balance (BS)'!A:C,3,)</f>
        <v>#N/A</v>
      </c>
      <c r="G140" s="1157" t="e">
        <f>F140-H140</f>
        <v>#N/A</v>
      </c>
      <c r="H140" s="1318">
        <f>SUMIFS('Cash balance (Prior period)'!F:F,'Cash balance (Prior period)'!C:C,Table11[[#This Row],[ACCOUNT NUMBER]],'Cash balance (Prior period)'!E:E,Table11[[#This Row],[CURRENCY]])</f>
        <v>838745016</v>
      </c>
      <c r="I140" s="1318">
        <f>SUMIFS(Movement!$F$4:$F$2136,Movement!$M$4:$M$2136,"VND",Movement!$C$4:$C$2136,Table11[[#This Row],[ACCOUNT NUMBER]],Movement!$J$4:$J$2136,Table11[[#This Row],[ENTITY]],Movement!$O$4:$O$2136,'Cash Balance'!$A$2)</f>
        <v>0</v>
      </c>
      <c r="J140" s="1318">
        <f>SUMIFS(Movement!$G$4:$G$2136,Movement!$M$4:$M$2136,"VND",Movement!$C$4:$C$2136,Table11[[#This Row],[ACCOUNT NUMBER]],Movement!$J$4:$J$2136,Table11[[#This Row],[ENTITY]],Movement!$O$4:$O$2136,'Cash Balance'!$A$2)</f>
        <v>0</v>
      </c>
      <c r="K140" s="1084">
        <f>Table11[[#This Row],[CASH IN - CREDIT (VND)]]-Table11[[#This Row],[CASH OUT - DEBIT (VND)]]</f>
        <v>0</v>
      </c>
      <c r="L140" s="1095">
        <f t="shared" si="17"/>
        <v>838745016</v>
      </c>
      <c r="M140" s="1184" t="e">
        <f>VLOOKUP(C140,'Cash balance (BS)'!A:D,4,)</f>
        <v>#N/A</v>
      </c>
      <c r="N140" s="1095" t="e">
        <f>Table11[[#This Row],[CLOSING BALANCE (VND)2]]-Table11[[#This Row],[CB_BS (VND)]]</f>
        <v>#N/A</v>
      </c>
      <c r="O140" s="1094">
        <v>0</v>
      </c>
      <c r="P140" s="1095">
        <f t="shared" si="18"/>
        <v>0</v>
      </c>
      <c r="Q140" s="817">
        <f>SUMIFS('Cash balance (Prior period)'!G:G,'Cash balance (Prior period)'!C:C,Table11[[#This Row],[ACCOUNT NUMBER]],'Cash balance (Prior period)'!E:E,Table11[[#This Row],[CURRENCY]])</f>
        <v>0</v>
      </c>
      <c r="R140" s="817">
        <f>SUMIFS(Movement!$F$4:$F$2136,Movement!$M$4:$M$2136,"USD",Movement!$C$4:$C$2136,Table11[[#This Row],[ACCOUNT NUMBER]],Movement!$J$4:$J$2136,Table11[[#This Row],[ENTITY]],Movement!$O$4:$O$2136,'Cash Balance'!$A$2)</f>
        <v>0</v>
      </c>
      <c r="S140" s="817">
        <f>SUMIFS(Movement!$G$4:$G$2136,Movement!$M$4:$M$2136,"USD",Movement!$C$4:$C$2136,Table11[[#This Row],[ACCOUNT NUMBER]],Movement!$J$4:$J$2136,Table11[[#This Row],[ENTITY]],Movement!$O$4:$O$2136,'Cash Balance'!$A$2)</f>
        <v>0</v>
      </c>
      <c r="T140" s="1087">
        <f t="shared" si="19"/>
        <v>0</v>
      </c>
      <c r="U140" s="817"/>
      <c r="V140" s="817">
        <f>Table11[[#This Row],[CLOSING BALANCE (USD)]]-Table11[[#This Row],[CB_BS (USD)]]</f>
        <v>0</v>
      </c>
      <c r="W140" s="1156" t="str">
        <f>VLOOKUP('Cash Balance'!$C140,Table2[#All],MATCH('Cash Balance'!W$3,Acc_Char!$B$1:$I$1,0),0)</f>
        <v>Subsidiaries</v>
      </c>
      <c r="X140" s="1156" t="str">
        <f>VLOOKUP(IFERROR(MID($Y140,1,FIND("-",$Y140)-2),$Y140),Table3[#All],2,0)</f>
        <v>VTB</v>
      </c>
      <c r="Y140" s="1156" t="str">
        <f>VLOOKUP($B140,Table4[#All],2,0)</f>
        <v>VIETINBANK - TIEN SON</v>
      </c>
      <c r="Z140" s="1151"/>
      <c r="AA140" s="49"/>
      <c r="AE140" s="818">
        <f>SUM(Table11[[#This Row],[CASH IN - CREDIT (VND)]],Table11[[#This Row],[CASH IN - CREDIT (USD)]])</f>
        <v>0</v>
      </c>
      <c r="AF140" s="818">
        <f>Table11[[#This Row],[CASH OUT - DEBIT (VND)]]+Table11[[#This Row],[CASH OUT - DEBIT (USD)]]</f>
        <v>0</v>
      </c>
      <c r="AH140" s="1158"/>
      <c r="AI140" s="49"/>
      <c r="AJ140" s="1158"/>
      <c r="AL140"/>
      <c r="AM140"/>
    </row>
    <row r="141" spans="1:39" ht="14.4">
      <c r="A141" s="1153" t="str">
        <f>VLOOKUP('Cash Balance'!$C141,Table2[#All],MATCH('Cash Balance'!A$3,Acc_Char!$B$1:$I$1,0),0)</f>
        <v>SPV5B</v>
      </c>
      <c r="B141" s="1154" t="str">
        <f>VLOOKUP('Cash Balance'!$C141,Table2[#All],MATCH('Cash Balance'!B$3,Acc_Char!$B$1:$I$1,0),0)</f>
        <v>VIETINBANK - TIEN SON</v>
      </c>
      <c r="C141" s="1156" t="s">
        <v>647</v>
      </c>
      <c r="D141" s="1156" t="str">
        <f>VLOOKUP('Cash Balance'!$C141,Table2[#All],MATCH('Cash Balance'!D$3,Acc_Char!$B$1:$I$1,0),0)</f>
        <v>Current Account</v>
      </c>
      <c r="E141" s="384" t="str">
        <f>VLOOKUP('Cash Balance'!$C141,Table2[#All],MATCH('Cash Balance'!E$3,Acc_Char!$B$1:$I$1,0),0)</f>
        <v>USD</v>
      </c>
      <c r="F141" s="1094" t="e">
        <f>VLOOKUP(C141,'Cash balance (BS)'!A:C,3,)</f>
        <v>#N/A</v>
      </c>
      <c r="G141" s="1157" t="e">
        <f>F141-H141</f>
        <v>#N/A</v>
      </c>
      <c r="H141" s="1318">
        <f>SUMIFS('Cash balance (Prior period)'!F:F,'Cash balance (Prior period)'!C:C,Table11[[#This Row],[ACCOUNT NUMBER]],'Cash balance (Prior period)'!E:E,Table11[[#This Row],[CURRENCY]])</f>
        <v>0</v>
      </c>
      <c r="I141" s="1318">
        <f>SUMIFS(Movement!$F$4:$F$2136,Movement!$M$4:$M$2136,"VND",Movement!$C$4:$C$2136,Table11[[#This Row],[ACCOUNT NUMBER]],Movement!$J$4:$J$2136,Table11[[#This Row],[ENTITY]],Movement!$O$4:$O$2136,'Cash Balance'!$A$2)</f>
        <v>0</v>
      </c>
      <c r="J141" s="1318">
        <f>SUMIFS(Movement!$G$4:$G$2136,Movement!$M$4:$M$2136,"VND",Movement!$C$4:$C$2136,Table11[[#This Row],[ACCOUNT NUMBER]],Movement!$J$4:$J$2136,Table11[[#This Row],[ENTITY]],Movement!$O$4:$O$2136,'Cash Balance'!$A$2)</f>
        <v>0</v>
      </c>
      <c r="K141" s="1084">
        <f>Table11[[#This Row],[CASH IN - CREDIT (VND)]]-Table11[[#This Row],[CASH OUT - DEBIT (VND)]]</f>
        <v>0</v>
      </c>
      <c r="L141" s="1095">
        <f t="shared" si="17"/>
        <v>0</v>
      </c>
      <c r="M141" s="1184" t="e">
        <f>VLOOKUP(C141,'Cash balance (BS)'!A:D,4,)</f>
        <v>#N/A</v>
      </c>
      <c r="N141" s="1095" t="e">
        <f>Table11[[#This Row],[CLOSING BALANCE (VND)2]]-Table11[[#This Row],[CB_BS (VND)]]</f>
        <v>#N/A</v>
      </c>
      <c r="O141" s="1094">
        <v>0</v>
      </c>
      <c r="P141" s="1095">
        <f t="shared" si="18"/>
        <v>-338.74</v>
      </c>
      <c r="Q141" s="817">
        <f>SUMIFS('Cash balance (Prior period)'!G:G,'Cash balance (Prior period)'!C:C,Table11[[#This Row],[ACCOUNT NUMBER]],'Cash balance (Prior period)'!E:E,Table11[[#This Row],[CURRENCY]])</f>
        <v>338.74</v>
      </c>
      <c r="R141" s="817">
        <f>SUMIFS(Movement!$F$4:$F$2136,Movement!$M$4:$M$2136,"USD",Movement!$C$4:$C$2136,Table11[[#This Row],[ACCOUNT NUMBER]],Movement!$J$4:$J$2136,Table11[[#This Row],[ENTITY]],Movement!$O$4:$O$2136,'Cash Balance'!$A$2)</f>
        <v>0</v>
      </c>
      <c r="S141" s="817">
        <f>SUMIFS(Movement!$G$4:$G$2136,Movement!$M$4:$M$2136,"USD",Movement!$C$4:$C$2136,Table11[[#This Row],[ACCOUNT NUMBER]],Movement!$J$4:$J$2136,Table11[[#This Row],[ENTITY]],Movement!$O$4:$O$2136,'Cash Balance'!$A$2)</f>
        <v>0</v>
      </c>
      <c r="T141" s="1087">
        <f t="shared" si="19"/>
        <v>338.74</v>
      </c>
      <c r="U141" s="817"/>
      <c r="V141" s="817">
        <f>Table11[[#This Row],[CLOSING BALANCE (USD)]]-Table11[[#This Row],[CB_BS (USD)]]</f>
        <v>338.74</v>
      </c>
      <c r="W141" s="1156" t="str">
        <f>VLOOKUP('Cash Balance'!$C141,Table2[#All],MATCH('Cash Balance'!W$3,Acc_Char!$B$1:$I$1,0),0)</f>
        <v>Subsidiaries</v>
      </c>
      <c r="X141" s="1156" t="str">
        <f>VLOOKUP(IFERROR(MID($Y141,1,FIND("-",$Y141)-2),$Y141),Table3[#All],2,0)</f>
        <v>VTB</v>
      </c>
      <c r="Y141" s="1156" t="str">
        <f>VLOOKUP($B141,Table4[#All],2,0)</f>
        <v>VIETINBANK - TIEN SON</v>
      </c>
      <c r="Z141" s="1151"/>
      <c r="AA141" s="49"/>
      <c r="AE141" s="818">
        <f>SUM(Table11[[#This Row],[CASH IN - CREDIT (VND)]],Table11[[#This Row],[CASH IN - CREDIT (USD)]])</f>
        <v>0</v>
      </c>
      <c r="AF141" s="818">
        <f>Table11[[#This Row],[CASH OUT - DEBIT (VND)]]+Table11[[#This Row],[CASH OUT - DEBIT (USD)]]</f>
        <v>0</v>
      </c>
      <c r="AH141" s="1158"/>
      <c r="AI141" s="49"/>
      <c r="AJ141" s="1158"/>
      <c r="AL141"/>
      <c r="AM141"/>
    </row>
    <row r="142" spans="1:39" ht="14.4">
      <c r="A142" s="1153" t="str">
        <f>VLOOKUP('Cash Balance'!$C142,Table2[#All],MATCH('Cash Balance'!A$3,Acc_Char!$B$1:$I$1,0),0)</f>
        <v>SPV5B</v>
      </c>
      <c r="B142" s="1154" t="str">
        <f>VLOOKUP('Cash Balance'!$C142,Table2[#All],MATCH('Cash Balance'!B$3,Acc_Char!$B$1:$I$1,0),0)</f>
        <v>SINOPAC</v>
      </c>
      <c r="C142" s="1156" t="s">
        <v>648</v>
      </c>
      <c r="D142" s="1156" t="str">
        <f>VLOOKUP('Cash Balance'!$C142,Table2[#All],MATCH('Cash Balance'!D$3,Acc_Char!$B$1:$I$1,0),0)</f>
        <v>Current Account</v>
      </c>
      <c r="E142" s="384" t="str">
        <f>VLOOKUP('Cash Balance'!$C142,Table2[#All],MATCH('Cash Balance'!E$3,Acc_Char!$B$1:$I$1,0),0)</f>
        <v>VND</v>
      </c>
      <c r="F142" s="1094" t="e">
        <f>VLOOKUP(C142,'Cash balance (BS)'!A:C,3,)</f>
        <v>#N/A</v>
      </c>
      <c r="G142" s="1157" t="e">
        <f>F142-H142</f>
        <v>#N/A</v>
      </c>
      <c r="H142" s="1318">
        <f>SUMIFS('Cash balance (Prior period)'!F:F,'Cash balance (Prior period)'!C:C,Table11[[#This Row],[ACCOUNT NUMBER]],'Cash balance (Prior period)'!E:E,Table11[[#This Row],[CURRENCY]])</f>
        <v>63950670</v>
      </c>
      <c r="I142" s="1318">
        <f>SUMIFS(Movement!$F$4:$F$2136,Movement!$M$4:$M$2136,"VND",Movement!$C$4:$C$2136,Table11[[#This Row],[ACCOUNT NUMBER]],Movement!$J$4:$J$2136,Table11[[#This Row],[ENTITY]],Movement!$O$4:$O$2136,'Cash Balance'!$A$2)</f>
        <v>0</v>
      </c>
      <c r="J142" s="1318">
        <f>SUMIFS(Movement!$G$4:$G$2136,Movement!$M$4:$M$2136,"VND",Movement!$C$4:$C$2136,Table11[[#This Row],[ACCOUNT NUMBER]],Movement!$J$4:$J$2136,Table11[[#This Row],[ENTITY]],Movement!$O$4:$O$2136,'Cash Balance'!$A$2)</f>
        <v>0</v>
      </c>
      <c r="K142" s="1084">
        <f>Table11[[#This Row],[CASH IN - CREDIT (VND)]]-Table11[[#This Row],[CASH OUT - DEBIT (VND)]]</f>
        <v>0</v>
      </c>
      <c r="L142" s="1095">
        <f t="shared" si="17"/>
        <v>63950670</v>
      </c>
      <c r="M142" s="1184" t="e">
        <f>VLOOKUP(C142,'Cash balance (BS)'!A:D,4,)</f>
        <v>#N/A</v>
      </c>
      <c r="N142" s="1095" t="e">
        <f>Table11[[#This Row],[CLOSING BALANCE (VND)2]]-Table11[[#This Row],[CB_BS (VND)]]</f>
        <v>#N/A</v>
      </c>
      <c r="O142" s="1094">
        <v>0</v>
      </c>
      <c r="P142" s="1095">
        <f t="shared" si="18"/>
        <v>0</v>
      </c>
      <c r="Q142" s="817">
        <f>SUMIFS('Cash balance (Prior period)'!G:G,'Cash balance (Prior period)'!C:C,Table11[[#This Row],[ACCOUNT NUMBER]],'Cash balance (Prior period)'!E:E,Table11[[#This Row],[CURRENCY]])</f>
        <v>0</v>
      </c>
      <c r="R142" s="817">
        <f>SUMIFS(Movement!$F$4:$F$2136,Movement!$M$4:$M$2136,"USD",Movement!$C$4:$C$2136,Table11[[#This Row],[ACCOUNT NUMBER]],Movement!$J$4:$J$2136,Table11[[#This Row],[ENTITY]],Movement!$O$4:$O$2136,'Cash Balance'!$A$2)</f>
        <v>0</v>
      </c>
      <c r="S142" s="817">
        <f>SUMIFS(Movement!$G$4:$G$2136,Movement!$M$4:$M$2136,"USD",Movement!$C$4:$C$2136,Table11[[#This Row],[ACCOUNT NUMBER]],Movement!$J$4:$J$2136,Table11[[#This Row],[ENTITY]],Movement!$O$4:$O$2136,'Cash Balance'!$A$2)</f>
        <v>0</v>
      </c>
      <c r="T142" s="1087">
        <f t="shared" si="19"/>
        <v>0</v>
      </c>
      <c r="U142" s="817"/>
      <c r="V142" s="817">
        <f>Table11[[#This Row],[CLOSING BALANCE (USD)]]-Table11[[#This Row],[CB_BS (USD)]]</f>
        <v>0</v>
      </c>
      <c r="W142" s="1156" t="str">
        <f>VLOOKUP('Cash Balance'!$C142,Table2[#All],MATCH('Cash Balance'!W$3,Acc_Char!$B$1:$I$1,0),0)</f>
        <v>Subsidiaries</v>
      </c>
      <c r="X142" s="1156" t="str">
        <f>VLOOKUP(IFERROR(MID($Y142,1,FIND("-",$Y142)-2),$Y142),Table3[#All],2,0)</f>
        <v>SNP</v>
      </c>
      <c r="Y142" s="1156" t="str">
        <f>VLOOKUP($B142,Table4[#All],2,0)</f>
        <v>SINOPAC</v>
      </c>
      <c r="Z142" s="1151"/>
      <c r="AA142" s="49"/>
      <c r="AE142" s="818">
        <f>SUM(Table11[[#This Row],[CASH IN - CREDIT (VND)]],Table11[[#This Row],[CASH IN - CREDIT (USD)]])</f>
        <v>0</v>
      </c>
      <c r="AF142" s="818">
        <f>Table11[[#This Row],[CASH OUT - DEBIT (VND)]]+Table11[[#This Row],[CASH OUT - DEBIT (USD)]]</f>
        <v>0</v>
      </c>
      <c r="AH142" s="1158"/>
      <c r="AI142" s="49"/>
      <c r="AJ142" s="1158"/>
      <c r="AL142"/>
      <c r="AM142"/>
    </row>
    <row r="143" spans="1:39" ht="14.4">
      <c r="A143" s="1153" t="str">
        <f>VLOOKUP('Cash Balance'!$C143,Table2[#All],MATCH('Cash Balance'!A$3,Acc_Char!$B$1:$I$1,0),0)</f>
        <v>SPV5B</v>
      </c>
      <c r="B143" s="1154" t="str">
        <f>VLOOKUP('Cash Balance'!$C143,Table2[#All],MATCH('Cash Balance'!B$3,Acc_Char!$B$1:$I$1,0),0)</f>
        <v>SINOPAC</v>
      </c>
      <c r="C143" s="1156" t="s">
        <v>649</v>
      </c>
      <c r="D143" s="1156" t="str">
        <f>VLOOKUP('Cash Balance'!$C143,Table2[#All],MATCH('Cash Balance'!D$3,Acc_Char!$B$1:$I$1,0),0)</f>
        <v>Current Account</v>
      </c>
      <c r="E143" s="384" t="str">
        <f>VLOOKUP('Cash Balance'!$C143,Table2[#All],MATCH('Cash Balance'!E$3,Acc_Char!$B$1:$I$1,0),0)</f>
        <v>USD</v>
      </c>
      <c r="F143" s="1094" t="e">
        <f>VLOOKUP(C143,'Cash balance (BS)'!A:C,3,)</f>
        <v>#N/A</v>
      </c>
      <c r="G143" s="1157" t="e">
        <f>F143-H143</f>
        <v>#N/A</v>
      </c>
      <c r="H143" s="1318">
        <f>SUMIFS('Cash balance (Prior period)'!F:F,'Cash balance (Prior period)'!C:C,Table11[[#This Row],[ACCOUNT NUMBER]],'Cash balance (Prior period)'!E:E,Table11[[#This Row],[CURRENCY]])</f>
        <v>0</v>
      </c>
      <c r="I143" s="1318">
        <f>SUMIFS(Movement!$F$4:$F$2136,Movement!$M$4:$M$2136,"VND",Movement!$C$4:$C$2136,Table11[[#This Row],[ACCOUNT NUMBER]],Movement!$J$4:$J$2136,Table11[[#This Row],[ENTITY]],Movement!$O$4:$O$2136,'Cash Balance'!$A$2)</f>
        <v>0</v>
      </c>
      <c r="J143" s="1318">
        <f>SUMIFS(Movement!$G$4:$G$2136,Movement!$M$4:$M$2136,"VND",Movement!$C$4:$C$2136,Table11[[#This Row],[ACCOUNT NUMBER]],Movement!$J$4:$J$2136,Table11[[#This Row],[ENTITY]],Movement!$O$4:$O$2136,'Cash Balance'!$A$2)</f>
        <v>0</v>
      </c>
      <c r="K143" s="1084">
        <f>Table11[[#This Row],[CASH IN - CREDIT (VND)]]-Table11[[#This Row],[CASH OUT - DEBIT (VND)]]</f>
        <v>0</v>
      </c>
      <c r="L143" s="1095">
        <f t="shared" si="17"/>
        <v>0</v>
      </c>
      <c r="M143" s="1184" t="e">
        <f>VLOOKUP(C143,'Cash balance (BS)'!A:D,4,)</f>
        <v>#N/A</v>
      </c>
      <c r="N143" s="1095" t="e">
        <f>Table11[[#This Row],[CLOSING BALANCE (VND)2]]-Table11[[#This Row],[CB_BS (VND)]]</f>
        <v>#N/A</v>
      </c>
      <c r="O143" s="1094">
        <v>0</v>
      </c>
      <c r="P143" s="1095">
        <f t="shared" si="18"/>
        <v>0</v>
      </c>
      <c r="Q143" s="817">
        <f>SUMIFS('Cash balance (Prior period)'!G:G,'Cash balance (Prior period)'!C:C,Table11[[#This Row],[ACCOUNT NUMBER]],'Cash balance (Prior period)'!E:E,Table11[[#This Row],[CURRENCY]])</f>
        <v>0</v>
      </c>
      <c r="R143" s="817">
        <f>SUMIFS(Movement!$F$4:$F$2136,Movement!$M$4:$M$2136,"USD",Movement!$C$4:$C$2136,Table11[[#This Row],[ACCOUNT NUMBER]],Movement!$J$4:$J$2136,Table11[[#This Row],[ENTITY]],Movement!$O$4:$O$2136,'Cash Balance'!$A$2)</f>
        <v>0</v>
      </c>
      <c r="S143" s="817">
        <f>SUMIFS(Movement!$G$4:$G$2136,Movement!$M$4:$M$2136,"USD",Movement!$C$4:$C$2136,Table11[[#This Row],[ACCOUNT NUMBER]],Movement!$J$4:$J$2136,Table11[[#This Row],[ENTITY]],Movement!$O$4:$O$2136,'Cash Balance'!$A$2)</f>
        <v>0</v>
      </c>
      <c r="T143" s="1087">
        <f t="shared" si="19"/>
        <v>0</v>
      </c>
      <c r="U143" s="817"/>
      <c r="V143" s="817">
        <f>Table11[[#This Row],[CLOSING BALANCE (USD)]]-Table11[[#This Row],[CB_BS (USD)]]</f>
        <v>0</v>
      </c>
      <c r="W143" s="1156" t="str">
        <f>VLOOKUP('Cash Balance'!$C143,Table2[#All],MATCH('Cash Balance'!W$3,Acc_Char!$B$1:$I$1,0),0)</f>
        <v>Subsidiaries</v>
      </c>
      <c r="X143" s="1156" t="str">
        <f>VLOOKUP(IFERROR(MID($Y143,1,FIND("-",$Y143)-2),$Y143),Table3[#All],2,0)</f>
        <v>SNP</v>
      </c>
      <c r="Y143" s="1156" t="str">
        <f>VLOOKUP($B143,Table4[#All],2,0)</f>
        <v>SINOPAC</v>
      </c>
      <c r="Z143" s="1151"/>
      <c r="AA143" s="49"/>
      <c r="AE143" s="818">
        <f>SUM(Table11[[#This Row],[CASH IN - CREDIT (VND)]],Table11[[#This Row],[CASH IN - CREDIT (USD)]])</f>
        <v>0</v>
      </c>
      <c r="AF143" s="818">
        <f>Table11[[#This Row],[CASH OUT - DEBIT (VND)]]+Table11[[#This Row],[CASH OUT - DEBIT (USD)]]</f>
        <v>0</v>
      </c>
      <c r="AH143" s="1158"/>
      <c r="AI143" s="49"/>
      <c r="AJ143" s="1158"/>
      <c r="AL143"/>
      <c r="AM143"/>
    </row>
    <row r="144" spans="1:39" ht="14.4">
      <c r="A144" s="1153" t="str">
        <f>VLOOKUP('Cash Balance'!$C144,Table2[#All],MATCH('Cash Balance'!A$3,Acc_Char!$B$1:$I$1,0),0)</f>
        <v>SPV5B</v>
      </c>
      <c r="B144" s="1154" t="str">
        <f>VLOOKUP('Cash Balance'!$C144,Table2[#All],MATCH('Cash Balance'!B$3,Acc_Char!$B$1:$I$1,0),0)</f>
        <v>SINOPAC</v>
      </c>
      <c r="C144" s="1156" t="s">
        <v>650</v>
      </c>
      <c r="D144" s="1156" t="str">
        <f>VLOOKUP('Cash Balance'!$C144,Table2[#All],MATCH('Cash Balance'!D$3,Acc_Char!$B$1:$I$1,0),0)</f>
        <v>Foreign Loan</v>
      </c>
      <c r="E144" s="384" t="str">
        <f>VLOOKUP('Cash Balance'!$C144,Table2[#All],MATCH('Cash Balance'!E$3,Acc_Char!$B$1:$I$1,0),0)</f>
        <v>USD</v>
      </c>
      <c r="F144" s="1094"/>
      <c r="G144" s="1157"/>
      <c r="H144" s="1318">
        <f>SUMIFS('Cash balance (Prior period)'!F:F,'Cash balance (Prior period)'!C:C,Table11[[#This Row],[ACCOUNT NUMBER]],'Cash balance (Prior period)'!E:E,Table11[[#This Row],[CURRENCY]])</f>
        <v>0</v>
      </c>
      <c r="I144" s="1318">
        <f>SUMIFS(Movement!$F$4:$F$2136,Movement!$M$4:$M$2136,"VND",Movement!$C$4:$C$2136,Table11[[#This Row],[ACCOUNT NUMBER]],Movement!$J$4:$J$2136,Table11[[#This Row],[ENTITY]],Movement!$O$4:$O$2136,'Cash Balance'!$A$2)</f>
        <v>0</v>
      </c>
      <c r="J144" s="1318">
        <f>SUMIFS(Movement!$G$4:$G$2136,Movement!$M$4:$M$2136,"VND",Movement!$C$4:$C$2136,Table11[[#This Row],[ACCOUNT NUMBER]],Movement!$J$4:$J$2136,Table11[[#This Row],[ENTITY]],Movement!$O$4:$O$2136,'Cash Balance'!$A$2)</f>
        <v>0</v>
      </c>
      <c r="K144" s="1084">
        <f>Table11[[#This Row],[CASH IN - CREDIT (VND)]]-Table11[[#This Row],[CASH OUT - DEBIT (VND)]]</f>
        <v>0</v>
      </c>
      <c r="L144" s="1095">
        <f t="shared" si="17"/>
        <v>0</v>
      </c>
      <c r="M144" s="1184" t="e">
        <f>VLOOKUP(C144,'Cash balance (BS)'!A:D,4,)</f>
        <v>#N/A</v>
      </c>
      <c r="N144" s="1095" t="e">
        <f>Table11[[#This Row],[CLOSING BALANCE (VND)2]]-Table11[[#This Row],[CB_BS (VND)]]</f>
        <v>#N/A</v>
      </c>
      <c r="O144" s="1094">
        <v>0</v>
      </c>
      <c r="P144" s="1095">
        <f t="shared" si="18"/>
        <v>0</v>
      </c>
      <c r="Q144" s="817">
        <f>SUMIFS('Cash balance (Prior period)'!G:G,'Cash balance (Prior period)'!C:C,Table11[[#This Row],[ACCOUNT NUMBER]],'Cash balance (Prior period)'!E:E,Table11[[#This Row],[CURRENCY]])</f>
        <v>0</v>
      </c>
      <c r="R144" s="817">
        <f>SUMIFS(Movement!$F$4:$F$2136,Movement!$M$4:$M$2136,"USD",Movement!$C$4:$C$2136,Table11[[#This Row],[ACCOUNT NUMBER]],Movement!$J$4:$J$2136,Table11[[#This Row],[ENTITY]],Movement!$O$4:$O$2136,'Cash Balance'!$A$2)</f>
        <v>0</v>
      </c>
      <c r="S144" s="817">
        <f>SUMIFS(Movement!$G$4:$G$2136,Movement!$M$4:$M$2136,"USD",Movement!$C$4:$C$2136,Table11[[#This Row],[ACCOUNT NUMBER]],Movement!$J$4:$J$2136,Table11[[#This Row],[ENTITY]],Movement!$O$4:$O$2136,'Cash Balance'!$A$2)</f>
        <v>0</v>
      </c>
      <c r="T144" s="1087">
        <f t="shared" si="19"/>
        <v>0</v>
      </c>
      <c r="U144" s="817" t="e">
        <f>VLOOKUP(C144,'Cash balance (BS)'!A:D,4,)</f>
        <v>#N/A</v>
      </c>
      <c r="V144" s="817" t="e">
        <f>Table11[[#This Row],[CLOSING BALANCE (USD)]]-Table11[[#This Row],[CB_BS (USD)]]</f>
        <v>#N/A</v>
      </c>
      <c r="W144" s="1156" t="str">
        <f>VLOOKUP('Cash Balance'!$C144,Table2[#All],MATCH('Cash Balance'!W$3,Acc_Char!$B$1:$I$1,0),0)</f>
        <v>Subsidiaries</v>
      </c>
      <c r="X144" s="1156" t="str">
        <f>VLOOKUP(IFERROR(MID($Y144,1,FIND("-",$Y144)-2),$Y144),Table3[#All],2,0)</f>
        <v>SNP</v>
      </c>
      <c r="Y144" s="1156" t="str">
        <f>VLOOKUP($B144,Table4[#All],2,0)</f>
        <v>SINOPAC</v>
      </c>
      <c r="Z144" s="1151"/>
      <c r="AA144" s="49"/>
      <c r="AE144" s="818">
        <f>SUM(Table11[[#This Row],[CASH IN - CREDIT (VND)]],Table11[[#This Row],[CASH IN - CREDIT (USD)]])</f>
        <v>0</v>
      </c>
      <c r="AF144" s="818">
        <f>Table11[[#This Row],[CASH OUT - DEBIT (VND)]]+Table11[[#This Row],[CASH OUT - DEBIT (USD)]]</f>
        <v>0</v>
      </c>
      <c r="AH144" s="1158"/>
      <c r="AI144" s="49"/>
      <c r="AJ144" s="1158"/>
      <c r="AL144"/>
      <c r="AM144"/>
    </row>
    <row r="145" spans="1:39" ht="14.4">
      <c r="A145" s="1153" t="str">
        <f>VLOOKUP('Cash Balance'!$C145,Table2[#All],MATCH('Cash Balance'!A$3,Acc_Char!$B$1:$I$1,0),0)</f>
        <v>SPV5B</v>
      </c>
      <c r="B145" s="1154" t="str">
        <f>VLOOKUP('Cash Balance'!$C145,Table2[#All],MATCH('Cash Balance'!B$3,Acc_Char!$B$1:$I$1,0),0)</f>
        <v>SINOPAC</v>
      </c>
      <c r="C145" s="1156" t="s">
        <v>651</v>
      </c>
      <c r="D145" s="1156" t="str">
        <f>VLOOKUP('Cash Balance'!$C145,Table2[#All],MATCH('Cash Balance'!D$3,Acc_Char!$B$1:$I$1,0),0)</f>
        <v>Reserve Account</v>
      </c>
      <c r="E145" s="384" t="str">
        <f>VLOOKUP('Cash Balance'!$C145,Table2[#All],MATCH('Cash Balance'!E$3,Acc_Char!$B$1:$I$1,0),0)</f>
        <v>USD</v>
      </c>
      <c r="F145" s="1094"/>
      <c r="G145" s="1157"/>
      <c r="H145" s="1318">
        <f>SUMIFS('Cash balance (Prior period)'!F:F,'Cash balance (Prior period)'!C:C,Table11[[#This Row],[ACCOUNT NUMBER]],'Cash balance (Prior period)'!E:E,Table11[[#This Row],[CURRENCY]])</f>
        <v>0</v>
      </c>
      <c r="I145" s="1318">
        <f>SUMIFS(Movement!$F$4:$F$2136,Movement!$M$4:$M$2136,"VND",Movement!$C$4:$C$2136,Table11[[#This Row],[ACCOUNT NUMBER]],Movement!$J$4:$J$2136,Table11[[#This Row],[ENTITY]],Movement!$O$4:$O$2136,'Cash Balance'!$A$2)</f>
        <v>0</v>
      </c>
      <c r="J145" s="1318">
        <f>SUMIFS(Movement!$G$4:$G$2136,Movement!$M$4:$M$2136,"VND",Movement!$C$4:$C$2136,Table11[[#This Row],[ACCOUNT NUMBER]],Movement!$J$4:$J$2136,Table11[[#This Row],[ENTITY]],Movement!$O$4:$O$2136,'Cash Balance'!$A$2)</f>
        <v>0</v>
      </c>
      <c r="K145" s="1084">
        <f>Table11[[#This Row],[CASH IN - CREDIT (VND)]]-Table11[[#This Row],[CASH OUT - DEBIT (VND)]]</f>
        <v>0</v>
      </c>
      <c r="L145" s="1095">
        <f t="shared" si="17"/>
        <v>0</v>
      </c>
      <c r="M145" s="1184" t="e">
        <f>VLOOKUP(C145,'Cash balance (BS)'!A:D,4,)</f>
        <v>#N/A</v>
      </c>
      <c r="N145" s="1095" t="e">
        <f>Table11[[#This Row],[CLOSING BALANCE (VND)2]]-Table11[[#This Row],[CB_BS (VND)]]</f>
        <v>#N/A</v>
      </c>
      <c r="O145" s="1094">
        <v>0</v>
      </c>
      <c r="P145" s="1095">
        <f t="shared" si="18"/>
        <v>0</v>
      </c>
      <c r="Q145" s="817">
        <f>SUMIFS('Cash balance (Prior period)'!G:G,'Cash balance (Prior period)'!C:C,Table11[[#This Row],[ACCOUNT NUMBER]],'Cash balance (Prior period)'!E:E,Table11[[#This Row],[CURRENCY]])</f>
        <v>0</v>
      </c>
      <c r="R145" s="817">
        <f>SUMIFS(Movement!$F$4:$F$2136,Movement!$M$4:$M$2136,"USD",Movement!$C$4:$C$2136,Table11[[#This Row],[ACCOUNT NUMBER]],Movement!$J$4:$J$2136,Table11[[#This Row],[ENTITY]],Movement!$O$4:$O$2136,'Cash Balance'!$A$2)</f>
        <v>0</v>
      </c>
      <c r="S145" s="817">
        <f>SUMIFS(Movement!$G$4:$G$2136,Movement!$M$4:$M$2136,"USD",Movement!$C$4:$C$2136,Table11[[#This Row],[ACCOUNT NUMBER]],Movement!$J$4:$J$2136,Table11[[#This Row],[ENTITY]],Movement!$O$4:$O$2136,'Cash Balance'!$A$2)</f>
        <v>0</v>
      </c>
      <c r="T145" s="1087">
        <f t="shared" si="19"/>
        <v>0</v>
      </c>
      <c r="U145" s="817" t="e">
        <f>VLOOKUP(C145,'Cash balance (BS)'!A:D,4,)</f>
        <v>#N/A</v>
      </c>
      <c r="V145" s="817" t="e">
        <f>Table11[[#This Row],[CLOSING BALANCE (USD)]]-Table11[[#This Row],[CB_BS (USD)]]</f>
        <v>#N/A</v>
      </c>
      <c r="W145" s="1156" t="str">
        <f>VLOOKUP('Cash Balance'!$C145,Table2[#All],MATCH('Cash Balance'!W$3,Acc_Char!$B$1:$I$1,0),0)</f>
        <v>Subsidiaries</v>
      </c>
      <c r="X145" s="1156" t="str">
        <f>VLOOKUP(IFERROR(MID($Y145,1,FIND("-",$Y145)-2),$Y145),Table3[#All],2,0)</f>
        <v>SNP</v>
      </c>
      <c r="Y145" s="1156" t="str">
        <f>VLOOKUP($B145,Table4[#All],2,0)</f>
        <v>SINOPAC</v>
      </c>
      <c r="Z145" s="1151"/>
      <c r="AA145" s="49"/>
      <c r="AE145" s="818">
        <f>SUM(Table11[[#This Row],[CASH IN - CREDIT (VND)]],Table11[[#This Row],[CASH IN - CREDIT (USD)]])</f>
        <v>0</v>
      </c>
      <c r="AF145" s="818">
        <f>Table11[[#This Row],[CASH OUT - DEBIT (VND)]]+Table11[[#This Row],[CASH OUT - DEBIT (USD)]]</f>
        <v>0</v>
      </c>
      <c r="AH145" s="1158"/>
      <c r="AI145" s="49"/>
      <c r="AJ145" s="1158"/>
      <c r="AL145"/>
      <c r="AM145"/>
    </row>
    <row r="146" spans="1:39" ht="14.4">
      <c r="A146" s="1153" t="str">
        <f>VLOOKUP('Cash Balance'!$C146,Table2[#All],MATCH('Cash Balance'!A$3,Acc_Char!$B$1:$I$1,0),0)</f>
        <v>SPV5B</v>
      </c>
      <c r="B146" s="1154" t="str">
        <f>VLOOKUP('Cash Balance'!$C146,Table2[#All],MATCH('Cash Balance'!B$3,Acc_Char!$B$1:$I$1,0),0)</f>
        <v>SINOPAC</v>
      </c>
      <c r="C146" s="1156" t="s">
        <v>652</v>
      </c>
      <c r="D146" s="1156" t="str">
        <f>VLOOKUP('Cash Balance'!$C146,Table2[#All],MATCH('Cash Balance'!D$3,Acc_Char!$B$1:$I$1,0),0)</f>
        <v>Reserve Account</v>
      </c>
      <c r="E146" s="384" t="str">
        <f>VLOOKUP('Cash Balance'!$C146,Table2[#All],MATCH('Cash Balance'!E$3,Acc_Char!$B$1:$I$1,0),0)</f>
        <v>USD</v>
      </c>
      <c r="F146" s="1094"/>
      <c r="G146" s="1157"/>
      <c r="H146" s="1318">
        <f>SUMIFS('Cash balance (Prior period)'!F:F,'Cash balance (Prior period)'!C:C,Table11[[#This Row],[ACCOUNT NUMBER]],'Cash balance (Prior period)'!E:E,Table11[[#This Row],[CURRENCY]])</f>
        <v>0</v>
      </c>
      <c r="I146" s="1318">
        <f>SUMIFS(Movement!$F$4:$F$2136,Movement!$M$4:$M$2136,"VND",Movement!$C$4:$C$2136,Table11[[#This Row],[ACCOUNT NUMBER]],Movement!$J$4:$J$2136,Table11[[#This Row],[ENTITY]],Movement!$O$4:$O$2136,'Cash Balance'!$A$2)</f>
        <v>0</v>
      </c>
      <c r="J146" s="1318">
        <f>SUMIFS(Movement!$G$4:$G$2136,Movement!$M$4:$M$2136,"VND",Movement!$C$4:$C$2136,Table11[[#This Row],[ACCOUNT NUMBER]],Movement!$J$4:$J$2136,Table11[[#This Row],[ENTITY]],Movement!$O$4:$O$2136,'Cash Balance'!$A$2)</f>
        <v>0</v>
      </c>
      <c r="K146" s="1084">
        <f>Table11[[#This Row],[CASH IN - CREDIT (VND)]]-Table11[[#This Row],[CASH OUT - DEBIT (VND)]]</f>
        <v>0</v>
      </c>
      <c r="L146" s="1095">
        <f t="shared" si="17"/>
        <v>0</v>
      </c>
      <c r="M146" s="1184" t="e">
        <f>VLOOKUP(C146,'Cash balance (BS)'!A:D,4,)</f>
        <v>#N/A</v>
      </c>
      <c r="N146" s="1095" t="e">
        <f>Table11[[#This Row],[CLOSING BALANCE (VND)2]]-Table11[[#This Row],[CB_BS (VND)]]</f>
        <v>#N/A</v>
      </c>
      <c r="O146" s="1094">
        <v>0</v>
      </c>
      <c r="P146" s="1095">
        <f t="shared" si="18"/>
        <v>0</v>
      </c>
      <c r="Q146" s="817">
        <f>SUMIFS('Cash balance (Prior period)'!G:G,'Cash balance (Prior period)'!C:C,Table11[[#This Row],[ACCOUNT NUMBER]],'Cash balance (Prior period)'!E:E,Table11[[#This Row],[CURRENCY]])</f>
        <v>0</v>
      </c>
      <c r="R146" s="817">
        <f>SUMIFS(Movement!$F$4:$F$2136,Movement!$M$4:$M$2136,"USD",Movement!$C$4:$C$2136,Table11[[#This Row],[ACCOUNT NUMBER]],Movement!$J$4:$J$2136,Table11[[#This Row],[ENTITY]],Movement!$O$4:$O$2136,'Cash Balance'!$A$2)</f>
        <v>0</v>
      </c>
      <c r="S146" s="817">
        <f>SUMIFS(Movement!$G$4:$G$2136,Movement!$M$4:$M$2136,"USD",Movement!$C$4:$C$2136,Table11[[#This Row],[ACCOUNT NUMBER]],Movement!$J$4:$J$2136,Table11[[#This Row],[ENTITY]],Movement!$O$4:$O$2136,'Cash Balance'!$A$2)</f>
        <v>0</v>
      </c>
      <c r="T146" s="1087">
        <f t="shared" si="19"/>
        <v>0</v>
      </c>
      <c r="U146" s="817" t="e">
        <f>VLOOKUP(C146,'Cash balance (BS)'!A:D,4,)</f>
        <v>#N/A</v>
      </c>
      <c r="V146" s="817" t="e">
        <f>Table11[[#This Row],[CLOSING BALANCE (USD)]]-Table11[[#This Row],[CB_BS (USD)]]</f>
        <v>#N/A</v>
      </c>
      <c r="W146" s="1156" t="str">
        <f>VLOOKUP('Cash Balance'!$C146,Table2[#All],MATCH('Cash Balance'!W$3,Acc_Char!$B$1:$I$1,0),0)</f>
        <v>Subsidiaries</v>
      </c>
      <c r="X146" s="1156" t="str">
        <f>VLOOKUP(IFERROR(MID($Y146,1,FIND("-",$Y146)-2),$Y146),Table3[#All],2,0)</f>
        <v>SNP</v>
      </c>
      <c r="Y146" s="1156" t="str">
        <f>VLOOKUP($B146,Table4[#All],2,0)</f>
        <v>SINOPAC</v>
      </c>
      <c r="Z146" s="1151"/>
      <c r="AA146" s="49"/>
      <c r="AE146" s="818">
        <f>SUM(Table11[[#This Row],[CASH IN - CREDIT (VND)]],Table11[[#This Row],[CASH IN - CREDIT (USD)]])</f>
        <v>0</v>
      </c>
      <c r="AF146" s="818">
        <f>Table11[[#This Row],[CASH OUT - DEBIT (VND)]]+Table11[[#This Row],[CASH OUT - DEBIT (USD)]]</f>
        <v>0</v>
      </c>
      <c r="AH146" s="1158"/>
      <c r="AI146" s="49"/>
      <c r="AJ146" s="1158"/>
      <c r="AL146"/>
      <c r="AM146"/>
    </row>
    <row r="147" spans="1:39" ht="14.4">
      <c r="A147" s="1153" t="str">
        <f>VLOOKUP('Cash Balance'!$C147,Table2[#All],MATCH('Cash Balance'!A$3,Acc_Char!$B$1:$I$1,0),0)</f>
        <v>SPV5D</v>
      </c>
      <c r="B147" s="1154" t="str">
        <f>VLOOKUP('Cash Balance'!$C147,Table2[#All],MATCH('Cash Balance'!B$3,Acc_Char!$B$1:$I$1,0),0)</f>
        <v>VIETINBANK - TIEN SON</v>
      </c>
      <c r="C147" s="1156" t="s">
        <v>654</v>
      </c>
      <c r="D147" s="1156" t="str">
        <f>VLOOKUP('Cash Balance'!$C147,Table2[#All],MATCH('Cash Balance'!D$3,Acc_Char!$B$1:$I$1,0),0)</f>
        <v>Current Account</v>
      </c>
      <c r="E147" s="384" t="str">
        <f>VLOOKUP('Cash Balance'!$C147,Table2[#All],MATCH('Cash Balance'!E$3,Acc_Char!$B$1:$I$1,0),0)</f>
        <v>VND</v>
      </c>
      <c r="F147" s="1094" t="e">
        <f>VLOOKUP(C147,'Cash balance (BS)'!A:C,3,)</f>
        <v>#N/A</v>
      </c>
      <c r="G147" s="1157" t="e">
        <f>F147-H147</f>
        <v>#N/A</v>
      </c>
      <c r="H147" s="1318">
        <f>SUMIFS('Cash balance (Prior period)'!F:F,'Cash balance (Prior period)'!C:C,Table11[[#This Row],[ACCOUNT NUMBER]],'Cash balance (Prior period)'!E:E,Table11[[#This Row],[CURRENCY]])</f>
        <v>5994124</v>
      </c>
      <c r="I147" s="1318">
        <f>SUMIFS(Movement!$F$4:$F$2136,Movement!$M$4:$M$2136,"VND",Movement!$C$4:$C$2136,Table11[[#This Row],[ACCOUNT NUMBER]],Movement!$J$4:$J$2136,Table11[[#This Row],[ENTITY]],Movement!$O$4:$O$2136,'Cash Balance'!$A$2)</f>
        <v>0</v>
      </c>
      <c r="J147" s="1318">
        <f>SUMIFS(Movement!$G$4:$G$2136,Movement!$M$4:$M$2136,"VND",Movement!$C$4:$C$2136,Table11[[#This Row],[ACCOUNT NUMBER]],Movement!$J$4:$J$2136,Table11[[#This Row],[ENTITY]],Movement!$O$4:$O$2136,'Cash Balance'!$A$2)</f>
        <v>0</v>
      </c>
      <c r="K147" s="1084">
        <f>Table11[[#This Row],[CASH IN - CREDIT (VND)]]-Table11[[#This Row],[CASH OUT - DEBIT (VND)]]</f>
        <v>0</v>
      </c>
      <c r="L147" s="1095">
        <f t="shared" si="17"/>
        <v>5994124</v>
      </c>
      <c r="M147" s="1184" t="e">
        <f>VLOOKUP(C147,'Cash balance (BS)'!A:D,4,)</f>
        <v>#N/A</v>
      </c>
      <c r="N147" s="1095" t="e">
        <f>Table11[[#This Row],[CLOSING BALANCE (VND)2]]-Table11[[#This Row],[CB_BS (VND)]]</f>
        <v>#N/A</v>
      </c>
      <c r="O147" s="1094">
        <v>0</v>
      </c>
      <c r="P147" s="1095">
        <f t="shared" si="18"/>
        <v>0</v>
      </c>
      <c r="Q147" s="817">
        <f>SUMIFS('Cash balance (Prior period)'!G:G,'Cash balance (Prior period)'!C:C,Table11[[#This Row],[ACCOUNT NUMBER]],'Cash balance (Prior period)'!E:E,Table11[[#This Row],[CURRENCY]])</f>
        <v>0</v>
      </c>
      <c r="R147" s="817">
        <f>SUMIFS(Movement!$F$4:$F$2136,Movement!$M$4:$M$2136,"USD",Movement!$C$4:$C$2136,Table11[[#This Row],[ACCOUNT NUMBER]],Movement!$J$4:$J$2136,Table11[[#This Row],[ENTITY]],Movement!$O$4:$O$2136,'Cash Balance'!$A$2)</f>
        <v>0</v>
      </c>
      <c r="S147" s="817">
        <f>SUMIFS(Movement!$G$4:$G$2136,Movement!$M$4:$M$2136,"USD",Movement!$C$4:$C$2136,Table11[[#This Row],[ACCOUNT NUMBER]],Movement!$J$4:$J$2136,Table11[[#This Row],[ENTITY]],Movement!$O$4:$O$2136,'Cash Balance'!$A$2)</f>
        <v>0</v>
      </c>
      <c r="T147" s="1087">
        <f t="shared" si="19"/>
        <v>0</v>
      </c>
      <c r="U147" s="817"/>
      <c r="V147" s="817">
        <f>Table11[[#This Row],[CLOSING BALANCE (USD)]]-Table11[[#This Row],[CB_BS (USD)]]</f>
        <v>0</v>
      </c>
      <c r="W147" s="1156" t="str">
        <f>VLOOKUP('Cash Balance'!$C147,Table2[#All],MATCH('Cash Balance'!W$3,Acc_Char!$B$1:$I$1,0),0)</f>
        <v>Subsidiaries</v>
      </c>
      <c r="X147" s="1156" t="str">
        <f>VLOOKUP(IFERROR(MID($Y147,1,FIND("-",$Y147)-2),$Y147),Table3[#All],2,0)</f>
        <v>VTB</v>
      </c>
      <c r="Y147" s="1156" t="str">
        <f>VLOOKUP($B147,Table4[#All],2,0)</f>
        <v>VIETINBANK - TIEN SON</v>
      </c>
      <c r="Z147" s="1151"/>
      <c r="AA147" s="49"/>
      <c r="AE147" s="818">
        <f>SUM(Table11[[#This Row],[CASH IN - CREDIT (VND)]],Table11[[#This Row],[CASH IN - CREDIT (USD)]])</f>
        <v>0</v>
      </c>
      <c r="AF147" s="818">
        <f>Table11[[#This Row],[CASH OUT - DEBIT (VND)]]+Table11[[#This Row],[CASH OUT - DEBIT (USD)]]</f>
        <v>0</v>
      </c>
      <c r="AH147" s="1158"/>
      <c r="AI147" s="49"/>
      <c r="AJ147" s="1158"/>
      <c r="AL147"/>
      <c r="AM147"/>
    </row>
    <row r="148" spans="1:39" ht="14.4">
      <c r="A148" s="1153" t="str">
        <f>VLOOKUP('Cash Balance'!$C148,Table2[#All],MATCH('Cash Balance'!A$3,Acc_Char!$B$1:$I$1,0),0)</f>
        <v>SPV5D</v>
      </c>
      <c r="B148" s="1154" t="str">
        <f>VLOOKUP('Cash Balance'!$C148,Table2[#All],MATCH('Cash Balance'!B$3,Acc_Char!$B$1:$I$1,0),0)</f>
        <v>VIETINBANK - TIEN SON</v>
      </c>
      <c r="C148" s="1156" t="s">
        <v>655</v>
      </c>
      <c r="D148" s="1156" t="str">
        <f>VLOOKUP('Cash Balance'!$C148,Table2[#All],MATCH('Cash Balance'!D$3,Acc_Char!$B$1:$I$1,0),0)</f>
        <v>Current Account</v>
      </c>
      <c r="E148" s="384" t="str">
        <f>VLOOKUP('Cash Balance'!$C148,Table2[#All],MATCH('Cash Balance'!E$3,Acc_Char!$B$1:$I$1,0),0)</f>
        <v>USD</v>
      </c>
      <c r="F148" s="1094" t="e">
        <f>VLOOKUP(C148,'Cash balance (BS)'!A:C,3,)</f>
        <v>#N/A</v>
      </c>
      <c r="G148" s="1157" t="e">
        <f>F148-H148</f>
        <v>#N/A</v>
      </c>
      <c r="H148" s="1318">
        <f>SUMIFS('Cash balance (Prior period)'!F:F,'Cash balance (Prior period)'!C:C,Table11[[#This Row],[ACCOUNT NUMBER]],'Cash balance (Prior period)'!E:E,Table11[[#This Row],[CURRENCY]])</f>
        <v>0</v>
      </c>
      <c r="I148" s="1318">
        <f>SUMIFS(Movement!$F$4:$F$2136,Movement!$M$4:$M$2136,"VND",Movement!$C$4:$C$2136,Table11[[#This Row],[ACCOUNT NUMBER]],Movement!$J$4:$J$2136,Table11[[#This Row],[ENTITY]],Movement!$O$4:$O$2136,'Cash Balance'!$A$2)</f>
        <v>0</v>
      </c>
      <c r="J148" s="1318">
        <f>SUMIFS(Movement!$G$4:$G$2136,Movement!$M$4:$M$2136,"VND",Movement!$C$4:$C$2136,Table11[[#This Row],[ACCOUNT NUMBER]],Movement!$J$4:$J$2136,Table11[[#This Row],[ENTITY]],Movement!$O$4:$O$2136,'Cash Balance'!$A$2)</f>
        <v>0</v>
      </c>
      <c r="K148" s="1084">
        <f>Table11[[#This Row],[CASH IN - CREDIT (VND)]]-Table11[[#This Row],[CASH OUT - DEBIT (VND)]]</f>
        <v>0</v>
      </c>
      <c r="L148" s="1095">
        <f t="shared" si="17"/>
        <v>0</v>
      </c>
      <c r="M148" s="1184" t="e">
        <f>VLOOKUP(C148,'Cash balance (BS)'!A:D,4,)</f>
        <v>#N/A</v>
      </c>
      <c r="N148" s="1095" t="e">
        <f>Table11[[#This Row],[CLOSING BALANCE (VND)2]]-Table11[[#This Row],[CB_BS (VND)]]</f>
        <v>#N/A</v>
      </c>
      <c r="O148" s="1094">
        <v>0</v>
      </c>
      <c r="P148" s="1095">
        <f t="shared" si="18"/>
        <v>0</v>
      </c>
      <c r="Q148" s="817">
        <f>SUMIFS('Cash balance (Prior period)'!G:G,'Cash balance (Prior period)'!C:C,Table11[[#This Row],[ACCOUNT NUMBER]],'Cash balance (Prior period)'!E:E,Table11[[#This Row],[CURRENCY]])</f>
        <v>0</v>
      </c>
      <c r="R148" s="817">
        <f>SUMIFS(Movement!$F$4:$F$2136,Movement!$M$4:$M$2136,"USD",Movement!$C$4:$C$2136,Table11[[#This Row],[ACCOUNT NUMBER]],Movement!$J$4:$J$2136,Table11[[#This Row],[ENTITY]],Movement!$O$4:$O$2136,'Cash Balance'!$A$2)</f>
        <v>0</v>
      </c>
      <c r="S148" s="817">
        <f>SUMIFS(Movement!$G$4:$G$2136,Movement!$M$4:$M$2136,"USD",Movement!$C$4:$C$2136,Table11[[#This Row],[ACCOUNT NUMBER]],Movement!$J$4:$J$2136,Table11[[#This Row],[ENTITY]],Movement!$O$4:$O$2136,'Cash Balance'!$A$2)</f>
        <v>0</v>
      </c>
      <c r="T148" s="1087">
        <f t="shared" si="19"/>
        <v>0</v>
      </c>
      <c r="U148" s="817"/>
      <c r="V148" s="817">
        <f>Table11[[#This Row],[CLOSING BALANCE (USD)]]-Table11[[#This Row],[CB_BS (USD)]]</f>
        <v>0</v>
      </c>
      <c r="W148" s="1156" t="str">
        <f>VLOOKUP('Cash Balance'!$C148,Table2[#All],MATCH('Cash Balance'!W$3,Acc_Char!$B$1:$I$1,0),0)</f>
        <v>Subsidiaries</v>
      </c>
      <c r="X148" s="1156" t="str">
        <f>VLOOKUP(IFERROR(MID($Y148,1,FIND("-",$Y148)-2),$Y148),Table3[#All],2,0)</f>
        <v>VTB</v>
      </c>
      <c r="Y148" s="1156" t="str">
        <f>VLOOKUP($B148,Table4[#All],2,0)</f>
        <v>VIETINBANK - TIEN SON</v>
      </c>
      <c r="Z148" s="1151"/>
      <c r="AA148" s="49"/>
      <c r="AE148" s="818">
        <f>SUM(Table11[[#This Row],[CASH IN - CREDIT (VND)]],Table11[[#This Row],[CASH IN - CREDIT (USD)]])</f>
        <v>0</v>
      </c>
      <c r="AF148" s="818">
        <f>Table11[[#This Row],[CASH OUT - DEBIT (VND)]]+Table11[[#This Row],[CASH OUT - DEBIT (USD)]]</f>
        <v>0</v>
      </c>
      <c r="AH148" s="1158"/>
      <c r="AI148" s="49"/>
      <c r="AJ148" s="1158"/>
      <c r="AL148"/>
      <c r="AM148"/>
    </row>
    <row r="149" spans="1:39" ht="14.4">
      <c r="A149" s="1153" t="str">
        <f>VLOOKUP('Cash Balance'!$C149,Table2[#All],MATCH('Cash Balance'!A$3,Acc_Char!$B$1:$I$1,0),0)</f>
        <v>SPV5E</v>
      </c>
      <c r="B149" s="1154" t="str">
        <f>VLOOKUP('Cash Balance'!$C149,Table2[#All],MATCH('Cash Balance'!B$3,Acc_Char!$B$1:$I$1,0),0)</f>
        <v>VIETINBANK - TIEN SON</v>
      </c>
      <c r="C149" s="1156" t="s">
        <v>657</v>
      </c>
      <c r="D149" s="1156" t="str">
        <f>VLOOKUP('Cash Balance'!$C149,Table2[#All],MATCH('Cash Balance'!D$3,Acc_Char!$B$1:$I$1,0),0)</f>
        <v>Current Account</v>
      </c>
      <c r="E149" s="384" t="str">
        <f>VLOOKUP('Cash Balance'!$C149,Table2[#All],MATCH('Cash Balance'!E$3,Acc_Char!$B$1:$I$1,0),0)</f>
        <v>VND</v>
      </c>
      <c r="F149" s="1094"/>
      <c r="G149" s="1157"/>
      <c r="H149" s="1318">
        <f>SUMIFS('Cash balance (Prior period)'!F:F,'Cash balance (Prior period)'!C:C,Table11[[#This Row],[ACCOUNT NUMBER]],'Cash balance (Prior period)'!E:E,Table11[[#This Row],[CURRENCY]])</f>
        <v>142859750</v>
      </c>
      <c r="I149" s="1318">
        <f>SUMIFS(Movement!$F$4:$F$2136,Movement!$M$4:$M$2136,"VND",Movement!$C$4:$C$2136,Table11[[#This Row],[ACCOUNT NUMBER]],Movement!$J$4:$J$2136,Table11[[#This Row],[ENTITY]],Movement!$O$4:$O$2136,'Cash Balance'!$A$2)</f>
        <v>0</v>
      </c>
      <c r="J149" s="1318">
        <f>SUMIFS(Movement!$G$4:$G$2136,Movement!$M$4:$M$2136,"VND",Movement!$C$4:$C$2136,Table11[[#This Row],[ACCOUNT NUMBER]],Movement!$J$4:$J$2136,Table11[[#This Row],[ENTITY]],Movement!$O$4:$O$2136,'Cash Balance'!$A$2)</f>
        <v>0</v>
      </c>
      <c r="K149" s="1084">
        <f>Table11[[#This Row],[CASH IN - CREDIT (VND)]]-Table11[[#This Row],[CASH OUT - DEBIT (VND)]]</f>
        <v>0</v>
      </c>
      <c r="L149" s="1095">
        <f t="shared" si="17"/>
        <v>142859750</v>
      </c>
      <c r="M149" s="1184" t="e">
        <f>VLOOKUP(C149,'Cash balance (BS)'!A:D,4,)</f>
        <v>#N/A</v>
      </c>
      <c r="N149" s="1095" t="e">
        <f>Table11[[#This Row],[CLOSING BALANCE (VND)2]]-Table11[[#This Row],[CB_BS (VND)]]</f>
        <v>#N/A</v>
      </c>
      <c r="O149" s="1094">
        <v>0</v>
      </c>
      <c r="P149" s="1095">
        <f t="shared" si="18"/>
        <v>0</v>
      </c>
      <c r="Q149" s="817">
        <f>SUMIFS('Cash balance (Prior period)'!G:G,'Cash balance (Prior period)'!C:C,Table11[[#This Row],[ACCOUNT NUMBER]],'Cash balance (Prior period)'!E:E,Table11[[#This Row],[CURRENCY]])</f>
        <v>0</v>
      </c>
      <c r="R149" s="817">
        <f>SUMIFS(Movement!$F$4:$F$2136,Movement!$M$4:$M$2136,"USD",Movement!$C$4:$C$2136,Table11[[#This Row],[ACCOUNT NUMBER]],Movement!$J$4:$J$2136,Table11[[#This Row],[ENTITY]],Movement!$O$4:$O$2136,'Cash Balance'!$A$2)</f>
        <v>0</v>
      </c>
      <c r="S149" s="817">
        <f>SUMIFS(Movement!$G$4:$G$2136,Movement!$M$4:$M$2136,"USD",Movement!$C$4:$C$2136,Table11[[#This Row],[ACCOUNT NUMBER]],Movement!$J$4:$J$2136,Table11[[#This Row],[ENTITY]],Movement!$O$4:$O$2136,'Cash Balance'!$A$2)</f>
        <v>0</v>
      </c>
      <c r="T149" s="1087">
        <f t="shared" si="19"/>
        <v>0</v>
      </c>
      <c r="U149" s="817" t="e">
        <f>VLOOKUP(C149,'Cash balance (BS)'!A:D,4,)</f>
        <v>#N/A</v>
      </c>
      <c r="V149" s="817" t="e">
        <f>Table11[[#This Row],[CLOSING BALANCE (USD)]]-Table11[[#This Row],[CB_BS (USD)]]</f>
        <v>#N/A</v>
      </c>
      <c r="W149" s="1156" t="str">
        <f>VLOOKUP('Cash Balance'!$C149,Table2[#All],MATCH('Cash Balance'!W$3,Acc_Char!$B$1:$I$1,0),0)</f>
        <v>Subsidiaries</v>
      </c>
      <c r="X149" s="1156" t="str">
        <f>VLOOKUP(IFERROR(MID($Y149,1,FIND("-",$Y149)-2),$Y149),Table3[#All],2,0)</f>
        <v>VTB</v>
      </c>
      <c r="Y149" s="1156" t="str">
        <f>VLOOKUP($B149,Table4[#All],2,0)</f>
        <v>VIETINBANK - TIEN SON</v>
      </c>
      <c r="Z149" s="1151"/>
      <c r="AA149" s="49"/>
      <c r="AE149" s="818">
        <f>SUM(Table11[[#This Row],[CASH IN - CREDIT (VND)]],Table11[[#This Row],[CASH IN - CREDIT (USD)]])</f>
        <v>0</v>
      </c>
      <c r="AF149" s="818">
        <f>Table11[[#This Row],[CASH OUT - DEBIT (VND)]]+Table11[[#This Row],[CASH OUT - DEBIT (USD)]]</f>
        <v>0</v>
      </c>
      <c r="AH149" s="1158"/>
      <c r="AI149" s="49"/>
      <c r="AJ149" s="1158"/>
      <c r="AL149"/>
      <c r="AM149"/>
    </row>
    <row r="150" spans="1:39" ht="14.4">
      <c r="A150" s="1153" t="str">
        <f>VLOOKUP('Cash Balance'!$C150,Table2[#All],MATCH('Cash Balance'!A$3,Acc_Char!$B$1:$I$1,0),0)</f>
        <v>SPV5E</v>
      </c>
      <c r="B150" s="1154" t="str">
        <f>VLOOKUP('Cash Balance'!$C150,Table2[#All],MATCH('Cash Balance'!B$3,Acc_Char!$B$1:$I$1,0),0)</f>
        <v>VIETINBANK - TIEN SON</v>
      </c>
      <c r="C150" s="1156" t="s">
        <v>658</v>
      </c>
      <c r="D150" s="1156" t="str">
        <f>VLOOKUP('Cash Balance'!$C150,Table2[#All],MATCH('Cash Balance'!D$3,Acc_Char!$B$1:$I$1,0),0)</f>
        <v>Current Account</v>
      </c>
      <c r="E150" s="384" t="str">
        <f>VLOOKUP('Cash Balance'!$C150,Table2[#All],MATCH('Cash Balance'!E$3,Acc_Char!$B$1:$I$1,0),0)</f>
        <v>USD</v>
      </c>
      <c r="F150" s="1094"/>
      <c r="G150" s="1157"/>
      <c r="H150" s="1318">
        <f>SUMIFS('Cash balance (Prior period)'!F:F,'Cash balance (Prior period)'!C:C,Table11[[#This Row],[ACCOUNT NUMBER]],'Cash balance (Prior period)'!E:E,Table11[[#This Row],[CURRENCY]])</f>
        <v>0</v>
      </c>
      <c r="I150" s="1318">
        <f>SUMIFS(Movement!$F$4:$F$2136,Movement!$M$4:$M$2136,"VND",Movement!$C$4:$C$2136,Table11[[#This Row],[ACCOUNT NUMBER]],Movement!$J$4:$J$2136,Table11[[#This Row],[ENTITY]],Movement!$O$4:$O$2136,'Cash Balance'!$A$2)</f>
        <v>0</v>
      </c>
      <c r="J150" s="1318">
        <f>SUMIFS(Movement!$G$4:$G$2136,Movement!$M$4:$M$2136,"VND",Movement!$C$4:$C$2136,Table11[[#This Row],[ACCOUNT NUMBER]],Movement!$J$4:$J$2136,Table11[[#This Row],[ENTITY]],Movement!$O$4:$O$2136,'Cash Balance'!$A$2)</f>
        <v>0</v>
      </c>
      <c r="K150" s="1084">
        <f>Table11[[#This Row],[CASH IN - CREDIT (VND)]]-Table11[[#This Row],[CASH OUT - DEBIT (VND)]]</f>
        <v>0</v>
      </c>
      <c r="L150" s="1095">
        <f t="shared" si="17"/>
        <v>0</v>
      </c>
      <c r="M150" s="1184" t="e">
        <f>VLOOKUP(C150,'Cash balance (BS)'!A:D,4,)</f>
        <v>#N/A</v>
      </c>
      <c r="N150" s="1095" t="e">
        <f>Table11[[#This Row],[CLOSING BALANCE (VND)2]]-Table11[[#This Row],[CB_BS (VND)]]</f>
        <v>#N/A</v>
      </c>
      <c r="O150" s="1094">
        <v>0</v>
      </c>
      <c r="P150" s="1095">
        <f t="shared" si="18"/>
        <v>0</v>
      </c>
      <c r="Q150" s="817">
        <f>SUMIFS('Cash balance (Prior period)'!G:G,'Cash balance (Prior period)'!C:C,Table11[[#This Row],[ACCOUNT NUMBER]],'Cash balance (Prior period)'!E:E,Table11[[#This Row],[CURRENCY]])</f>
        <v>0</v>
      </c>
      <c r="R150" s="817">
        <f>SUMIFS(Movement!$F$4:$F$2136,Movement!$M$4:$M$2136,"USD",Movement!$C$4:$C$2136,Table11[[#This Row],[ACCOUNT NUMBER]],Movement!$J$4:$J$2136,Table11[[#This Row],[ENTITY]],Movement!$O$4:$O$2136,'Cash Balance'!$A$2)</f>
        <v>0</v>
      </c>
      <c r="S150" s="817">
        <f>SUMIFS(Movement!$G$4:$G$2136,Movement!$M$4:$M$2136,"USD",Movement!$C$4:$C$2136,Table11[[#This Row],[ACCOUNT NUMBER]],Movement!$J$4:$J$2136,Table11[[#This Row],[ENTITY]],Movement!$O$4:$O$2136,'Cash Balance'!$A$2)</f>
        <v>0</v>
      </c>
      <c r="T150" s="1087">
        <f t="shared" si="19"/>
        <v>0</v>
      </c>
      <c r="U150" s="817" t="e">
        <f>VLOOKUP(C150,'Cash balance (BS)'!A:D,4,)</f>
        <v>#N/A</v>
      </c>
      <c r="V150" s="817" t="e">
        <f>Table11[[#This Row],[CLOSING BALANCE (USD)]]-Table11[[#This Row],[CB_BS (USD)]]</f>
        <v>#N/A</v>
      </c>
      <c r="W150" s="1156" t="str">
        <f>VLOOKUP('Cash Balance'!$C150,Table2[#All],MATCH('Cash Balance'!W$3,Acc_Char!$B$1:$I$1,0),0)</f>
        <v>Subsidiaries</v>
      </c>
      <c r="X150" s="1156" t="str">
        <f>VLOOKUP(IFERROR(MID($Y150,1,FIND("-",$Y150)-2),$Y150),Table3[#All],2,0)</f>
        <v>VTB</v>
      </c>
      <c r="Y150" s="1156" t="str">
        <f>VLOOKUP($B150,Table4[#All],2,0)</f>
        <v>VIETINBANK - TIEN SON</v>
      </c>
      <c r="Z150" s="1151"/>
      <c r="AA150" s="49"/>
      <c r="AE150" s="818">
        <f>SUM(Table11[[#This Row],[CASH IN - CREDIT (VND)]],Table11[[#This Row],[CASH IN - CREDIT (USD)]])</f>
        <v>0</v>
      </c>
      <c r="AF150" s="818">
        <f>Table11[[#This Row],[CASH OUT - DEBIT (VND)]]+Table11[[#This Row],[CASH OUT - DEBIT (USD)]]</f>
        <v>0</v>
      </c>
      <c r="AH150" s="1158"/>
      <c r="AI150" s="49"/>
      <c r="AJ150" s="1158"/>
      <c r="AL150"/>
      <c r="AM150"/>
    </row>
    <row r="151" spans="1:39" ht="14.4">
      <c r="A151" s="1153" t="str">
        <f>VLOOKUP('Cash Balance'!$C151,Table2[#All],MATCH('Cash Balance'!A$3,Acc_Char!$B$1:$I$1,0),0)</f>
        <v>PHUOC LOI</v>
      </c>
      <c r="B151" s="1154" t="str">
        <f>VLOOKUP('Cash Balance'!$C151,Table2[#All],MATCH('Cash Balance'!B$3,Acc_Char!$B$1:$I$1,0),0)</f>
        <v>VIETCOMBANK - HCM</v>
      </c>
      <c r="C151" s="1156" t="s">
        <v>660</v>
      </c>
      <c r="D151" s="1156" t="str">
        <f>VLOOKUP('Cash Balance'!$C151,Table2[#All],MATCH('Cash Balance'!D$3,Acc_Char!$B$1:$I$1,0),0)</f>
        <v>Current Account</v>
      </c>
      <c r="E151" s="384" t="str">
        <f>VLOOKUP('Cash Balance'!$C151,Table2[#All],MATCH('Cash Balance'!E$3,Acc_Char!$B$1:$I$1,0),0)</f>
        <v>VND</v>
      </c>
      <c r="F151" s="1094" t="e">
        <f>VLOOKUP(C151,'Cash balance (BS)'!A:C,3,)</f>
        <v>#N/A</v>
      </c>
      <c r="G151" s="1157" t="e">
        <f t="shared" ref="G151:G156" si="20">F151-H151</f>
        <v>#N/A</v>
      </c>
      <c r="H151" s="1318">
        <f>SUMIFS('Cash balance (Prior period)'!F:F,'Cash balance (Prior period)'!C:C,Table11[[#This Row],[ACCOUNT NUMBER]],'Cash balance (Prior period)'!E:E,Table11[[#This Row],[CURRENCY]])</f>
        <v>2567566</v>
      </c>
      <c r="I151" s="1318">
        <f>SUMIFS(Movement!$F$4:$F$2136,Movement!$M$4:$M$2136,"VND",Movement!$C$4:$C$2136,Table11[[#This Row],[ACCOUNT NUMBER]],Movement!$J$4:$J$2136,Table11[[#This Row],[ENTITY]],Movement!$O$4:$O$2136,'Cash Balance'!$A$2)</f>
        <v>0</v>
      </c>
      <c r="J151" s="1318">
        <f>SUMIFS(Movement!$G$4:$G$2136,Movement!$M$4:$M$2136,"VND",Movement!$C$4:$C$2136,Table11[[#This Row],[ACCOUNT NUMBER]],Movement!$J$4:$J$2136,Table11[[#This Row],[ENTITY]],Movement!$O$4:$O$2136,'Cash Balance'!$A$2)</f>
        <v>0</v>
      </c>
      <c r="K151" s="1084">
        <f>Table11[[#This Row],[CASH IN - CREDIT (VND)]]-Table11[[#This Row],[CASH OUT - DEBIT (VND)]]</f>
        <v>0</v>
      </c>
      <c r="L151" s="1095">
        <f t="shared" si="17"/>
        <v>2567566</v>
      </c>
      <c r="M151" s="1184" t="e">
        <f>VLOOKUP(C151,'Cash balance (BS)'!A:D,4,)</f>
        <v>#N/A</v>
      </c>
      <c r="N151" s="1095" t="e">
        <f>Table11[[#This Row],[CLOSING BALANCE (VND)2]]-Table11[[#This Row],[CB_BS (VND)]]</f>
        <v>#N/A</v>
      </c>
      <c r="O151" s="1094">
        <v>0</v>
      </c>
      <c r="P151" s="1095">
        <f t="shared" si="18"/>
        <v>0</v>
      </c>
      <c r="Q151" s="817">
        <f>SUMIFS('Cash balance (Prior period)'!G:G,'Cash balance (Prior period)'!C:C,Table11[[#This Row],[ACCOUNT NUMBER]],'Cash balance (Prior period)'!E:E,Table11[[#This Row],[CURRENCY]])</f>
        <v>0</v>
      </c>
      <c r="R151" s="817">
        <f>SUMIFS(Movement!$F$4:$F$2136,Movement!$M$4:$M$2136,"USD",Movement!$C$4:$C$2136,Table11[[#This Row],[ACCOUNT NUMBER]],Movement!$J$4:$J$2136,Table11[[#This Row],[ENTITY]],Movement!$O$4:$O$2136,'Cash Balance'!$A$2)</f>
        <v>0</v>
      </c>
      <c r="S151" s="817">
        <f>SUMIFS(Movement!$G$4:$G$2136,Movement!$M$4:$M$2136,"USD",Movement!$C$4:$C$2136,Table11[[#This Row],[ACCOUNT NUMBER]],Movement!$J$4:$J$2136,Table11[[#This Row],[ENTITY]],Movement!$O$4:$O$2136,'Cash Balance'!$A$2)</f>
        <v>0</v>
      </c>
      <c r="T151" s="1087">
        <f t="shared" si="19"/>
        <v>0</v>
      </c>
      <c r="U151" s="817"/>
      <c r="V151" s="817">
        <f>Table11[[#This Row],[CLOSING BALANCE (USD)]]-Table11[[#This Row],[CB_BS (USD)]]</f>
        <v>0</v>
      </c>
      <c r="W151" s="1156" t="str">
        <f>VLOOKUP('Cash Balance'!$C151,Table2[#All],MATCH('Cash Balance'!W$3,Acc_Char!$B$1:$I$1,0),0)</f>
        <v>Subsidiaries</v>
      </c>
      <c r="X151" s="1156" t="str">
        <f>VLOOKUP(IFERROR(MID($Y151,1,FIND("-",$Y151)-2),$Y151),Table3[#All],2,0)</f>
        <v>VCB</v>
      </c>
      <c r="Y151" s="1156" t="str">
        <f>VLOOKUP($B151,Table4[#All],2,0)</f>
        <v>VIETCOMBANK - HCM</v>
      </c>
      <c r="Z151" s="1151"/>
      <c r="AA151" s="49"/>
      <c r="AE151" s="818">
        <f>SUM(Table11[[#This Row],[CASH IN - CREDIT (VND)]],Table11[[#This Row],[CASH IN - CREDIT (USD)]])</f>
        <v>0</v>
      </c>
      <c r="AF151" s="818">
        <f>Table11[[#This Row],[CASH OUT - DEBIT (VND)]]+Table11[[#This Row],[CASH OUT - DEBIT (USD)]]</f>
        <v>0</v>
      </c>
      <c r="AH151" s="1158"/>
      <c r="AI151" s="49"/>
      <c r="AJ151" s="1158"/>
      <c r="AL151"/>
      <c r="AM151"/>
    </row>
    <row r="152" spans="1:39" ht="14.4">
      <c r="A152" s="1153" t="str">
        <f>VLOOKUP('Cash Balance'!$C152,Table2[#All],MATCH('Cash Balance'!A$3,Acc_Char!$B$1:$I$1,0),0)</f>
        <v>PHUOC LOI</v>
      </c>
      <c r="B152" s="1154" t="str">
        <f>VLOOKUP('Cash Balance'!$C152,Table2[#All],MATCH('Cash Balance'!B$3,Acc_Char!$B$1:$I$1,0),0)</f>
        <v>VIETCOMBANK - HCM</v>
      </c>
      <c r="C152" s="1156" t="s">
        <v>661</v>
      </c>
      <c r="D152" s="1156" t="str">
        <f>VLOOKUP('Cash Balance'!$C152,Table2[#All],MATCH('Cash Balance'!D$3,Acc_Char!$B$1:$I$1,0),0)</f>
        <v>Current Account</v>
      </c>
      <c r="E152" s="384" t="str">
        <f>VLOOKUP('Cash Balance'!$C152,Table2[#All],MATCH('Cash Balance'!E$3,Acc_Char!$B$1:$I$1,0),0)</f>
        <v>USD</v>
      </c>
      <c r="F152" s="1094" t="e">
        <f>VLOOKUP(C152,'Cash balance (BS)'!A:C,3,)</f>
        <v>#N/A</v>
      </c>
      <c r="G152" s="1157" t="e">
        <f t="shared" si="20"/>
        <v>#N/A</v>
      </c>
      <c r="H152" s="1318">
        <f>SUMIFS('Cash balance (Prior period)'!F:F,'Cash balance (Prior period)'!C:C,Table11[[#This Row],[ACCOUNT NUMBER]],'Cash balance (Prior period)'!E:E,Table11[[#This Row],[CURRENCY]])</f>
        <v>0</v>
      </c>
      <c r="I152" s="1318">
        <f>SUMIFS(Movement!$F$4:$F$2136,Movement!$M$4:$M$2136,"VND",Movement!$C$4:$C$2136,Table11[[#This Row],[ACCOUNT NUMBER]],Movement!$J$4:$J$2136,Table11[[#This Row],[ENTITY]],Movement!$O$4:$O$2136,'Cash Balance'!$A$2)</f>
        <v>0</v>
      </c>
      <c r="J152" s="1318">
        <f>SUMIFS(Movement!$G$4:$G$2136,Movement!$M$4:$M$2136,"VND",Movement!$C$4:$C$2136,Table11[[#This Row],[ACCOUNT NUMBER]],Movement!$J$4:$J$2136,Table11[[#This Row],[ENTITY]],Movement!$O$4:$O$2136,'Cash Balance'!$A$2)</f>
        <v>0</v>
      </c>
      <c r="K152" s="1084">
        <f>Table11[[#This Row],[CASH IN - CREDIT (VND)]]-Table11[[#This Row],[CASH OUT - DEBIT (VND)]]</f>
        <v>0</v>
      </c>
      <c r="L152" s="1095">
        <f t="shared" si="17"/>
        <v>0</v>
      </c>
      <c r="M152" s="1184" t="e">
        <f>VLOOKUP(C152,'Cash balance (BS)'!A:D,4,)</f>
        <v>#N/A</v>
      </c>
      <c r="N152" s="1095" t="e">
        <f>Table11[[#This Row],[CLOSING BALANCE (VND)2]]-Table11[[#This Row],[CB_BS (VND)]]</f>
        <v>#N/A</v>
      </c>
      <c r="O152" s="1094">
        <v>0</v>
      </c>
      <c r="P152" s="1095">
        <f t="shared" si="18"/>
        <v>0</v>
      </c>
      <c r="Q152" s="817">
        <f>SUMIFS('Cash balance (Prior period)'!G:G,'Cash balance (Prior period)'!C:C,Table11[[#This Row],[ACCOUNT NUMBER]],'Cash balance (Prior period)'!E:E,Table11[[#This Row],[CURRENCY]])</f>
        <v>0</v>
      </c>
      <c r="R152" s="817">
        <f>SUMIFS(Movement!$F$4:$F$2136,Movement!$M$4:$M$2136,"USD",Movement!$C$4:$C$2136,Table11[[#This Row],[ACCOUNT NUMBER]],Movement!$J$4:$J$2136,Table11[[#This Row],[ENTITY]],Movement!$O$4:$O$2136,'Cash Balance'!$A$2)</f>
        <v>0</v>
      </c>
      <c r="S152" s="817">
        <f>SUMIFS(Movement!$G$4:$G$2136,Movement!$M$4:$M$2136,"USD",Movement!$C$4:$C$2136,Table11[[#This Row],[ACCOUNT NUMBER]],Movement!$J$4:$J$2136,Table11[[#This Row],[ENTITY]],Movement!$O$4:$O$2136,'Cash Balance'!$A$2)</f>
        <v>0</v>
      </c>
      <c r="T152" s="1087">
        <f t="shared" si="19"/>
        <v>0</v>
      </c>
      <c r="U152" s="817"/>
      <c r="V152" s="817">
        <f>Table11[[#This Row],[CLOSING BALANCE (USD)]]-Table11[[#This Row],[CB_BS (USD)]]</f>
        <v>0</v>
      </c>
      <c r="W152" s="1156" t="str">
        <f>VLOOKUP('Cash Balance'!$C152,Table2[#All],MATCH('Cash Balance'!W$3,Acc_Char!$B$1:$I$1,0),0)</f>
        <v>Subsidiaries</v>
      </c>
      <c r="X152" s="1156" t="str">
        <f>VLOOKUP(IFERROR(MID($Y152,1,FIND("-",$Y152)-2),$Y152),Table3[#All],2,0)</f>
        <v>VCB</v>
      </c>
      <c r="Y152" s="1156" t="str">
        <f>VLOOKUP($B152,Table4[#All],2,0)</f>
        <v>VIETCOMBANK - HCM</v>
      </c>
      <c r="Z152" s="1151"/>
      <c r="AA152" s="49"/>
      <c r="AE152" s="818">
        <f>SUM(Table11[[#This Row],[CASH IN - CREDIT (VND)]],Table11[[#This Row],[CASH IN - CREDIT (USD)]])</f>
        <v>0</v>
      </c>
      <c r="AF152" s="818">
        <f>Table11[[#This Row],[CASH OUT - DEBIT (VND)]]+Table11[[#This Row],[CASH OUT - DEBIT (USD)]]</f>
        <v>0</v>
      </c>
      <c r="AH152" s="1158"/>
      <c r="AI152" s="49"/>
      <c r="AJ152" s="1158"/>
      <c r="AL152"/>
      <c r="AM152"/>
    </row>
    <row r="153" spans="1:39" ht="14.4">
      <c r="A153" s="1153" t="str">
        <f>VLOOKUP('Cash Balance'!$C153,Table2[#All],MATCH('Cash Balance'!A$3,Acc_Char!$B$1:$I$1,0),0)</f>
        <v>GIA TAN</v>
      </c>
      <c r="B153" s="1154" t="str">
        <f>VLOOKUP('Cash Balance'!$C153,Table2[#All],MATCH('Cash Balance'!B$3,Acc_Char!$B$1:$I$1,0),0)</f>
        <v>VIETINBANK - TIEN SON</v>
      </c>
      <c r="C153" s="1156" t="s">
        <v>663</v>
      </c>
      <c r="D153" s="1156" t="str">
        <f>VLOOKUP('Cash Balance'!$C153,Table2[#All],MATCH('Cash Balance'!D$3,Acc_Char!$B$1:$I$1,0),0)</f>
        <v>Current Account</v>
      </c>
      <c r="E153" s="384" t="str">
        <f>VLOOKUP('Cash Balance'!$C153,Table2[#All],MATCH('Cash Balance'!E$3,Acc_Char!$B$1:$I$1,0),0)</f>
        <v>VND</v>
      </c>
      <c r="F153" s="1094" t="e">
        <f>VLOOKUP(C153,'Cash balance (BS)'!A:C,3,)</f>
        <v>#N/A</v>
      </c>
      <c r="G153" s="1157" t="e">
        <f t="shared" si="20"/>
        <v>#N/A</v>
      </c>
      <c r="H153" s="1318">
        <f>SUMIFS('Cash balance (Prior period)'!F:F,'Cash balance (Prior period)'!C:C,Table11[[#This Row],[ACCOUNT NUMBER]],'Cash balance (Prior period)'!E:E,Table11[[#This Row],[CURRENCY]])</f>
        <v>5063301</v>
      </c>
      <c r="I153" s="1318">
        <f>SUMIFS(Movement!$F$4:$F$2136,Movement!$M$4:$M$2136,"VND",Movement!$C$4:$C$2136,Table11[[#This Row],[ACCOUNT NUMBER]],Movement!$J$4:$J$2136,Table11[[#This Row],[ENTITY]],Movement!$O$4:$O$2136,'Cash Balance'!$A$2)</f>
        <v>0</v>
      </c>
      <c r="J153" s="1318">
        <f>SUMIFS(Movement!$G$4:$G$2136,Movement!$M$4:$M$2136,"VND",Movement!$C$4:$C$2136,Table11[[#This Row],[ACCOUNT NUMBER]],Movement!$J$4:$J$2136,Table11[[#This Row],[ENTITY]],Movement!$O$4:$O$2136,'Cash Balance'!$A$2)</f>
        <v>0</v>
      </c>
      <c r="K153" s="1084">
        <f>Table11[[#This Row],[CASH IN - CREDIT (VND)]]-Table11[[#This Row],[CASH OUT - DEBIT (VND)]]</f>
        <v>0</v>
      </c>
      <c r="L153" s="1095">
        <f t="shared" si="17"/>
        <v>5063301</v>
      </c>
      <c r="M153" s="1184" t="e">
        <f>VLOOKUP(C153,'Cash balance (BS)'!A:D,4,)</f>
        <v>#N/A</v>
      </c>
      <c r="N153" s="1095" t="e">
        <f>Table11[[#This Row],[CLOSING BALANCE (VND)2]]-Table11[[#This Row],[CB_BS (VND)]]</f>
        <v>#N/A</v>
      </c>
      <c r="O153" s="1094">
        <v>0</v>
      </c>
      <c r="P153" s="1095">
        <f t="shared" si="18"/>
        <v>0</v>
      </c>
      <c r="Q153" s="817">
        <f>SUMIFS('Cash balance (Prior period)'!G:G,'Cash balance (Prior period)'!C:C,Table11[[#This Row],[ACCOUNT NUMBER]],'Cash balance (Prior period)'!E:E,Table11[[#This Row],[CURRENCY]])</f>
        <v>0</v>
      </c>
      <c r="R153" s="817">
        <f>SUMIFS(Movement!$F$4:$F$2136,Movement!$M$4:$M$2136,"USD",Movement!$C$4:$C$2136,Table11[[#This Row],[ACCOUNT NUMBER]],Movement!$J$4:$J$2136,Table11[[#This Row],[ENTITY]],Movement!$O$4:$O$2136,'Cash Balance'!$A$2)</f>
        <v>0</v>
      </c>
      <c r="S153" s="817">
        <f>SUMIFS(Movement!$G$4:$G$2136,Movement!$M$4:$M$2136,"USD",Movement!$C$4:$C$2136,Table11[[#This Row],[ACCOUNT NUMBER]],Movement!$J$4:$J$2136,Table11[[#This Row],[ENTITY]],Movement!$O$4:$O$2136,'Cash Balance'!$A$2)</f>
        <v>0</v>
      </c>
      <c r="T153" s="1087">
        <f t="shared" si="19"/>
        <v>0</v>
      </c>
      <c r="U153" s="817"/>
      <c r="V153" s="817">
        <f>Table11[[#This Row],[CLOSING BALANCE (USD)]]-Table11[[#This Row],[CB_BS (USD)]]</f>
        <v>0</v>
      </c>
      <c r="W153" s="1156" t="str">
        <f>VLOOKUP('Cash Balance'!$C153,Table2[#All],MATCH('Cash Balance'!W$3,Acc_Char!$B$1:$I$1,0),0)</f>
        <v>Subsidiaries</v>
      </c>
      <c r="X153" s="1156" t="str">
        <f>VLOOKUP(IFERROR(MID($Y153,1,FIND("-",$Y153)-2),$Y153),Table3[#All],2,0)</f>
        <v>VTB</v>
      </c>
      <c r="Y153" s="1156" t="str">
        <f>VLOOKUP($B153,Table4[#All],2,0)</f>
        <v>VIETINBANK - TIEN SON</v>
      </c>
      <c r="Z153" s="1151"/>
      <c r="AA153" s="49"/>
      <c r="AE153" s="818">
        <f>SUM(Table11[[#This Row],[CASH IN - CREDIT (VND)]],Table11[[#This Row],[CASH IN - CREDIT (USD)]])</f>
        <v>0</v>
      </c>
      <c r="AF153" s="818">
        <f>Table11[[#This Row],[CASH OUT - DEBIT (VND)]]+Table11[[#This Row],[CASH OUT - DEBIT (USD)]]</f>
        <v>0</v>
      </c>
      <c r="AH153" s="1158"/>
      <c r="AI153" s="49"/>
      <c r="AJ153" s="1158"/>
      <c r="AL153"/>
      <c r="AM153"/>
    </row>
    <row r="154" spans="1:39" ht="14.4">
      <c r="A154" s="1153" t="str">
        <f>VLOOKUP('Cash Balance'!$C154,Table2[#All],MATCH('Cash Balance'!A$3,Acc_Char!$B$1:$I$1,0),0)</f>
        <v>GIA TAN</v>
      </c>
      <c r="B154" s="1154" t="str">
        <f>VLOOKUP('Cash Balance'!$C154,Table2[#All],MATCH('Cash Balance'!B$3,Acc_Char!$B$1:$I$1,0),0)</f>
        <v>VIETINBANK - TIEN SON</v>
      </c>
      <c r="C154" s="1156" t="s">
        <v>664</v>
      </c>
      <c r="D154" s="1156" t="str">
        <f>VLOOKUP('Cash Balance'!$C154,Table2[#All],MATCH('Cash Balance'!D$3,Acc_Char!$B$1:$I$1,0),0)</f>
        <v>Current Account</v>
      </c>
      <c r="E154" s="384" t="str">
        <f>VLOOKUP('Cash Balance'!$C154,Table2[#All],MATCH('Cash Balance'!E$3,Acc_Char!$B$1:$I$1,0),0)</f>
        <v>USD</v>
      </c>
      <c r="F154" s="1094" t="e">
        <f>VLOOKUP(C154,'Cash balance (BS)'!A:C,3,)</f>
        <v>#N/A</v>
      </c>
      <c r="G154" s="1157" t="e">
        <f t="shared" si="20"/>
        <v>#N/A</v>
      </c>
      <c r="H154" s="1318">
        <f>SUMIFS('Cash balance (Prior period)'!F:F,'Cash balance (Prior period)'!C:C,Table11[[#This Row],[ACCOUNT NUMBER]],'Cash balance (Prior period)'!E:E,Table11[[#This Row],[CURRENCY]])</f>
        <v>0</v>
      </c>
      <c r="I154" s="1318">
        <f>SUMIFS(Movement!$F$4:$F$2136,Movement!$M$4:$M$2136,"VND",Movement!$C$4:$C$2136,Table11[[#This Row],[ACCOUNT NUMBER]],Movement!$J$4:$J$2136,Table11[[#This Row],[ENTITY]],Movement!$O$4:$O$2136,'Cash Balance'!$A$2)</f>
        <v>0</v>
      </c>
      <c r="J154" s="1318">
        <f>SUMIFS(Movement!$G$4:$G$2136,Movement!$M$4:$M$2136,"VND",Movement!$C$4:$C$2136,Table11[[#This Row],[ACCOUNT NUMBER]],Movement!$J$4:$J$2136,Table11[[#This Row],[ENTITY]],Movement!$O$4:$O$2136,'Cash Balance'!$A$2)</f>
        <v>0</v>
      </c>
      <c r="K154" s="1084">
        <f>Table11[[#This Row],[CASH IN - CREDIT (VND)]]-Table11[[#This Row],[CASH OUT - DEBIT (VND)]]</f>
        <v>0</v>
      </c>
      <c r="L154" s="1095">
        <f t="shared" si="17"/>
        <v>0</v>
      </c>
      <c r="M154" s="1184" t="e">
        <f>VLOOKUP(C154,'Cash balance (BS)'!A:D,4,)</f>
        <v>#N/A</v>
      </c>
      <c r="N154" s="1095" t="e">
        <f>Table11[[#This Row],[CLOSING BALANCE (VND)2]]-Table11[[#This Row],[CB_BS (VND)]]</f>
        <v>#N/A</v>
      </c>
      <c r="O154" s="1094">
        <v>0</v>
      </c>
      <c r="P154" s="1095">
        <f t="shared" si="18"/>
        <v>0</v>
      </c>
      <c r="Q154" s="817">
        <f>SUMIFS('Cash balance (Prior period)'!G:G,'Cash balance (Prior period)'!C:C,Table11[[#This Row],[ACCOUNT NUMBER]],'Cash balance (Prior period)'!E:E,Table11[[#This Row],[CURRENCY]])</f>
        <v>0</v>
      </c>
      <c r="R154" s="817">
        <f>SUMIFS(Movement!$F$4:$F$2136,Movement!$M$4:$M$2136,"USD",Movement!$C$4:$C$2136,Table11[[#This Row],[ACCOUNT NUMBER]],Movement!$J$4:$J$2136,Table11[[#This Row],[ENTITY]],Movement!$O$4:$O$2136,'Cash Balance'!$A$2)</f>
        <v>0</v>
      </c>
      <c r="S154" s="817">
        <f>SUMIFS(Movement!$G$4:$G$2136,Movement!$M$4:$M$2136,"USD",Movement!$C$4:$C$2136,Table11[[#This Row],[ACCOUNT NUMBER]],Movement!$J$4:$J$2136,Table11[[#This Row],[ENTITY]],Movement!$O$4:$O$2136,'Cash Balance'!$A$2)</f>
        <v>0</v>
      </c>
      <c r="T154" s="1087">
        <f t="shared" si="19"/>
        <v>0</v>
      </c>
      <c r="U154" s="817"/>
      <c r="V154" s="817">
        <f>Table11[[#This Row],[CLOSING BALANCE (USD)]]-Table11[[#This Row],[CB_BS (USD)]]</f>
        <v>0</v>
      </c>
      <c r="W154" s="1156" t="str">
        <f>VLOOKUP('Cash Balance'!$C154,Table2[#All],MATCH('Cash Balance'!W$3,Acc_Char!$B$1:$I$1,0),0)</f>
        <v>Subsidiaries</v>
      </c>
      <c r="X154" s="1156" t="str">
        <f>VLOOKUP(IFERROR(MID($Y154,1,FIND("-",$Y154)-2),$Y154),Table3[#All],2,0)</f>
        <v>VTB</v>
      </c>
      <c r="Y154" s="1156" t="str">
        <f>VLOOKUP($B154,Table4[#All],2,0)</f>
        <v>VIETINBANK - TIEN SON</v>
      </c>
      <c r="Z154" s="1151"/>
      <c r="AA154" s="49"/>
      <c r="AE154" s="818">
        <f>SUM(Table11[[#This Row],[CASH IN - CREDIT (VND)]],Table11[[#This Row],[CASH IN - CREDIT (USD)]])</f>
        <v>0</v>
      </c>
      <c r="AF154" s="818">
        <f>Table11[[#This Row],[CASH OUT - DEBIT (VND)]]+Table11[[#This Row],[CASH OUT - DEBIT (USD)]]</f>
        <v>0</v>
      </c>
      <c r="AH154" s="1158"/>
      <c r="AI154" s="49"/>
      <c r="AJ154" s="1158"/>
      <c r="AL154"/>
      <c r="AM154"/>
    </row>
    <row r="155" spans="1:39" ht="14.4">
      <c r="A155" s="1153" t="str">
        <f>VLOOKUP('Cash Balance'!$C155,Table2[#All],MATCH('Cash Balance'!A$3,Acc_Char!$B$1:$I$1,0),0)</f>
        <v>BCI JSC</v>
      </c>
      <c r="B155" s="1154" t="str">
        <f>VLOOKUP('Cash Balance'!$C155,Table2[#All],MATCH('Cash Balance'!B$3,Acc_Char!$B$1:$I$1,0),0)</f>
        <v>VIETINBANK - TIEN SON</v>
      </c>
      <c r="C155" s="1156" t="s">
        <v>666</v>
      </c>
      <c r="D155" s="1156" t="str">
        <f>VLOOKUP('Cash Balance'!$C155,Table2[#All],MATCH('Cash Balance'!D$3,Acc_Char!$B$1:$I$1,0),0)</f>
        <v>Current Account</v>
      </c>
      <c r="E155" s="384" t="str">
        <f>VLOOKUP('Cash Balance'!$C155,Table2[#All],MATCH('Cash Balance'!E$3,Acc_Char!$B$1:$I$1,0),0)</f>
        <v>VND</v>
      </c>
      <c r="F155" s="1094" t="e">
        <f>VLOOKUP(C155,'Cash balance (BS)'!A:C,3,)</f>
        <v>#N/A</v>
      </c>
      <c r="G155" s="1157" t="e">
        <f t="shared" si="20"/>
        <v>#N/A</v>
      </c>
      <c r="H155" s="1318">
        <f>SUMIFS('Cash balance (Prior period)'!F:F,'Cash balance (Prior period)'!C:C,Table11[[#This Row],[ACCOUNT NUMBER]],'Cash balance (Prior period)'!E:E,Table11[[#This Row],[CURRENCY]])</f>
        <v>3715870505</v>
      </c>
      <c r="I155" s="1318">
        <f>SUMIFS(Movement!$F$4:$F$2136,Movement!$M$4:$M$2136,"VND",Movement!$C$4:$C$2136,Table11[[#This Row],[ACCOUNT NUMBER]],Movement!$J$4:$J$2136,Table11[[#This Row],[ENTITY]],Movement!$O$4:$O$2136,'Cash Balance'!$A$2)</f>
        <v>7764287961</v>
      </c>
      <c r="J155" s="1318">
        <f>SUMIFS(Movement!$G$4:$G$2136,Movement!$M$4:$M$2136,"VND",Movement!$C$4:$C$2136,Table11[[#This Row],[ACCOUNT NUMBER]],Movement!$J$4:$J$2136,Table11[[#This Row],[ENTITY]],Movement!$O$4:$O$2136,'Cash Balance'!$A$2)</f>
        <v>597671722</v>
      </c>
      <c r="K155" s="1084">
        <f>Table11[[#This Row],[CASH IN - CREDIT (VND)]]-Table11[[#This Row],[CASH OUT - DEBIT (VND)]]</f>
        <v>7166616239</v>
      </c>
      <c r="L155" s="1095">
        <f t="shared" si="17"/>
        <v>10882486744</v>
      </c>
      <c r="M155" s="1184" t="e">
        <f>VLOOKUP(C155,'Cash balance (BS)'!A:D,4,)</f>
        <v>#N/A</v>
      </c>
      <c r="N155" s="1095" t="e">
        <f>Table11[[#This Row],[CLOSING BALANCE (VND)2]]-Table11[[#This Row],[CB_BS (VND)]]</f>
        <v>#N/A</v>
      </c>
      <c r="O155" s="1094">
        <v>0</v>
      </c>
      <c r="P155" s="1095">
        <f t="shared" si="18"/>
        <v>0</v>
      </c>
      <c r="Q155" s="817">
        <f>SUMIFS('Cash balance (Prior period)'!G:G,'Cash balance (Prior period)'!C:C,Table11[[#This Row],[ACCOUNT NUMBER]],'Cash balance (Prior period)'!E:E,Table11[[#This Row],[CURRENCY]])</f>
        <v>0</v>
      </c>
      <c r="R155" s="817">
        <f>SUMIFS(Movement!$F$4:$F$2136,Movement!$M$4:$M$2136,"USD",Movement!$C$4:$C$2136,Table11[[#This Row],[ACCOUNT NUMBER]],Movement!$J$4:$J$2136,Table11[[#This Row],[ENTITY]],Movement!$O$4:$O$2136,'Cash Balance'!$A$2)</f>
        <v>0</v>
      </c>
      <c r="S155" s="817">
        <f>SUMIFS(Movement!$G$4:$G$2136,Movement!$M$4:$M$2136,"USD",Movement!$C$4:$C$2136,Table11[[#This Row],[ACCOUNT NUMBER]],Movement!$J$4:$J$2136,Table11[[#This Row],[ENTITY]],Movement!$O$4:$O$2136,'Cash Balance'!$A$2)</f>
        <v>0</v>
      </c>
      <c r="T155" s="1087">
        <f t="shared" si="19"/>
        <v>0</v>
      </c>
      <c r="U155" s="817"/>
      <c r="V155" s="817">
        <f>Table11[[#This Row],[CLOSING BALANCE (USD)]]-Table11[[#This Row],[CB_BS (USD)]]</f>
        <v>0</v>
      </c>
      <c r="W155" s="1156" t="str">
        <f>VLOOKUP('Cash Balance'!$C155,Table2[#All],MATCH('Cash Balance'!W$3,Acc_Char!$B$1:$I$1,0),0)</f>
        <v>Subsidiaries</v>
      </c>
      <c r="X155" s="1156" t="str">
        <f>VLOOKUP(IFERROR(MID($Y155,1,FIND("-",$Y155)-2),$Y155),Table3[#All],2,0)</f>
        <v>VTB</v>
      </c>
      <c r="Y155" s="1156" t="str">
        <f>VLOOKUP($B155,Table4[#All],2,0)</f>
        <v>VIETINBANK - TIEN SON</v>
      </c>
      <c r="Z155" s="1151"/>
      <c r="AA155" s="49"/>
      <c r="AE155" s="818">
        <f>SUM(Table11[[#This Row],[CASH IN - CREDIT (VND)]],Table11[[#This Row],[CASH IN - CREDIT (USD)]])</f>
        <v>7764287961</v>
      </c>
      <c r="AF155" s="818">
        <f>Table11[[#This Row],[CASH OUT - DEBIT (VND)]]+Table11[[#This Row],[CASH OUT - DEBIT (USD)]]</f>
        <v>597671722</v>
      </c>
      <c r="AH155" s="1158"/>
      <c r="AI155" s="49"/>
      <c r="AJ155" s="1158"/>
      <c r="AL155"/>
      <c r="AM155"/>
    </row>
    <row r="156" spans="1:39" ht="14.4">
      <c r="A156" s="1153" t="str">
        <f>VLOOKUP('Cash Balance'!$C156,Table2[#All],MATCH('Cash Balance'!A$3,Acc_Char!$B$1:$I$1,0),0)</f>
        <v>BCI JSC</v>
      </c>
      <c r="B156" s="1154" t="str">
        <f>VLOOKUP('Cash Balance'!$C156,Table2[#All],MATCH('Cash Balance'!B$3,Acc_Char!$B$1:$I$1,0),0)</f>
        <v>VIETINBANK - TIEN SON</v>
      </c>
      <c r="C156" s="1156" t="s">
        <v>667</v>
      </c>
      <c r="D156" s="1156" t="str">
        <f>VLOOKUP('Cash Balance'!$C156,Table2[#All],MATCH('Cash Balance'!D$3,Acc_Char!$B$1:$I$1,0),0)</f>
        <v>Current Account</v>
      </c>
      <c r="E156" s="384" t="str">
        <f>VLOOKUP('Cash Balance'!$C156,Table2[#All],MATCH('Cash Balance'!E$3,Acc_Char!$B$1:$I$1,0),0)</f>
        <v>USD</v>
      </c>
      <c r="F156" s="1094" t="e">
        <f>VLOOKUP(C156,'Cash balance (BS)'!A:C,3,)</f>
        <v>#N/A</v>
      </c>
      <c r="G156" s="1157" t="e">
        <f t="shared" si="20"/>
        <v>#N/A</v>
      </c>
      <c r="H156" s="1318">
        <f>SUMIFS('Cash balance (Prior period)'!F:F,'Cash balance (Prior period)'!C:C,Table11[[#This Row],[ACCOUNT NUMBER]],'Cash balance (Prior period)'!E:E,Table11[[#This Row],[CURRENCY]])</f>
        <v>0</v>
      </c>
      <c r="I156" s="1318">
        <f>SUMIFS(Movement!$F$4:$F$2136,Movement!$M$4:$M$2136,"VND",Movement!$C$4:$C$2136,Table11[[#This Row],[ACCOUNT NUMBER]],Movement!$J$4:$J$2136,Table11[[#This Row],[ENTITY]],Movement!$O$4:$O$2136,'Cash Balance'!$A$2)</f>
        <v>0</v>
      </c>
      <c r="J156" s="1318">
        <f>SUMIFS(Movement!$G$4:$G$2136,Movement!$M$4:$M$2136,"VND",Movement!$C$4:$C$2136,Table11[[#This Row],[ACCOUNT NUMBER]],Movement!$J$4:$J$2136,Table11[[#This Row],[ENTITY]],Movement!$O$4:$O$2136,'Cash Balance'!$A$2)</f>
        <v>0</v>
      </c>
      <c r="K156" s="1084">
        <f>Table11[[#This Row],[CASH IN - CREDIT (VND)]]-Table11[[#This Row],[CASH OUT - DEBIT (VND)]]</f>
        <v>0</v>
      </c>
      <c r="L156" s="1095">
        <f t="shared" si="17"/>
        <v>0</v>
      </c>
      <c r="M156" s="1184" t="e">
        <f>VLOOKUP(C156,'Cash balance (BS)'!A:D,4,)</f>
        <v>#N/A</v>
      </c>
      <c r="N156" s="1095" t="e">
        <f>Table11[[#This Row],[CLOSING BALANCE (VND)2]]-Table11[[#This Row],[CB_BS (VND)]]</f>
        <v>#N/A</v>
      </c>
      <c r="O156" s="1094">
        <v>0</v>
      </c>
      <c r="P156" s="1095">
        <f t="shared" si="18"/>
        <v>-192.16</v>
      </c>
      <c r="Q156" s="817">
        <f>SUMIFS('Cash balance (Prior period)'!G:G,'Cash balance (Prior period)'!C:C,Table11[[#This Row],[ACCOUNT NUMBER]],'Cash balance (Prior period)'!E:E,Table11[[#This Row],[CURRENCY]])</f>
        <v>192.16</v>
      </c>
      <c r="R156" s="817">
        <f>SUMIFS(Movement!$F$4:$F$2136,Movement!$M$4:$M$2136,"USD",Movement!$C$4:$C$2136,Table11[[#This Row],[ACCOUNT NUMBER]],Movement!$J$4:$J$2136,Table11[[#This Row],[ENTITY]],Movement!$O$4:$O$2136,'Cash Balance'!$A$2)</f>
        <v>0</v>
      </c>
      <c r="S156" s="817">
        <f>SUMIFS(Movement!$G$4:$G$2136,Movement!$M$4:$M$2136,"USD",Movement!$C$4:$C$2136,Table11[[#This Row],[ACCOUNT NUMBER]],Movement!$J$4:$J$2136,Table11[[#This Row],[ENTITY]],Movement!$O$4:$O$2136,'Cash Balance'!$A$2)</f>
        <v>0</v>
      </c>
      <c r="T156" s="1087">
        <f t="shared" si="19"/>
        <v>192.16</v>
      </c>
      <c r="U156" s="817"/>
      <c r="V156" s="817">
        <f>Table11[[#This Row],[CLOSING BALANCE (USD)]]-Table11[[#This Row],[CB_BS (USD)]]</f>
        <v>192.16</v>
      </c>
      <c r="W156" s="1156" t="str">
        <f>VLOOKUP('Cash Balance'!$C156,Table2[#All],MATCH('Cash Balance'!W$3,Acc_Char!$B$1:$I$1,0),0)</f>
        <v>Subsidiaries</v>
      </c>
      <c r="X156" s="1156" t="str">
        <f>VLOOKUP(IFERROR(MID($Y156,1,FIND("-",$Y156)-2),$Y156),Table3[#All],2,0)</f>
        <v>VTB</v>
      </c>
      <c r="Y156" s="1156" t="str">
        <f>VLOOKUP($B156,Table4[#All],2,0)</f>
        <v>VIETINBANK - TIEN SON</v>
      </c>
      <c r="Z156" s="1151"/>
      <c r="AA156" s="49"/>
      <c r="AE156" s="818">
        <f>SUM(Table11[[#This Row],[CASH IN - CREDIT (VND)]],Table11[[#This Row],[CASH IN - CREDIT (USD)]])</f>
        <v>0</v>
      </c>
      <c r="AF156" s="818">
        <f>Table11[[#This Row],[CASH OUT - DEBIT (VND)]]+Table11[[#This Row],[CASH OUT - DEBIT (USD)]]</f>
        <v>0</v>
      </c>
      <c r="AH156" s="1158"/>
      <c r="AI156" s="49"/>
      <c r="AJ156" s="1158"/>
      <c r="AL156"/>
      <c r="AM156"/>
    </row>
    <row r="157" spans="1:39" ht="14.4">
      <c r="A157" s="1153" t="str">
        <f>VLOOKUP('Cash Balance'!$C157,Table2[#All],MATCH('Cash Balance'!A$3,Acc_Char!$B$1:$I$1,0),0)</f>
        <v>VINA PARTNERS INVESTMENT</v>
      </c>
      <c r="B157" s="1154" t="str">
        <f>VLOOKUP('Cash Balance'!$C157,Table2[#All],MATCH('Cash Balance'!B$3,Acc_Char!$B$1:$I$1,0),0)</f>
        <v>VIETINBANK - CN1</v>
      </c>
      <c r="C157" s="1156" t="s">
        <v>669</v>
      </c>
      <c r="D157" s="1156" t="str">
        <f>VLOOKUP('Cash Balance'!$C157,Table2[#All],MATCH('Cash Balance'!D$3,Acc_Char!$B$1:$I$1,0),0)</f>
        <v>Current Account</v>
      </c>
      <c r="E157" s="384" t="str">
        <f>VLOOKUP('Cash Balance'!$C157,Table2[#All],MATCH('Cash Balance'!E$3,Acc_Char!$B$1:$I$1,0),0)</f>
        <v>VND</v>
      </c>
      <c r="F157" s="1094"/>
      <c r="G157" s="1157"/>
      <c r="H157" s="1318">
        <f>SUMIFS('Cash balance (Prior period)'!F:F,'Cash balance (Prior period)'!C:C,Table11[[#This Row],[ACCOUNT NUMBER]],'Cash balance (Prior period)'!E:E,Table11[[#This Row],[CURRENCY]])</f>
        <v>4725481875</v>
      </c>
      <c r="I157" s="1318">
        <f>SUMIFS(Movement!$F$4:$F$2136,Movement!$M$4:$M$2136,"VND",Movement!$C$4:$C$2136,Table11[[#This Row],[ACCOUNT NUMBER]],Movement!$J$4:$J$2136,Table11[[#This Row],[ENTITY]],Movement!$O$4:$O$2136,'Cash Balance'!$A$2)</f>
        <v>9618640084</v>
      </c>
      <c r="J157" s="1318">
        <f>SUMIFS(Movement!$G$4:$G$2136,Movement!$M$4:$M$2136,"VND",Movement!$C$4:$C$2136,Table11[[#This Row],[ACCOUNT NUMBER]],Movement!$J$4:$J$2136,Table11[[#This Row],[ENTITY]],Movement!$O$4:$O$2136,'Cash Balance'!$A$2)</f>
        <v>6404338588</v>
      </c>
      <c r="K157" s="1084">
        <f>Table11[[#This Row],[CASH IN - CREDIT (VND)]]-Table11[[#This Row],[CASH OUT - DEBIT (VND)]]</f>
        <v>3214301496</v>
      </c>
      <c r="L157" s="1095">
        <f t="shared" si="17"/>
        <v>7939783371</v>
      </c>
      <c r="M157" s="1184" t="e">
        <f>VLOOKUP(C157,'Cash balance (BS)'!A:D,4,)</f>
        <v>#N/A</v>
      </c>
      <c r="N157" s="1095" t="e">
        <f>Table11[[#This Row],[CLOSING BALANCE (VND)2]]-Table11[[#This Row],[CB_BS (VND)]]</f>
        <v>#N/A</v>
      </c>
      <c r="O157" s="1094">
        <v>0</v>
      </c>
      <c r="P157" s="1095">
        <f t="shared" si="18"/>
        <v>0</v>
      </c>
      <c r="Q157" s="817">
        <f>SUMIFS('Cash balance (Prior period)'!G:G,'Cash balance (Prior period)'!C:C,Table11[[#This Row],[ACCOUNT NUMBER]],'Cash balance (Prior period)'!E:E,Table11[[#This Row],[CURRENCY]])</f>
        <v>0</v>
      </c>
      <c r="R157" s="817">
        <f>SUMIFS(Movement!$F$4:$F$2136,Movement!$M$4:$M$2136,"USD",Movement!$C$4:$C$2136,Table11[[#This Row],[ACCOUNT NUMBER]],Movement!$J$4:$J$2136,Table11[[#This Row],[ENTITY]],Movement!$O$4:$O$2136,'Cash Balance'!$A$2)</f>
        <v>0</v>
      </c>
      <c r="S157" s="817">
        <f>SUMIFS(Movement!$G$4:$G$2136,Movement!$M$4:$M$2136,"USD",Movement!$C$4:$C$2136,Table11[[#This Row],[ACCOUNT NUMBER]],Movement!$J$4:$J$2136,Table11[[#This Row],[ENTITY]],Movement!$O$4:$O$2136,'Cash Balance'!$A$2)</f>
        <v>0</v>
      </c>
      <c r="T157" s="1087">
        <f t="shared" si="19"/>
        <v>0</v>
      </c>
      <c r="U157" s="817" t="e">
        <f>VLOOKUP(C157,'Cash balance (BS)'!A:D,4,)</f>
        <v>#N/A</v>
      </c>
      <c r="V157" s="1087" t="e">
        <f>Table11[[#This Row],[CLOSING BALANCE (USD)]]-Table11[[#This Row],[CB_BS (USD)]]</f>
        <v>#N/A</v>
      </c>
      <c r="W157" s="1156" t="str">
        <f>VLOOKUP('Cash Balance'!$C157,Table2[#All],MATCH('Cash Balance'!W$3,Acc_Char!$B$1:$I$1,0),0)</f>
        <v>Subsidiaries</v>
      </c>
      <c r="X157" s="1156" t="str">
        <f>VLOOKUP(IFERROR(MID($Y157,1,FIND("-",$Y157)-2),$Y157),Table3[#All],2,0)</f>
        <v>VTB</v>
      </c>
      <c r="Y157" s="1156" t="str">
        <f>VLOOKUP($B157,Table4[#All],2,0)</f>
        <v>VIETINBANK - CN1</v>
      </c>
      <c r="Z157" s="1151"/>
      <c r="AA157" s="49"/>
      <c r="AE157" s="818">
        <f>SUM(Table11[[#This Row],[CASH IN - CREDIT (VND)]],Table11[[#This Row],[CASH IN - CREDIT (USD)]])</f>
        <v>9618640084</v>
      </c>
      <c r="AF157" s="818">
        <f>Table11[[#This Row],[CASH OUT - DEBIT (VND)]]+Table11[[#This Row],[CASH OUT - DEBIT (USD)]]</f>
        <v>6404338588</v>
      </c>
      <c r="AH157" s="1158"/>
      <c r="AI157" s="49"/>
      <c r="AJ157" s="1158"/>
      <c r="AL157"/>
      <c r="AM157"/>
    </row>
    <row r="158" spans="1:39" ht="14.4">
      <c r="A158" s="1153" t="str">
        <f>VLOOKUP('Cash Balance'!$C158,Table2[#All],MATCH('Cash Balance'!A$3,Acc_Char!$B$1:$I$1,0),0)</f>
        <v>VINA PARTNERS INVESTMENT</v>
      </c>
      <c r="B158" s="1154" t="str">
        <f>VLOOKUP('Cash Balance'!$C158,Table2[#All],MATCH('Cash Balance'!B$3,Acc_Char!$B$1:$I$1,0),0)</f>
        <v>VIETINBANK - CN1</v>
      </c>
      <c r="C158" s="1156" t="s">
        <v>670</v>
      </c>
      <c r="D158" s="1156" t="str">
        <f>VLOOKUP('Cash Balance'!$C158,Table2[#All],MATCH('Cash Balance'!D$3,Acc_Char!$B$1:$I$1,0),0)</f>
        <v>Saving Account</v>
      </c>
      <c r="E158" s="384" t="str">
        <f>VLOOKUP('Cash Balance'!$C158,Table2[#All],MATCH('Cash Balance'!E$3,Acc_Char!$B$1:$I$1,0),0)</f>
        <v>VND</v>
      </c>
      <c r="F158" s="1094" t="e">
        <f>VLOOKUP(C158,'Cash balance (BS)'!A:C,3,)</f>
        <v>#N/A</v>
      </c>
      <c r="G158" s="1157" t="e">
        <f>F158-H158</f>
        <v>#N/A</v>
      </c>
      <c r="H158" s="1318">
        <f>SUMIFS('Cash balance (Prior period)'!F:F,'Cash balance (Prior period)'!C:C,Table11[[#This Row],[ACCOUNT NUMBER]],'Cash balance (Prior period)'!E:E,Table11[[#This Row],[CURRENCY]])</f>
        <v>2900000000</v>
      </c>
      <c r="I158" s="1318">
        <f>SUMIFS(Movement!$F$4:$F$2136,Movement!$M$4:$M$2136,"VND",Movement!$C$4:$C$2136,Table11[[#This Row],[ACCOUNT NUMBER]],Movement!$J$4:$J$2136,Table11[[#This Row],[ENTITY]],Movement!$O$4:$O$2136,'Cash Balance'!$A$2)</f>
        <v>0</v>
      </c>
      <c r="J158" s="1318">
        <f>SUMIFS(Movement!$G$4:$G$2136,Movement!$M$4:$M$2136,"VND",Movement!$C$4:$C$2136,Table11[[#This Row],[ACCOUNT NUMBER]],Movement!$J$4:$J$2136,Table11[[#This Row],[ENTITY]],Movement!$O$4:$O$2136,'Cash Balance'!$A$2)</f>
        <v>0</v>
      </c>
      <c r="K158" s="1084">
        <f>Table11[[#This Row],[CASH IN - CREDIT (VND)]]-Table11[[#This Row],[CASH OUT - DEBIT (VND)]]</f>
        <v>0</v>
      </c>
      <c r="L158" s="1095">
        <f t="shared" si="17"/>
        <v>2900000000</v>
      </c>
      <c r="M158" s="1184" t="e">
        <f>VLOOKUP(C158,'Cash balance (BS)'!A:D,4,)</f>
        <v>#N/A</v>
      </c>
      <c r="N158" s="1095" t="e">
        <f>Table11[[#This Row],[CLOSING BALANCE (VND)2]]-Table11[[#This Row],[CB_BS (VND)]]</f>
        <v>#N/A</v>
      </c>
      <c r="O158" s="1094">
        <v>0</v>
      </c>
      <c r="P158" s="1095">
        <f t="shared" si="18"/>
        <v>0</v>
      </c>
      <c r="Q158" s="817">
        <f>SUMIFS('Cash balance (Prior period)'!G:G,'Cash balance (Prior period)'!C:C,Table11[[#This Row],[ACCOUNT NUMBER]],'Cash balance (Prior period)'!E:E,Table11[[#This Row],[CURRENCY]])</f>
        <v>0</v>
      </c>
      <c r="R158" s="817">
        <f>SUMIFS(Movement!$F$4:$F$2136,Movement!$M$4:$M$2136,"USD",Movement!$C$4:$C$2136,Table11[[#This Row],[ACCOUNT NUMBER]],Movement!$J$4:$J$2136,Table11[[#This Row],[ENTITY]],Movement!$O$4:$O$2136,'Cash Balance'!$A$2)</f>
        <v>0</v>
      </c>
      <c r="S158" s="817">
        <f>SUMIFS(Movement!$G$4:$G$2136,Movement!$M$4:$M$2136,"USD",Movement!$C$4:$C$2136,Table11[[#This Row],[ACCOUNT NUMBER]],Movement!$J$4:$J$2136,Table11[[#This Row],[ENTITY]],Movement!$O$4:$O$2136,'Cash Balance'!$A$2)</f>
        <v>0</v>
      </c>
      <c r="T158" s="1087">
        <f t="shared" si="19"/>
        <v>0</v>
      </c>
      <c r="U158" s="817"/>
      <c r="V158" s="817">
        <f>Table11[[#This Row],[CLOSING BALANCE (USD)]]-Table11[[#This Row],[CB_BS (USD)]]</f>
        <v>0</v>
      </c>
      <c r="W158" s="1156" t="str">
        <f>VLOOKUP('Cash Balance'!$C158,Table2[#All],MATCH('Cash Balance'!W$3,Acc_Char!$B$1:$I$1,0),0)</f>
        <v>Subsidiaries</v>
      </c>
      <c r="X158" s="1156" t="str">
        <f>VLOOKUP(IFERROR(MID($Y158,1,FIND("-",$Y158)-2),$Y158),Table3[#All],2,0)</f>
        <v>VTB</v>
      </c>
      <c r="Y158" s="1156" t="str">
        <f>VLOOKUP($B158,Table4[#All],2,0)</f>
        <v>VIETINBANK - CN1</v>
      </c>
      <c r="Z158" s="1151"/>
      <c r="AA158" s="49"/>
      <c r="AE158" s="818">
        <f>SUM(Table11[[#This Row],[CASH IN - CREDIT (VND)]],Table11[[#This Row],[CASH IN - CREDIT (USD)]])</f>
        <v>0</v>
      </c>
      <c r="AF158" s="818">
        <f>Table11[[#This Row],[CASH OUT - DEBIT (VND)]]+Table11[[#This Row],[CASH OUT - DEBIT (USD)]]</f>
        <v>0</v>
      </c>
      <c r="AH158" s="1158"/>
      <c r="AI158" s="49"/>
      <c r="AJ158" s="1158"/>
      <c r="AL158"/>
      <c r="AM158"/>
    </row>
    <row r="159" spans="1:39" ht="14.4">
      <c r="A159" s="1153" t="str">
        <f>VLOOKUP('Cash Balance'!$C159,Table2[#All],MATCH('Cash Balance'!A$3,Acc_Char!$B$1:$I$1,0),0)</f>
        <v>HOLDCO4F</v>
      </c>
      <c r="B159" s="1154" t="str">
        <f>VLOOKUP('Cash Balance'!$C159,Table2[#All],MATCH('Cash Balance'!B$3,Acc_Char!$B$1:$I$1,0),0)</f>
        <v>VIETINBANK - TIEN SON</v>
      </c>
      <c r="C159" s="1156" t="s">
        <v>672</v>
      </c>
      <c r="D159" s="1156" t="str">
        <f>VLOOKUP('Cash Balance'!$C159,Table2[#All],MATCH('Cash Balance'!D$3,Acc_Char!$B$1:$I$1,0),0)</f>
        <v>Current Account</v>
      </c>
      <c r="E159" s="384" t="str">
        <f>VLOOKUP('Cash Balance'!$C159,Table2[#All],MATCH('Cash Balance'!E$3,Acc_Char!$B$1:$I$1,0),0)</f>
        <v>VND</v>
      </c>
      <c r="F159" s="1094"/>
      <c r="G159" s="1157"/>
      <c r="H159" s="1318">
        <f>SUMIFS('Cash balance (Prior period)'!F:F,'Cash balance (Prior period)'!C:C,Table11[[#This Row],[ACCOUNT NUMBER]],'Cash balance (Prior period)'!E:E,Table11[[#This Row],[CURRENCY]])</f>
        <v>41643993</v>
      </c>
      <c r="I159" s="1318">
        <f>SUMIFS(Movement!$F$4:$F$2136,Movement!$M$4:$M$2136,"VND",Movement!$C$4:$C$2136,Table11[[#This Row],[ACCOUNT NUMBER]],Movement!$J$4:$J$2136,Table11[[#This Row],[ENTITY]],Movement!$O$4:$O$2136,'Cash Balance'!$A$2)</f>
        <v>0</v>
      </c>
      <c r="J159" s="1318">
        <f>SUMIFS(Movement!$G$4:$G$2136,Movement!$M$4:$M$2136,"VND",Movement!$C$4:$C$2136,Table11[[#This Row],[ACCOUNT NUMBER]],Movement!$J$4:$J$2136,Table11[[#This Row],[ENTITY]],Movement!$O$4:$O$2136,'Cash Balance'!$A$2)</f>
        <v>0</v>
      </c>
      <c r="K159" s="1084">
        <f>Table11[[#This Row],[CASH IN - CREDIT (VND)]]-Table11[[#This Row],[CASH OUT - DEBIT (VND)]]</f>
        <v>0</v>
      </c>
      <c r="L159" s="1095">
        <f t="shared" si="17"/>
        <v>41643993</v>
      </c>
      <c r="M159" s="1184" t="e">
        <f>VLOOKUP(C159,'Cash balance (BS)'!A:D,4,)</f>
        <v>#N/A</v>
      </c>
      <c r="N159" s="1095" t="e">
        <f>Table11[[#This Row],[CLOSING BALANCE (VND)2]]-Table11[[#This Row],[CB_BS (VND)]]</f>
        <v>#N/A</v>
      </c>
      <c r="O159" s="1094">
        <v>0</v>
      </c>
      <c r="P159" s="1095">
        <f t="shared" si="18"/>
        <v>0</v>
      </c>
      <c r="Q159" s="817">
        <f>SUMIFS('Cash balance (Prior period)'!G:G,'Cash balance (Prior period)'!C:C,Table11[[#This Row],[ACCOUNT NUMBER]],'Cash balance (Prior period)'!E:E,Table11[[#This Row],[CURRENCY]])</f>
        <v>0</v>
      </c>
      <c r="R159" s="817">
        <f>SUMIFS(Movement!$F$4:$F$2136,Movement!$M$4:$M$2136,"USD",Movement!$C$4:$C$2136,Table11[[#This Row],[ACCOUNT NUMBER]],Movement!$J$4:$J$2136,Table11[[#This Row],[ENTITY]],Movement!$O$4:$O$2136,'Cash Balance'!$A$2)</f>
        <v>0</v>
      </c>
      <c r="S159" s="817">
        <f>SUMIFS(Movement!$G$4:$G$2136,Movement!$M$4:$M$2136,"USD",Movement!$C$4:$C$2136,Table11[[#This Row],[ACCOUNT NUMBER]],Movement!$J$4:$J$2136,Table11[[#This Row],[ENTITY]],Movement!$O$4:$O$2136,'Cash Balance'!$A$2)</f>
        <v>0</v>
      </c>
      <c r="T159" s="1087">
        <f t="shared" si="19"/>
        <v>0</v>
      </c>
      <c r="U159" s="817" t="e">
        <f>VLOOKUP(C159,'Cash balance (BS)'!A:D,4,)</f>
        <v>#N/A</v>
      </c>
      <c r="V159" s="817" t="e">
        <f>Table11[[#This Row],[CLOSING BALANCE (USD)]]-Table11[[#This Row],[CB_BS (USD)]]</f>
        <v>#N/A</v>
      </c>
      <c r="W159" s="1156" t="str">
        <f>VLOOKUP('Cash Balance'!$C159,Table2[#All],MATCH('Cash Balance'!W$3,Acc_Char!$B$1:$I$1,0),0)</f>
        <v>Subsidiaries</v>
      </c>
      <c r="X159" s="1156" t="str">
        <f>VLOOKUP(IFERROR(MID($Y159,1,FIND("-",$Y159)-2),$Y159),Table3[#All],2,0)</f>
        <v>VTB</v>
      </c>
      <c r="Y159" s="1156" t="str">
        <f>VLOOKUP($B159,Table4[#All],2,0)</f>
        <v>VIETINBANK - TIEN SON</v>
      </c>
      <c r="Z159" s="1151"/>
      <c r="AA159" s="49"/>
      <c r="AE159" s="818">
        <f>SUM(Table11[[#This Row],[CASH IN - CREDIT (VND)]],Table11[[#This Row],[CASH IN - CREDIT (USD)]])</f>
        <v>0</v>
      </c>
      <c r="AF159" s="818">
        <f>Table11[[#This Row],[CASH OUT - DEBIT (VND)]]+Table11[[#This Row],[CASH OUT - DEBIT (USD)]]</f>
        <v>0</v>
      </c>
      <c r="AH159" s="1158"/>
      <c r="AI159" s="49"/>
      <c r="AJ159" s="1158"/>
      <c r="AL159"/>
      <c r="AM159"/>
    </row>
    <row r="160" spans="1:39" ht="14.4">
      <c r="A160" s="1153" t="str">
        <f>VLOOKUP('Cash Balance'!$C160,Table2[#All],MATCH('Cash Balance'!A$3,Acc_Char!$B$1:$I$1,0),0)</f>
        <v>HOLDCO4H</v>
      </c>
      <c r="B160" s="1154" t="str">
        <f>VLOOKUP('Cash Balance'!$C160,Table2[#All],MATCH('Cash Balance'!B$3,Acc_Char!$B$1:$I$1,0),0)</f>
        <v>VIETINBANK - TIEN SON</v>
      </c>
      <c r="C160" s="1156" t="s">
        <v>674</v>
      </c>
      <c r="D160" s="1156" t="str">
        <f>VLOOKUP('Cash Balance'!$C160,Table2[#All],MATCH('Cash Balance'!D$3,Acc_Char!$B$1:$I$1,0),0)</f>
        <v>Current Account</v>
      </c>
      <c r="E160" s="384" t="str">
        <f>VLOOKUP('Cash Balance'!$C160,Table2[#All],MATCH('Cash Balance'!E$3,Acc_Char!$B$1:$I$1,0),0)</f>
        <v>VND</v>
      </c>
      <c r="F160" s="1094" t="e">
        <f>VLOOKUP(C160,'Cash balance (BS)'!A:C,3,)</f>
        <v>#N/A</v>
      </c>
      <c r="G160" s="1157" t="e">
        <f t="shared" ref="G160:G170" si="21">F160-H160</f>
        <v>#N/A</v>
      </c>
      <c r="H160" s="1318">
        <f>SUMIFS('Cash balance (Prior period)'!F:F,'Cash balance (Prior period)'!C:C,Table11[[#This Row],[ACCOUNT NUMBER]],'Cash balance (Prior period)'!E:E,Table11[[#This Row],[CURRENCY]])</f>
        <v>37689429</v>
      </c>
      <c r="I160" s="1318">
        <f>SUMIFS(Movement!$F$4:$F$2136,Movement!$M$4:$M$2136,"VND",Movement!$C$4:$C$2136,Table11[[#This Row],[ACCOUNT NUMBER]],Movement!$J$4:$J$2136,Table11[[#This Row],[ENTITY]],Movement!$O$4:$O$2136,'Cash Balance'!$A$2)</f>
        <v>0</v>
      </c>
      <c r="J160" s="1318">
        <f>SUMIFS(Movement!$G$4:$G$2136,Movement!$M$4:$M$2136,"VND",Movement!$C$4:$C$2136,Table11[[#This Row],[ACCOUNT NUMBER]],Movement!$J$4:$J$2136,Table11[[#This Row],[ENTITY]],Movement!$O$4:$O$2136,'Cash Balance'!$A$2)</f>
        <v>0</v>
      </c>
      <c r="K160" s="1084">
        <f>Table11[[#This Row],[CASH IN - CREDIT (VND)]]-Table11[[#This Row],[CASH OUT - DEBIT (VND)]]</f>
        <v>0</v>
      </c>
      <c r="L160" s="1095">
        <f t="shared" si="17"/>
        <v>37689429</v>
      </c>
      <c r="M160" s="1184" t="e">
        <f>VLOOKUP(C160,'Cash balance (BS)'!A:D,4,)</f>
        <v>#N/A</v>
      </c>
      <c r="N160" s="1095" t="e">
        <f>Table11[[#This Row],[CLOSING BALANCE (VND)2]]-Table11[[#This Row],[CB_BS (VND)]]</f>
        <v>#N/A</v>
      </c>
      <c r="O160" s="1094">
        <v>0</v>
      </c>
      <c r="P160" s="1095">
        <f t="shared" si="18"/>
        <v>0</v>
      </c>
      <c r="Q160" s="817">
        <f>SUMIFS('Cash balance (Prior period)'!G:G,'Cash balance (Prior period)'!C:C,Table11[[#This Row],[ACCOUNT NUMBER]],'Cash balance (Prior period)'!E:E,Table11[[#This Row],[CURRENCY]])</f>
        <v>0</v>
      </c>
      <c r="R160" s="817">
        <f>SUMIFS(Movement!$F$4:$F$2136,Movement!$M$4:$M$2136,"USD",Movement!$C$4:$C$2136,Table11[[#This Row],[ACCOUNT NUMBER]],Movement!$J$4:$J$2136,Table11[[#This Row],[ENTITY]],Movement!$O$4:$O$2136,'Cash Balance'!$A$2)</f>
        <v>0</v>
      </c>
      <c r="S160" s="817">
        <f>SUMIFS(Movement!$G$4:$G$2136,Movement!$M$4:$M$2136,"USD",Movement!$C$4:$C$2136,Table11[[#This Row],[ACCOUNT NUMBER]],Movement!$J$4:$J$2136,Table11[[#This Row],[ENTITY]],Movement!$O$4:$O$2136,'Cash Balance'!$A$2)</f>
        <v>0</v>
      </c>
      <c r="T160" s="1087">
        <f t="shared" si="19"/>
        <v>0</v>
      </c>
      <c r="U160" s="817"/>
      <c r="V160" s="817">
        <f>Table11[[#This Row],[CLOSING BALANCE (USD)]]-Table11[[#This Row],[CB_BS (USD)]]</f>
        <v>0</v>
      </c>
      <c r="W160" s="1156" t="str">
        <f>VLOOKUP('Cash Balance'!$C160,Table2[#All],MATCH('Cash Balance'!W$3,Acc_Char!$B$1:$I$1,0),0)</f>
        <v>Subsidiaries</v>
      </c>
      <c r="X160" s="1156" t="str">
        <f>VLOOKUP(IFERROR(MID($Y160,1,FIND("-",$Y160)-2),$Y160),Table3[#All],2,0)</f>
        <v>VTB</v>
      </c>
      <c r="Y160" s="1156" t="str">
        <f>VLOOKUP($B160,Table4[#All],2,0)</f>
        <v>VIETINBANK - TIEN SON</v>
      </c>
      <c r="Z160" s="1151"/>
      <c r="AA160" s="49"/>
      <c r="AE160" s="818">
        <f>SUM(Table11[[#This Row],[CASH IN - CREDIT (VND)]],Table11[[#This Row],[CASH IN - CREDIT (USD)]])</f>
        <v>0</v>
      </c>
      <c r="AF160" s="818">
        <f>Table11[[#This Row],[CASH OUT - DEBIT (VND)]]+Table11[[#This Row],[CASH OUT - DEBIT (USD)]]</f>
        <v>0</v>
      </c>
      <c r="AH160" s="1158"/>
      <c r="AI160" s="49"/>
      <c r="AJ160" s="1158"/>
      <c r="AL160"/>
      <c r="AM160"/>
    </row>
    <row r="161" spans="1:39" ht="14.4">
      <c r="A161" s="1153" t="str">
        <f>VLOOKUP('Cash Balance'!$C161,Table2[#All],MATCH('Cash Balance'!A$3,Acc_Char!$B$1:$I$1,0),0)</f>
        <v>HOLDCO4H</v>
      </c>
      <c r="B161" s="1154" t="str">
        <f>VLOOKUP('Cash Balance'!$C161,Table2[#All],MATCH('Cash Balance'!B$3,Acc_Char!$B$1:$I$1,0),0)</f>
        <v>OCB - BINH DUONG</v>
      </c>
      <c r="C161" s="1156" t="s">
        <v>675</v>
      </c>
      <c r="D161" s="1156" t="str">
        <f>VLOOKUP('Cash Balance'!$C161,Table2[#All],MATCH('Cash Balance'!D$3,Acc_Char!$B$1:$I$1,0),0)</f>
        <v>Current Account</v>
      </c>
      <c r="E161" s="384" t="str">
        <f>VLOOKUP('Cash Balance'!$C161,Table2[#All],MATCH('Cash Balance'!E$3,Acc_Char!$B$1:$I$1,0),0)</f>
        <v>VND</v>
      </c>
      <c r="F161" s="1094" t="e">
        <f>VLOOKUP(C161,'Cash balance (BS)'!A:C,3,)</f>
        <v>#N/A</v>
      </c>
      <c r="G161" s="1157" t="e">
        <f t="shared" si="21"/>
        <v>#N/A</v>
      </c>
      <c r="H161" s="1318">
        <f>SUMIFS('Cash balance (Prior period)'!F:F,'Cash balance (Prior period)'!C:C,Table11[[#This Row],[ACCOUNT NUMBER]],'Cash balance (Prior period)'!E:E,Table11[[#This Row],[CURRENCY]])</f>
        <v>4195253</v>
      </c>
      <c r="I161" s="1318">
        <f>SUMIFS(Movement!$F$4:$F$2136,Movement!$M$4:$M$2136,"VND",Movement!$C$4:$C$2136,Table11[[#This Row],[ACCOUNT NUMBER]],Movement!$J$4:$J$2136,Table11[[#This Row],[ENTITY]],Movement!$O$4:$O$2136,'Cash Balance'!$A$2)</f>
        <v>0</v>
      </c>
      <c r="J161" s="1318">
        <f>SUMIFS(Movement!$G$4:$G$2136,Movement!$M$4:$M$2136,"VND",Movement!$C$4:$C$2136,Table11[[#This Row],[ACCOUNT NUMBER]],Movement!$J$4:$J$2136,Table11[[#This Row],[ENTITY]],Movement!$O$4:$O$2136,'Cash Balance'!$A$2)</f>
        <v>0</v>
      </c>
      <c r="K161" s="1084">
        <f>Table11[[#This Row],[CASH IN - CREDIT (VND)]]-Table11[[#This Row],[CASH OUT - DEBIT (VND)]]</f>
        <v>0</v>
      </c>
      <c r="L161" s="1095">
        <f t="shared" si="17"/>
        <v>4195253</v>
      </c>
      <c r="M161" s="1184" t="e">
        <f>VLOOKUP(C161,'Cash balance (BS)'!A:D,4,)</f>
        <v>#N/A</v>
      </c>
      <c r="N161" s="1095" t="e">
        <f>Table11[[#This Row],[CLOSING BALANCE (VND)2]]-Table11[[#This Row],[CB_BS (VND)]]</f>
        <v>#N/A</v>
      </c>
      <c r="O161" s="1094">
        <v>0</v>
      </c>
      <c r="P161" s="1095">
        <f t="shared" si="18"/>
        <v>0</v>
      </c>
      <c r="Q161" s="817">
        <f>SUMIFS('Cash balance (Prior period)'!G:G,'Cash balance (Prior period)'!C:C,Table11[[#This Row],[ACCOUNT NUMBER]],'Cash balance (Prior period)'!E:E,Table11[[#This Row],[CURRENCY]])</f>
        <v>0</v>
      </c>
      <c r="R161" s="817">
        <f>SUMIFS(Movement!$F$4:$F$2136,Movement!$M$4:$M$2136,"USD",Movement!$C$4:$C$2136,Table11[[#This Row],[ACCOUNT NUMBER]],Movement!$J$4:$J$2136,Table11[[#This Row],[ENTITY]],Movement!$O$4:$O$2136,'Cash Balance'!$A$2)</f>
        <v>0</v>
      </c>
      <c r="S161" s="817">
        <f>SUMIFS(Movement!$G$4:$G$2136,Movement!$M$4:$M$2136,"USD",Movement!$C$4:$C$2136,Table11[[#This Row],[ACCOUNT NUMBER]],Movement!$J$4:$J$2136,Table11[[#This Row],[ENTITY]],Movement!$O$4:$O$2136,'Cash Balance'!$A$2)</f>
        <v>0</v>
      </c>
      <c r="T161" s="1087">
        <f t="shared" si="19"/>
        <v>0</v>
      </c>
      <c r="U161" s="817"/>
      <c r="V161" s="817">
        <f>Table11[[#This Row],[CLOSING BALANCE (USD)]]-Table11[[#This Row],[CB_BS (USD)]]</f>
        <v>0</v>
      </c>
      <c r="W161" s="1156" t="str">
        <f>VLOOKUP('Cash Balance'!$C161,Table2[#All],MATCH('Cash Balance'!W$3,Acc_Char!$B$1:$I$1,0),0)</f>
        <v>Subsidiaries</v>
      </c>
      <c r="X161" s="1156" t="str">
        <f>VLOOKUP(IFERROR(MID($Y161,1,FIND("-",$Y161)-2),$Y161),Table3[#All],2,0)</f>
        <v>OCB</v>
      </c>
      <c r="Y161" s="1156" t="str">
        <f>VLOOKUP($B161,Table4[#All],2,0)</f>
        <v>OCB - BINH DUONG</v>
      </c>
      <c r="Z161" s="1151"/>
      <c r="AA161" s="49"/>
      <c r="AE161" s="818">
        <f>SUM(Table11[[#This Row],[CASH IN - CREDIT (VND)]],Table11[[#This Row],[CASH IN - CREDIT (USD)]])</f>
        <v>0</v>
      </c>
      <c r="AF161" s="818">
        <f>Table11[[#This Row],[CASH OUT - DEBIT (VND)]]+Table11[[#This Row],[CASH OUT - DEBIT (USD)]]</f>
        <v>0</v>
      </c>
      <c r="AH161" s="1158"/>
      <c r="AI161" s="49"/>
      <c r="AJ161" s="1158"/>
      <c r="AL161"/>
      <c r="AM161"/>
    </row>
    <row r="162" spans="1:39" ht="14.4">
      <c r="A162" s="1153" t="str">
        <f>VLOOKUP('Cash Balance'!$C162,Table2[#All],MATCH('Cash Balance'!A$3,Acc_Char!$B$1:$I$1,0),0)</f>
        <v>HOLDCO4G</v>
      </c>
      <c r="B162" s="1154" t="str">
        <f>VLOOKUP('Cash Balance'!$C162,Table2[#All],MATCH('Cash Balance'!B$3,Acc_Char!$B$1:$I$1,0),0)</f>
        <v>VIETINBANK - TIEN SON</v>
      </c>
      <c r="C162" s="1156" t="s">
        <v>677</v>
      </c>
      <c r="D162" s="1156" t="str">
        <f>VLOOKUP('Cash Balance'!$C162,Table2[#All],MATCH('Cash Balance'!D$3,Acc_Char!$B$1:$I$1,0),0)</f>
        <v>Current Account</v>
      </c>
      <c r="E162" s="384" t="str">
        <f>VLOOKUP('Cash Balance'!$C162,Table2[#All],MATCH('Cash Balance'!E$3,Acc_Char!$B$1:$I$1,0),0)</f>
        <v>VND</v>
      </c>
      <c r="F162" s="1094" t="e">
        <f>VLOOKUP(C162,'Cash balance (BS)'!A:C,3,)</f>
        <v>#N/A</v>
      </c>
      <c r="G162" s="1157" t="e">
        <f t="shared" si="21"/>
        <v>#N/A</v>
      </c>
      <c r="H162" s="1318">
        <f>SUMIFS('Cash balance (Prior period)'!F:F,'Cash balance (Prior period)'!C:C,Table11[[#This Row],[ACCOUNT NUMBER]],'Cash balance (Prior period)'!E:E,Table11[[#This Row],[CURRENCY]])</f>
        <v>38032666</v>
      </c>
      <c r="I162" s="1318">
        <f>SUMIFS(Movement!$F$4:$F$2136,Movement!$M$4:$M$2136,"VND",Movement!$C$4:$C$2136,Table11[[#This Row],[ACCOUNT NUMBER]],Movement!$J$4:$J$2136,Table11[[#This Row],[ENTITY]],Movement!$O$4:$O$2136,'Cash Balance'!$A$2)</f>
        <v>0</v>
      </c>
      <c r="J162" s="1318">
        <f>SUMIFS(Movement!$G$4:$G$2136,Movement!$M$4:$M$2136,"VND",Movement!$C$4:$C$2136,Table11[[#This Row],[ACCOUNT NUMBER]],Movement!$J$4:$J$2136,Table11[[#This Row],[ENTITY]],Movement!$O$4:$O$2136,'Cash Balance'!$A$2)</f>
        <v>0</v>
      </c>
      <c r="K162" s="1084">
        <f>Table11[[#This Row],[CASH IN - CREDIT (VND)]]-Table11[[#This Row],[CASH OUT - DEBIT (VND)]]</f>
        <v>0</v>
      </c>
      <c r="L162" s="1095">
        <f t="shared" si="17"/>
        <v>38032666</v>
      </c>
      <c r="M162" s="1184" t="e">
        <f>VLOOKUP(C162,'Cash balance (BS)'!A:D,4,)</f>
        <v>#N/A</v>
      </c>
      <c r="N162" s="1095" t="e">
        <f>Table11[[#This Row],[CLOSING BALANCE (VND)2]]-Table11[[#This Row],[CB_BS (VND)]]</f>
        <v>#N/A</v>
      </c>
      <c r="O162" s="1094">
        <v>0</v>
      </c>
      <c r="P162" s="1095">
        <f t="shared" si="18"/>
        <v>0</v>
      </c>
      <c r="Q162" s="817">
        <f>SUMIFS('Cash balance (Prior period)'!G:G,'Cash balance (Prior period)'!C:C,Table11[[#This Row],[ACCOUNT NUMBER]],'Cash balance (Prior period)'!E:E,Table11[[#This Row],[CURRENCY]])</f>
        <v>0</v>
      </c>
      <c r="R162" s="817">
        <f>SUMIFS(Movement!$F$4:$F$2136,Movement!$M$4:$M$2136,"USD",Movement!$C$4:$C$2136,Table11[[#This Row],[ACCOUNT NUMBER]],Movement!$J$4:$J$2136,Table11[[#This Row],[ENTITY]],Movement!$O$4:$O$2136,'Cash Balance'!$A$2)</f>
        <v>0</v>
      </c>
      <c r="S162" s="817">
        <f>SUMIFS(Movement!$G$4:$G$2136,Movement!$M$4:$M$2136,"USD",Movement!$C$4:$C$2136,Table11[[#This Row],[ACCOUNT NUMBER]],Movement!$J$4:$J$2136,Table11[[#This Row],[ENTITY]],Movement!$O$4:$O$2136,'Cash Balance'!$A$2)</f>
        <v>0</v>
      </c>
      <c r="T162" s="1087">
        <f t="shared" si="19"/>
        <v>0</v>
      </c>
      <c r="U162" s="817"/>
      <c r="V162" s="817">
        <f>Table11[[#This Row],[CLOSING BALANCE (USD)]]-Table11[[#This Row],[CB_BS (USD)]]</f>
        <v>0</v>
      </c>
      <c r="W162" s="1156" t="str">
        <f>VLOOKUP('Cash Balance'!$C162,Table2[#All],MATCH('Cash Balance'!W$3,Acc_Char!$B$1:$I$1,0),0)</f>
        <v>Subsidiaries</v>
      </c>
      <c r="X162" s="1156" t="str">
        <f>VLOOKUP(IFERROR(MID($Y162,1,FIND("-",$Y162)-2),$Y162),Table3[#All],2,0)</f>
        <v>VTB</v>
      </c>
      <c r="Y162" s="1156" t="str">
        <f>VLOOKUP($B162,Table4[#All],2,0)</f>
        <v>VIETINBANK - TIEN SON</v>
      </c>
      <c r="Z162" s="1151"/>
      <c r="AA162" s="49"/>
      <c r="AE162" s="818">
        <f>SUM(Table11[[#This Row],[CASH IN - CREDIT (VND)]],Table11[[#This Row],[CASH IN - CREDIT (USD)]])</f>
        <v>0</v>
      </c>
      <c r="AF162" s="818">
        <f>Table11[[#This Row],[CASH OUT - DEBIT (VND)]]+Table11[[#This Row],[CASH OUT - DEBIT (USD)]]</f>
        <v>0</v>
      </c>
      <c r="AH162" s="1158"/>
      <c r="AI162" s="49"/>
      <c r="AJ162" s="1158"/>
      <c r="AL162"/>
      <c r="AM162"/>
    </row>
    <row r="163" spans="1:39" ht="14.4">
      <c r="A163" s="1153" t="str">
        <f>VLOOKUP('Cash Balance'!$C163,Table2[#All],MATCH('Cash Balance'!A$3,Acc_Char!$B$1:$I$1,0),0)</f>
        <v>HOLDCO4I</v>
      </c>
      <c r="B163" s="1154" t="str">
        <f>VLOOKUP('Cash Balance'!$C163,Table2[#All],MATCH('Cash Balance'!B$3,Acc_Char!$B$1:$I$1,0),0)</f>
        <v>VIETINBANK - TIEN SON</v>
      </c>
      <c r="C163" s="1156" t="s">
        <v>679</v>
      </c>
      <c r="D163" s="1156" t="str">
        <f>VLOOKUP('Cash Balance'!$C163,Table2[#All],MATCH('Cash Balance'!D$3,Acc_Char!$B$1:$I$1,0),0)</f>
        <v>Current Account</v>
      </c>
      <c r="E163" s="384" t="str">
        <f>VLOOKUP('Cash Balance'!$C163,Table2[#All],MATCH('Cash Balance'!E$3,Acc_Char!$B$1:$I$1,0),0)</f>
        <v>VND</v>
      </c>
      <c r="F163" s="1094" t="e">
        <f>VLOOKUP(C163,'Cash balance (BS)'!A:C,3,)</f>
        <v>#N/A</v>
      </c>
      <c r="G163" s="1157" t="e">
        <f t="shared" si="21"/>
        <v>#N/A</v>
      </c>
      <c r="H163" s="1318">
        <f>SUMIFS('Cash balance (Prior period)'!F:F,'Cash balance (Prior period)'!C:C,Table11[[#This Row],[ACCOUNT NUMBER]],'Cash balance (Prior period)'!E:E,Table11[[#This Row],[CURRENCY]])</f>
        <v>40682768</v>
      </c>
      <c r="I163" s="1318">
        <f>SUMIFS(Movement!$F$4:$F$2136,Movement!$M$4:$M$2136,"VND",Movement!$C$4:$C$2136,Table11[[#This Row],[ACCOUNT NUMBER]],Movement!$J$4:$J$2136,Table11[[#This Row],[ENTITY]],Movement!$O$4:$O$2136,'Cash Balance'!$A$2)</f>
        <v>0</v>
      </c>
      <c r="J163" s="1318">
        <f>SUMIFS(Movement!$G$4:$G$2136,Movement!$M$4:$M$2136,"VND",Movement!$C$4:$C$2136,Table11[[#This Row],[ACCOUNT NUMBER]],Movement!$J$4:$J$2136,Table11[[#This Row],[ENTITY]],Movement!$O$4:$O$2136,'Cash Balance'!$A$2)</f>
        <v>0</v>
      </c>
      <c r="K163" s="1084">
        <f>Table11[[#This Row],[CASH IN - CREDIT (VND)]]-Table11[[#This Row],[CASH OUT - DEBIT (VND)]]</f>
        <v>0</v>
      </c>
      <c r="L163" s="1095">
        <f t="shared" si="17"/>
        <v>40682768</v>
      </c>
      <c r="M163" s="1184" t="e">
        <f>VLOOKUP(C163,'Cash balance (BS)'!A:D,4,)</f>
        <v>#N/A</v>
      </c>
      <c r="N163" s="1095" t="e">
        <f>Table11[[#This Row],[CLOSING BALANCE (VND)2]]-Table11[[#This Row],[CB_BS (VND)]]</f>
        <v>#N/A</v>
      </c>
      <c r="O163" s="1094">
        <v>0</v>
      </c>
      <c r="P163" s="1095">
        <f t="shared" si="18"/>
        <v>0</v>
      </c>
      <c r="Q163" s="817">
        <f>SUMIFS('Cash balance (Prior period)'!G:G,'Cash balance (Prior period)'!C:C,Table11[[#This Row],[ACCOUNT NUMBER]],'Cash balance (Prior period)'!E:E,Table11[[#This Row],[CURRENCY]])</f>
        <v>0</v>
      </c>
      <c r="R163" s="817">
        <f>SUMIFS(Movement!$F$4:$F$2136,Movement!$M$4:$M$2136,"USD",Movement!$C$4:$C$2136,Table11[[#This Row],[ACCOUNT NUMBER]],Movement!$J$4:$J$2136,Table11[[#This Row],[ENTITY]],Movement!$O$4:$O$2136,'Cash Balance'!$A$2)</f>
        <v>0</v>
      </c>
      <c r="S163" s="817">
        <f>SUMIFS(Movement!$G$4:$G$2136,Movement!$M$4:$M$2136,"USD",Movement!$C$4:$C$2136,Table11[[#This Row],[ACCOUNT NUMBER]],Movement!$J$4:$J$2136,Table11[[#This Row],[ENTITY]],Movement!$O$4:$O$2136,'Cash Balance'!$A$2)</f>
        <v>0</v>
      </c>
      <c r="T163" s="1087">
        <f t="shared" si="19"/>
        <v>0</v>
      </c>
      <c r="U163" s="817"/>
      <c r="V163" s="817">
        <f>Table11[[#This Row],[CLOSING BALANCE (USD)]]-Table11[[#This Row],[CB_BS (USD)]]</f>
        <v>0</v>
      </c>
      <c r="W163" s="1156" t="str">
        <f>VLOOKUP('Cash Balance'!$C163,Table2[#All],MATCH('Cash Balance'!W$3,Acc_Char!$B$1:$I$1,0),0)</f>
        <v>Subsidiaries</v>
      </c>
      <c r="X163" s="1156" t="str">
        <f>VLOOKUP(IFERROR(MID($Y163,1,FIND("-",$Y163)-2),$Y163),Table3[#All],2,0)</f>
        <v>VTB</v>
      </c>
      <c r="Y163" s="1156" t="str">
        <f>VLOOKUP($B163,Table4[#All],2,0)</f>
        <v>VIETINBANK - TIEN SON</v>
      </c>
      <c r="Z163" s="1151"/>
      <c r="AA163" s="49"/>
      <c r="AE163" s="818">
        <f>SUM(Table11[[#This Row],[CASH IN - CREDIT (VND)]],Table11[[#This Row],[CASH IN - CREDIT (USD)]])</f>
        <v>0</v>
      </c>
      <c r="AF163" s="818">
        <f>Table11[[#This Row],[CASH OUT - DEBIT (VND)]]+Table11[[#This Row],[CASH OUT - DEBIT (USD)]]</f>
        <v>0</v>
      </c>
      <c r="AH163" s="1158"/>
      <c r="AI163" s="49"/>
      <c r="AJ163" s="1158"/>
      <c r="AL163"/>
      <c r="AM163"/>
    </row>
    <row r="164" spans="1:39" ht="14.4">
      <c r="A164" s="1153" t="str">
        <f>VLOOKUP('Cash Balance'!$C164,Table2[#All],MATCH('Cash Balance'!A$3,Acc_Char!$B$1:$I$1,0),0)</f>
        <v>HOLDCO4J</v>
      </c>
      <c r="B164" s="1154" t="str">
        <f>VLOOKUP('Cash Balance'!$C164,Table2[#All],MATCH('Cash Balance'!B$3,Acc_Char!$B$1:$I$1,0),0)</f>
        <v>VIETINBANK - TIEN SON</v>
      </c>
      <c r="C164" s="1156" t="s">
        <v>681</v>
      </c>
      <c r="D164" s="1156" t="str">
        <f>VLOOKUP('Cash Balance'!$C164,Table2[#All],MATCH('Cash Balance'!D$3,Acc_Char!$B$1:$I$1,0),0)</f>
        <v>Current Account</v>
      </c>
      <c r="E164" s="384" t="str">
        <f>VLOOKUP('Cash Balance'!$C164,Table2[#All],MATCH('Cash Balance'!E$3,Acc_Char!$B$1:$I$1,0),0)</f>
        <v>VND</v>
      </c>
      <c r="F164" s="1094" t="e">
        <f>VLOOKUP(C164,'Cash balance (BS)'!A:C,3,)</f>
        <v>#N/A</v>
      </c>
      <c r="G164" s="1157" t="e">
        <f t="shared" si="21"/>
        <v>#N/A</v>
      </c>
      <c r="H164" s="1318">
        <f>SUMIFS('Cash balance (Prior period)'!F:F,'Cash balance (Prior period)'!C:C,Table11[[#This Row],[ACCOUNT NUMBER]],'Cash balance (Prior period)'!E:E,Table11[[#This Row],[CURRENCY]])</f>
        <v>30107417</v>
      </c>
      <c r="I164" s="1318">
        <f>SUMIFS(Movement!$F$4:$F$2136,Movement!$M$4:$M$2136,"VND",Movement!$C$4:$C$2136,Table11[[#This Row],[ACCOUNT NUMBER]],Movement!$J$4:$J$2136,Table11[[#This Row],[ENTITY]],Movement!$O$4:$O$2136,'Cash Balance'!$A$2)</f>
        <v>0</v>
      </c>
      <c r="J164" s="1318">
        <f>SUMIFS(Movement!$G$4:$G$2136,Movement!$M$4:$M$2136,"VND",Movement!$C$4:$C$2136,Table11[[#This Row],[ACCOUNT NUMBER]],Movement!$J$4:$J$2136,Table11[[#This Row],[ENTITY]],Movement!$O$4:$O$2136,'Cash Balance'!$A$2)</f>
        <v>0</v>
      </c>
      <c r="K164" s="1084">
        <f>Table11[[#This Row],[CASH IN - CREDIT (VND)]]-Table11[[#This Row],[CASH OUT - DEBIT (VND)]]</f>
        <v>0</v>
      </c>
      <c r="L164" s="1095">
        <f t="shared" si="17"/>
        <v>30107417</v>
      </c>
      <c r="M164" s="1184" t="e">
        <f>VLOOKUP(C164,'Cash balance (BS)'!A:D,4,)</f>
        <v>#N/A</v>
      </c>
      <c r="N164" s="1095" t="e">
        <f>Table11[[#This Row],[CLOSING BALANCE (VND)2]]-Table11[[#This Row],[CB_BS (VND)]]</f>
        <v>#N/A</v>
      </c>
      <c r="O164" s="1094">
        <v>0</v>
      </c>
      <c r="P164" s="1095">
        <f t="shared" si="18"/>
        <v>0</v>
      </c>
      <c r="Q164" s="817">
        <f>SUMIFS('Cash balance (Prior period)'!G:G,'Cash balance (Prior period)'!C:C,Table11[[#This Row],[ACCOUNT NUMBER]],'Cash balance (Prior period)'!E:E,Table11[[#This Row],[CURRENCY]])</f>
        <v>0</v>
      </c>
      <c r="R164" s="817">
        <f>SUMIFS(Movement!$F$4:$F$2136,Movement!$M$4:$M$2136,"USD",Movement!$C$4:$C$2136,Table11[[#This Row],[ACCOUNT NUMBER]],Movement!$J$4:$J$2136,Table11[[#This Row],[ENTITY]],Movement!$O$4:$O$2136,'Cash Balance'!$A$2)</f>
        <v>0</v>
      </c>
      <c r="S164" s="817">
        <f>SUMIFS(Movement!$G$4:$G$2136,Movement!$M$4:$M$2136,"USD",Movement!$C$4:$C$2136,Table11[[#This Row],[ACCOUNT NUMBER]],Movement!$J$4:$J$2136,Table11[[#This Row],[ENTITY]],Movement!$O$4:$O$2136,'Cash Balance'!$A$2)</f>
        <v>0</v>
      </c>
      <c r="T164" s="1087">
        <f t="shared" si="19"/>
        <v>0</v>
      </c>
      <c r="U164" s="817"/>
      <c r="V164" s="817">
        <f>Table11[[#This Row],[CLOSING BALANCE (USD)]]-Table11[[#This Row],[CB_BS (USD)]]</f>
        <v>0</v>
      </c>
      <c r="W164" s="1156" t="str">
        <f>VLOOKUP('Cash Balance'!$C164,Table2[#All],MATCH('Cash Balance'!W$3,Acc_Char!$B$1:$I$1,0),0)</f>
        <v>Subsidiaries</v>
      </c>
      <c r="X164" s="1156" t="str">
        <f>VLOOKUP(IFERROR(MID($Y164,1,FIND("-",$Y164)-2),$Y164),Table3[#All],2,0)</f>
        <v>VTB</v>
      </c>
      <c r="Y164" s="1156" t="str">
        <f>VLOOKUP($B164,Table4[#All],2,0)</f>
        <v>VIETINBANK - TIEN SON</v>
      </c>
      <c r="Z164" s="1151"/>
      <c r="AA164" s="49"/>
      <c r="AE164" s="818">
        <f>SUM(Table11[[#This Row],[CASH IN - CREDIT (VND)]],Table11[[#This Row],[CASH IN - CREDIT (USD)]])</f>
        <v>0</v>
      </c>
      <c r="AF164" s="818">
        <f>Table11[[#This Row],[CASH OUT - DEBIT (VND)]]+Table11[[#This Row],[CASH OUT - DEBIT (USD)]]</f>
        <v>0</v>
      </c>
      <c r="AH164" s="1158"/>
      <c r="AI164" s="49"/>
      <c r="AJ164" s="1158"/>
      <c r="AL164"/>
      <c r="AM164"/>
    </row>
    <row r="165" spans="1:39" ht="14.4">
      <c r="A165" s="1153" t="str">
        <f>VLOOKUP('Cash Balance'!$C165,Table2[#All],MATCH('Cash Balance'!A$3,Acc_Char!$B$1:$I$1,0),0)</f>
        <v>HOLDCO4J</v>
      </c>
      <c r="B165" s="1154" t="str">
        <f>VLOOKUP('Cash Balance'!$C165,Table2[#All],MATCH('Cash Balance'!B$3,Acc_Char!$B$1:$I$1,0),0)</f>
        <v>OCB - BINH DUONG</v>
      </c>
      <c r="C165" s="1156" t="s">
        <v>682</v>
      </c>
      <c r="D165" s="1156" t="str">
        <f>VLOOKUP('Cash Balance'!$C165,Table2[#All],MATCH('Cash Balance'!D$3,Acc_Char!$B$1:$I$1,0),0)</f>
        <v>Current Account</v>
      </c>
      <c r="E165" s="384" t="str">
        <f>VLOOKUP('Cash Balance'!$C165,Table2[#All],MATCH('Cash Balance'!E$3,Acc_Char!$B$1:$I$1,0),0)</f>
        <v>VND</v>
      </c>
      <c r="F165" s="1094" t="e">
        <f>VLOOKUP(C165,'Cash balance (BS)'!A:C,3,)</f>
        <v>#N/A</v>
      </c>
      <c r="G165" s="1157" t="e">
        <f t="shared" si="21"/>
        <v>#N/A</v>
      </c>
      <c r="H165" s="1318">
        <f>SUMIFS('Cash balance (Prior period)'!F:F,'Cash balance (Prior period)'!C:C,Table11[[#This Row],[ACCOUNT NUMBER]],'Cash balance (Prior period)'!E:E,Table11[[#This Row],[CURRENCY]])</f>
        <v>5427044</v>
      </c>
      <c r="I165" s="1318">
        <f>SUMIFS(Movement!$F$4:$F$2136,Movement!$M$4:$M$2136,"VND",Movement!$C$4:$C$2136,Table11[[#This Row],[ACCOUNT NUMBER]],Movement!$J$4:$J$2136,Table11[[#This Row],[ENTITY]],Movement!$O$4:$O$2136,'Cash Balance'!$A$2)</f>
        <v>0</v>
      </c>
      <c r="J165" s="1318">
        <f>SUMIFS(Movement!$G$4:$G$2136,Movement!$M$4:$M$2136,"VND",Movement!$C$4:$C$2136,Table11[[#This Row],[ACCOUNT NUMBER]],Movement!$J$4:$J$2136,Table11[[#This Row],[ENTITY]],Movement!$O$4:$O$2136,'Cash Balance'!$A$2)</f>
        <v>0</v>
      </c>
      <c r="K165" s="1084">
        <f>Table11[[#This Row],[CASH IN - CREDIT (VND)]]-Table11[[#This Row],[CASH OUT - DEBIT (VND)]]</f>
        <v>0</v>
      </c>
      <c r="L165" s="1095">
        <f t="shared" si="17"/>
        <v>5427044</v>
      </c>
      <c r="M165" s="1184" t="e">
        <f>VLOOKUP(C165,'Cash balance (BS)'!A:D,4,)</f>
        <v>#N/A</v>
      </c>
      <c r="N165" s="1095" t="e">
        <f>Table11[[#This Row],[CLOSING BALANCE (VND)2]]-Table11[[#This Row],[CB_BS (VND)]]</f>
        <v>#N/A</v>
      </c>
      <c r="O165" s="1094">
        <v>0</v>
      </c>
      <c r="P165" s="1095">
        <f t="shared" si="18"/>
        <v>0</v>
      </c>
      <c r="Q165" s="817">
        <f>SUMIFS('Cash balance (Prior period)'!G:G,'Cash balance (Prior period)'!C:C,Table11[[#This Row],[ACCOUNT NUMBER]],'Cash balance (Prior period)'!E:E,Table11[[#This Row],[CURRENCY]])</f>
        <v>0</v>
      </c>
      <c r="R165" s="817">
        <f>SUMIFS(Movement!$F$4:$F$2136,Movement!$M$4:$M$2136,"USD",Movement!$C$4:$C$2136,Table11[[#This Row],[ACCOUNT NUMBER]],Movement!$J$4:$J$2136,Table11[[#This Row],[ENTITY]],Movement!$O$4:$O$2136,'Cash Balance'!$A$2)</f>
        <v>0</v>
      </c>
      <c r="S165" s="817">
        <f>SUMIFS(Movement!$G$4:$G$2136,Movement!$M$4:$M$2136,"USD",Movement!$C$4:$C$2136,Table11[[#This Row],[ACCOUNT NUMBER]],Movement!$J$4:$J$2136,Table11[[#This Row],[ENTITY]],Movement!$O$4:$O$2136,'Cash Balance'!$A$2)</f>
        <v>0</v>
      </c>
      <c r="T165" s="1087">
        <f t="shared" si="19"/>
        <v>0</v>
      </c>
      <c r="U165" s="817"/>
      <c r="V165" s="817">
        <f>Table11[[#This Row],[CLOSING BALANCE (USD)]]-Table11[[#This Row],[CB_BS (USD)]]</f>
        <v>0</v>
      </c>
      <c r="W165" s="1156" t="str">
        <f>VLOOKUP('Cash Balance'!$C165,Table2[#All],MATCH('Cash Balance'!W$3,Acc_Char!$B$1:$I$1,0),0)</f>
        <v>Subsidiaries</v>
      </c>
      <c r="X165" s="1156" t="str">
        <f>VLOOKUP(IFERROR(MID($Y165,1,FIND("-",$Y165)-2),$Y165),Table3[#All],2,0)</f>
        <v>OCB</v>
      </c>
      <c r="Y165" s="1156" t="str">
        <f>VLOOKUP($B165,Table4[#All],2,0)</f>
        <v>OCB - BINH DUONG</v>
      </c>
      <c r="Z165" s="1151"/>
      <c r="AA165" s="49"/>
      <c r="AE165" s="818">
        <f>SUM(Table11[[#This Row],[CASH IN - CREDIT (VND)]],Table11[[#This Row],[CASH IN - CREDIT (USD)]])</f>
        <v>0</v>
      </c>
      <c r="AF165" s="818">
        <f>Table11[[#This Row],[CASH OUT - DEBIT (VND)]]+Table11[[#This Row],[CASH OUT - DEBIT (USD)]]</f>
        <v>0</v>
      </c>
      <c r="AH165" s="1158"/>
      <c r="AI165" s="49"/>
      <c r="AJ165" s="1158"/>
      <c r="AL165"/>
      <c r="AM165"/>
    </row>
    <row r="166" spans="1:39" ht="14.4">
      <c r="A166" s="1153" t="str">
        <f>VLOOKUP('Cash Balance'!$C166,Table2[#All],MATCH('Cash Balance'!A$3,Acc_Char!$B$1:$I$1,0),0)</f>
        <v>HOLDCO5F</v>
      </c>
      <c r="B166" s="1154" t="str">
        <f>VLOOKUP('Cash Balance'!$C166,Table2[#All],MATCH('Cash Balance'!B$3,Acc_Char!$B$1:$I$1,0),0)</f>
        <v>VIETINBANK - TIEN SON</v>
      </c>
      <c r="C166" s="1156" t="s">
        <v>684</v>
      </c>
      <c r="D166" s="1156" t="str">
        <f>VLOOKUP('Cash Balance'!$C166,Table2[#All],MATCH('Cash Balance'!D$3,Acc_Char!$B$1:$I$1,0),0)</f>
        <v>Current Account</v>
      </c>
      <c r="E166" s="384" t="str">
        <f>VLOOKUP('Cash Balance'!$C166,Table2[#All],MATCH('Cash Balance'!E$3,Acc_Char!$B$1:$I$1,0),0)</f>
        <v>VND</v>
      </c>
      <c r="F166" s="1094" t="e">
        <f>VLOOKUP(C166,'Cash balance (BS)'!A:C,3,)</f>
        <v>#N/A</v>
      </c>
      <c r="G166" s="1157" t="e">
        <f t="shared" si="21"/>
        <v>#N/A</v>
      </c>
      <c r="H166" s="1318">
        <f>SUMIFS('Cash balance (Prior period)'!F:F,'Cash balance (Prior period)'!C:C,Table11[[#This Row],[ACCOUNT NUMBER]],'Cash balance (Prior period)'!E:E,Table11[[#This Row],[CURRENCY]])</f>
        <v>113728883</v>
      </c>
      <c r="I166" s="1318">
        <f>SUMIFS(Movement!$F$4:$F$2136,Movement!$M$4:$M$2136,"VND",Movement!$C$4:$C$2136,Table11[[#This Row],[ACCOUNT NUMBER]],Movement!$J$4:$J$2136,Table11[[#This Row],[ENTITY]],Movement!$O$4:$O$2136,'Cash Balance'!$A$2)</f>
        <v>0</v>
      </c>
      <c r="J166" s="1318">
        <f>SUMIFS(Movement!$G$4:$G$2136,Movement!$M$4:$M$2136,"VND",Movement!$C$4:$C$2136,Table11[[#This Row],[ACCOUNT NUMBER]],Movement!$J$4:$J$2136,Table11[[#This Row],[ENTITY]],Movement!$O$4:$O$2136,'Cash Balance'!$A$2)</f>
        <v>0</v>
      </c>
      <c r="K166" s="1084">
        <f>Table11[[#This Row],[CASH IN - CREDIT (VND)]]-Table11[[#This Row],[CASH OUT - DEBIT (VND)]]</f>
        <v>0</v>
      </c>
      <c r="L166" s="1095">
        <f t="shared" si="17"/>
        <v>113728883</v>
      </c>
      <c r="M166" s="1184" t="e">
        <f>VLOOKUP(C166,'Cash balance (BS)'!A:D,4,)</f>
        <v>#N/A</v>
      </c>
      <c r="N166" s="1095" t="e">
        <f>Table11[[#This Row],[CLOSING BALANCE (VND)2]]-Table11[[#This Row],[CB_BS (VND)]]</f>
        <v>#N/A</v>
      </c>
      <c r="O166" s="1094">
        <v>0</v>
      </c>
      <c r="P166" s="1095">
        <f t="shared" si="18"/>
        <v>0</v>
      </c>
      <c r="Q166" s="817">
        <f>SUMIFS('Cash balance (Prior period)'!G:G,'Cash balance (Prior period)'!C:C,Table11[[#This Row],[ACCOUNT NUMBER]],'Cash balance (Prior period)'!E:E,Table11[[#This Row],[CURRENCY]])</f>
        <v>0</v>
      </c>
      <c r="R166" s="817">
        <f>SUMIFS(Movement!$F$4:$F$2136,Movement!$M$4:$M$2136,"USD",Movement!$C$4:$C$2136,Table11[[#This Row],[ACCOUNT NUMBER]],Movement!$J$4:$J$2136,Table11[[#This Row],[ENTITY]],Movement!$O$4:$O$2136,'Cash Balance'!$A$2)</f>
        <v>0</v>
      </c>
      <c r="S166" s="817">
        <f>SUMIFS(Movement!$G$4:$G$2136,Movement!$M$4:$M$2136,"USD",Movement!$C$4:$C$2136,Table11[[#This Row],[ACCOUNT NUMBER]],Movement!$J$4:$J$2136,Table11[[#This Row],[ENTITY]],Movement!$O$4:$O$2136,'Cash Balance'!$A$2)</f>
        <v>0</v>
      </c>
      <c r="T166" s="1087">
        <f t="shared" si="19"/>
        <v>0</v>
      </c>
      <c r="U166" s="817"/>
      <c r="V166" s="817">
        <f>Table11[[#This Row],[CLOSING BALANCE (USD)]]-Table11[[#This Row],[CB_BS (USD)]]</f>
        <v>0</v>
      </c>
      <c r="W166" s="1156" t="str">
        <f>VLOOKUP('Cash Balance'!$C166,Table2[#All],MATCH('Cash Balance'!W$3,Acc_Char!$B$1:$I$1,0),0)</f>
        <v>Subsidiaries</v>
      </c>
      <c r="X166" s="1156" t="str">
        <f>VLOOKUP(IFERROR(MID($Y166,1,FIND("-",$Y166)-2),$Y166),Table3[#All],2,0)</f>
        <v>VTB</v>
      </c>
      <c r="Y166" s="1156" t="str">
        <f>VLOOKUP($B166,Table4[#All],2,0)</f>
        <v>VIETINBANK - TIEN SON</v>
      </c>
      <c r="Z166" s="1151"/>
      <c r="AA166" s="49"/>
      <c r="AE166" s="818">
        <f>SUM(Table11[[#This Row],[CASH IN - CREDIT (VND)]],Table11[[#This Row],[CASH IN - CREDIT (USD)]])</f>
        <v>0</v>
      </c>
      <c r="AF166" s="818">
        <f>Table11[[#This Row],[CASH OUT - DEBIT (VND)]]+Table11[[#This Row],[CASH OUT - DEBIT (USD)]]</f>
        <v>0</v>
      </c>
      <c r="AH166" s="1158"/>
      <c r="AI166" s="49"/>
      <c r="AJ166" s="1158"/>
      <c r="AL166"/>
      <c r="AM166"/>
    </row>
    <row r="167" spans="1:39" ht="14.4">
      <c r="A167" s="1153" t="str">
        <f>VLOOKUP('Cash Balance'!$C167,Table2[#All],MATCH('Cash Balance'!A$3,Acc_Char!$B$1:$I$1,0),0)</f>
        <v>HOLDCO5F</v>
      </c>
      <c r="B167" s="1154" t="str">
        <f>VLOOKUP('Cash Balance'!$C167,Table2[#All],MATCH('Cash Balance'!B$3,Acc_Char!$B$1:$I$1,0),0)</f>
        <v>VIETINBANK - TIEN SON</v>
      </c>
      <c r="C167" s="1156" t="s">
        <v>685</v>
      </c>
      <c r="D167" s="1156" t="str">
        <f>VLOOKUP('Cash Balance'!$C167,Table2[#All],MATCH('Cash Balance'!D$3,Acc_Char!$B$1:$I$1,0),0)</f>
        <v>Current Account</v>
      </c>
      <c r="E167" s="384" t="str">
        <f>VLOOKUP('Cash Balance'!$C167,Table2[#All],MATCH('Cash Balance'!E$3,Acc_Char!$B$1:$I$1,0),0)</f>
        <v>USD</v>
      </c>
      <c r="F167" s="1094" t="e">
        <f>VLOOKUP(C167,'Cash balance (BS)'!A:C,3,)</f>
        <v>#N/A</v>
      </c>
      <c r="G167" s="1157" t="e">
        <f t="shared" si="21"/>
        <v>#N/A</v>
      </c>
      <c r="H167" s="1318">
        <f>SUMIFS('Cash balance (Prior period)'!F:F,'Cash balance (Prior period)'!C:C,Table11[[#This Row],[ACCOUNT NUMBER]],'Cash balance (Prior period)'!E:E,Table11[[#This Row],[CURRENCY]])</f>
        <v>0</v>
      </c>
      <c r="I167" s="1318">
        <f>SUMIFS(Movement!$F$4:$F$2136,Movement!$M$4:$M$2136,"VND",Movement!$C$4:$C$2136,Table11[[#This Row],[ACCOUNT NUMBER]],Movement!$J$4:$J$2136,Table11[[#This Row],[ENTITY]],Movement!$O$4:$O$2136,'Cash Balance'!$A$2)</f>
        <v>0</v>
      </c>
      <c r="J167" s="1318">
        <f>SUMIFS(Movement!$G$4:$G$2136,Movement!$M$4:$M$2136,"VND",Movement!$C$4:$C$2136,Table11[[#This Row],[ACCOUNT NUMBER]],Movement!$J$4:$J$2136,Table11[[#This Row],[ENTITY]],Movement!$O$4:$O$2136,'Cash Balance'!$A$2)</f>
        <v>0</v>
      </c>
      <c r="K167" s="1084">
        <f>Table11[[#This Row],[CASH IN - CREDIT (VND)]]-Table11[[#This Row],[CASH OUT - DEBIT (VND)]]</f>
        <v>0</v>
      </c>
      <c r="L167" s="1095">
        <f t="shared" si="17"/>
        <v>0</v>
      </c>
      <c r="M167" s="1184" t="e">
        <f>VLOOKUP(C167,'Cash balance (BS)'!A:D,4,)</f>
        <v>#N/A</v>
      </c>
      <c r="N167" s="1095" t="e">
        <f>Table11[[#This Row],[CLOSING BALANCE (VND)2]]-Table11[[#This Row],[CB_BS (VND)]]</f>
        <v>#N/A</v>
      </c>
      <c r="O167" s="1094">
        <v>0</v>
      </c>
      <c r="P167" s="1095">
        <f t="shared" si="18"/>
        <v>0</v>
      </c>
      <c r="Q167" s="817">
        <f>SUMIFS('Cash balance (Prior period)'!G:G,'Cash balance (Prior period)'!C:C,Table11[[#This Row],[ACCOUNT NUMBER]],'Cash balance (Prior period)'!E:E,Table11[[#This Row],[CURRENCY]])</f>
        <v>0</v>
      </c>
      <c r="R167" s="817">
        <f>SUMIFS(Movement!$F$4:$F$2136,Movement!$M$4:$M$2136,"USD",Movement!$C$4:$C$2136,Table11[[#This Row],[ACCOUNT NUMBER]],Movement!$J$4:$J$2136,Table11[[#This Row],[ENTITY]],Movement!$O$4:$O$2136,'Cash Balance'!$A$2)</f>
        <v>0</v>
      </c>
      <c r="S167" s="817">
        <f>SUMIFS(Movement!$G$4:$G$2136,Movement!$M$4:$M$2136,"USD",Movement!$C$4:$C$2136,Table11[[#This Row],[ACCOUNT NUMBER]],Movement!$J$4:$J$2136,Table11[[#This Row],[ENTITY]],Movement!$O$4:$O$2136,'Cash Balance'!$A$2)</f>
        <v>0</v>
      </c>
      <c r="T167" s="1087">
        <f t="shared" si="19"/>
        <v>0</v>
      </c>
      <c r="U167" s="817"/>
      <c r="V167" s="817">
        <f>Table11[[#This Row],[CLOSING BALANCE (USD)]]-Table11[[#This Row],[CB_BS (USD)]]</f>
        <v>0</v>
      </c>
      <c r="W167" s="1156" t="str">
        <f>VLOOKUP('Cash Balance'!$C167,Table2[#All],MATCH('Cash Balance'!W$3,Acc_Char!$B$1:$I$1,0),0)</f>
        <v>Subsidiaries</v>
      </c>
      <c r="X167" s="1156" t="str">
        <f>VLOOKUP(IFERROR(MID($Y167,1,FIND("-",$Y167)-2),$Y167),Table3[#All],2,0)</f>
        <v>VTB</v>
      </c>
      <c r="Y167" s="1156" t="str">
        <f>VLOOKUP($B167,Table4[#All],2,0)</f>
        <v>VIETINBANK - TIEN SON</v>
      </c>
      <c r="Z167" s="1151"/>
      <c r="AA167" s="49"/>
      <c r="AE167" s="818">
        <f>SUM(Table11[[#This Row],[CASH IN - CREDIT (VND)]],Table11[[#This Row],[CASH IN - CREDIT (USD)]])</f>
        <v>0</v>
      </c>
      <c r="AF167" s="818">
        <f>Table11[[#This Row],[CASH OUT - DEBIT (VND)]]+Table11[[#This Row],[CASH OUT - DEBIT (USD)]]</f>
        <v>0</v>
      </c>
      <c r="AH167" s="1158"/>
      <c r="AI167" s="49"/>
      <c r="AJ167" s="1158"/>
      <c r="AL167"/>
      <c r="AM167"/>
    </row>
    <row r="168" spans="1:39" ht="14.4">
      <c r="A168" s="1153" t="str">
        <f>VLOOKUP('Cash Balance'!$C168,Table2[#All],MATCH('Cash Balance'!A$3,Acc_Char!$B$1:$I$1,0),0)</f>
        <v>HOLDCO5G</v>
      </c>
      <c r="B168" s="1154" t="str">
        <f>VLOOKUP('Cash Balance'!$C168,Table2[#All],MATCH('Cash Balance'!B$3,Acc_Char!$B$1:$I$1,0),0)</f>
        <v>VIETINBANK - TIEN SON</v>
      </c>
      <c r="C168" s="1156" t="s">
        <v>687</v>
      </c>
      <c r="D168" s="1156" t="str">
        <f>VLOOKUP('Cash Balance'!$C168,Table2[#All],MATCH('Cash Balance'!D$3,Acc_Char!$B$1:$I$1,0),0)</f>
        <v>Current Account</v>
      </c>
      <c r="E168" s="384" t="str">
        <f>VLOOKUP('Cash Balance'!$C168,Table2[#All],MATCH('Cash Balance'!E$3,Acc_Char!$B$1:$I$1,0),0)</f>
        <v>VND</v>
      </c>
      <c r="F168" s="1094" t="e">
        <f>VLOOKUP(C168,'Cash balance (BS)'!A:C,3,)</f>
        <v>#N/A</v>
      </c>
      <c r="G168" s="1157" t="e">
        <f t="shared" si="21"/>
        <v>#N/A</v>
      </c>
      <c r="H168" s="1318">
        <f>SUMIFS('Cash balance (Prior period)'!F:F,'Cash balance (Prior period)'!C:C,Table11[[#This Row],[ACCOUNT NUMBER]],'Cash balance (Prior period)'!E:E,Table11[[#This Row],[CURRENCY]])</f>
        <v>61289794</v>
      </c>
      <c r="I168" s="1318">
        <f>SUMIFS(Movement!$F$4:$F$2136,Movement!$M$4:$M$2136,"VND",Movement!$C$4:$C$2136,Table11[[#This Row],[ACCOUNT NUMBER]],Movement!$J$4:$J$2136,Table11[[#This Row],[ENTITY]],Movement!$O$4:$O$2136,'Cash Balance'!$A$2)</f>
        <v>2268493</v>
      </c>
      <c r="J168" s="1318">
        <f>SUMIFS(Movement!$G$4:$G$2136,Movement!$M$4:$M$2136,"VND",Movement!$C$4:$C$2136,Table11[[#This Row],[ACCOUNT NUMBER]],Movement!$J$4:$J$2136,Table11[[#This Row],[ENTITY]],Movement!$O$4:$O$2136,'Cash Balance'!$A$2)</f>
        <v>0</v>
      </c>
      <c r="K168" s="1084">
        <f>Table11[[#This Row],[CASH IN - CREDIT (VND)]]-Table11[[#This Row],[CASH OUT - DEBIT (VND)]]</f>
        <v>2268493</v>
      </c>
      <c r="L168" s="1095">
        <f t="shared" si="17"/>
        <v>63558287</v>
      </c>
      <c r="M168" s="1184" t="e">
        <f>VLOOKUP(C168,'Cash balance (BS)'!A:D,4,)</f>
        <v>#N/A</v>
      </c>
      <c r="N168" s="1095" t="e">
        <f>Table11[[#This Row],[CLOSING BALANCE (VND)2]]-Table11[[#This Row],[CB_BS (VND)]]</f>
        <v>#N/A</v>
      </c>
      <c r="O168" s="1094">
        <v>0</v>
      </c>
      <c r="P168" s="1095">
        <f t="shared" si="18"/>
        <v>0</v>
      </c>
      <c r="Q168" s="817">
        <f>SUMIFS('Cash balance (Prior period)'!G:G,'Cash balance (Prior period)'!C:C,Table11[[#This Row],[ACCOUNT NUMBER]],'Cash balance (Prior period)'!E:E,Table11[[#This Row],[CURRENCY]])</f>
        <v>0</v>
      </c>
      <c r="R168" s="817">
        <f>SUMIFS(Movement!$F$4:$F$2136,Movement!$M$4:$M$2136,"USD",Movement!$C$4:$C$2136,Table11[[#This Row],[ACCOUNT NUMBER]],Movement!$J$4:$J$2136,Table11[[#This Row],[ENTITY]],Movement!$O$4:$O$2136,'Cash Balance'!$A$2)</f>
        <v>0</v>
      </c>
      <c r="S168" s="817">
        <f>SUMIFS(Movement!$G$4:$G$2136,Movement!$M$4:$M$2136,"USD",Movement!$C$4:$C$2136,Table11[[#This Row],[ACCOUNT NUMBER]],Movement!$J$4:$J$2136,Table11[[#This Row],[ENTITY]],Movement!$O$4:$O$2136,'Cash Balance'!$A$2)</f>
        <v>0</v>
      </c>
      <c r="T168" s="1087">
        <f t="shared" si="19"/>
        <v>0</v>
      </c>
      <c r="U168" s="817"/>
      <c r="V168" s="817">
        <f>Table11[[#This Row],[CLOSING BALANCE (USD)]]-Table11[[#This Row],[CB_BS (USD)]]</f>
        <v>0</v>
      </c>
      <c r="W168" s="1156" t="str">
        <f>VLOOKUP('Cash Balance'!$C168,Table2[#All],MATCH('Cash Balance'!W$3,Acc_Char!$B$1:$I$1,0),0)</f>
        <v>Subsidiaries</v>
      </c>
      <c r="X168" s="1156" t="str">
        <f>VLOOKUP(IFERROR(MID($Y168,1,FIND("-",$Y168)-2),$Y168),Table3[#All],2,0)</f>
        <v>VTB</v>
      </c>
      <c r="Y168" s="1156" t="str">
        <f>VLOOKUP($B168,Table4[#All],2,0)</f>
        <v>VIETINBANK - TIEN SON</v>
      </c>
      <c r="Z168" s="1151"/>
      <c r="AA168" s="49"/>
      <c r="AE168" s="818">
        <f>SUM(Table11[[#This Row],[CASH IN - CREDIT (VND)]],Table11[[#This Row],[CASH IN - CREDIT (USD)]])</f>
        <v>2268493</v>
      </c>
      <c r="AF168" s="818">
        <f>Table11[[#This Row],[CASH OUT - DEBIT (VND)]]+Table11[[#This Row],[CASH OUT - DEBIT (USD)]]</f>
        <v>0</v>
      </c>
      <c r="AH168" s="1158"/>
      <c r="AI168" s="49"/>
      <c r="AJ168" s="1158"/>
      <c r="AL168"/>
      <c r="AM168"/>
    </row>
    <row r="169" spans="1:39" ht="14.4">
      <c r="A169" s="1153" t="str">
        <f>VLOOKUP('Cash Balance'!$C169,Table2[#All],MATCH('Cash Balance'!A$3,Acc_Char!$B$1:$I$1,0),0)</f>
        <v>HOLDCO5H</v>
      </c>
      <c r="B169" s="1154" t="str">
        <f>VLOOKUP('Cash Balance'!$C169,Table2[#All],MATCH('Cash Balance'!B$3,Acc_Char!$B$1:$I$1,0),0)</f>
        <v>VIETINBANK - TIEN SON</v>
      </c>
      <c r="C169" s="1156" t="s">
        <v>689</v>
      </c>
      <c r="D169" s="1156" t="str">
        <f>VLOOKUP('Cash Balance'!$C169,Table2[#All],MATCH('Cash Balance'!D$3,Acc_Char!$B$1:$I$1,0),0)</f>
        <v>Current Account</v>
      </c>
      <c r="E169" s="384" t="str">
        <f>VLOOKUP('Cash Balance'!$C169,Table2[#All],MATCH('Cash Balance'!E$3,Acc_Char!$B$1:$I$1,0),0)</f>
        <v>VND</v>
      </c>
      <c r="F169" s="1094" t="e">
        <f>VLOOKUP(C169,'Cash balance (BS)'!A:C,3,)</f>
        <v>#N/A</v>
      </c>
      <c r="G169" s="1157" t="e">
        <f t="shared" si="21"/>
        <v>#N/A</v>
      </c>
      <c r="H169" s="1318">
        <f>SUMIFS('Cash balance (Prior period)'!F:F,'Cash balance (Prior period)'!C:C,Table11[[#This Row],[ACCOUNT NUMBER]],'Cash balance (Prior period)'!E:E,Table11[[#This Row],[CURRENCY]])</f>
        <v>46367488</v>
      </c>
      <c r="I169" s="1318">
        <f>SUMIFS(Movement!$F$4:$F$2136,Movement!$M$4:$M$2136,"VND",Movement!$C$4:$C$2136,Table11[[#This Row],[ACCOUNT NUMBER]],Movement!$J$4:$J$2136,Table11[[#This Row],[ENTITY]],Movement!$O$4:$O$2136,'Cash Balance'!$A$2)</f>
        <v>2041644</v>
      </c>
      <c r="J169" s="1318">
        <f>SUMIFS(Movement!$G$4:$G$2136,Movement!$M$4:$M$2136,"VND",Movement!$C$4:$C$2136,Table11[[#This Row],[ACCOUNT NUMBER]],Movement!$J$4:$J$2136,Table11[[#This Row],[ENTITY]],Movement!$O$4:$O$2136,'Cash Balance'!$A$2)</f>
        <v>0</v>
      </c>
      <c r="K169" s="1084">
        <f>Table11[[#This Row],[CASH IN - CREDIT (VND)]]-Table11[[#This Row],[CASH OUT - DEBIT (VND)]]</f>
        <v>2041644</v>
      </c>
      <c r="L169" s="1095">
        <f t="shared" si="17"/>
        <v>48409132</v>
      </c>
      <c r="M169" s="1184" t="e">
        <f>VLOOKUP(C169,'Cash balance (BS)'!A:D,4,)</f>
        <v>#N/A</v>
      </c>
      <c r="N169" s="1095" t="e">
        <f>Table11[[#This Row],[CLOSING BALANCE (VND)2]]-Table11[[#This Row],[CB_BS (VND)]]</f>
        <v>#N/A</v>
      </c>
      <c r="O169" s="1094">
        <v>0</v>
      </c>
      <c r="P169" s="1095">
        <f t="shared" si="18"/>
        <v>0</v>
      </c>
      <c r="Q169" s="817">
        <f>SUMIFS('Cash balance (Prior period)'!G:G,'Cash balance (Prior period)'!C:C,Table11[[#This Row],[ACCOUNT NUMBER]],'Cash balance (Prior period)'!E:E,Table11[[#This Row],[CURRENCY]])</f>
        <v>0</v>
      </c>
      <c r="R169" s="817">
        <f>SUMIFS(Movement!$F$4:$F$2136,Movement!$M$4:$M$2136,"USD",Movement!$C$4:$C$2136,Table11[[#This Row],[ACCOUNT NUMBER]],Movement!$J$4:$J$2136,Table11[[#This Row],[ENTITY]],Movement!$O$4:$O$2136,'Cash Balance'!$A$2)</f>
        <v>0</v>
      </c>
      <c r="S169" s="817">
        <f>SUMIFS(Movement!$G$4:$G$2136,Movement!$M$4:$M$2136,"USD",Movement!$C$4:$C$2136,Table11[[#This Row],[ACCOUNT NUMBER]],Movement!$J$4:$J$2136,Table11[[#This Row],[ENTITY]],Movement!$O$4:$O$2136,'Cash Balance'!$A$2)</f>
        <v>0</v>
      </c>
      <c r="T169" s="1087">
        <f t="shared" si="19"/>
        <v>0</v>
      </c>
      <c r="U169" s="817"/>
      <c r="V169" s="817">
        <f>Table11[[#This Row],[CLOSING BALANCE (USD)]]-Table11[[#This Row],[CB_BS (USD)]]</f>
        <v>0</v>
      </c>
      <c r="W169" s="1156" t="str">
        <f>VLOOKUP('Cash Balance'!$C169,Table2[#All],MATCH('Cash Balance'!W$3,Acc_Char!$B$1:$I$1,0),0)</f>
        <v>Subsidiaries</v>
      </c>
      <c r="X169" s="1156" t="str">
        <f>VLOOKUP(IFERROR(MID($Y169,1,FIND("-",$Y169)-2),$Y169),Table3[#All],2,0)</f>
        <v>VTB</v>
      </c>
      <c r="Y169" s="1156" t="str">
        <f>VLOOKUP($B169,Table4[#All],2,0)</f>
        <v>VIETINBANK - TIEN SON</v>
      </c>
      <c r="Z169" s="1151"/>
      <c r="AA169" s="49"/>
      <c r="AE169" s="818">
        <f>SUM(Table11[[#This Row],[CASH IN - CREDIT (VND)]],Table11[[#This Row],[CASH IN - CREDIT (USD)]])</f>
        <v>2041644</v>
      </c>
      <c r="AF169" s="818">
        <f>Table11[[#This Row],[CASH OUT - DEBIT (VND)]]+Table11[[#This Row],[CASH OUT - DEBIT (USD)]]</f>
        <v>0</v>
      </c>
      <c r="AH169" s="1158"/>
      <c r="AI169" s="49"/>
      <c r="AJ169" s="1158"/>
      <c r="AL169"/>
      <c r="AM169"/>
    </row>
    <row r="170" spans="1:39" ht="14.4">
      <c r="A170" s="1153" t="str">
        <f>VLOOKUP('Cash Balance'!$C170,Table2[#All],MATCH('Cash Balance'!A$3,Acc_Char!$B$1:$I$1,0),0)</f>
        <v>HOLDCO5H</v>
      </c>
      <c r="B170" s="1154" t="str">
        <f>VLOOKUP('Cash Balance'!$C170,Table2[#All],MATCH('Cash Balance'!B$3,Acc_Char!$B$1:$I$1,0),0)</f>
        <v>VIETINBANK - TIEN SON</v>
      </c>
      <c r="C170" s="1156" t="s">
        <v>690</v>
      </c>
      <c r="D170" s="1156" t="str">
        <f>VLOOKUP('Cash Balance'!$C170,Table2[#All],MATCH('Cash Balance'!D$3,Acc_Char!$B$1:$I$1,0),0)</f>
        <v>Current Account</v>
      </c>
      <c r="E170" s="384" t="str">
        <f>VLOOKUP('Cash Balance'!$C170,Table2[#All],MATCH('Cash Balance'!E$3,Acc_Char!$B$1:$I$1,0),0)</f>
        <v>USD</v>
      </c>
      <c r="F170" s="1094" t="e">
        <f>VLOOKUP(C170,'Cash balance (BS)'!A:C,3,)</f>
        <v>#N/A</v>
      </c>
      <c r="G170" s="1157" t="e">
        <f t="shared" si="21"/>
        <v>#N/A</v>
      </c>
      <c r="H170" s="1318">
        <f>SUMIFS('Cash balance (Prior period)'!F:F,'Cash balance (Prior period)'!C:C,Table11[[#This Row],[ACCOUNT NUMBER]],'Cash balance (Prior period)'!E:E,Table11[[#This Row],[CURRENCY]])</f>
        <v>0</v>
      </c>
      <c r="I170" s="1318">
        <f>SUMIFS(Movement!$F$4:$F$2136,Movement!$M$4:$M$2136,"VND",Movement!$C$4:$C$2136,Table11[[#This Row],[ACCOUNT NUMBER]],Movement!$J$4:$J$2136,Table11[[#This Row],[ENTITY]],Movement!$O$4:$O$2136,'Cash Balance'!$A$2)</f>
        <v>0</v>
      </c>
      <c r="J170" s="1318">
        <f>SUMIFS(Movement!$G$4:$G$2136,Movement!$M$4:$M$2136,"VND",Movement!$C$4:$C$2136,Table11[[#This Row],[ACCOUNT NUMBER]],Movement!$J$4:$J$2136,Table11[[#This Row],[ENTITY]],Movement!$O$4:$O$2136,'Cash Balance'!$A$2)</f>
        <v>0</v>
      </c>
      <c r="K170" s="1084">
        <f>Table11[[#This Row],[CASH IN - CREDIT (VND)]]-Table11[[#This Row],[CASH OUT - DEBIT (VND)]]</f>
        <v>0</v>
      </c>
      <c r="L170" s="1095">
        <f t="shared" si="17"/>
        <v>0</v>
      </c>
      <c r="M170" s="1184" t="e">
        <f>VLOOKUP(C170,'Cash balance (BS)'!A:D,4,)</f>
        <v>#N/A</v>
      </c>
      <c r="N170" s="1095" t="e">
        <f>Table11[[#This Row],[CLOSING BALANCE (VND)2]]-Table11[[#This Row],[CB_BS (VND)]]</f>
        <v>#N/A</v>
      </c>
      <c r="O170" s="1094">
        <v>0</v>
      </c>
      <c r="P170" s="1095">
        <f t="shared" si="18"/>
        <v>0</v>
      </c>
      <c r="Q170" s="817">
        <f>SUMIFS('Cash balance (Prior period)'!G:G,'Cash balance (Prior period)'!C:C,Table11[[#This Row],[ACCOUNT NUMBER]],'Cash balance (Prior period)'!E:E,Table11[[#This Row],[CURRENCY]])</f>
        <v>0</v>
      </c>
      <c r="R170" s="817">
        <f>SUMIFS(Movement!$F$4:$F$2136,Movement!$M$4:$M$2136,"USD",Movement!$C$4:$C$2136,Table11[[#This Row],[ACCOUNT NUMBER]],Movement!$J$4:$J$2136,Table11[[#This Row],[ENTITY]],Movement!$O$4:$O$2136,'Cash Balance'!$A$2)</f>
        <v>0</v>
      </c>
      <c r="S170" s="817">
        <f>SUMIFS(Movement!$G$4:$G$2136,Movement!$M$4:$M$2136,"USD",Movement!$C$4:$C$2136,Table11[[#This Row],[ACCOUNT NUMBER]],Movement!$J$4:$J$2136,Table11[[#This Row],[ENTITY]],Movement!$O$4:$O$2136,'Cash Balance'!$A$2)</f>
        <v>0</v>
      </c>
      <c r="T170" s="1087">
        <f t="shared" si="19"/>
        <v>0</v>
      </c>
      <c r="U170" s="817"/>
      <c r="V170" s="817">
        <f>Table11[[#This Row],[CLOSING BALANCE (USD)]]-Table11[[#This Row],[CB_BS (USD)]]</f>
        <v>0</v>
      </c>
      <c r="W170" s="1156" t="str">
        <f>VLOOKUP('Cash Balance'!$C170,Table2[#All],MATCH('Cash Balance'!W$3,Acc_Char!$B$1:$I$1,0),0)</f>
        <v>Subsidiaries</v>
      </c>
      <c r="X170" s="1156" t="str">
        <f>VLOOKUP(IFERROR(MID($Y170,1,FIND("-",$Y170)-2),$Y170),Table3[#All],2,0)</f>
        <v>VTB</v>
      </c>
      <c r="Y170" s="1156" t="str">
        <f>VLOOKUP($B170,Table4[#All],2,0)</f>
        <v>VIETINBANK - TIEN SON</v>
      </c>
      <c r="Z170" s="1151"/>
      <c r="AA170" s="49"/>
      <c r="AE170" s="818">
        <f>SUM(Table11[[#This Row],[CASH IN - CREDIT (VND)]],Table11[[#This Row],[CASH IN - CREDIT (USD)]])</f>
        <v>0</v>
      </c>
      <c r="AF170" s="818">
        <f>Table11[[#This Row],[CASH OUT - DEBIT (VND)]]+Table11[[#This Row],[CASH OUT - DEBIT (USD)]]</f>
        <v>0</v>
      </c>
      <c r="AH170" s="1158"/>
      <c r="AI170" s="49"/>
      <c r="AJ170" s="1158"/>
      <c r="AL170"/>
      <c r="AM170"/>
    </row>
    <row r="171" spans="1:39" ht="14.4">
      <c r="A171" s="1153" t="str">
        <f>VLOOKUP('Cash Balance'!$C171,Table2[#All],MATCH('Cash Balance'!A$3,Acc_Char!$B$1:$I$1,0),0)</f>
        <v>HOLDCO5I</v>
      </c>
      <c r="B171" s="1154" t="str">
        <f>VLOOKUP('Cash Balance'!$C171,Table2[#All],MATCH('Cash Balance'!B$3,Acc_Char!$B$1:$I$1,0),0)</f>
        <v>VIETINBANK - TIEN SON</v>
      </c>
      <c r="C171" s="1156" t="s">
        <v>692</v>
      </c>
      <c r="D171" s="1156" t="str">
        <f>VLOOKUP('Cash Balance'!$C171,Table2[#All],MATCH('Cash Balance'!D$3,Acc_Char!$B$1:$I$1,0),0)</f>
        <v>Current Account</v>
      </c>
      <c r="E171" s="384" t="str">
        <f>VLOOKUP('Cash Balance'!$C171,Table2[#All],MATCH('Cash Balance'!E$3,Acc_Char!$B$1:$I$1,0),0)</f>
        <v>VND</v>
      </c>
      <c r="F171" s="1094"/>
      <c r="G171" s="1157"/>
      <c r="H171" s="1318">
        <f>SUMIFS('Cash balance (Prior period)'!F:F,'Cash balance (Prior period)'!C:C,Table11[[#This Row],[ACCOUNT NUMBER]],'Cash balance (Prior period)'!E:E,Table11[[#This Row],[CURRENCY]])</f>
        <v>58665716</v>
      </c>
      <c r="I171" s="1318">
        <f>SUMIFS(Movement!$F$4:$F$2136,Movement!$M$4:$M$2136,"VND",Movement!$C$4:$C$2136,Table11[[#This Row],[ACCOUNT NUMBER]],Movement!$J$4:$J$2136,Table11[[#This Row],[ENTITY]],Movement!$O$4:$O$2136,'Cash Balance'!$A$2)</f>
        <v>2268493</v>
      </c>
      <c r="J171" s="1318">
        <f>SUMIFS(Movement!$G$4:$G$2136,Movement!$M$4:$M$2136,"VND",Movement!$C$4:$C$2136,Table11[[#This Row],[ACCOUNT NUMBER]],Movement!$J$4:$J$2136,Table11[[#This Row],[ENTITY]],Movement!$O$4:$O$2136,'Cash Balance'!$A$2)</f>
        <v>0</v>
      </c>
      <c r="K171" s="1084">
        <f>Table11[[#This Row],[CASH IN - CREDIT (VND)]]-Table11[[#This Row],[CASH OUT - DEBIT (VND)]]</f>
        <v>2268493</v>
      </c>
      <c r="L171" s="1095">
        <f t="shared" si="17"/>
        <v>60934209</v>
      </c>
      <c r="M171" s="1184" t="e">
        <f>VLOOKUP(C171,'Cash balance (BS)'!A:D,4,)</f>
        <v>#N/A</v>
      </c>
      <c r="N171" s="1095" t="e">
        <f>Table11[[#This Row],[CLOSING BALANCE (VND)2]]-Table11[[#This Row],[CB_BS (VND)]]</f>
        <v>#N/A</v>
      </c>
      <c r="O171" s="1094">
        <v>0</v>
      </c>
      <c r="P171" s="1095">
        <f t="shared" si="18"/>
        <v>0</v>
      </c>
      <c r="Q171" s="817">
        <f>SUMIFS('Cash balance (Prior period)'!G:G,'Cash balance (Prior period)'!C:C,Table11[[#This Row],[ACCOUNT NUMBER]],'Cash balance (Prior period)'!E:E,Table11[[#This Row],[CURRENCY]])</f>
        <v>0</v>
      </c>
      <c r="R171" s="817">
        <f>SUMIFS(Movement!$F$4:$F$2136,Movement!$M$4:$M$2136,"USD",Movement!$C$4:$C$2136,Table11[[#This Row],[ACCOUNT NUMBER]],Movement!$J$4:$J$2136,Table11[[#This Row],[ENTITY]],Movement!$O$4:$O$2136,'Cash Balance'!$A$2)</f>
        <v>0</v>
      </c>
      <c r="S171" s="817">
        <f>SUMIFS(Movement!$G$4:$G$2136,Movement!$M$4:$M$2136,"USD",Movement!$C$4:$C$2136,Table11[[#This Row],[ACCOUNT NUMBER]],Movement!$J$4:$J$2136,Table11[[#This Row],[ENTITY]],Movement!$O$4:$O$2136,'Cash Balance'!$A$2)</f>
        <v>0</v>
      </c>
      <c r="T171" s="1087">
        <f t="shared" si="19"/>
        <v>0</v>
      </c>
      <c r="U171" s="817" t="e">
        <f>VLOOKUP(C171,'Cash balance (BS)'!A:D,4,)</f>
        <v>#N/A</v>
      </c>
      <c r="V171" s="1087" t="e">
        <f>Table11[[#This Row],[CLOSING BALANCE (USD)]]-Table11[[#This Row],[CB_BS (USD)]]</f>
        <v>#N/A</v>
      </c>
      <c r="W171" s="1156" t="str">
        <f>VLOOKUP('Cash Balance'!$C171,Table2[#All],MATCH('Cash Balance'!W$3,Acc_Char!$B$1:$I$1,0),0)</f>
        <v>Subsidiaries</v>
      </c>
      <c r="X171" s="1156" t="str">
        <f>VLOOKUP(IFERROR(MID($Y171,1,FIND("-",$Y171)-2),$Y171),Table3[#All],2,0)</f>
        <v>VTB</v>
      </c>
      <c r="Y171" s="1156" t="str">
        <f>VLOOKUP($B171,Table4[#All],2,0)</f>
        <v>VIETINBANK - TIEN SON</v>
      </c>
      <c r="Z171" s="1151"/>
      <c r="AA171" s="49"/>
      <c r="AE171" s="818">
        <f>SUM(Table11[[#This Row],[CASH IN - CREDIT (VND)]],Table11[[#This Row],[CASH IN - CREDIT (USD)]])</f>
        <v>2268493</v>
      </c>
      <c r="AF171" s="818">
        <f>Table11[[#This Row],[CASH OUT - DEBIT (VND)]]+Table11[[#This Row],[CASH OUT - DEBIT (USD)]]</f>
        <v>0</v>
      </c>
      <c r="AH171" s="1158"/>
      <c r="AI171" s="49"/>
      <c r="AJ171" s="1158"/>
      <c r="AL171"/>
      <c r="AM171"/>
    </row>
    <row r="172" spans="1:39" ht="14.4">
      <c r="A172" s="1153" t="str">
        <f>VLOOKUP('Cash Balance'!$C172,Table2[#All],MATCH('Cash Balance'!A$3,Acc_Char!$B$1:$I$1,0),0)</f>
        <v>HOLDCO5J</v>
      </c>
      <c r="B172" s="1154" t="str">
        <f>VLOOKUP('Cash Balance'!$C172,Table2[#All],MATCH('Cash Balance'!B$3,Acc_Char!$B$1:$I$1,0),0)</f>
        <v>VIETINBANK - TIEN SON</v>
      </c>
      <c r="C172" s="1156" t="s">
        <v>694</v>
      </c>
      <c r="D172" s="1156" t="str">
        <f>VLOOKUP('Cash Balance'!$C172,Table2[#All],MATCH('Cash Balance'!D$3,Acc_Char!$B$1:$I$1,0),0)</f>
        <v>Current Account</v>
      </c>
      <c r="E172" s="384" t="str">
        <f>VLOOKUP('Cash Balance'!$C172,Table2[#All],MATCH('Cash Balance'!E$3,Acc_Char!$B$1:$I$1,0),0)</f>
        <v>VND</v>
      </c>
      <c r="F172" s="1094" t="e">
        <f>VLOOKUP(C172,'Cash balance (BS)'!A:C,3,)</f>
        <v>#N/A</v>
      </c>
      <c r="G172" s="1157" t="e">
        <f>F172-H172</f>
        <v>#N/A</v>
      </c>
      <c r="H172" s="1318">
        <f>SUMIFS('Cash balance (Prior period)'!F:F,'Cash balance (Prior period)'!C:C,Table11[[#This Row],[ACCOUNT NUMBER]],'Cash balance (Prior period)'!E:E,Table11[[#This Row],[CURRENCY]])</f>
        <v>160411146</v>
      </c>
      <c r="I172" s="1318">
        <f>SUMIFS(Movement!$F$4:$F$2136,Movement!$M$4:$M$2136,"VND",Movement!$C$4:$C$2136,Table11[[#This Row],[ACCOUNT NUMBER]],Movement!$J$4:$J$2136,Table11[[#This Row],[ENTITY]],Movement!$O$4:$O$2136,'Cash Balance'!$A$2)</f>
        <v>0</v>
      </c>
      <c r="J172" s="1318">
        <f>SUMIFS(Movement!$G$4:$G$2136,Movement!$M$4:$M$2136,"VND",Movement!$C$4:$C$2136,Table11[[#This Row],[ACCOUNT NUMBER]],Movement!$J$4:$J$2136,Table11[[#This Row],[ENTITY]],Movement!$O$4:$O$2136,'Cash Balance'!$A$2)</f>
        <v>0</v>
      </c>
      <c r="K172" s="1084">
        <f>Table11[[#This Row],[CASH IN - CREDIT (VND)]]-Table11[[#This Row],[CASH OUT - DEBIT (VND)]]</f>
        <v>0</v>
      </c>
      <c r="L172" s="1095">
        <f t="shared" si="17"/>
        <v>160411146</v>
      </c>
      <c r="M172" s="1184" t="e">
        <f>VLOOKUP(C172,'Cash balance (BS)'!A:D,4,)</f>
        <v>#N/A</v>
      </c>
      <c r="N172" s="1095" t="e">
        <f>Table11[[#This Row],[CLOSING BALANCE (VND)2]]-Table11[[#This Row],[CB_BS (VND)]]</f>
        <v>#N/A</v>
      </c>
      <c r="O172" s="1094">
        <v>0</v>
      </c>
      <c r="P172" s="1095">
        <f t="shared" si="18"/>
        <v>0</v>
      </c>
      <c r="Q172" s="817">
        <f>SUMIFS('Cash balance (Prior period)'!G:G,'Cash balance (Prior period)'!C:C,Table11[[#This Row],[ACCOUNT NUMBER]],'Cash balance (Prior period)'!E:E,Table11[[#This Row],[CURRENCY]])</f>
        <v>0</v>
      </c>
      <c r="R172" s="817">
        <f>SUMIFS(Movement!$F$4:$F$2136,Movement!$M$4:$M$2136,"USD",Movement!$C$4:$C$2136,Table11[[#This Row],[ACCOUNT NUMBER]],Movement!$J$4:$J$2136,Table11[[#This Row],[ENTITY]],Movement!$O$4:$O$2136,'Cash Balance'!$A$2)</f>
        <v>0</v>
      </c>
      <c r="S172" s="817">
        <f>SUMIFS(Movement!$G$4:$G$2136,Movement!$M$4:$M$2136,"USD",Movement!$C$4:$C$2136,Table11[[#This Row],[ACCOUNT NUMBER]],Movement!$J$4:$J$2136,Table11[[#This Row],[ENTITY]],Movement!$O$4:$O$2136,'Cash Balance'!$A$2)</f>
        <v>0</v>
      </c>
      <c r="T172" s="1087">
        <f t="shared" si="19"/>
        <v>0</v>
      </c>
      <c r="U172" s="817"/>
      <c r="V172" s="817">
        <f>Table11[[#This Row],[CLOSING BALANCE (USD)]]-Table11[[#This Row],[CB_BS (USD)]]</f>
        <v>0</v>
      </c>
      <c r="W172" s="1156" t="str">
        <f>VLOOKUP('Cash Balance'!$C172,Table2[#All],MATCH('Cash Balance'!W$3,Acc_Char!$B$1:$I$1,0),0)</f>
        <v>Subsidiaries</v>
      </c>
      <c r="X172" s="1156" t="str">
        <f>VLOOKUP(IFERROR(MID($Y172,1,FIND("-",$Y172)-2),$Y172),Table3[#All],2,0)</f>
        <v>VTB</v>
      </c>
      <c r="Y172" s="1156" t="str">
        <f>VLOOKUP($B172,Table4[#All],2,0)</f>
        <v>VIETINBANK - TIEN SON</v>
      </c>
      <c r="Z172" s="1151"/>
      <c r="AA172" s="49"/>
      <c r="AE172" s="818">
        <f>SUM(Table11[[#This Row],[CASH IN - CREDIT (VND)]],Table11[[#This Row],[CASH IN - CREDIT (USD)]])</f>
        <v>0</v>
      </c>
      <c r="AF172" s="818">
        <f>Table11[[#This Row],[CASH OUT - DEBIT (VND)]]+Table11[[#This Row],[CASH OUT - DEBIT (USD)]]</f>
        <v>0</v>
      </c>
      <c r="AH172" s="1158"/>
      <c r="AI172" s="49"/>
      <c r="AJ172" s="1158"/>
      <c r="AL172"/>
      <c r="AM172"/>
    </row>
    <row r="173" spans="1:39" ht="14.4">
      <c r="A173" s="1153" t="str">
        <f>VLOOKUP('Cash Balance'!$C173,Table2[#All],MATCH('Cash Balance'!A$3,Acc_Char!$B$1:$I$1,0),0)</f>
        <v>DELIWAY</v>
      </c>
      <c r="B173" s="1154" t="str">
        <f>VLOOKUP('Cash Balance'!$C173,Table2[#All],MATCH('Cash Balance'!B$3,Acc_Char!$B$1:$I$1,0),0)</f>
        <v>ACB - SAI GON</v>
      </c>
      <c r="C173" s="1156" t="s">
        <v>696</v>
      </c>
      <c r="D173" s="1156" t="str">
        <f>VLOOKUP('Cash Balance'!$C173,Table2[#All],MATCH('Cash Balance'!D$3,Acc_Char!$B$1:$I$1,0),0)</f>
        <v>Current Account</v>
      </c>
      <c r="E173" s="384" t="str">
        <f>VLOOKUP('Cash Balance'!$C173,Table2[#All],MATCH('Cash Balance'!E$3,Acc_Char!$B$1:$I$1,0),0)</f>
        <v>VND</v>
      </c>
      <c r="F173" s="1094"/>
      <c r="G173" s="1157"/>
      <c r="H173" s="1318">
        <f>SUMIFS('Cash balance (Prior period)'!F:F,'Cash balance (Prior period)'!C:C,Table11[[#This Row],[ACCOUNT NUMBER]],'Cash balance (Prior period)'!E:E,Table11[[#This Row],[CURRENCY]])</f>
        <v>109487802</v>
      </c>
      <c r="I173" s="1318">
        <f>SUMIFS(Movement!$F$4:$F$2136,Movement!$M$4:$M$2136,"VND",Movement!$C$4:$C$2136,Table11[[#This Row],[ACCOUNT NUMBER]],Movement!$J$4:$J$2136,Table11[[#This Row],[ENTITY]],Movement!$O$4:$O$2136,'Cash Balance'!$A$2)</f>
        <v>0</v>
      </c>
      <c r="J173" s="1318">
        <f>SUMIFS(Movement!$G$4:$G$2136,Movement!$M$4:$M$2136,"VND",Movement!$C$4:$C$2136,Table11[[#This Row],[ACCOUNT NUMBER]],Movement!$J$4:$J$2136,Table11[[#This Row],[ENTITY]],Movement!$O$4:$O$2136,'Cash Balance'!$A$2)</f>
        <v>0</v>
      </c>
      <c r="K173" s="1084">
        <f>Table11[[#This Row],[CASH IN - CREDIT (VND)]]-Table11[[#This Row],[CASH OUT - DEBIT (VND)]]</f>
        <v>0</v>
      </c>
      <c r="L173" s="1095">
        <f t="shared" si="17"/>
        <v>109487802</v>
      </c>
      <c r="M173" s="1184" t="e">
        <f>VLOOKUP(C173,'Cash balance (BS)'!A:D,4,)</f>
        <v>#N/A</v>
      </c>
      <c r="N173" s="1095" t="e">
        <f>Table11[[#This Row],[CLOSING BALANCE (VND)2]]-Table11[[#This Row],[CB_BS (VND)]]</f>
        <v>#N/A</v>
      </c>
      <c r="O173" s="1094">
        <v>0</v>
      </c>
      <c r="P173" s="1095">
        <f t="shared" si="18"/>
        <v>0</v>
      </c>
      <c r="Q173" s="817">
        <f>SUMIFS('Cash balance (Prior period)'!G:G,'Cash balance (Prior period)'!C:C,Table11[[#This Row],[ACCOUNT NUMBER]],'Cash balance (Prior period)'!E:E,Table11[[#This Row],[CURRENCY]])</f>
        <v>0</v>
      </c>
      <c r="R173" s="817">
        <f>SUMIFS(Movement!$F$4:$F$2136,Movement!$M$4:$M$2136,"USD",Movement!$C$4:$C$2136,Table11[[#This Row],[ACCOUNT NUMBER]],Movement!$J$4:$J$2136,Table11[[#This Row],[ENTITY]],Movement!$O$4:$O$2136,'Cash Balance'!$A$2)</f>
        <v>0</v>
      </c>
      <c r="S173" s="817">
        <f>SUMIFS(Movement!$G$4:$G$2136,Movement!$M$4:$M$2136,"USD",Movement!$C$4:$C$2136,Table11[[#This Row],[ACCOUNT NUMBER]],Movement!$J$4:$J$2136,Table11[[#This Row],[ENTITY]],Movement!$O$4:$O$2136,'Cash Balance'!$A$2)</f>
        <v>0</v>
      </c>
      <c r="T173" s="1087">
        <f t="shared" si="19"/>
        <v>0</v>
      </c>
      <c r="U173" s="817" t="e">
        <f>VLOOKUP(C173,'Cash balance (BS)'!A:D,4,)</f>
        <v>#N/A</v>
      </c>
      <c r="V173" s="817" t="e">
        <f>Table11[[#This Row],[CLOSING BALANCE (USD)]]-Table11[[#This Row],[CB_BS (USD)]]</f>
        <v>#N/A</v>
      </c>
      <c r="W173" s="1156" t="str">
        <f>VLOOKUP('Cash Balance'!$C173,Table2[#All],MATCH('Cash Balance'!W$3,Acc_Char!$B$1:$I$1,0),0)</f>
        <v>Subsidiaries</v>
      </c>
      <c r="X173" s="1156" t="str">
        <f>VLOOKUP(IFERROR(MID($Y173,1,FIND("-",$Y173)-2),$Y173),Table3[#All],2,0)</f>
        <v>ACB</v>
      </c>
      <c r="Y173" s="1156" t="str">
        <f>VLOOKUP($B173,Table4[#All],2,0)</f>
        <v>ACB - SAI GON</v>
      </c>
      <c r="Z173" s="1151"/>
      <c r="AA173" s="49"/>
      <c r="AE173" s="818">
        <f>SUM(Table11[[#This Row],[CASH IN - CREDIT (VND)]],Table11[[#This Row],[CASH IN - CREDIT (USD)]])</f>
        <v>0</v>
      </c>
      <c r="AF173" s="818">
        <f>Table11[[#This Row],[CASH OUT - DEBIT (VND)]]+Table11[[#This Row],[CASH OUT - DEBIT (USD)]]</f>
        <v>0</v>
      </c>
      <c r="AH173" s="1158"/>
      <c r="AI173" s="49"/>
      <c r="AJ173" s="1158"/>
      <c r="AL173"/>
      <c r="AM173"/>
    </row>
    <row r="174" spans="1:39" ht="14.4">
      <c r="A174" s="1153" t="str">
        <f>VLOOKUP('Cash Balance'!$C174,Table2[#All],MATCH('Cash Balance'!A$3,Acc_Char!$B$1:$I$1,0),0)</f>
        <v>YEN PHONG</v>
      </c>
      <c r="B174" s="1154" t="str">
        <f>VLOOKUP('Cash Balance'!$C174,Table2[#All],MATCH('Cash Balance'!B$3,Acc_Char!$B$1:$I$1,0),0)</f>
        <v>VIETINBANK - TIEN SON</v>
      </c>
      <c r="C174" s="1156" t="s">
        <v>698</v>
      </c>
      <c r="D174" s="1156" t="str">
        <f>VLOOKUP('Cash Balance'!$C174,Table2[#All],MATCH('Cash Balance'!D$3,Acc_Char!$B$1:$I$1,0),0)</f>
        <v>Current Account</v>
      </c>
      <c r="E174" s="384" t="str">
        <f>VLOOKUP('Cash Balance'!$C174,Table2[#All],MATCH('Cash Balance'!E$3,Acc_Char!$B$1:$I$1,0),0)</f>
        <v>VND</v>
      </c>
      <c r="F174" s="1094" t="e">
        <f>VLOOKUP(C174,'Cash balance (BS)'!A:C,3,)</f>
        <v>#N/A</v>
      </c>
      <c r="G174" s="1157" t="e">
        <f>F174-H174</f>
        <v>#N/A</v>
      </c>
      <c r="H174" s="1318">
        <f>SUMIFS('Cash balance (Prior period)'!F:F,'Cash balance (Prior period)'!C:C,Table11[[#This Row],[ACCOUNT NUMBER]],'Cash balance (Prior period)'!E:E,Table11[[#This Row],[CURRENCY]])</f>
        <v>4297566899</v>
      </c>
      <c r="I174" s="1318">
        <f>SUMIFS(Movement!$F$4:$F$2136,Movement!$M$4:$M$2136,"VND",Movement!$C$4:$C$2136,Table11[[#This Row],[ACCOUNT NUMBER]],Movement!$J$4:$J$2136,Table11[[#This Row],[ENTITY]],Movement!$O$4:$O$2136,'Cash Balance'!$A$2)</f>
        <v>686420169</v>
      </c>
      <c r="J174" s="1318">
        <f>SUMIFS(Movement!$G$4:$G$2136,Movement!$M$4:$M$2136,"VND",Movement!$C$4:$C$2136,Table11[[#This Row],[ACCOUNT NUMBER]],Movement!$J$4:$J$2136,Table11[[#This Row],[ENTITY]],Movement!$O$4:$O$2136,'Cash Balance'!$A$2)</f>
        <v>133296835</v>
      </c>
      <c r="K174" s="1084">
        <f>Table11[[#This Row],[CASH IN - CREDIT (VND)]]-Table11[[#This Row],[CASH OUT - DEBIT (VND)]]</f>
        <v>553123334</v>
      </c>
      <c r="L174" s="1095">
        <f t="shared" si="17"/>
        <v>4850690233</v>
      </c>
      <c r="M174" s="1184" t="e">
        <f>VLOOKUP(C174,'Cash balance (BS)'!A:D,4,)</f>
        <v>#N/A</v>
      </c>
      <c r="N174" s="1095" t="e">
        <f>Table11[[#This Row],[CLOSING BALANCE (VND)2]]-Table11[[#This Row],[CB_BS (VND)]]</f>
        <v>#N/A</v>
      </c>
      <c r="O174" s="1094">
        <v>0</v>
      </c>
      <c r="P174" s="1095">
        <f t="shared" si="18"/>
        <v>0</v>
      </c>
      <c r="Q174" s="817">
        <f>SUMIFS('Cash balance (Prior period)'!G:G,'Cash balance (Prior period)'!C:C,Table11[[#This Row],[ACCOUNT NUMBER]],'Cash balance (Prior period)'!E:E,Table11[[#This Row],[CURRENCY]])</f>
        <v>0</v>
      </c>
      <c r="R174" s="817">
        <f>SUMIFS(Movement!$F$4:$F$2136,Movement!$M$4:$M$2136,"USD",Movement!$C$4:$C$2136,Table11[[#This Row],[ACCOUNT NUMBER]],Movement!$J$4:$J$2136,Table11[[#This Row],[ENTITY]],Movement!$O$4:$O$2136,'Cash Balance'!$A$2)</f>
        <v>0</v>
      </c>
      <c r="S174" s="817">
        <f>SUMIFS(Movement!$G$4:$G$2136,Movement!$M$4:$M$2136,"USD",Movement!$C$4:$C$2136,Table11[[#This Row],[ACCOUNT NUMBER]],Movement!$J$4:$J$2136,Table11[[#This Row],[ENTITY]],Movement!$O$4:$O$2136,'Cash Balance'!$A$2)</f>
        <v>0</v>
      </c>
      <c r="T174" s="1087">
        <f t="shared" si="19"/>
        <v>0</v>
      </c>
      <c r="U174" s="817"/>
      <c r="V174" s="817">
        <f>Table11[[#This Row],[CLOSING BALANCE (USD)]]-Table11[[#This Row],[CB_BS (USD)]]</f>
        <v>0</v>
      </c>
      <c r="W174" s="1156" t="str">
        <f>VLOOKUP('Cash Balance'!$C174,Table2[#All],MATCH('Cash Balance'!W$3,Acc_Char!$B$1:$I$1,0),0)</f>
        <v>Subsidiaries</v>
      </c>
      <c r="X174" s="1156" t="str">
        <f>VLOOKUP(IFERROR(MID($Y174,1,FIND("-",$Y174)-2),$Y174),Table3[#All],2,0)</f>
        <v>VTB</v>
      </c>
      <c r="Y174" s="1156" t="str">
        <f>VLOOKUP($B174,Table4[#All],2,0)</f>
        <v>VIETINBANK - TIEN SON</v>
      </c>
      <c r="Z174" s="1151"/>
      <c r="AA174" s="49"/>
      <c r="AE174" s="818">
        <f>SUM(Table11[[#This Row],[CASH IN - CREDIT (VND)]],Table11[[#This Row],[CASH IN - CREDIT (USD)]])</f>
        <v>686420169</v>
      </c>
      <c r="AF174" s="818">
        <f>Table11[[#This Row],[CASH OUT - DEBIT (VND)]]+Table11[[#This Row],[CASH OUT - DEBIT (USD)]]</f>
        <v>133296835</v>
      </c>
      <c r="AH174" s="1158"/>
      <c r="AI174" s="49"/>
      <c r="AJ174" s="1158"/>
      <c r="AL174"/>
      <c r="AM174"/>
    </row>
    <row r="175" spans="1:39" ht="14.4">
      <c r="A175" s="1153" t="str">
        <f>VLOOKUP('Cash Balance'!$C175,Table2[#All],MATCH('Cash Balance'!A$3,Acc_Char!$B$1:$I$1,0),0)</f>
        <v>BAU BANG 5</v>
      </c>
      <c r="B175" s="1154" t="str">
        <f>VLOOKUP('Cash Balance'!$C175,Table2[#All],MATCH('Cash Balance'!B$3,Acc_Char!$B$1:$I$1,0),0)</f>
        <v>VIETINBANK - BINH DUONG</v>
      </c>
      <c r="C175" s="1156" t="s">
        <v>700</v>
      </c>
      <c r="D175" s="1156" t="str">
        <f>VLOOKUP('Cash Balance'!$C175,Table2[#All],MATCH('Cash Balance'!D$3,Acc_Char!$B$1:$I$1,0),0)</f>
        <v>Current Account</v>
      </c>
      <c r="E175" s="384" t="str">
        <f>VLOOKUP('Cash Balance'!$C175,Table2[#All],MATCH('Cash Balance'!E$3,Acc_Char!$B$1:$I$1,0),0)</f>
        <v>VND</v>
      </c>
      <c r="F175" s="1094"/>
      <c r="G175" s="1157"/>
      <c r="H175" s="1318">
        <f>SUMIFS('Cash balance (Prior period)'!F:F,'Cash balance (Prior period)'!C:C,Table11[[#This Row],[ACCOUNT NUMBER]],'Cash balance (Prior period)'!E:E,Table11[[#This Row],[CURRENCY]])</f>
        <v>913729780</v>
      </c>
      <c r="I175" s="1318">
        <f>SUMIFS(Movement!$F$4:$F$2136,Movement!$M$4:$M$2136,"VND",Movement!$C$4:$C$2136,Table11[[#This Row],[ACCOUNT NUMBER]],Movement!$J$4:$J$2136,Table11[[#This Row],[ENTITY]],Movement!$O$4:$O$2136,'Cash Balance'!$A$2)</f>
        <v>123268656344</v>
      </c>
      <c r="J175" s="1318">
        <f>SUMIFS(Movement!$G$4:$G$2136,Movement!$M$4:$M$2136,"VND",Movement!$C$4:$C$2136,Table11[[#This Row],[ACCOUNT NUMBER]],Movement!$J$4:$J$2136,Table11[[#This Row],[ENTITY]],Movement!$O$4:$O$2136,'Cash Balance'!$A$2)</f>
        <v>122317430472</v>
      </c>
      <c r="K175" s="1084">
        <f>Table11[[#This Row],[CASH IN - CREDIT (VND)]]-Table11[[#This Row],[CASH OUT - DEBIT (VND)]]</f>
        <v>951225872</v>
      </c>
      <c r="L175" s="1095">
        <f t="shared" si="17"/>
        <v>1864955652</v>
      </c>
      <c r="M175" s="1184" t="e">
        <f>VLOOKUP(C175,'Cash balance (BS)'!A:D,4,)</f>
        <v>#N/A</v>
      </c>
      <c r="N175" s="1095" t="e">
        <f>Table11[[#This Row],[CLOSING BALANCE (VND)2]]-Table11[[#This Row],[CB_BS (VND)]]</f>
        <v>#N/A</v>
      </c>
      <c r="O175" s="1094">
        <v>0</v>
      </c>
      <c r="P175" s="1095">
        <f t="shared" si="18"/>
        <v>0</v>
      </c>
      <c r="Q175" s="817">
        <f>SUMIFS('Cash balance (Prior period)'!G:G,'Cash balance (Prior period)'!C:C,Table11[[#This Row],[ACCOUNT NUMBER]],'Cash balance (Prior period)'!E:E,Table11[[#This Row],[CURRENCY]])</f>
        <v>0</v>
      </c>
      <c r="R175" s="817">
        <f>SUMIFS(Movement!$F$4:$F$2136,Movement!$M$4:$M$2136,"USD",Movement!$C$4:$C$2136,Table11[[#This Row],[ACCOUNT NUMBER]],Movement!$J$4:$J$2136,Table11[[#This Row],[ENTITY]],Movement!$O$4:$O$2136,'Cash Balance'!$A$2)</f>
        <v>0</v>
      </c>
      <c r="S175" s="817">
        <f>SUMIFS(Movement!$G$4:$G$2136,Movement!$M$4:$M$2136,"USD",Movement!$C$4:$C$2136,Table11[[#This Row],[ACCOUNT NUMBER]],Movement!$J$4:$J$2136,Table11[[#This Row],[ENTITY]],Movement!$O$4:$O$2136,'Cash Balance'!$A$2)</f>
        <v>0</v>
      </c>
      <c r="T175" s="1087">
        <f t="shared" si="19"/>
        <v>0</v>
      </c>
      <c r="U175" s="817" t="e">
        <f>VLOOKUP(C175,'Cash balance (BS)'!A:D,4,)</f>
        <v>#N/A</v>
      </c>
      <c r="V175" s="817" t="e">
        <f>Table11[[#This Row],[CLOSING BALANCE (USD)]]-Table11[[#This Row],[CB_BS (USD)]]</f>
        <v>#N/A</v>
      </c>
      <c r="W175" s="1156" t="str">
        <f>VLOOKUP('Cash Balance'!$C175,Table2[#All],MATCH('Cash Balance'!W$3,Acc_Char!$B$1:$I$1,0),0)</f>
        <v>Subsidiaries</v>
      </c>
      <c r="X175" s="1156" t="str">
        <f>VLOOKUP(IFERROR(MID($Y175,1,FIND("-",$Y175)-2),$Y175),Table3[#All],2,0)</f>
        <v>VTB</v>
      </c>
      <c r="Y175" s="1156" t="str">
        <f>VLOOKUP($B175,Table4[#All],2,0)</f>
        <v>VIETINBANK - BINH DUONG + QM</v>
      </c>
      <c r="Z175" s="1151"/>
      <c r="AA175" s="49"/>
      <c r="AE175" s="818">
        <f>SUM(Table11[[#This Row],[CASH IN - CREDIT (VND)]],Table11[[#This Row],[CASH IN - CREDIT (USD)]])</f>
        <v>123268656344</v>
      </c>
      <c r="AF175" s="818">
        <f>Table11[[#This Row],[CASH OUT - DEBIT (VND)]]+Table11[[#This Row],[CASH OUT - DEBIT (USD)]]</f>
        <v>122317430472</v>
      </c>
      <c r="AH175" s="1158"/>
      <c r="AI175" s="49"/>
      <c r="AJ175" s="1158"/>
      <c r="AL175"/>
      <c r="AM175"/>
    </row>
    <row r="176" spans="1:39" ht="14.4">
      <c r="A176" s="1153" t="str">
        <f>VLOOKUP('Cash Balance'!$C176,Table2[#All],MATCH('Cash Balance'!A$3,Acc_Char!$B$1:$I$1,0),0)</f>
        <v>BAU BANG 6</v>
      </c>
      <c r="B176" s="1154" t="str">
        <f>VLOOKUP('Cash Balance'!$C176,Table2[#All],MATCH('Cash Balance'!B$3,Acc_Char!$B$1:$I$1,0),0)</f>
        <v>VIETINBANK - BINH DUONG</v>
      </c>
      <c r="C176" s="1156" t="s">
        <v>702</v>
      </c>
      <c r="D176" s="1156" t="str">
        <f>VLOOKUP('Cash Balance'!$C176,Table2[#All],MATCH('Cash Balance'!D$3,Acc_Char!$B$1:$I$1,0),0)</f>
        <v>Current Account</v>
      </c>
      <c r="E176" s="384" t="str">
        <f>VLOOKUP('Cash Balance'!$C176,Table2[#All],MATCH('Cash Balance'!E$3,Acc_Char!$B$1:$I$1,0),0)</f>
        <v>VND</v>
      </c>
      <c r="F176" s="1094" t="e">
        <f>VLOOKUP(C176,'Cash balance (BS)'!A:C,3,)</f>
        <v>#N/A</v>
      </c>
      <c r="G176" s="1157" t="e">
        <f>F176-H176</f>
        <v>#N/A</v>
      </c>
      <c r="H176" s="1318">
        <f>SUMIFS('Cash balance (Prior period)'!F:F,'Cash balance (Prior period)'!C:C,Table11[[#This Row],[ACCOUNT NUMBER]],'Cash balance (Prior period)'!E:E,Table11[[#This Row],[CURRENCY]])</f>
        <v>3479818157</v>
      </c>
      <c r="I176" s="1318">
        <f>SUMIFS(Movement!$F$4:$F$2136,Movement!$M$4:$M$2136,"VND",Movement!$C$4:$C$2136,Table11[[#This Row],[ACCOUNT NUMBER]],Movement!$J$4:$J$2136,Table11[[#This Row],[ENTITY]],Movement!$O$4:$O$2136,'Cash Balance'!$A$2)</f>
        <v>13650284074</v>
      </c>
      <c r="J176" s="1318">
        <f>SUMIFS(Movement!$G$4:$G$2136,Movement!$M$4:$M$2136,"VND",Movement!$C$4:$C$2136,Table11[[#This Row],[ACCOUNT NUMBER]],Movement!$J$4:$J$2136,Table11[[#This Row],[ENTITY]],Movement!$O$4:$O$2136,'Cash Balance'!$A$2)</f>
        <v>12481819381</v>
      </c>
      <c r="K176" s="1084">
        <f>Table11[[#This Row],[CASH IN - CREDIT (VND)]]-Table11[[#This Row],[CASH OUT - DEBIT (VND)]]</f>
        <v>1168464693</v>
      </c>
      <c r="L176" s="1095">
        <f t="shared" si="17"/>
        <v>4648282850</v>
      </c>
      <c r="M176" s="1184" t="e">
        <f>VLOOKUP(C176,'Cash balance (BS)'!A:D,4,)</f>
        <v>#N/A</v>
      </c>
      <c r="N176" s="1095" t="e">
        <f>Table11[[#This Row],[CLOSING BALANCE (VND)2]]-Table11[[#This Row],[CB_BS (VND)]]</f>
        <v>#N/A</v>
      </c>
      <c r="O176" s="1094">
        <v>0</v>
      </c>
      <c r="P176" s="1095">
        <f t="shared" si="18"/>
        <v>0</v>
      </c>
      <c r="Q176" s="817">
        <f>SUMIFS('Cash balance (Prior period)'!G:G,'Cash balance (Prior period)'!C:C,Table11[[#This Row],[ACCOUNT NUMBER]],'Cash balance (Prior period)'!E:E,Table11[[#This Row],[CURRENCY]])</f>
        <v>0</v>
      </c>
      <c r="R176" s="817">
        <f>SUMIFS(Movement!$F$4:$F$2136,Movement!$M$4:$M$2136,"USD",Movement!$C$4:$C$2136,Table11[[#This Row],[ACCOUNT NUMBER]],Movement!$J$4:$J$2136,Table11[[#This Row],[ENTITY]],Movement!$O$4:$O$2136,'Cash Balance'!$A$2)</f>
        <v>0</v>
      </c>
      <c r="S176" s="817">
        <f>SUMIFS(Movement!$G$4:$G$2136,Movement!$M$4:$M$2136,"USD",Movement!$C$4:$C$2136,Table11[[#This Row],[ACCOUNT NUMBER]],Movement!$J$4:$J$2136,Table11[[#This Row],[ENTITY]],Movement!$O$4:$O$2136,'Cash Balance'!$A$2)</f>
        <v>0</v>
      </c>
      <c r="T176" s="1087">
        <f t="shared" si="19"/>
        <v>0</v>
      </c>
      <c r="U176" s="817"/>
      <c r="V176" s="817">
        <f>Table11[[#This Row],[CLOSING BALANCE (USD)]]-Table11[[#This Row],[CB_BS (USD)]]</f>
        <v>0</v>
      </c>
      <c r="W176" s="1156" t="str">
        <f>VLOOKUP('Cash Balance'!$C176,Table2[#All],MATCH('Cash Balance'!W$3,Acc_Char!$B$1:$I$1,0),0)</f>
        <v>Subsidiaries</v>
      </c>
      <c r="X176" s="1156" t="str">
        <f>VLOOKUP(IFERROR(MID($Y176,1,FIND("-",$Y176)-2),$Y176),Table3[#All],2,0)</f>
        <v>VTB</v>
      </c>
      <c r="Y176" s="1156" t="str">
        <f>VLOOKUP($B176,Table4[#All],2,0)</f>
        <v>VIETINBANK - BINH DUONG + QM</v>
      </c>
      <c r="Z176" s="1151"/>
      <c r="AA176" s="49"/>
      <c r="AE176" s="818">
        <f>SUM(Table11[[#This Row],[CASH IN - CREDIT (VND)]],Table11[[#This Row],[CASH IN - CREDIT (USD)]])</f>
        <v>13650284074</v>
      </c>
      <c r="AF176" s="818">
        <f>Table11[[#This Row],[CASH OUT - DEBIT (VND)]]+Table11[[#This Row],[CASH OUT - DEBIT (USD)]]</f>
        <v>12481819381</v>
      </c>
      <c r="AH176" s="1158"/>
      <c r="AI176" s="49"/>
      <c r="AJ176" s="1158"/>
      <c r="AL176"/>
      <c r="AM176"/>
    </row>
    <row r="177" spans="1:39" ht="14.4">
      <c r="A177" s="1153" t="str">
        <f>VLOOKUP('Cash Balance'!$C177,Table2[#All],MATCH('Cash Balance'!A$3,Acc_Char!$B$1:$I$1,0),0)</f>
        <v>LONG BINH</v>
      </c>
      <c r="B177" s="1154" t="str">
        <f>VLOOKUP('Cash Balance'!$C177,Table2[#All],MATCH('Cash Balance'!B$3,Acc_Char!$B$1:$I$1,0),0)</f>
        <v>VIETINBANK - CN1</v>
      </c>
      <c r="C177" s="1156" t="s">
        <v>704</v>
      </c>
      <c r="D177" s="1156" t="str">
        <f>VLOOKUP('Cash Balance'!$C177,Table2[#All],MATCH('Cash Balance'!D$3,Acc_Char!$B$1:$I$1,0),0)</f>
        <v>Saving Account</v>
      </c>
      <c r="E177" s="384" t="str">
        <f>VLOOKUP('Cash Balance'!$C177,Table2[#All],MATCH('Cash Balance'!E$3,Acc_Char!$B$1:$I$1,0),0)</f>
        <v>VND</v>
      </c>
      <c r="F177" s="1094" t="e">
        <f>VLOOKUP(C177,'Cash balance (BS)'!A:C,3,)</f>
        <v>#N/A</v>
      </c>
      <c r="G177" s="1157" t="e">
        <f>F177-H177</f>
        <v>#N/A</v>
      </c>
      <c r="H177" s="1318">
        <f>SUMIFS('Cash balance (Prior period)'!F:F,'Cash balance (Prior period)'!C:C,Table11[[#This Row],[ACCOUNT NUMBER]],'Cash balance (Prior period)'!E:E,Table11[[#This Row],[CURRENCY]])</f>
        <v>1738000000</v>
      </c>
      <c r="I177" s="1318">
        <f>SUMIFS(Movement!$F$4:$F$2136,Movement!$M$4:$M$2136,"VND",Movement!$C$4:$C$2136,Table11[[#This Row],[ACCOUNT NUMBER]],Movement!$J$4:$J$2136,Table11[[#This Row],[ENTITY]],Movement!$O$4:$O$2136,'Cash Balance'!$A$2)</f>
        <v>0</v>
      </c>
      <c r="J177" s="1318">
        <f>SUMIFS(Movement!$G$4:$G$2136,Movement!$M$4:$M$2136,"VND",Movement!$C$4:$C$2136,Table11[[#This Row],[ACCOUNT NUMBER]],Movement!$J$4:$J$2136,Table11[[#This Row],[ENTITY]],Movement!$O$4:$O$2136,'Cash Balance'!$A$2)</f>
        <v>0</v>
      </c>
      <c r="K177" s="1084">
        <f>Table11[[#This Row],[CASH IN - CREDIT (VND)]]-Table11[[#This Row],[CASH OUT - DEBIT (VND)]]</f>
        <v>0</v>
      </c>
      <c r="L177" s="1095">
        <f t="shared" si="17"/>
        <v>1738000000</v>
      </c>
      <c r="M177" s="1184" t="e">
        <f>VLOOKUP(C177,'Cash balance (BS)'!A:D,4,)</f>
        <v>#N/A</v>
      </c>
      <c r="N177" s="1095" t="e">
        <f>Table11[[#This Row],[CLOSING BALANCE (VND)2]]-Table11[[#This Row],[CB_BS (VND)]]</f>
        <v>#N/A</v>
      </c>
      <c r="O177" s="1094">
        <v>0</v>
      </c>
      <c r="P177" s="1095">
        <f t="shared" si="18"/>
        <v>0</v>
      </c>
      <c r="Q177" s="817">
        <f>SUMIFS('Cash balance (Prior period)'!G:G,'Cash balance (Prior period)'!C:C,Table11[[#This Row],[ACCOUNT NUMBER]],'Cash balance (Prior period)'!E:E,Table11[[#This Row],[CURRENCY]])</f>
        <v>0</v>
      </c>
      <c r="R177" s="817">
        <f>SUMIFS(Movement!$F$4:$F$2136,Movement!$M$4:$M$2136,"USD",Movement!$C$4:$C$2136,Table11[[#This Row],[ACCOUNT NUMBER]],Movement!$J$4:$J$2136,Table11[[#This Row],[ENTITY]],Movement!$O$4:$O$2136,'Cash Balance'!$A$2)</f>
        <v>0</v>
      </c>
      <c r="S177" s="817">
        <f>SUMIFS(Movement!$G$4:$G$2136,Movement!$M$4:$M$2136,"USD",Movement!$C$4:$C$2136,Table11[[#This Row],[ACCOUNT NUMBER]],Movement!$J$4:$J$2136,Table11[[#This Row],[ENTITY]],Movement!$O$4:$O$2136,'Cash Balance'!$A$2)</f>
        <v>0</v>
      </c>
      <c r="T177" s="1087">
        <f t="shared" si="19"/>
        <v>0</v>
      </c>
      <c r="U177" s="817"/>
      <c r="V177" s="817">
        <f>Table11[[#This Row],[CLOSING BALANCE (USD)]]-Table11[[#This Row],[CB_BS (USD)]]</f>
        <v>0</v>
      </c>
      <c r="W177" s="1156" t="str">
        <f>VLOOKUP('Cash Balance'!$C177,Table2[#All],MATCH('Cash Balance'!W$3,Acc_Char!$B$1:$I$1,0),0)</f>
        <v>Subsidiaries</v>
      </c>
      <c r="X177" s="1156" t="str">
        <f>VLOOKUP(IFERROR(MID($Y177,1,FIND("-",$Y177)-2),$Y177),Table3[#All],2,0)</f>
        <v>VTB</v>
      </c>
      <c r="Y177" s="1156" t="str">
        <f>VLOOKUP($B177,Table4[#All],2,0)</f>
        <v>VIETINBANK - CN1</v>
      </c>
      <c r="Z177" s="1151"/>
      <c r="AA177" s="49"/>
      <c r="AE177" s="818">
        <f>SUM(Table11[[#This Row],[CASH IN - CREDIT (VND)]],Table11[[#This Row],[CASH IN - CREDIT (USD)]])</f>
        <v>0</v>
      </c>
      <c r="AF177" s="818">
        <f>Table11[[#This Row],[CASH OUT - DEBIT (VND)]]+Table11[[#This Row],[CASH OUT - DEBIT (USD)]]</f>
        <v>0</v>
      </c>
      <c r="AH177" s="1158"/>
      <c r="AI177" s="49"/>
      <c r="AJ177" s="1158"/>
      <c r="AL177"/>
      <c r="AM177"/>
    </row>
    <row r="178" spans="1:39" ht="14.4">
      <c r="A178" s="1153" t="str">
        <f>VLOOKUP('Cash Balance'!$C178,Table2[#All],MATCH('Cash Balance'!A$3,Acc_Char!$B$1:$I$1,0),0)</f>
        <v>LONG BINH</v>
      </c>
      <c r="B178" s="1154" t="str">
        <f>VLOOKUP('Cash Balance'!$C178,Table2[#All],MATCH('Cash Balance'!B$3,Acc_Char!$B$1:$I$1,0),0)</f>
        <v>VIETINBANK - CN1</v>
      </c>
      <c r="C178" s="1156" t="s">
        <v>705</v>
      </c>
      <c r="D178" s="1156" t="str">
        <f>VLOOKUP('Cash Balance'!$C178,Table2[#All],MATCH('Cash Balance'!D$3,Acc_Char!$B$1:$I$1,0),0)</f>
        <v>Current Account</v>
      </c>
      <c r="E178" s="384" t="str">
        <f>VLOOKUP('Cash Balance'!$C178,Table2[#All],MATCH('Cash Balance'!E$3,Acc_Char!$B$1:$I$1,0),0)</f>
        <v>VND</v>
      </c>
      <c r="F178" s="1094"/>
      <c r="G178" s="1157"/>
      <c r="H178" s="1318">
        <f>SUMIFS('Cash balance (Prior period)'!F:F,'Cash balance (Prior period)'!C:C,Table11[[#This Row],[ACCOUNT NUMBER]],'Cash balance (Prior period)'!E:E,Table11[[#This Row],[CURRENCY]])</f>
        <v>153302378</v>
      </c>
      <c r="I178" s="1318">
        <f>SUMIFS(Movement!$F$4:$F$2136,Movement!$M$4:$M$2136,"VND",Movement!$C$4:$C$2136,Table11[[#This Row],[ACCOUNT NUMBER]],Movement!$J$4:$J$2136,Table11[[#This Row],[ENTITY]],Movement!$O$4:$O$2136,'Cash Balance'!$A$2)</f>
        <v>998674393</v>
      </c>
      <c r="J178" s="1318">
        <f>SUMIFS(Movement!$G$4:$G$2136,Movement!$M$4:$M$2136,"VND",Movement!$C$4:$C$2136,Table11[[#This Row],[ACCOUNT NUMBER]],Movement!$J$4:$J$2136,Table11[[#This Row],[ENTITY]],Movement!$O$4:$O$2136,'Cash Balance'!$A$2)</f>
        <v>0</v>
      </c>
      <c r="K178" s="1084">
        <f>Table11[[#This Row],[CASH IN - CREDIT (VND)]]-Table11[[#This Row],[CASH OUT - DEBIT (VND)]]</f>
        <v>998674393</v>
      </c>
      <c r="L178" s="1095">
        <f t="shared" si="17"/>
        <v>1151976771</v>
      </c>
      <c r="M178" s="1184" t="e">
        <f>VLOOKUP(C178,'Cash balance (BS)'!A:D,4,)</f>
        <v>#N/A</v>
      </c>
      <c r="N178" s="1095" t="e">
        <f>Table11[[#This Row],[CLOSING BALANCE (VND)2]]-Table11[[#This Row],[CB_BS (VND)]]</f>
        <v>#N/A</v>
      </c>
      <c r="O178" s="1094">
        <v>0</v>
      </c>
      <c r="P178" s="1095">
        <f t="shared" si="18"/>
        <v>0</v>
      </c>
      <c r="Q178" s="817">
        <f>SUMIFS('Cash balance (Prior period)'!G:G,'Cash balance (Prior period)'!C:C,Table11[[#This Row],[ACCOUNT NUMBER]],'Cash balance (Prior period)'!E:E,Table11[[#This Row],[CURRENCY]])</f>
        <v>0</v>
      </c>
      <c r="R178" s="817">
        <f>SUMIFS(Movement!$F$4:$F$2136,Movement!$M$4:$M$2136,"USD",Movement!$C$4:$C$2136,Table11[[#This Row],[ACCOUNT NUMBER]],Movement!$J$4:$J$2136,Table11[[#This Row],[ENTITY]],Movement!$O$4:$O$2136,'Cash Balance'!$A$2)</f>
        <v>0</v>
      </c>
      <c r="S178" s="817">
        <f>SUMIFS(Movement!$G$4:$G$2136,Movement!$M$4:$M$2136,"USD",Movement!$C$4:$C$2136,Table11[[#This Row],[ACCOUNT NUMBER]],Movement!$J$4:$J$2136,Table11[[#This Row],[ENTITY]],Movement!$O$4:$O$2136,'Cash Balance'!$A$2)</f>
        <v>0</v>
      </c>
      <c r="T178" s="1087">
        <f t="shared" si="19"/>
        <v>0</v>
      </c>
      <c r="U178" s="817" t="e">
        <f>VLOOKUP(C178,'Cash balance (BS)'!A:D,4,)</f>
        <v>#N/A</v>
      </c>
      <c r="V178" s="1087" t="e">
        <f>Table11[[#This Row],[CLOSING BALANCE (USD)]]-Table11[[#This Row],[CB_BS (USD)]]</f>
        <v>#N/A</v>
      </c>
      <c r="W178" s="1156" t="str">
        <f>VLOOKUP('Cash Balance'!$C178,Table2[#All],MATCH('Cash Balance'!W$3,Acc_Char!$B$1:$I$1,0),0)</f>
        <v>Subsidiaries</v>
      </c>
      <c r="X178" s="1156" t="str">
        <f>VLOOKUP(IFERROR(MID($Y178,1,FIND("-",$Y178)-2),$Y178),Table3[#All],2,0)</f>
        <v>VTB</v>
      </c>
      <c r="Y178" s="1156" t="str">
        <f>VLOOKUP($B178,Table4[#All],2,0)</f>
        <v>VIETINBANK - CN1</v>
      </c>
      <c r="Z178" s="1151"/>
      <c r="AA178" s="49"/>
      <c r="AE178" s="818">
        <f>SUM(Table11[[#This Row],[CASH IN - CREDIT (VND)]],Table11[[#This Row],[CASH IN - CREDIT (USD)]])</f>
        <v>998674393</v>
      </c>
      <c r="AF178" s="818">
        <f>Table11[[#This Row],[CASH OUT - DEBIT (VND)]]+Table11[[#This Row],[CASH OUT - DEBIT (USD)]]</f>
        <v>0</v>
      </c>
      <c r="AH178" s="1158"/>
      <c r="AI178" s="49"/>
      <c r="AJ178" s="1158"/>
      <c r="AL178"/>
      <c r="AM178"/>
    </row>
    <row r="179" spans="1:39" ht="14.4">
      <c r="A179" s="1153" t="str">
        <f>VLOOKUP('Cash Balance'!$C179,Table2[#All],MATCH('Cash Balance'!A$3,Acc_Char!$B$1:$I$1,0),0)</f>
        <v>XENIA 1</v>
      </c>
      <c r="B179" s="1154" t="str">
        <f>VLOOKUP('Cash Balance'!$C179,Table2[#All],MATCH('Cash Balance'!B$3,Acc_Char!$B$1:$I$1,0),0)</f>
        <v>VIETINBANK - TIEN SON</v>
      </c>
      <c r="C179" s="1156" t="s">
        <v>707</v>
      </c>
      <c r="D179" s="1156" t="str">
        <f>VLOOKUP('Cash Balance'!$C179,Table2[#All],MATCH('Cash Balance'!D$3,Acc_Char!$B$1:$I$1,0),0)</f>
        <v>Current Account</v>
      </c>
      <c r="E179" s="384" t="str">
        <f>VLOOKUP('Cash Balance'!$C179,Table2[#All],MATCH('Cash Balance'!E$3,Acc_Char!$B$1:$I$1,0),0)</f>
        <v>VND</v>
      </c>
      <c r="F179" s="1094" t="e">
        <f>VLOOKUP(C179,'Cash balance (BS)'!A:C,3,)</f>
        <v>#N/A</v>
      </c>
      <c r="G179" s="1157" t="e">
        <f>F179-H179</f>
        <v>#N/A</v>
      </c>
      <c r="H179" s="1318">
        <f>SUMIFS('Cash balance (Prior period)'!F:F,'Cash balance (Prior period)'!C:C,Table11[[#This Row],[ACCOUNT NUMBER]],'Cash balance (Prior period)'!E:E,Table11[[#This Row],[CURRENCY]])</f>
        <v>3851923526</v>
      </c>
      <c r="I179" s="1318">
        <f>SUMIFS(Movement!$F$4:$F$2136,Movement!$M$4:$M$2136,"VND",Movement!$C$4:$C$2136,Table11[[#This Row],[ACCOUNT NUMBER]],Movement!$J$4:$J$2136,Table11[[#This Row],[ENTITY]],Movement!$O$4:$O$2136,'Cash Balance'!$A$2)</f>
        <v>2150966947</v>
      </c>
      <c r="J179" s="1318">
        <f>SUMIFS(Movement!$G$4:$G$2136,Movement!$M$4:$M$2136,"VND",Movement!$C$4:$C$2136,Table11[[#This Row],[ACCOUNT NUMBER]],Movement!$J$4:$J$2136,Table11[[#This Row],[ENTITY]],Movement!$O$4:$O$2136,'Cash Balance'!$A$2)</f>
        <v>691820224</v>
      </c>
      <c r="K179" s="1084">
        <f>Table11[[#This Row],[CASH IN - CREDIT (VND)]]-Table11[[#This Row],[CASH OUT - DEBIT (VND)]]</f>
        <v>1459146723</v>
      </c>
      <c r="L179" s="1095">
        <f t="shared" si="17"/>
        <v>5311070249</v>
      </c>
      <c r="M179" s="1184" t="e">
        <f>VLOOKUP(C179,'Cash balance (BS)'!A:D,4,)</f>
        <v>#N/A</v>
      </c>
      <c r="N179" s="1095" t="e">
        <f>Table11[[#This Row],[CLOSING BALANCE (VND)2]]-Table11[[#This Row],[CB_BS (VND)]]</f>
        <v>#N/A</v>
      </c>
      <c r="O179" s="1094">
        <v>0</v>
      </c>
      <c r="P179" s="1095">
        <f t="shared" si="18"/>
        <v>0</v>
      </c>
      <c r="Q179" s="817">
        <f>SUMIFS('Cash balance (Prior period)'!G:G,'Cash balance (Prior period)'!C:C,Table11[[#This Row],[ACCOUNT NUMBER]],'Cash balance (Prior period)'!E:E,Table11[[#This Row],[CURRENCY]])</f>
        <v>0</v>
      </c>
      <c r="R179" s="817">
        <f>SUMIFS(Movement!$F$4:$F$2136,Movement!$M$4:$M$2136,"USD",Movement!$C$4:$C$2136,Table11[[#This Row],[ACCOUNT NUMBER]],Movement!$J$4:$J$2136,Table11[[#This Row],[ENTITY]],Movement!$O$4:$O$2136,'Cash Balance'!$A$2)</f>
        <v>0</v>
      </c>
      <c r="S179" s="817">
        <f>SUMIFS(Movement!$G$4:$G$2136,Movement!$M$4:$M$2136,"USD",Movement!$C$4:$C$2136,Table11[[#This Row],[ACCOUNT NUMBER]],Movement!$J$4:$J$2136,Table11[[#This Row],[ENTITY]],Movement!$O$4:$O$2136,'Cash Balance'!$A$2)</f>
        <v>0</v>
      </c>
      <c r="T179" s="1087">
        <f t="shared" si="19"/>
        <v>0</v>
      </c>
      <c r="U179" s="817"/>
      <c r="V179" s="817">
        <f>Table11[[#This Row],[CLOSING BALANCE (USD)]]-Table11[[#This Row],[CB_BS (USD)]]</f>
        <v>0</v>
      </c>
      <c r="W179" s="1156" t="str">
        <f>VLOOKUP('Cash Balance'!$C179,Table2[#All],MATCH('Cash Balance'!W$3,Acc_Char!$B$1:$I$1,0),0)</f>
        <v>Subsidiaries</v>
      </c>
      <c r="X179" s="1156" t="str">
        <f>VLOOKUP(IFERROR(MID($Y179,1,FIND("-",$Y179)-2),$Y179),Table3[#All],2,0)</f>
        <v>VTB</v>
      </c>
      <c r="Y179" s="1156" t="str">
        <f>VLOOKUP($B179,Table4[#All],2,0)</f>
        <v>VIETINBANK - TIEN SON</v>
      </c>
      <c r="Z179" s="1151"/>
      <c r="AA179" s="49"/>
      <c r="AE179" s="818">
        <f>SUM(Table11[[#This Row],[CASH IN - CREDIT (VND)]],Table11[[#This Row],[CASH IN - CREDIT (USD)]])</f>
        <v>2150966947</v>
      </c>
      <c r="AF179" s="818">
        <f>Table11[[#This Row],[CASH OUT - DEBIT (VND)]]+Table11[[#This Row],[CASH OUT - DEBIT (USD)]]</f>
        <v>691820224</v>
      </c>
      <c r="AH179" s="1158"/>
      <c r="AI179" s="49"/>
      <c r="AJ179" s="1158"/>
      <c r="AL179"/>
      <c r="AM179"/>
    </row>
    <row r="180" spans="1:39" ht="14.4">
      <c r="A180" s="1153" t="str">
        <f>VLOOKUP('Cash Balance'!$C180,Table2[#All],MATCH('Cash Balance'!A$3,Acc_Char!$B$1:$I$1,0),0)</f>
        <v>XENIA 2</v>
      </c>
      <c r="B180" s="1154" t="str">
        <f>VLOOKUP('Cash Balance'!$C180,Table2[#All],MATCH('Cash Balance'!B$3,Acc_Char!$B$1:$I$1,0),0)</f>
        <v>VIETINBANK - TIEN SON</v>
      </c>
      <c r="C180" s="1156" t="s">
        <v>709</v>
      </c>
      <c r="D180" s="1156" t="str">
        <f>VLOOKUP('Cash Balance'!$C180,Table2[#All],MATCH('Cash Balance'!D$3,Acc_Char!$B$1:$I$1,0),0)</f>
        <v>Current Account</v>
      </c>
      <c r="E180" s="384" t="str">
        <f>VLOOKUP('Cash Balance'!$C180,Table2[#All],MATCH('Cash Balance'!E$3,Acc_Char!$B$1:$I$1,0),0)</f>
        <v>VND</v>
      </c>
      <c r="F180" s="1094" t="e">
        <f>VLOOKUP(C180,'Cash balance (BS)'!A:C,3,)</f>
        <v>#N/A</v>
      </c>
      <c r="G180" s="1157" t="e">
        <f>F180-H180</f>
        <v>#N/A</v>
      </c>
      <c r="H180" s="1318">
        <f>SUMIFS('Cash balance (Prior period)'!F:F,'Cash balance (Prior period)'!C:C,Table11[[#This Row],[ACCOUNT NUMBER]],'Cash balance (Prior period)'!E:E,Table11[[#This Row],[CURRENCY]])</f>
        <v>2379657249</v>
      </c>
      <c r="I180" s="1318">
        <f>SUMIFS(Movement!$F$4:$F$2136,Movement!$M$4:$M$2136,"VND",Movement!$C$4:$C$2136,Table11[[#This Row],[ACCOUNT NUMBER]],Movement!$J$4:$J$2136,Table11[[#This Row],[ENTITY]],Movement!$O$4:$O$2136,'Cash Balance'!$A$2)</f>
        <v>1442081080</v>
      </c>
      <c r="J180" s="1318">
        <f>SUMIFS(Movement!$G$4:$G$2136,Movement!$M$4:$M$2136,"VND",Movement!$C$4:$C$2136,Table11[[#This Row],[ACCOUNT NUMBER]],Movement!$J$4:$J$2136,Table11[[#This Row],[ENTITY]],Movement!$O$4:$O$2136,'Cash Balance'!$A$2)</f>
        <v>138558690</v>
      </c>
      <c r="K180" s="1084">
        <f>Table11[[#This Row],[CASH IN - CREDIT (VND)]]-Table11[[#This Row],[CASH OUT - DEBIT (VND)]]</f>
        <v>1303522390</v>
      </c>
      <c r="L180" s="1095">
        <f t="shared" si="17"/>
        <v>3683179639</v>
      </c>
      <c r="M180" s="1184" t="e">
        <f>VLOOKUP(C180,'Cash balance (BS)'!A:D,4,)</f>
        <v>#N/A</v>
      </c>
      <c r="N180" s="1095" t="e">
        <f>Table11[[#This Row],[CLOSING BALANCE (VND)2]]-Table11[[#This Row],[CB_BS (VND)]]</f>
        <v>#N/A</v>
      </c>
      <c r="O180" s="1094">
        <v>0</v>
      </c>
      <c r="P180" s="1095">
        <f t="shared" si="18"/>
        <v>0</v>
      </c>
      <c r="Q180" s="817">
        <f>SUMIFS('Cash balance (Prior period)'!G:G,'Cash balance (Prior period)'!C:C,Table11[[#This Row],[ACCOUNT NUMBER]],'Cash balance (Prior period)'!E:E,Table11[[#This Row],[CURRENCY]])</f>
        <v>0</v>
      </c>
      <c r="R180" s="817">
        <f>SUMIFS(Movement!$F$4:$F$2136,Movement!$M$4:$M$2136,"USD",Movement!$C$4:$C$2136,Table11[[#This Row],[ACCOUNT NUMBER]],Movement!$J$4:$J$2136,Table11[[#This Row],[ENTITY]],Movement!$O$4:$O$2136,'Cash Balance'!$A$2)</f>
        <v>0</v>
      </c>
      <c r="S180" s="817">
        <f>SUMIFS(Movement!$G$4:$G$2136,Movement!$M$4:$M$2136,"USD",Movement!$C$4:$C$2136,Table11[[#This Row],[ACCOUNT NUMBER]],Movement!$J$4:$J$2136,Table11[[#This Row],[ENTITY]],Movement!$O$4:$O$2136,'Cash Balance'!$A$2)</f>
        <v>0</v>
      </c>
      <c r="T180" s="1087">
        <f t="shared" si="19"/>
        <v>0</v>
      </c>
      <c r="U180" s="817"/>
      <c r="V180" s="817">
        <f>Table11[[#This Row],[CLOSING BALANCE (USD)]]-Table11[[#This Row],[CB_BS (USD)]]</f>
        <v>0</v>
      </c>
      <c r="W180" s="1156" t="str">
        <f>VLOOKUP('Cash Balance'!$C180,Table2[#All],MATCH('Cash Balance'!W$3,Acc_Char!$B$1:$I$1,0),0)</f>
        <v>Subsidiaries</v>
      </c>
      <c r="X180" s="1156" t="str">
        <f>VLOOKUP(IFERROR(MID($Y180,1,FIND("-",$Y180)-2),$Y180),Table3[#All],2,0)</f>
        <v>VTB</v>
      </c>
      <c r="Y180" s="1156" t="str">
        <f>VLOOKUP($B180,Table4[#All],2,0)</f>
        <v>VIETINBANK - TIEN SON</v>
      </c>
      <c r="Z180" s="1151"/>
      <c r="AA180" s="49"/>
      <c r="AE180" s="818">
        <f>SUM(Table11[[#This Row],[CASH IN - CREDIT (VND)]],Table11[[#This Row],[CASH IN - CREDIT (USD)]])</f>
        <v>1442081080</v>
      </c>
      <c r="AF180" s="818">
        <f>Table11[[#This Row],[CASH OUT - DEBIT (VND)]]+Table11[[#This Row],[CASH OUT - DEBIT (USD)]]</f>
        <v>138558690</v>
      </c>
      <c r="AH180" s="1158"/>
      <c r="AI180" s="49"/>
      <c r="AJ180" s="1158"/>
      <c r="AL180"/>
      <c r="AM180"/>
    </row>
    <row r="181" spans="1:39" ht="14.4">
      <c r="A181" s="1153" t="str">
        <f>VLOOKUP('Cash Balance'!$C181,Table2[#All],MATCH('Cash Balance'!A$3,Acc_Char!$B$1:$I$1,0),0)</f>
        <v>WINLOCK 2A</v>
      </c>
      <c r="B181" s="1154" t="str">
        <f>VLOOKUP('Cash Balance'!$C181,Table2[#All],MATCH('Cash Balance'!B$3,Acc_Char!$B$1:$I$1,0),0)</f>
        <v>VIETINBANK - TIEN SON</v>
      </c>
      <c r="C181" s="1156" t="s">
        <v>711</v>
      </c>
      <c r="D181" s="1156" t="str">
        <f>VLOOKUP('Cash Balance'!$C181,Table2[#All],MATCH('Cash Balance'!D$3,Acc_Char!$B$1:$I$1,0),0)</f>
        <v>Current Account</v>
      </c>
      <c r="E181" s="384" t="str">
        <f>VLOOKUP('Cash Balance'!$C181,Table2[#All],MATCH('Cash Balance'!E$3,Acc_Char!$B$1:$I$1,0),0)</f>
        <v>VND</v>
      </c>
      <c r="F181" s="1094"/>
      <c r="G181" s="1157"/>
      <c r="H181" s="1318">
        <f>SUMIFS('Cash balance (Prior period)'!F:F,'Cash balance (Prior period)'!C:C,Table11[[#This Row],[ACCOUNT NUMBER]],'Cash balance (Prior period)'!E:E,Table11[[#This Row],[CURRENCY]])</f>
        <v>3750248370</v>
      </c>
      <c r="I181" s="1318">
        <f>SUMIFS(Movement!$F$4:$F$2136,Movement!$M$4:$M$2136,"VND",Movement!$C$4:$C$2136,Table11[[#This Row],[ACCOUNT NUMBER]],Movement!$J$4:$J$2136,Table11[[#This Row],[ENTITY]],Movement!$O$4:$O$2136,'Cash Balance'!$A$2)</f>
        <v>4723323</v>
      </c>
      <c r="J181" s="1318">
        <f>SUMIFS(Movement!$G$4:$G$2136,Movement!$M$4:$M$2136,"VND",Movement!$C$4:$C$2136,Table11[[#This Row],[ACCOUNT NUMBER]],Movement!$J$4:$J$2136,Table11[[#This Row],[ENTITY]],Movement!$O$4:$O$2136,'Cash Balance'!$A$2)</f>
        <v>1073126667</v>
      </c>
      <c r="K181" s="1084">
        <f>Table11[[#This Row],[CASH IN - CREDIT (VND)]]-Table11[[#This Row],[CASH OUT - DEBIT (VND)]]</f>
        <v>-1068403344</v>
      </c>
      <c r="L181" s="1095">
        <f t="shared" si="17"/>
        <v>2681845026</v>
      </c>
      <c r="M181" s="1184" t="e">
        <f>VLOOKUP(C181,'Cash balance (BS)'!A:D,4,)</f>
        <v>#N/A</v>
      </c>
      <c r="N181" s="1095" t="e">
        <f>Table11[[#This Row],[CLOSING BALANCE (VND)2]]-Table11[[#This Row],[CB_BS (VND)]]</f>
        <v>#N/A</v>
      </c>
      <c r="O181" s="1094">
        <v>0</v>
      </c>
      <c r="P181" s="1095">
        <f t="shared" si="18"/>
        <v>0</v>
      </c>
      <c r="Q181" s="817">
        <f>SUMIFS('Cash balance (Prior period)'!G:G,'Cash balance (Prior period)'!C:C,Table11[[#This Row],[ACCOUNT NUMBER]],'Cash balance (Prior period)'!E:E,Table11[[#This Row],[CURRENCY]])</f>
        <v>0</v>
      </c>
      <c r="R181" s="817">
        <f>SUMIFS(Movement!$F$4:$F$2136,Movement!$M$4:$M$2136,"USD",Movement!$C$4:$C$2136,Table11[[#This Row],[ACCOUNT NUMBER]],Movement!$J$4:$J$2136,Table11[[#This Row],[ENTITY]],Movement!$O$4:$O$2136,'Cash Balance'!$A$2)</f>
        <v>0</v>
      </c>
      <c r="S181" s="817">
        <f>SUMIFS(Movement!$G$4:$G$2136,Movement!$M$4:$M$2136,"USD",Movement!$C$4:$C$2136,Table11[[#This Row],[ACCOUNT NUMBER]],Movement!$J$4:$J$2136,Table11[[#This Row],[ENTITY]],Movement!$O$4:$O$2136,'Cash Balance'!$A$2)</f>
        <v>0</v>
      </c>
      <c r="T181" s="1087">
        <f t="shared" si="19"/>
        <v>0</v>
      </c>
      <c r="U181" s="817" t="e">
        <f>VLOOKUP(C181,'Cash balance (BS)'!A:D,4,)</f>
        <v>#N/A</v>
      </c>
      <c r="V181" s="1087" t="e">
        <f>Table11[[#This Row],[CLOSING BALANCE (USD)]]-Table11[[#This Row],[CB_BS (USD)]]</f>
        <v>#N/A</v>
      </c>
      <c r="W181" s="1156" t="str">
        <f>VLOOKUP('Cash Balance'!$C181,Table2[#All],MATCH('Cash Balance'!W$3,Acc_Char!$B$1:$I$1,0),0)</f>
        <v>Subsidiaries</v>
      </c>
      <c r="X181" s="1156" t="str">
        <f>VLOOKUP(IFERROR(MID($Y181,1,FIND("-",$Y181)-2),$Y181),Table3[#All],2,0)</f>
        <v>VTB</v>
      </c>
      <c r="Y181" s="1156" t="str">
        <f>VLOOKUP($B181,Table4[#All],2,0)</f>
        <v>VIETINBANK - TIEN SON</v>
      </c>
      <c r="Z181" s="1151"/>
      <c r="AA181" s="49"/>
      <c r="AE181" s="818">
        <f>SUM(Table11[[#This Row],[CASH IN - CREDIT (VND)]],Table11[[#This Row],[CASH IN - CREDIT (USD)]])</f>
        <v>4723323</v>
      </c>
      <c r="AF181" s="818">
        <f>Table11[[#This Row],[CASH OUT - DEBIT (VND)]]+Table11[[#This Row],[CASH OUT - DEBIT (USD)]]</f>
        <v>1073126667</v>
      </c>
      <c r="AH181" s="1158"/>
      <c r="AI181" s="49"/>
      <c r="AJ181" s="1158"/>
      <c r="AL181"/>
      <c r="AM181"/>
    </row>
    <row r="182" spans="1:39" ht="14.4">
      <c r="A182" s="1153" t="str">
        <f>VLOOKUP('Cash Balance'!$C182,Table2[#All],MATCH('Cash Balance'!A$3,Acc_Char!$B$1:$I$1,0),0)</f>
        <v>WINLOCK 2B</v>
      </c>
      <c r="B182" s="1154" t="str">
        <f>VLOOKUP('Cash Balance'!$C182,Table2[#All],MATCH('Cash Balance'!B$3,Acc_Char!$B$1:$I$1,0),0)</f>
        <v>VIETINBANK - TIEN SON</v>
      </c>
      <c r="C182" s="1156" t="s">
        <v>713</v>
      </c>
      <c r="D182" s="1156" t="str">
        <f>VLOOKUP('Cash Balance'!$C182,Table2[#All],MATCH('Cash Balance'!D$3,Acc_Char!$B$1:$I$1,0),0)</f>
        <v>Current Account</v>
      </c>
      <c r="E182" s="384" t="str">
        <f>VLOOKUP('Cash Balance'!$C182,Table2[#All],MATCH('Cash Balance'!E$3,Acc_Char!$B$1:$I$1,0),0)</f>
        <v>VND</v>
      </c>
      <c r="F182" s="1094" t="e">
        <f>VLOOKUP(C182,'Cash balance (BS)'!A:C,3,)</f>
        <v>#N/A</v>
      </c>
      <c r="G182" s="1157" t="e">
        <f>F182-H182</f>
        <v>#N/A</v>
      </c>
      <c r="H182" s="1318">
        <f>SUMIFS('Cash balance (Prior period)'!F:F,'Cash balance (Prior period)'!C:C,Table11[[#This Row],[ACCOUNT NUMBER]],'Cash balance (Prior period)'!E:E,Table11[[#This Row],[CURRENCY]])</f>
        <v>1727149096</v>
      </c>
      <c r="I182" s="1318">
        <f>SUMIFS(Movement!$F$4:$F$2136,Movement!$M$4:$M$2136,"VND",Movement!$C$4:$C$2136,Table11[[#This Row],[ACCOUNT NUMBER]],Movement!$J$4:$J$2136,Table11[[#This Row],[ENTITY]],Movement!$O$4:$O$2136,'Cash Balance'!$A$2)</f>
        <v>0</v>
      </c>
      <c r="J182" s="1318">
        <f>SUMIFS(Movement!$G$4:$G$2136,Movement!$M$4:$M$2136,"VND",Movement!$C$4:$C$2136,Table11[[#This Row],[ACCOUNT NUMBER]],Movement!$J$4:$J$2136,Table11[[#This Row],[ENTITY]],Movement!$O$4:$O$2136,'Cash Balance'!$A$2)</f>
        <v>456714849</v>
      </c>
      <c r="K182" s="1084">
        <f>Table11[[#This Row],[CASH IN - CREDIT (VND)]]-Table11[[#This Row],[CASH OUT - DEBIT (VND)]]</f>
        <v>-456714849</v>
      </c>
      <c r="L182" s="1095">
        <f t="shared" si="17"/>
        <v>1270434247</v>
      </c>
      <c r="M182" s="1184" t="e">
        <f>VLOOKUP(C182,'Cash balance (BS)'!A:D,4,)</f>
        <v>#N/A</v>
      </c>
      <c r="N182" s="1095" t="e">
        <f>Table11[[#This Row],[CLOSING BALANCE (VND)2]]-Table11[[#This Row],[CB_BS (VND)]]</f>
        <v>#N/A</v>
      </c>
      <c r="O182" s="1094">
        <v>0</v>
      </c>
      <c r="P182" s="1095">
        <f t="shared" si="18"/>
        <v>0</v>
      </c>
      <c r="Q182" s="817">
        <f>SUMIFS('Cash balance (Prior period)'!G:G,'Cash balance (Prior period)'!C:C,Table11[[#This Row],[ACCOUNT NUMBER]],'Cash balance (Prior period)'!E:E,Table11[[#This Row],[CURRENCY]])</f>
        <v>0</v>
      </c>
      <c r="R182" s="817">
        <f>SUMIFS(Movement!$F$4:$F$2136,Movement!$M$4:$M$2136,"USD",Movement!$C$4:$C$2136,Table11[[#This Row],[ACCOUNT NUMBER]],Movement!$J$4:$J$2136,Table11[[#This Row],[ENTITY]],Movement!$O$4:$O$2136,'Cash Balance'!$A$2)</f>
        <v>0</v>
      </c>
      <c r="S182" s="817">
        <f>SUMIFS(Movement!$G$4:$G$2136,Movement!$M$4:$M$2136,"USD",Movement!$C$4:$C$2136,Table11[[#This Row],[ACCOUNT NUMBER]],Movement!$J$4:$J$2136,Table11[[#This Row],[ENTITY]],Movement!$O$4:$O$2136,'Cash Balance'!$A$2)</f>
        <v>0</v>
      </c>
      <c r="T182" s="1087">
        <f t="shared" si="19"/>
        <v>0</v>
      </c>
      <c r="U182" s="817"/>
      <c r="V182" s="817">
        <f>Table11[[#This Row],[CLOSING BALANCE (USD)]]-Table11[[#This Row],[CB_BS (USD)]]</f>
        <v>0</v>
      </c>
      <c r="W182" s="1156" t="str">
        <f>VLOOKUP('Cash Balance'!$C182,Table2[#All],MATCH('Cash Balance'!W$3,Acc_Char!$B$1:$I$1,0),0)</f>
        <v>Subsidiaries</v>
      </c>
      <c r="X182" s="1156" t="str">
        <f>VLOOKUP(IFERROR(MID($Y182,1,FIND("-",$Y182)-2),$Y182),Table3[#All],2,0)</f>
        <v>VTB</v>
      </c>
      <c r="Y182" s="1156" t="str">
        <f>VLOOKUP($B182,Table4[#All],2,0)</f>
        <v>VIETINBANK - TIEN SON</v>
      </c>
      <c r="Z182" s="1151"/>
      <c r="AA182" s="49"/>
      <c r="AE182" s="818">
        <f>SUM(Table11[[#This Row],[CASH IN - CREDIT (VND)]],Table11[[#This Row],[CASH IN - CREDIT (USD)]])</f>
        <v>0</v>
      </c>
      <c r="AF182" s="818">
        <f>Table11[[#This Row],[CASH OUT - DEBIT (VND)]]+Table11[[#This Row],[CASH OUT - DEBIT (USD)]]</f>
        <v>456714849</v>
      </c>
      <c r="AH182" s="1158"/>
      <c r="AI182" s="49"/>
      <c r="AJ182" s="1158"/>
      <c r="AL182"/>
      <c r="AM182"/>
    </row>
    <row r="183" spans="1:39" ht="14.4">
      <c r="A183" s="1153" t="str">
        <f>VLOOKUP('Cash Balance'!$C183,Table2[#All],MATCH('Cash Balance'!A$3,Acc_Char!$B$1:$I$1,0),0)</f>
        <v>BW MY PHUOC 3</v>
      </c>
      <c r="B183" s="1154" t="str">
        <f>VLOOKUP('Cash Balance'!$C183,Table2[#All],MATCH('Cash Balance'!B$3,Acc_Char!$B$1:$I$1,0),0)</f>
        <v>VIETINBANK - BINH DUONG</v>
      </c>
      <c r="C183" s="1156" t="s">
        <v>715</v>
      </c>
      <c r="D183" s="1156" t="str">
        <f>VLOOKUP('Cash Balance'!$C183,Table2[#All],MATCH('Cash Balance'!D$3,Acc_Char!$B$1:$I$1,0),0)</f>
        <v>Current Account</v>
      </c>
      <c r="E183" s="384" t="str">
        <f>VLOOKUP('Cash Balance'!$C183,Table2[#All],MATCH('Cash Balance'!E$3,Acc_Char!$B$1:$I$1,0),0)</f>
        <v>VND</v>
      </c>
      <c r="F183" s="1094"/>
      <c r="G183" s="1157"/>
      <c r="H183" s="1318">
        <f>SUMIFS('Cash balance (Prior period)'!F:F,'Cash balance (Prior period)'!C:C,Table11[[#This Row],[ACCOUNT NUMBER]],'Cash balance (Prior period)'!E:E,Table11[[#This Row],[CURRENCY]])</f>
        <v>1889192517</v>
      </c>
      <c r="I183" s="1318">
        <f>SUMIFS(Movement!$F$4:$F$2136,Movement!$M$4:$M$2136,"VND",Movement!$C$4:$C$2136,Table11[[#This Row],[ACCOUNT NUMBER]],Movement!$J$4:$J$2136,Table11[[#This Row],[ENTITY]],Movement!$O$4:$O$2136,'Cash Balance'!$A$2)</f>
        <v>2233044635</v>
      </c>
      <c r="J183" s="1318">
        <f>SUMIFS(Movement!$G$4:$G$2136,Movement!$M$4:$M$2136,"VND",Movement!$C$4:$C$2136,Table11[[#This Row],[ACCOUNT NUMBER]],Movement!$J$4:$J$2136,Table11[[#This Row],[ENTITY]],Movement!$O$4:$O$2136,'Cash Balance'!$A$2)</f>
        <v>105031342</v>
      </c>
      <c r="K183" s="1084">
        <f>Table11[[#This Row],[CASH IN - CREDIT (VND)]]-Table11[[#This Row],[CASH OUT - DEBIT (VND)]]</f>
        <v>2128013293</v>
      </c>
      <c r="L183" s="1095">
        <f t="shared" si="17"/>
        <v>4017205810</v>
      </c>
      <c r="M183" s="1184" t="e">
        <f>VLOOKUP(C183,'Cash balance (BS)'!A:D,4,)</f>
        <v>#N/A</v>
      </c>
      <c r="N183" s="1095" t="e">
        <f>Table11[[#This Row],[CLOSING BALANCE (VND)2]]-Table11[[#This Row],[CB_BS (VND)]]</f>
        <v>#N/A</v>
      </c>
      <c r="O183" s="1094">
        <v>0</v>
      </c>
      <c r="P183" s="1095">
        <f t="shared" si="18"/>
        <v>0</v>
      </c>
      <c r="Q183" s="817">
        <f>SUMIFS('Cash balance (Prior period)'!G:G,'Cash balance (Prior period)'!C:C,Table11[[#This Row],[ACCOUNT NUMBER]],'Cash balance (Prior period)'!E:E,Table11[[#This Row],[CURRENCY]])</f>
        <v>0</v>
      </c>
      <c r="R183" s="817">
        <f>SUMIFS(Movement!$F$4:$F$2136,Movement!$M$4:$M$2136,"USD",Movement!$C$4:$C$2136,Table11[[#This Row],[ACCOUNT NUMBER]],Movement!$J$4:$J$2136,Table11[[#This Row],[ENTITY]],Movement!$O$4:$O$2136,'Cash Balance'!$A$2)</f>
        <v>0</v>
      </c>
      <c r="S183" s="817">
        <f>SUMIFS(Movement!$G$4:$G$2136,Movement!$M$4:$M$2136,"USD",Movement!$C$4:$C$2136,Table11[[#This Row],[ACCOUNT NUMBER]],Movement!$J$4:$J$2136,Table11[[#This Row],[ENTITY]],Movement!$O$4:$O$2136,'Cash Balance'!$A$2)</f>
        <v>0</v>
      </c>
      <c r="T183" s="1087">
        <f t="shared" si="19"/>
        <v>0</v>
      </c>
      <c r="U183" s="817" t="e">
        <f>VLOOKUP(C183,'Cash balance (BS)'!A:D,4,)</f>
        <v>#N/A</v>
      </c>
      <c r="V183" s="817" t="e">
        <f>Table11[[#This Row],[CLOSING BALANCE (USD)]]-Table11[[#This Row],[CB_BS (USD)]]</f>
        <v>#N/A</v>
      </c>
      <c r="W183" s="1156" t="str">
        <f>VLOOKUP('Cash Balance'!$C183,Table2[#All],MATCH('Cash Balance'!W$3,Acc_Char!$B$1:$I$1,0),0)</f>
        <v>Subsidiaries</v>
      </c>
      <c r="X183" s="1156" t="str">
        <f>VLOOKUP(IFERROR(MID($Y183,1,FIND("-",$Y183)-2),$Y183),Table3[#All],2,0)</f>
        <v>VTB</v>
      </c>
      <c r="Y183" s="1156" t="str">
        <f>VLOOKUP($B183,Table4[#All],2,0)</f>
        <v>VIETINBANK - BINH DUONG + QM</v>
      </c>
      <c r="Z183" s="1151"/>
      <c r="AA183" s="49"/>
      <c r="AE183" s="818">
        <f>SUM(Table11[[#This Row],[CASH IN - CREDIT (VND)]],Table11[[#This Row],[CASH IN - CREDIT (USD)]])</f>
        <v>2233044635</v>
      </c>
      <c r="AF183" s="818">
        <f>Table11[[#This Row],[CASH OUT - DEBIT (VND)]]+Table11[[#This Row],[CASH OUT - DEBIT (USD)]]</f>
        <v>105031342</v>
      </c>
      <c r="AH183" s="1158"/>
      <c r="AI183" s="49"/>
      <c r="AJ183" s="1158"/>
      <c r="AL183"/>
      <c r="AM183"/>
    </row>
    <row r="184" spans="1:39" ht="14.4">
      <c r="A184" s="1153" t="str">
        <f>VLOOKUP('Cash Balance'!$C184,Table2[#All],MATCH('Cash Balance'!A$3,Acc_Char!$B$1:$I$1,0),0)</f>
        <v>BW BAU BANG 01</v>
      </c>
      <c r="B184" s="1154" t="str">
        <f>VLOOKUP('Cash Balance'!$C184,Table2[#All],MATCH('Cash Balance'!B$3,Acc_Char!$B$1:$I$1,0),0)</f>
        <v>VIETINBANK - BINH DUONG</v>
      </c>
      <c r="C184" s="1156" t="s">
        <v>717</v>
      </c>
      <c r="D184" s="1156" t="str">
        <f>VLOOKUP('Cash Balance'!$C184,Table2[#All],MATCH('Cash Balance'!D$3,Acc_Char!$B$1:$I$1,0),0)</f>
        <v>Current Account</v>
      </c>
      <c r="E184" s="384" t="str">
        <f>VLOOKUP('Cash Balance'!$C184,Table2[#All],MATCH('Cash Balance'!E$3,Acc_Char!$B$1:$I$1,0),0)</f>
        <v>VND</v>
      </c>
      <c r="F184" s="1094" t="e">
        <f>VLOOKUP(C184,'Cash balance (BS)'!A:C,3,)</f>
        <v>#N/A</v>
      </c>
      <c r="G184" s="1157" t="e">
        <f>F184-H184</f>
        <v>#N/A</v>
      </c>
      <c r="H184" s="1318">
        <f>SUMIFS('Cash balance (Prior period)'!F:F,'Cash balance (Prior period)'!C:C,Table11[[#This Row],[ACCOUNT NUMBER]],'Cash balance (Prior period)'!E:E,Table11[[#This Row],[CURRENCY]])</f>
        <v>2536453733</v>
      </c>
      <c r="I184" s="1318">
        <f>SUMIFS(Movement!$F$4:$F$2136,Movement!$M$4:$M$2136,"VND",Movement!$C$4:$C$2136,Table11[[#This Row],[ACCOUNT NUMBER]],Movement!$J$4:$J$2136,Table11[[#This Row],[ENTITY]],Movement!$O$4:$O$2136,'Cash Balance'!$A$2)</f>
        <v>26673573488</v>
      </c>
      <c r="J184" s="1318">
        <f>SUMIFS(Movement!$G$4:$G$2136,Movement!$M$4:$M$2136,"VND",Movement!$C$4:$C$2136,Table11[[#This Row],[ACCOUNT NUMBER]],Movement!$J$4:$J$2136,Table11[[#This Row],[ENTITY]],Movement!$O$4:$O$2136,'Cash Balance'!$A$2)</f>
        <v>1231265545</v>
      </c>
      <c r="K184" s="1084">
        <f>Table11[[#This Row],[CASH IN - CREDIT (VND)]]-Table11[[#This Row],[CASH OUT - DEBIT (VND)]]</f>
        <v>25442307943</v>
      </c>
      <c r="L184" s="1095">
        <f t="shared" si="17"/>
        <v>27978761676</v>
      </c>
      <c r="M184" s="1184" t="e">
        <f>VLOOKUP(C184,'Cash balance (BS)'!A:D,4,)</f>
        <v>#N/A</v>
      </c>
      <c r="N184" s="1095" t="e">
        <f>Table11[[#This Row],[CLOSING BALANCE (VND)2]]-Table11[[#This Row],[CB_BS (VND)]]</f>
        <v>#N/A</v>
      </c>
      <c r="O184" s="1094">
        <v>0</v>
      </c>
      <c r="P184" s="1095">
        <f t="shared" si="18"/>
        <v>0</v>
      </c>
      <c r="Q184" s="817">
        <f>SUMIFS('Cash balance (Prior period)'!G:G,'Cash balance (Prior period)'!C:C,Table11[[#This Row],[ACCOUNT NUMBER]],'Cash balance (Prior period)'!E:E,Table11[[#This Row],[CURRENCY]])</f>
        <v>0</v>
      </c>
      <c r="R184" s="817">
        <f>SUMIFS(Movement!$F$4:$F$2136,Movement!$M$4:$M$2136,"USD",Movement!$C$4:$C$2136,Table11[[#This Row],[ACCOUNT NUMBER]],Movement!$J$4:$J$2136,Table11[[#This Row],[ENTITY]],Movement!$O$4:$O$2136,'Cash Balance'!$A$2)</f>
        <v>0</v>
      </c>
      <c r="S184" s="817">
        <f>SUMIFS(Movement!$G$4:$G$2136,Movement!$M$4:$M$2136,"USD",Movement!$C$4:$C$2136,Table11[[#This Row],[ACCOUNT NUMBER]],Movement!$J$4:$J$2136,Table11[[#This Row],[ENTITY]],Movement!$O$4:$O$2136,'Cash Balance'!$A$2)</f>
        <v>0</v>
      </c>
      <c r="T184" s="1087">
        <f t="shared" si="19"/>
        <v>0</v>
      </c>
      <c r="U184" s="817"/>
      <c r="V184" s="817">
        <f>Table11[[#This Row],[CLOSING BALANCE (USD)]]-Table11[[#This Row],[CB_BS (USD)]]</f>
        <v>0</v>
      </c>
      <c r="W184" s="1156" t="str">
        <f>VLOOKUP('Cash Balance'!$C184,Table2[#All],MATCH('Cash Balance'!W$3,Acc_Char!$B$1:$I$1,0),0)</f>
        <v>Subsidiaries</v>
      </c>
      <c r="X184" s="1156" t="str">
        <f>VLOOKUP(IFERROR(MID($Y184,1,FIND("-",$Y184)-2),$Y184),Table3[#All],2,0)</f>
        <v>VTB</v>
      </c>
      <c r="Y184" s="1156" t="str">
        <f>VLOOKUP($B184,Table4[#All],2,0)</f>
        <v>VIETINBANK - BINH DUONG + QM</v>
      </c>
      <c r="Z184" s="1151"/>
      <c r="AA184" s="49"/>
      <c r="AE184" s="818">
        <f>SUM(Table11[[#This Row],[CASH IN - CREDIT (VND)]],Table11[[#This Row],[CASH IN - CREDIT (USD)]])</f>
        <v>26673573488</v>
      </c>
      <c r="AF184" s="818">
        <f>Table11[[#This Row],[CASH OUT - DEBIT (VND)]]+Table11[[#This Row],[CASH OUT - DEBIT (USD)]]</f>
        <v>1231265545</v>
      </c>
      <c r="AH184" s="1158"/>
      <c r="AI184" s="49"/>
      <c r="AJ184" s="1158"/>
      <c r="AL184"/>
      <c r="AM184"/>
    </row>
    <row r="185" spans="1:39" ht="14.4">
      <c r="A185" s="1153" t="str">
        <f>VLOOKUP('Cash Balance'!$C185,Table2[#All],MATCH('Cash Balance'!A$3,Acc_Char!$B$1:$I$1,0),0)</f>
        <v>HOLDCO4K</v>
      </c>
      <c r="B185" s="1154" t="str">
        <f>VLOOKUP('Cash Balance'!$C185,Table2[#All],MATCH('Cash Balance'!B$3,Acc_Char!$B$1:$I$1,0),0)</f>
        <v>BIDV - THANH XUAN</v>
      </c>
      <c r="C185" s="1185" t="s">
        <v>719</v>
      </c>
      <c r="D185" s="1156" t="str">
        <f>VLOOKUP('Cash Balance'!$C185,Table2[#All],MATCH('Cash Balance'!D$3,Acc_Char!$B$1:$I$1,0),0)</f>
        <v>Current Account</v>
      </c>
      <c r="E185" s="384" t="str">
        <f>VLOOKUP('Cash Balance'!$C185,Table2[#All],MATCH('Cash Balance'!E$3,Acc_Char!$B$1:$I$1,0),0)</f>
        <v>VND</v>
      </c>
      <c r="F185" s="1094"/>
      <c r="G185" s="1157"/>
      <c r="H185" s="1318">
        <f>SUMIFS('Cash balance (Prior period)'!F:F,'Cash balance (Prior period)'!C:C,Table11[[#This Row],[ACCOUNT NUMBER]],'Cash balance (Prior period)'!E:E,Table11[[#This Row],[CURRENCY]])</f>
        <v>53505836</v>
      </c>
      <c r="I185" s="1318">
        <f>SUMIFS(Movement!$F$4:$F$2136,Movement!$M$4:$M$2136,"VND",Movement!$C$4:$C$2136,Table11[[#This Row],[ACCOUNT NUMBER]],Movement!$J$4:$J$2136,Table11[[#This Row],[ENTITY]],Movement!$O$4:$O$2136,'Cash Balance'!$A$2)</f>
        <v>2722192</v>
      </c>
      <c r="J185" s="1318">
        <f>SUMIFS(Movement!$G$4:$G$2136,Movement!$M$4:$M$2136,"VND",Movement!$C$4:$C$2136,Table11[[#This Row],[ACCOUNT NUMBER]],Movement!$J$4:$J$2136,Table11[[#This Row],[ENTITY]],Movement!$O$4:$O$2136,'Cash Balance'!$A$2)</f>
        <v>55000</v>
      </c>
      <c r="K185" s="1084">
        <f>Table11[[#This Row],[CASH IN - CREDIT (VND)]]-Table11[[#This Row],[CASH OUT - DEBIT (VND)]]</f>
        <v>2667192</v>
      </c>
      <c r="L185" s="1095">
        <f t="shared" si="17"/>
        <v>56173028</v>
      </c>
      <c r="M185" s="1184" t="e">
        <f>VLOOKUP(C185,'Cash balance (BS)'!A:D,4,)</f>
        <v>#N/A</v>
      </c>
      <c r="N185" s="1095" t="e">
        <f>Table11[[#This Row],[CLOSING BALANCE (VND)2]]-Table11[[#This Row],[CB_BS (VND)]]</f>
        <v>#N/A</v>
      </c>
      <c r="O185" s="1094">
        <v>0</v>
      </c>
      <c r="P185" s="1095">
        <f t="shared" si="18"/>
        <v>0</v>
      </c>
      <c r="Q185" s="817">
        <f>SUMIFS('Cash balance (Prior period)'!G:G,'Cash balance (Prior period)'!C:C,Table11[[#This Row],[ACCOUNT NUMBER]],'Cash balance (Prior period)'!E:E,Table11[[#This Row],[CURRENCY]])</f>
        <v>0</v>
      </c>
      <c r="R185" s="817">
        <f>SUMIFS(Movement!$F$4:$F$2136,Movement!$M$4:$M$2136,"USD",Movement!$C$4:$C$2136,Table11[[#This Row],[ACCOUNT NUMBER]],Movement!$J$4:$J$2136,Table11[[#This Row],[ENTITY]],Movement!$O$4:$O$2136,'Cash Balance'!$A$2)</f>
        <v>0</v>
      </c>
      <c r="S185" s="817">
        <f>SUMIFS(Movement!$G$4:$G$2136,Movement!$M$4:$M$2136,"USD",Movement!$C$4:$C$2136,Table11[[#This Row],[ACCOUNT NUMBER]],Movement!$J$4:$J$2136,Table11[[#This Row],[ENTITY]],Movement!$O$4:$O$2136,'Cash Balance'!$A$2)</f>
        <v>0</v>
      </c>
      <c r="T185" s="1087">
        <f t="shared" si="19"/>
        <v>0</v>
      </c>
      <c r="U185" s="817" t="e">
        <f>VLOOKUP(C185,'Cash balance (BS)'!A:D,4,)</f>
        <v>#N/A</v>
      </c>
      <c r="V185" s="1087" t="e">
        <f>Table11[[#This Row],[CLOSING BALANCE (USD)]]-Table11[[#This Row],[CB_BS (USD)]]</f>
        <v>#N/A</v>
      </c>
      <c r="W185" s="1156" t="str">
        <f>VLOOKUP('Cash Balance'!$C185,Table2[#All],MATCH('Cash Balance'!W$3,Acc_Char!$B$1:$I$1,0),0)</f>
        <v>Subsidiaries</v>
      </c>
      <c r="X185" s="1156" t="str">
        <f>VLOOKUP(IFERROR(MID($Y185,1,FIND("-",$Y185)-2),$Y185),Table3[#All],2,0)</f>
        <v>BIDV</v>
      </c>
      <c r="Y185" s="1156" t="str">
        <f>VLOOKUP($B185,Table4[#All],2,0)</f>
        <v>BIDV - THANH XUAN</v>
      </c>
      <c r="Z185" s="1151"/>
      <c r="AA185" s="49"/>
      <c r="AE185" s="818">
        <f>SUM(Table11[[#This Row],[CASH IN - CREDIT (VND)]],Table11[[#This Row],[CASH IN - CREDIT (USD)]])</f>
        <v>2722192</v>
      </c>
      <c r="AF185" s="818">
        <f>Table11[[#This Row],[CASH OUT - DEBIT (VND)]]+Table11[[#This Row],[CASH OUT - DEBIT (USD)]]</f>
        <v>55000</v>
      </c>
      <c r="AH185" s="1158" t="s">
        <v>1519</v>
      </c>
      <c r="AI185" s="49"/>
      <c r="AJ185" s="1158"/>
      <c r="AL185"/>
      <c r="AM185"/>
    </row>
    <row r="186" spans="1:39" ht="14.4">
      <c r="A186" s="1153" t="str">
        <f>VLOOKUP('Cash Balance'!$C186,Table2[#All],MATCH('Cash Balance'!A$3,Acc_Char!$B$1:$I$1,0),0)</f>
        <v>HOLDCO4L</v>
      </c>
      <c r="B186" s="1154" t="str">
        <f>VLOOKUP('Cash Balance'!$C186,Table2[#All],MATCH('Cash Balance'!B$3,Acc_Char!$B$1:$I$1,0),0)</f>
        <v>BIDV - THANH XUAN</v>
      </c>
      <c r="C186" s="1185" t="s">
        <v>721</v>
      </c>
      <c r="D186" s="1156" t="str">
        <f>VLOOKUP('Cash Balance'!$C186,Table2[#All],MATCH('Cash Balance'!D$3,Acc_Char!$B$1:$I$1,0),0)</f>
        <v>Current Account</v>
      </c>
      <c r="E186" s="384" t="str">
        <f>VLOOKUP('Cash Balance'!$C186,Table2[#All],MATCH('Cash Balance'!E$3,Acc_Char!$B$1:$I$1,0),0)</f>
        <v>VND</v>
      </c>
      <c r="F186" s="1094" t="e">
        <f>VLOOKUP(C186,'Cash balance (BS)'!A:C,3,)</f>
        <v>#N/A</v>
      </c>
      <c r="G186" s="1157" t="e">
        <f>F186-H186</f>
        <v>#N/A</v>
      </c>
      <c r="H186" s="1318">
        <f>SUMIFS('Cash balance (Prior period)'!F:F,'Cash balance (Prior period)'!C:C,Table11[[#This Row],[ACCOUNT NUMBER]],'Cash balance (Prior period)'!E:E,Table11[[#This Row],[CURRENCY]])</f>
        <v>3709826</v>
      </c>
      <c r="I186" s="1318">
        <f>SUMIFS(Movement!$F$4:$F$2136,Movement!$M$4:$M$2136,"VND",Movement!$C$4:$C$2136,Table11[[#This Row],[ACCOUNT NUMBER]],Movement!$J$4:$J$2136,Table11[[#This Row],[ENTITY]],Movement!$O$4:$O$2136,'Cash Balance'!$A$2)</f>
        <v>0</v>
      </c>
      <c r="J186" s="1318">
        <f>SUMIFS(Movement!$G$4:$G$2136,Movement!$M$4:$M$2136,"VND",Movement!$C$4:$C$2136,Table11[[#This Row],[ACCOUNT NUMBER]],Movement!$J$4:$J$2136,Table11[[#This Row],[ENTITY]],Movement!$O$4:$O$2136,'Cash Balance'!$A$2)</f>
        <v>55000</v>
      </c>
      <c r="K186" s="1084">
        <f>Table11[[#This Row],[CASH IN - CREDIT (VND)]]-Table11[[#This Row],[CASH OUT - DEBIT (VND)]]</f>
        <v>-55000</v>
      </c>
      <c r="L186" s="1095">
        <f t="shared" si="17"/>
        <v>3654826</v>
      </c>
      <c r="M186" s="1184" t="e">
        <f>VLOOKUP(C186,'Cash balance (BS)'!A:D,4,)</f>
        <v>#N/A</v>
      </c>
      <c r="N186" s="1095" t="e">
        <f>Table11[[#This Row],[CLOSING BALANCE (VND)2]]-Table11[[#This Row],[CB_BS (VND)]]</f>
        <v>#N/A</v>
      </c>
      <c r="O186" s="1094">
        <v>0</v>
      </c>
      <c r="P186" s="1095">
        <f t="shared" si="18"/>
        <v>0</v>
      </c>
      <c r="Q186" s="817">
        <f>SUMIFS('Cash balance (Prior period)'!G:G,'Cash balance (Prior period)'!C:C,Table11[[#This Row],[ACCOUNT NUMBER]],'Cash balance (Prior period)'!E:E,Table11[[#This Row],[CURRENCY]])</f>
        <v>0</v>
      </c>
      <c r="R186" s="817">
        <f>SUMIFS(Movement!$F$4:$F$2136,Movement!$M$4:$M$2136,"USD",Movement!$C$4:$C$2136,Table11[[#This Row],[ACCOUNT NUMBER]],Movement!$J$4:$J$2136,Table11[[#This Row],[ENTITY]],Movement!$O$4:$O$2136,'Cash Balance'!$A$2)</f>
        <v>0</v>
      </c>
      <c r="S186" s="817">
        <f>SUMIFS(Movement!$G$4:$G$2136,Movement!$M$4:$M$2136,"USD",Movement!$C$4:$C$2136,Table11[[#This Row],[ACCOUNT NUMBER]],Movement!$J$4:$J$2136,Table11[[#This Row],[ENTITY]],Movement!$O$4:$O$2136,'Cash Balance'!$A$2)</f>
        <v>0</v>
      </c>
      <c r="T186" s="1087">
        <f t="shared" si="19"/>
        <v>0</v>
      </c>
      <c r="U186" s="817"/>
      <c r="V186" s="817">
        <f>Table11[[#This Row],[CLOSING BALANCE (USD)]]-Table11[[#This Row],[CB_BS (USD)]]</f>
        <v>0</v>
      </c>
      <c r="W186" s="1156" t="str">
        <f>VLOOKUP('Cash Balance'!$C186,Table2[#All],MATCH('Cash Balance'!W$3,Acc_Char!$B$1:$I$1,0),0)</f>
        <v>Subsidiaries</v>
      </c>
      <c r="X186" s="1156" t="str">
        <f>VLOOKUP(IFERROR(MID($Y186,1,FIND("-",$Y186)-2),$Y186),Table3[#All],2,0)</f>
        <v>BIDV</v>
      </c>
      <c r="Y186" s="1156" t="str">
        <f>VLOOKUP($B186,Table4[#All],2,0)</f>
        <v>BIDV - THANH XUAN</v>
      </c>
      <c r="Z186" s="1151"/>
      <c r="AA186" s="49"/>
      <c r="AE186" s="818">
        <f>SUM(Table11[[#This Row],[CASH IN - CREDIT (VND)]],Table11[[#This Row],[CASH IN - CREDIT (USD)]])</f>
        <v>0</v>
      </c>
      <c r="AF186" s="818">
        <f>Table11[[#This Row],[CASH OUT - DEBIT (VND)]]+Table11[[#This Row],[CASH OUT - DEBIT (USD)]]</f>
        <v>55000</v>
      </c>
      <c r="AH186" s="1158" t="s">
        <v>1519</v>
      </c>
      <c r="AI186" s="49"/>
      <c r="AJ186" s="1158"/>
      <c r="AL186"/>
      <c r="AM186"/>
    </row>
    <row r="187" spans="1:39" ht="14.4">
      <c r="A187" s="1153" t="str">
        <f>VLOOKUP('Cash Balance'!$C187,Table2[#All],MATCH('Cash Balance'!A$3,Acc_Char!$B$1:$I$1,0),0)</f>
        <v>HOLDCO4L</v>
      </c>
      <c r="B187" s="1154" t="str">
        <f>VLOOKUP('Cash Balance'!$C187,Table2[#All],MATCH('Cash Balance'!B$3,Acc_Char!$B$1:$I$1,0),0)</f>
        <v>OCB - BINH DUONG</v>
      </c>
      <c r="C187" s="1156" t="s">
        <v>722</v>
      </c>
      <c r="D187" s="1156" t="str">
        <f>VLOOKUP('Cash Balance'!$C187,Table2[#All],MATCH('Cash Balance'!D$3,Acc_Char!$B$1:$I$1,0),0)</f>
        <v>Current Account</v>
      </c>
      <c r="E187" s="384" t="str">
        <f>VLOOKUP('Cash Balance'!$C187,Table2[#All],MATCH('Cash Balance'!E$3,Acc_Char!$B$1:$I$1,0),0)</f>
        <v>VND</v>
      </c>
      <c r="F187" s="1094"/>
      <c r="G187" s="1157"/>
      <c r="H187" s="1318">
        <f>SUMIFS('Cash balance (Prior period)'!F:F,'Cash balance (Prior period)'!C:C,Table11[[#This Row],[ACCOUNT NUMBER]],'Cash balance (Prior period)'!E:E,Table11[[#This Row],[CURRENCY]])</f>
        <v>15669570</v>
      </c>
      <c r="I187" s="1318">
        <f>SUMIFS(Movement!$F$4:$F$2136,Movement!$M$4:$M$2136,"VND",Movement!$C$4:$C$2136,Table11[[#This Row],[ACCOUNT NUMBER]],Movement!$J$4:$J$2136,Table11[[#This Row],[ENTITY]],Movement!$O$4:$O$2136,'Cash Balance'!$A$2)</f>
        <v>0</v>
      </c>
      <c r="J187" s="1318">
        <f>SUMIFS(Movement!$G$4:$G$2136,Movement!$M$4:$M$2136,"VND",Movement!$C$4:$C$2136,Table11[[#This Row],[ACCOUNT NUMBER]],Movement!$J$4:$J$2136,Table11[[#This Row],[ENTITY]],Movement!$O$4:$O$2136,'Cash Balance'!$A$2)</f>
        <v>0</v>
      </c>
      <c r="K187" s="1084">
        <f>Table11[[#This Row],[CASH IN - CREDIT (VND)]]-Table11[[#This Row],[CASH OUT - DEBIT (VND)]]</f>
        <v>0</v>
      </c>
      <c r="L187" s="1095">
        <f t="shared" si="17"/>
        <v>15669570</v>
      </c>
      <c r="M187" s="1184" t="e">
        <f>VLOOKUP(C187,'Cash balance (BS)'!A:D,4,)</f>
        <v>#N/A</v>
      </c>
      <c r="N187" s="1095" t="e">
        <f>Table11[[#This Row],[CLOSING BALANCE (VND)2]]-Table11[[#This Row],[CB_BS (VND)]]</f>
        <v>#N/A</v>
      </c>
      <c r="O187" s="1094">
        <v>0</v>
      </c>
      <c r="P187" s="1095">
        <f t="shared" si="18"/>
        <v>0</v>
      </c>
      <c r="Q187" s="817">
        <f>SUMIFS('Cash balance (Prior period)'!G:G,'Cash balance (Prior period)'!C:C,Table11[[#This Row],[ACCOUNT NUMBER]],'Cash balance (Prior period)'!E:E,Table11[[#This Row],[CURRENCY]])</f>
        <v>0</v>
      </c>
      <c r="R187" s="817">
        <f>SUMIFS(Movement!$F$4:$F$2136,Movement!$M$4:$M$2136,"USD",Movement!$C$4:$C$2136,Table11[[#This Row],[ACCOUNT NUMBER]],Movement!$J$4:$J$2136,Table11[[#This Row],[ENTITY]],Movement!$O$4:$O$2136,'Cash Balance'!$A$2)</f>
        <v>0</v>
      </c>
      <c r="S187" s="817">
        <f>SUMIFS(Movement!$G$4:$G$2136,Movement!$M$4:$M$2136,"USD",Movement!$C$4:$C$2136,Table11[[#This Row],[ACCOUNT NUMBER]],Movement!$J$4:$J$2136,Table11[[#This Row],[ENTITY]],Movement!$O$4:$O$2136,'Cash Balance'!$A$2)</f>
        <v>0</v>
      </c>
      <c r="T187" s="1087">
        <f t="shared" si="19"/>
        <v>0</v>
      </c>
      <c r="U187" s="817" t="e">
        <f>VLOOKUP(C187,'Cash balance (BS)'!A:D,4,)</f>
        <v>#N/A</v>
      </c>
      <c r="V187" s="1087" t="e">
        <f>Table11[[#This Row],[CLOSING BALANCE (USD)]]-Table11[[#This Row],[CB_BS (USD)]]</f>
        <v>#N/A</v>
      </c>
      <c r="W187" s="1156" t="str">
        <f>VLOOKUP('Cash Balance'!$C187,Table2[#All],MATCH('Cash Balance'!W$3,Acc_Char!$B$1:$I$1,0),0)</f>
        <v>Subsidiaries</v>
      </c>
      <c r="X187" s="1156" t="str">
        <f>VLOOKUP(IFERROR(MID($Y187,1,FIND("-",$Y187)-2),$Y187),Table3[#All],2,0)</f>
        <v>OCB</v>
      </c>
      <c r="Y187" s="1156" t="str">
        <f>VLOOKUP($B187,Table4[#All],2,0)</f>
        <v>OCB - BINH DUONG</v>
      </c>
      <c r="Z187" s="1151"/>
      <c r="AA187" s="49"/>
      <c r="AE187" s="818">
        <f>SUM(Table11[[#This Row],[CASH IN - CREDIT (VND)]],Table11[[#This Row],[CASH IN - CREDIT (USD)]])</f>
        <v>0</v>
      </c>
      <c r="AF187" s="818">
        <f>Table11[[#This Row],[CASH OUT - DEBIT (VND)]]+Table11[[#This Row],[CASH OUT - DEBIT (USD)]]</f>
        <v>0</v>
      </c>
      <c r="AH187" s="1158"/>
      <c r="AI187" s="49"/>
      <c r="AJ187" s="1158"/>
      <c r="AL187"/>
      <c r="AM187"/>
    </row>
    <row r="188" spans="1:39" s="37" customFormat="1" ht="14.4">
      <c r="A188" s="1153" t="str">
        <f>VLOOKUP('Cash Balance'!$C188,Table2[#All],MATCH('Cash Balance'!A$3,Acc_Char!$B$1:$I$1,0),0)</f>
        <v>HOLDCO4M</v>
      </c>
      <c r="B188" s="1154" t="str">
        <f>VLOOKUP('Cash Balance'!$C188,Table2[#All],MATCH('Cash Balance'!B$3,Acc_Char!$B$1:$I$1,0),0)</f>
        <v>BIDV - THANH XUAN</v>
      </c>
      <c r="C188" s="1185" t="s">
        <v>724</v>
      </c>
      <c r="D188" s="1156" t="str">
        <f>VLOOKUP('Cash Balance'!$C188,Table2[#All],MATCH('Cash Balance'!D$3,Acc_Char!$B$1:$I$1,0),0)</f>
        <v>Current Account</v>
      </c>
      <c r="E188" s="384" t="str">
        <f>VLOOKUP('Cash Balance'!$C188,Table2[#All],MATCH('Cash Balance'!E$3,Acc_Char!$B$1:$I$1,0),0)</f>
        <v>VND</v>
      </c>
      <c r="F188" s="1094" t="e">
        <f>VLOOKUP(C188,'Cash balance (BS)'!A:C,3,)</f>
        <v>#N/A</v>
      </c>
      <c r="G188" s="1157" t="e">
        <f>F188-H188</f>
        <v>#N/A</v>
      </c>
      <c r="H188" s="1318">
        <f>SUMIFS('Cash balance (Prior period)'!F:F,'Cash balance (Prior period)'!C:C,Table11[[#This Row],[ACCOUNT NUMBER]],'Cash balance (Prior period)'!E:E,Table11[[#This Row],[CURRENCY]])</f>
        <v>43077904</v>
      </c>
      <c r="I188" s="1318">
        <f>SUMIFS(Movement!$F$4:$F$2136,Movement!$M$4:$M$2136,"VND",Movement!$C$4:$C$2136,Table11[[#This Row],[ACCOUNT NUMBER]],Movement!$J$4:$J$2136,Table11[[#This Row],[ENTITY]],Movement!$O$4:$O$2136,'Cash Balance'!$A$2)</f>
        <v>2949041</v>
      </c>
      <c r="J188" s="1318">
        <f>SUMIFS(Movement!$G$4:$G$2136,Movement!$M$4:$M$2136,"VND",Movement!$C$4:$C$2136,Table11[[#This Row],[ACCOUNT NUMBER]],Movement!$J$4:$J$2136,Table11[[#This Row],[ENTITY]],Movement!$O$4:$O$2136,'Cash Balance'!$A$2)</f>
        <v>55000</v>
      </c>
      <c r="K188" s="1084">
        <f>Table11[[#This Row],[CASH IN - CREDIT (VND)]]-Table11[[#This Row],[CASH OUT - DEBIT (VND)]]</f>
        <v>2894041</v>
      </c>
      <c r="L188" s="1095">
        <f t="shared" si="17"/>
        <v>45971945</v>
      </c>
      <c r="M188" s="1184" t="e">
        <f>VLOOKUP(C188,'Cash balance (BS)'!A:D,4,)</f>
        <v>#N/A</v>
      </c>
      <c r="N188" s="1095" t="e">
        <f>Table11[[#This Row],[CLOSING BALANCE (VND)2]]-Table11[[#This Row],[CB_BS (VND)]]</f>
        <v>#N/A</v>
      </c>
      <c r="O188" s="1094">
        <v>0</v>
      </c>
      <c r="P188" s="1095">
        <f t="shared" si="18"/>
        <v>0</v>
      </c>
      <c r="Q188" s="817">
        <f>SUMIFS('Cash balance (Prior period)'!G:G,'Cash balance (Prior period)'!C:C,Table11[[#This Row],[ACCOUNT NUMBER]],'Cash balance (Prior period)'!E:E,Table11[[#This Row],[CURRENCY]])</f>
        <v>0</v>
      </c>
      <c r="R188" s="817">
        <f>SUMIFS(Movement!$F$4:$F$2136,Movement!$M$4:$M$2136,"USD",Movement!$C$4:$C$2136,Table11[[#This Row],[ACCOUNT NUMBER]],Movement!$J$4:$J$2136,Table11[[#This Row],[ENTITY]],Movement!$O$4:$O$2136,'Cash Balance'!$A$2)</f>
        <v>0</v>
      </c>
      <c r="S188" s="817">
        <f>SUMIFS(Movement!$G$4:$G$2136,Movement!$M$4:$M$2136,"USD",Movement!$C$4:$C$2136,Table11[[#This Row],[ACCOUNT NUMBER]],Movement!$J$4:$J$2136,Table11[[#This Row],[ENTITY]],Movement!$O$4:$O$2136,'Cash Balance'!$A$2)</f>
        <v>0</v>
      </c>
      <c r="T188" s="1087">
        <f t="shared" si="19"/>
        <v>0</v>
      </c>
      <c r="U188" s="817"/>
      <c r="V188" s="817">
        <f>Table11[[#This Row],[CLOSING BALANCE (USD)]]-Table11[[#This Row],[CB_BS (USD)]]</f>
        <v>0</v>
      </c>
      <c r="W188" s="1156" t="str">
        <f>VLOOKUP('Cash Balance'!$C188,Table2[#All],MATCH('Cash Balance'!W$3,Acc_Char!$B$1:$I$1,0),0)</f>
        <v>Subsidiaries</v>
      </c>
      <c r="X188" s="1156" t="str">
        <f>VLOOKUP(IFERROR(MID($Y188,1,FIND("-",$Y188)-2),$Y188),Table3[#All],2,0)</f>
        <v>BIDV</v>
      </c>
      <c r="Y188" s="1156" t="str">
        <f>VLOOKUP($B188,Table4[#All],2,0)</f>
        <v>BIDV - THANH XUAN</v>
      </c>
      <c r="Z188" s="1151"/>
      <c r="AA188" s="49"/>
      <c r="AE188" s="825">
        <f>SUM(Table11[[#This Row],[CASH IN - CREDIT (VND)]],Table11[[#This Row],[CASH IN - CREDIT (USD)]])</f>
        <v>2949041</v>
      </c>
      <c r="AF188" s="818">
        <f>Table11[[#This Row],[CASH OUT - DEBIT (VND)]]+Table11[[#This Row],[CASH OUT - DEBIT (USD)]]</f>
        <v>55000</v>
      </c>
      <c r="AH188" s="1158" t="s">
        <v>1519</v>
      </c>
      <c r="AI188" s="49"/>
      <c r="AJ188" s="1158"/>
      <c r="AL188"/>
      <c r="AM188"/>
    </row>
    <row r="189" spans="1:39" s="37" customFormat="1" ht="14.4">
      <c r="A189" s="1153" t="str">
        <f>VLOOKUP('Cash Balance'!$C189,Table2[#All],MATCH('Cash Balance'!A$3,Acc_Char!$B$1:$I$1,0),0)</f>
        <v>HOLDCO4N</v>
      </c>
      <c r="B189" s="1154" t="str">
        <f>VLOOKUP('Cash Balance'!$C189,Table2[#All],MATCH('Cash Balance'!B$3,Acc_Char!$B$1:$I$1,0),0)</f>
        <v>BIDV - BEN NGHE</v>
      </c>
      <c r="C189" s="1185" t="s">
        <v>727</v>
      </c>
      <c r="D189" s="1156" t="str">
        <f>VLOOKUP('Cash Balance'!$C189,Table2[#All],MATCH('Cash Balance'!D$3,Acc_Char!$B$1:$I$1,0),0)</f>
        <v>Current Account</v>
      </c>
      <c r="E189" s="384" t="str">
        <f>VLOOKUP('Cash Balance'!$C189,Table2[#All],MATCH('Cash Balance'!E$3,Acc_Char!$B$1:$I$1,0),0)</f>
        <v>VND</v>
      </c>
      <c r="F189" s="1094" t="e">
        <f>VLOOKUP(C189,'Cash balance (BS)'!A:C,3,)</f>
        <v>#N/A</v>
      </c>
      <c r="G189" s="1157" t="e">
        <f>F189-H189</f>
        <v>#N/A</v>
      </c>
      <c r="H189" s="1318">
        <f>SUMIFS('Cash balance (Prior period)'!F:F,'Cash balance (Prior period)'!C:C,Table11[[#This Row],[ACCOUNT NUMBER]],'Cash balance (Prior period)'!E:E,Table11[[#This Row],[CURRENCY]])</f>
        <v>46513695</v>
      </c>
      <c r="I189" s="1318">
        <f>SUMIFS(Movement!$F$4:$F$2136,Movement!$M$4:$M$2136,"VND",Movement!$C$4:$C$2136,Table11[[#This Row],[ACCOUNT NUMBER]],Movement!$J$4:$J$2136,Table11[[#This Row],[ENTITY]],Movement!$O$4:$O$2136,'Cash Balance'!$A$2)</f>
        <v>2268493</v>
      </c>
      <c r="J189" s="1318">
        <f>SUMIFS(Movement!$G$4:$G$2136,Movement!$M$4:$M$2136,"VND",Movement!$C$4:$C$2136,Table11[[#This Row],[ACCOUNT NUMBER]],Movement!$J$4:$J$2136,Table11[[#This Row],[ENTITY]],Movement!$O$4:$O$2136,'Cash Balance'!$A$2)</f>
        <v>55000</v>
      </c>
      <c r="K189" s="1084">
        <f>Table11[[#This Row],[CASH IN - CREDIT (VND)]]-Table11[[#This Row],[CASH OUT - DEBIT (VND)]]</f>
        <v>2213493</v>
      </c>
      <c r="L189" s="1095">
        <f t="shared" si="17"/>
        <v>48727188</v>
      </c>
      <c r="M189" s="1184" t="e">
        <f>VLOOKUP(C189,'Cash balance (BS)'!A:D,4,)</f>
        <v>#N/A</v>
      </c>
      <c r="N189" s="1095" t="e">
        <f>Table11[[#This Row],[CLOSING BALANCE (VND)2]]-Table11[[#This Row],[CB_BS (VND)]]</f>
        <v>#N/A</v>
      </c>
      <c r="O189" s="1094">
        <v>0</v>
      </c>
      <c r="P189" s="1095">
        <f t="shared" si="18"/>
        <v>0</v>
      </c>
      <c r="Q189" s="817">
        <f>SUMIFS('Cash balance (Prior period)'!G:G,'Cash balance (Prior period)'!C:C,Table11[[#This Row],[ACCOUNT NUMBER]],'Cash balance (Prior period)'!E:E,Table11[[#This Row],[CURRENCY]])</f>
        <v>0</v>
      </c>
      <c r="R189" s="817">
        <f>SUMIFS(Movement!$F$4:$F$2136,Movement!$M$4:$M$2136,"USD",Movement!$C$4:$C$2136,Table11[[#This Row],[ACCOUNT NUMBER]],Movement!$J$4:$J$2136,Table11[[#This Row],[ENTITY]],Movement!$O$4:$O$2136,'Cash Balance'!$A$2)</f>
        <v>0</v>
      </c>
      <c r="S189" s="817">
        <f>SUMIFS(Movement!$G$4:$G$2136,Movement!$M$4:$M$2136,"USD",Movement!$C$4:$C$2136,Table11[[#This Row],[ACCOUNT NUMBER]],Movement!$J$4:$J$2136,Table11[[#This Row],[ENTITY]],Movement!$O$4:$O$2136,'Cash Balance'!$A$2)</f>
        <v>0</v>
      </c>
      <c r="T189" s="1087">
        <f t="shared" si="19"/>
        <v>0</v>
      </c>
      <c r="U189" s="817"/>
      <c r="V189" s="817">
        <f>Table11[[#This Row],[CLOSING BALANCE (USD)]]-Table11[[#This Row],[CB_BS (USD)]]</f>
        <v>0</v>
      </c>
      <c r="W189" s="1156" t="str">
        <f>VLOOKUP('Cash Balance'!$C189,Table2[#All],MATCH('Cash Balance'!W$3,Acc_Char!$B$1:$I$1,0),0)</f>
        <v>Subsidiaries</v>
      </c>
      <c r="X189" s="1156" t="str">
        <f>VLOOKUP(IFERROR(MID($Y189,1,FIND("-",$Y189)-2),$Y189),Table3[#All],2,0)</f>
        <v>Others</v>
      </c>
      <c r="Y189" s="1156" t="str">
        <f>VLOOKUP($B189,Table4[#All],2,0)</f>
        <v>OTHERS</v>
      </c>
      <c r="Z189" s="1151"/>
      <c r="AA189" s="49"/>
      <c r="AE189" s="825">
        <f>SUM(Table11[[#This Row],[CASH IN - CREDIT (VND)]],Table11[[#This Row],[CASH IN - CREDIT (USD)]])</f>
        <v>2268493</v>
      </c>
      <c r="AF189" s="818">
        <f>Table11[[#This Row],[CASH OUT - DEBIT (VND)]]+Table11[[#This Row],[CASH OUT - DEBIT (USD)]]</f>
        <v>55000</v>
      </c>
      <c r="AH189" s="1158" t="s">
        <v>1519</v>
      </c>
      <c r="AI189" s="49"/>
      <c r="AJ189" s="1158"/>
      <c r="AL189"/>
      <c r="AM189"/>
    </row>
    <row r="190" spans="1:39" s="37" customFormat="1" ht="14.4">
      <c r="A190" s="1153" t="str">
        <f>VLOOKUP('Cash Balance'!$C190,Table2[#All],MATCH('Cash Balance'!A$3,Acc_Char!$B$1:$I$1,0),0)</f>
        <v>HOLDCO4O</v>
      </c>
      <c r="B190" s="1154" t="str">
        <f>VLOOKUP('Cash Balance'!$C190,Table2[#All],MATCH('Cash Balance'!B$3,Acc_Char!$B$1:$I$1,0),0)</f>
        <v>BIDV - BEN NGHE</v>
      </c>
      <c r="C190" s="1185" t="s">
        <v>729</v>
      </c>
      <c r="D190" s="1156" t="str">
        <f>VLOOKUP('Cash Balance'!$C190,Table2[#All],MATCH('Cash Balance'!D$3,Acc_Char!$B$1:$I$1,0),0)</f>
        <v>Current Account</v>
      </c>
      <c r="E190" s="384" t="str">
        <f>VLOOKUP('Cash Balance'!$C190,Table2[#All],MATCH('Cash Balance'!E$3,Acc_Char!$B$1:$I$1,0),0)</f>
        <v>VND</v>
      </c>
      <c r="F190" s="1094" t="e">
        <f>VLOOKUP(C190,'Cash balance (BS)'!A:C,3,)</f>
        <v>#N/A</v>
      </c>
      <c r="G190" s="1157" t="e">
        <f>F190-H190</f>
        <v>#N/A</v>
      </c>
      <c r="H190" s="1318">
        <f>SUMIFS('Cash balance (Prior period)'!F:F,'Cash balance (Prior period)'!C:C,Table11[[#This Row],[ACCOUNT NUMBER]],'Cash balance (Prior period)'!E:E,Table11[[#This Row],[CURRENCY]])</f>
        <v>46513695</v>
      </c>
      <c r="I190" s="1318">
        <f>SUMIFS(Movement!$F$4:$F$2136,Movement!$M$4:$M$2136,"VND",Movement!$C$4:$C$2136,Table11[[#This Row],[ACCOUNT NUMBER]],Movement!$J$4:$J$2136,Table11[[#This Row],[ENTITY]],Movement!$O$4:$O$2136,'Cash Balance'!$A$2)</f>
        <v>2268493</v>
      </c>
      <c r="J190" s="1318">
        <f>SUMIFS(Movement!$G$4:$G$2136,Movement!$M$4:$M$2136,"VND",Movement!$C$4:$C$2136,Table11[[#This Row],[ACCOUNT NUMBER]],Movement!$J$4:$J$2136,Table11[[#This Row],[ENTITY]],Movement!$O$4:$O$2136,'Cash Balance'!$A$2)</f>
        <v>55000</v>
      </c>
      <c r="K190" s="1084">
        <f>Table11[[#This Row],[CASH IN - CREDIT (VND)]]-Table11[[#This Row],[CASH OUT - DEBIT (VND)]]</f>
        <v>2213493</v>
      </c>
      <c r="L190" s="1095">
        <f t="shared" si="17"/>
        <v>48727188</v>
      </c>
      <c r="M190" s="1184" t="e">
        <f>VLOOKUP(C190,'Cash balance (BS)'!A:D,4,)</f>
        <v>#N/A</v>
      </c>
      <c r="N190" s="1095" t="e">
        <f>Table11[[#This Row],[CLOSING BALANCE (VND)2]]-Table11[[#This Row],[CB_BS (VND)]]</f>
        <v>#N/A</v>
      </c>
      <c r="O190" s="1094">
        <v>0</v>
      </c>
      <c r="P190" s="1095">
        <f t="shared" si="18"/>
        <v>0</v>
      </c>
      <c r="Q190" s="817">
        <f>SUMIFS('Cash balance (Prior period)'!G:G,'Cash balance (Prior period)'!C:C,Table11[[#This Row],[ACCOUNT NUMBER]],'Cash balance (Prior period)'!E:E,Table11[[#This Row],[CURRENCY]])</f>
        <v>0</v>
      </c>
      <c r="R190" s="817">
        <f>SUMIFS(Movement!$F$4:$F$2136,Movement!$M$4:$M$2136,"USD",Movement!$C$4:$C$2136,Table11[[#This Row],[ACCOUNT NUMBER]],Movement!$J$4:$J$2136,Table11[[#This Row],[ENTITY]],Movement!$O$4:$O$2136,'Cash Balance'!$A$2)</f>
        <v>0</v>
      </c>
      <c r="S190" s="817">
        <f>SUMIFS(Movement!$G$4:$G$2136,Movement!$M$4:$M$2136,"USD",Movement!$C$4:$C$2136,Table11[[#This Row],[ACCOUNT NUMBER]],Movement!$J$4:$J$2136,Table11[[#This Row],[ENTITY]],Movement!$O$4:$O$2136,'Cash Balance'!$A$2)</f>
        <v>0</v>
      </c>
      <c r="T190" s="1087">
        <f t="shared" si="19"/>
        <v>0</v>
      </c>
      <c r="U190" s="817"/>
      <c r="V190" s="817">
        <f>Table11[[#This Row],[CLOSING BALANCE (USD)]]-Table11[[#This Row],[CB_BS (USD)]]</f>
        <v>0</v>
      </c>
      <c r="W190" s="1156" t="str">
        <f>VLOOKUP('Cash Balance'!$C190,Table2[#All],MATCH('Cash Balance'!W$3,Acc_Char!$B$1:$I$1,0),0)</f>
        <v>Subsidiaries</v>
      </c>
      <c r="X190" s="1156" t="str">
        <f>VLOOKUP(IFERROR(MID($Y190,1,FIND("-",$Y190)-2),$Y190),Table3[#All],2,0)</f>
        <v>Others</v>
      </c>
      <c r="Y190" s="1156" t="str">
        <f>VLOOKUP($B190,Table4[#All],2,0)</f>
        <v>OTHERS</v>
      </c>
      <c r="Z190" s="1151"/>
      <c r="AA190" s="49"/>
      <c r="AE190" s="825">
        <f>SUM(Table11[[#This Row],[CASH IN - CREDIT (VND)]],Table11[[#This Row],[CASH IN - CREDIT (USD)]])</f>
        <v>2268493</v>
      </c>
      <c r="AF190" s="818">
        <f>Table11[[#This Row],[CASH OUT - DEBIT (VND)]]+Table11[[#This Row],[CASH OUT - DEBIT (USD)]]</f>
        <v>55000</v>
      </c>
      <c r="AH190" s="1158" t="s">
        <v>466</v>
      </c>
      <c r="AI190" s="49"/>
      <c r="AJ190" s="1158"/>
      <c r="AL190"/>
      <c r="AM190"/>
    </row>
    <row r="191" spans="1:39" s="37" customFormat="1" ht="14.4">
      <c r="A191" s="1153" t="str">
        <f>VLOOKUP('Cash Balance'!$C191,Table2[#All],MATCH('Cash Balance'!A$3,Acc_Char!$B$1:$I$1,0),0)</f>
        <v>HOLDCO4P</v>
      </c>
      <c r="B191" s="1154" t="str">
        <f>VLOOKUP('Cash Balance'!$C191,Table2[#All],MATCH('Cash Balance'!B$3,Acc_Char!$B$1:$I$1,0),0)</f>
        <v>BIDV - BEN NGHE</v>
      </c>
      <c r="C191" s="1185" t="s">
        <v>731</v>
      </c>
      <c r="D191" s="1156" t="str">
        <f>VLOOKUP('Cash Balance'!$C191,Table2[#All],MATCH('Cash Balance'!D$3,Acc_Char!$B$1:$I$1,0),0)</f>
        <v>Current Account</v>
      </c>
      <c r="E191" s="384" t="str">
        <f>VLOOKUP('Cash Balance'!$C191,Table2[#All],MATCH('Cash Balance'!E$3,Acc_Char!$B$1:$I$1,0),0)</f>
        <v>VND</v>
      </c>
      <c r="F191" s="1094" t="e">
        <f>VLOOKUP(C191,'Cash balance (BS)'!A:C,3,)</f>
        <v>#N/A</v>
      </c>
      <c r="G191" s="1157" t="e">
        <f>F191-H191</f>
        <v>#N/A</v>
      </c>
      <c r="H191" s="1318">
        <f>SUMIFS('Cash balance (Prior period)'!F:F,'Cash balance (Prior period)'!C:C,Table11[[#This Row],[ACCOUNT NUMBER]],'Cash balance (Prior period)'!E:E,Table11[[#This Row],[CURRENCY]])</f>
        <v>32597964</v>
      </c>
      <c r="I191" s="1318">
        <f>SUMIFS(Movement!$F$4:$F$2136,Movement!$M$4:$M$2136,"VND",Movement!$C$4:$C$2136,Table11[[#This Row],[ACCOUNT NUMBER]],Movement!$J$4:$J$2136,Table11[[#This Row],[ENTITY]],Movement!$O$4:$O$2136,'Cash Balance'!$A$2)</f>
        <v>2722192</v>
      </c>
      <c r="J191" s="1318">
        <f>SUMIFS(Movement!$G$4:$G$2136,Movement!$M$4:$M$2136,"VND",Movement!$C$4:$C$2136,Table11[[#This Row],[ACCOUNT NUMBER]],Movement!$J$4:$J$2136,Table11[[#This Row],[ENTITY]],Movement!$O$4:$O$2136,'Cash Balance'!$A$2)</f>
        <v>55000</v>
      </c>
      <c r="K191" s="1084">
        <f>Table11[[#This Row],[CASH IN - CREDIT (VND)]]-Table11[[#This Row],[CASH OUT - DEBIT (VND)]]</f>
        <v>2667192</v>
      </c>
      <c r="L191" s="1095">
        <f t="shared" si="17"/>
        <v>35265156</v>
      </c>
      <c r="M191" s="1184" t="e">
        <f>VLOOKUP(C191,'Cash balance (BS)'!A:D,4,)</f>
        <v>#N/A</v>
      </c>
      <c r="N191" s="1095" t="e">
        <f>Table11[[#This Row],[CLOSING BALANCE (VND)2]]-Table11[[#This Row],[CB_BS (VND)]]</f>
        <v>#N/A</v>
      </c>
      <c r="O191" s="1094">
        <v>0</v>
      </c>
      <c r="P191" s="1095">
        <f t="shared" si="18"/>
        <v>0</v>
      </c>
      <c r="Q191" s="817">
        <f>SUMIFS('Cash balance (Prior period)'!G:G,'Cash balance (Prior period)'!C:C,Table11[[#This Row],[ACCOUNT NUMBER]],'Cash balance (Prior period)'!E:E,Table11[[#This Row],[CURRENCY]])</f>
        <v>0</v>
      </c>
      <c r="R191" s="817">
        <f>SUMIFS(Movement!$F$4:$F$2136,Movement!$M$4:$M$2136,"USD",Movement!$C$4:$C$2136,Table11[[#This Row],[ACCOUNT NUMBER]],Movement!$J$4:$J$2136,Table11[[#This Row],[ENTITY]],Movement!$O$4:$O$2136,'Cash Balance'!$A$2)</f>
        <v>0</v>
      </c>
      <c r="S191" s="817">
        <f>SUMIFS(Movement!$G$4:$G$2136,Movement!$M$4:$M$2136,"USD",Movement!$C$4:$C$2136,Table11[[#This Row],[ACCOUNT NUMBER]],Movement!$J$4:$J$2136,Table11[[#This Row],[ENTITY]],Movement!$O$4:$O$2136,'Cash Balance'!$A$2)</f>
        <v>0</v>
      </c>
      <c r="T191" s="1087">
        <f t="shared" si="19"/>
        <v>0</v>
      </c>
      <c r="U191" s="817"/>
      <c r="V191" s="817">
        <f>Table11[[#This Row],[CLOSING BALANCE (USD)]]-Table11[[#This Row],[CB_BS (USD)]]</f>
        <v>0</v>
      </c>
      <c r="W191" s="1156" t="str">
        <f>VLOOKUP('Cash Balance'!$C191,Table2[#All],MATCH('Cash Balance'!W$3,Acc_Char!$B$1:$I$1,0),0)</f>
        <v>Subsidiaries</v>
      </c>
      <c r="X191" s="1156" t="str">
        <f>VLOOKUP(IFERROR(MID($Y191,1,FIND("-",$Y191)-2),$Y191),Table3[#All],2,0)</f>
        <v>Others</v>
      </c>
      <c r="Y191" s="1156" t="str">
        <f>VLOOKUP($B191,Table4[#All],2,0)</f>
        <v>OTHERS</v>
      </c>
      <c r="Z191" s="1151"/>
      <c r="AA191" s="49"/>
      <c r="AE191" s="825">
        <f>SUM(Table11[[#This Row],[CASH IN - CREDIT (VND)]],Table11[[#This Row],[CASH IN - CREDIT (USD)]])</f>
        <v>2722192</v>
      </c>
      <c r="AF191" s="818">
        <f>Table11[[#This Row],[CASH OUT - DEBIT (VND)]]+Table11[[#This Row],[CASH OUT - DEBIT (USD)]]</f>
        <v>55000</v>
      </c>
      <c r="AH191" s="1158" t="s">
        <v>466</v>
      </c>
      <c r="AI191" s="49"/>
      <c r="AJ191" s="1158"/>
      <c r="AL191"/>
      <c r="AM191"/>
    </row>
    <row r="192" spans="1:39" s="37" customFormat="1" ht="14.4">
      <c r="A192" s="1153" t="str">
        <f>VLOOKUP('Cash Balance'!$C192,Table2[#All],MATCH('Cash Balance'!A$3,Acc_Char!$B$1:$I$1,0),0)</f>
        <v>HOLDCO5K</v>
      </c>
      <c r="B192" s="1154" t="str">
        <f>VLOOKUP('Cash Balance'!$C192,Table2[#All],MATCH('Cash Balance'!B$3,Acc_Char!$B$1:$I$1,0),0)</f>
        <v>BIDV - THANH XUAN</v>
      </c>
      <c r="C192" s="1185" t="s">
        <v>733</v>
      </c>
      <c r="D192" s="1156" t="str">
        <f>VLOOKUP('Cash Balance'!$C192,Table2[#All],MATCH('Cash Balance'!D$3,Acc_Char!$B$1:$I$1,0),0)</f>
        <v>Current Account</v>
      </c>
      <c r="E192" s="384" t="str">
        <f>VLOOKUP('Cash Balance'!$C192,Table2[#All],MATCH('Cash Balance'!E$3,Acc_Char!$B$1:$I$1,0),0)</f>
        <v>VND</v>
      </c>
      <c r="F192" s="1094"/>
      <c r="G192" s="1157"/>
      <c r="H192" s="1318">
        <f>SUMIFS('Cash balance (Prior period)'!F:F,'Cash balance (Prior period)'!C:C,Table11[[#This Row],[ACCOUNT NUMBER]],'Cash balance (Prior period)'!E:E,Table11[[#This Row],[CURRENCY]])</f>
        <v>43096159</v>
      </c>
      <c r="I192" s="1318">
        <f>SUMIFS(Movement!$F$4:$F$2136,Movement!$M$4:$M$2136,"VND",Movement!$C$4:$C$2136,Table11[[#This Row],[ACCOUNT NUMBER]],Movement!$J$4:$J$2136,Table11[[#This Row],[ENTITY]],Movement!$O$4:$O$2136,'Cash Balance'!$A$2)</f>
        <v>2722192</v>
      </c>
      <c r="J192" s="1318">
        <f>SUMIFS(Movement!$G$4:$G$2136,Movement!$M$4:$M$2136,"VND",Movement!$C$4:$C$2136,Table11[[#This Row],[ACCOUNT NUMBER]],Movement!$J$4:$J$2136,Table11[[#This Row],[ENTITY]],Movement!$O$4:$O$2136,'Cash Balance'!$A$2)</f>
        <v>55000</v>
      </c>
      <c r="K192" s="1084">
        <f>Table11[[#This Row],[CASH IN - CREDIT (VND)]]-Table11[[#This Row],[CASH OUT - DEBIT (VND)]]</f>
        <v>2667192</v>
      </c>
      <c r="L192" s="1095">
        <f t="shared" si="17"/>
        <v>45763351</v>
      </c>
      <c r="M192" s="1184" t="e">
        <f>VLOOKUP(C192,'Cash balance (BS)'!A:D,4,)</f>
        <v>#N/A</v>
      </c>
      <c r="N192" s="1095" t="e">
        <f>Table11[[#This Row],[CLOSING BALANCE (VND)2]]-Table11[[#This Row],[CB_BS (VND)]]</f>
        <v>#N/A</v>
      </c>
      <c r="O192" s="1094">
        <v>0</v>
      </c>
      <c r="P192" s="1095">
        <f t="shared" si="18"/>
        <v>0</v>
      </c>
      <c r="Q192" s="817">
        <f>SUMIFS('Cash balance (Prior period)'!G:G,'Cash balance (Prior period)'!C:C,Table11[[#This Row],[ACCOUNT NUMBER]],'Cash balance (Prior period)'!E:E,Table11[[#This Row],[CURRENCY]])</f>
        <v>0</v>
      </c>
      <c r="R192" s="817">
        <f>SUMIFS(Movement!$F$4:$F$2136,Movement!$M$4:$M$2136,"USD",Movement!$C$4:$C$2136,Table11[[#This Row],[ACCOUNT NUMBER]],Movement!$J$4:$J$2136,Table11[[#This Row],[ENTITY]],Movement!$O$4:$O$2136,'Cash Balance'!$A$2)</f>
        <v>0</v>
      </c>
      <c r="S192" s="817">
        <f>SUMIFS(Movement!$G$4:$G$2136,Movement!$M$4:$M$2136,"USD",Movement!$C$4:$C$2136,Table11[[#This Row],[ACCOUNT NUMBER]],Movement!$J$4:$J$2136,Table11[[#This Row],[ENTITY]],Movement!$O$4:$O$2136,'Cash Balance'!$A$2)</f>
        <v>0</v>
      </c>
      <c r="T192" s="1087">
        <f t="shared" si="19"/>
        <v>0</v>
      </c>
      <c r="U192" s="817" t="e">
        <f>VLOOKUP(C192,'Cash balance (BS)'!A:D,4,)</f>
        <v>#N/A</v>
      </c>
      <c r="V192" s="1087" t="e">
        <f>Table11[[#This Row],[CLOSING BALANCE (USD)]]-Table11[[#This Row],[CB_BS (USD)]]</f>
        <v>#N/A</v>
      </c>
      <c r="W192" s="1156" t="str">
        <f>VLOOKUP('Cash Balance'!$C192,Table2[#All],MATCH('Cash Balance'!W$3,Acc_Char!$B$1:$I$1,0),0)</f>
        <v>Subsidiaries</v>
      </c>
      <c r="X192" s="1156" t="str">
        <f>VLOOKUP(IFERROR(MID($Y192,1,FIND("-",$Y192)-2),$Y192),Table3[#All],2,0)</f>
        <v>BIDV</v>
      </c>
      <c r="Y192" s="1156" t="str">
        <f>VLOOKUP($B192,Table4[#All],2,0)</f>
        <v>BIDV - THANH XUAN</v>
      </c>
      <c r="Z192" s="1151"/>
      <c r="AA192" s="49"/>
      <c r="AE192" s="825">
        <f>SUM(Table11[[#This Row],[CASH IN - CREDIT (VND)]],Table11[[#This Row],[CASH IN - CREDIT (USD)]])</f>
        <v>2722192</v>
      </c>
      <c r="AF192" s="818">
        <f>Table11[[#This Row],[CASH OUT - DEBIT (VND)]]+Table11[[#This Row],[CASH OUT - DEBIT (USD)]]</f>
        <v>55000</v>
      </c>
      <c r="AH192" s="1158" t="s">
        <v>466</v>
      </c>
      <c r="AI192" s="49"/>
      <c r="AJ192" s="1158"/>
      <c r="AL192"/>
      <c r="AM192"/>
    </row>
    <row r="193" spans="1:39" s="37" customFormat="1" ht="14.4">
      <c r="A193" s="1153" t="str">
        <f>VLOOKUP('Cash Balance'!$C193,Table2[#All],MATCH('Cash Balance'!A$3,Acc_Char!$B$1:$I$1,0),0)</f>
        <v>HOLDCO5L</v>
      </c>
      <c r="B193" s="1154" t="str">
        <f>VLOOKUP('Cash Balance'!$C193,Table2[#All],MATCH('Cash Balance'!B$3,Acc_Char!$B$1:$I$1,0),0)</f>
        <v>BIDV - THANH XUAN</v>
      </c>
      <c r="C193" s="1185" t="s">
        <v>735</v>
      </c>
      <c r="D193" s="1156" t="str">
        <f>VLOOKUP('Cash Balance'!$C193,Table2[#All],MATCH('Cash Balance'!D$3,Acc_Char!$B$1:$I$1,0),0)</f>
        <v>Current Account</v>
      </c>
      <c r="E193" s="384" t="str">
        <f>VLOOKUP('Cash Balance'!$C193,Table2[#All],MATCH('Cash Balance'!E$3,Acc_Char!$B$1:$I$1,0),0)</f>
        <v>VND</v>
      </c>
      <c r="F193" s="1094" t="e">
        <f>VLOOKUP(C193,'Cash balance (BS)'!A:C,3,)</f>
        <v>#N/A</v>
      </c>
      <c r="G193" s="1157" t="e">
        <f>F193-H193</f>
        <v>#N/A</v>
      </c>
      <c r="H193" s="1318">
        <f>SUMIFS('Cash balance (Prior period)'!F:F,'Cash balance (Prior period)'!C:C,Table11[[#This Row],[ACCOUNT NUMBER]],'Cash balance (Prior period)'!E:E,Table11[[#This Row],[CURRENCY]])</f>
        <v>7023651</v>
      </c>
      <c r="I193" s="1318">
        <f>SUMIFS(Movement!$F$4:$F$2136,Movement!$M$4:$M$2136,"VND",Movement!$C$4:$C$2136,Table11[[#This Row],[ACCOUNT NUMBER]],Movement!$J$4:$J$2136,Table11[[#This Row],[ENTITY]],Movement!$O$4:$O$2136,'Cash Balance'!$A$2)</f>
        <v>0</v>
      </c>
      <c r="J193" s="1318">
        <f>SUMIFS(Movement!$G$4:$G$2136,Movement!$M$4:$M$2136,"VND",Movement!$C$4:$C$2136,Table11[[#This Row],[ACCOUNT NUMBER]],Movement!$J$4:$J$2136,Table11[[#This Row],[ENTITY]],Movement!$O$4:$O$2136,'Cash Balance'!$A$2)</f>
        <v>55000</v>
      </c>
      <c r="K193" s="1084">
        <f>Table11[[#This Row],[CASH IN - CREDIT (VND)]]-Table11[[#This Row],[CASH OUT - DEBIT (VND)]]</f>
        <v>-55000</v>
      </c>
      <c r="L193" s="1095">
        <f t="shared" si="17"/>
        <v>6968651</v>
      </c>
      <c r="M193" s="1184" t="e">
        <f>VLOOKUP(C193,'Cash balance (BS)'!A:D,4,)</f>
        <v>#N/A</v>
      </c>
      <c r="N193" s="1095" t="e">
        <f>Table11[[#This Row],[CLOSING BALANCE (VND)2]]-Table11[[#This Row],[CB_BS (VND)]]</f>
        <v>#N/A</v>
      </c>
      <c r="O193" s="1094">
        <v>0</v>
      </c>
      <c r="P193" s="1095">
        <f t="shared" si="18"/>
        <v>0</v>
      </c>
      <c r="Q193" s="817">
        <f>SUMIFS('Cash balance (Prior period)'!G:G,'Cash balance (Prior period)'!C:C,Table11[[#This Row],[ACCOUNT NUMBER]],'Cash balance (Prior period)'!E:E,Table11[[#This Row],[CURRENCY]])</f>
        <v>0</v>
      </c>
      <c r="R193" s="817">
        <f>SUMIFS(Movement!$F$4:$F$2136,Movement!$M$4:$M$2136,"USD",Movement!$C$4:$C$2136,Table11[[#This Row],[ACCOUNT NUMBER]],Movement!$J$4:$J$2136,Table11[[#This Row],[ENTITY]],Movement!$O$4:$O$2136,'Cash Balance'!$A$2)</f>
        <v>0</v>
      </c>
      <c r="S193" s="817">
        <f>SUMIFS(Movement!$G$4:$G$2136,Movement!$M$4:$M$2136,"USD",Movement!$C$4:$C$2136,Table11[[#This Row],[ACCOUNT NUMBER]],Movement!$J$4:$J$2136,Table11[[#This Row],[ENTITY]],Movement!$O$4:$O$2136,'Cash Balance'!$A$2)</f>
        <v>0</v>
      </c>
      <c r="T193" s="1087">
        <f t="shared" si="19"/>
        <v>0</v>
      </c>
      <c r="U193" s="817"/>
      <c r="V193" s="817">
        <f>Table11[[#This Row],[CLOSING BALANCE (USD)]]-Table11[[#This Row],[CB_BS (USD)]]</f>
        <v>0</v>
      </c>
      <c r="W193" s="1156" t="str">
        <f>VLOOKUP('Cash Balance'!$C193,Table2[#All],MATCH('Cash Balance'!W$3,Acc_Char!$B$1:$I$1,0),0)</f>
        <v>Subsidiaries</v>
      </c>
      <c r="X193" s="1156" t="str">
        <f>VLOOKUP(IFERROR(MID($Y193,1,FIND("-",$Y193)-2),$Y193),Table3[#All],2,0)</f>
        <v>BIDV</v>
      </c>
      <c r="Y193" s="1156" t="str">
        <f>VLOOKUP($B193,Table4[#All],2,0)</f>
        <v>BIDV - THANH XUAN</v>
      </c>
      <c r="Z193" s="1151"/>
      <c r="AA193" s="49"/>
      <c r="AE193" s="825">
        <f>SUM(Table11[[#This Row],[CASH IN - CREDIT (VND)]],Table11[[#This Row],[CASH IN - CREDIT (USD)]])</f>
        <v>0</v>
      </c>
      <c r="AF193" s="818">
        <f>Table11[[#This Row],[CASH OUT - DEBIT (VND)]]+Table11[[#This Row],[CASH OUT - DEBIT (USD)]]</f>
        <v>55000</v>
      </c>
      <c r="AH193" s="1158" t="s">
        <v>466</v>
      </c>
      <c r="AI193" s="49"/>
      <c r="AJ193" s="1158"/>
      <c r="AL193"/>
      <c r="AM193"/>
    </row>
    <row r="194" spans="1:39" s="37" customFormat="1" ht="14.4">
      <c r="A194" s="1153" t="str">
        <f>VLOOKUP('Cash Balance'!$C194,Table2[#All],MATCH('Cash Balance'!A$3,Acc_Char!$B$1:$I$1,0),0)</f>
        <v>HOLDCO5L</v>
      </c>
      <c r="B194" s="1154" t="str">
        <f>VLOOKUP('Cash Balance'!$C194,Table2[#All],MATCH('Cash Balance'!B$3,Acc_Char!$B$1:$I$1,0),0)</f>
        <v>OCB - BINH DUONG</v>
      </c>
      <c r="C194" s="1156" t="s">
        <v>736</v>
      </c>
      <c r="D194" s="1156" t="str">
        <f>VLOOKUP('Cash Balance'!$C194,Table2[#All],MATCH('Cash Balance'!D$3,Acc_Char!$B$1:$I$1,0),0)</f>
        <v>Current Account</v>
      </c>
      <c r="E194" s="384" t="str">
        <f>VLOOKUP('Cash Balance'!$C194,Table2[#All],MATCH('Cash Balance'!E$3,Acc_Char!$B$1:$I$1,0),0)</f>
        <v>VND</v>
      </c>
      <c r="F194" s="1094"/>
      <c r="G194" s="1157"/>
      <c r="H194" s="1318">
        <f>SUMIFS('Cash balance (Prior period)'!F:F,'Cash balance (Prior period)'!C:C,Table11[[#This Row],[ACCOUNT NUMBER]],'Cash balance (Prior period)'!E:E,Table11[[#This Row],[CURRENCY]])</f>
        <v>14436115</v>
      </c>
      <c r="I194" s="1318">
        <f>SUMIFS(Movement!$F$4:$F$2136,Movement!$M$4:$M$2136,"VND",Movement!$C$4:$C$2136,Table11[[#This Row],[ACCOUNT NUMBER]],Movement!$J$4:$J$2136,Table11[[#This Row],[ENTITY]],Movement!$O$4:$O$2136,'Cash Balance'!$A$2)</f>
        <v>0</v>
      </c>
      <c r="J194" s="1318">
        <f>SUMIFS(Movement!$G$4:$G$2136,Movement!$M$4:$M$2136,"VND",Movement!$C$4:$C$2136,Table11[[#This Row],[ACCOUNT NUMBER]],Movement!$J$4:$J$2136,Table11[[#This Row],[ENTITY]],Movement!$O$4:$O$2136,'Cash Balance'!$A$2)</f>
        <v>0</v>
      </c>
      <c r="K194" s="1084">
        <f>Table11[[#This Row],[CASH IN - CREDIT (VND)]]-Table11[[#This Row],[CASH OUT - DEBIT (VND)]]</f>
        <v>0</v>
      </c>
      <c r="L194" s="1095">
        <f t="shared" si="17"/>
        <v>14436115</v>
      </c>
      <c r="M194" s="1184" t="e">
        <f>VLOOKUP(C194,'Cash balance (BS)'!A:D,4,)</f>
        <v>#N/A</v>
      </c>
      <c r="N194" s="1095" t="e">
        <f>Table11[[#This Row],[CLOSING BALANCE (VND)2]]-Table11[[#This Row],[CB_BS (VND)]]</f>
        <v>#N/A</v>
      </c>
      <c r="O194" s="1094">
        <v>0</v>
      </c>
      <c r="P194" s="1095">
        <f t="shared" si="18"/>
        <v>0</v>
      </c>
      <c r="Q194" s="817">
        <f>SUMIFS('Cash balance (Prior period)'!G:G,'Cash balance (Prior period)'!C:C,Table11[[#This Row],[ACCOUNT NUMBER]],'Cash balance (Prior period)'!E:E,Table11[[#This Row],[CURRENCY]])</f>
        <v>0</v>
      </c>
      <c r="R194" s="817">
        <f>SUMIFS(Movement!$F$4:$F$2136,Movement!$M$4:$M$2136,"USD",Movement!$C$4:$C$2136,Table11[[#This Row],[ACCOUNT NUMBER]],Movement!$J$4:$J$2136,Table11[[#This Row],[ENTITY]],Movement!$O$4:$O$2136,'Cash Balance'!$A$2)</f>
        <v>0</v>
      </c>
      <c r="S194" s="817">
        <f>SUMIFS(Movement!$G$4:$G$2136,Movement!$M$4:$M$2136,"USD",Movement!$C$4:$C$2136,Table11[[#This Row],[ACCOUNT NUMBER]],Movement!$J$4:$J$2136,Table11[[#This Row],[ENTITY]],Movement!$O$4:$O$2136,'Cash Balance'!$A$2)</f>
        <v>0</v>
      </c>
      <c r="T194" s="1087">
        <f t="shared" si="19"/>
        <v>0</v>
      </c>
      <c r="U194" s="817" t="e">
        <f>VLOOKUP(C194,'Cash balance (BS)'!A:D,4,)</f>
        <v>#N/A</v>
      </c>
      <c r="V194" s="817" t="e">
        <f>Table11[[#This Row],[CLOSING BALANCE (USD)]]-Table11[[#This Row],[CB_BS (USD)]]</f>
        <v>#N/A</v>
      </c>
      <c r="W194" s="1156" t="str">
        <f>VLOOKUP('Cash Balance'!$C194,Table2[#All],MATCH('Cash Balance'!W$3,Acc_Char!$B$1:$I$1,0),0)</f>
        <v>Subsidiaries</v>
      </c>
      <c r="X194" s="1156" t="str">
        <f>VLOOKUP(IFERROR(MID($Y194,1,FIND("-",$Y194)-2),$Y194),Table3[#All],2,0)</f>
        <v>OCB</v>
      </c>
      <c r="Y194" s="1156" t="str">
        <f>VLOOKUP($B194,Table4[#All],2,0)</f>
        <v>OCB - BINH DUONG</v>
      </c>
      <c r="Z194" s="1151"/>
      <c r="AA194" s="49"/>
      <c r="AE194" s="825">
        <f>SUM(Table11[[#This Row],[CASH IN - CREDIT (VND)]],Table11[[#This Row],[CASH IN - CREDIT (USD)]])</f>
        <v>0</v>
      </c>
      <c r="AF194" s="818">
        <f>Table11[[#This Row],[CASH OUT - DEBIT (VND)]]+Table11[[#This Row],[CASH OUT - DEBIT (USD)]]</f>
        <v>0</v>
      </c>
      <c r="AH194" s="1158"/>
      <c r="AI194" s="49"/>
      <c r="AJ194" s="1158"/>
      <c r="AL194"/>
      <c r="AM194"/>
    </row>
    <row r="195" spans="1:39" ht="14.4">
      <c r="A195" s="1153" t="str">
        <f>VLOOKUP('Cash Balance'!$C195,Table2[#All],MATCH('Cash Balance'!A$3,Acc_Char!$B$1:$I$1,0),0)</f>
        <v>HOLDCO5M</v>
      </c>
      <c r="B195" s="1154" t="str">
        <f>VLOOKUP('Cash Balance'!$C195,Table2[#All],MATCH('Cash Balance'!B$3,Acc_Char!$B$1:$I$1,0),0)</f>
        <v>BIDV - THANH XUAN</v>
      </c>
      <c r="C195" s="1185" t="s">
        <v>738</v>
      </c>
      <c r="D195" s="1156" t="str">
        <f>VLOOKUP('Cash Balance'!$C195,Table2[#All],MATCH('Cash Balance'!D$3,Acc_Char!$B$1:$I$1,0),0)</f>
        <v>Current Account</v>
      </c>
      <c r="E195" s="384" t="str">
        <f>VLOOKUP('Cash Balance'!$C195,Table2[#All],MATCH('Cash Balance'!E$3,Acc_Char!$B$1:$I$1,0),0)</f>
        <v>VND</v>
      </c>
      <c r="F195" s="1094" t="e">
        <f>VLOOKUP(C195,'Cash balance (BS)'!A:C,3,)</f>
        <v>#N/A</v>
      </c>
      <c r="G195" s="1157" t="e">
        <f>F195-H195</f>
        <v>#N/A</v>
      </c>
      <c r="H195" s="1318">
        <f>SUMIFS('Cash balance (Prior period)'!F:F,'Cash balance (Prior period)'!C:C,Table11[[#This Row],[ACCOUNT NUMBER]],'Cash balance (Prior period)'!E:E,Table11[[#This Row],[CURRENCY]])</f>
        <v>44816694</v>
      </c>
      <c r="I195" s="1318">
        <f>SUMIFS(Movement!$F$4:$F$2136,Movement!$M$4:$M$2136,"VND",Movement!$C$4:$C$2136,Table11[[#This Row],[ACCOUNT NUMBER]],Movement!$J$4:$J$2136,Table11[[#This Row],[ENTITY]],Movement!$O$4:$O$2136,'Cash Balance'!$A$2)</f>
        <v>2495342</v>
      </c>
      <c r="J195" s="1318">
        <f>SUMIFS(Movement!$G$4:$G$2136,Movement!$M$4:$M$2136,"VND",Movement!$C$4:$C$2136,Table11[[#This Row],[ACCOUNT NUMBER]],Movement!$J$4:$J$2136,Table11[[#This Row],[ENTITY]],Movement!$O$4:$O$2136,'Cash Balance'!$A$2)</f>
        <v>55000</v>
      </c>
      <c r="K195" s="1084">
        <f>Table11[[#This Row],[CASH IN - CREDIT (VND)]]-Table11[[#This Row],[CASH OUT - DEBIT (VND)]]</f>
        <v>2440342</v>
      </c>
      <c r="L195" s="1095">
        <f t="shared" si="17"/>
        <v>47257036</v>
      </c>
      <c r="M195" s="1184" t="e">
        <f>VLOOKUP(C195,'Cash balance (BS)'!A:D,4,)</f>
        <v>#N/A</v>
      </c>
      <c r="N195" s="1095" t="e">
        <f>Table11[[#This Row],[CLOSING BALANCE (VND)2]]-Table11[[#This Row],[CB_BS (VND)]]</f>
        <v>#N/A</v>
      </c>
      <c r="O195" s="1094">
        <v>0</v>
      </c>
      <c r="P195" s="1095">
        <f t="shared" si="18"/>
        <v>0</v>
      </c>
      <c r="Q195" s="817">
        <f>SUMIFS('Cash balance (Prior period)'!G:G,'Cash balance (Prior period)'!C:C,Table11[[#This Row],[ACCOUNT NUMBER]],'Cash balance (Prior period)'!E:E,Table11[[#This Row],[CURRENCY]])</f>
        <v>0</v>
      </c>
      <c r="R195" s="817">
        <f>SUMIFS(Movement!$F$4:$F$2136,Movement!$M$4:$M$2136,"USD",Movement!$C$4:$C$2136,Table11[[#This Row],[ACCOUNT NUMBER]],Movement!$J$4:$J$2136,Table11[[#This Row],[ENTITY]],Movement!$O$4:$O$2136,'Cash Balance'!$A$2)</f>
        <v>0</v>
      </c>
      <c r="S195" s="817">
        <f>SUMIFS(Movement!$G$4:$G$2136,Movement!$M$4:$M$2136,"USD",Movement!$C$4:$C$2136,Table11[[#This Row],[ACCOUNT NUMBER]],Movement!$J$4:$J$2136,Table11[[#This Row],[ENTITY]],Movement!$O$4:$O$2136,'Cash Balance'!$A$2)</f>
        <v>0</v>
      </c>
      <c r="T195" s="1087">
        <f t="shared" si="19"/>
        <v>0</v>
      </c>
      <c r="U195" s="817"/>
      <c r="V195" s="817">
        <f>Table11[[#This Row],[CLOSING BALANCE (USD)]]-Table11[[#This Row],[CB_BS (USD)]]</f>
        <v>0</v>
      </c>
      <c r="W195" s="1156" t="str">
        <f>VLOOKUP('Cash Balance'!$C195,Table2[#All],MATCH('Cash Balance'!W$3,Acc_Char!$B$1:$I$1,0),0)</f>
        <v>Subsidiaries</v>
      </c>
      <c r="X195" s="1156" t="str">
        <f>VLOOKUP(IFERROR(MID($Y195,1,FIND("-",$Y195)-2),$Y195),Table3[#All],2,0)</f>
        <v>BIDV</v>
      </c>
      <c r="Y195" s="1156" t="str">
        <f>VLOOKUP($B195,Table4[#All],2,0)</f>
        <v>BIDV - THANH XUAN</v>
      </c>
      <c r="Z195" s="1151"/>
      <c r="AA195" s="49"/>
      <c r="AE195" s="818">
        <f>SUM(Table11[[#This Row],[CASH IN - CREDIT (VND)]],Table11[[#This Row],[CASH IN - CREDIT (USD)]])</f>
        <v>2495342</v>
      </c>
      <c r="AF195" s="818">
        <f>Table11[[#This Row],[CASH OUT - DEBIT (VND)]]+Table11[[#This Row],[CASH OUT - DEBIT (USD)]]</f>
        <v>55000</v>
      </c>
      <c r="AH195" s="1158" t="s">
        <v>466</v>
      </c>
      <c r="AI195" s="49"/>
      <c r="AJ195" s="1158"/>
      <c r="AL195"/>
      <c r="AM195"/>
    </row>
    <row r="196" spans="1:39" ht="14.4">
      <c r="A196" s="1153" t="str">
        <f>VLOOKUP('Cash Balance'!$C196,Table2[#All],MATCH('Cash Balance'!A$3,Acc_Char!$B$1:$I$1,0),0)</f>
        <v>WPJV 1</v>
      </c>
      <c r="B196" s="1154" t="str">
        <f>VLOOKUP('Cash Balance'!$C196,Table2[#All],MATCH('Cash Balance'!B$3,Acc_Char!$B$1:$I$1,0),0)</f>
        <v>VIETINBANK - TIEN SON</v>
      </c>
      <c r="C196" s="1156" t="s">
        <v>740</v>
      </c>
      <c r="D196" s="1156" t="str">
        <f>VLOOKUP('Cash Balance'!$C196,Table2[#All],MATCH('Cash Balance'!D$3,Acc_Char!$B$1:$I$1,0),0)</f>
        <v>Current Account</v>
      </c>
      <c r="E196" s="384" t="str">
        <f>VLOOKUP('Cash Balance'!$C196,Table2[#All],MATCH('Cash Balance'!E$3,Acc_Char!$B$1:$I$1,0),0)</f>
        <v>VND</v>
      </c>
      <c r="F196" s="1094"/>
      <c r="G196" s="1157"/>
      <c r="H196" s="1318">
        <f>SUMIFS('Cash balance (Prior period)'!F:F,'Cash balance (Prior period)'!C:C,Table11[[#This Row],[ACCOUNT NUMBER]],'Cash balance (Prior period)'!E:E,Table11[[#This Row],[CURRENCY]])</f>
        <v>112887792</v>
      </c>
      <c r="I196" s="1318">
        <f>SUMIFS(Movement!$F$4:$F$2136,Movement!$M$4:$M$2136,"VND",Movement!$C$4:$C$2136,Table11[[#This Row],[ACCOUNT NUMBER]],Movement!$J$4:$J$2136,Table11[[#This Row],[ENTITY]],Movement!$O$4:$O$2136,'Cash Balance'!$A$2)</f>
        <v>6805479</v>
      </c>
      <c r="J196" s="1318">
        <f>SUMIFS(Movement!$G$4:$G$2136,Movement!$M$4:$M$2136,"VND",Movement!$C$4:$C$2136,Table11[[#This Row],[ACCOUNT NUMBER]],Movement!$J$4:$J$2136,Table11[[#This Row],[ENTITY]],Movement!$O$4:$O$2136,'Cash Balance'!$A$2)</f>
        <v>0</v>
      </c>
      <c r="K196" s="1084">
        <f>Table11[[#This Row],[CASH IN - CREDIT (VND)]]-Table11[[#This Row],[CASH OUT - DEBIT (VND)]]</f>
        <v>6805479</v>
      </c>
      <c r="L196" s="1095">
        <f t="shared" si="17"/>
        <v>119693271</v>
      </c>
      <c r="M196" s="1184" t="e">
        <f>VLOOKUP(C196,'Cash balance (BS)'!A:D,4,)</f>
        <v>#N/A</v>
      </c>
      <c r="N196" s="1095" t="e">
        <f>Table11[[#This Row],[CLOSING BALANCE (VND)2]]-Table11[[#This Row],[CB_BS (VND)]]</f>
        <v>#N/A</v>
      </c>
      <c r="O196" s="1094">
        <v>0</v>
      </c>
      <c r="P196" s="1095">
        <f t="shared" si="18"/>
        <v>0</v>
      </c>
      <c r="Q196" s="817">
        <f>SUMIFS('Cash balance (Prior period)'!G:G,'Cash balance (Prior period)'!C:C,Table11[[#This Row],[ACCOUNT NUMBER]],'Cash balance (Prior period)'!E:E,Table11[[#This Row],[CURRENCY]])</f>
        <v>0</v>
      </c>
      <c r="R196" s="817">
        <f>SUMIFS(Movement!$F$4:$F$2136,Movement!$M$4:$M$2136,"USD",Movement!$C$4:$C$2136,Table11[[#This Row],[ACCOUNT NUMBER]],Movement!$J$4:$J$2136,Table11[[#This Row],[ENTITY]],Movement!$O$4:$O$2136,'Cash Balance'!$A$2)</f>
        <v>0</v>
      </c>
      <c r="S196" s="817">
        <f>SUMIFS(Movement!$G$4:$G$2136,Movement!$M$4:$M$2136,"USD",Movement!$C$4:$C$2136,Table11[[#This Row],[ACCOUNT NUMBER]],Movement!$J$4:$J$2136,Table11[[#This Row],[ENTITY]],Movement!$O$4:$O$2136,'Cash Balance'!$A$2)</f>
        <v>0</v>
      </c>
      <c r="T196" s="1087">
        <f t="shared" si="19"/>
        <v>0</v>
      </c>
      <c r="U196" s="817" t="e">
        <f>VLOOKUP(C196,'Cash balance (BS)'!A:D,4,)</f>
        <v>#N/A</v>
      </c>
      <c r="V196" s="817" t="e">
        <f>Table11[[#This Row],[CLOSING BALANCE (USD)]]-Table11[[#This Row],[CB_BS (USD)]]</f>
        <v>#N/A</v>
      </c>
      <c r="W196" s="1156" t="str">
        <f>VLOOKUP('Cash Balance'!$C196,Table2[#All],MATCH('Cash Balance'!W$3,Acc_Char!$B$1:$I$1,0),0)</f>
        <v>Subsidiaries</v>
      </c>
      <c r="X196" s="1156" t="str">
        <f>VLOOKUP(IFERROR(MID($Y196,1,FIND("-",$Y196)-2),$Y196),Table3[#All],2,0)</f>
        <v>VTB</v>
      </c>
      <c r="Y196" s="1156" t="str">
        <f>VLOOKUP($B196,Table4[#All],2,0)</f>
        <v>VIETINBANK - TIEN SON</v>
      </c>
      <c r="Z196" s="1151"/>
      <c r="AA196" s="49"/>
      <c r="AE196" s="818">
        <f>SUM(Table11[[#This Row],[CASH IN - CREDIT (VND)]],Table11[[#This Row],[CASH IN - CREDIT (USD)]])</f>
        <v>6805479</v>
      </c>
      <c r="AF196" s="818">
        <f>Table11[[#This Row],[CASH OUT - DEBIT (VND)]]+Table11[[#This Row],[CASH OUT - DEBIT (USD)]]</f>
        <v>0</v>
      </c>
      <c r="AH196" s="1158"/>
      <c r="AI196" s="49"/>
      <c r="AJ196" s="1158"/>
      <c r="AL196"/>
      <c r="AM196"/>
    </row>
    <row r="197" spans="1:39" ht="14.4">
      <c r="A197" s="1153" t="str">
        <f>VLOOKUP('Cash Balance'!$C197,Table2[#All],MATCH('Cash Balance'!A$3,Acc_Char!$B$1:$I$1,0),0)</f>
        <v>WPJV 1</v>
      </c>
      <c r="B197" s="1154" t="str">
        <f>VLOOKUP('Cash Balance'!$C197,Table2[#All],MATCH('Cash Balance'!B$3,Acc_Char!$B$1:$I$1,0),0)</f>
        <v>VIETINBANK - TIEN SON</v>
      </c>
      <c r="C197" s="1156" t="s">
        <v>741</v>
      </c>
      <c r="D197" s="1156" t="str">
        <f>VLOOKUP('Cash Balance'!$C197,Table2[#All],MATCH('Cash Balance'!D$3,Acc_Char!$B$1:$I$1,0),0)</f>
        <v>Saving Account</v>
      </c>
      <c r="E197" s="384" t="str">
        <f>VLOOKUP('Cash Balance'!$C197,Table2[#All],MATCH('Cash Balance'!E$3,Acc_Char!$B$1:$I$1,0),0)</f>
        <v>VND</v>
      </c>
      <c r="F197" s="1094" t="e">
        <f>VLOOKUP(C197,'Cash balance (BS)'!A:C,3,)</f>
        <v>#N/A</v>
      </c>
      <c r="G197" s="1157" t="e">
        <f>F197-H197</f>
        <v>#N/A</v>
      </c>
      <c r="H197" s="1318">
        <f>SUMIFS('Cash balance (Prior period)'!F:F,'Cash balance (Prior period)'!C:C,Table11[[#This Row],[ACCOUNT NUMBER]],'Cash balance (Prior period)'!E:E,Table11[[#This Row],[CURRENCY]])</f>
        <v>5112305361</v>
      </c>
      <c r="I197" s="1318">
        <f>SUMIFS(Movement!$F$4:$F$2136,Movement!$M$4:$M$2136,"VND",Movement!$C$4:$C$2136,Table11[[#This Row],[ACCOUNT NUMBER]],Movement!$J$4:$J$2136,Table11[[#This Row],[ENTITY]],Movement!$O$4:$O$2136,'Cash Balance'!$A$2)</f>
        <v>0</v>
      </c>
      <c r="J197" s="1318">
        <f>SUMIFS(Movement!$G$4:$G$2136,Movement!$M$4:$M$2136,"VND",Movement!$C$4:$C$2136,Table11[[#This Row],[ACCOUNT NUMBER]],Movement!$J$4:$J$2136,Table11[[#This Row],[ENTITY]],Movement!$O$4:$O$2136,'Cash Balance'!$A$2)</f>
        <v>0</v>
      </c>
      <c r="K197" s="1084">
        <f>Table11[[#This Row],[CASH IN - CREDIT (VND)]]-Table11[[#This Row],[CASH OUT - DEBIT (VND)]]</f>
        <v>0</v>
      </c>
      <c r="L197" s="1095">
        <f t="shared" si="17"/>
        <v>5112305361</v>
      </c>
      <c r="M197" s="1184" t="e">
        <f>VLOOKUP(C197,'Cash balance (BS)'!A:D,4,)</f>
        <v>#N/A</v>
      </c>
      <c r="N197" s="1095" t="e">
        <f>Table11[[#This Row],[CLOSING BALANCE (VND)2]]-Table11[[#This Row],[CB_BS (VND)]]</f>
        <v>#N/A</v>
      </c>
      <c r="O197" s="1094">
        <v>0</v>
      </c>
      <c r="P197" s="1095">
        <f t="shared" si="18"/>
        <v>0</v>
      </c>
      <c r="Q197" s="817">
        <f>SUMIFS('Cash balance (Prior period)'!G:G,'Cash balance (Prior period)'!C:C,Table11[[#This Row],[ACCOUNT NUMBER]],'Cash balance (Prior period)'!E:E,Table11[[#This Row],[CURRENCY]])</f>
        <v>0</v>
      </c>
      <c r="R197" s="817">
        <f>SUMIFS(Movement!$F$4:$F$2136,Movement!$M$4:$M$2136,"USD",Movement!$C$4:$C$2136,Table11[[#This Row],[ACCOUNT NUMBER]],Movement!$J$4:$J$2136,Table11[[#This Row],[ENTITY]],Movement!$O$4:$O$2136,'Cash Balance'!$A$2)</f>
        <v>0</v>
      </c>
      <c r="S197" s="817">
        <f>SUMIFS(Movement!$G$4:$G$2136,Movement!$M$4:$M$2136,"USD",Movement!$C$4:$C$2136,Table11[[#This Row],[ACCOUNT NUMBER]],Movement!$J$4:$J$2136,Table11[[#This Row],[ENTITY]],Movement!$O$4:$O$2136,'Cash Balance'!$A$2)</f>
        <v>0</v>
      </c>
      <c r="T197" s="1087">
        <f t="shared" si="19"/>
        <v>0</v>
      </c>
      <c r="U197" s="817"/>
      <c r="V197" s="817">
        <f>Table11[[#This Row],[CLOSING BALANCE (USD)]]-Table11[[#This Row],[CB_BS (USD)]]</f>
        <v>0</v>
      </c>
      <c r="W197" s="1156" t="str">
        <f>VLOOKUP('Cash Balance'!$C197,Table2[#All],MATCH('Cash Balance'!W$3,Acc_Char!$B$1:$I$1,0),0)</f>
        <v>Subsidiaries</v>
      </c>
      <c r="X197" s="1156" t="str">
        <f>VLOOKUP(IFERROR(MID($Y197,1,FIND("-",$Y197)-2),$Y197),Table3[#All],2,0)</f>
        <v>VTB</v>
      </c>
      <c r="Y197" s="1156" t="str">
        <f>VLOOKUP($B197,Table4[#All],2,0)</f>
        <v>VIETINBANK - TIEN SON</v>
      </c>
      <c r="Z197" s="1151"/>
      <c r="AA197" s="49"/>
      <c r="AE197" s="818">
        <f>SUM(Table11[[#This Row],[CASH IN - CREDIT (VND)]],Table11[[#This Row],[CASH IN - CREDIT (USD)]])</f>
        <v>0</v>
      </c>
      <c r="AF197" s="818">
        <f>Table11[[#This Row],[CASH OUT - DEBIT (VND)]]+Table11[[#This Row],[CASH OUT - DEBIT (USD)]]</f>
        <v>0</v>
      </c>
      <c r="AH197" s="1158"/>
      <c r="AI197" s="49"/>
      <c r="AJ197" s="1158"/>
      <c r="AL197"/>
      <c r="AM197"/>
    </row>
    <row r="198" spans="1:39" ht="14.4">
      <c r="A198" s="1153" t="str">
        <f>VLOOKUP('Cash Balance'!$C198,Table2[#All],MATCH('Cash Balance'!A$3,Acc_Char!$B$1:$I$1,0),0)</f>
        <v>WPJV 2</v>
      </c>
      <c r="B198" s="1154" t="str">
        <f>VLOOKUP('Cash Balance'!$C198,Table2[#All],MATCH('Cash Balance'!B$3,Acc_Char!$B$1:$I$1,0),0)</f>
        <v>VIETINBANK - TIEN SON</v>
      </c>
      <c r="C198" s="1156" t="s">
        <v>743</v>
      </c>
      <c r="D198" s="1156" t="str">
        <f>VLOOKUP('Cash Balance'!$C198,Table2[#All],MATCH('Cash Balance'!D$3,Acc_Char!$B$1:$I$1,0),0)</f>
        <v>Current Account</v>
      </c>
      <c r="E198" s="384" t="str">
        <f>VLOOKUP('Cash Balance'!$C198,Table2[#All],MATCH('Cash Balance'!E$3,Acc_Char!$B$1:$I$1,0),0)</f>
        <v>VND</v>
      </c>
      <c r="F198" s="1094" t="e">
        <f>VLOOKUP(C198,'Cash balance (BS)'!A:C,3,)</f>
        <v>#N/A</v>
      </c>
      <c r="G198" s="1157" t="e">
        <f>F198-H198</f>
        <v>#N/A</v>
      </c>
      <c r="H198" s="1318">
        <f>SUMIFS('Cash balance (Prior period)'!F:F,'Cash balance (Prior period)'!C:C,Table11[[#This Row],[ACCOUNT NUMBER]],'Cash balance (Prior period)'!E:E,Table11[[#This Row],[CURRENCY]])</f>
        <v>28787799</v>
      </c>
      <c r="I198" s="1318">
        <f>SUMIFS(Movement!$F$4:$F$2136,Movement!$M$4:$M$2136,"VND",Movement!$C$4:$C$2136,Table11[[#This Row],[ACCOUNT NUMBER]],Movement!$J$4:$J$2136,Table11[[#This Row],[ENTITY]],Movement!$O$4:$O$2136,'Cash Balance'!$A$2)</f>
        <v>2268493</v>
      </c>
      <c r="J198" s="1318">
        <f>SUMIFS(Movement!$G$4:$G$2136,Movement!$M$4:$M$2136,"VND",Movement!$C$4:$C$2136,Table11[[#This Row],[ACCOUNT NUMBER]],Movement!$J$4:$J$2136,Table11[[#This Row],[ENTITY]],Movement!$O$4:$O$2136,'Cash Balance'!$A$2)</f>
        <v>0</v>
      </c>
      <c r="K198" s="1084">
        <f>Table11[[#This Row],[CASH IN - CREDIT (VND)]]-Table11[[#This Row],[CASH OUT - DEBIT (VND)]]</f>
        <v>2268493</v>
      </c>
      <c r="L198" s="1095">
        <f t="shared" si="17"/>
        <v>31056292</v>
      </c>
      <c r="M198" s="1184" t="e">
        <f>VLOOKUP(C198,'Cash balance (BS)'!A:D,4,)</f>
        <v>#N/A</v>
      </c>
      <c r="N198" s="1095" t="e">
        <f>Table11[[#This Row],[CLOSING BALANCE (VND)2]]-Table11[[#This Row],[CB_BS (VND)]]</f>
        <v>#N/A</v>
      </c>
      <c r="O198" s="1094">
        <v>0</v>
      </c>
      <c r="P198" s="1095">
        <f t="shared" si="18"/>
        <v>0</v>
      </c>
      <c r="Q198" s="817">
        <f>SUMIFS('Cash balance (Prior period)'!G:G,'Cash balance (Prior period)'!C:C,Table11[[#This Row],[ACCOUNT NUMBER]],'Cash balance (Prior period)'!E:E,Table11[[#This Row],[CURRENCY]])</f>
        <v>0</v>
      </c>
      <c r="R198" s="817">
        <f>SUMIFS(Movement!$F$4:$F$2136,Movement!$M$4:$M$2136,"USD",Movement!$C$4:$C$2136,Table11[[#This Row],[ACCOUNT NUMBER]],Movement!$J$4:$J$2136,Table11[[#This Row],[ENTITY]],Movement!$O$4:$O$2136,'Cash Balance'!$A$2)</f>
        <v>0</v>
      </c>
      <c r="S198" s="817">
        <f>SUMIFS(Movement!$G$4:$G$2136,Movement!$M$4:$M$2136,"USD",Movement!$C$4:$C$2136,Table11[[#This Row],[ACCOUNT NUMBER]],Movement!$J$4:$J$2136,Table11[[#This Row],[ENTITY]],Movement!$O$4:$O$2136,'Cash Balance'!$A$2)</f>
        <v>0</v>
      </c>
      <c r="T198" s="1087">
        <f t="shared" si="19"/>
        <v>0</v>
      </c>
      <c r="U198" s="817"/>
      <c r="V198" s="817">
        <f>Table11[[#This Row],[CLOSING BALANCE (USD)]]-Table11[[#This Row],[CB_BS (USD)]]</f>
        <v>0</v>
      </c>
      <c r="W198" s="1156" t="str">
        <f>VLOOKUP('Cash Balance'!$C198,Table2[#All],MATCH('Cash Balance'!W$3,Acc_Char!$B$1:$I$1,0),0)</f>
        <v>Subsidiaries</v>
      </c>
      <c r="X198" s="1156" t="str">
        <f>VLOOKUP(IFERROR(MID($Y198,1,FIND("-",$Y198)-2),$Y198),Table3[#All],2,0)</f>
        <v>VTB</v>
      </c>
      <c r="Y198" s="1156" t="str">
        <f>VLOOKUP($B198,Table4[#All],2,0)</f>
        <v>VIETINBANK - TIEN SON</v>
      </c>
      <c r="Z198" s="1151"/>
      <c r="AA198" s="49"/>
      <c r="AE198" s="818">
        <f>SUM(Table11[[#This Row],[CASH IN - CREDIT (VND)]],Table11[[#This Row],[CASH IN - CREDIT (USD)]])</f>
        <v>2268493</v>
      </c>
      <c r="AF198" s="818">
        <f>Table11[[#This Row],[CASH OUT - DEBIT (VND)]]+Table11[[#This Row],[CASH OUT - DEBIT (USD)]]</f>
        <v>0</v>
      </c>
      <c r="AH198" s="1158"/>
      <c r="AI198" s="49"/>
      <c r="AJ198" s="1158"/>
      <c r="AL198"/>
      <c r="AM198"/>
    </row>
    <row r="199" spans="1:39" ht="14.4">
      <c r="A199" s="1153" t="str">
        <f>VLOOKUP('Cash Balance'!$C199,Table2[#All],MATCH('Cash Balance'!A$3,Acc_Char!$B$1:$I$1,0),0)</f>
        <v>WPJV 3</v>
      </c>
      <c r="B199" s="1154" t="str">
        <f>VLOOKUP('Cash Balance'!$C199,Table2[#All],MATCH('Cash Balance'!B$3,Acc_Char!$B$1:$I$1,0),0)</f>
        <v>VIETINBANK - TIEN SON</v>
      </c>
      <c r="C199" s="1156" t="s">
        <v>745</v>
      </c>
      <c r="D199" s="1156" t="str">
        <f>VLOOKUP('Cash Balance'!$C199,Table2[#All],MATCH('Cash Balance'!D$3,Acc_Char!$B$1:$I$1,0),0)</f>
        <v>Current Account</v>
      </c>
      <c r="E199" s="384" t="str">
        <f>VLOOKUP('Cash Balance'!$C199,Table2[#All],MATCH('Cash Balance'!E$3,Acc_Char!$B$1:$I$1,0),0)</f>
        <v>VND</v>
      </c>
      <c r="F199" s="1094" t="e">
        <f>VLOOKUP(C199,'Cash balance (BS)'!A:C,3,)</f>
        <v>#N/A</v>
      </c>
      <c r="G199" s="1157" t="e">
        <f>F199-H199</f>
        <v>#N/A</v>
      </c>
      <c r="H199" s="1318">
        <f>SUMIFS('Cash balance (Prior period)'!F:F,'Cash balance (Prior period)'!C:C,Table11[[#This Row],[ACCOUNT NUMBER]],'Cash balance (Prior period)'!E:E,Table11[[#This Row],[CURRENCY]])</f>
        <v>32624209</v>
      </c>
      <c r="I199" s="1318">
        <f>SUMIFS(Movement!$F$4:$F$2136,Movement!$M$4:$M$2136,"VND",Movement!$C$4:$C$2136,Table11[[#This Row],[ACCOUNT NUMBER]],Movement!$J$4:$J$2136,Table11[[#This Row],[ENTITY]],Movement!$O$4:$O$2136,'Cash Balance'!$A$2)</f>
        <v>0</v>
      </c>
      <c r="J199" s="1318">
        <f>SUMIFS(Movement!$G$4:$G$2136,Movement!$M$4:$M$2136,"VND",Movement!$C$4:$C$2136,Table11[[#This Row],[ACCOUNT NUMBER]],Movement!$J$4:$J$2136,Table11[[#This Row],[ENTITY]],Movement!$O$4:$O$2136,'Cash Balance'!$A$2)</f>
        <v>0</v>
      </c>
      <c r="K199" s="1084">
        <f>Table11[[#This Row],[CASH IN - CREDIT (VND)]]-Table11[[#This Row],[CASH OUT - DEBIT (VND)]]</f>
        <v>0</v>
      </c>
      <c r="L199" s="1095">
        <f t="shared" ref="L199:L262" si="22">H199+I199-J199</f>
        <v>32624209</v>
      </c>
      <c r="M199" s="1184" t="e">
        <f>VLOOKUP(C199,'Cash balance (BS)'!A:D,4,)</f>
        <v>#N/A</v>
      </c>
      <c r="N199" s="1095" t="e">
        <f>Table11[[#This Row],[CLOSING BALANCE (VND)2]]-Table11[[#This Row],[CB_BS (VND)]]</f>
        <v>#N/A</v>
      </c>
      <c r="O199" s="1094">
        <v>0</v>
      </c>
      <c r="P199" s="1095">
        <f t="shared" ref="P199:P262" si="23">O199-Q199</f>
        <v>0</v>
      </c>
      <c r="Q199" s="817">
        <f>SUMIFS('Cash balance (Prior period)'!G:G,'Cash balance (Prior period)'!C:C,Table11[[#This Row],[ACCOUNT NUMBER]],'Cash balance (Prior period)'!E:E,Table11[[#This Row],[CURRENCY]])</f>
        <v>0</v>
      </c>
      <c r="R199" s="817">
        <f>SUMIFS(Movement!$F$4:$F$2136,Movement!$M$4:$M$2136,"USD",Movement!$C$4:$C$2136,Table11[[#This Row],[ACCOUNT NUMBER]],Movement!$J$4:$J$2136,Table11[[#This Row],[ENTITY]],Movement!$O$4:$O$2136,'Cash Balance'!$A$2)</f>
        <v>0</v>
      </c>
      <c r="S199" s="817">
        <f>SUMIFS(Movement!$G$4:$G$2136,Movement!$M$4:$M$2136,"USD",Movement!$C$4:$C$2136,Table11[[#This Row],[ACCOUNT NUMBER]],Movement!$J$4:$J$2136,Table11[[#This Row],[ENTITY]],Movement!$O$4:$O$2136,'Cash Balance'!$A$2)</f>
        <v>0</v>
      </c>
      <c r="T199" s="1087">
        <f t="shared" ref="T199:T262" si="24">Q199+R199-S199</f>
        <v>0</v>
      </c>
      <c r="U199" s="817"/>
      <c r="V199" s="817">
        <f>Table11[[#This Row],[CLOSING BALANCE (USD)]]-Table11[[#This Row],[CB_BS (USD)]]</f>
        <v>0</v>
      </c>
      <c r="W199" s="1156" t="str">
        <f>VLOOKUP('Cash Balance'!$C199,Table2[#All],MATCH('Cash Balance'!W$3,Acc_Char!$B$1:$I$1,0),0)</f>
        <v>Subsidiaries</v>
      </c>
      <c r="X199" s="1156" t="str">
        <f>VLOOKUP(IFERROR(MID($Y199,1,FIND("-",$Y199)-2),$Y199),Table3[#All],2,0)</f>
        <v>VTB</v>
      </c>
      <c r="Y199" s="1156" t="str">
        <f>VLOOKUP($B199,Table4[#All],2,0)</f>
        <v>VIETINBANK - TIEN SON</v>
      </c>
      <c r="Z199" s="1151"/>
      <c r="AA199" s="49"/>
      <c r="AE199" s="818">
        <f>SUM(Table11[[#This Row],[CASH IN - CREDIT (VND)]],Table11[[#This Row],[CASH IN - CREDIT (USD)]])</f>
        <v>0</v>
      </c>
      <c r="AF199" s="818">
        <f>Table11[[#This Row],[CASH OUT - DEBIT (VND)]]+Table11[[#This Row],[CASH OUT - DEBIT (USD)]]</f>
        <v>0</v>
      </c>
      <c r="AH199" s="1158"/>
      <c r="AI199" s="49"/>
      <c r="AJ199" s="1158"/>
      <c r="AL199"/>
      <c r="AM199"/>
    </row>
    <row r="200" spans="1:39" ht="14.4">
      <c r="A200" s="1153" t="str">
        <f>VLOOKUP('Cash Balance'!$C200,Table2[#All],MATCH('Cash Balance'!A$3,Acc_Char!$B$1:$I$1,0),0)</f>
        <v>BW DONG HAI</v>
      </c>
      <c r="B200" s="1154" t="str">
        <f>VLOOKUP('Cash Balance'!$C200,Table2[#All],MATCH('Cash Balance'!B$3,Acc_Char!$B$1:$I$1,0),0)</f>
        <v>BIDV - THANH XUAN</v>
      </c>
      <c r="C200" s="1185" t="s">
        <v>747</v>
      </c>
      <c r="D200" s="1156" t="str">
        <f>VLOOKUP('Cash Balance'!$C200,Table2[#All],MATCH('Cash Balance'!D$3,Acc_Char!$B$1:$I$1,0),0)</f>
        <v>Current Account</v>
      </c>
      <c r="E200" s="384" t="str">
        <f>VLOOKUP('Cash Balance'!$C200,Table2[#All],MATCH('Cash Balance'!E$3,Acc_Char!$B$1:$I$1,0),0)</f>
        <v>VND</v>
      </c>
      <c r="F200" s="1094"/>
      <c r="G200" s="1157"/>
      <c r="H200" s="1318">
        <f>SUMIFS('Cash balance (Prior period)'!F:F,'Cash balance (Prior period)'!C:C,Table11[[#This Row],[ACCOUNT NUMBER]],'Cash balance (Prior period)'!E:E,Table11[[#This Row],[CURRENCY]])</f>
        <v>6785472989</v>
      </c>
      <c r="I200" s="1318">
        <f>SUMIFS(Movement!$F$4:$F$2136,Movement!$M$4:$M$2136,"VND",Movement!$C$4:$C$2136,Table11[[#This Row],[ACCOUNT NUMBER]],Movement!$J$4:$J$2136,Table11[[#This Row],[ENTITY]],Movement!$O$4:$O$2136,'Cash Balance'!$A$2)</f>
        <v>4087763853</v>
      </c>
      <c r="J200" s="1318">
        <f>SUMIFS(Movement!$G$4:$G$2136,Movement!$M$4:$M$2136,"VND",Movement!$C$4:$C$2136,Table11[[#This Row],[ACCOUNT NUMBER]],Movement!$J$4:$J$2136,Table11[[#This Row],[ENTITY]],Movement!$O$4:$O$2136,'Cash Balance'!$A$2)</f>
        <v>158862292</v>
      </c>
      <c r="K200" s="1084">
        <f>Table11[[#This Row],[CASH IN - CREDIT (VND)]]-Table11[[#This Row],[CASH OUT - DEBIT (VND)]]</f>
        <v>3928901561</v>
      </c>
      <c r="L200" s="1095">
        <f t="shared" si="22"/>
        <v>10714374550</v>
      </c>
      <c r="M200" s="1184" t="e">
        <f>VLOOKUP(C200,'Cash balance (BS)'!A:D,4,)</f>
        <v>#N/A</v>
      </c>
      <c r="N200" s="1095" t="e">
        <f>Table11[[#This Row],[CLOSING BALANCE (VND)2]]-Table11[[#This Row],[CB_BS (VND)]]</f>
        <v>#N/A</v>
      </c>
      <c r="O200" s="1094">
        <v>0</v>
      </c>
      <c r="P200" s="1095">
        <f t="shared" si="23"/>
        <v>0</v>
      </c>
      <c r="Q200" s="817">
        <f>SUMIFS('Cash balance (Prior period)'!G:G,'Cash balance (Prior period)'!C:C,Table11[[#This Row],[ACCOUNT NUMBER]],'Cash balance (Prior period)'!E:E,Table11[[#This Row],[CURRENCY]])</f>
        <v>0</v>
      </c>
      <c r="R200" s="817">
        <f>SUMIFS(Movement!$F$4:$F$2136,Movement!$M$4:$M$2136,"USD",Movement!$C$4:$C$2136,Table11[[#This Row],[ACCOUNT NUMBER]],Movement!$J$4:$J$2136,Table11[[#This Row],[ENTITY]],Movement!$O$4:$O$2136,'Cash Balance'!$A$2)</f>
        <v>0</v>
      </c>
      <c r="S200" s="817">
        <f>SUMIFS(Movement!$G$4:$G$2136,Movement!$M$4:$M$2136,"USD",Movement!$C$4:$C$2136,Table11[[#This Row],[ACCOUNT NUMBER]],Movement!$J$4:$J$2136,Table11[[#This Row],[ENTITY]],Movement!$O$4:$O$2136,'Cash Balance'!$A$2)</f>
        <v>0</v>
      </c>
      <c r="T200" s="1087">
        <f t="shared" si="24"/>
        <v>0</v>
      </c>
      <c r="U200" s="817" t="e">
        <f>VLOOKUP(C200,'Cash balance (BS)'!A:D,4,)</f>
        <v>#N/A</v>
      </c>
      <c r="V200" s="817" t="e">
        <f>Table11[[#This Row],[CLOSING BALANCE (USD)]]-Table11[[#This Row],[CB_BS (USD)]]</f>
        <v>#N/A</v>
      </c>
      <c r="W200" s="1156" t="str">
        <f>VLOOKUP('Cash Balance'!$C200,Table2[#All],MATCH('Cash Balance'!W$3,Acc_Char!$B$1:$I$1,0),0)</f>
        <v>Subsidiaries</v>
      </c>
      <c r="X200" s="1156" t="str">
        <f>VLOOKUP(IFERROR(MID($Y200,1,FIND("-",$Y200)-2),$Y200),Table3[#All],2,0)</f>
        <v>BIDV</v>
      </c>
      <c r="Y200" s="1156" t="str">
        <f>VLOOKUP($B200,Table4[#All],2,0)</f>
        <v>BIDV - THANH XUAN</v>
      </c>
      <c r="Z200" s="1151"/>
      <c r="AA200" s="49"/>
      <c r="AE200" s="818">
        <f>SUM(Table11[[#This Row],[CASH IN - CREDIT (VND)]],Table11[[#This Row],[CASH IN - CREDIT (USD)]])</f>
        <v>4087763853</v>
      </c>
      <c r="AF200" s="818">
        <f>Table11[[#This Row],[CASH OUT - DEBIT (VND)]]+Table11[[#This Row],[CASH OUT - DEBIT (USD)]]</f>
        <v>158862292</v>
      </c>
      <c r="AH200" s="1158" t="s">
        <v>466</v>
      </c>
      <c r="AI200" s="49"/>
      <c r="AJ200" s="1158"/>
      <c r="AL200"/>
      <c r="AM200"/>
    </row>
    <row r="201" spans="1:39" ht="14.4">
      <c r="A201" s="1153" t="str">
        <f>VLOOKUP('Cash Balance'!$C201,Table2[#All],MATCH('Cash Balance'!A$3,Acc_Char!$B$1:$I$1,0),0)</f>
        <v>MP3 SOLAR POWER</v>
      </c>
      <c r="B201" s="1154" t="str">
        <f>VLOOKUP('Cash Balance'!$C201,Table2[#All],MATCH('Cash Balance'!B$3,Acc_Char!$B$1:$I$1,0),0)</f>
        <v>VIETINBANK - DONG SAI GON</v>
      </c>
      <c r="C201" s="1186" t="s">
        <v>749</v>
      </c>
      <c r="D201" s="1156" t="str">
        <f>VLOOKUP('Cash Balance'!$C201,Table2[#All],MATCH('Cash Balance'!D$3,Acc_Char!$B$1:$I$1,0),0)</f>
        <v>Current Account</v>
      </c>
      <c r="E201" s="384" t="str">
        <f>VLOOKUP('Cash Balance'!$C201,Table2[#All],MATCH('Cash Balance'!E$3,Acc_Char!$B$1:$I$1,0),0)</f>
        <v>VND</v>
      </c>
      <c r="F201" s="1094" t="e">
        <f>VLOOKUP(C201,'Cash balance (BS)'!A:C,3,)</f>
        <v>#N/A</v>
      </c>
      <c r="G201" s="1187" t="e">
        <f>F201-H201</f>
        <v>#N/A</v>
      </c>
      <c r="H201" s="1318">
        <f>SUMIFS('Cash balance (Prior period)'!F:F,'Cash balance (Prior period)'!C:C,Table11[[#This Row],[ACCOUNT NUMBER]],'Cash balance (Prior period)'!E:E,Table11[[#This Row],[CURRENCY]])</f>
        <v>651514584</v>
      </c>
      <c r="I201" s="1318">
        <f>SUMIFS(Movement!$F$4:$F$2136,Movement!$M$4:$M$2136,"VND",Movement!$C$4:$C$2136,Table11[[#This Row],[ACCOUNT NUMBER]],Movement!$J$4:$J$2136,Table11[[#This Row],[ENTITY]],Movement!$O$4:$O$2136,'Cash Balance'!$A$2)</f>
        <v>0</v>
      </c>
      <c r="J201" s="1318">
        <f>SUMIFS(Movement!$G$4:$G$2136,Movement!$M$4:$M$2136,"VND",Movement!$C$4:$C$2136,Table11[[#This Row],[ACCOUNT NUMBER]],Movement!$J$4:$J$2136,Table11[[#This Row],[ENTITY]],Movement!$O$4:$O$2136,'Cash Balance'!$A$2)</f>
        <v>0</v>
      </c>
      <c r="K201" s="1084">
        <f>Table11[[#This Row],[CASH IN - CREDIT (VND)]]-Table11[[#This Row],[CASH OUT - DEBIT (VND)]]</f>
        <v>0</v>
      </c>
      <c r="L201" s="1095">
        <f t="shared" si="22"/>
        <v>651514584</v>
      </c>
      <c r="M201" s="1184" t="e">
        <f>VLOOKUP(C201,'Cash balance (BS)'!A:D,4,)</f>
        <v>#N/A</v>
      </c>
      <c r="N201" s="1095" t="e">
        <f>Table11[[#This Row],[CLOSING BALANCE (VND)2]]-Table11[[#This Row],[CB_BS (VND)]]</f>
        <v>#N/A</v>
      </c>
      <c r="O201" s="1094">
        <v>0</v>
      </c>
      <c r="P201" s="1095">
        <f t="shared" si="23"/>
        <v>0</v>
      </c>
      <c r="Q201" s="817">
        <f>SUMIFS('Cash balance (Prior period)'!G:G,'Cash balance (Prior period)'!C:C,Table11[[#This Row],[ACCOUNT NUMBER]],'Cash balance (Prior period)'!E:E,Table11[[#This Row],[CURRENCY]])</f>
        <v>0</v>
      </c>
      <c r="R201" s="817">
        <f>SUMIFS(Movement!$F$4:$F$2136,Movement!$M$4:$M$2136,"USD",Movement!$C$4:$C$2136,Table11[[#This Row],[ACCOUNT NUMBER]],Movement!$J$4:$J$2136,Table11[[#This Row],[ENTITY]],Movement!$O$4:$O$2136,'Cash Balance'!$A$2)</f>
        <v>0</v>
      </c>
      <c r="S201" s="817">
        <f>SUMIFS(Movement!$G$4:$G$2136,Movement!$M$4:$M$2136,"USD",Movement!$C$4:$C$2136,Table11[[#This Row],[ACCOUNT NUMBER]],Movement!$J$4:$J$2136,Table11[[#This Row],[ENTITY]],Movement!$O$4:$O$2136,'Cash Balance'!$A$2)</f>
        <v>0</v>
      </c>
      <c r="T201" s="1087">
        <f t="shared" si="24"/>
        <v>0</v>
      </c>
      <c r="U201" s="1088"/>
      <c r="V201" s="1088">
        <f>Table11[[#This Row],[CLOSING BALANCE (USD)]]-Table11[[#This Row],[CB_BS (USD)]]</f>
        <v>0</v>
      </c>
      <c r="W201" s="1156" t="str">
        <f>VLOOKUP('Cash Balance'!$C201,Table2[#All],MATCH('Cash Balance'!W$3,Acc_Char!$B$1:$I$1,0),0)</f>
        <v>Subsidiaries</v>
      </c>
      <c r="X201" s="1186" t="str">
        <f>VLOOKUP(IFERROR(MID($Y201,1,FIND("-",$Y201)-2),$Y201),Table3[#All],2,0)</f>
        <v>VTB</v>
      </c>
      <c r="Y201" s="1186" t="str">
        <f>VLOOKUP($B201,Table4[#All],2,0)</f>
        <v>VIETINBANK - DONG SAI GON</v>
      </c>
      <c r="Z201" s="1151"/>
      <c r="AA201" s="49"/>
      <c r="AE201" s="818">
        <f>SUM(Table11[[#This Row],[CASH IN - CREDIT (VND)]],Table11[[#This Row],[CASH IN - CREDIT (USD)]])</f>
        <v>0</v>
      </c>
      <c r="AF201" s="818">
        <f>Table11[[#This Row],[CASH OUT - DEBIT (VND)]]+Table11[[#This Row],[CASH OUT - DEBIT (USD)]]</f>
        <v>0</v>
      </c>
      <c r="AH201" s="1158"/>
      <c r="AI201" s="49"/>
      <c r="AJ201" s="1158"/>
      <c r="AL201"/>
      <c r="AM201"/>
    </row>
    <row r="202" spans="1:39" ht="14.4">
      <c r="A202" s="1153" t="str">
        <f>VLOOKUP('Cash Balance'!$C202,Table2[#All],MATCH('Cash Balance'!A$3,Acc_Char!$B$1:$I$1,0),0)</f>
        <v>TPT1 SOLAR POWER</v>
      </c>
      <c r="B202" s="1154" t="str">
        <f>VLOOKUP('Cash Balance'!$C202,Table2[#All],MATCH('Cash Balance'!B$3,Acc_Char!$B$1:$I$1,0),0)</f>
        <v>VIETINBANK - DONG SAI GON</v>
      </c>
      <c r="C202" s="1156" t="s">
        <v>751</v>
      </c>
      <c r="D202" s="1156" t="str">
        <f>VLOOKUP('Cash Balance'!$C202,Table2[#All],MATCH('Cash Balance'!D$3,Acc_Char!$B$1:$I$1,0),0)</f>
        <v>Current Account</v>
      </c>
      <c r="E202" s="384" t="str">
        <f>VLOOKUP('Cash Balance'!$C202,Table2[#All],MATCH('Cash Balance'!E$3,Acc_Char!$B$1:$I$1,0),0)</f>
        <v>VND</v>
      </c>
      <c r="F202" s="1094"/>
      <c r="G202" s="1157"/>
      <c r="H202" s="1318">
        <f>SUMIFS('Cash balance (Prior period)'!F:F,'Cash balance (Prior period)'!C:C,Table11[[#This Row],[ACCOUNT NUMBER]],'Cash balance (Prior period)'!E:E,Table11[[#This Row],[CURRENCY]])</f>
        <v>271414389</v>
      </c>
      <c r="I202" s="1318">
        <f>SUMIFS(Movement!$F$4:$F$2136,Movement!$M$4:$M$2136,"VND",Movement!$C$4:$C$2136,Table11[[#This Row],[ACCOUNT NUMBER]],Movement!$J$4:$J$2136,Table11[[#This Row],[ENTITY]],Movement!$O$4:$O$2136,'Cash Balance'!$A$2)</f>
        <v>0</v>
      </c>
      <c r="J202" s="1318">
        <f>SUMIFS(Movement!$G$4:$G$2136,Movement!$M$4:$M$2136,"VND",Movement!$C$4:$C$2136,Table11[[#This Row],[ACCOUNT NUMBER]],Movement!$J$4:$J$2136,Table11[[#This Row],[ENTITY]],Movement!$O$4:$O$2136,'Cash Balance'!$A$2)</f>
        <v>0</v>
      </c>
      <c r="K202" s="1084">
        <f>Table11[[#This Row],[CASH IN - CREDIT (VND)]]-Table11[[#This Row],[CASH OUT - DEBIT (VND)]]</f>
        <v>0</v>
      </c>
      <c r="L202" s="1095">
        <f t="shared" si="22"/>
        <v>271414389</v>
      </c>
      <c r="M202" s="1184" t="e">
        <f>VLOOKUP(C202,'Cash balance (BS)'!A:D,4,)</f>
        <v>#N/A</v>
      </c>
      <c r="N202" s="1095" t="e">
        <f>Table11[[#This Row],[CLOSING BALANCE (VND)2]]-Table11[[#This Row],[CB_BS (VND)]]</f>
        <v>#N/A</v>
      </c>
      <c r="O202" s="1094">
        <v>0</v>
      </c>
      <c r="P202" s="1095">
        <f t="shared" si="23"/>
        <v>0</v>
      </c>
      <c r="Q202" s="817">
        <f>SUMIFS('Cash balance (Prior period)'!G:G,'Cash balance (Prior period)'!C:C,Table11[[#This Row],[ACCOUNT NUMBER]],'Cash balance (Prior period)'!E:E,Table11[[#This Row],[CURRENCY]])</f>
        <v>0</v>
      </c>
      <c r="R202" s="817">
        <f>SUMIFS(Movement!$F$4:$F$2136,Movement!$M$4:$M$2136,"USD",Movement!$C$4:$C$2136,Table11[[#This Row],[ACCOUNT NUMBER]],Movement!$J$4:$J$2136,Table11[[#This Row],[ENTITY]],Movement!$O$4:$O$2136,'Cash Balance'!$A$2)</f>
        <v>0</v>
      </c>
      <c r="S202" s="817">
        <f>SUMIFS(Movement!$G$4:$G$2136,Movement!$M$4:$M$2136,"USD",Movement!$C$4:$C$2136,Table11[[#This Row],[ACCOUNT NUMBER]],Movement!$J$4:$J$2136,Table11[[#This Row],[ENTITY]],Movement!$O$4:$O$2136,'Cash Balance'!$A$2)</f>
        <v>0</v>
      </c>
      <c r="T202" s="1087">
        <f t="shared" si="24"/>
        <v>0</v>
      </c>
      <c r="U202" s="817" t="e">
        <f>VLOOKUP(C202,'Cash balance (BS)'!A:D,4,)</f>
        <v>#N/A</v>
      </c>
      <c r="V202" s="817" t="e">
        <f>Table11[[#This Row],[CLOSING BALANCE (USD)]]-Table11[[#This Row],[CB_BS (USD)]]</f>
        <v>#N/A</v>
      </c>
      <c r="W202" s="1156" t="str">
        <f>VLOOKUP('Cash Balance'!$C202,Table2[#All],MATCH('Cash Balance'!W$3,Acc_Char!$B$1:$I$1,0),0)</f>
        <v>Subsidiaries</v>
      </c>
      <c r="X202" s="1156" t="str">
        <f>VLOOKUP(IFERROR(MID($Y202,1,FIND("-",$Y202)-2),$Y202),Table3[#All],2,0)</f>
        <v>VTB</v>
      </c>
      <c r="Y202" s="1156" t="str">
        <f>VLOOKUP($B202,Table4[#All],2,0)</f>
        <v>VIETINBANK - DONG SAI GON</v>
      </c>
      <c r="Z202" s="1151"/>
      <c r="AA202" s="49"/>
      <c r="AE202" s="818">
        <f>SUM(Table11[[#This Row],[CASH IN - CREDIT (VND)]],Table11[[#This Row],[CASH IN - CREDIT (USD)]])</f>
        <v>0</v>
      </c>
      <c r="AF202" s="818">
        <f>Table11[[#This Row],[CASH OUT - DEBIT (VND)]]+Table11[[#This Row],[CASH OUT - DEBIT (USD)]]</f>
        <v>0</v>
      </c>
      <c r="AH202" s="1158"/>
      <c r="AI202" s="49"/>
      <c r="AJ202" s="1158"/>
      <c r="AL202"/>
      <c r="AM202"/>
    </row>
    <row r="203" spans="1:39" ht="14.4">
      <c r="A203" s="1153" t="str">
        <f>VLOOKUP('Cash Balance'!$C203,Table2[#All],MATCH('Cash Balance'!A$3,Acc_Char!$B$1:$I$1,0),0)</f>
        <v>SUPPLY CHAIN 2A</v>
      </c>
      <c r="B203" s="1154" t="str">
        <f>VLOOKUP('Cash Balance'!$C203,Table2[#All],MATCH('Cash Balance'!B$3,Acc_Char!$B$1:$I$1,0),0)</f>
        <v>VIETINBANK - TIEN SON</v>
      </c>
      <c r="C203" s="1186" t="s">
        <v>753</v>
      </c>
      <c r="D203" s="1156" t="str">
        <f>VLOOKUP('Cash Balance'!$C203,Table2[#All],MATCH('Cash Balance'!D$3,Acc_Char!$B$1:$I$1,0),0)</f>
        <v>Current Account</v>
      </c>
      <c r="E203" s="384" t="str">
        <f>VLOOKUP('Cash Balance'!$C203,Table2[#All],MATCH('Cash Balance'!E$3,Acc_Char!$B$1:$I$1,0),0)</f>
        <v>VND</v>
      </c>
      <c r="F203" s="1094" t="e">
        <f>VLOOKUP(C203,'Cash balance (BS)'!A:C,3,)</f>
        <v>#N/A</v>
      </c>
      <c r="G203" s="1187" t="e">
        <f>F203-H203</f>
        <v>#N/A</v>
      </c>
      <c r="H203" s="1318">
        <f>SUMIFS('Cash balance (Prior period)'!F:F,'Cash balance (Prior period)'!C:C,Table11[[#This Row],[ACCOUNT NUMBER]],'Cash balance (Prior period)'!E:E,Table11[[#This Row],[CURRENCY]])</f>
        <v>793714325</v>
      </c>
      <c r="I203" s="1318">
        <f>SUMIFS(Movement!$F$4:$F$2136,Movement!$M$4:$M$2136,"VND",Movement!$C$4:$C$2136,Table11[[#This Row],[ACCOUNT NUMBER]],Movement!$J$4:$J$2136,Table11[[#This Row],[ENTITY]],Movement!$O$4:$O$2136,'Cash Balance'!$A$2)</f>
        <v>0</v>
      </c>
      <c r="J203" s="1318">
        <f>SUMIFS(Movement!$G$4:$G$2136,Movement!$M$4:$M$2136,"VND",Movement!$C$4:$C$2136,Table11[[#This Row],[ACCOUNT NUMBER]],Movement!$J$4:$J$2136,Table11[[#This Row],[ENTITY]],Movement!$O$4:$O$2136,'Cash Balance'!$A$2)</f>
        <v>0</v>
      </c>
      <c r="K203" s="1084">
        <f>Table11[[#This Row],[CASH IN - CREDIT (VND)]]-Table11[[#This Row],[CASH OUT - DEBIT (VND)]]</f>
        <v>0</v>
      </c>
      <c r="L203" s="1095">
        <f t="shared" si="22"/>
        <v>793714325</v>
      </c>
      <c r="M203" s="1184" t="e">
        <f>VLOOKUP(C203,'Cash balance (BS)'!A:D,4,)</f>
        <v>#N/A</v>
      </c>
      <c r="N203" s="1095" t="e">
        <f>Table11[[#This Row],[CLOSING BALANCE (VND)2]]-Table11[[#This Row],[CB_BS (VND)]]</f>
        <v>#N/A</v>
      </c>
      <c r="O203" s="1094">
        <v>0</v>
      </c>
      <c r="P203" s="1095">
        <f t="shared" si="23"/>
        <v>0</v>
      </c>
      <c r="Q203" s="817">
        <f>SUMIFS('Cash balance (Prior period)'!G:G,'Cash balance (Prior period)'!C:C,Table11[[#This Row],[ACCOUNT NUMBER]],'Cash balance (Prior period)'!E:E,Table11[[#This Row],[CURRENCY]])</f>
        <v>0</v>
      </c>
      <c r="R203" s="817">
        <f>SUMIFS(Movement!$F$4:$F$2136,Movement!$M$4:$M$2136,"USD",Movement!$C$4:$C$2136,Table11[[#This Row],[ACCOUNT NUMBER]],Movement!$J$4:$J$2136,Table11[[#This Row],[ENTITY]],Movement!$O$4:$O$2136,'Cash Balance'!$A$2)</f>
        <v>0</v>
      </c>
      <c r="S203" s="817">
        <f>SUMIFS(Movement!$G$4:$G$2136,Movement!$M$4:$M$2136,"USD",Movement!$C$4:$C$2136,Table11[[#This Row],[ACCOUNT NUMBER]],Movement!$J$4:$J$2136,Table11[[#This Row],[ENTITY]],Movement!$O$4:$O$2136,'Cash Balance'!$A$2)</f>
        <v>0</v>
      </c>
      <c r="T203" s="1087">
        <f t="shared" si="24"/>
        <v>0</v>
      </c>
      <c r="U203" s="1088"/>
      <c r="V203" s="1088">
        <f>Table11[[#This Row],[CLOSING BALANCE (USD)]]-Table11[[#This Row],[CB_BS (USD)]]</f>
        <v>0</v>
      </c>
      <c r="W203" s="1156" t="str">
        <f>VLOOKUP('Cash Balance'!$C203,Table2[#All],MATCH('Cash Balance'!W$3,Acc_Char!$B$1:$I$1,0),0)</f>
        <v>Subsidiaries</v>
      </c>
      <c r="X203" s="1186" t="str">
        <f>VLOOKUP(IFERROR(MID($Y203,1,FIND("-",$Y203)-2),$Y203),Table3[#All],2,0)</f>
        <v>VTB</v>
      </c>
      <c r="Y203" s="1186" t="str">
        <f>VLOOKUP($B203,Table4[#All],2,0)</f>
        <v>VIETINBANK - TIEN SON</v>
      </c>
      <c r="Z203" s="1151"/>
      <c r="AA203" s="49"/>
      <c r="AE203" s="818">
        <f>SUM(Table11[[#This Row],[CASH IN - CREDIT (VND)]],Table11[[#This Row],[CASH IN - CREDIT (USD)]])</f>
        <v>0</v>
      </c>
      <c r="AF203" s="818">
        <f>Table11[[#This Row],[CASH OUT - DEBIT (VND)]]+Table11[[#This Row],[CASH OUT - DEBIT (USD)]]</f>
        <v>0</v>
      </c>
      <c r="AH203" s="1158"/>
      <c r="AI203" s="49"/>
      <c r="AJ203" s="1158"/>
      <c r="AL203"/>
      <c r="AM203"/>
    </row>
    <row r="204" spans="1:39" ht="14.4">
      <c r="A204" s="1153" t="str">
        <f>VLOOKUP('Cash Balance'!$C204,Table2[#All],MATCH('Cash Balance'!A$3,Acc_Char!$B$1:$I$1,0),0)</f>
        <v>BAC TIEN PHONG</v>
      </c>
      <c r="B204" s="1154" t="str">
        <f>VLOOKUP('Cash Balance'!$C204,Table2[#All],MATCH('Cash Balance'!B$3,Acc_Char!$B$1:$I$1,0),0)</f>
        <v>BIDV - THANH XUAN</v>
      </c>
      <c r="C204" s="1185" t="s">
        <v>755</v>
      </c>
      <c r="D204" s="1156" t="str">
        <f>VLOOKUP('Cash Balance'!$C204,Table2[#All],MATCH('Cash Balance'!D$3,Acc_Char!$B$1:$I$1,0),0)</f>
        <v>Current Account</v>
      </c>
      <c r="E204" s="384" t="str">
        <f>VLOOKUP('Cash Balance'!$C204,Table2[#All],MATCH('Cash Balance'!E$3,Acc_Char!$B$1:$I$1,0),0)</f>
        <v>VND</v>
      </c>
      <c r="F204" s="1094" t="e">
        <f>VLOOKUP(C204,'Cash balance (BS)'!A:C,3,)</f>
        <v>#N/A</v>
      </c>
      <c r="G204" s="1157" t="e">
        <f>F204-H204</f>
        <v>#N/A</v>
      </c>
      <c r="H204" s="1318">
        <f>SUMIFS('Cash balance (Prior period)'!F:F,'Cash balance (Prior period)'!C:C,Table11[[#This Row],[ACCOUNT NUMBER]],'Cash balance (Prior period)'!E:E,Table11[[#This Row],[CURRENCY]])</f>
        <v>1640822101</v>
      </c>
      <c r="I204" s="1318">
        <f>SUMIFS(Movement!$F$4:$F$2136,Movement!$M$4:$M$2136,"VND",Movement!$C$4:$C$2136,Table11[[#This Row],[ACCOUNT NUMBER]],Movement!$J$4:$J$2136,Table11[[#This Row],[ENTITY]],Movement!$O$4:$O$2136,'Cash Balance'!$A$2)</f>
        <v>87383210</v>
      </c>
      <c r="J204" s="1318">
        <f>SUMIFS(Movement!$G$4:$G$2136,Movement!$M$4:$M$2136,"VND",Movement!$C$4:$C$2136,Table11[[#This Row],[ACCOUNT NUMBER]],Movement!$J$4:$J$2136,Table11[[#This Row],[ENTITY]],Movement!$O$4:$O$2136,'Cash Balance'!$A$2)</f>
        <v>55000</v>
      </c>
      <c r="K204" s="1084">
        <f>Table11[[#This Row],[CASH IN - CREDIT (VND)]]-Table11[[#This Row],[CASH OUT - DEBIT (VND)]]</f>
        <v>87328210</v>
      </c>
      <c r="L204" s="1095">
        <f t="shared" si="22"/>
        <v>1728150311</v>
      </c>
      <c r="M204" s="1184" t="e">
        <f>VLOOKUP(C204,'Cash balance (BS)'!A:D,4,)</f>
        <v>#N/A</v>
      </c>
      <c r="N204" s="1095" t="e">
        <f>Table11[[#This Row],[CLOSING BALANCE (VND)2]]-Table11[[#This Row],[CB_BS (VND)]]</f>
        <v>#N/A</v>
      </c>
      <c r="O204" s="1094">
        <v>0</v>
      </c>
      <c r="P204" s="1095">
        <f t="shared" si="23"/>
        <v>0</v>
      </c>
      <c r="Q204" s="817">
        <f>SUMIFS('Cash balance (Prior period)'!G:G,'Cash balance (Prior period)'!C:C,Table11[[#This Row],[ACCOUNT NUMBER]],'Cash balance (Prior period)'!E:E,Table11[[#This Row],[CURRENCY]])</f>
        <v>0</v>
      </c>
      <c r="R204" s="817">
        <f>SUMIFS(Movement!$F$4:$F$2136,Movement!$M$4:$M$2136,"USD",Movement!$C$4:$C$2136,Table11[[#This Row],[ACCOUNT NUMBER]],Movement!$J$4:$J$2136,Table11[[#This Row],[ENTITY]],Movement!$O$4:$O$2136,'Cash Balance'!$A$2)</f>
        <v>0</v>
      </c>
      <c r="S204" s="817">
        <f>SUMIFS(Movement!$G$4:$G$2136,Movement!$M$4:$M$2136,"USD",Movement!$C$4:$C$2136,Table11[[#This Row],[ACCOUNT NUMBER]],Movement!$J$4:$J$2136,Table11[[#This Row],[ENTITY]],Movement!$O$4:$O$2136,'Cash Balance'!$A$2)</f>
        <v>0</v>
      </c>
      <c r="T204" s="1087">
        <f t="shared" si="24"/>
        <v>0</v>
      </c>
      <c r="U204" s="817"/>
      <c r="V204" s="817">
        <f>Table11[[#This Row],[CLOSING BALANCE (USD)]]-Table11[[#This Row],[CB_BS (USD)]]</f>
        <v>0</v>
      </c>
      <c r="W204" s="1156" t="str">
        <f>VLOOKUP('Cash Balance'!$C204,Table2[#All],MATCH('Cash Balance'!W$3,Acc_Char!$B$1:$I$1,0),0)</f>
        <v>Subsidiaries</v>
      </c>
      <c r="X204" s="1156" t="str">
        <f>VLOOKUP(IFERROR(MID($Y204,1,FIND("-",$Y204)-2),$Y204),Table3[#All],2,0)</f>
        <v>BIDV</v>
      </c>
      <c r="Y204" s="1156" t="str">
        <f>VLOOKUP($B204,Table4[#All],2,0)</f>
        <v>BIDV - THANH XUAN</v>
      </c>
      <c r="Z204" s="1151"/>
      <c r="AA204" s="49"/>
      <c r="AE204" s="818">
        <f>SUM(Table11[[#This Row],[CASH IN - CREDIT (VND)]],Table11[[#This Row],[CASH IN - CREDIT (USD)]])</f>
        <v>87383210</v>
      </c>
      <c r="AF204" s="818">
        <f>Table11[[#This Row],[CASH OUT - DEBIT (VND)]]+Table11[[#This Row],[CASH OUT - DEBIT (USD)]]</f>
        <v>55000</v>
      </c>
      <c r="AH204" s="1158" t="s">
        <v>1519</v>
      </c>
      <c r="AI204" s="49"/>
      <c r="AJ204" s="1158"/>
      <c r="AL204"/>
      <c r="AM204"/>
    </row>
    <row r="205" spans="1:39" ht="14.4">
      <c r="A205" s="1153" t="str">
        <f>VLOOKUP('Cash Balance'!$C205,Table2[#All],MATCH('Cash Balance'!A$3,Acc_Char!$B$1:$I$1,0),0)</f>
        <v>DELIWAY</v>
      </c>
      <c r="B205" s="1154" t="str">
        <f>VLOOKUP('Cash Balance'!$C205,Table2[#All],MATCH('Cash Balance'!B$3,Acc_Char!$B$1:$I$1,0),0)</f>
        <v>BIDV - THANH XUAN</v>
      </c>
      <c r="C205" s="1188" t="s">
        <v>756</v>
      </c>
      <c r="D205" s="1156" t="str">
        <f>VLOOKUP('Cash Balance'!$C205,Table2[#All],MATCH('Cash Balance'!D$3,Acc_Char!$B$1:$I$1,0),0)</f>
        <v>Current Account</v>
      </c>
      <c r="E205" s="384" t="str">
        <f>VLOOKUP('Cash Balance'!$C205,Table2[#All],MATCH('Cash Balance'!E$3,Acc_Char!$B$1:$I$1,0),0)</f>
        <v>VND</v>
      </c>
      <c r="F205" s="1094"/>
      <c r="G205" s="1157"/>
      <c r="H205" s="1318">
        <f>SUMIFS('Cash balance (Prior period)'!F:F,'Cash balance (Prior period)'!C:C,Table11[[#This Row],[ACCOUNT NUMBER]],'Cash balance (Prior period)'!E:E,Table11[[#This Row],[CURRENCY]])</f>
        <v>73691341</v>
      </c>
      <c r="I205" s="1318">
        <f>SUMIFS(Movement!$F$4:$F$2136,Movement!$M$4:$M$2136,"VND",Movement!$C$4:$C$2136,Table11[[#This Row],[ACCOUNT NUMBER]],Movement!$J$4:$J$2136,Table11[[#This Row],[ENTITY]],Movement!$O$4:$O$2136,'Cash Balance'!$A$2)</f>
        <v>0</v>
      </c>
      <c r="J205" s="1318">
        <f>SUMIFS(Movement!$G$4:$G$2136,Movement!$M$4:$M$2136,"VND",Movement!$C$4:$C$2136,Table11[[#This Row],[ACCOUNT NUMBER]],Movement!$J$4:$J$2136,Table11[[#This Row],[ENTITY]],Movement!$O$4:$O$2136,'Cash Balance'!$A$2)</f>
        <v>55000</v>
      </c>
      <c r="K205" s="1084">
        <f>Table11[[#This Row],[CASH IN - CREDIT (VND)]]-Table11[[#This Row],[CASH OUT - DEBIT (VND)]]</f>
        <v>-55000</v>
      </c>
      <c r="L205" s="1095">
        <f t="shared" si="22"/>
        <v>73636341</v>
      </c>
      <c r="M205" s="1184" t="e">
        <f>VLOOKUP(C205,'Cash balance (BS)'!A:D,4,)</f>
        <v>#N/A</v>
      </c>
      <c r="N205" s="1095" t="e">
        <f>Table11[[#This Row],[CLOSING BALANCE (VND)2]]-Table11[[#This Row],[CB_BS (VND)]]</f>
        <v>#N/A</v>
      </c>
      <c r="O205" s="1094">
        <v>0</v>
      </c>
      <c r="P205" s="1095">
        <f t="shared" si="23"/>
        <v>0</v>
      </c>
      <c r="Q205" s="817">
        <f>SUMIFS('Cash balance (Prior period)'!G:G,'Cash balance (Prior period)'!C:C,Table11[[#This Row],[ACCOUNT NUMBER]],'Cash balance (Prior period)'!E:E,Table11[[#This Row],[CURRENCY]])</f>
        <v>0</v>
      </c>
      <c r="R205" s="817">
        <f>SUMIFS(Movement!$F$4:$F$2136,Movement!$M$4:$M$2136,"USD",Movement!$C$4:$C$2136,Table11[[#This Row],[ACCOUNT NUMBER]],Movement!$J$4:$J$2136,Table11[[#This Row],[ENTITY]],Movement!$O$4:$O$2136,'Cash Balance'!$A$2)</f>
        <v>0</v>
      </c>
      <c r="S205" s="817">
        <f>SUMIFS(Movement!$G$4:$G$2136,Movement!$M$4:$M$2136,"USD",Movement!$C$4:$C$2136,Table11[[#This Row],[ACCOUNT NUMBER]],Movement!$J$4:$J$2136,Table11[[#This Row],[ENTITY]],Movement!$O$4:$O$2136,'Cash Balance'!$A$2)</f>
        <v>0</v>
      </c>
      <c r="T205" s="1087">
        <f t="shared" si="24"/>
        <v>0</v>
      </c>
      <c r="U205" s="817" t="e">
        <f>VLOOKUP(C205,'Cash balance (BS)'!A:D,4,)</f>
        <v>#N/A</v>
      </c>
      <c r="V205" s="817" t="e">
        <f>Table11[[#This Row],[CLOSING BALANCE (USD)]]-Table11[[#This Row],[CB_BS (USD)]]</f>
        <v>#N/A</v>
      </c>
      <c r="W205" s="1156" t="str">
        <f>VLOOKUP('Cash Balance'!$C205,Table2[#All],MATCH('Cash Balance'!W$3,Acc_Char!$B$1:$I$1,0),0)</f>
        <v>Subsidiaries</v>
      </c>
      <c r="X205" s="1156" t="str">
        <f>VLOOKUP(IFERROR(MID($Y205,1,FIND("-",$Y205)-2),$Y205),Table3[#All],2,0)</f>
        <v>BIDV</v>
      </c>
      <c r="Y205" s="1156" t="str">
        <f>VLOOKUP($B205,Table4[#All],2,0)</f>
        <v>BIDV - THANH XUAN</v>
      </c>
      <c r="Z205" s="1151"/>
      <c r="AA205" s="49"/>
      <c r="AE205" s="818">
        <f>SUM(Table11[[#This Row],[CASH IN - CREDIT (VND)]],Table11[[#This Row],[CASH IN - CREDIT (USD)]])</f>
        <v>0</v>
      </c>
      <c r="AF205" s="818">
        <f>Table11[[#This Row],[CASH OUT - DEBIT (VND)]]+Table11[[#This Row],[CASH OUT - DEBIT (USD)]]</f>
        <v>55000</v>
      </c>
      <c r="AH205" s="1158" t="s">
        <v>1519</v>
      </c>
      <c r="AI205" s="49"/>
      <c r="AJ205" s="1158"/>
      <c r="AL205"/>
      <c r="AM205"/>
    </row>
    <row r="206" spans="1:39" ht="14.4">
      <c r="A206" s="1153" t="str">
        <f>VLOOKUP('Cash Balance'!$C206,Table2[#All],MATCH('Cash Balance'!A$3,Acc_Char!$B$1:$I$1,0),0)</f>
        <v>GREAT KINGDOM NT 2</v>
      </c>
      <c r="B206" s="1154" t="str">
        <f>VLOOKUP('Cash Balance'!$C206,Table2[#All],MATCH('Cash Balance'!B$3,Acc_Char!$B$1:$I$1,0),0)</f>
        <v>VIETINBANK - CN1</v>
      </c>
      <c r="C206" s="301" t="s">
        <v>757</v>
      </c>
      <c r="D206" s="1156" t="str">
        <f>VLOOKUP('Cash Balance'!$C206,Table2[#All],MATCH('Cash Balance'!D$3,Acc_Char!$B$1:$I$1,0),0)</f>
        <v>Current Account</v>
      </c>
      <c r="E206" s="384" t="str">
        <f>VLOOKUP('Cash Balance'!$C206,Table2[#All],MATCH('Cash Balance'!E$3,Acc_Char!$B$1:$I$1,0),0)</f>
        <v>USD</v>
      </c>
      <c r="F206" s="1094" t="e">
        <f>VLOOKUP(C206,'Cash balance (BS)'!A:C,3,)</f>
        <v>#N/A</v>
      </c>
      <c r="G206" s="1157" t="e">
        <f>F206-H206</f>
        <v>#N/A</v>
      </c>
      <c r="H206" s="1318">
        <f>SUMIFS('Cash balance (Prior period)'!F:F,'Cash balance (Prior period)'!C:C,Table11[[#This Row],[ACCOUNT NUMBER]],'Cash balance (Prior period)'!E:E,Table11[[#This Row],[CURRENCY]])</f>
        <v>0</v>
      </c>
      <c r="I206" s="1318">
        <f>SUMIFS(Movement!$F$4:$F$2136,Movement!$M$4:$M$2136,"VND",Movement!$C$4:$C$2136,Table11[[#This Row],[ACCOUNT NUMBER]],Movement!$J$4:$J$2136,Table11[[#This Row],[ENTITY]],Movement!$O$4:$O$2136,'Cash Balance'!$A$2)</f>
        <v>0</v>
      </c>
      <c r="J206" s="1318">
        <f>SUMIFS(Movement!$G$4:$G$2136,Movement!$M$4:$M$2136,"VND",Movement!$C$4:$C$2136,Table11[[#This Row],[ACCOUNT NUMBER]],Movement!$J$4:$J$2136,Table11[[#This Row],[ENTITY]],Movement!$O$4:$O$2136,'Cash Balance'!$A$2)</f>
        <v>0</v>
      </c>
      <c r="K206" s="1084">
        <f>Table11[[#This Row],[CASH IN - CREDIT (VND)]]-Table11[[#This Row],[CASH OUT - DEBIT (VND)]]</f>
        <v>0</v>
      </c>
      <c r="L206" s="1095">
        <f t="shared" si="22"/>
        <v>0</v>
      </c>
      <c r="M206" s="1184" t="e">
        <f>VLOOKUP(C206,'Cash balance (BS)'!A:D,4,)</f>
        <v>#N/A</v>
      </c>
      <c r="N206" s="1095" t="e">
        <f>Table11[[#This Row],[CLOSING BALANCE (VND)2]]-Table11[[#This Row],[CB_BS (VND)]]</f>
        <v>#N/A</v>
      </c>
      <c r="O206" s="1094">
        <v>0</v>
      </c>
      <c r="P206" s="1095">
        <f t="shared" si="23"/>
        <v>0</v>
      </c>
      <c r="Q206" s="817">
        <f>SUMIFS('Cash balance (Prior period)'!G:G,'Cash balance (Prior period)'!C:C,Table11[[#This Row],[ACCOUNT NUMBER]],'Cash balance (Prior period)'!E:E,Table11[[#This Row],[CURRENCY]])</f>
        <v>0</v>
      </c>
      <c r="R206" s="817">
        <f>SUMIFS(Movement!$F$4:$F$2136,Movement!$M$4:$M$2136,"USD",Movement!$C$4:$C$2136,Table11[[#This Row],[ACCOUNT NUMBER]],Movement!$J$4:$J$2136,Table11[[#This Row],[ENTITY]],Movement!$O$4:$O$2136,'Cash Balance'!$A$2)</f>
        <v>0</v>
      </c>
      <c r="S206" s="817">
        <f>SUMIFS(Movement!$G$4:$G$2136,Movement!$M$4:$M$2136,"USD",Movement!$C$4:$C$2136,Table11[[#This Row],[ACCOUNT NUMBER]],Movement!$J$4:$J$2136,Table11[[#This Row],[ENTITY]],Movement!$O$4:$O$2136,'Cash Balance'!$A$2)</f>
        <v>0</v>
      </c>
      <c r="T206" s="1087">
        <f t="shared" si="24"/>
        <v>0</v>
      </c>
      <c r="U206" s="817"/>
      <c r="V206" s="817">
        <f>Table11[[#This Row],[CLOSING BALANCE (USD)]]-Table11[[#This Row],[CB_BS (USD)]]</f>
        <v>0</v>
      </c>
      <c r="W206" s="1156" t="str">
        <f>VLOOKUP('Cash Balance'!$C206,Table2[#All],MATCH('Cash Balance'!W$3,Acc_Char!$B$1:$I$1,0),0)</f>
        <v>Subsidiaries</v>
      </c>
      <c r="X206" s="1156" t="str">
        <f>VLOOKUP(IFERROR(MID($Y206,1,FIND("-",$Y206)-2),$Y206),Table3[#All],2,0)</f>
        <v>VTB</v>
      </c>
      <c r="Y206" s="1156" t="str">
        <f>VLOOKUP($B206,Table4[#All],2,0)</f>
        <v>VIETINBANK - CN1</v>
      </c>
      <c r="Z206" s="1151"/>
      <c r="AA206" s="49"/>
      <c r="AE206" s="818">
        <f>SUM(Table11[[#This Row],[CASH IN - CREDIT (VND)]],Table11[[#This Row],[CASH IN - CREDIT (USD)]])</f>
        <v>0</v>
      </c>
      <c r="AF206" s="818">
        <f>Table11[[#This Row],[CASH OUT - DEBIT (VND)]]+Table11[[#This Row],[CASH OUT - DEBIT (USD)]]</f>
        <v>0</v>
      </c>
      <c r="AH206" s="1158"/>
      <c r="AI206" s="49"/>
      <c r="AJ206" s="1158"/>
      <c r="AL206"/>
      <c r="AM206"/>
    </row>
    <row r="207" spans="1:39" ht="14.4">
      <c r="A207" s="1153" t="str">
        <f>VLOOKUP('Cash Balance'!$C207,Table2[#All],MATCH('Cash Balance'!A$3,Acc_Char!$B$1:$I$1,0),0)</f>
        <v>BWID HAI DUONG 3</v>
      </c>
      <c r="B207" s="1154" t="str">
        <f>VLOOKUP('Cash Balance'!$C207,Table2[#All],MATCH('Cash Balance'!B$3,Acc_Char!$B$1:$I$1,0),0)</f>
        <v>BIDV - THANH XUAN</v>
      </c>
      <c r="C207" s="301" t="s">
        <v>758</v>
      </c>
      <c r="D207" s="1156" t="str">
        <f>VLOOKUP('Cash Balance'!$C207,Table2[#All],MATCH('Cash Balance'!D$3,Acc_Char!$B$1:$I$1,0),0)</f>
        <v>Current Account</v>
      </c>
      <c r="E207" s="384" t="str">
        <f>VLOOKUP('Cash Balance'!$C207,Table2[#All],MATCH('Cash Balance'!E$3,Acc_Char!$B$1:$I$1,0),0)</f>
        <v>USD</v>
      </c>
      <c r="F207" s="1094" t="e">
        <f>VLOOKUP(C207,'Cash balance (BS)'!A:C,3,)</f>
        <v>#N/A</v>
      </c>
      <c r="G207" s="1157" t="e">
        <f>F207-H207</f>
        <v>#N/A</v>
      </c>
      <c r="H207" s="1318">
        <f>SUMIFS('Cash balance (Prior period)'!F:F,'Cash balance (Prior period)'!C:C,Table11[[#This Row],[ACCOUNT NUMBER]],'Cash balance (Prior period)'!E:E,Table11[[#This Row],[CURRENCY]])</f>
        <v>0</v>
      </c>
      <c r="I207" s="1318">
        <f>SUMIFS(Movement!$F$4:$F$2136,Movement!$M$4:$M$2136,"VND",Movement!$C$4:$C$2136,Table11[[#This Row],[ACCOUNT NUMBER]],Movement!$J$4:$J$2136,Table11[[#This Row],[ENTITY]],Movement!$O$4:$O$2136,'Cash Balance'!$A$2)</f>
        <v>0</v>
      </c>
      <c r="J207" s="1318">
        <f>SUMIFS(Movement!$G$4:$G$2136,Movement!$M$4:$M$2136,"VND",Movement!$C$4:$C$2136,Table11[[#This Row],[ACCOUNT NUMBER]],Movement!$J$4:$J$2136,Table11[[#This Row],[ENTITY]],Movement!$O$4:$O$2136,'Cash Balance'!$A$2)</f>
        <v>0</v>
      </c>
      <c r="K207" s="1084">
        <f>Table11[[#This Row],[CASH IN - CREDIT (VND)]]-Table11[[#This Row],[CASH OUT - DEBIT (VND)]]</f>
        <v>0</v>
      </c>
      <c r="L207" s="1095">
        <f t="shared" si="22"/>
        <v>0</v>
      </c>
      <c r="M207" s="1184" t="e">
        <f>VLOOKUP(C207,'Cash balance (BS)'!A:D,4,)</f>
        <v>#N/A</v>
      </c>
      <c r="N207" s="1095" t="e">
        <f>Table11[[#This Row],[CLOSING BALANCE (VND)2]]-Table11[[#This Row],[CB_BS (VND)]]</f>
        <v>#N/A</v>
      </c>
      <c r="O207" s="1094">
        <v>0</v>
      </c>
      <c r="P207" s="1095">
        <f t="shared" si="23"/>
        <v>-33.999999999999986</v>
      </c>
      <c r="Q207" s="817">
        <f>SUMIFS('Cash balance (Prior period)'!G:G,'Cash balance (Prior period)'!C:C,Table11[[#This Row],[ACCOUNT NUMBER]],'Cash balance (Prior period)'!E:E,Table11[[#This Row],[CURRENCY]])</f>
        <v>33.999999999999986</v>
      </c>
      <c r="R207" s="817">
        <f>SUMIFS(Movement!$F$4:$F$2136,Movement!$M$4:$M$2136,"USD",Movement!$C$4:$C$2136,Table11[[#This Row],[ACCOUNT NUMBER]],Movement!$J$4:$J$2136,Table11[[#This Row],[ENTITY]],Movement!$O$4:$O$2136,'Cash Balance'!$A$2)</f>
        <v>0</v>
      </c>
      <c r="S207" s="817">
        <f>SUMIFS(Movement!$G$4:$G$2136,Movement!$M$4:$M$2136,"USD",Movement!$C$4:$C$2136,Table11[[#This Row],[ACCOUNT NUMBER]],Movement!$J$4:$J$2136,Table11[[#This Row],[ENTITY]],Movement!$O$4:$O$2136,'Cash Balance'!$A$2)</f>
        <v>2.2000000000000002</v>
      </c>
      <c r="T207" s="1087">
        <f t="shared" si="24"/>
        <v>31.799999999999986</v>
      </c>
      <c r="U207" s="817"/>
      <c r="V207" s="817">
        <f>Table11[[#This Row],[CLOSING BALANCE (USD)]]-Table11[[#This Row],[CB_BS (USD)]]</f>
        <v>31.799999999999986</v>
      </c>
      <c r="W207" s="1156" t="str">
        <f>VLOOKUP('Cash Balance'!$C207,Table2[#All],MATCH('Cash Balance'!W$3,Acc_Char!$B$1:$I$1,0),0)</f>
        <v>Subsidiaries</v>
      </c>
      <c r="X207" s="1156" t="str">
        <f>VLOOKUP(IFERROR(MID($Y207,1,FIND("-",$Y207)-2),$Y207),Table3[#All],2,0)</f>
        <v>BIDV</v>
      </c>
      <c r="Y207" s="1156" t="str">
        <f>VLOOKUP($B207,Table4[#All],2,0)</f>
        <v>BIDV - THANH XUAN</v>
      </c>
      <c r="Z207" s="1151"/>
      <c r="AA207" s="49"/>
      <c r="AE207" s="818">
        <f>SUM(Table11[[#This Row],[CASH IN - CREDIT (VND)]],Table11[[#This Row],[CASH IN - CREDIT (USD)]])</f>
        <v>0</v>
      </c>
      <c r="AF207" s="818">
        <f>Table11[[#This Row],[CASH OUT - DEBIT (VND)]]+Table11[[#This Row],[CASH OUT - DEBIT (USD)]]</f>
        <v>2.2000000000000002</v>
      </c>
      <c r="AH207" s="1158"/>
      <c r="AI207" s="49"/>
      <c r="AJ207" s="1158"/>
      <c r="AL207"/>
      <c r="AM207"/>
    </row>
    <row r="208" spans="1:39" ht="14.4">
      <c r="A208" s="1153" t="str">
        <f>VLOOKUP('Cash Balance'!$C208,Table2[#All],MATCH('Cash Balance'!A$3,Acc_Char!$B$1:$I$1,0),0)</f>
        <v>BWID THOI HOA</v>
      </c>
      <c r="B208" s="1154" t="str">
        <f>VLOOKUP('Cash Balance'!$C208,Table2[#All],MATCH('Cash Balance'!B$3,Acc_Char!$B$1:$I$1,0),0)</f>
        <v>VIETINBANK - TIEN SON</v>
      </c>
      <c r="C208" s="301" t="s">
        <v>759</v>
      </c>
      <c r="D208" s="1156" t="str">
        <f>VLOOKUP('Cash Balance'!$C208,Table2[#All],MATCH('Cash Balance'!D$3,Acc_Char!$B$1:$I$1,0),0)</f>
        <v>Current Account</v>
      </c>
      <c r="E208" s="384" t="str">
        <f>VLOOKUP('Cash Balance'!$C208,Table2[#All],MATCH('Cash Balance'!E$3,Acc_Char!$B$1:$I$1,0),0)</f>
        <v>VND</v>
      </c>
      <c r="F208" s="1094" t="e">
        <f>VLOOKUP(C208,'Cash balance (BS)'!A:C,3,)</f>
        <v>#N/A</v>
      </c>
      <c r="G208" s="1157" t="e">
        <f>F208-H208</f>
        <v>#N/A</v>
      </c>
      <c r="H208" s="1318">
        <f>SUMIFS('Cash balance (Prior period)'!F:F,'Cash balance (Prior period)'!C:C,Table11[[#This Row],[ACCOUNT NUMBER]],'Cash balance (Prior period)'!E:E,Table11[[#This Row],[CURRENCY]])</f>
        <v>14514708</v>
      </c>
      <c r="I208" s="1318">
        <f>SUMIFS(Movement!$F$4:$F$2136,Movement!$M$4:$M$2136,"VND",Movement!$C$4:$C$2136,Table11[[#This Row],[ACCOUNT NUMBER]],Movement!$J$4:$J$2136,Table11[[#This Row],[ENTITY]],Movement!$O$4:$O$2136,'Cash Balance'!$A$2)</f>
        <v>0</v>
      </c>
      <c r="J208" s="1318">
        <f>SUMIFS(Movement!$G$4:$G$2136,Movement!$M$4:$M$2136,"VND",Movement!$C$4:$C$2136,Table11[[#This Row],[ACCOUNT NUMBER]],Movement!$J$4:$J$2136,Table11[[#This Row],[ENTITY]],Movement!$O$4:$O$2136,'Cash Balance'!$A$2)</f>
        <v>0</v>
      </c>
      <c r="K208" s="1084">
        <f>Table11[[#This Row],[CASH IN - CREDIT (VND)]]-Table11[[#This Row],[CASH OUT - DEBIT (VND)]]</f>
        <v>0</v>
      </c>
      <c r="L208" s="1095">
        <f t="shared" si="22"/>
        <v>14514708</v>
      </c>
      <c r="M208" s="1184" t="e">
        <f>VLOOKUP(C208,'Cash balance (BS)'!A:D,4,)</f>
        <v>#N/A</v>
      </c>
      <c r="N208" s="1095" t="e">
        <f>Table11[[#This Row],[CLOSING BALANCE (VND)2]]-Table11[[#This Row],[CB_BS (VND)]]</f>
        <v>#N/A</v>
      </c>
      <c r="O208" s="1094">
        <v>0</v>
      </c>
      <c r="P208" s="1095">
        <f t="shared" si="23"/>
        <v>0</v>
      </c>
      <c r="Q208" s="817">
        <f>SUMIFS('Cash balance (Prior period)'!G:G,'Cash balance (Prior period)'!C:C,Table11[[#This Row],[ACCOUNT NUMBER]],'Cash balance (Prior period)'!E:E,Table11[[#This Row],[CURRENCY]])</f>
        <v>0</v>
      </c>
      <c r="R208" s="817">
        <f>SUMIFS(Movement!$F$4:$F$2136,Movement!$M$4:$M$2136,"USD",Movement!$C$4:$C$2136,Table11[[#This Row],[ACCOUNT NUMBER]],Movement!$J$4:$J$2136,Table11[[#This Row],[ENTITY]],Movement!$O$4:$O$2136,'Cash Balance'!$A$2)</f>
        <v>0</v>
      </c>
      <c r="S208" s="817">
        <f>SUMIFS(Movement!$G$4:$G$2136,Movement!$M$4:$M$2136,"USD",Movement!$C$4:$C$2136,Table11[[#This Row],[ACCOUNT NUMBER]],Movement!$J$4:$J$2136,Table11[[#This Row],[ENTITY]],Movement!$O$4:$O$2136,'Cash Balance'!$A$2)</f>
        <v>0</v>
      </c>
      <c r="T208" s="1087">
        <f t="shared" si="24"/>
        <v>0</v>
      </c>
      <c r="U208" s="817"/>
      <c r="V208" s="817">
        <f>Table11[[#This Row],[CLOSING BALANCE (USD)]]-Table11[[#This Row],[CB_BS (USD)]]</f>
        <v>0</v>
      </c>
      <c r="W208" s="1156" t="str">
        <f>VLOOKUP('Cash Balance'!$C208,Table2[#All],MATCH('Cash Balance'!W$3,Acc_Char!$B$1:$I$1,0),0)</f>
        <v>Subsidiaries</v>
      </c>
      <c r="X208" s="1156" t="str">
        <f>VLOOKUP(IFERROR(MID($Y208,1,FIND("-",$Y208)-2),$Y208),Table3[#All],2,0)</f>
        <v>VTB</v>
      </c>
      <c r="Y208" s="1156" t="str">
        <f>VLOOKUP($B208,Table4[#All],2,0)</f>
        <v>VIETINBANK - TIEN SON</v>
      </c>
      <c r="Z208" s="1151"/>
      <c r="AA208" s="49"/>
      <c r="AE208" s="818">
        <f>SUM(Table11[[#This Row],[CASH IN - CREDIT (VND)]],Table11[[#This Row],[CASH IN - CREDIT (USD)]])</f>
        <v>0</v>
      </c>
      <c r="AF208" s="818">
        <f>Table11[[#This Row],[CASH OUT - DEBIT (VND)]]+Table11[[#This Row],[CASH OUT - DEBIT (USD)]]</f>
        <v>0</v>
      </c>
      <c r="AH208" s="1158"/>
      <c r="AI208" s="49"/>
      <c r="AJ208" s="1158"/>
      <c r="AL208"/>
      <c r="AM208"/>
    </row>
    <row r="209" spans="1:39" ht="14.4">
      <c r="A209" s="1153" t="str">
        <f>VLOOKUP('Cash Balance'!$C209,Table2[#All],MATCH('Cash Balance'!A$3,Acc_Char!$B$1:$I$1,0),0)</f>
        <v>BWID THOI HOA 2</v>
      </c>
      <c r="B209" s="1154" t="str">
        <f>VLOOKUP('Cash Balance'!$C209,Table2[#All],MATCH('Cash Balance'!B$3,Acc_Char!$B$1:$I$1,0),0)</f>
        <v>VIETINBANK - TIEN SON</v>
      </c>
      <c r="C209" s="301" t="s">
        <v>760</v>
      </c>
      <c r="D209" s="1156" t="str">
        <f>VLOOKUP('Cash Balance'!$C209,Table2[#All],MATCH('Cash Balance'!D$3,Acc_Char!$B$1:$I$1,0),0)</f>
        <v>Current Account</v>
      </c>
      <c r="E209" s="384" t="str">
        <f>VLOOKUP('Cash Balance'!$C209,Table2[#All],MATCH('Cash Balance'!E$3,Acc_Char!$B$1:$I$1,0),0)</f>
        <v>VND</v>
      </c>
      <c r="F209" s="1094"/>
      <c r="G209" s="1157"/>
      <c r="H209" s="1318">
        <f>SUMIFS('Cash balance (Prior period)'!F:F,'Cash balance (Prior period)'!C:C,Table11[[#This Row],[ACCOUNT NUMBER]],'Cash balance (Prior period)'!E:E,Table11[[#This Row],[CURRENCY]])</f>
        <v>62758562</v>
      </c>
      <c r="I209" s="1318">
        <f>SUMIFS(Movement!$F$4:$F$2136,Movement!$M$4:$M$2136,"VND",Movement!$C$4:$C$2136,Table11[[#This Row],[ACCOUNT NUMBER]],Movement!$J$4:$J$2136,Table11[[#This Row],[ENTITY]],Movement!$O$4:$O$2136,'Cash Balance'!$A$2)</f>
        <v>0</v>
      </c>
      <c r="J209" s="1318">
        <f>SUMIFS(Movement!$G$4:$G$2136,Movement!$M$4:$M$2136,"VND",Movement!$C$4:$C$2136,Table11[[#This Row],[ACCOUNT NUMBER]],Movement!$J$4:$J$2136,Table11[[#This Row],[ENTITY]],Movement!$O$4:$O$2136,'Cash Balance'!$A$2)</f>
        <v>0</v>
      </c>
      <c r="K209" s="1084">
        <f>Table11[[#This Row],[CASH IN - CREDIT (VND)]]-Table11[[#This Row],[CASH OUT - DEBIT (VND)]]</f>
        <v>0</v>
      </c>
      <c r="L209" s="1095">
        <f t="shared" si="22"/>
        <v>62758562</v>
      </c>
      <c r="M209" s="1184" t="e">
        <f>VLOOKUP(C209,'Cash balance (BS)'!A:D,4,)</f>
        <v>#N/A</v>
      </c>
      <c r="N209" s="1095" t="e">
        <f>Table11[[#This Row],[CLOSING BALANCE (VND)2]]-Table11[[#This Row],[CB_BS (VND)]]</f>
        <v>#N/A</v>
      </c>
      <c r="O209" s="1094">
        <v>0</v>
      </c>
      <c r="P209" s="1095">
        <f t="shared" si="23"/>
        <v>0</v>
      </c>
      <c r="Q209" s="817">
        <f>SUMIFS('Cash balance (Prior period)'!G:G,'Cash balance (Prior period)'!C:C,Table11[[#This Row],[ACCOUNT NUMBER]],'Cash balance (Prior period)'!E:E,Table11[[#This Row],[CURRENCY]])</f>
        <v>0</v>
      </c>
      <c r="R209" s="817">
        <f>SUMIFS(Movement!$F$4:$F$2136,Movement!$M$4:$M$2136,"USD",Movement!$C$4:$C$2136,Table11[[#This Row],[ACCOUNT NUMBER]],Movement!$J$4:$J$2136,Table11[[#This Row],[ENTITY]],Movement!$O$4:$O$2136,'Cash Balance'!$A$2)</f>
        <v>0</v>
      </c>
      <c r="S209" s="817">
        <f>SUMIFS(Movement!$G$4:$G$2136,Movement!$M$4:$M$2136,"USD",Movement!$C$4:$C$2136,Table11[[#This Row],[ACCOUNT NUMBER]],Movement!$J$4:$J$2136,Table11[[#This Row],[ENTITY]],Movement!$O$4:$O$2136,'Cash Balance'!$A$2)</f>
        <v>0</v>
      </c>
      <c r="T209" s="1087">
        <f t="shared" si="24"/>
        <v>0</v>
      </c>
      <c r="U209" s="817" t="e">
        <f>VLOOKUP(C209,'Cash balance (BS)'!A:D,4,)</f>
        <v>#N/A</v>
      </c>
      <c r="V209" s="817" t="e">
        <f>Table11[[#This Row],[CLOSING BALANCE (USD)]]-Table11[[#This Row],[CB_BS (USD)]]</f>
        <v>#N/A</v>
      </c>
      <c r="W209" s="1156" t="str">
        <f>VLOOKUP('Cash Balance'!$C209,Table2[#All],MATCH('Cash Balance'!W$3,Acc_Char!$B$1:$I$1,0),0)</f>
        <v>Subsidiaries</v>
      </c>
      <c r="X209" s="1156" t="str">
        <f>VLOOKUP(IFERROR(MID($Y209,1,FIND("-",$Y209)-2),$Y209),Table3[#All],2,0)</f>
        <v>VTB</v>
      </c>
      <c r="Y209" s="1156" t="str">
        <f>VLOOKUP($B209,Table4[#All],2,0)</f>
        <v>VIETINBANK - TIEN SON</v>
      </c>
      <c r="Z209" s="1151"/>
      <c r="AA209" s="49"/>
      <c r="AE209" s="818">
        <f>SUM(Table11[[#This Row],[CASH IN - CREDIT (VND)]],Table11[[#This Row],[CASH IN - CREDIT (USD)]])</f>
        <v>0</v>
      </c>
      <c r="AF209" s="818">
        <f>Table11[[#This Row],[CASH OUT - DEBIT (VND)]]+Table11[[#This Row],[CASH OUT - DEBIT (USD)]]</f>
        <v>0</v>
      </c>
      <c r="AH209" s="1158"/>
      <c r="AI209" s="49"/>
      <c r="AJ209" s="1158"/>
      <c r="AL209"/>
      <c r="AM209"/>
    </row>
    <row r="210" spans="1:39" ht="14.4">
      <c r="A210" s="1153" t="str">
        <f>VLOOKUP('Cash Balance'!$C210,Table2[#All],MATCH('Cash Balance'!A$3,Acc_Char!$B$1:$I$1,0),0)</f>
        <v>THUAN THANH 3B</v>
      </c>
      <c r="B210" s="1154" t="str">
        <f>VLOOKUP('Cash Balance'!$C210,Table2[#All],MATCH('Cash Balance'!B$3,Acc_Char!$B$1:$I$1,0),0)</f>
        <v>VIETCOMBANK - BA DINH</v>
      </c>
      <c r="C210" s="1185" t="s">
        <v>762</v>
      </c>
      <c r="D210" s="1156" t="str">
        <f>VLOOKUP('Cash Balance'!$C210,Table2[#All],MATCH('Cash Balance'!D$3,Acc_Char!$B$1:$I$1,0),0)</f>
        <v>Current Account</v>
      </c>
      <c r="E210" s="384" t="str">
        <f>VLOOKUP('Cash Balance'!$C210,Table2[#All],MATCH('Cash Balance'!E$3,Acc_Char!$B$1:$I$1,0),0)</f>
        <v>VND</v>
      </c>
      <c r="F210" s="1094" t="e">
        <f>VLOOKUP(C210,'Cash balance (BS)'!A:C,3,)</f>
        <v>#N/A</v>
      </c>
      <c r="G210" s="1157" t="e">
        <f>F210-H210</f>
        <v>#N/A</v>
      </c>
      <c r="H210" s="1318">
        <f>SUMIFS('Cash balance (Prior period)'!F:F,'Cash balance (Prior period)'!C:C,Table11[[#This Row],[ACCOUNT NUMBER]],'Cash balance (Prior period)'!E:E,Table11[[#This Row],[CURRENCY]])</f>
        <v>2364678264</v>
      </c>
      <c r="I210" s="1318">
        <f>SUMIFS(Movement!$F$4:$F$2136,Movement!$M$4:$M$2136,"VND",Movement!$C$4:$C$2136,Table11[[#This Row],[ACCOUNT NUMBER]],Movement!$J$4:$J$2136,Table11[[#This Row],[ENTITY]],Movement!$O$4:$O$2136,'Cash Balance'!$A$2)</f>
        <v>10785559694</v>
      </c>
      <c r="J210" s="1318">
        <f>SUMIFS(Movement!$G$4:$G$2136,Movement!$M$4:$M$2136,"VND",Movement!$C$4:$C$2136,Table11[[#This Row],[ACCOUNT NUMBER]],Movement!$J$4:$J$2136,Table11[[#This Row],[ENTITY]],Movement!$O$4:$O$2136,'Cash Balance'!$A$2)</f>
        <v>307202209</v>
      </c>
      <c r="K210" s="1084">
        <f>Table11[[#This Row],[CASH IN - CREDIT (VND)]]-Table11[[#This Row],[CASH OUT - DEBIT (VND)]]</f>
        <v>10478357485</v>
      </c>
      <c r="L210" s="1095">
        <f t="shared" si="22"/>
        <v>12843035749</v>
      </c>
      <c r="M210" s="1184" t="e">
        <f>VLOOKUP(C210,'Cash balance (BS)'!A:D,4,)</f>
        <v>#N/A</v>
      </c>
      <c r="N210" s="1095" t="e">
        <f>Table11[[#This Row],[CLOSING BALANCE (VND)2]]-Table11[[#This Row],[CB_BS (VND)]]</f>
        <v>#N/A</v>
      </c>
      <c r="O210" s="1094">
        <v>0</v>
      </c>
      <c r="P210" s="1095">
        <f t="shared" si="23"/>
        <v>0</v>
      </c>
      <c r="Q210" s="817">
        <f>SUMIFS('Cash balance (Prior period)'!G:G,'Cash balance (Prior period)'!C:C,Table11[[#This Row],[ACCOUNT NUMBER]],'Cash balance (Prior period)'!E:E,Table11[[#This Row],[CURRENCY]])</f>
        <v>0</v>
      </c>
      <c r="R210" s="817">
        <f>SUMIFS(Movement!$F$4:$F$2136,Movement!$M$4:$M$2136,"USD",Movement!$C$4:$C$2136,Table11[[#This Row],[ACCOUNT NUMBER]],Movement!$J$4:$J$2136,Table11[[#This Row],[ENTITY]],Movement!$O$4:$O$2136,'Cash Balance'!$A$2)</f>
        <v>0</v>
      </c>
      <c r="S210" s="817">
        <f>SUMIFS(Movement!$G$4:$G$2136,Movement!$M$4:$M$2136,"USD",Movement!$C$4:$C$2136,Table11[[#This Row],[ACCOUNT NUMBER]],Movement!$J$4:$J$2136,Table11[[#This Row],[ENTITY]],Movement!$O$4:$O$2136,'Cash Balance'!$A$2)</f>
        <v>0</v>
      </c>
      <c r="T210" s="1087">
        <f t="shared" si="24"/>
        <v>0</v>
      </c>
      <c r="U210" s="817"/>
      <c r="V210" s="817">
        <f>Table11[[#This Row],[CLOSING BALANCE (USD)]]-Table11[[#This Row],[CB_BS (USD)]]</f>
        <v>0</v>
      </c>
      <c r="W210" s="1156" t="str">
        <f>VLOOKUP('Cash Balance'!$C210,Table2[#All],MATCH('Cash Balance'!W$3,Acc_Char!$B$1:$I$1,0),0)</f>
        <v>Subsidiaries</v>
      </c>
      <c r="X210" s="1156" t="str">
        <f>VLOOKUP(IFERROR(MID($Y210,1,FIND("-",$Y210)-2),$Y210),Table3[#All],2,0)</f>
        <v>VCB</v>
      </c>
      <c r="Y210" s="1156" t="str">
        <f>VLOOKUP($B210,Table4[#All],2,0)</f>
        <v>VIETCOMBANK - BA DINH</v>
      </c>
      <c r="Z210" s="1151"/>
      <c r="AA210" s="49"/>
      <c r="AE210" s="818">
        <f>SUM(Table11[[#This Row],[CASH IN - CREDIT (VND)]],Table11[[#This Row],[CASH IN - CREDIT (USD)]])</f>
        <v>10785559694</v>
      </c>
      <c r="AF210" s="818">
        <f>Table11[[#This Row],[CASH OUT - DEBIT (VND)]]+Table11[[#This Row],[CASH OUT - DEBIT (USD)]]</f>
        <v>307202209</v>
      </c>
      <c r="AH210" s="1158"/>
      <c r="AI210" s="49"/>
      <c r="AJ210" s="1158"/>
      <c r="AL210"/>
      <c r="AM210"/>
    </row>
    <row r="211" spans="1:39" ht="14.4">
      <c r="A211" s="1153" t="str">
        <f>VLOOKUP('Cash Balance'!$C211,Table2[#All],MATCH('Cash Balance'!A$3,Acc_Char!$B$1:$I$1,0),0)</f>
        <v>BWID BINH DUONG</v>
      </c>
      <c r="B211" s="1154" t="str">
        <f>VLOOKUP('Cash Balance'!$C211,Table2[#All],MATCH('Cash Balance'!B$3,Acc_Char!$B$1:$I$1,0),0)</f>
        <v>VIETINBANK - CN1</v>
      </c>
      <c r="C211" s="1185" t="s">
        <v>763</v>
      </c>
      <c r="D211" s="1156" t="str">
        <f>VLOOKUP('Cash Balance'!$C211,Table2[#All],MATCH('Cash Balance'!D$3,Acc_Char!$B$1:$I$1,0),0)</f>
        <v>Current Account</v>
      </c>
      <c r="E211" s="384" t="str">
        <f>VLOOKUP('Cash Balance'!$C211,Table2[#All],MATCH('Cash Balance'!E$3,Acc_Char!$B$1:$I$1,0),0)</f>
        <v>USD</v>
      </c>
      <c r="F211" s="1094" t="e">
        <f>VLOOKUP(C211,'Cash balance (BS)'!A:C,3,)</f>
        <v>#N/A</v>
      </c>
      <c r="G211" s="1157" t="e">
        <f>F211-H211</f>
        <v>#N/A</v>
      </c>
      <c r="H211" s="1318">
        <f>SUMIFS('Cash balance (Prior period)'!F:F,'Cash balance (Prior period)'!C:C,Table11[[#This Row],[ACCOUNT NUMBER]],'Cash balance (Prior period)'!E:E,Table11[[#This Row],[CURRENCY]])</f>
        <v>0</v>
      </c>
      <c r="I211" s="1318">
        <f>SUMIFS(Movement!$F$4:$F$2136,Movement!$M$4:$M$2136,"VND",Movement!$C$4:$C$2136,Table11[[#This Row],[ACCOUNT NUMBER]],Movement!$J$4:$J$2136,Table11[[#This Row],[ENTITY]],Movement!$O$4:$O$2136,'Cash Balance'!$A$2)</f>
        <v>0</v>
      </c>
      <c r="J211" s="1318">
        <f>SUMIFS(Movement!$G$4:$G$2136,Movement!$M$4:$M$2136,"VND",Movement!$C$4:$C$2136,Table11[[#This Row],[ACCOUNT NUMBER]],Movement!$J$4:$J$2136,Table11[[#This Row],[ENTITY]],Movement!$O$4:$O$2136,'Cash Balance'!$A$2)</f>
        <v>0</v>
      </c>
      <c r="K211" s="1084">
        <f>Table11[[#This Row],[CASH IN - CREDIT (VND)]]-Table11[[#This Row],[CASH OUT - DEBIT (VND)]]</f>
        <v>0</v>
      </c>
      <c r="L211" s="1095">
        <f t="shared" si="22"/>
        <v>0</v>
      </c>
      <c r="M211" s="1184" t="e">
        <f>VLOOKUP(C211,'Cash balance (BS)'!A:D,4,)</f>
        <v>#N/A</v>
      </c>
      <c r="N211" s="1095" t="e">
        <f>Table11[[#This Row],[CLOSING BALANCE (VND)2]]-Table11[[#This Row],[CB_BS (VND)]]</f>
        <v>#N/A</v>
      </c>
      <c r="O211" s="1094">
        <v>0</v>
      </c>
      <c r="P211" s="1095">
        <f t="shared" si="23"/>
        <v>-748.33</v>
      </c>
      <c r="Q211" s="817">
        <f>SUMIFS('Cash balance (Prior period)'!G:G,'Cash balance (Prior period)'!C:C,Table11[[#This Row],[ACCOUNT NUMBER]],'Cash balance (Prior period)'!E:E,Table11[[#This Row],[CURRENCY]])</f>
        <v>748.33</v>
      </c>
      <c r="R211" s="817">
        <f>SUMIFS(Movement!$F$4:$F$2136,Movement!$M$4:$M$2136,"USD",Movement!$C$4:$C$2136,Table11[[#This Row],[ACCOUNT NUMBER]],Movement!$J$4:$J$2136,Table11[[#This Row],[ENTITY]],Movement!$O$4:$O$2136,'Cash Balance'!$A$2)</f>
        <v>0</v>
      </c>
      <c r="S211" s="817">
        <f>SUMIFS(Movement!$G$4:$G$2136,Movement!$M$4:$M$2136,"USD",Movement!$C$4:$C$2136,Table11[[#This Row],[ACCOUNT NUMBER]],Movement!$J$4:$J$2136,Table11[[#This Row],[ENTITY]],Movement!$O$4:$O$2136,'Cash Balance'!$A$2)</f>
        <v>0</v>
      </c>
      <c r="T211" s="1087">
        <f t="shared" si="24"/>
        <v>748.33</v>
      </c>
      <c r="U211" s="817"/>
      <c r="V211" s="817">
        <f>Table11[[#This Row],[CLOSING BALANCE (USD)]]-Table11[[#This Row],[CB_BS (USD)]]</f>
        <v>748.33</v>
      </c>
      <c r="W211" s="1156" t="str">
        <f>VLOOKUP('Cash Balance'!$C211,Table2[#All],MATCH('Cash Balance'!W$3,Acc_Char!$B$1:$I$1,0),0)</f>
        <v>BWID JSC</v>
      </c>
      <c r="X211" s="1156" t="str">
        <f>VLOOKUP(IFERROR(MID($Y211,1,FIND("-",$Y211)-2),$Y211),Table3[#All],2,0)</f>
        <v>VTB</v>
      </c>
      <c r="Y211" s="1156" t="str">
        <f>VLOOKUP($B211,Table4[#All],2,0)</f>
        <v>VIETINBANK - CN1</v>
      </c>
      <c r="Z211" s="1151"/>
      <c r="AA211" s="49"/>
      <c r="AE211" s="818">
        <f>SUM(Table11[[#This Row],[CASH IN - CREDIT (VND)]],Table11[[#This Row],[CASH IN - CREDIT (USD)]])</f>
        <v>0</v>
      </c>
      <c r="AF211" s="818">
        <f>Table11[[#This Row],[CASH OUT - DEBIT (VND)]]+Table11[[#This Row],[CASH OUT - DEBIT (USD)]]</f>
        <v>0</v>
      </c>
      <c r="AH211" s="1158"/>
      <c r="AI211" s="49"/>
      <c r="AJ211" s="1158"/>
      <c r="AL211"/>
      <c r="AM211"/>
    </row>
    <row r="212" spans="1:39" ht="14.4">
      <c r="A212" s="1153" t="str">
        <f>VLOOKUP('Cash Balance'!$C212,Table2[#All],MATCH('Cash Balance'!A$3,Acc_Char!$B$1:$I$1,0),0)</f>
        <v>BWID BINH DUONG</v>
      </c>
      <c r="B212" s="1154" t="str">
        <f>VLOOKUP('Cash Balance'!$C212,Table2[#All],MATCH('Cash Balance'!B$3,Acc_Char!$B$1:$I$1,0),0)</f>
        <v>VIETINBANK - DONG SAI GON</v>
      </c>
      <c r="C212" s="1185" t="s">
        <v>764</v>
      </c>
      <c r="D212" s="1156" t="str">
        <f>VLOOKUP('Cash Balance'!$C212,Table2[#All],MATCH('Cash Balance'!D$3,Acc_Char!$B$1:$I$1,0),0)</f>
        <v>Current Account</v>
      </c>
      <c r="E212" s="384" t="str">
        <f>VLOOKUP('Cash Balance'!$C212,Table2[#All],MATCH('Cash Balance'!E$3,Acc_Char!$B$1:$I$1,0),0)</f>
        <v>USD</v>
      </c>
      <c r="F212" s="1094"/>
      <c r="G212" s="1157"/>
      <c r="H212" s="1318">
        <f>SUMIFS('Cash balance (Prior period)'!F:F,'Cash balance (Prior period)'!C:C,Table11[[#This Row],[ACCOUNT NUMBER]],'Cash balance (Prior period)'!E:E,Table11[[#This Row],[CURRENCY]])</f>
        <v>0</v>
      </c>
      <c r="I212" s="1318">
        <f>SUMIFS(Movement!$F$4:$F$2136,Movement!$M$4:$M$2136,"VND",Movement!$C$4:$C$2136,Table11[[#This Row],[ACCOUNT NUMBER]],Movement!$J$4:$J$2136,Table11[[#This Row],[ENTITY]],Movement!$O$4:$O$2136,'Cash Balance'!$A$2)</f>
        <v>0</v>
      </c>
      <c r="J212" s="1318">
        <f>SUMIFS(Movement!$G$4:$G$2136,Movement!$M$4:$M$2136,"VND",Movement!$C$4:$C$2136,Table11[[#This Row],[ACCOUNT NUMBER]],Movement!$J$4:$J$2136,Table11[[#This Row],[ENTITY]],Movement!$O$4:$O$2136,'Cash Balance'!$A$2)</f>
        <v>0</v>
      </c>
      <c r="K212" s="1084">
        <f>Table11[[#This Row],[CASH IN - CREDIT (VND)]]-Table11[[#This Row],[CASH OUT - DEBIT (VND)]]</f>
        <v>0</v>
      </c>
      <c r="L212" s="1095">
        <f t="shared" si="22"/>
        <v>0</v>
      </c>
      <c r="M212" s="1184" t="e">
        <f>VLOOKUP(C212,'Cash balance (BS)'!A:D,4,)</f>
        <v>#N/A</v>
      </c>
      <c r="N212" s="1095" t="e">
        <f>Table11[[#This Row],[CLOSING BALANCE (VND)2]]-Table11[[#This Row],[CB_BS (VND)]]</f>
        <v>#N/A</v>
      </c>
      <c r="O212" s="1094">
        <v>0</v>
      </c>
      <c r="P212" s="1095">
        <f t="shared" si="23"/>
        <v>-769</v>
      </c>
      <c r="Q212" s="817">
        <f>SUMIFS('Cash balance (Prior period)'!G:G,'Cash balance (Prior period)'!C:C,Table11[[#This Row],[ACCOUNT NUMBER]],'Cash balance (Prior period)'!E:E,Table11[[#This Row],[CURRENCY]])</f>
        <v>769</v>
      </c>
      <c r="R212" s="817">
        <f>SUMIFS(Movement!$F$4:$F$2136,Movement!$M$4:$M$2136,"USD",Movement!$C$4:$C$2136,Table11[[#This Row],[ACCOUNT NUMBER]],Movement!$J$4:$J$2136,Table11[[#This Row],[ENTITY]],Movement!$O$4:$O$2136,'Cash Balance'!$A$2)</f>
        <v>0</v>
      </c>
      <c r="S212" s="817">
        <f>SUMIFS(Movement!$G$4:$G$2136,Movement!$M$4:$M$2136,"USD",Movement!$C$4:$C$2136,Table11[[#This Row],[ACCOUNT NUMBER]],Movement!$J$4:$J$2136,Table11[[#This Row],[ENTITY]],Movement!$O$4:$O$2136,'Cash Balance'!$A$2)</f>
        <v>0</v>
      </c>
      <c r="T212" s="1087">
        <f t="shared" si="24"/>
        <v>769</v>
      </c>
      <c r="U212" s="817" t="e">
        <f>VLOOKUP(C212,'Cash balance (BS)'!A:D,4,)</f>
        <v>#N/A</v>
      </c>
      <c r="V212" s="817" t="e">
        <f>Table11[[#This Row],[CLOSING BALANCE (USD)]]-Table11[[#This Row],[CB_BS (USD)]]</f>
        <v>#N/A</v>
      </c>
      <c r="W212" s="1156" t="str">
        <f>VLOOKUP('Cash Balance'!$C212,Table2[#All],MATCH('Cash Balance'!W$3,Acc_Char!$B$1:$I$1,0),0)</f>
        <v>BWID JSC</v>
      </c>
      <c r="X212" s="1156" t="str">
        <f>VLOOKUP(IFERROR(MID($Y212,1,FIND("-",$Y212)-2),$Y212),Table3[#All],2,0)</f>
        <v>VTB</v>
      </c>
      <c r="Y212" s="1156" t="str">
        <f>VLOOKUP($B212,Table4[#All],2,0)</f>
        <v>VIETINBANK - DONG SAI GON</v>
      </c>
      <c r="Z212" s="1151"/>
      <c r="AA212" s="49"/>
      <c r="AE212" s="818">
        <f>SUM(Table11[[#This Row],[CASH IN - CREDIT (VND)]],Table11[[#This Row],[CASH IN - CREDIT (USD)]])</f>
        <v>0</v>
      </c>
      <c r="AF212" s="818">
        <f>Table11[[#This Row],[CASH OUT - DEBIT (VND)]]+Table11[[#This Row],[CASH OUT - DEBIT (USD)]]</f>
        <v>0</v>
      </c>
      <c r="AH212" s="1158"/>
      <c r="AI212" s="49"/>
      <c r="AJ212" s="1158"/>
      <c r="AL212"/>
      <c r="AM212"/>
    </row>
    <row r="213" spans="1:39" ht="14.4">
      <c r="A213" s="1153" t="str">
        <f>VLOOKUP('Cash Balance'!$C213,Table2[#All],MATCH('Cash Balance'!A$3,Acc_Char!$B$1:$I$1,0),0)</f>
        <v>SAO HOA</v>
      </c>
      <c r="B213" s="1154" t="str">
        <f>VLOOKUP('Cash Balance'!$C213,Table2[#All],MATCH('Cash Balance'!B$3,Acc_Char!$B$1:$I$1,0),0)</f>
        <v>VIETINBANK - DONG SAI GON</v>
      </c>
      <c r="C213" s="1185" t="s">
        <v>765</v>
      </c>
      <c r="D213" s="1156" t="str">
        <f>VLOOKUP('Cash Balance'!$C213,Table2[#All],MATCH('Cash Balance'!D$3,Acc_Char!$B$1:$I$1,0),0)</f>
        <v>Current Account</v>
      </c>
      <c r="E213" s="384" t="str">
        <f>VLOOKUP('Cash Balance'!$C213,Table2[#All],MATCH('Cash Balance'!E$3,Acc_Char!$B$1:$I$1,0),0)</f>
        <v>USD</v>
      </c>
      <c r="F213" s="1094" t="e">
        <f>VLOOKUP(C213,'Cash balance (BS)'!A:C,3,)</f>
        <v>#N/A</v>
      </c>
      <c r="G213" s="1157" t="e">
        <f>F213-H213</f>
        <v>#N/A</v>
      </c>
      <c r="H213" s="1318">
        <f>SUMIFS('Cash balance (Prior period)'!F:F,'Cash balance (Prior period)'!C:C,Table11[[#This Row],[ACCOUNT NUMBER]],'Cash balance (Prior period)'!E:E,Table11[[#This Row],[CURRENCY]])</f>
        <v>0</v>
      </c>
      <c r="I213" s="1318">
        <f>SUMIFS(Movement!$F$4:$F$2136,Movement!$M$4:$M$2136,"VND",Movement!$C$4:$C$2136,Table11[[#This Row],[ACCOUNT NUMBER]],Movement!$J$4:$J$2136,Table11[[#This Row],[ENTITY]],Movement!$O$4:$O$2136,'Cash Balance'!$A$2)</f>
        <v>0</v>
      </c>
      <c r="J213" s="1318">
        <f>SUMIFS(Movement!$G$4:$G$2136,Movement!$M$4:$M$2136,"VND",Movement!$C$4:$C$2136,Table11[[#This Row],[ACCOUNT NUMBER]],Movement!$J$4:$J$2136,Table11[[#This Row],[ENTITY]],Movement!$O$4:$O$2136,'Cash Balance'!$A$2)</f>
        <v>0</v>
      </c>
      <c r="K213" s="1084">
        <f>Table11[[#This Row],[CASH IN - CREDIT (VND)]]-Table11[[#This Row],[CASH OUT - DEBIT (VND)]]</f>
        <v>0</v>
      </c>
      <c r="L213" s="1095">
        <f t="shared" si="22"/>
        <v>0</v>
      </c>
      <c r="M213" s="1184" t="e">
        <f>VLOOKUP(C213,'Cash balance (BS)'!A:D,4,)</f>
        <v>#N/A</v>
      </c>
      <c r="N213" s="1095" t="e">
        <f>Table11[[#This Row],[CLOSING BALANCE (VND)2]]-Table11[[#This Row],[CB_BS (VND)]]</f>
        <v>#N/A</v>
      </c>
      <c r="O213" s="1094">
        <v>0</v>
      </c>
      <c r="P213" s="1095">
        <f t="shared" si="23"/>
        <v>0</v>
      </c>
      <c r="Q213" s="817">
        <f>SUMIFS('Cash balance (Prior period)'!G:G,'Cash balance (Prior period)'!C:C,Table11[[#This Row],[ACCOUNT NUMBER]],'Cash balance (Prior period)'!E:E,Table11[[#This Row],[CURRENCY]])</f>
        <v>0</v>
      </c>
      <c r="R213" s="817">
        <f>SUMIFS(Movement!$F$4:$F$2136,Movement!$M$4:$M$2136,"USD",Movement!$C$4:$C$2136,Table11[[#This Row],[ACCOUNT NUMBER]],Movement!$J$4:$J$2136,Table11[[#This Row],[ENTITY]],Movement!$O$4:$O$2136,'Cash Balance'!$A$2)</f>
        <v>0</v>
      </c>
      <c r="S213" s="817">
        <f>SUMIFS(Movement!$G$4:$G$2136,Movement!$M$4:$M$2136,"USD",Movement!$C$4:$C$2136,Table11[[#This Row],[ACCOUNT NUMBER]],Movement!$J$4:$J$2136,Table11[[#This Row],[ENTITY]],Movement!$O$4:$O$2136,'Cash Balance'!$A$2)</f>
        <v>0</v>
      </c>
      <c r="T213" s="1087">
        <f t="shared" si="24"/>
        <v>0</v>
      </c>
      <c r="U213" s="817"/>
      <c r="V213" s="817">
        <f>Table11[[#This Row],[CLOSING BALANCE (USD)]]-Table11[[#This Row],[CB_BS (USD)]]</f>
        <v>0</v>
      </c>
      <c r="W213" s="1156" t="str">
        <f>VLOOKUP('Cash Balance'!$C213,Table2[#All],MATCH('Cash Balance'!W$3,Acc_Char!$B$1:$I$1,0),0)</f>
        <v>VC3</v>
      </c>
      <c r="X213" s="1156" t="str">
        <f>VLOOKUP(IFERROR(MID($Y213,1,FIND("-",$Y213)-2),$Y213),Table3[#All],2,0)</f>
        <v>VTB</v>
      </c>
      <c r="Y213" s="1156" t="str">
        <f>VLOOKUP($B213,Table4[#All],2,0)</f>
        <v>VIETINBANK - DONG SAI GON</v>
      </c>
      <c r="Z213" s="1151"/>
      <c r="AA213" s="49"/>
      <c r="AE213" s="818">
        <f>SUM(Table11[[#This Row],[CASH IN - CREDIT (VND)]],Table11[[#This Row],[CASH IN - CREDIT (USD)]])</f>
        <v>0</v>
      </c>
      <c r="AF213" s="818">
        <f>Table11[[#This Row],[CASH OUT - DEBIT (VND)]]+Table11[[#This Row],[CASH OUT - DEBIT (USD)]]</f>
        <v>0</v>
      </c>
      <c r="AH213" s="1158"/>
      <c r="AI213" s="49"/>
      <c r="AJ213" s="1158"/>
      <c r="AL213"/>
      <c r="AM213"/>
    </row>
    <row r="214" spans="1:39" ht="14.4">
      <c r="A214" s="1153" t="str">
        <f>VLOOKUP('Cash Balance'!$C214,Table2[#All],MATCH('Cash Balance'!A$3,Acc_Char!$B$1:$I$1,0),0)</f>
        <v>BWID Tan Phu Trung</v>
      </c>
      <c r="B214" s="1154" t="str">
        <f>VLOOKUP('Cash Balance'!$C214,Table2[#All],MATCH('Cash Balance'!B$3,Acc_Char!$B$1:$I$1,0),0)</f>
        <v>VIETINBANK - TIEN SON</v>
      </c>
      <c r="C214" s="1185" t="s">
        <v>766</v>
      </c>
      <c r="D214" s="1156" t="str">
        <f>VLOOKUP('Cash Balance'!$C214,Table2[#All],MATCH('Cash Balance'!D$3,Acc_Char!$B$1:$I$1,0),0)</f>
        <v>Current Account</v>
      </c>
      <c r="E214" s="384" t="str">
        <f>VLOOKUP('Cash Balance'!$C214,Table2[#All],MATCH('Cash Balance'!E$3,Acc_Char!$B$1:$I$1,0),0)</f>
        <v>VND</v>
      </c>
      <c r="F214" s="1094"/>
      <c r="G214" s="1157"/>
      <c r="H214" s="1318">
        <f>SUMIFS('Cash balance (Prior period)'!F:F,'Cash balance (Prior period)'!C:C,Table11[[#This Row],[ACCOUNT NUMBER]],'Cash balance (Prior period)'!E:E,Table11[[#This Row],[CURRENCY]])</f>
        <v>2567083</v>
      </c>
      <c r="I214" s="1318">
        <f>SUMIFS(Movement!$F$4:$F$2136,Movement!$M$4:$M$2136,"VND",Movement!$C$4:$C$2136,Table11[[#This Row],[ACCOUNT NUMBER]],Movement!$J$4:$J$2136,Table11[[#This Row],[ENTITY]],Movement!$O$4:$O$2136,'Cash Balance'!$A$2)</f>
        <v>0</v>
      </c>
      <c r="J214" s="1318">
        <f>SUMIFS(Movement!$G$4:$G$2136,Movement!$M$4:$M$2136,"VND",Movement!$C$4:$C$2136,Table11[[#This Row],[ACCOUNT NUMBER]],Movement!$J$4:$J$2136,Table11[[#This Row],[ENTITY]],Movement!$O$4:$O$2136,'Cash Balance'!$A$2)</f>
        <v>0</v>
      </c>
      <c r="K214" s="1084">
        <f>Table11[[#This Row],[CASH IN - CREDIT (VND)]]-Table11[[#This Row],[CASH OUT - DEBIT (VND)]]</f>
        <v>0</v>
      </c>
      <c r="L214" s="1095">
        <f t="shared" si="22"/>
        <v>2567083</v>
      </c>
      <c r="M214" s="1184" t="e">
        <f>VLOOKUP(C214,'Cash balance (BS)'!A:D,4,)</f>
        <v>#N/A</v>
      </c>
      <c r="N214" s="1095" t="e">
        <f>Table11[[#This Row],[CLOSING BALANCE (VND)2]]-Table11[[#This Row],[CB_BS (VND)]]</f>
        <v>#N/A</v>
      </c>
      <c r="O214" s="1094">
        <v>0</v>
      </c>
      <c r="P214" s="1095">
        <f t="shared" si="23"/>
        <v>0</v>
      </c>
      <c r="Q214" s="817">
        <f>SUMIFS('Cash balance (Prior period)'!G:G,'Cash balance (Prior period)'!C:C,Table11[[#This Row],[ACCOUNT NUMBER]],'Cash balance (Prior period)'!E:E,Table11[[#This Row],[CURRENCY]])</f>
        <v>0</v>
      </c>
      <c r="R214" s="817">
        <f>SUMIFS(Movement!$F$4:$F$2136,Movement!$M$4:$M$2136,"USD",Movement!$C$4:$C$2136,Table11[[#This Row],[ACCOUNT NUMBER]],Movement!$J$4:$J$2136,Table11[[#This Row],[ENTITY]],Movement!$O$4:$O$2136,'Cash Balance'!$A$2)</f>
        <v>0</v>
      </c>
      <c r="S214" s="817">
        <f>SUMIFS(Movement!$G$4:$G$2136,Movement!$M$4:$M$2136,"USD",Movement!$C$4:$C$2136,Table11[[#This Row],[ACCOUNT NUMBER]],Movement!$J$4:$J$2136,Table11[[#This Row],[ENTITY]],Movement!$O$4:$O$2136,'Cash Balance'!$A$2)</f>
        <v>0</v>
      </c>
      <c r="T214" s="1087">
        <f t="shared" si="24"/>
        <v>0</v>
      </c>
      <c r="U214" s="817" t="e">
        <f>VLOOKUP(C214,'Cash balance (BS)'!A:D,4,)</f>
        <v>#N/A</v>
      </c>
      <c r="V214" s="817" t="e">
        <f>Table11[[#This Row],[CLOSING BALANCE (USD)]]-Table11[[#This Row],[CB_BS (USD)]]</f>
        <v>#N/A</v>
      </c>
      <c r="W214" s="1156" t="str">
        <f>VLOOKUP('Cash Balance'!$C214,Table2[#All],MATCH('Cash Balance'!W$3,Acc_Char!$B$1:$I$1,0),0)</f>
        <v>Subsidiaries</v>
      </c>
      <c r="X214" s="1156" t="str">
        <f>VLOOKUP(IFERROR(MID($Y214,1,FIND("-",$Y214)-2),$Y214),Table3[#All],2,0)</f>
        <v>VTB</v>
      </c>
      <c r="Y214" s="1156" t="str">
        <f>VLOOKUP($B214,Table4[#All],2,0)</f>
        <v>VIETINBANK - TIEN SON</v>
      </c>
      <c r="Z214" s="1151"/>
      <c r="AA214" s="49"/>
      <c r="AE214" s="818">
        <f>SUM(Table11[[#This Row],[CASH IN - CREDIT (VND)]],Table11[[#This Row],[CASH IN - CREDIT (USD)]])</f>
        <v>0</v>
      </c>
      <c r="AF214" s="818">
        <f>Table11[[#This Row],[CASH OUT - DEBIT (VND)]]+Table11[[#This Row],[CASH OUT - DEBIT (USD)]]</f>
        <v>0</v>
      </c>
      <c r="AH214" s="1158"/>
      <c r="AI214" s="49"/>
      <c r="AJ214" s="1158"/>
      <c r="AL214"/>
      <c r="AM214"/>
    </row>
    <row r="215" spans="1:39" ht="14.4">
      <c r="A215" s="1153" t="str">
        <f>VLOOKUP('Cash Balance'!$C215,Table2[#All],MATCH('Cash Balance'!A$3,Acc_Char!$B$1:$I$1,0),0)</f>
        <v>BW THU DAU MOT</v>
      </c>
      <c r="B215" s="1154" t="str">
        <f>VLOOKUP('Cash Balance'!$C215,Table2[#All],MATCH('Cash Balance'!B$3,Acc_Char!$B$1:$I$1,0),0)</f>
        <v>OCB - BINH DUONG</v>
      </c>
      <c r="C215" s="1185" t="s">
        <v>767</v>
      </c>
      <c r="D215" s="1156" t="str">
        <f>VLOOKUP('Cash Balance'!$C215,Table2[#All],MATCH('Cash Balance'!D$3,Acc_Char!$B$1:$I$1,0),0)</f>
        <v>Current Account</v>
      </c>
      <c r="E215" s="384" t="str">
        <f>VLOOKUP('Cash Balance'!$C215,Table2[#All],MATCH('Cash Balance'!E$3,Acc_Char!$B$1:$I$1,0),0)</f>
        <v>VND</v>
      </c>
      <c r="F215" s="1094" t="e">
        <f>VLOOKUP(C215,'Cash balance (BS)'!A:C,3,)</f>
        <v>#N/A</v>
      </c>
      <c r="G215" s="1157" t="e">
        <f>F215-H215</f>
        <v>#N/A</v>
      </c>
      <c r="H215" s="1318">
        <f>SUMIFS('Cash balance (Prior period)'!F:F,'Cash balance (Prior period)'!C:C,Table11[[#This Row],[ACCOUNT NUMBER]],'Cash balance (Prior period)'!E:E,Table11[[#This Row],[CURRENCY]])</f>
        <v>2685777</v>
      </c>
      <c r="I215" s="1318">
        <f>SUMIFS(Movement!$F$4:$F$2136,Movement!$M$4:$M$2136,"VND",Movement!$C$4:$C$2136,Table11[[#This Row],[ACCOUNT NUMBER]],Movement!$J$4:$J$2136,Table11[[#This Row],[ENTITY]],Movement!$O$4:$O$2136,'Cash Balance'!$A$2)</f>
        <v>0</v>
      </c>
      <c r="J215" s="1318">
        <f>SUMIFS(Movement!$G$4:$G$2136,Movement!$M$4:$M$2136,"VND",Movement!$C$4:$C$2136,Table11[[#This Row],[ACCOUNT NUMBER]],Movement!$J$4:$J$2136,Table11[[#This Row],[ENTITY]],Movement!$O$4:$O$2136,'Cash Balance'!$A$2)</f>
        <v>0</v>
      </c>
      <c r="K215" s="1084">
        <f>Table11[[#This Row],[CASH IN - CREDIT (VND)]]-Table11[[#This Row],[CASH OUT - DEBIT (VND)]]</f>
        <v>0</v>
      </c>
      <c r="L215" s="1095">
        <f t="shared" si="22"/>
        <v>2685777</v>
      </c>
      <c r="M215" s="1184" t="e">
        <f>VLOOKUP(C215,'Cash balance (BS)'!A:D,4,)</f>
        <v>#N/A</v>
      </c>
      <c r="N215" s="1095" t="e">
        <f>Table11[[#This Row],[CLOSING BALANCE (VND)2]]-Table11[[#This Row],[CB_BS (VND)]]</f>
        <v>#N/A</v>
      </c>
      <c r="O215" s="1094">
        <v>0</v>
      </c>
      <c r="P215" s="1095">
        <f t="shared" si="23"/>
        <v>0</v>
      </c>
      <c r="Q215" s="817">
        <f>SUMIFS('Cash balance (Prior period)'!G:G,'Cash balance (Prior period)'!C:C,Table11[[#This Row],[ACCOUNT NUMBER]],'Cash balance (Prior period)'!E:E,Table11[[#This Row],[CURRENCY]])</f>
        <v>0</v>
      </c>
      <c r="R215" s="817">
        <f>SUMIFS(Movement!$F$4:$F$2136,Movement!$M$4:$M$2136,"USD",Movement!$C$4:$C$2136,Table11[[#This Row],[ACCOUNT NUMBER]],Movement!$J$4:$J$2136,Table11[[#This Row],[ENTITY]],Movement!$O$4:$O$2136,'Cash Balance'!$A$2)</f>
        <v>0</v>
      </c>
      <c r="S215" s="817">
        <f>SUMIFS(Movement!$G$4:$G$2136,Movement!$M$4:$M$2136,"USD",Movement!$C$4:$C$2136,Table11[[#This Row],[ACCOUNT NUMBER]],Movement!$J$4:$J$2136,Table11[[#This Row],[ENTITY]],Movement!$O$4:$O$2136,'Cash Balance'!$A$2)</f>
        <v>0</v>
      </c>
      <c r="T215" s="1087">
        <f t="shared" si="24"/>
        <v>0</v>
      </c>
      <c r="U215" s="817"/>
      <c r="V215" s="817">
        <f>Table11[[#This Row],[CLOSING BALANCE (USD)]]-Table11[[#This Row],[CB_BS (USD)]]</f>
        <v>0</v>
      </c>
      <c r="W215" s="1156" t="str">
        <f>VLOOKUP('Cash Balance'!$C215,Table2[#All],MATCH('Cash Balance'!W$3,Acc_Char!$B$1:$I$1,0),0)</f>
        <v>Subsidiaries</v>
      </c>
      <c r="X215" s="1156" t="str">
        <f>VLOOKUP(IFERROR(MID($Y215,1,FIND("-",$Y215)-2),$Y215),Table3[#All],2,0)</f>
        <v>OCB</v>
      </c>
      <c r="Y215" s="1156" t="str">
        <f>VLOOKUP($B215,Table4[#All],2,0)</f>
        <v>OCB - BINH DUONG</v>
      </c>
      <c r="Z215" s="1151"/>
      <c r="AA215" s="49"/>
      <c r="AE215" s="818">
        <f>SUM(Table11[[#This Row],[CASH IN - CREDIT (VND)]],Table11[[#This Row],[CASH IN - CREDIT (USD)]])</f>
        <v>0</v>
      </c>
      <c r="AF215" s="818">
        <f>Table11[[#This Row],[CASH OUT - DEBIT (VND)]]+Table11[[#This Row],[CASH OUT - DEBIT (USD)]]</f>
        <v>0</v>
      </c>
      <c r="AH215" s="1158"/>
      <c r="AI215" s="49"/>
      <c r="AJ215" s="1158"/>
      <c r="AL215"/>
      <c r="AM215"/>
    </row>
    <row r="216" spans="1:39" ht="14.4">
      <c r="A216" s="1153" t="str">
        <f>VLOOKUP('Cash Balance'!$C216,Table2[#All],MATCH('Cash Balance'!A$3,Acc_Char!$B$1:$I$1,0),0)</f>
        <v>HOLDCO4Q</v>
      </c>
      <c r="B216" s="1154" t="str">
        <f>VLOOKUP('Cash Balance'!$C216,Table2[#All],MATCH('Cash Balance'!B$3,Acc_Char!$B$1:$I$1,0),0)</f>
        <v>VIETINBANK - TIEN SON</v>
      </c>
      <c r="C216" s="1185" t="s">
        <v>769</v>
      </c>
      <c r="D216" s="1156" t="str">
        <f>VLOOKUP('Cash Balance'!$C216,Table2[#All],MATCH('Cash Balance'!D$3,Acc_Char!$B$1:$I$1,0),0)</f>
        <v>Current Account</v>
      </c>
      <c r="E216" s="384" t="str">
        <f>VLOOKUP('Cash Balance'!$C216,Table2[#All],MATCH('Cash Balance'!E$3,Acc_Char!$B$1:$I$1,0),0)</f>
        <v>VND</v>
      </c>
      <c r="F216" s="1094"/>
      <c r="G216" s="1157"/>
      <c r="H216" s="1318">
        <f>SUMIFS('Cash balance (Prior period)'!F:F,'Cash balance (Prior period)'!C:C,Table11[[#This Row],[ACCOUNT NUMBER]],'Cash balance (Prior period)'!E:E,Table11[[#This Row],[CURRENCY]])</f>
        <v>12046744</v>
      </c>
      <c r="I216" s="1318">
        <f>SUMIFS(Movement!$F$4:$F$2136,Movement!$M$4:$M$2136,"VND",Movement!$C$4:$C$2136,Table11[[#This Row],[ACCOUNT NUMBER]],Movement!$J$4:$J$2136,Table11[[#This Row],[ENTITY]],Movement!$O$4:$O$2136,'Cash Balance'!$A$2)</f>
        <v>0</v>
      </c>
      <c r="J216" s="1318">
        <f>SUMIFS(Movement!$G$4:$G$2136,Movement!$M$4:$M$2136,"VND",Movement!$C$4:$C$2136,Table11[[#This Row],[ACCOUNT NUMBER]],Movement!$J$4:$J$2136,Table11[[#This Row],[ENTITY]],Movement!$O$4:$O$2136,'Cash Balance'!$A$2)</f>
        <v>0</v>
      </c>
      <c r="K216" s="1084">
        <f>Table11[[#This Row],[CASH IN - CREDIT (VND)]]-Table11[[#This Row],[CASH OUT - DEBIT (VND)]]</f>
        <v>0</v>
      </c>
      <c r="L216" s="1095">
        <f t="shared" si="22"/>
        <v>12046744</v>
      </c>
      <c r="M216" s="1184" t="e">
        <f>VLOOKUP(C216,'Cash balance (BS)'!A:D,4,)</f>
        <v>#N/A</v>
      </c>
      <c r="N216" s="1095" t="e">
        <f>Table11[[#This Row],[CLOSING BALANCE (VND)2]]-Table11[[#This Row],[CB_BS (VND)]]</f>
        <v>#N/A</v>
      </c>
      <c r="O216" s="1094">
        <v>0</v>
      </c>
      <c r="P216" s="1095">
        <f t="shared" si="23"/>
        <v>0</v>
      </c>
      <c r="Q216" s="817">
        <f>SUMIFS('Cash balance (Prior period)'!G:G,'Cash balance (Prior period)'!C:C,Table11[[#This Row],[ACCOUNT NUMBER]],'Cash balance (Prior period)'!E:E,Table11[[#This Row],[CURRENCY]])</f>
        <v>0</v>
      </c>
      <c r="R216" s="817">
        <f>SUMIFS(Movement!$F$4:$F$2136,Movement!$M$4:$M$2136,"USD",Movement!$C$4:$C$2136,Table11[[#This Row],[ACCOUNT NUMBER]],Movement!$J$4:$J$2136,Table11[[#This Row],[ENTITY]],Movement!$O$4:$O$2136,'Cash Balance'!$A$2)</f>
        <v>0</v>
      </c>
      <c r="S216" s="817">
        <f>SUMIFS(Movement!$G$4:$G$2136,Movement!$M$4:$M$2136,"USD",Movement!$C$4:$C$2136,Table11[[#This Row],[ACCOUNT NUMBER]],Movement!$J$4:$J$2136,Table11[[#This Row],[ENTITY]],Movement!$O$4:$O$2136,'Cash Balance'!$A$2)</f>
        <v>0</v>
      </c>
      <c r="T216" s="1087">
        <f t="shared" si="24"/>
        <v>0</v>
      </c>
      <c r="U216" s="817" t="e">
        <f>VLOOKUP(C216,'Cash balance (BS)'!A:D,4,)</f>
        <v>#N/A</v>
      </c>
      <c r="V216" s="817" t="e">
        <f>Table11[[#This Row],[CLOSING BALANCE (USD)]]-Table11[[#This Row],[CB_BS (USD)]]</f>
        <v>#N/A</v>
      </c>
      <c r="W216" s="1156" t="str">
        <f>VLOOKUP('Cash Balance'!$C216,Table2[#All],MATCH('Cash Balance'!W$3,Acc_Char!$B$1:$I$1,0),0)</f>
        <v>Subsidiaries</v>
      </c>
      <c r="X216" s="1156" t="str">
        <f>VLOOKUP(IFERROR(MID($Y216,1,FIND("-",$Y216)-2),$Y216),Table3[#All],2,0)</f>
        <v>VTB</v>
      </c>
      <c r="Y216" s="1156" t="str">
        <f>VLOOKUP($B216,Table4[#All],2,0)</f>
        <v>VIETINBANK - TIEN SON</v>
      </c>
      <c r="Z216" s="1151"/>
      <c r="AA216" s="49"/>
      <c r="AE216" s="818">
        <f>SUM(Table11[[#This Row],[CASH IN - CREDIT (VND)]],Table11[[#This Row],[CASH IN - CREDIT (USD)]])</f>
        <v>0</v>
      </c>
      <c r="AF216" s="818">
        <f>Table11[[#This Row],[CASH OUT - DEBIT (VND)]]+Table11[[#This Row],[CASH OUT - DEBIT (USD)]]</f>
        <v>0</v>
      </c>
      <c r="AH216" s="1158"/>
      <c r="AI216" s="49"/>
      <c r="AJ216" s="1158"/>
      <c r="AL216"/>
      <c r="AM216"/>
    </row>
    <row r="217" spans="1:39" ht="14.4">
      <c r="A217" s="1153" t="str">
        <f>VLOOKUP('Cash Balance'!$C217,Table2[#All],MATCH('Cash Balance'!A$3,Acc_Char!$B$1:$I$1,0),0)</f>
        <v>HOLDCO4R</v>
      </c>
      <c r="B217" s="1154" t="str">
        <f>VLOOKUP('Cash Balance'!$C217,Table2[#All],MATCH('Cash Balance'!B$3,Acc_Char!$B$1:$I$1,0),0)</f>
        <v>VIETINBANK - TIEN SON</v>
      </c>
      <c r="C217" s="1185" t="s">
        <v>771</v>
      </c>
      <c r="D217" s="1156" t="str">
        <f>VLOOKUP('Cash Balance'!$C217,Table2[#All],MATCH('Cash Balance'!D$3,Acc_Char!$B$1:$I$1,0),0)</f>
        <v>Current Account</v>
      </c>
      <c r="E217" s="384" t="str">
        <f>VLOOKUP('Cash Balance'!$C217,Table2[#All],MATCH('Cash Balance'!E$3,Acc_Char!$B$1:$I$1,0),0)</f>
        <v>VND</v>
      </c>
      <c r="F217" s="1094" t="e">
        <f>VLOOKUP(C217,'Cash balance (BS)'!A:C,3,)</f>
        <v>#N/A</v>
      </c>
      <c r="G217" s="1157" t="e">
        <f>F217-H217</f>
        <v>#N/A</v>
      </c>
      <c r="H217" s="1318">
        <f>SUMIFS('Cash balance (Prior period)'!F:F,'Cash balance (Prior period)'!C:C,Table11[[#This Row],[ACCOUNT NUMBER]],'Cash balance (Prior period)'!E:E,Table11[[#This Row],[CURRENCY]])</f>
        <v>18282889</v>
      </c>
      <c r="I217" s="1318">
        <f>SUMIFS(Movement!$F$4:$F$2136,Movement!$M$4:$M$2136,"VND",Movement!$C$4:$C$2136,Table11[[#This Row],[ACCOUNT NUMBER]],Movement!$J$4:$J$2136,Table11[[#This Row],[ENTITY]],Movement!$O$4:$O$2136,'Cash Balance'!$A$2)</f>
        <v>0</v>
      </c>
      <c r="J217" s="1318">
        <f>SUMIFS(Movement!$G$4:$G$2136,Movement!$M$4:$M$2136,"VND",Movement!$C$4:$C$2136,Table11[[#This Row],[ACCOUNT NUMBER]],Movement!$J$4:$J$2136,Table11[[#This Row],[ENTITY]],Movement!$O$4:$O$2136,'Cash Balance'!$A$2)</f>
        <v>0</v>
      </c>
      <c r="K217" s="1084">
        <f>Table11[[#This Row],[CASH IN - CREDIT (VND)]]-Table11[[#This Row],[CASH OUT - DEBIT (VND)]]</f>
        <v>0</v>
      </c>
      <c r="L217" s="1095">
        <f t="shared" si="22"/>
        <v>18282889</v>
      </c>
      <c r="M217" s="1184" t="e">
        <f>VLOOKUP(C217,'Cash balance (BS)'!A:D,4,)</f>
        <v>#N/A</v>
      </c>
      <c r="N217" s="1095" t="e">
        <f>Table11[[#This Row],[CLOSING BALANCE (VND)2]]-Table11[[#This Row],[CB_BS (VND)]]</f>
        <v>#N/A</v>
      </c>
      <c r="O217" s="1094">
        <v>0</v>
      </c>
      <c r="P217" s="1095">
        <f t="shared" si="23"/>
        <v>0</v>
      </c>
      <c r="Q217" s="817">
        <f>SUMIFS('Cash balance (Prior period)'!G:G,'Cash balance (Prior period)'!C:C,Table11[[#This Row],[ACCOUNT NUMBER]],'Cash balance (Prior period)'!E:E,Table11[[#This Row],[CURRENCY]])</f>
        <v>0</v>
      </c>
      <c r="R217" s="817">
        <f>SUMIFS(Movement!$F$4:$F$2136,Movement!$M$4:$M$2136,"USD",Movement!$C$4:$C$2136,Table11[[#This Row],[ACCOUNT NUMBER]],Movement!$J$4:$J$2136,Table11[[#This Row],[ENTITY]],Movement!$O$4:$O$2136,'Cash Balance'!$A$2)</f>
        <v>0</v>
      </c>
      <c r="S217" s="817">
        <f>SUMIFS(Movement!$G$4:$G$2136,Movement!$M$4:$M$2136,"USD",Movement!$C$4:$C$2136,Table11[[#This Row],[ACCOUNT NUMBER]],Movement!$J$4:$J$2136,Table11[[#This Row],[ENTITY]],Movement!$O$4:$O$2136,'Cash Balance'!$A$2)</f>
        <v>0</v>
      </c>
      <c r="T217" s="1087">
        <f t="shared" si="24"/>
        <v>0</v>
      </c>
      <c r="U217" s="817"/>
      <c r="V217" s="817">
        <f>Table11[[#This Row],[CLOSING BALANCE (USD)]]-Table11[[#This Row],[CB_BS (USD)]]</f>
        <v>0</v>
      </c>
      <c r="W217" s="1156" t="str">
        <f>VLOOKUP('Cash Balance'!$C217,Table2[#All],MATCH('Cash Balance'!W$3,Acc_Char!$B$1:$I$1,0),0)</f>
        <v>Subsidiaries</v>
      </c>
      <c r="X217" s="1156" t="str">
        <f>VLOOKUP(IFERROR(MID($Y217,1,FIND("-",$Y217)-2),$Y217),Table3[#All],2,0)</f>
        <v>VTB</v>
      </c>
      <c r="Y217" s="1156" t="str">
        <f>VLOOKUP($B217,Table4[#All],2,0)</f>
        <v>VIETINBANK - TIEN SON</v>
      </c>
      <c r="Z217" s="1151"/>
      <c r="AA217" s="49"/>
      <c r="AE217" s="818">
        <f>SUM(Table11[[#This Row],[CASH IN - CREDIT (VND)]],Table11[[#This Row],[CASH IN - CREDIT (USD)]])</f>
        <v>0</v>
      </c>
      <c r="AF217" s="818">
        <f>Table11[[#This Row],[CASH OUT - DEBIT (VND)]]+Table11[[#This Row],[CASH OUT - DEBIT (USD)]]</f>
        <v>0</v>
      </c>
      <c r="AH217" s="1158"/>
      <c r="AI217" s="49"/>
      <c r="AJ217" s="1158"/>
      <c r="AL217"/>
      <c r="AM217"/>
    </row>
    <row r="218" spans="1:39" ht="14.4">
      <c r="A218" s="1153" t="str">
        <f>VLOOKUP('Cash Balance'!$C218,Table2[#All],MATCH('Cash Balance'!A$3,Acc_Char!$B$1:$I$1,0),0)</f>
        <v>HOLDCO4S</v>
      </c>
      <c r="B218" s="1154" t="str">
        <f>VLOOKUP('Cash Balance'!$C218,Table2[#All],MATCH('Cash Balance'!B$3,Acc_Char!$B$1:$I$1,0),0)</f>
        <v>VIETINBANK - TIEN SON</v>
      </c>
      <c r="C218" s="1185" t="s">
        <v>773</v>
      </c>
      <c r="D218" s="1156" t="str">
        <f>VLOOKUP('Cash Balance'!$C218,Table2[#All],MATCH('Cash Balance'!D$3,Acc_Char!$B$1:$I$1,0),0)</f>
        <v>Current Account</v>
      </c>
      <c r="E218" s="384" t="str">
        <f>VLOOKUP('Cash Balance'!$C218,Table2[#All],MATCH('Cash Balance'!E$3,Acc_Char!$B$1:$I$1,0),0)</f>
        <v>VND</v>
      </c>
      <c r="F218" s="1094"/>
      <c r="G218" s="1157"/>
      <c r="H218" s="1318">
        <f>SUMIFS('Cash balance (Prior period)'!F:F,'Cash balance (Prior period)'!C:C,Table11[[#This Row],[ACCOUNT NUMBER]],'Cash balance (Prior period)'!E:E,Table11[[#This Row],[CURRENCY]])</f>
        <v>22980600</v>
      </c>
      <c r="I218" s="1318">
        <f>SUMIFS(Movement!$F$4:$F$2136,Movement!$M$4:$M$2136,"VND",Movement!$C$4:$C$2136,Table11[[#This Row],[ACCOUNT NUMBER]],Movement!$J$4:$J$2136,Table11[[#This Row],[ENTITY]],Movement!$O$4:$O$2136,'Cash Balance'!$A$2)</f>
        <v>0</v>
      </c>
      <c r="J218" s="1318">
        <f>SUMIFS(Movement!$G$4:$G$2136,Movement!$M$4:$M$2136,"VND",Movement!$C$4:$C$2136,Table11[[#This Row],[ACCOUNT NUMBER]],Movement!$J$4:$J$2136,Table11[[#This Row],[ENTITY]],Movement!$O$4:$O$2136,'Cash Balance'!$A$2)</f>
        <v>0</v>
      </c>
      <c r="K218" s="1084">
        <f>Table11[[#This Row],[CASH IN - CREDIT (VND)]]-Table11[[#This Row],[CASH OUT - DEBIT (VND)]]</f>
        <v>0</v>
      </c>
      <c r="L218" s="1095">
        <f t="shared" si="22"/>
        <v>22980600</v>
      </c>
      <c r="M218" s="1184" t="e">
        <f>VLOOKUP(C218,'Cash balance (BS)'!A:D,4,)</f>
        <v>#N/A</v>
      </c>
      <c r="N218" s="1095" t="e">
        <f>Table11[[#This Row],[CLOSING BALANCE (VND)2]]-Table11[[#This Row],[CB_BS (VND)]]</f>
        <v>#N/A</v>
      </c>
      <c r="O218" s="1094">
        <v>0</v>
      </c>
      <c r="P218" s="1095">
        <f t="shared" si="23"/>
        <v>0</v>
      </c>
      <c r="Q218" s="817">
        <f>SUMIFS('Cash balance (Prior period)'!G:G,'Cash balance (Prior period)'!C:C,Table11[[#This Row],[ACCOUNT NUMBER]],'Cash balance (Prior period)'!E:E,Table11[[#This Row],[CURRENCY]])</f>
        <v>0</v>
      </c>
      <c r="R218" s="817">
        <f>SUMIFS(Movement!$F$4:$F$2136,Movement!$M$4:$M$2136,"USD",Movement!$C$4:$C$2136,Table11[[#This Row],[ACCOUNT NUMBER]],Movement!$J$4:$J$2136,Table11[[#This Row],[ENTITY]],Movement!$O$4:$O$2136,'Cash Balance'!$A$2)</f>
        <v>0</v>
      </c>
      <c r="S218" s="817">
        <f>SUMIFS(Movement!$G$4:$G$2136,Movement!$M$4:$M$2136,"USD",Movement!$C$4:$C$2136,Table11[[#This Row],[ACCOUNT NUMBER]],Movement!$J$4:$J$2136,Table11[[#This Row],[ENTITY]],Movement!$O$4:$O$2136,'Cash Balance'!$A$2)</f>
        <v>0</v>
      </c>
      <c r="T218" s="1087">
        <f t="shared" si="24"/>
        <v>0</v>
      </c>
      <c r="U218" s="817" t="e">
        <f>VLOOKUP(C218,'Cash balance (BS)'!A:D,4,)</f>
        <v>#N/A</v>
      </c>
      <c r="V218" s="817" t="e">
        <f>Table11[[#This Row],[CLOSING BALANCE (USD)]]-Table11[[#This Row],[CB_BS (USD)]]</f>
        <v>#N/A</v>
      </c>
      <c r="W218" s="1156" t="str">
        <f>VLOOKUP('Cash Balance'!$C218,Table2[#All],MATCH('Cash Balance'!W$3,Acc_Char!$B$1:$I$1,0),0)</f>
        <v>Subsidiaries</v>
      </c>
      <c r="X218" s="1156" t="str">
        <f>VLOOKUP(IFERROR(MID($Y218,1,FIND("-",$Y218)-2),$Y218),Table3[#All],2,0)</f>
        <v>VTB</v>
      </c>
      <c r="Y218" s="1156" t="str">
        <f>VLOOKUP($B218,Table4[#All],2,0)</f>
        <v>VIETINBANK - TIEN SON</v>
      </c>
      <c r="Z218" s="1151"/>
      <c r="AA218" s="49"/>
      <c r="AE218" s="818">
        <f>SUM(Table11[[#This Row],[CASH IN - CREDIT (VND)]],Table11[[#This Row],[CASH IN - CREDIT (USD)]])</f>
        <v>0</v>
      </c>
      <c r="AF218" s="818">
        <f>Table11[[#This Row],[CASH OUT - DEBIT (VND)]]+Table11[[#This Row],[CASH OUT - DEBIT (USD)]]</f>
        <v>0</v>
      </c>
      <c r="AH218" s="1158"/>
      <c r="AI218" s="49"/>
      <c r="AJ218" s="1158"/>
      <c r="AL218"/>
      <c r="AM218"/>
    </row>
    <row r="219" spans="1:39" ht="14.4">
      <c r="A219" s="1153" t="str">
        <f>VLOOKUP('Cash Balance'!$C219,Table2[#All],MATCH('Cash Balance'!A$3,Acc_Char!$B$1:$I$1,0),0)</f>
        <v>HOLDCO4T</v>
      </c>
      <c r="B219" s="1154" t="str">
        <f>VLOOKUP('Cash Balance'!$C219,Table2[#All],MATCH('Cash Balance'!B$3,Acc_Char!$B$1:$I$1,0),0)</f>
        <v>VIETINBANK - TIEN SON</v>
      </c>
      <c r="C219" s="1185" t="s">
        <v>775</v>
      </c>
      <c r="D219" s="1156" t="str">
        <f>VLOOKUP('Cash Balance'!$C219,Table2[#All],MATCH('Cash Balance'!D$3,Acc_Char!$B$1:$I$1,0),0)</f>
        <v>Current Account</v>
      </c>
      <c r="E219" s="384" t="str">
        <f>VLOOKUP('Cash Balance'!$C219,Table2[#All],MATCH('Cash Balance'!E$3,Acc_Char!$B$1:$I$1,0),0)</f>
        <v>VND</v>
      </c>
      <c r="F219" s="1094" t="e">
        <f>VLOOKUP(C219,'Cash balance (BS)'!A:C,3,)</f>
        <v>#N/A</v>
      </c>
      <c r="G219" s="1157" t="e">
        <f>F219-H219</f>
        <v>#N/A</v>
      </c>
      <c r="H219" s="1318">
        <f>SUMIFS('Cash balance (Prior period)'!F:F,'Cash balance (Prior period)'!C:C,Table11[[#This Row],[ACCOUNT NUMBER]],'Cash balance (Prior period)'!E:E,Table11[[#This Row],[CURRENCY]])</f>
        <v>2023854526</v>
      </c>
      <c r="I219" s="1318">
        <f>SUMIFS(Movement!$F$4:$F$2136,Movement!$M$4:$M$2136,"VND",Movement!$C$4:$C$2136,Table11[[#This Row],[ACCOUNT NUMBER]],Movement!$J$4:$J$2136,Table11[[#This Row],[ENTITY]],Movement!$O$4:$O$2136,'Cash Balance'!$A$2)</f>
        <v>0</v>
      </c>
      <c r="J219" s="1318">
        <f>SUMIFS(Movement!$G$4:$G$2136,Movement!$M$4:$M$2136,"VND",Movement!$C$4:$C$2136,Table11[[#This Row],[ACCOUNT NUMBER]],Movement!$J$4:$J$2136,Table11[[#This Row],[ENTITY]],Movement!$O$4:$O$2136,'Cash Balance'!$A$2)</f>
        <v>1641234545</v>
      </c>
      <c r="K219" s="1084">
        <f>Table11[[#This Row],[CASH IN - CREDIT (VND)]]-Table11[[#This Row],[CASH OUT - DEBIT (VND)]]</f>
        <v>-1641234545</v>
      </c>
      <c r="L219" s="1095">
        <f t="shared" si="22"/>
        <v>382619981</v>
      </c>
      <c r="M219" s="1184" t="e">
        <f>VLOOKUP(C219,'Cash balance (BS)'!A:D,4,)</f>
        <v>#N/A</v>
      </c>
      <c r="N219" s="1095" t="e">
        <f>Table11[[#This Row],[CLOSING BALANCE (VND)2]]-Table11[[#This Row],[CB_BS (VND)]]</f>
        <v>#N/A</v>
      </c>
      <c r="O219" s="1094">
        <v>0</v>
      </c>
      <c r="P219" s="1095">
        <f t="shared" si="23"/>
        <v>0</v>
      </c>
      <c r="Q219" s="817">
        <f>SUMIFS('Cash balance (Prior period)'!G:G,'Cash balance (Prior period)'!C:C,Table11[[#This Row],[ACCOUNT NUMBER]],'Cash balance (Prior period)'!E:E,Table11[[#This Row],[CURRENCY]])</f>
        <v>0</v>
      </c>
      <c r="R219" s="817">
        <f>SUMIFS(Movement!$F$4:$F$2136,Movement!$M$4:$M$2136,"USD",Movement!$C$4:$C$2136,Table11[[#This Row],[ACCOUNT NUMBER]],Movement!$J$4:$J$2136,Table11[[#This Row],[ENTITY]],Movement!$O$4:$O$2136,'Cash Balance'!$A$2)</f>
        <v>0</v>
      </c>
      <c r="S219" s="817">
        <f>SUMIFS(Movement!$G$4:$G$2136,Movement!$M$4:$M$2136,"USD",Movement!$C$4:$C$2136,Table11[[#This Row],[ACCOUNT NUMBER]],Movement!$J$4:$J$2136,Table11[[#This Row],[ENTITY]],Movement!$O$4:$O$2136,'Cash Balance'!$A$2)</f>
        <v>0</v>
      </c>
      <c r="T219" s="1087">
        <f t="shared" si="24"/>
        <v>0</v>
      </c>
      <c r="U219" s="817"/>
      <c r="V219" s="817">
        <f>Table11[[#This Row],[CLOSING BALANCE (USD)]]-Table11[[#This Row],[CB_BS (USD)]]</f>
        <v>0</v>
      </c>
      <c r="W219" s="1156" t="str">
        <f>VLOOKUP('Cash Balance'!$C219,Table2[#All],MATCH('Cash Balance'!W$3,Acc_Char!$B$1:$I$1,0),0)</f>
        <v>Subsidiaries</v>
      </c>
      <c r="X219" s="1156" t="str">
        <f>VLOOKUP(IFERROR(MID($Y219,1,FIND("-",$Y219)-2),$Y219),Table3[#All],2,0)</f>
        <v>VTB</v>
      </c>
      <c r="Y219" s="1156" t="str">
        <f>VLOOKUP($B219,Table4[#All],2,0)</f>
        <v>VIETINBANK - TIEN SON</v>
      </c>
      <c r="Z219" s="1151"/>
      <c r="AA219" s="49"/>
      <c r="AE219" s="818">
        <f>SUM(Table11[[#This Row],[CASH IN - CREDIT (VND)]],Table11[[#This Row],[CASH IN - CREDIT (USD)]])</f>
        <v>0</v>
      </c>
      <c r="AF219" s="818">
        <f>Table11[[#This Row],[CASH OUT - DEBIT (VND)]]+Table11[[#This Row],[CASH OUT - DEBIT (USD)]]</f>
        <v>1641234545</v>
      </c>
      <c r="AH219" s="1158"/>
      <c r="AI219" s="49"/>
      <c r="AJ219" s="1158"/>
      <c r="AL219"/>
      <c r="AM219"/>
    </row>
    <row r="220" spans="1:39" ht="14.4">
      <c r="A220" s="1153" t="str">
        <f>VLOOKUP('Cash Balance'!$C220,Table2[#All],MATCH('Cash Balance'!A$3,Acc_Char!$B$1:$I$1,0),0)</f>
        <v>HOLDCO4U</v>
      </c>
      <c r="B220" s="1154" t="str">
        <f>VLOOKUP('Cash Balance'!$C220,Table2[#All],MATCH('Cash Balance'!B$3,Acc_Char!$B$1:$I$1,0),0)</f>
        <v>VIETINBANK - TIEN SON</v>
      </c>
      <c r="C220" s="1185" t="s">
        <v>777</v>
      </c>
      <c r="D220" s="1156" t="str">
        <f>VLOOKUP('Cash Balance'!$C220,Table2[#All],MATCH('Cash Balance'!D$3,Acc_Char!$B$1:$I$1,0),0)</f>
        <v>Current Account</v>
      </c>
      <c r="E220" s="384" t="str">
        <f>VLOOKUP('Cash Balance'!$C220,Table2[#All],MATCH('Cash Balance'!E$3,Acc_Char!$B$1:$I$1,0),0)</f>
        <v>VND</v>
      </c>
      <c r="F220" s="1094" t="e">
        <f>VLOOKUP(C220,'Cash balance (BS)'!A:C,3,)</f>
        <v>#N/A</v>
      </c>
      <c r="G220" s="1157" t="e">
        <f>F220-H220</f>
        <v>#N/A</v>
      </c>
      <c r="H220" s="1318">
        <f>SUMIFS('Cash balance (Prior period)'!F:F,'Cash balance (Prior period)'!C:C,Table11[[#This Row],[ACCOUNT NUMBER]],'Cash balance (Prior period)'!E:E,Table11[[#This Row],[CURRENCY]])</f>
        <v>34957686</v>
      </c>
      <c r="I220" s="1318">
        <f>SUMIFS(Movement!$F$4:$F$2136,Movement!$M$4:$M$2136,"VND",Movement!$C$4:$C$2136,Table11[[#This Row],[ACCOUNT NUMBER]],Movement!$J$4:$J$2136,Table11[[#This Row],[ENTITY]],Movement!$O$4:$O$2136,'Cash Balance'!$A$2)</f>
        <v>0</v>
      </c>
      <c r="J220" s="1318">
        <f>SUMIFS(Movement!$G$4:$G$2136,Movement!$M$4:$M$2136,"VND",Movement!$C$4:$C$2136,Table11[[#This Row],[ACCOUNT NUMBER]],Movement!$J$4:$J$2136,Table11[[#This Row],[ENTITY]],Movement!$O$4:$O$2136,'Cash Balance'!$A$2)</f>
        <v>0</v>
      </c>
      <c r="K220" s="1084">
        <f>Table11[[#This Row],[CASH IN - CREDIT (VND)]]-Table11[[#This Row],[CASH OUT - DEBIT (VND)]]</f>
        <v>0</v>
      </c>
      <c r="L220" s="1095">
        <f t="shared" si="22"/>
        <v>34957686</v>
      </c>
      <c r="M220" s="1184" t="e">
        <f>VLOOKUP(C220,'Cash balance (BS)'!A:D,4,)</f>
        <v>#N/A</v>
      </c>
      <c r="N220" s="1095" t="e">
        <f>Table11[[#This Row],[CLOSING BALANCE (VND)2]]-Table11[[#This Row],[CB_BS (VND)]]</f>
        <v>#N/A</v>
      </c>
      <c r="O220" s="1094">
        <v>0</v>
      </c>
      <c r="P220" s="1095">
        <f t="shared" si="23"/>
        <v>0</v>
      </c>
      <c r="Q220" s="817">
        <f>SUMIFS('Cash balance (Prior period)'!G:G,'Cash balance (Prior period)'!C:C,Table11[[#This Row],[ACCOUNT NUMBER]],'Cash balance (Prior period)'!E:E,Table11[[#This Row],[CURRENCY]])</f>
        <v>0</v>
      </c>
      <c r="R220" s="817">
        <f>SUMIFS(Movement!$F$4:$F$2136,Movement!$M$4:$M$2136,"USD",Movement!$C$4:$C$2136,Table11[[#This Row],[ACCOUNT NUMBER]],Movement!$J$4:$J$2136,Table11[[#This Row],[ENTITY]],Movement!$O$4:$O$2136,'Cash Balance'!$A$2)</f>
        <v>0</v>
      </c>
      <c r="S220" s="817">
        <f>SUMIFS(Movement!$G$4:$G$2136,Movement!$M$4:$M$2136,"USD",Movement!$C$4:$C$2136,Table11[[#This Row],[ACCOUNT NUMBER]],Movement!$J$4:$J$2136,Table11[[#This Row],[ENTITY]],Movement!$O$4:$O$2136,'Cash Balance'!$A$2)</f>
        <v>0</v>
      </c>
      <c r="T220" s="1087">
        <f t="shared" si="24"/>
        <v>0</v>
      </c>
      <c r="U220" s="817"/>
      <c r="V220" s="817">
        <f>Table11[[#This Row],[CLOSING BALANCE (USD)]]-Table11[[#This Row],[CB_BS (USD)]]</f>
        <v>0</v>
      </c>
      <c r="W220" s="1156" t="str">
        <f>VLOOKUP('Cash Balance'!$C220,Table2[#All],MATCH('Cash Balance'!W$3,Acc_Char!$B$1:$I$1,0),0)</f>
        <v>Subsidiaries</v>
      </c>
      <c r="X220" s="1156" t="str">
        <f>VLOOKUP(IFERROR(MID($Y220,1,FIND("-",$Y220)-2),$Y220),Table3[#All],2,0)</f>
        <v>VTB</v>
      </c>
      <c r="Y220" s="1156" t="str">
        <f>VLOOKUP($B220,Table4[#All],2,0)</f>
        <v>VIETINBANK - TIEN SON</v>
      </c>
      <c r="Z220" s="1151"/>
      <c r="AA220" s="49"/>
      <c r="AE220" s="818">
        <f>SUM(Table11[[#This Row],[CASH IN - CREDIT (VND)]],Table11[[#This Row],[CASH IN - CREDIT (USD)]])</f>
        <v>0</v>
      </c>
      <c r="AF220" s="818">
        <f>Table11[[#This Row],[CASH OUT - DEBIT (VND)]]+Table11[[#This Row],[CASH OUT - DEBIT (USD)]]</f>
        <v>0</v>
      </c>
      <c r="AH220" s="1158"/>
      <c r="AI220" s="49"/>
      <c r="AJ220" s="1158"/>
      <c r="AL220"/>
      <c r="AM220"/>
    </row>
    <row r="221" spans="1:39" ht="14.4">
      <c r="A221" s="1153" t="str">
        <f>VLOOKUP('Cash Balance'!$C221,Table2[#All],MATCH('Cash Balance'!A$3,Acc_Char!$B$1:$I$1,0),0)</f>
        <v>HOLDCO4V</v>
      </c>
      <c r="B221" s="1154" t="str">
        <f>VLOOKUP('Cash Balance'!$C221,Table2[#All],MATCH('Cash Balance'!B$3,Acc_Char!$B$1:$I$1,0),0)</f>
        <v>VIETINBANK - TIEN SON</v>
      </c>
      <c r="C221" s="1185" t="s">
        <v>779</v>
      </c>
      <c r="D221" s="1156" t="str">
        <f>VLOOKUP('Cash Balance'!$C221,Table2[#All],MATCH('Cash Balance'!D$3,Acc_Char!$B$1:$I$1,0),0)</f>
        <v>Current Account</v>
      </c>
      <c r="E221" s="384" t="str">
        <f>VLOOKUP('Cash Balance'!$C221,Table2[#All],MATCH('Cash Balance'!E$3,Acc_Char!$B$1:$I$1,0),0)</f>
        <v>VND</v>
      </c>
      <c r="F221" s="1094"/>
      <c r="G221" s="1157"/>
      <c r="H221" s="1318">
        <f>SUMIFS('Cash balance (Prior period)'!F:F,'Cash balance (Prior period)'!C:C,Table11[[#This Row],[ACCOUNT NUMBER]],'Cash balance (Prior period)'!E:E,Table11[[#This Row],[CURRENCY]])</f>
        <v>75319381</v>
      </c>
      <c r="I221" s="1318">
        <f>SUMIFS(Movement!$F$4:$F$2136,Movement!$M$4:$M$2136,"VND",Movement!$C$4:$C$2136,Table11[[#This Row],[ACCOUNT NUMBER]],Movement!$J$4:$J$2136,Table11[[#This Row],[ENTITY]],Movement!$O$4:$O$2136,'Cash Balance'!$A$2)</f>
        <v>0</v>
      </c>
      <c r="J221" s="1318">
        <f>SUMIFS(Movement!$G$4:$G$2136,Movement!$M$4:$M$2136,"VND",Movement!$C$4:$C$2136,Table11[[#This Row],[ACCOUNT NUMBER]],Movement!$J$4:$J$2136,Table11[[#This Row],[ENTITY]],Movement!$O$4:$O$2136,'Cash Balance'!$A$2)</f>
        <v>0</v>
      </c>
      <c r="K221" s="1084">
        <f>Table11[[#This Row],[CASH IN - CREDIT (VND)]]-Table11[[#This Row],[CASH OUT - DEBIT (VND)]]</f>
        <v>0</v>
      </c>
      <c r="L221" s="1095">
        <f t="shared" si="22"/>
        <v>75319381</v>
      </c>
      <c r="M221" s="1184" t="e">
        <f>VLOOKUP(C221,'Cash balance (BS)'!A:D,4,)</f>
        <v>#N/A</v>
      </c>
      <c r="N221" s="1095" t="e">
        <f>Table11[[#This Row],[CLOSING BALANCE (VND)2]]-Table11[[#This Row],[CB_BS (VND)]]</f>
        <v>#N/A</v>
      </c>
      <c r="O221" s="1094">
        <v>0</v>
      </c>
      <c r="P221" s="1095">
        <f t="shared" si="23"/>
        <v>0</v>
      </c>
      <c r="Q221" s="817">
        <f>SUMIFS('Cash balance (Prior period)'!G:G,'Cash balance (Prior period)'!C:C,Table11[[#This Row],[ACCOUNT NUMBER]],'Cash balance (Prior period)'!E:E,Table11[[#This Row],[CURRENCY]])</f>
        <v>0</v>
      </c>
      <c r="R221" s="817">
        <f>SUMIFS(Movement!$F$4:$F$2136,Movement!$M$4:$M$2136,"USD",Movement!$C$4:$C$2136,Table11[[#This Row],[ACCOUNT NUMBER]],Movement!$J$4:$J$2136,Table11[[#This Row],[ENTITY]],Movement!$O$4:$O$2136,'Cash Balance'!$A$2)</f>
        <v>0</v>
      </c>
      <c r="S221" s="817">
        <f>SUMIFS(Movement!$G$4:$G$2136,Movement!$M$4:$M$2136,"USD",Movement!$C$4:$C$2136,Table11[[#This Row],[ACCOUNT NUMBER]],Movement!$J$4:$J$2136,Table11[[#This Row],[ENTITY]],Movement!$O$4:$O$2136,'Cash Balance'!$A$2)</f>
        <v>0</v>
      </c>
      <c r="T221" s="1087">
        <f t="shared" si="24"/>
        <v>0</v>
      </c>
      <c r="U221" s="817" t="e">
        <f>VLOOKUP(C221,'Cash balance (BS)'!A:D,4,)</f>
        <v>#N/A</v>
      </c>
      <c r="V221" s="817" t="e">
        <f>Table11[[#This Row],[CLOSING BALANCE (USD)]]-Table11[[#This Row],[CB_BS (USD)]]</f>
        <v>#N/A</v>
      </c>
      <c r="W221" s="1156" t="str">
        <f>VLOOKUP('Cash Balance'!$C221,Table2[#All],MATCH('Cash Balance'!W$3,Acc_Char!$B$1:$I$1,0),0)</f>
        <v>Subsidiaries</v>
      </c>
      <c r="X221" s="1156" t="str">
        <f>VLOOKUP(IFERROR(MID($Y221,1,FIND("-",$Y221)-2),$Y221),Table3[#All],2,0)</f>
        <v>VTB</v>
      </c>
      <c r="Y221" s="1156" t="str">
        <f>VLOOKUP($B221,Table4[#All],2,0)</f>
        <v>VIETINBANK - TIEN SON</v>
      </c>
      <c r="Z221" s="1151"/>
      <c r="AA221" s="49"/>
      <c r="AE221" s="818">
        <f>SUM(Table11[[#This Row],[CASH IN - CREDIT (VND)]],Table11[[#This Row],[CASH IN - CREDIT (USD)]])</f>
        <v>0</v>
      </c>
      <c r="AF221" s="818">
        <f>Table11[[#This Row],[CASH OUT - DEBIT (VND)]]+Table11[[#This Row],[CASH OUT - DEBIT (USD)]]</f>
        <v>0</v>
      </c>
      <c r="AH221" s="1158"/>
      <c r="AI221" s="49"/>
      <c r="AJ221" s="1158"/>
      <c r="AL221"/>
      <c r="AM221"/>
    </row>
    <row r="222" spans="1:39" ht="14.4">
      <c r="A222" s="1153" t="str">
        <f>VLOOKUP('Cash Balance'!$C222,Table2[#All],MATCH('Cash Balance'!A$3,Acc_Char!$B$1:$I$1,0),0)</f>
        <v>HOLDCO4Y</v>
      </c>
      <c r="B222" s="1154" t="str">
        <f>VLOOKUP('Cash Balance'!$C222,Table2[#All],MATCH('Cash Balance'!B$3,Acc_Char!$B$1:$I$1,0),0)</f>
        <v>VIETINBANK - TIEN SON</v>
      </c>
      <c r="C222" s="1185" t="s">
        <v>781</v>
      </c>
      <c r="D222" s="1156" t="str">
        <f>VLOOKUP('Cash Balance'!$C222,Table2[#All],MATCH('Cash Balance'!D$3,Acc_Char!$B$1:$I$1,0),0)</f>
        <v>Current Account</v>
      </c>
      <c r="E222" s="384" t="str">
        <f>VLOOKUP('Cash Balance'!$C222,Table2[#All],MATCH('Cash Balance'!E$3,Acc_Char!$B$1:$I$1,0),0)</f>
        <v>VND</v>
      </c>
      <c r="F222" s="1094"/>
      <c r="G222" s="1157"/>
      <c r="H222" s="1318">
        <f>SUMIFS('Cash balance (Prior period)'!F:F,'Cash balance (Prior period)'!C:C,Table11[[#This Row],[ACCOUNT NUMBER]],'Cash balance (Prior period)'!E:E,Table11[[#This Row],[CURRENCY]])</f>
        <v>25263086</v>
      </c>
      <c r="I222" s="1318">
        <f>SUMIFS(Movement!$F$4:$F$2136,Movement!$M$4:$M$2136,"VND",Movement!$C$4:$C$2136,Table11[[#This Row],[ACCOUNT NUMBER]],Movement!$J$4:$J$2136,Table11[[#This Row],[ENTITY]],Movement!$O$4:$O$2136,'Cash Balance'!$A$2)</f>
        <v>0</v>
      </c>
      <c r="J222" s="1318">
        <f>SUMIFS(Movement!$G$4:$G$2136,Movement!$M$4:$M$2136,"VND",Movement!$C$4:$C$2136,Table11[[#This Row],[ACCOUNT NUMBER]],Movement!$J$4:$J$2136,Table11[[#This Row],[ENTITY]],Movement!$O$4:$O$2136,'Cash Balance'!$A$2)</f>
        <v>0</v>
      </c>
      <c r="K222" s="1084">
        <f>Table11[[#This Row],[CASH IN - CREDIT (VND)]]-Table11[[#This Row],[CASH OUT - DEBIT (VND)]]</f>
        <v>0</v>
      </c>
      <c r="L222" s="1095">
        <f t="shared" si="22"/>
        <v>25263086</v>
      </c>
      <c r="M222" s="1184" t="e">
        <f>VLOOKUP(C222,'Cash balance (BS)'!A:D,4,)</f>
        <v>#N/A</v>
      </c>
      <c r="N222" s="1095" t="e">
        <f>Table11[[#This Row],[CLOSING BALANCE (VND)2]]-Table11[[#This Row],[CB_BS (VND)]]</f>
        <v>#N/A</v>
      </c>
      <c r="O222" s="1094">
        <v>0</v>
      </c>
      <c r="P222" s="1095">
        <f t="shared" si="23"/>
        <v>0</v>
      </c>
      <c r="Q222" s="817">
        <f>SUMIFS('Cash balance (Prior period)'!G:G,'Cash balance (Prior period)'!C:C,Table11[[#This Row],[ACCOUNT NUMBER]],'Cash balance (Prior period)'!E:E,Table11[[#This Row],[CURRENCY]])</f>
        <v>0</v>
      </c>
      <c r="R222" s="817">
        <f>SUMIFS(Movement!$F$4:$F$2136,Movement!$M$4:$M$2136,"USD",Movement!$C$4:$C$2136,Table11[[#This Row],[ACCOUNT NUMBER]],Movement!$J$4:$J$2136,Table11[[#This Row],[ENTITY]],Movement!$O$4:$O$2136,'Cash Balance'!$A$2)</f>
        <v>0</v>
      </c>
      <c r="S222" s="817">
        <f>SUMIFS(Movement!$G$4:$G$2136,Movement!$M$4:$M$2136,"USD",Movement!$C$4:$C$2136,Table11[[#This Row],[ACCOUNT NUMBER]],Movement!$J$4:$J$2136,Table11[[#This Row],[ENTITY]],Movement!$O$4:$O$2136,'Cash Balance'!$A$2)</f>
        <v>0</v>
      </c>
      <c r="T222" s="1087">
        <f t="shared" si="24"/>
        <v>0</v>
      </c>
      <c r="U222" s="817" t="e">
        <f>VLOOKUP(C222,'Cash balance (BS)'!A:D,4,)</f>
        <v>#N/A</v>
      </c>
      <c r="V222" s="817" t="e">
        <f>Table11[[#This Row],[CLOSING BALANCE (USD)]]-Table11[[#This Row],[CB_BS (USD)]]</f>
        <v>#N/A</v>
      </c>
      <c r="W222" s="1156" t="str">
        <f>VLOOKUP('Cash Balance'!$C222,Table2[#All],MATCH('Cash Balance'!W$3,Acc_Char!$B$1:$I$1,0),0)</f>
        <v>Subsidiaries</v>
      </c>
      <c r="X222" s="1156" t="str">
        <f>VLOOKUP(IFERROR(MID($Y222,1,FIND("-",$Y222)-2),$Y222),Table3[#All],2,0)</f>
        <v>VTB</v>
      </c>
      <c r="Y222" s="1156" t="str">
        <f>VLOOKUP($B222,Table4[#All],2,0)</f>
        <v>VIETINBANK - TIEN SON</v>
      </c>
      <c r="Z222" s="1151"/>
      <c r="AA222" s="49"/>
      <c r="AE222" s="818">
        <f>SUM(Table11[[#This Row],[CASH IN - CREDIT (VND)]],Table11[[#This Row],[CASH IN - CREDIT (USD)]])</f>
        <v>0</v>
      </c>
      <c r="AF222" s="818">
        <f>Table11[[#This Row],[CASH OUT - DEBIT (VND)]]+Table11[[#This Row],[CASH OUT - DEBIT (USD)]]</f>
        <v>0</v>
      </c>
      <c r="AH222" s="1158"/>
      <c r="AI222" s="49"/>
      <c r="AJ222" s="1158"/>
      <c r="AL222"/>
      <c r="AM222"/>
    </row>
    <row r="223" spans="1:39" ht="14.4">
      <c r="A223" s="1153" t="str">
        <f>VLOOKUP('Cash Balance'!$C223,Table2[#All],MATCH('Cash Balance'!A$3,Acc_Char!$B$1:$I$1,0),0)</f>
        <v>HOLDCO4Z</v>
      </c>
      <c r="B223" s="1154" t="str">
        <f>VLOOKUP('Cash Balance'!$C223,Table2[#All],MATCH('Cash Balance'!B$3,Acc_Char!$B$1:$I$1,0),0)</f>
        <v>VIETINBANK - TIEN SON</v>
      </c>
      <c r="C223" s="1185" t="s">
        <v>783</v>
      </c>
      <c r="D223" s="1156" t="str">
        <f>VLOOKUP('Cash Balance'!$C223,Table2[#All],MATCH('Cash Balance'!D$3,Acc_Char!$B$1:$I$1,0),0)</f>
        <v>Current Account</v>
      </c>
      <c r="E223" s="384" t="str">
        <f>VLOOKUP('Cash Balance'!$C223,Table2[#All],MATCH('Cash Balance'!E$3,Acc_Char!$B$1:$I$1,0),0)</f>
        <v>VND</v>
      </c>
      <c r="F223" s="1094" t="e">
        <f>VLOOKUP(C223,'Cash balance (BS)'!A:C,3,)</f>
        <v>#N/A</v>
      </c>
      <c r="G223" s="1157" t="e">
        <f>F223-H223</f>
        <v>#N/A</v>
      </c>
      <c r="H223" s="1318">
        <f>SUMIFS('Cash balance (Prior period)'!F:F,'Cash balance (Prior period)'!C:C,Table11[[#This Row],[ACCOUNT NUMBER]],'Cash balance (Prior period)'!E:E,Table11[[#This Row],[CURRENCY]])</f>
        <v>118035185</v>
      </c>
      <c r="I223" s="1318">
        <f>SUMIFS(Movement!$F$4:$F$2136,Movement!$M$4:$M$2136,"VND",Movement!$C$4:$C$2136,Table11[[#This Row],[ACCOUNT NUMBER]],Movement!$J$4:$J$2136,Table11[[#This Row],[ENTITY]],Movement!$O$4:$O$2136,'Cash Balance'!$A$2)</f>
        <v>0</v>
      </c>
      <c r="J223" s="1318">
        <f>SUMIFS(Movement!$G$4:$G$2136,Movement!$M$4:$M$2136,"VND",Movement!$C$4:$C$2136,Table11[[#This Row],[ACCOUNT NUMBER]],Movement!$J$4:$J$2136,Table11[[#This Row],[ENTITY]],Movement!$O$4:$O$2136,'Cash Balance'!$A$2)</f>
        <v>0</v>
      </c>
      <c r="K223" s="1084">
        <f>Table11[[#This Row],[CASH IN - CREDIT (VND)]]-Table11[[#This Row],[CASH OUT - DEBIT (VND)]]</f>
        <v>0</v>
      </c>
      <c r="L223" s="1095">
        <f t="shared" si="22"/>
        <v>118035185</v>
      </c>
      <c r="M223" s="1184" t="e">
        <f>VLOOKUP(C223,'Cash balance (BS)'!A:D,4,)</f>
        <v>#N/A</v>
      </c>
      <c r="N223" s="1095" t="e">
        <f>Table11[[#This Row],[CLOSING BALANCE (VND)2]]-Table11[[#This Row],[CB_BS (VND)]]</f>
        <v>#N/A</v>
      </c>
      <c r="O223" s="1094">
        <v>0</v>
      </c>
      <c r="P223" s="1095">
        <f t="shared" si="23"/>
        <v>0</v>
      </c>
      <c r="Q223" s="817">
        <f>SUMIFS('Cash balance (Prior period)'!G:G,'Cash balance (Prior period)'!C:C,Table11[[#This Row],[ACCOUNT NUMBER]],'Cash balance (Prior period)'!E:E,Table11[[#This Row],[CURRENCY]])</f>
        <v>0</v>
      </c>
      <c r="R223" s="817">
        <f>SUMIFS(Movement!$F$4:$F$2136,Movement!$M$4:$M$2136,"USD",Movement!$C$4:$C$2136,Table11[[#This Row],[ACCOUNT NUMBER]],Movement!$J$4:$J$2136,Table11[[#This Row],[ENTITY]],Movement!$O$4:$O$2136,'Cash Balance'!$A$2)</f>
        <v>0</v>
      </c>
      <c r="S223" s="817">
        <f>SUMIFS(Movement!$G$4:$G$2136,Movement!$M$4:$M$2136,"USD",Movement!$C$4:$C$2136,Table11[[#This Row],[ACCOUNT NUMBER]],Movement!$J$4:$J$2136,Table11[[#This Row],[ENTITY]],Movement!$O$4:$O$2136,'Cash Balance'!$A$2)</f>
        <v>0</v>
      </c>
      <c r="T223" s="1087">
        <f t="shared" si="24"/>
        <v>0</v>
      </c>
      <c r="U223" s="817"/>
      <c r="V223" s="817">
        <f>Table11[[#This Row],[CLOSING BALANCE (USD)]]-Table11[[#This Row],[CB_BS (USD)]]</f>
        <v>0</v>
      </c>
      <c r="W223" s="1156" t="str">
        <f>VLOOKUP('Cash Balance'!$C223,Table2[#All],MATCH('Cash Balance'!W$3,Acc_Char!$B$1:$I$1,0),0)</f>
        <v>Subsidiaries</v>
      </c>
      <c r="X223" s="1156" t="str">
        <f>VLOOKUP(IFERROR(MID($Y223,1,FIND("-",$Y223)-2),$Y223),Table3[#All],2,0)</f>
        <v>VTB</v>
      </c>
      <c r="Y223" s="1156" t="str">
        <f>VLOOKUP($B223,Table4[#All],2,0)</f>
        <v>VIETINBANK - TIEN SON</v>
      </c>
      <c r="Z223" s="1151"/>
      <c r="AA223" s="49"/>
      <c r="AE223" s="818">
        <f>SUM(Table11[[#This Row],[CASH IN - CREDIT (VND)]],Table11[[#This Row],[CASH IN - CREDIT (USD)]])</f>
        <v>0</v>
      </c>
      <c r="AF223" s="818">
        <f>Table11[[#This Row],[CASH OUT - DEBIT (VND)]]+Table11[[#This Row],[CASH OUT - DEBIT (USD)]]</f>
        <v>0</v>
      </c>
      <c r="AH223" s="1158"/>
      <c r="AI223" s="49"/>
      <c r="AJ223" s="1158"/>
      <c r="AL223"/>
      <c r="AM223"/>
    </row>
    <row r="224" spans="1:39" ht="14.4">
      <c r="A224" s="1153" t="str">
        <f>VLOOKUP('Cash Balance'!$C224,Table2[#All],MATCH('Cash Balance'!A$3,Acc_Char!$B$1:$I$1,0),0)</f>
        <v>HOLDCO4W</v>
      </c>
      <c r="B224" s="1154" t="str">
        <f>VLOOKUP('Cash Balance'!$C224,Table2[#All],MATCH('Cash Balance'!B$3,Acc_Char!$B$1:$I$1,0),0)</f>
        <v>VIETINBANK - TIEN SON</v>
      </c>
      <c r="C224" s="1185" t="s">
        <v>785</v>
      </c>
      <c r="D224" s="1156" t="str">
        <f>VLOOKUP('Cash Balance'!$C224,Table2[#All],MATCH('Cash Balance'!D$3,Acc_Char!$B$1:$I$1,0),0)</f>
        <v>Current Account</v>
      </c>
      <c r="E224" s="384" t="str">
        <f>VLOOKUP('Cash Balance'!$C224,Table2[#All],MATCH('Cash Balance'!E$3,Acc_Char!$B$1:$I$1,0),0)</f>
        <v>VND</v>
      </c>
      <c r="F224" s="1094"/>
      <c r="G224" s="1157"/>
      <c r="H224" s="1318">
        <f>SUMIFS('Cash balance (Prior period)'!F:F,'Cash balance (Prior period)'!C:C,Table11[[#This Row],[ACCOUNT NUMBER]],'Cash balance (Prior period)'!E:E,Table11[[#This Row],[CURRENCY]])</f>
        <v>40254255</v>
      </c>
      <c r="I224" s="1318">
        <f>SUMIFS(Movement!$F$4:$F$2136,Movement!$M$4:$M$2136,"VND",Movement!$C$4:$C$2136,Table11[[#This Row],[ACCOUNT NUMBER]],Movement!$J$4:$J$2136,Table11[[#This Row],[ENTITY]],Movement!$O$4:$O$2136,'Cash Balance'!$A$2)</f>
        <v>2268493</v>
      </c>
      <c r="J224" s="1318">
        <f>SUMIFS(Movement!$G$4:$G$2136,Movement!$M$4:$M$2136,"VND",Movement!$C$4:$C$2136,Table11[[#This Row],[ACCOUNT NUMBER]],Movement!$J$4:$J$2136,Table11[[#This Row],[ENTITY]],Movement!$O$4:$O$2136,'Cash Balance'!$A$2)</f>
        <v>0</v>
      </c>
      <c r="K224" s="1084">
        <f>Table11[[#This Row],[CASH IN - CREDIT (VND)]]-Table11[[#This Row],[CASH OUT - DEBIT (VND)]]</f>
        <v>2268493</v>
      </c>
      <c r="L224" s="1095">
        <f t="shared" si="22"/>
        <v>42522748</v>
      </c>
      <c r="M224" s="1184" t="e">
        <f>VLOOKUP(C224,'Cash balance (BS)'!A:D,4,)</f>
        <v>#N/A</v>
      </c>
      <c r="N224" s="1095" t="e">
        <f>Table11[[#This Row],[CLOSING BALANCE (VND)2]]-Table11[[#This Row],[CB_BS (VND)]]</f>
        <v>#N/A</v>
      </c>
      <c r="O224" s="1094">
        <v>0</v>
      </c>
      <c r="P224" s="1095">
        <f t="shared" si="23"/>
        <v>0</v>
      </c>
      <c r="Q224" s="817">
        <f>SUMIFS('Cash balance (Prior period)'!G:G,'Cash balance (Prior period)'!C:C,Table11[[#This Row],[ACCOUNT NUMBER]],'Cash balance (Prior period)'!E:E,Table11[[#This Row],[CURRENCY]])</f>
        <v>0</v>
      </c>
      <c r="R224" s="817">
        <f>SUMIFS(Movement!$F$4:$F$2136,Movement!$M$4:$M$2136,"USD",Movement!$C$4:$C$2136,Table11[[#This Row],[ACCOUNT NUMBER]],Movement!$J$4:$J$2136,Table11[[#This Row],[ENTITY]],Movement!$O$4:$O$2136,'Cash Balance'!$A$2)</f>
        <v>0</v>
      </c>
      <c r="S224" s="817">
        <f>SUMIFS(Movement!$G$4:$G$2136,Movement!$M$4:$M$2136,"USD",Movement!$C$4:$C$2136,Table11[[#This Row],[ACCOUNT NUMBER]],Movement!$J$4:$J$2136,Table11[[#This Row],[ENTITY]],Movement!$O$4:$O$2136,'Cash Balance'!$A$2)</f>
        <v>0</v>
      </c>
      <c r="T224" s="1087">
        <f t="shared" si="24"/>
        <v>0</v>
      </c>
      <c r="U224" s="817" t="e">
        <f>VLOOKUP(C224,'Cash balance (BS)'!A:D,4,)</f>
        <v>#N/A</v>
      </c>
      <c r="V224" s="817" t="e">
        <f>Table11[[#This Row],[CLOSING BALANCE (USD)]]-Table11[[#This Row],[CB_BS (USD)]]</f>
        <v>#N/A</v>
      </c>
      <c r="W224" s="1156" t="str">
        <f>VLOOKUP('Cash Balance'!$C224,Table2[#All],MATCH('Cash Balance'!W$3,Acc_Char!$B$1:$I$1,0),0)</f>
        <v>Subsidiaries</v>
      </c>
      <c r="X224" s="1156" t="str">
        <f>VLOOKUP(IFERROR(MID($Y224,1,FIND("-",$Y224)-2),$Y224),Table3[#All],2,0)</f>
        <v>VTB</v>
      </c>
      <c r="Y224" s="1156" t="str">
        <f>VLOOKUP($B224,Table4[#All],2,0)</f>
        <v>VIETINBANK - TIEN SON</v>
      </c>
      <c r="Z224" s="1151"/>
      <c r="AA224" s="49"/>
      <c r="AE224" s="818">
        <f>SUM(Table11[[#This Row],[CASH IN - CREDIT (VND)]],Table11[[#This Row],[CASH IN - CREDIT (USD)]])</f>
        <v>2268493</v>
      </c>
      <c r="AF224" s="818">
        <f>Table11[[#This Row],[CASH OUT - DEBIT (VND)]]+Table11[[#This Row],[CASH OUT - DEBIT (USD)]]</f>
        <v>0</v>
      </c>
      <c r="AH224" s="1158"/>
      <c r="AI224" s="49"/>
      <c r="AJ224" s="1158"/>
      <c r="AL224"/>
      <c r="AM224"/>
    </row>
    <row r="225" spans="1:39" ht="14.4">
      <c r="A225" s="1153" t="str">
        <f>VLOOKUP('Cash Balance'!$C225,Table2[#All],MATCH('Cash Balance'!A$3,Acc_Char!$B$1:$I$1,0),0)</f>
        <v>HOLDCO4X</v>
      </c>
      <c r="B225" s="1154" t="str">
        <f>VLOOKUP('Cash Balance'!$C225,Table2[#All],MATCH('Cash Balance'!B$3,Acc_Char!$B$1:$I$1,0),0)</f>
        <v>VIETINBANK - TIEN SON</v>
      </c>
      <c r="C225" s="1185" t="s">
        <v>787</v>
      </c>
      <c r="D225" s="1156" t="str">
        <f>VLOOKUP('Cash Balance'!$C225,Table2[#All],MATCH('Cash Balance'!D$3,Acc_Char!$B$1:$I$1,0),0)</f>
        <v>Current Account</v>
      </c>
      <c r="E225" s="384" t="str">
        <f>VLOOKUP('Cash Balance'!$C225,Table2[#All],MATCH('Cash Balance'!E$3,Acc_Char!$B$1:$I$1,0),0)</f>
        <v>VND</v>
      </c>
      <c r="F225" s="1094" t="e">
        <f>VLOOKUP(C225,'Cash balance (BS)'!A:C,3,)</f>
        <v>#N/A</v>
      </c>
      <c r="G225" s="1157" t="e">
        <f>F225-H225</f>
        <v>#N/A</v>
      </c>
      <c r="H225" s="1318">
        <f>SUMIFS('Cash balance (Prior period)'!F:F,'Cash balance (Prior period)'!C:C,Table11[[#This Row],[ACCOUNT NUMBER]],'Cash balance (Prior period)'!E:E,Table11[[#This Row],[CURRENCY]])</f>
        <v>79260179</v>
      </c>
      <c r="I225" s="1318">
        <f>SUMIFS(Movement!$F$4:$F$2136,Movement!$M$4:$M$2136,"VND",Movement!$C$4:$C$2136,Table11[[#This Row],[ACCOUNT NUMBER]],Movement!$J$4:$J$2136,Table11[[#This Row],[ENTITY]],Movement!$O$4:$O$2136,'Cash Balance'!$A$2)</f>
        <v>18147945</v>
      </c>
      <c r="J225" s="1318">
        <f>SUMIFS(Movement!$G$4:$G$2136,Movement!$M$4:$M$2136,"VND",Movement!$C$4:$C$2136,Table11[[#This Row],[ACCOUNT NUMBER]],Movement!$J$4:$J$2136,Table11[[#This Row],[ENTITY]],Movement!$O$4:$O$2136,'Cash Balance'!$A$2)</f>
        <v>0</v>
      </c>
      <c r="K225" s="1084">
        <f>Table11[[#This Row],[CASH IN - CREDIT (VND)]]-Table11[[#This Row],[CASH OUT - DEBIT (VND)]]</f>
        <v>18147945</v>
      </c>
      <c r="L225" s="1095">
        <f t="shared" si="22"/>
        <v>97408124</v>
      </c>
      <c r="M225" s="1184" t="e">
        <f>VLOOKUP(C225,'Cash balance (BS)'!A:D,4,)</f>
        <v>#N/A</v>
      </c>
      <c r="N225" s="1095" t="e">
        <f>Table11[[#This Row],[CLOSING BALANCE (VND)2]]-Table11[[#This Row],[CB_BS (VND)]]</f>
        <v>#N/A</v>
      </c>
      <c r="O225" s="1094">
        <v>0</v>
      </c>
      <c r="P225" s="1095">
        <f t="shared" si="23"/>
        <v>0</v>
      </c>
      <c r="Q225" s="817">
        <f>SUMIFS('Cash balance (Prior period)'!G:G,'Cash balance (Prior period)'!C:C,Table11[[#This Row],[ACCOUNT NUMBER]],'Cash balance (Prior period)'!E:E,Table11[[#This Row],[CURRENCY]])</f>
        <v>0</v>
      </c>
      <c r="R225" s="817">
        <f>SUMIFS(Movement!$F$4:$F$2136,Movement!$M$4:$M$2136,"USD",Movement!$C$4:$C$2136,Table11[[#This Row],[ACCOUNT NUMBER]],Movement!$J$4:$J$2136,Table11[[#This Row],[ENTITY]],Movement!$O$4:$O$2136,'Cash Balance'!$A$2)</f>
        <v>0</v>
      </c>
      <c r="S225" s="817">
        <f>SUMIFS(Movement!$G$4:$G$2136,Movement!$M$4:$M$2136,"USD",Movement!$C$4:$C$2136,Table11[[#This Row],[ACCOUNT NUMBER]],Movement!$J$4:$J$2136,Table11[[#This Row],[ENTITY]],Movement!$O$4:$O$2136,'Cash Balance'!$A$2)</f>
        <v>0</v>
      </c>
      <c r="T225" s="1087">
        <f t="shared" si="24"/>
        <v>0</v>
      </c>
      <c r="U225" s="817"/>
      <c r="V225" s="817">
        <f>Table11[[#This Row],[CLOSING BALANCE (USD)]]-Table11[[#This Row],[CB_BS (USD)]]</f>
        <v>0</v>
      </c>
      <c r="W225" s="1156" t="str">
        <f>VLOOKUP('Cash Balance'!$C225,Table2[#All],MATCH('Cash Balance'!W$3,Acc_Char!$B$1:$I$1,0),0)</f>
        <v>Subsidiaries</v>
      </c>
      <c r="X225" s="1156" t="str">
        <f>VLOOKUP(IFERROR(MID($Y225,1,FIND("-",$Y225)-2),$Y225),Table3[#All],2,0)</f>
        <v>VTB</v>
      </c>
      <c r="Y225" s="1156" t="str">
        <f>VLOOKUP($B225,Table4[#All],2,0)</f>
        <v>VIETINBANK - TIEN SON</v>
      </c>
      <c r="Z225" s="1151"/>
      <c r="AA225" s="49"/>
      <c r="AE225" s="818">
        <f>SUM(Table11[[#This Row],[CASH IN - CREDIT (VND)]],Table11[[#This Row],[CASH IN - CREDIT (USD)]])</f>
        <v>18147945</v>
      </c>
      <c r="AF225" s="818">
        <f>Table11[[#This Row],[CASH OUT - DEBIT (VND)]]+Table11[[#This Row],[CASH OUT - DEBIT (USD)]]</f>
        <v>0</v>
      </c>
      <c r="AH225" s="1158"/>
      <c r="AI225" s="49"/>
      <c r="AJ225" s="1158"/>
      <c r="AL225"/>
      <c r="AM225"/>
    </row>
    <row r="226" spans="1:39" ht="14.4">
      <c r="A226" s="1153" t="str">
        <f>VLOOKUP('Cash Balance'!$C226,Table2[#All],MATCH('Cash Balance'!A$3,Acc_Char!$B$1:$I$1,0),0)</f>
        <v>HOLDCO5Q</v>
      </c>
      <c r="B226" s="1154" t="str">
        <f>VLOOKUP('Cash Balance'!$C226,Table2[#All],MATCH('Cash Balance'!B$3,Acc_Char!$B$1:$I$1,0),0)</f>
        <v>VIETINBANK - TIEN SON</v>
      </c>
      <c r="C226" s="1185" t="s">
        <v>789</v>
      </c>
      <c r="D226" s="1156" t="str">
        <f>VLOOKUP('Cash Balance'!$C226,Table2[#All],MATCH('Cash Balance'!D$3,Acc_Char!$B$1:$I$1,0),0)</f>
        <v>Current Account</v>
      </c>
      <c r="E226" s="384" t="str">
        <f>VLOOKUP('Cash Balance'!$C226,Table2[#All],MATCH('Cash Balance'!E$3,Acc_Char!$B$1:$I$1,0),0)</f>
        <v>VND</v>
      </c>
      <c r="F226" s="1094"/>
      <c r="G226" s="1157"/>
      <c r="H226" s="1318">
        <f>SUMIFS('Cash balance (Prior period)'!F:F,'Cash balance (Prior period)'!C:C,Table11[[#This Row],[ACCOUNT NUMBER]],'Cash balance (Prior period)'!E:E,Table11[[#This Row],[CURRENCY]])</f>
        <v>110950995</v>
      </c>
      <c r="I226" s="1318">
        <f>SUMIFS(Movement!$F$4:$F$2136,Movement!$M$4:$M$2136,"VND",Movement!$C$4:$C$2136,Table11[[#This Row],[ACCOUNT NUMBER]],Movement!$J$4:$J$2136,Table11[[#This Row],[ENTITY]],Movement!$O$4:$O$2136,'Cash Balance'!$A$2)</f>
        <v>0</v>
      </c>
      <c r="J226" s="1318">
        <f>SUMIFS(Movement!$G$4:$G$2136,Movement!$M$4:$M$2136,"VND",Movement!$C$4:$C$2136,Table11[[#This Row],[ACCOUNT NUMBER]],Movement!$J$4:$J$2136,Table11[[#This Row],[ENTITY]],Movement!$O$4:$O$2136,'Cash Balance'!$A$2)</f>
        <v>0</v>
      </c>
      <c r="K226" s="1084">
        <f>Table11[[#This Row],[CASH IN - CREDIT (VND)]]-Table11[[#This Row],[CASH OUT - DEBIT (VND)]]</f>
        <v>0</v>
      </c>
      <c r="L226" s="1095">
        <f t="shared" si="22"/>
        <v>110950995</v>
      </c>
      <c r="M226" s="1184" t="e">
        <f>VLOOKUP(C226,'Cash balance (BS)'!A:D,4,)</f>
        <v>#N/A</v>
      </c>
      <c r="N226" s="1095" t="e">
        <f>Table11[[#This Row],[CLOSING BALANCE (VND)2]]-Table11[[#This Row],[CB_BS (VND)]]</f>
        <v>#N/A</v>
      </c>
      <c r="O226" s="1094">
        <v>0</v>
      </c>
      <c r="P226" s="1095">
        <f t="shared" si="23"/>
        <v>0</v>
      </c>
      <c r="Q226" s="817">
        <f>SUMIFS('Cash balance (Prior period)'!G:G,'Cash balance (Prior period)'!C:C,Table11[[#This Row],[ACCOUNT NUMBER]],'Cash balance (Prior period)'!E:E,Table11[[#This Row],[CURRENCY]])</f>
        <v>0</v>
      </c>
      <c r="R226" s="817">
        <f>SUMIFS(Movement!$F$4:$F$2136,Movement!$M$4:$M$2136,"USD",Movement!$C$4:$C$2136,Table11[[#This Row],[ACCOUNT NUMBER]],Movement!$J$4:$J$2136,Table11[[#This Row],[ENTITY]],Movement!$O$4:$O$2136,'Cash Balance'!$A$2)</f>
        <v>0</v>
      </c>
      <c r="S226" s="817">
        <f>SUMIFS(Movement!$G$4:$G$2136,Movement!$M$4:$M$2136,"USD",Movement!$C$4:$C$2136,Table11[[#This Row],[ACCOUNT NUMBER]],Movement!$J$4:$J$2136,Table11[[#This Row],[ENTITY]],Movement!$O$4:$O$2136,'Cash Balance'!$A$2)</f>
        <v>0</v>
      </c>
      <c r="T226" s="1087">
        <f t="shared" si="24"/>
        <v>0</v>
      </c>
      <c r="U226" s="817" t="e">
        <f>VLOOKUP(C226,'Cash balance (BS)'!A:D,4,)</f>
        <v>#N/A</v>
      </c>
      <c r="V226" s="817" t="e">
        <f>Table11[[#This Row],[CLOSING BALANCE (USD)]]-Table11[[#This Row],[CB_BS (USD)]]</f>
        <v>#N/A</v>
      </c>
      <c r="W226" s="1156" t="str">
        <f>VLOOKUP('Cash Balance'!$C226,Table2[#All],MATCH('Cash Balance'!W$3,Acc_Char!$B$1:$I$1,0),0)</f>
        <v>Subsidiaries</v>
      </c>
      <c r="X226" s="1156" t="str">
        <f>VLOOKUP(IFERROR(MID($Y226,1,FIND("-",$Y226)-2),$Y226),Table3[#All],2,0)</f>
        <v>VTB</v>
      </c>
      <c r="Y226" s="1156" t="str">
        <f>VLOOKUP($B226,Table4[#All],2,0)</f>
        <v>VIETINBANK - TIEN SON</v>
      </c>
      <c r="Z226" s="1151"/>
      <c r="AA226" s="49"/>
      <c r="AE226" s="818">
        <f>SUM(Table11[[#This Row],[CASH IN - CREDIT (VND)]],Table11[[#This Row],[CASH IN - CREDIT (USD)]])</f>
        <v>0</v>
      </c>
      <c r="AF226" s="818">
        <f>Table11[[#This Row],[CASH OUT - DEBIT (VND)]]+Table11[[#This Row],[CASH OUT - DEBIT (USD)]]</f>
        <v>0</v>
      </c>
      <c r="AH226" s="1158"/>
      <c r="AI226" s="49"/>
      <c r="AJ226" s="1158"/>
      <c r="AL226"/>
      <c r="AM226"/>
    </row>
    <row r="227" spans="1:39" ht="14.4">
      <c r="A227" s="1153" t="str">
        <f>VLOOKUP('Cash Balance'!$C227,Table2[#All],MATCH('Cash Balance'!A$3,Acc_Char!$B$1:$I$1,0),0)</f>
        <v>HOLDCO5R</v>
      </c>
      <c r="B227" s="1154" t="str">
        <f>VLOOKUP('Cash Balance'!$C227,Table2[#All],MATCH('Cash Balance'!B$3,Acc_Char!$B$1:$I$1,0),0)</f>
        <v>VIETINBANK - TIEN SON</v>
      </c>
      <c r="C227" s="1185" t="s">
        <v>791</v>
      </c>
      <c r="D227" s="1156" t="str">
        <f>VLOOKUP('Cash Balance'!$C227,Table2[#All],MATCH('Cash Balance'!D$3,Acc_Char!$B$1:$I$1,0),0)</f>
        <v>Current Account</v>
      </c>
      <c r="E227" s="384" t="str">
        <f>VLOOKUP('Cash Balance'!$C227,Table2[#All],MATCH('Cash Balance'!E$3,Acc_Char!$B$1:$I$1,0),0)</f>
        <v>VND</v>
      </c>
      <c r="F227" s="1094" t="e">
        <f>VLOOKUP(C227,'Cash balance (BS)'!A:C,3,)</f>
        <v>#N/A</v>
      </c>
      <c r="G227" s="1157" t="e">
        <f>F227-H227</f>
        <v>#N/A</v>
      </c>
      <c r="H227" s="1318">
        <f>SUMIFS('Cash balance (Prior period)'!F:F,'Cash balance (Prior period)'!C:C,Table11[[#This Row],[ACCOUNT NUMBER]],'Cash balance (Prior period)'!E:E,Table11[[#This Row],[CURRENCY]])</f>
        <v>64326384</v>
      </c>
      <c r="I227" s="1318">
        <f>SUMIFS(Movement!$F$4:$F$2136,Movement!$M$4:$M$2136,"VND",Movement!$C$4:$C$2136,Table11[[#This Row],[ACCOUNT NUMBER]],Movement!$J$4:$J$2136,Table11[[#This Row],[ENTITY]],Movement!$O$4:$O$2136,'Cash Balance'!$A$2)</f>
        <v>6805479</v>
      </c>
      <c r="J227" s="1318">
        <f>SUMIFS(Movement!$G$4:$G$2136,Movement!$M$4:$M$2136,"VND",Movement!$C$4:$C$2136,Table11[[#This Row],[ACCOUNT NUMBER]],Movement!$J$4:$J$2136,Table11[[#This Row],[ENTITY]],Movement!$O$4:$O$2136,'Cash Balance'!$A$2)</f>
        <v>0</v>
      </c>
      <c r="K227" s="1084">
        <f>Table11[[#This Row],[CASH IN - CREDIT (VND)]]-Table11[[#This Row],[CASH OUT - DEBIT (VND)]]</f>
        <v>6805479</v>
      </c>
      <c r="L227" s="1095">
        <f t="shared" si="22"/>
        <v>71131863</v>
      </c>
      <c r="M227" s="1184" t="e">
        <f>VLOOKUP(C227,'Cash balance (BS)'!A:D,4,)</f>
        <v>#N/A</v>
      </c>
      <c r="N227" s="1095" t="e">
        <f>Table11[[#This Row],[CLOSING BALANCE (VND)2]]-Table11[[#This Row],[CB_BS (VND)]]</f>
        <v>#N/A</v>
      </c>
      <c r="O227" s="1094">
        <v>0</v>
      </c>
      <c r="P227" s="1095">
        <f t="shared" si="23"/>
        <v>0</v>
      </c>
      <c r="Q227" s="817">
        <f>SUMIFS('Cash balance (Prior period)'!G:G,'Cash balance (Prior period)'!C:C,Table11[[#This Row],[ACCOUNT NUMBER]],'Cash balance (Prior period)'!E:E,Table11[[#This Row],[CURRENCY]])</f>
        <v>0</v>
      </c>
      <c r="R227" s="817">
        <f>SUMIFS(Movement!$F$4:$F$2136,Movement!$M$4:$M$2136,"USD",Movement!$C$4:$C$2136,Table11[[#This Row],[ACCOUNT NUMBER]],Movement!$J$4:$J$2136,Table11[[#This Row],[ENTITY]],Movement!$O$4:$O$2136,'Cash Balance'!$A$2)</f>
        <v>0</v>
      </c>
      <c r="S227" s="817">
        <f>SUMIFS(Movement!$G$4:$G$2136,Movement!$M$4:$M$2136,"USD",Movement!$C$4:$C$2136,Table11[[#This Row],[ACCOUNT NUMBER]],Movement!$J$4:$J$2136,Table11[[#This Row],[ENTITY]],Movement!$O$4:$O$2136,'Cash Balance'!$A$2)</f>
        <v>0</v>
      </c>
      <c r="T227" s="1087">
        <f t="shared" si="24"/>
        <v>0</v>
      </c>
      <c r="U227" s="817"/>
      <c r="V227" s="817">
        <f>Table11[[#This Row],[CLOSING BALANCE (USD)]]-Table11[[#This Row],[CB_BS (USD)]]</f>
        <v>0</v>
      </c>
      <c r="W227" s="1156" t="str">
        <f>VLOOKUP('Cash Balance'!$C227,Table2[#All],MATCH('Cash Balance'!W$3,Acc_Char!$B$1:$I$1,0),0)</f>
        <v>Subsidiaries</v>
      </c>
      <c r="X227" s="1156" t="str">
        <f>VLOOKUP(IFERROR(MID($Y227,1,FIND("-",$Y227)-2),$Y227),Table3[#All],2,0)</f>
        <v>VTB</v>
      </c>
      <c r="Y227" s="1156" t="str">
        <f>VLOOKUP($B227,Table4[#All],2,0)</f>
        <v>VIETINBANK - TIEN SON</v>
      </c>
      <c r="Z227" s="1151"/>
      <c r="AA227" s="49"/>
      <c r="AE227" s="818">
        <f>SUM(Table11[[#This Row],[CASH IN - CREDIT (VND)]],Table11[[#This Row],[CASH IN - CREDIT (USD)]])</f>
        <v>6805479</v>
      </c>
      <c r="AF227" s="818">
        <f>Table11[[#This Row],[CASH OUT - DEBIT (VND)]]+Table11[[#This Row],[CASH OUT - DEBIT (USD)]]</f>
        <v>0</v>
      </c>
      <c r="AH227" s="1158"/>
      <c r="AI227" s="49"/>
      <c r="AJ227" s="1158"/>
      <c r="AL227"/>
      <c r="AM227"/>
    </row>
    <row r="228" spans="1:39" ht="14.4">
      <c r="A228" s="1153" t="str">
        <f>VLOOKUP('Cash Balance'!$C228,Table2[#All],MATCH('Cash Balance'!A$3,Acc_Char!$B$1:$I$1,0),0)</f>
        <v>HOLDCO5S</v>
      </c>
      <c r="B228" s="1154" t="str">
        <f>VLOOKUP('Cash Balance'!$C228,Table2[#All],MATCH('Cash Balance'!B$3,Acc_Char!$B$1:$I$1,0),0)</f>
        <v>VIETINBANK - TIEN SON</v>
      </c>
      <c r="C228" s="1189" t="s">
        <v>793</v>
      </c>
      <c r="D228" s="1156" t="str">
        <f>VLOOKUP('Cash Balance'!$C228,Table2[#All],MATCH('Cash Balance'!D$3,Acc_Char!$B$1:$I$1,0),0)</f>
        <v>Current Account</v>
      </c>
      <c r="E228" s="384" t="str">
        <f>VLOOKUP('Cash Balance'!$C228,Table2[#All],MATCH('Cash Balance'!E$3,Acc_Char!$B$1:$I$1,0),0)</f>
        <v>VND</v>
      </c>
      <c r="F228" s="1094"/>
      <c r="G228" s="1157"/>
      <c r="H228" s="1318">
        <f>SUMIFS('Cash balance (Prior period)'!F:F,'Cash balance (Prior period)'!C:C,Table11[[#This Row],[ACCOUNT NUMBER]],'Cash balance (Prior period)'!E:E,Table11[[#This Row],[CURRENCY]])</f>
        <v>109241629</v>
      </c>
      <c r="I228" s="1318">
        <f>SUMIFS(Movement!$F$4:$F$2136,Movement!$M$4:$M$2136,"VND",Movement!$C$4:$C$2136,Table11[[#This Row],[ACCOUNT NUMBER]],Movement!$J$4:$J$2136,Table11[[#This Row],[ENTITY]],Movement!$O$4:$O$2136,'Cash Balance'!$A$2)</f>
        <v>0</v>
      </c>
      <c r="J228" s="1318">
        <f>SUMIFS(Movement!$G$4:$G$2136,Movement!$M$4:$M$2136,"VND",Movement!$C$4:$C$2136,Table11[[#This Row],[ACCOUNT NUMBER]],Movement!$J$4:$J$2136,Table11[[#This Row],[ENTITY]],Movement!$O$4:$O$2136,'Cash Balance'!$A$2)</f>
        <v>0</v>
      </c>
      <c r="K228" s="1084">
        <f>Table11[[#This Row],[CASH IN - CREDIT (VND)]]-Table11[[#This Row],[CASH OUT - DEBIT (VND)]]</f>
        <v>0</v>
      </c>
      <c r="L228" s="1095">
        <f t="shared" si="22"/>
        <v>109241629</v>
      </c>
      <c r="M228" s="1184" t="e">
        <f>VLOOKUP(C228,'Cash balance (BS)'!A:D,4,)</f>
        <v>#N/A</v>
      </c>
      <c r="N228" s="1095" t="e">
        <f>Table11[[#This Row],[CLOSING BALANCE (VND)2]]-Table11[[#This Row],[CB_BS (VND)]]</f>
        <v>#N/A</v>
      </c>
      <c r="O228" s="1094">
        <v>0</v>
      </c>
      <c r="P228" s="1095">
        <f t="shared" si="23"/>
        <v>0</v>
      </c>
      <c r="Q228" s="817">
        <f>SUMIFS('Cash balance (Prior period)'!G:G,'Cash balance (Prior period)'!C:C,Table11[[#This Row],[ACCOUNT NUMBER]],'Cash balance (Prior period)'!E:E,Table11[[#This Row],[CURRENCY]])</f>
        <v>0</v>
      </c>
      <c r="R228" s="817">
        <f>SUMIFS(Movement!$F$4:$F$2136,Movement!$M$4:$M$2136,"USD",Movement!$C$4:$C$2136,Table11[[#This Row],[ACCOUNT NUMBER]],Movement!$J$4:$J$2136,Table11[[#This Row],[ENTITY]],Movement!$O$4:$O$2136,'Cash Balance'!$A$2)</f>
        <v>0</v>
      </c>
      <c r="S228" s="817">
        <f>SUMIFS(Movement!$G$4:$G$2136,Movement!$M$4:$M$2136,"USD",Movement!$C$4:$C$2136,Table11[[#This Row],[ACCOUNT NUMBER]],Movement!$J$4:$J$2136,Table11[[#This Row],[ENTITY]],Movement!$O$4:$O$2136,'Cash Balance'!$A$2)</f>
        <v>0</v>
      </c>
      <c r="T228" s="1087">
        <f t="shared" si="24"/>
        <v>0</v>
      </c>
      <c r="U228" s="817" t="e">
        <f>VLOOKUP(C228,'Cash balance (BS)'!A:D,4,)</f>
        <v>#N/A</v>
      </c>
      <c r="V228" s="817" t="e">
        <f>Table11[[#This Row],[CLOSING BALANCE (USD)]]-Table11[[#This Row],[CB_BS (USD)]]</f>
        <v>#N/A</v>
      </c>
      <c r="W228" s="1156" t="str">
        <f>VLOOKUP('Cash Balance'!$C228,Table2[#All],MATCH('Cash Balance'!W$3,Acc_Char!$B$1:$I$1,0),0)</f>
        <v>Subsidiaries</v>
      </c>
      <c r="X228" s="1156" t="str">
        <f>VLOOKUP(IFERROR(MID($Y228,1,FIND("-",$Y228)-2),$Y228),Table3[#All],2,0)</f>
        <v>VTB</v>
      </c>
      <c r="Y228" s="1156" t="str">
        <f>VLOOKUP($B228,Table4[#All],2,0)</f>
        <v>VIETINBANK - TIEN SON</v>
      </c>
      <c r="Z228" s="1151"/>
      <c r="AA228" s="49"/>
      <c r="AE228" s="818">
        <f>SUM(Table11[[#This Row],[CASH IN - CREDIT (VND)]],Table11[[#This Row],[CASH IN - CREDIT (USD)]])</f>
        <v>0</v>
      </c>
      <c r="AF228" s="818">
        <f>Table11[[#This Row],[CASH OUT - DEBIT (VND)]]+Table11[[#This Row],[CASH OUT - DEBIT (USD)]]</f>
        <v>0</v>
      </c>
      <c r="AH228" s="1158"/>
      <c r="AI228" s="49"/>
      <c r="AJ228" s="1158"/>
      <c r="AL228"/>
      <c r="AM228"/>
    </row>
    <row r="229" spans="1:39" ht="14.4">
      <c r="A229" s="1153" t="str">
        <f>VLOOKUP('Cash Balance'!$C229,Table2[#All],MATCH('Cash Balance'!A$3,Acc_Char!$B$1:$I$1,0),0)</f>
        <v>HOLDCO5T</v>
      </c>
      <c r="B229" s="1154" t="str">
        <f>VLOOKUP('Cash Balance'!$C229,Table2[#All],MATCH('Cash Balance'!B$3,Acc_Char!$B$1:$I$1,0),0)</f>
        <v>VIETINBANK - TIEN SON</v>
      </c>
      <c r="C229" s="1185" t="s">
        <v>795</v>
      </c>
      <c r="D229" s="1156" t="str">
        <f>VLOOKUP('Cash Balance'!$C229,Table2[#All],MATCH('Cash Balance'!D$3,Acc_Char!$B$1:$I$1,0),0)</f>
        <v>Current Account</v>
      </c>
      <c r="E229" s="384" t="str">
        <f>VLOOKUP('Cash Balance'!$C229,Table2[#All],MATCH('Cash Balance'!E$3,Acc_Char!$B$1:$I$1,0),0)</f>
        <v>VND</v>
      </c>
      <c r="F229" s="1094" t="e">
        <f>VLOOKUP(C229,'Cash balance (BS)'!A:C,3,)</f>
        <v>#N/A</v>
      </c>
      <c r="G229" s="1157" t="e">
        <f>F229-H229</f>
        <v>#N/A</v>
      </c>
      <c r="H229" s="1318">
        <f>SUMIFS('Cash balance (Prior period)'!F:F,'Cash balance (Prior period)'!C:C,Table11[[#This Row],[ACCOUNT NUMBER]],'Cash balance (Prior period)'!E:E,Table11[[#This Row],[CURRENCY]])</f>
        <v>62789396</v>
      </c>
      <c r="I229" s="1318">
        <f>SUMIFS(Movement!$F$4:$F$2136,Movement!$M$4:$M$2136,"VND",Movement!$C$4:$C$2136,Table11[[#This Row],[ACCOUNT NUMBER]],Movement!$J$4:$J$2136,Table11[[#This Row],[ENTITY]],Movement!$O$4:$O$2136,'Cash Balance'!$A$2)</f>
        <v>2268493</v>
      </c>
      <c r="J229" s="1318">
        <f>SUMIFS(Movement!$G$4:$G$2136,Movement!$M$4:$M$2136,"VND",Movement!$C$4:$C$2136,Table11[[#This Row],[ACCOUNT NUMBER]],Movement!$J$4:$J$2136,Table11[[#This Row],[ENTITY]],Movement!$O$4:$O$2136,'Cash Balance'!$A$2)</f>
        <v>0</v>
      </c>
      <c r="K229" s="1084">
        <f>Table11[[#This Row],[CASH IN - CREDIT (VND)]]-Table11[[#This Row],[CASH OUT - DEBIT (VND)]]</f>
        <v>2268493</v>
      </c>
      <c r="L229" s="1095">
        <f t="shared" si="22"/>
        <v>65057889</v>
      </c>
      <c r="M229" s="1184" t="e">
        <f>VLOOKUP(C229,'Cash balance (BS)'!A:D,4,)</f>
        <v>#N/A</v>
      </c>
      <c r="N229" s="1095" t="e">
        <f>Table11[[#This Row],[CLOSING BALANCE (VND)2]]-Table11[[#This Row],[CB_BS (VND)]]</f>
        <v>#N/A</v>
      </c>
      <c r="O229" s="1094">
        <v>0</v>
      </c>
      <c r="P229" s="1095">
        <f t="shared" si="23"/>
        <v>0</v>
      </c>
      <c r="Q229" s="817">
        <f>SUMIFS('Cash balance (Prior period)'!G:G,'Cash balance (Prior period)'!C:C,Table11[[#This Row],[ACCOUNT NUMBER]],'Cash balance (Prior period)'!E:E,Table11[[#This Row],[CURRENCY]])</f>
        <v>0</v>
      </c>
      <c r="R229" s="817">
        <f>SUMIFS(Movement!$F$4:$F$2136,Movement!$M$4:$M$2136,"USD",Movement!$C$4:$C$2136,Table11[[#This Row],[ACCOUNT NUMBER]],Movement!$J$4:$J$2136,Table11[[#This Row],[ENTITY]],Movement!$O$4:$O$2136,'Cash Balance'!$A$2)</f>
        <v>0</v>
      </c>
      <c r="S229" s="817">
        <f>SUMIFS(Movement!$G$4:$G$2136,Movement!$M$4:$M$2136,"USD",Movement!$C$4:$C$2136,Table11[[#This Row],[ACCOUNT NUMBER]],Movement!$J$4:$J$2136,Table11[[#This Row],[ENTITY]],Movement!$O$4:$O$2136,'Cash Balance'!$A$2)</f>
        <v>0</v>
      </c>
      <c r="T229" s="1087">
        <f t="shared" si="24"/>
        <v>0</v>
      </c>
      <c r="U229" s="817"/>
      <c r="V229" s="817">
        <f>Table11[[#This Row],[CLOSING BALANCE (USD)]]-Table11[[#This Row],[CB_BS (USD)]]</f>
        <v>0</v>
      </c>
      <c r="W229" s="1156" t="str">
        <f>VLOOKUP('Cash Balance'!$C229,Table2[#All],MATCH('Cash Balance'!W$3,Acc_Char!$B$1:$I$1,0),0)</f>
        <v>Subsidiaries</v>
      </c>
      <c r="X229" s="1156" t="str">
        <f>VLOOKUP(IFERROR(MID($Y229,1,FIND("-",$Y229)-2),$Y229),Table3[#All],2,0)</f>
        <v>VTB</v>
      </c>
      <c r="Y229" s="1156" t="str">
        <f>VLOOKUP($B229,Table4[#All],2,0)</f>
        <v>VIETINBANK - TIEN SON</v>
      </c>
      <c r="Z229" s="1151"/>
      <c r="AA229" s="49"/>
      <c r="AE229" s="818">
        <f>SUM(Table11[[#This Row],[CASH IN - CREDIT (VND)]],Table11[[#This Row],[CASH IN - CREDIT (USD)]])</f>
        <v>2268493</v>
      </c>
      <c r="AF229" s="818">
        <f>Table11[[#This Row],[CASH OUT - DEBIT (VND)]]+Table11[[#This Row],[CASH OUT - DEBIT (USD)]]</f>
        <v>0</v>
      </c>
      <c r="AH229" s="1158"/>
      <c r="AI229" s="49"/>
      <c r="AJ229" s="1158"/>
      <c r="AL229"/>
      <c r="AM229"/>
    </row>
    <row r="230" spans="1:39" ht="14.4">
      <c r="A230" s="1153" t="str">
        <f>VLOOKUP('Cash Balance'!$C230,Table2[#All],MATCH('Cash Balance'!A$3,Acc_Char!$B$1:$I$1,0),0)</f>
        <v>HOLDCO5U</v>
      </c>
      <c r="B230" s="1154" t="str">
        <f>VLOOKUP('Cash Balance'!$C230,Table2[#All],MATCH('Cash Balance'!B$3,Acc_Char!$B$1:$I$1,0),0)</f>
        <v>VIETINBANK - TIEN SON</v>
      </c>
      <c r="C230" s="1185" t="s">
        <v>797</v>
      </c>
      <c r="D230" s="1156" t="str">
        <f>VLOOKUP('Cash Balance'!$C230,Table2[#All],MATCH('Cash Balance'!D$3,Acc_Char!$B$1:$I$1,0),0)</f>
        <v>Current Account</v>
      </c>
      <c r="E230" s="384" t="str">
        <f>VLOOKUP('Cash Balance'!$C230,Table2[#All],MATCH('Cash Balance'!E$3,Acc_Char!$B$1:$I$1,0),0)</f>
        <v>VND</v>
      </c>
      <c r="F230" s="1094"/>
      <c r="G230" s="1157"/>
      <c r="H230" s="1318">
        <f>SUMIFS('Cash balance (Prior period)'!F:F,'Cash balance (Prior period)'!C:C,Table11[[#This Row],[ACCOUNT NUMBER]],'Cash balance (Prior period)'!E:E,Table11[[#This Row],[CURRENCY]])</f>
        <v>56648890</v>
      </c>
      <c r="I230" s="1318">
        <f>SUMIFS(Movement!$F$4:$F$2136,Movement!$M$4:$M$2136,"VND",Movement!$C$4:$C$2136,Table11[[#This Row],[ACCOUNT NUMBER]],Movement!$J$4:$J$2136,Table11[[#This Row],[ENTITY]],Movement!$O$4:$O$2136,'Cash Balance'!$A$2)</f>
        <v>2268493</v>
      </c>
      <c r="J230" s="1318">
        <f>SUMIFS(Movement!$G$4:$G$2136,Movement!$M$4:$M$2136,"VND",Movement!$C$4:$C$2136,Table11[[#This Row],[ACCOUNT NUMBER]],Movement!$J$4:$J$2136,Table11[[#This Row],[ENTITY]],Movement!$O$4:$O$2136,'Cash Balance'!$A$2)</f>
        <v>0</v>
      </c>
      <c r="K230" s="1084">
        <f>Table11[[#This Row],[CASH IN - CREDIT (VND)]]-Table11[[#This Row],[CASH OUT - DEBIT (VND)]]</f>
        <v>2268493</v>
      </c>
      <c r="L230" s="1095">
        <f t="shared" si="22"/>
        <v>58917383</v>
      </c>
      <c r="M230" s="1184" t="e">
        <f>VLOOKUP(C230,'Cash balance (BS)'!A:D,4,)</f>
        <v>#N/A</v>
      </c>
      <c r="N230" s="1095" t="e">
        <f>Table11[[#This Row],[CLOSING BALANCE (VND)2]]-Table11[[#This Row],[CB_BS (VND)]]</f>
        <v>#N/A</v>
      </c>
      <c r="O230" s="1094">
        <v>0</v>
      </c>
      <c r="P230" s="1095">
        <f t="shared" si="23"/>
        <v>0</v>
      </c>
      <c r="Q230" s="817">
        <f>SUMIFS('Cash balance (Prior period)'!G:G,'Cash balance (Prior period)'!C:C,Table11[[#This Row],[ACCOUNT NUMBER]],'Cash balance (Prior period)'!E:E,Table11[[#This Row],[CURRENCY]])</f>
        <v>0</v>
      </c>
      <c r="R230" s="817">
        <f>SUMIFS(Movement!$F$4:$F$2136,Movement!$M$4:$M$2136,"USD",Movement!$C$4:$C$2136,Table11[[#This Row],[ACCOUNT NUMBER]],Movement!$J$4:$J$2136,Table11[[#This Row],[ENTITY]],Movement!$O$4:$O$2136,'Cash Balance'!$A$2)</f>
        <v>0</v>
      </c>
      <c r="S230" s="817">
        <f>SUMIFS(Movement!$G$4:$G$2136,Movement!$M$4:$M$2136,"USD",Movement!$C$4:$C$2136,Table11[[#This Row],[ACCOUNT NUMBER]],Movement!$J$4:$J$2136,Table11[[#This Row],[ENTITY]],Movement!$O$4:$O$2136,'Cash Balance'!$A$2)</f>
        <v>0</v>
      </c>
      <c r="T230" s="1087">
        <f t="shared" si="24"/>
        <v>0</v>
      </c>
      <c r="U230" s="817" t="e">
        <f>VLOOKUP(C230,'Cash balance (BS)'!A:D,4,)</f>
        <v>#N/A</v>
      </c>
      <c r="V230" s="817" t="e">
        <f>Table11[[#This Row],[CLOSING BALANCE (USD)]]-Table11[[#This Row],[CB_BS (USD)]]</f>
        <v>#N/A</v>
      </c>
      <c r="W230" s="1156" t="str">
        <f>VLOOKUP('Cash Balance'!$C230,Table2[#All],MATCH('Cash Balance'!W$3,Acc_Char!$B$1:$I$1,0),0)</f>
        <v>Subsidiaries</v>
      </c>
      <c r="X230" s="1156" t="str">
        <f>VLOOKUP(IFERROR(MID($Y230,1,FIND("-",$Y230)-2),$Y230),Table3[#All],2,0)</f>
        <v>VTB</v>
      </c>
      <c r="Y230" s="1156" t="str">
        <f>VLOOKUP($B230,Table4[#All],2,0)</f>
        <v>VIETINBANK - TIEN SON</v>
      </c>
      <c r="Z230" s="1151"/>
      <c r="AA230" s="49"/>
      <c r="AE230" s="818">
        <f>SUM(Table11[[#This Row],[CASH IN - CREDIT (VND)]],Table11[[#This Row],[CASH IN - CREDIT (USD)]])</f>
        <v>2268493</v>
      </c>
      <c r="AF230" s="818">
        <f>Table11[[#This Row],[CASH OUT - DEBIT (VND)]]+Table11[[#This Row],[CASH OUT - DEBIT (USD)]]</f>
        <v>0</v>
      </c>
      <c r="AH230" s="1158"/>
      <c r="AI230" s="49"/>
      <c r="AJ230" s="1158"/>
      <c r="AL230"/>
      <c r="AM230"/>
    </row>
    <row r="231" spans="1:39" ht="14.4">
      <c r="A231" s="1153" t="str">
        <f>VLOOKUP('Cash Balance'!$C231,Table2[#All],MATCH('Cash Balance'!A$3,Acc_Char!$B$1:$I$1,0),0)</f>
        <v>TH1 HOLDCO</v>
      </c>
      <c r="B231" s="1154" t="str">
        <f>VLOOKUP('Cash Balance'!$C231,Table2[#All],MATCH('Cash Balance'!B$3,Acc_Char!$B$1:$I$1,0),0)</f>
        <v>OCB - BINH DUONG</v>
      </c>
      <c r="C231" s="1185" t="s">
        <v>798</v>
      </c>
      <c r="D231" s="1156" t="str">
        <f>VLOOKUP('Cash Balance'!$C231,Table2[#All],MATCH('Cash Balance'!D$3,Acc_Char!$B$1:$I$1,0),0)</f>
        <v>Current Account</v>
      </c>
      <c r="E231" s="384" t="str">
        <f>VLOOKUP('Cash Balance'!$C231,Table2[#All],MATCH('Cash Balance'!E$3,Acc_Char!$B$1:$I$1,0),0)</f>
        <v>VND</v>
      </c>
      <c r="F231" s="1094" t="e">
        <f>VLOOKUP(C231,'Cash balance (BS)'!A:C,3,)</f>
        <v>#N/A</v>
      </c>
      <c r="G231" s="1157" t="e">
        <f>F231-H231</f>
        <v>#N/A</v>
      </c>
      <c r="H231" s="1318">
        <f>SUMIFS('Cash balance (Prior period)'!F:F,'Cash balance (Prior period)'!C:C,Table11[[#This Row],[ACCOUNT NUMBER]],'Cash balance (Prior period)'!E:E,Table11[[#This Row],[CURRENCY]])</f>
        <v>2986250</v>
      </c>
      <c r="I231" s="1318">
        <f>SUMIFS(Movement!$F$4:$F$2136,Movement!$M$4:$M$2136,"VND",Movement!$C$4:$C$2136,Table11[[#This Row],[ACCOUNT NUMBER]],Movement!$J$4:$J$2136,Table11[[#This Row],[ENTITY]],Movement!$O$4:$O$2136,'Cash Balance'!$A$2)</f>
        <v>0</v>
      </c>
      <c r="J231" s="1318">
        <f>SUMIFS(Movement!$G$4:$G$2136,Movement!$M$4:$M$2136,"VND",Movement!$C$4:$C$2136,Table11[[#This Row],[ACCOUNT NUMBER]],Movement!$J$4:$J$2136,Table11[[#This Row],[ENTITY]],Movement!$O$4:$O$2136,'Cash Balance'!$A$2)</f>
        <v>0</v>
      </c>
      <c r="K231" s="1084">
        <f>Table11[[#This Row],[CASH IN - CREDIT (VND)]]-Table11[[#This Row],[CASH OUT - DEBIT (VND)]]</f>
        <v>0</v>
      </c>
      <c r="L231" s="1095">
        <f t="shared" si="22"/>
        <v>2986250</v>
      </c>
      <c r="M231" s="1184" t="e">
        <f>VLOOKUP(C231,'Cash balance (BS)'!A:D,4,)</f>
        <v>#N/A</v>
      </c>
      <c r="N231" s="1095" t="e">
        <f>Table11[[#This Row],[CLOSING BALANCE (VND)2]]-Table11[[#This Row],[CB_BS (VND)]]</f>
        <v>#N/A</v>
      </c>
      <c r="O231" s="1094">
        <v>0</v>
      </c>
      <c r="P231" s="1095">
        <f t="shared" si="23"/>
        <v>0</v>
      </c>
      <c r="Q231" s="817">
        <f>SUMIFS('Cash balance (Prior period)'!G:G,'Cash balance (Prior period)'!C:C,Table11[[#This Row],[ACCOUNT NUMBER]],'Cash balance (Prior period)'!E:E,Table11[[#This Row],[CURRENCY]])</f>
        <v>0</v>
      </c>
      <c r="R231" s="817">
        <f>SUMIFS(Movement!$F$4:$F$2136,Movement!$M$4:$M$2136,"USD",Movement!$C$4:$C$2136,Table11[[#This Row],[ACCOUNT NUMBER]],Movement!$J$4:$J$2136,Table11[[#This Row],[ENTITY]],Movement!$O$4:$O$2136,'Cash Balance'!$A$2)</f>
        <v>0</v>
      </c>
      <c r="S231" s="817">
        <f>SUMIFS(Movement!$G$4:$G$2136,Movement!$M$4:$M$2136,"USD",Movement!$C$4:$C$2136,Table11[[#This Row],[ACCOUNT NUMBER]],Movement!$J$4:$J$2136,Table11[[#This Row],[ENTITY]],Movement!$O$4:$O$2136,'Cash Balance'!$A$2)</f>
        <v>0</v>
      </c>
      <c r="T231" s="1087">
        <f t="shared" si="24"/>
        <v>0</v>
      </c>
      <c r="U231" s="817"/>
      <c r="V231" s="817">
        <f>Table11[[#This Row],[CLOSING BALANCE (USD)]]-Table11[[#This Row],[CB_BS (USD)]]</f>
        <v>0</v>
      </c>
      <c r="W231" s="1156" t="str">
        <f>VLOOKUP('Cash Balance'!$C231,Table2[#All],MATCH('Cash Balance'!W$3,Acc_Char!$B$1:$I$1,0),0)</f>
        <v>Subsidiaries</v>
      </c>
      <c r="X231" s="1156" t="str">
        <f>VLOOKUP(IFERROR(MID($Y231,1,FIND("-",$Y231)-2),$Y231),Table3[#All],2,0)</f>
        <v>OCB</v>
      </c>
      <c r="Y231" s="1156" t="str">
        <f>VLOOKUP($B231,Table4[#All],2,0)</f>
        <v>OCB - BINH DUONG</v>
      </c>
      <c r="Z231" s="1151"/>
      <c r="AA231" s="49"/>
      <c r="AE231" s="818">
        <f>SUM(Table11[[#This Row],[CASH IN - CREDIT (VND)]],Table11[[#This Row],[CASH IN - CREDIT (USD)]])</f>
        <v>0</v>
      </c>
      <c r="AF231" s="818">
        <f>Table11[[#This Row],[CASH OUT - DEBIT (VND)]]+Table11[[#This Row],[CASH OUT - DEBIT (USD)]]</f>
        <v>0</v>
      </c>
      <c r="AH231" s="1158"/>
      <c r="AI231" s="49"/>
      <c r="AJ231" s="1158"/>
      <c r="AL231"/>
      <c r="AM231"/>
    </row>
    <row r="232" spans="1:39" ht="14.4">
      <c r="A232" s="1153" t="str">
        <f>VLOOKUP('Cash Balance'!$C232,Table2[#All],MATCH('Cash Balance'!A$3,Acc_Char!$B$1:$I$1,0),0)</f>
        <v>TH2 HOLDCO</v>
      </c>
      <c r="B232" s="1154" t="str">
        <f>VLOOKUP('Cash Balance'!$C232,Table2[#All],MATCH('Cash Balance'!B$3,Acc_Char!$B$1:$I$1,0),0)</f>
        <v>OCB - BINH DUONG</v>
      </c>
      <c r="C232" s="1185" t="s">
        <v>799</v>
      </c>
      <c r="D232" s="1156" t="str">
        <f>VLOOKUP('Cash Balance'!$C232,Table2[#All],MATCH('Cash Balance'!D$3,Acc_Char!$B$1:$I$1,0),0)</f>
        <v>Current Account</v>
      </c>
      <c r="E232" s="384" t="str">
        <f>VLOOKUP('Cash Balance'!$C232,Table2[#All],MATCH('Cash Balance'!E$3,Acc_Char!$B$1:$I$1,0),0)</f>
        <v>VND</v>
      </c>
      <c r="F232" s="1094"/>
      <c r="G232" s="1157"/>
      <c r="H232" s="1318">
        <f>SUMIFS('Cash balance (Prior period)'!F:F,'Cash balance (Prior period)'!C:C,Table11[[#This Row],[ACCOUNT NUMBER]],'Cash balance (Prior period)'!E:E,Table11[[#This Row],[CURRENCY]])</f>
        <v>22710658</v>
      </c>
      <c r="I232" s="1318">
        <f>SUMIFS(Movement!$F$4:$F$2136,Movement!$M$4:$M$2136,"VND",Movement!$C$4:$C$2136,Table11[[#This Row],[ACCOUNT NUMBER]],Movement!$J$4:$J$2136,Table11[[#This Row],[ENTITY]],Movement!$O$4:$O$2136,'Cash Balance'!$A$2)</f>
        <v>0</v>
      </c>
      <c r="J232" s="1318">
        <f>SUMIFS(Movement!$G$4:$G$2136,Movement!$M$4:$M$2136,"VND",Movement!$C$4:$C$2136,Table11[[#This Row],[ACCOUNT NUMBER]],Movement!$J$4:$J$2136,Table11[[#This Row],[ENTITY]],Movement!$O$4:$O$2136,'Cash Balance'!$A$2)</f>
        <v>0</v>
      </c>
      <c r="K232" s="1084">
        <f>Table11[[#This Row],[CASH IN - CREDIT (VND)]]-Table11[[#This Row],[CASH OUT - DEBIT (VND)]]</f>
        <v>0</v>
      </c>
      <c r="L232" s="1095">
        <f t="shared" si="22"/>
        <v>22710658</v>
      </c>
      <c r="M232" s="1184" t="e">
        <f>VLOOKUP(C232,'Cash balance (BS)'!A:D,4,)</f>
        <v>#N/A</v>
      </c>
      <c r="N232" s="1095" t="e">
        <f>Table11[[#This Row],[CLOSING BALANCE (VND)2]]-Table11[[#This Row],[CB_BS (VND)]]</f>
        <v>#N/A</v>
      </c>
      <c r="O232" s="1094">
        <v>0</v>
      </c>
      <c r="P232" s="1095">
        <f t="shared" si="23"/>
        <v>0</v>
      </c>
      <c r="Q232" s="817">
        <f>SUMIFS('Cash balance (Prior period)'!G:G,'Cash balance (Prior period)'!C:C,Table11[[#This Row],[ACCOUNT NUMBER]],'Cash balance (Prior period)'!E:E,Table11[[#This Row],[CURRENCY]])</f>
        <v>0</v>
      </c>
      <c r="R232" s="817">
        <f>SUMIFS(Movement!$F$4:$F$2136,Movement!$M$4:$M$2136,"USD",Movement!$C$4:$C$2136,Table11[[#This Row],[ACCOUNT NUMBER]],Movement!$J$4:$J$2136,Table11[[#This Row],[ENTITY]],Movement!$O$4:$O$2136,'Cash Balance'!$A$2)</f>
        <v>0</v>
      </c>
      <c r="S232" s="817">
        <f>SUMIFS(Movement!$G$4:$G$2136,Movement!$M$4:$M$2136,"USD",Movement!$C$4:$C$2136,Table11[[#This Row],[ACCOUNT NUMBER]],Movement!$J$4:$J$2136,Table11[[#This Row],[ENTITY]],Movement!$O$4:$O$2136,'Cash Balance'!$A$2)</f>
        <v>0</v>
      </c>
      <c r="T232" s="1087">
        <f t="shared" si="24"/>
        <v>0</v>
      </c>
      <c r="U232" s="817" t="e">
        <f>VLOOKUP(C232,'Cash balance (BS)'!A:D,4,)</f>
        <v>#N/A</v>
      </c>
      <c r="V232" s="817" t="e">
        <f>Table11[[#This Row],[CLOSING BALANCE (USD)]]-Table11[[#This Row],[CB_BS (USD)]]</f>
        <v>#N/A</v>
      </c>
      <c r="W232" s="1156" t="str">
        <f>VLOOKUP('Cash Balance'!$C232,Table2[#All],MATCH('Cash Balance'!W$3,Acc_Char!$B$1:$I$1,0),0)</f>
        <v>Subsidiaries</v>
      </c>
      <c r="X232" s="1156" t="str">
        <f>VLOOKUP(IFERROR(MID($Y232,1,FIND("-",$Y232)-2),$Y232),Table3[#All],2,0)</f>
        <v>OCB</v>
      </c>
      <c r="Y232" s="1156" t="str">
        <f>VLOOKUP($B232,Table4[#All],2,0)</f>
        <v>OCB - BINH DUONG</v>
      </c>
      <c r="Z232" s="1151"/>
      <c r="AA232" s="49"/>
      <c r="AE232" s="818">
        <f>SUM(Table11[[#This Row],[CASH IN - CREDIT (VND)]],Table11[[#This Row],[CASH IN - CREDIT (USD)]])</f>
        <v>0</v>
      </c>
      <c r="AF232" s="818">
        <f>Table11[[#This Row],[CASH OUT - DEBIT (VND)]]+Table11[[#This Row],[CASH OUT - DEBIT (USD)]]</f>
        <v>0</v>
      </c>
      <c r="AH232" s="1158"/>
      <c r="AI232" s="49"/>
      <c r="AJ232" s="1158"/>
      <c r="AL232"/>
      <c r="AM232"/>
    </row>
    <row r="233" spans="1:39" ht="14.4">
      <c r="A233" s="1153" t="str">
        <f>VLOOKUP('Cash Balance'!$C233,Table2[#All],MATCH('Cash Balance'!A$3,Acc_Char!$B$1:$I$1,0),0)</f>
        <v>SPV5B</v>
      </c>
      <c r="B233" s="1154" t="str">
        <f>VLOOKUP('Cash Balance'!$C233,Table2[#All],MATCH('Cash Balance'!B$3,Acc_Char!$B$1:$I$1,0),0)</f>
        <v>SINOPAC</v>
      </c>
      <c r="C233" s="1185" t="s">
        <v>800</v>
      </c>
      <c r="D233" s="1156" t="str">
        <f>VLOOKUP('Cash Balance'!$C233,Table2[#All],MATCH('Cash Balance'!D$3,Acc_Char!$B$1:$I$1,0),0)</f>
        <v>Foreign Loan</v>
      </c>
      <c r="E233" s="384" t="str">
        <f>VLOOKUP('Cash Balance'!$C233,Table2[#All],MATCH('Cash Balance'!E$3,Acc_Char!$B$1:$I$1,0),0)</f>
        <v>USD</v>
      </c>
      <c r="F233" s="1094"/>
      <c r="G233" s="1157"/>
      <c r="H233" s="1318">
        <f>SUMIFS('Cash balance (Prior period)'!F:F,'Cash balance (Prior period)'!C:C,Table11[[#This Row],[ACCOUNT NUMBER]],'Cash balance (Prior period)'!E:E,Table11[[#This Row],[CURRENCY]])</f>
        <v>0</v>
      </c>
      <c r="I233" s="1318">
        <f>SUMIFS(Movement!$F$4:$F$2136,Movement!$M$4:$M$2136,"VND",Movement!$C$4:$C$2136,Table11[[#This Row],[ACCOUNT NUMBER]],Movement!$J$4:$J$2136,Table11[[#This Row],[ENTITY]],Movement!$O$4:$O$2136,'Cash Balance'!$A$2)</f>
        <v>0</v>
      </c>
      <c r="J233" s="1318">
        <f>SUMIFS(Movement!$G$4:$G$2136,Movement!$M$4:$M$2136,"VND",Movement!$C$4:$C$2136,Table11[[#This Row],[ACCOUNT NUMBER]],Movement!$J$4:$J$2136,Table11[[#This Row],[ENTITY]],Movement!$O$4:$O$2136,'Cash Balance'!$A$2)</f>
        <v>0</v>
      </c>
      <c r="K233" s="1084">
        <f>Table11[[#This Row],[CASH IN - CREDIT (VND)]]-Table11[[#This Row],[CASH OUT - DEBIT (VND)]]</f>
        <v>0</v>
      </c>
      <c r="L233" s="1095">
        <f t="shared" si="22"/>
        <v>0</v>
      </c>
      <c r="M233" s="1184" t="e">
        <f>VLOOKUP(C233,'Cash balance (BS)'!A:D,4,)</f>
        <v>#N/A</v>
      </c>
      <c r="N233" s="1095" t="e">
        <f>Table11[[#This Row],[CLOSING BALANCE (VND)2]]-Table11[[#This Row],[CB_BS (VND)]]</f>
        <v>#N/A</v>
      </c>
      <c r="O233" s="1094">
        <v>0</v>
      </c>
      <c r="P233" s="1095">
        <f t="shared" si="23"/>
        <v>0</v>
      </c>
      <c r="Q233" s="817">
        <f>SUMIFS('Cash balance (Prior period)'!G:G,'Cash balance (Prior period)'!C:C,Table11[[#This Row],[ACCOUNT NUMBER]],'Cash balance (Prior period)'!E:E,Table11[[#This Row],[CURRENCY]])</f>
        <v>0</v>
      </c>
      <c r="R233" s="817">
        <f>SUMIFS(Movement!$F$4:$F$2136,Movement!$M$4:$M$2136,"USD",Movement!$C$4:$C$2136,Table11[[#This Row],[ACCOUNT NUMBER]],Movement!$J$4:$J$2136,Table11[[#This Row],[ENTITY]],Movement!$O$4:$O$2136,'Cash Balance'!$A$2)</f>
        <v>0</v>
      </c>
      <c r="S233" s="817">
        <f>SUMIFS(Movement!$G$4:$G$2136,Movement!$M$4:$M$2136,"USD",Movement!$C$4:$C$2136,Table11[[#This Row],[ACCOUNT NUMBER]],Movement!$J$4:$J$2136,Table11[[#This Row],[ENTITY]],Movement!$O$4:$O$2136,'Cash Balance'!$A$2)</f>
        <v>0</v>
      </c>
      <c r="T233" s="1087">
        <f t="shared" si="24"/>
        <v>0</v>
      </c>
      <c r="U233" s="817" t="e">
        <f>VLOOKUP(C233,'Cash balance (BS)'!A:D,4,)</f>
        <v>#N/A</v>
      </c>
      <c r="V233" s="817" t="e">
        <f>Table11[[#This Row],[CLOSING BALANCE (USD)]]-Table11[[#This Row],[CB_BS (USD)]]</f>
        <v>#N/A</v>
      </c>
      <c r="W233" s="1156" t="str">
        <f>VLOOKUP('Cash Balance'!$C233,Table2[#All],MATCH('Cash Balance'!W$3,Acc_Char!$B$1:$I$1,0),0)</f>
        <v>Subsidiaries</v>
      </c>
      <c r="X233" s="1156" t="str">
        <f>VLOOKUP(IFERROR(MID($Y233,1,FIND("-",$Y233)-2),$Y233),Table3[#All],2,0)</f>
        <v>SNP</v>
      </c>
      <c r="Y233" s="1156" t="str">
        <f>VLOOKUP($B233,Table4[#All],2,0)</f>
        <v>SINOPAC</v>
      </c>
      <c r="Z233" s="1151"/>
      <c r="AA233" s="49"/>
      <c r="AE233" s="818">
        <f>SUM(Table11[[#This Row],[CASH IN - CREDIT (VND)]],Table11[[#This Row],[CASH IN - CREDIT (USD)]])</f>
        <v>0</v>
      </c>
      <c r="AF233" s="818">
        <f>Table11[[#This Row],[CASH OUT - DEBIT (VND)]]+Table11[[#This Row],[CASH OUT - DEBIT (USD)]]</f>
        <v>0</v>
      </c>
      <c r="AH233" s="1158"/>
      <c r="AI233" s="49"/>
      <c r="AJ233" s="1158"/>
      <c r="AL233"/>
      <c r="AM233"/>
    </row>
    <row r="234" spans="1:39" ht="14.4">
      <c r="A234" s="1153" t="str">
        <f>VLOOKUP('Cash Balance'!$C234,Table2[#All],MATCH('Cash Balance'!A$3,Acc_Char!$B$1:$I$1,0),0)</f>
        <v>BW NAM HAI</v>
      </c>
      <c r="B234" s="1154" t="str">
        <f>VLOOKUP('Cash Balance'!$C234,Table2[#All],MATCH('Cash Balance'!B$3,Acc_Char!$B$1:$I$1,0),0)</f>
        <v>VIETCOMBANK - BA DINH</v>
      </c>
      <c r="C234" s="1185" t="s">
        <v>802</v>
      </c>
      <c r="D234" s="1156" t="str">
        <f>VLOOKUP('Cash Balance'!$C234,Table2[#All],MATCH('Cash Balance'!D$3,Acc_Char!$B$1:$I$1,0),0)</f>
        <v>Current Account</v>
      </c>
      <c r="E234" s="384" t="str">
        <f>VLOOKUP('Cash Balance'!$C234,Table2[#All],MATCH('Cash Balance'!E$3,Acc_Char!$B$1:$I$1,0),0)</f>
        <v>VND</v>
      </c>
      <c r="F234" s="1094" t="e">
        <f>VLOOKUP(C234,'Cash balance (BS)'!A:C,3,)</f>
        <v>#N/A</v>
      </c>
      <c r="G234" s="1157" t="e">
        <f t="shared" ref="G234:G265" si="25">F234-H234</f>
        <v>#N/A</v>
      </c>
      <c r="H234" s="1318">
        <f>SUMIFS('Cash balance (Prior period)'!F:F,'Cash balance (Prior period)'!C:C,Table11[[#This Row],[ACCOUNT NUMBER]],'Cash balance (Prior period)'!E:E,Table11[[#This Row],[CURRENCY]])</f>
        <v>1854802670</v>
      </c>
      <c r="I234" s="1318">
        <f>SUMIFS(Movement!$F$4:$F$2136,Movement!$M$4:$M$2136,"VND",Movement!$C$4:$C$2136,Table11[[#This Row],[ACCOUNT NUMBER]],Movement!$J$4:$J$2136,Table11[[#This Row],[ENTITY]],Movement!$O$4:$O$2136,'Cash Balance'!$A$2)</f>
        <v>33835616</v>
      </c>
      <c r="J234" s="1318">
        <f>SUMIFS(Movement!$G$4:$G$2136,Movement!$M$4:$M$2136,"VND",Movement!$C$4:$C$2136,Table11[[#This Row],[ACCOUNT NUMBER]],Movement!$J$4:$J$2136,Table11[[#This Row],[ENTITY]],Movement!$O$4:$O$2136,'Cash Balance'!$A$2)</f>
        <v>18170900</v>
      </c>
      <c r="K234" s="1084">
        <f>Table11[[#This Row],[CASH IN - CREDIT (VND)]]-Table11[[#This Row],[CASH OUT - DEBIT (VND)]]</f>
        <v>15664716</v>
      </c>
      <c r="L234" s="1095">
        <f t="shared" si="22"/>
        <v>1870467386</v>
      </c>
      <c r="M234" s="1184" t="e">
        <f>VLOOKUP(C234,'Cash balance (BS)'!A:D,4,)</f>
        <v>#N/A</v>
      </c>
      <c r="N234" s="1095" t="e">
        <f>Table11[[#This Row],[CLOSING BALANCE (VND)2]]-Table11[[#This Row],[CB_BS (VND)]]</f>
        <v>#N/A</v>
      </c>
      <c r="O234" s="1094">
        <v>0</v>
      </c>
      <c r="P234" s="1095">
        <f t="shared" si="23"/>
        <v>0</v>
      </c>
      <c r="Q234" s="817">
        <f>SUMIFS('Cash balance (Prior period)'!G:G,'Cash balance (Prior period)'!C:C,Table11[[#This Row],[ACCOUNT NUMBER]],'Cash balance (Prior period)'!E:E,Table11[[#This Row],[CURRENCY]])</f>
        <v>0</v>
      </c>
      <c r="R234" s="817">
        <f>SUMIFS(Movement!$F$4:$F$2136,Movement!$M$4:$M$2136,"USD",Movement!$C$4:$C$2136,Table11[[#This Row],[ACCOUNT NUMBER]],Movement!$J$4:$J$2136,Table11[[#This Row],[ENTITY]],Movement!$O$4:$O$2136,'Cash Balance'!$A$2)</f>
        <v>0</v>
      </c>
      <c r="S234" s="817">
        <f>SUMIFS(Movement!$G$4:$G$2136,Movement!$M$4:$M$2136,"USD",Movement!$C$4:$C$2136,Table11[[#This Row],[ACCOUNT NUMBER]],Movement!$J$4:$J$2136,Table11[[#This Row],[ENTITY]],Movement!$O$4:$O$2136,'Cash Balance'!$A$2)</f>
        <v>0</v>
      </c>
      <c r="T234" s="1087">
        <f t="shared" si="24"/>
        <v>0</v>
      </c>
      <c r="U234" s="817"/>
      <c r="V234" s="817">
        <f>Table11[[#This Row],[CLOSING BALANCE (USD)]]-Table11[[#This Row],[CB_BS (USD)]]</f>
        <v>0</v>
      </c>
      <c r="W234" s="1156" t="str">
        <f>VLOOKUP('Cash Balance'!$C234,Table2[#All],MATCH('Cash Balance'!W$3,Acc_Char!$B$1:$I$1,0),0)</f>
        <v>Subsidiaries</v>
      </c>
      <c r="X234" s="1156" t="str">
        <f>VLOOKUP(IFERROR(MID($Y234,1,FIND("-",$Y234)-2),$Y234),Table3[#All],2,0)</f>
        <v>VCB</v>
      </c>
      <c r="Y234" s="1156" t="str">
        <f>VLOOKUP($B234,Table4[#All],2,0)</f>
        <v>VIETCOMBANK - BA DINH</v>
      </c>
      <c r="Z234" s="1151"/>
      <c r="AA234" s="49"/>
      <c r="AE234" s="818">
        <f>SUM(Table11[[#This Row],[CASH IN - CREDIT (VND)]],Table11[[#This Row],[CASH IN - CREDIT (USD)]])</f>
        <v>33835616</v>
      </c>
      <c r="AF234" s="818">
        <f>Table11[[#This Row],[CASH OUT - DEBIT (VND)]]+Table11[[#This Row],[CASH OUT - DEBIT (USD)]]</f>
        <v>18170900</v>
      </c>
      <c r="AH234" s="1158"/>
      <c r="AI234" s="49"/>
      <c r="AJ234" s="1158"/>
      <c r="AL234"/>
      <c r="AM234"/>
    </row>
    <row r="235" spans="1:39" ht="16.5" customHeight="1">
      <c r="A235" s="1153" t="str">
        <f>VLOOKUP('Cash Balance'!$C235,Table2[#All],MATCH('Cash Balance'!A$3,Acc_Char!$B$1:$I$1,0),0)</f>
        <v>BWID BINH DUONG</v>
      </c>
      <c r="B235" s="1154" t="str">
        <f>VLOOKUP('Cash Balance'!$C235,Table2[#All],MATCH('Cash Balance'!B$3,Acc_Char!$B$1:$I$1,0),0)</f>
        <v>UOB - HCM</v>
      </c>
      <c r="C235" s="1189" t="s">
        <v>804</v>
      </c>
      <c r="D235" s="1156" t="str">
        <f>VLOOKUP('Cash Balance'!$C235,Table2[#All],MATCH('Cash Balance'!D$3,Acc_Char!$B$1:$I$1,0),0)</f>
        <v>Current Account</v>
      </c>
      <c r="E235" s="384" t="str">
        <f>VLOOKUP('Cash Balance'!$C235,Table2[#All],MATCH('Cash Balance'!E$3,Acc_Char!$B$1:$I$1,0),0)</f>
        <v>VND</v>
      </c>
      <c r="F235" s="1094" t="e">
        <f>VLOOKUP(C235,'Cash balance (BS)'!A:C,3,)</f>
        <v>#N/A</v>
      </c>
      <c r="G235" s="1157" t="e">
        <f t="shared" si="25"/>
        <v>#N/A</v>
      </c>
      <c r="H235" s="1318">
        <f>SUMIFS('Cash balance (Prior period)'!F:F,'Cash balance (Prior period)'!C:C,Table11[[#This Row],[ACCOUNT NUMBER]],'Cash balance (Prior period)'!E:E,Table11[[#This Row],[CURRENCY]])</f>
        <v>71325444</v>
      </c>
      <c r="I235" s="1318">
        <f>SUMIFS(Movement!$F$4:$F$2136,Movement!$M$4:$M$2136,"VND",Movement!$C$4:$C$2136,Table11[[#This Row],[ACCOUNT NUMBER]],Movement!$J$4:$J$2136,Table11[[#This Row],[ENTITY]],Movement!$O$4:$O$2136,'Cash Balance'!$A$2)</f>
        <v>0</v>
      </c>
      <c r="J235" s="1318">
        <f>SUMIFS(Movement!$G$4:$G$2136,Movement!$M$4:$M$2136,"VND",Movement!$C$4:$C$2136,Table11[[#This Row],[ACCOUNT NUMBER]],Movement!$J$4:$J$2136,Table11[[#This Row],[ENTITY]],Movement!$O$4:$O$2136,'Cash Balance'!$A$2)</f>
        <v>0</v>
      </c>
      <c r="K235" s="1084">
        <f>Table11[[#This Row],[CASH IN - CREDIT (VND)]]-Table11[[#This Row],[CASH OUT - DEBIT (VND)]]</f>
        <v>0</v>
      </c>
      <c r="L235" s="1095">
        <f t="shared" si="22"/>
        <v>71325444</v>
      </c>
      <c r="M235" s="1184" t="e">
        <f>VLOOKUP(C235,'Cash balance (BS)'!A:D,4,)</f>
        <v>#N/A</v>
      </c>
      <c r="N235" s="1095" t="e">
        <f>Table11[[#This Row],[CLOSING BALANCE (VND)2]]-Table11[[#This Row],[CB_BS (VND)]]</f>
        <v>#N/A</v>
      </c>
      <c r="O235" s="1094">
        <v>0</v>
      </c>
      <c r="P235" s="1095">
        <f t="shared" si="23"/>
        <v>0</v>
      </c>
      <c r="Q235" s="817">
        <f>SUMIFS('Cash balance (Prior period)'!G:G,'Cash balance (Prior period)'!C:C,Table11[[#This Row],[ACCOUNT NUMBER]],'Cash balance (Prior period)'!E:E,Table11[[#This Row],[CURRENCY]])</f>
        <v>0</v>
      </c>
      <c r="R235" s="817">
        <f>SUMIFS(Movement!$F$4:$F$2136,Movement!$M$4:$M$2136,"USD",Movement!$C$4:$C$2136,Table11[[#This Row],[ACCOUNT NUMBER]],Movement!$J$4:$J$2136,Table11[[#This Row],[ENTITY]],Movement!$O$4:$O$2136,'Cash Balance'!$A$2)</f>
        <v>0</v>
      </c>
      <c r="S235" s="817">
        <f>SUMIFS(Movement!$G$4:$G$2136,Movement!$M$4:$M$2136,"USD",Movement!$C$4:$C$2136,Table11[[#This Row],[ACCOUNT NUMBER]],Movement!$J$4:$J$2136,Table11[[#This Row],[ENTITY]],Movement!$O$4:$O$2136,'Cash Balance'!$A$2)</f>
        <v>0</v>
      </c>
      <c r="T235" s="1087">
        <f t="shared" si="24"/>
        <v>0</v>
      </c>
      <c r="U235" s="817"/>
      <c r="V235" s="817">
        <f>Table11[[#This Row],[CLOSING BALANCE (USD)]]-Table11[[#This Row],[CB_BS (USD)]]</f>
        <v>0</v>
      </c>
      <c r="W235" s="1156" t="str">
        <f>VLOOKUP('Cash Balance'!$C235,Table2[#All],MATCH('Cash Balance'!W$3,Acc_Char!$B$1:$I$1,0),0)</f>
        <v>BWID JSC</v>
      </c>
      <c r="X235" s="1156" t="str">
        <f>VLOOKUP(IFERROR(MID($Y235,1,FIND("-",$Y235)-2),$Y235),Table3[#All],2,0)</f>
        <v>UOB</v>
      </c>
      <c r="Y235" s="1156" t="str">
        <f>VLOOKUP($B235,Table4[#All],2,0)</f>
        <v>UOB</v>
      </c>
      <c r="Z235" s="1151"/>
      <c r="AA235" s="49"/>
      <c r="AE235" s="818">
        <f>SUM(Table11[[#This Row],[CASH IN - CREDIT (VND)]],Table11[[#This Row],[CASH IN - CREDIT (USD)]])</f>
        <v>0</v>
      </c>
      <c r="AF235" s="818">
        <f>Table11[[#This Row],[CASH OUT - DEBIT (VND)]]+Table11[[#This Row],[CASH OUT - DEBIT (USD)]]</f>
        <v>0</v>
      </c>
      <c r="AH235" s="1158"/>
      <c r="AI235" s="49"/>
      <c r="AJ235" s="1158"/>
      <c r="AL235"/>
    </row>
    <row r="236" spans="1:39" ht="14.4">
      <c r="A236" s="1153" t="str">
        <f>VLOOKUP('Cash Balance'!$C236,Table2[#All],MATCH('Cash Balance'!A$3,Acc_Char!$B$1:$I$1,0),0)</f>
        <v>BWID BINH DUONG</v>
      </c>
      <c r="B236" s="1154" t="str">
        <f>VLOOKUP('Cash Balance'!$C236,Table2[#All],MATCH('Cash Balance'!B$3,Acc_Char!$B$1:$I$1,0),0)</f>
        <v>KEB Hana - HCM</v>
      </c>
      <c r="C236" s="1190" t="s">
        <v>805</v>
      </c>
      <c r="D236" s="1156" t="str">
        <f>VLOOKUP('Cash Balance'!$C236,Table2[#All],MATCH('Cash Balance'!D$3,Acc_Char!$B$1:$I$1,0),0)</f>
        <v>Current Account</v>
      </c>
      <c r="E236" s="384" t="str">
        <f>VLOOKUP('Cash Balance'!$C236,Table2[#All],MATCH('Cash Balance'!E$3,Acc_Char!$B$1:$I$1,0),0)</f>
        <v>VND</v>
      </c>
      <c r="F236" s="1094" t="e">
        <f>VLOOKUP(C236,'Cash balance (BS)'!A:C,3,)</f>
        <v>#N/A</v>
      </c>
      <c r="G236" s="1157" t="e">
        <f t="shared" si="25"/>
        <v>#N/A</v>
      </c>
      <c r="H236" s="1318">
        <f>SUMIFS('Cash balance (Prior period)'!F:F,'Cash balance (Prior period)'!C:C,Table11[[#This Row],[ACCOUNT NUMBER]],'Cash balance (Prior period)'!E:E,Table11[[#This Row],[CURRENCY]])</f>
        <v>0</v>
      </c>
      <c r="I236" s="1318">
        <f>SUMIFS(Movement!$F$4:$F$2136,Movement!$M$4:$M$2136,"VND",Movement!$C$4:$C$2136,Table11[[#This Row],[ACCOUNT NUMBER]],Movement!$J$4:$J$2136,Table11[[#This Row],[ENTITY]],Movement!$O$4:$O$2136,'Cash Balance'!$A$2)</f>
        <v>0</v>
      </c>
      <c r="J236" s="1318">
        <f>SUMIFS(Movement!$G$4:$G$2136,Movement!$M$4:$M$2136,"VND",Movement!$C$4:$C$2136,Table11[[#This Row],[ACCOUNT NUMBER]],Movement!$J$4:$J$2136,Table11[[#This Row],[ENTITY]],Movement!$O$4:$O$2136,'Cash Balance'!$A$2)</f>
        <v>0</v>
      </c>
      <c r="K236" s="1084">
        <f>Table11[[#This Row],[CASH IN - CREDIT (VND)]]-Table11[[#This Row],[CASH OUT - DEBIT (VND)]]</f>
        <v>0</v>
      </c>
      <c r="L236" s="1095">
        <f t="shared" si="22"/>
        <v>0</v>
      </c>
      <c r="M236" s="1184" t="e">
        <f>VLOOKUP(C236,'Cash balance (BS)'!A:D,4,)</f>
        <v>#N/A</v>
      </c>
      <c r="N236" s="1095" t="e">
        <f>Table11[[#This Row],[CLOSING BALANCE (VND)2]]-Table11[[#This Row],[CB_BS (VND)]]</f>
        <v>#N/A</v>
      </c>
      <c r="O236" s="1094">
        <v>0</v>
      </c>
      <c r="P236" s="1095">
        <f t="shared" si="23"/>
        <v>0</v>
      </c>
      <c r="Q236" s="817">
        <f>SUMIFS('Cash balance (Prior period)'!G:G,'Cash balance (Prior period)'!C:C,Table11[[#This Row],[ACCOUNT NUMBER]],'Cash balance (Prior period)'!E:E,Table11[[#This Row],[CURRENCY]])</f>
        <v>0</v>
      </c>
      <c r="R236" s="817">
        <f>SUMIFS(Movement!$F$4:$F$2136,Movement!$M$4:$M$2136,"USD",Movement!$C$4:$C$2136,Table11[[#This Row],[ACCOUNT NUMBER]],Movement!$J$4:$J$2136,Table11[[#This Row],[ENTITY]],Movement!$O$4:$O$2136,'Cash Balance'!$A$2)</f>
        <v>0</v>
      </c>
      <c r="S236" s="817">
        <f>SUMIFS(Movement!$G$4:$G$2136,Movement!$M$4:$M$2136,"USD",Movement!$C$4:$C$2136,Table11[[#This Row],[ACCOUNT NUMBER]],Movement!$J$4:$J$2136,Table11[[#This Row],[ENTITY]],Movement!$O$4:$O$2136,'Cash Balance'!$A$2)</f>
        <v>0</v>
      </c>
      <c r="T236" s="1087">
        <f t="shared" si="24"/>
        <v>0</v>
      </c>
      <c r="U236" s="817"/>
      <c r="V236" s="817">
        <f>Table11[[#This Row],[CLOSING BALANCE (USD)]]-Table11[[#This Row],[CB_BS (USD)]]</f>
        <v>0</v>
      </c>
      <c r="W236" s="1156" t="str">
        <f>VLOOKUP('Cash Balance'!$C236,Table2[#All],MATCH('Cash Balance'!W$3,Acc_Char!$B$1:$I$1,0),0)</f>
        <v>BWID JSC</v>
      </c>
      <c r="X236" s="1156" t="str">
        <f>VLOOKUP(IFERROR(MID($Y236,1,FIND("-",$Y236)-2),$Y236),Table3[#All],2,0)</f>
        <v>KEB Hana</v>
      </c>
      <c r="Y236" s="1156" t="str">
        <f>VLOOKUP($B236,Table4[#All],2,0)</f>
        <v>KEB Hana - HCM</v>
      </c>
      <c r="Z236" s="1151"/>
      <c r="AA236" s="49"/>
      <c r="AE236" s="818">
        <f>SUM(Table11[[#This Row],[CASH IN - CREDIT (VND)]],Table11[[#This Row],[CASH IN - CREDIT (USD)]])</f>
        <v>0</v>
      </c>
      <c r="AF236" s="818">
        <f>Table11[[#This Row],[CASH OUT - DEBIT (VND)]]+Table11[[#This Row],[CASH OUT - DEBIT (USD)]]</f>
        <v>0</v>
      </c>
      <c r="AH236" s="1158"/>
      <c r="AI236" s="49"/>
      <c r="AJ236" s="1158"/>
      <c r="AL236"/>
    </row>
    <row r="237" spans="1:39" ht="14.4">
      <c r="A237" s="1153" t="str">
        <f>VLOOKUP('Cash Balance'!$C237,Table2[#All],MATCH('Cash Balance'!A$3,Acc_Char!$B$1:$I$1,0),0)</f>
        <v>BWID BINH DUONG</v>
      </c>
      <c r="B237" s="1154" t="str">
        <f>VLOOKUP('Cash Balance'!$C237,Table2[#All],MATCH('Cash Balance'!B$3,Acc_Char!$B$1:$I$1,0),0)</f>
        <v>KEB Hana - HCM</v>
      </c>
      <c r="C237" s="1190" t="s">
        <v>806</v>
      </c>
      <c r="D237" s="1156" t="str">
        <f>VLOOKUP('Cash Balance'!$C237,Table2[#All],MATCH('Cash Balance'!D$3,Acc_Char!$B$1:$I$1,0),0)</f>
        <v>Current Account</v>
      </c>
      <c r="E237" s="384" t="str">
        <f>VLOOKUP('Cash Balance'!$C237,Table2[#All],MATCH('Cash Balance'!E$3,Acc_Char!$B$1:$I$1,0),0)</f>
        <v>USD</v>
      </c>
      <c r="F237" s="1094" t="e">
        <f>VLOOKUP(C237,'Cash balance (BS)'!A:C,3,)</f>
        <v>#N/A</v>
      </c>
      <c r="G237" s="1157" t="e">
        <f t="shared" si="25"/>
        <v>#N/A</v>
      </c>
      <c r="H237" s="1318">
        <f>SUMIFS('Cash balance (Prior period)'!F:F,'Cash balance (Prior period)'!C:C,Table11[[#This Row],[ACCOUNT NUMBER]],'Cash balance (Prior period)'!E:E,Table11[[#This Row],[CURRENCY]])</f>
        <v>0</v>
      </c>
      <c r="I237" s="1318">
        <f>SUMIFS(Movement!$F$4:$F$2136,Movement!$M$4:$M$2136,"VND",Movement!$C$4:$C$2136,Table11[[#This Row],[ACCOUNT NUMBER]],Movement!$J$4:$J$2136,Table11[[#This Row],[ENTITY]],Movement!$O$4:$O$2136,'Cash Balance'!$A$2)</f>
        <v>0</v>
      </c>
      <c r="J237" s="1318">
        <f>SUMIFS(Movement!$G$4:$G$2136,Movement!$M$4:$M$2136,"VND",Movement!$C$4:$C$2136,Table11[[#This Row],[ACCOUNT NUMBER]],Movement!$J$4:$J$2136,Table11[[#This Row],[ENTITY]],Movement!$O$4:$O$2136,'Cash Balance'!$A$2)</f>
        <v>0</v>
      </c>
      <c r="K237" s="1084">
        <f>Table11[[#This Row],[CASH IN - CREDIT (VND)]]-Table11[[#This Row],[CASH OUT - DEBIT (VND)]]</f>
        <v>0</v>
      </c>
      <c r="L237" s="1095">
        <f t="shared" si="22"/>
        <v>0</v>
      </c>
      <c r="M237" s="1184" t="e">
        <f>VLOOKUP(C237,'Cash balance (BS)'!A:D,4,)</f>
        <v>#N/A</v>
      </c>
      <c r="N237" s="1095" t="e">
        <f>Table11[[#This Row],[CLOSING BALANCE (VND)2]]-Table11[[#This Row],[CB_BS (VND)]]</f>
        <v>#N/A</v>
      </c>
      <c r="O237" s="1094">
        <v>0</v>
      </c>
      <c r="P237" s="1095">
        <f t="shared" si="23"/>
        <v>0</v>
      </c>
      <c r="Q237" s="817">
        <f>SUMIFS('Cash balance (Prior period)'!G:G,'Cash balance (Prior period)'!C:C,Table11[[#This Row],[ACCOUNT NUMBER]],'Cash balance (Prior period)'!E:E,Table11[[#This Row],[CURRENCY]])</f>
        <v>0</v>
      </c>
      <c r="R237" s="817">
        <f>SUMIFS(Movement!$F$4:$F$2136,Movement!$M$4:$M$2136,"USD",Movement!$C$4:$C$2136,Table11[[#This Row],[ACCOUNT NUMBER]],Movement!$J$4:$J$2136,Table11[[#This Row],[ENTITY]],Movement!$O$4:$O$2136,'Cash Balance'!$A$2)</f>
        <v>0</v>
      </c>
      <c r="S237" s="817">
        <f>SUMIFS(Movement!$G$4:$G$2136,Movement!$M$4:$M$2136,"USD",Movement!$C$4:$C$2136,Table11[[#This Row],[ACCOUNT NUMBER]],Movement!$J$4:$J$2136,Table11[[#This Row],[ENTITY]],Movement!$O$4:$O$2136,'Cash Balance'!$A$2)</f>
        <v>0</v>
      </c>
      <c r="T237" s="1087">
        <f t="shared" si="24"/>
        <v>0</v>
      </c>
      <c r="U237" s="817"/>
      <c r="V237" s="817">
        <f>Table11[[#This Row],[CLOSING BALANCE (USD)]]-Table11[[#This Row],[CB_BS (USD)]]</f>
        <v>0</v>
      </c>
      <c r="W237" s="1156" t="str">
        <f>VLOOKUP('Cash Balance'!$C237,Table2[#All],MATCH('Cash Balance'!W$3,Acc_Char!$B$1:$I$1,0),0)</f>
        <v>BWID JSC</v>
      </c>
      <c r="X237" s="1156" t="str">
        <f>VLOOKUP(IFERROR(MID($Y237,1,FIND("-",$Y237)-2),$Y237),Table3[#All],2,0)</f>
        <v>KEB Hana</v>
      </c>
      <c r="Y237" s="1156" t="str">
        <f>VLOOKUP($B237,Table4[#All],2,0)</f>
        <v>KEB Hana - HCM</v>
      </c>
      <c r="Z237" s="1151"/>
      <c r="AA237" s="49"/>
      <c r="AE237" s="818">
        <f>SUM(Table11[[#This Row],[CASH IN - CREDIT (VND)]],Table11[[#This Row],[CASH IN - CREDIT (USD)]])</f>
        <v>0</v>
      </c>
      <c r="AF237" s="818">
        <f>Table11[[#This Row],[CASH OUT - DEBIT (VND)]]+Table11[[#This Row],[CASH OUT - DEBIT (USD)]]</f>
        <v>0</v>
      </c>
      <c r="AH237" s="1158"/>
      <c r="AI237" s="49"/>
      <c r="AJ237" s="1158"/>
      <c r="AL237"/>
    </row>
    <row r="238" spans="1:39" ht="14.4">
      <c r="A238" s="1153" t="str">
        <f>VLOOKUP('Cash Balance'!$C238,Table2[#All],MATCH('Cash Balance'!A$3,Acc_Char!$B$1:$I$1,0),0)</f>
        <v>BWID HAI DUONG 3</v>
      </c>
      <c r="B238" s="1154" t="str">
        <f>VLOOKUP('Cash Balance'!$C238,Table2[#All],MATCH('Cash Balance'!B$3,Acc_Char!$B$1:$I$1,0),0)</f>
        <v>BIDV - THANH XUAN</v>
      </c>
      <c r="C238" s="1190" t="s">
        <v>807</v>
      </c>
      <c r="D238" s="1156" t="str">
        <f>VLOOKUP('Cash Balance'!$C238,Table2[#All],MATCH('Cash Balance'!D$3,Acc_Char!$B$1:$I$1,0),0)</f>
        <v>Saving Account</v>
      </c>
      <c r="E238" s="384" t="str">
        <f>VLOOKUP('Cash Balance'!$C238,Table2[#All],MATCH('Cash Balance'!E$3,Acc_Char!$B$1:$I$1,0),0)</f>
        <v>VND</v>
      </c>
      <c r="F238" s="1094" t="e">
        <f>VLOOKUP(C238,'Cash balance (BS)'!A:C,3,)</f>
        <v>#N/A</v>
      </c>
      <c r="G238" s="1157" t="e">
        <f t="shared" si="25"/>
        <v>#N/A</v>
      </c>
      <c r="H238" s="1318">
        <f>SUMIFS('Cash balance (Prior period)'!F:F,'Cash balance (Prior period)'!C:C,Table11[[#This Row],[ACCOUNT NUMBER]],'Cash balance (Prior period)'!E:E,Table11[[#This Row],[CURRENCY]])</f>
        <v>2500000000</v>
      </c>
      <c r="I238" s="1318">
        <f>SUMIFS(Movement!$F$4:$F$2136,Movement!$M$4:$M$2136,"VND",Movement!$C$4:$C$2136,Table11[[#This Row],[ACCOUNT NUMBER]],Movement!$J$4:$J$2136,Table11[[#This Row],[ENTITY]],Movement!$O$4:$O$2136,'Cash Balance'!$A$2)</f>
        <v>0</v>
      </c>
      <c r="J238" s="1318">
        <f>SUMIFS(Movement!$G$4:$G$2136,Movement!$M$4:$M$2136,"VND",Movement!$C$4:$C$2136,Table11[[#This Row],[ACCOUNT NUMBER]],Movement!$J$4:$J$2136,Table11[[#This Row],[ENTITY]],Movement!$O$4:$O$2136,'Cash Balance'!$A$2)</f>
        <v>0</v>
      </c>
      <c r="K238" s="1084">
        <f>Table11[[#This Row],[CASH IN - CREDIT (VND)]]-Table11[[#This Row],[CASH OUT - DEBIT (VND)]]</f>
        <v>0</v>
      </c>
      <c r="L238" s="1095">
        <f t="shared" si="22"/>
        <v>2500000000</v>
      </c>
      <c r="M238" s="1184" t="e">
        <f>VLOOKUP(C238,'Cash balance (BS)'!A:D,4,)</f>
        <v>#N/A</v>
      </c>
      <c r="N238" s="1095" t="e">
        <f>Table11[[#This Row],[CLOSING BALANCE (VND)2]]-Table11[[#This Row],[CB_BS (VND)]]</f>
        <v>#N/A</v>
      </c>
      <c r="O238" s="1094">
        <v>0</v>
      </c>
      <c r="P238" s="1095">
        <f t="shared" si="23"/>
        <v>0</v>
      </c>
      <c r="Q238" s="817">
        <f>SUMIFS('Cash balance (Prior period)'!G:G,'Cash balance (Prior period)'!C:C,Table11[[#This Row],[ACCOUNT NUMBER]],'Cash balance (Prior period)'!E:E,Table11[[#This Row],[CURRENCY]])</f>
        <v>0</v>
      </c>
      <c r="R238" s="817">
        <f>SUMIFS(Movement!$F$4:$F$2136,Movement!$M$4:$M$2136,"USD",Movement!$C$4:$C$2136,Table11[[#This Row],[ACCOUNT NUMBER]],Movement!$J$4:$J$2136,Table11[[#This Row],[ENTITY]],Movement!$O$4:$O$2136,'Cash Balance'!$A$2)</f>
        <v>0</v>
      </c>
      <c r="S238" s="817">
        <f>SUMIFS(Movement!$G$4:$G$2136,Movement!$M$4:$M$2136,"USD",Movement!$C$4:$C$2136,Table11[[#This Row],[ACCOUNT NUMBER]],Movement!$J$4:$J$2136,Table11[[#This Row],[ENTITY]],Movement!$O$4:$O$2136,'Cash Balance'!$A$2)</f>
        <v>0</v>
      </c>
      <c r="T238" s="1087">
        <f t="shared" si="24"/>
        <v>0</v>
      </c>
      <c r="U238" s="817"/>
      <c r="V238" s="817">
        <f>Table11[[#This Row],[CLOSING BALANCE (USD)]]-Table11[[#This Row],[CB_BS (USD)]]</f>
        <v>0</v>
      </c>
      <c r="W238" s="1156" t="str">
        <f>VLOOKUP('Cash Balance'!$C238,Table2[#All],MATCH('Cash Balance'!W$3,Acc_Char!$B$1:$I$1,0),0)</f>
        <v>Subsidiaries</v>
      </c>
      <c r="X238" s="1156" t="str">
        <f>VLOOKUP(IFERROR(MID($Y238,1,FIND("-",$Y238)-2),$Y238),Table3[#All],2,0)</f>
        <v>BIDV</v>
      </c>
      <c r="Y238" s="1156" t="str">
        <f>VLOOKUP($B238,Table4[#All],2,0)</f>
        <v>BIDV - THANH XUAN</v>
      </c>
      <c r="Z238" s="1151"/>
      <c r="AA238" s="49"/>
      <c r="AE238" s="818">
        <f>SUM(Table11[[#This Row],[CASH IN - CREDIT (VND)]],Table11[[#This Row],[CASH IN - CREDIT (USD)]])</f>
        <v>0</v>
      </c>
      <c r="AF238" s="818">
        <f>Table11[[#This Row],[CASH OUT - DEBIT (VND)]]+Table11[[#This Row],[CASH OUT - DEBIT (USD)]]</f>
        <v>0</v>
      </c>
      <c r="AH238" s="1158"/>
      <c r="AI238" s="49"/>
      <c r="AJ238" s="1158"/>
      <c r="AL238"/>
    </row>
    <row r="239" spans="1:39" ht="14.4">
      <c r="A239" s="1153" t="str">
        <f>VLOOKUP('Cash Balance'!$C239,Table2[#All],MATCH('Cash Balance'!A$3,Acc_Char!$B$1:$I$1,0),0)</f>
        <v>BW SAIGON LOGISTICS</v>
      </c>
      <c r="B239" s="1154" t="str">
        <f>VLOOKUP('Cash Balance'!$C239,Table2[#All],MATCH('Cash Balance'!B$3,Acc_Char!$B$1:$I$1,0),0)</f>
        <v>VIETCOMBANK - HCM</v>
      </c>
      <c r="C239" s="1190" t="s">
        <v>809</v>
      </c>
      <c r="D239" s="1156" t="str">
        <f>VLOOKUP('Cash Balance'!$C239,Table2[#All],MATCH('Cash Balance'!D$3,Acc_Char!$B$1:$I$1,0),0)</f>
        <v>Current Account</v>
      </c>
      <c r="E239" s="384" t="str">
        <f>VLOOKUP('Cash Balance'!$C239,Table2[#All],MATCH('Cash Balance'!E$3,Acc_Char!$B$1:$I$1,0),0)</f>
        <v>VND</v>
      </c>
      <c r="F239" s="1094" t="e">
        <f>VLOOKUP(C239,'Cash balance (BS)'!A:C,3,)</f>
        <v>#N/A</v>
      </c>
      <c r="G239" s="1157" t="e">
        <f t="shared" si="25"/>
        <v>#N/A</v>
      </c>
      <c r="H239" s="1318">
        <f>SUMIFS('Cash balance (Prior period)'!F:F,'Cash balance (Prior period)'!C:C,Table11[[#This Row],[ACCOUNT NUMBER]],'Cash balance (Prior period)'!E:E,Table11[[#This Row],[CURRENCY]])</f>
        <v>4707695975</v>
      </c>
      <c r="I239" s="1318">
        <f>SUMIFS(Movement!$F$4:$F$2136,Movement!$M$4:$M$2136,"VND",Movement!$C$4:$C$2136,Table11[[#This Row],[ACCOUNT NUMBER]],Movement!$J$4:$J$2136,Table11[[#This Row],[ENTITY]],Movement!$O$4:$O$2136,'Cash Balance'!$A$2)</f>
        <v>3139140423</v>
      </c>
      <c r="J239" s="1318">
        <f>SUMIFS(Movement!$G$4:$G$2136,Movement!$M$4:$M$2136,"VND",Movement!$C$4:$C$2136,Table11[[#This Row],[ACCOUNT NUMBER]],Movement!$J$4:$J$2136,Table11[[#This Row],[ENTITY]],Movement!$O$4:$O$2136,'Cash Balance'!$A$2)</f>
        <v>396093655</v>
      </c>
      <c r="K239" s="1084">
        <f>Table11[[#This Row],[CASH IN - CREDIT (VND)]]-Table11[[#This Row],[CASH OUT - DEBIT (VND)]]</f>
        <v>2743046768</v>
      </c>
      <c r="L239" s="1095">
        <f t="shared" si="22"/>
        <v>7450742743</v>
      </c>
      <c r="M239" s="1184" t="e">
        <f>VLOOKUP(C239,'Cash balance (BS)'!A:D,4,)</f>
        <v>#N/A</v>
      </c>
      <c r="N239" s="1095" t="e">
        <f>Table11[[#This Row],[CLOSING BALANCE (VND)2]]-Table11[[#This Row],[CB_BS (VND)]]</f>
        <v>#N/A</v>
      </c>
      <c r="O239" s="1094">
        <v>0</v>
      </c>
      <c r="P239" s="1095">
        <f t="shared" si="23"/>
        <v>0</v>
      </c>
      <c r="Q239" s="817">
        <f>SUMIFS('Cash balance (Prior period)'!G:G,'Cash balance (Prior period)'!C:C,Table11[[#This Row],[ACCOUNT NUMBER]],'Cash balance (Prior period)'!E:E,Table11[[#This Row],[CURRENCY]])</f>
        <v>0</v>
      </c>
      <c r="R239" s="817">
        <f>SUMIFS(Movement!$F$4:$F$2136,Movement!$M$4:$M$2136,"USD",Movement!$C$4:$C$2136,Table11[[#This Row],[ACCOUNT NUMBER]],Movement!$J$4:$J$2136,Table11[[#This Row],[ENTITY]],Movement!$O$4:$O$2136,'Cash Balance'!$A$2)</f>
        <v>0</v>
      </c>
      <c r="S239" s="817">
        <f>SUMIFS(Movement!$G$4:$G$2136,Movement!$M$4:$M$2136,"USD",Movement!$C$4:$C$2136,Table11[[#This Row],[ACCOUNT NUMBER]],Movement!$J$4:$J$2136,Table11[[#This Row],[ENTITY]],Movement!$O$4:$O$2136,'Cash Balance'!$A$2)</f>
        <v>0</v>
      </c>
      <c r="T239" s="1087">
        <f t="shared" si="24"/>
        <v>0</v>
      </c>
      <c r="U239" s="817"/>
      <c r="V239" s="817">
        <f>Table11[[#This Row],[CLOSING BALANCE (USD)]]-Table11[[#This Row],[CB_BS (USD)]]</f>
        <v>0</v>
      </c>
      <c r="W239" s="1156" t="str">
        <f>VLOOKUP('Cash Balance'!$C239,Table2[#All],MATCH('Cash Balance'!W$3,Acc_Char!$B$1:$I$1,0),0)</f>
        <v>Subsidiaries</v>
      </c>
      <c r="X239" s="1156" t="str">
        <f>VLOOKUP(IFERROR(MID($Y239,1,FIND("-",$Y239)-2),$Y239),Table3[#All],2,0)</f>
        <v>VCB</v>
      </c>
      <c r="Y239" s="1156" t="str">
        <f>VLOOKUP($B239,Table4[#All],2,0)</f>
        <v>VIETCOMBANK - HCM</v>
      </c>
      <c r="Z239" s="1151"/>
      <c r="AA239" s="49"/>
      <c r="AE239" s="818">
        <f>SUM(Table11[[#This Row],[CASH IN - CREDIT (VND)]],Table11[[#This Row],[CASH IN - CREDIT (USD)]])</f>
        <v>3139140423</v>
      </c>
      <c r="AF239" s="818">
        <f>Table11[[#This Row],[CASH OUT - DEBIT (VND)]]+Table11[[#This Row],[CASH OUT - DEBIT (USD)]]</f>
        <v>396093655</v>
      </c>
      <c r="AH239" s="1158"/>
      <c r="AI239" s="49"/>
      <c r="AJ239" s="1158"/>
      <c r="AL239"/>
    </row>
    <row r="240" spans="1:39" ht="14.4">
      <c r="A240" s="1153" t="str">
        <f>VLOOKUP('Cash Balance'!$C240,Table2[#All],MATCH('Cash Balance'!A$3,Acc_Char!$B$1:$I$1,0),0)</f>
        <v>BW SAIGON LOGISTICS</v>
      </c>
      <c r="B240" s="1154" t="str">
        <f>VLOOKUP('Cash Balance'!$C240,Table2[#All],MATCH('Cash Balance'!B$3,Acc_Char!$B$1:$I$1,0),0)</f>
        <v>VIETCOMBANK - HCM</v>
      </c>
      <c r="C240" s="1190" t="s">
        <v>810</v>
      </c>
      <c r="D240" s="1156" t="str">
        <f>VLOOKUP('Cash Balance'!$C240,Table2[#All],MATCH('Cash Balance'!D$3,Acc_Char!$B$1:$I$1,0),0)</f>
        <v>Current Account</v>
      </c>
      <c r="E240" s="384" t="str">
        <f>VLOOKUP('Cash Balance'!$C240,Table2[#All],MATCH('Cash Balance'!E$3,Acc_Char!$B$1:$I$1,0),0)</f>
        <v>USD</v>
      </c>
      <c r="F240" s="1094" t="e">
        <f>VLOOKUP(C240,'Cash balance (BS)'!A:C,3,)</f>
        <v>#N/A</v>
      </c>
      <c r="G240" s="1157" t="e">
        <f t="shared" si="25"/>
        <v>#N/A</v>
      </c>
      <c r="H240" s="1318">
        <f>SUMIFS('Cash balance (Prior period)'!F:F,'Cash balance (Prior period)'!C:C,Table11[[#This Row],[ACCOUNT NUMBER]],'Cash balance (Prior period)'!E:E,Table11[[#This Row],[CURRENCY]])</f>
        <v>0</v>
      </c>
      <c r="I240" s="1318">
        <f>SUMIFS(Movement!$F$4:$F$2136,Movement!$M$4:$M$2136,"VND",Movement!$C$4:$C$2136,Table11[[#This Row],[ACCOUNT NUMBER]],Movement!$J$4:$J$2136,Table11[[#This Row],[ENTITY]],Movement!$O$4:$O$2136,'Cash Balance'!$A$2)</f>
        <v>0</v>
      </c>
      <c r="J240" s="1318">
        <f>SUMIFS(Movement!$G$4:$G$2136,Movement!$M$4:$M$2136,"VND",Movement!$C$4:$C$2136,Table11[[#This Row],[ACCOUNT NUMBER]],Movement!$J$4:$J$2136,Table11[[#This Row],[ENTITY]],Movement!$O$4:$O$2136,'Cash Balance'!$A$2)</f>
        <v>0</v>
      </c>
      <c r="K240" s="1084">
        <f>Table11[[#This Row],[CASH IN - CREDIT (VND)]]-Table11[[#This Row],[CASH OUT - DEBIT (VND)]]</f>
        <v>0</v>
      </c>
      <c r="L240" s="1095">
        <f t="shared" si="22"/>
        <v>0</v>
      </c>
      <c r="M240" s="1184" t="e">
        <f>VLOOKUP(C240,'Cash balance (BS)'!A:D,4,)</f>
        <v>#N/A</v>
      </c>
      <c r="N240" s="1095" t="e">
        <f>Table11[[#This Row],[CLOSING BALANCE (VND)2]]-Table11[[#This Row],[CB_BS (VND)]]</f>
        <v>#N/A</v>
      </c>
      <c r="O240" s="1094">
        <v>0</v>
      </c>
      <c r="P240" s="1095">
        <f t="shared" si="23"/>
        <v>0</v>
      </c>
      <c r="Q240" s="817">
        <f>SUMIFS('Cash balance (Prior period)'!G:G,'Cash balance (Prior period)'!C:C,Table11[[#This Row],[ACCOUNT NUMBER]],'Cash balance (Prior period)'!E:E,Table11[[#This Row],[CURRENCY]])</f>
        <v>0</v>
      </c>
      <c r="R240" s="817">
        <f>SUMIFS(Movement!$F$4:$F$2136,Movement!$M$4:$M$2136,"USD",Movement!$C$4:$C$2136,Table11[[#This Row],[ACCOUNT NUMBER]],Movement!$J$4:$J$2136,Table11[[#This Row],[ENTITY]],Movement!$O$4:$O$2136,'Cash Balance'!$A$2)</f>
        <v>0</v>
      </c>
      <c r="S240" s="817">
        <f>SUMIFS(Movement!$G$4:$G$2136,Movement!$M$4:$M$2136,"USD",Movement!$C$4:$C$2136,Table11[[#This Row],[ACCOUNT NUMBER]],Movement!$J$4:$J$2136,Table11[[#This Row],[ENTITY]],Movement!$O$4:$O$2136,'Cash Balance'!$A$2)</f>
        <v>0</v>
      </c>
      <c r="T240" s="1087">
        <f t="shared" si="24"/>
        <v>0</v>
      </c>
      <c r="U240" s="817"/>
      <c r="V240" s="817">
        <f>Table11[[#This Row],[CLOSING BALANCE (USD)]]-Table11[[#This Row],[CB_BS (USD)]]</f>
        <v>0</v>
      </c>
      <c r="W240" s="1156" t="str">
        <f>VLOOKUP('Cash Balance'!$C240,Table2[#All],MATCH('Cash Balance'!W$3,Acc_Char!$B$1:$I$1,0),0)</f>
        <v>Subsidiaries</v>
      </c>
      <c r="X240" s="1156" t="str">
        <f>VLOOKUP(IFERROR(MID($Y240,1,FIND("-",$Y240)-2),$Y240),Table3[#All],2,0)</f>
        <v>VCB</v>
      </c>
      <c r="Y240" s="1156" t="str">
        <f>VLOOKUP($B240,Table4[#All],2,0)</f>
        <v>VIETCOMBANK - HCM</v>
      </c>
      <c r="Z240" s="1151"/>
      <c r="AA240" s="49"/>
      <c r="AE240" s="818">
        <f>SUM(Table11[[#This Row],[CASH IN - CREDIT (VND)]],Table11[[#This Row],[CASH IN - CREDIT (USD)]])</f>
        <v>0</v>
      </c>
      <c r="AF240" s="818">
        <f>Table11[[#This Row],[CASH OUT - DEBIT (VND)]]+Table11[[#This Row],[CASH OUT - DEBIT (USD)]]</f>
        <v>0</v>
      </c>
      <c r="AH240" s="1158"/>
      <c r="AI240" s="49"/>
      <c r="AJ240" s="1158"/>
      <c r="AL240"/>
    </row>
    <row r="241" spans="1:38" ht="14.4">
      <c r="A241" s="1153" t="str">
        <f>VLOOKUP('Cash Balance'!$C241,Table2[#All],MATCH('Cash Balance'!A$3,Acc_Char!$B$1:$I$1,0),0)</f>
        <v>BW DONG HAI</v>
      </c>
      <c r="B241" s="1154" t="str">
        <f>VLOOKUP('Cash Balance'!$C241,Table2[#All],MATCH('Cash Balance'!B$3,Acc_Char!$B$1:$I$1,0),0)</f>
        <v>BIDV - THANH XUAN</v>
      </c>
      <c r="C241" s="1185" t="s">
        <v>811</v>
      </c>
      <c r="D241" s="1156" t="str">
        <f>VLOOKUP('Cash Balance'!$C241,Table2[#All],MATCH('Cash Balance'!D$3,Acc_Char!$B$1:$I$1,0),0)</f>
        <v>Saving Account</v>
      </c>
      <c r="E241" s="384" t="str">
        <f>VLOOKUP('Cash Balance'!$C241,Table2[#All],MATCH('Cash Balance'!E$3,Acc_Char!$B$1:$I$1,0),0)</f>
        <v>VND</v>
      </c>
      <c r="F241" s="1094" t="e">
        <f>VLOOKUP(C241,'Cash balance (BS)'!A:C,3,)</f>
        <v>#N/A</v>
      </c>
      <c r="G241" s="1157" t="e">
        <f t="shared" si="25"/>
        <v>#N/A</v>
      </c>
      <c r="H241" s="1318">
        <f>SUMIFS('Cash balance (Prior period)'!F:F,'Cash balance (Prior period)'!C:C,Table11[[#This Row],[ACCOUNT NUMBER]],'Cash balance (Prior period)'!E:E,Table11[[#This Row],[CURRENCY]])</f>
        <v>4800000000</v>
      </c>
      <c r="I241" s="1318">
        <f>SUMIFS(Movement!$F$4:$F$2136,Movement!$M$4:$M$2136,"VND",Movement!$C$4:$C$2136,Table11[[#This Row],[ACCOUNT NUMBER]],Movement!$J$4:$J$2136,Table11[[#This Row],[ENTITY]],Movement!$O$4:$O$2136,'Cash Balance'!$A$2)</f>
        <v>0</v>
      </c>
      <c r="J241" s="1318">
        <f>SUMIFS(Movement!$G$4:$G$2136,Movement!$M$4:$M$2136,"VND",Movement!$C$4:$C$2136,Table11[[#This Row],[ACCOUNT NUMBER]],Movement!$J$4:$J$2136,Table11[[#This Row],[ENTITY]],Movement!$O$4:$O$2136,'Cash Balance'!$A$2)</f>
        <v>0</v>
      </c>
      <c r="K241" s="1084">
        <f>Table11[[#This Row],[CASH IN - CREDIT (VND)]]-Table11[[#This Row],[CASH OUT - DEBIT (VND)]]</f>
        <v>0</v>
      </c>
      <c r="L241" s="1095">
        <f t="shared" si="22"/>
        <v>4800000000</v>
      </c>
      <c r="M241" s="1184" t="e">
        <f>VLOOKUP(C241,'Cash balance (BS)'!A:D,4,)</f>
        <v>#N/A</v>
      </c>
      <c r="N241" s="1095" t="e">
        <f>Table11[[#This Row],[CLOSING BALANCE (VND)2]]-Table11[[#This Row],[CB_BS (VND)]]</f>
        <v>#N/A</v>
      </c>
      <c r="O241" s="1094">
        <v>0</v>
      </c>
      <c r="P241" s="1095">
        <f t="shared" si="23"/>
        <v>0</v>
      </c>
      <c r="Q241" s="817">
        <f>SUMIFS('Cash balance (Prior period)'!G:G,'Cash balance (Prior period)'!C:C,Table11[[#This Row],[ACCOUNT NUMBER]],'Cash balance (Prior period)'!E:E,Table11[[#This Row],[CURRENCY]])</f>
        <v>0</v>
      </c>
      <c r="R241" s="817">
        <f>SUMIFS(Movement!$F$4:$F$2136,Movement!$M$4:$M$2136,"USD",Movement!$C$4:$C$2136,Table11[[#This Row],[ACCOUNT NUMBER]],Movement!$J$4:$J$2136,Table11[[#This Row],[ENTITY]],Movement!$O$4:$O$2136,'Cash Balance'!$A$2)</f>
        <v>0</v>
      </c>
      <c r="S241" s="817">
        <f>SUMIFS(Movement!$G$4:$G$2136,Movement!$M$4:$M$2136,"USD",Movement!$C$4:$C$2136,Table11[[#This Row],[ACCOUNT NUMBER]],Movement!$J$4:$J$2136,Table11[[#This Row],[ENTITY]],Movement!$O$4:$O$2136,'Cash Balance'!$A$2)</f>
        <v>0</v>
      </c>
      <c r="T241" s="1087">
        <f t="shared" si="24"/>
        <v>0</v>
      </c>
      <c r="U241" s="817"/>
      <c r="V241" s="817">
        <f>Table11[[#This Row],[CLOSING BALANCE (USD)]]-Table11[[#This Row],[CB_BS (USD)]]</f>
        <v>0</v>
      </c>
      <c r="W241" s="1156" t="str">
        <f>VLOOKUP('Cash Balance'!$C241,Table2[#All],MATCH('Cash Balance'!W$3,Acc_Char!$B$1:$I$1,0),0)</f>
        <v>Subsidiaries</v>
      </c>
      <c r="X241" s="1156" t="str">
        <f>VLOOKUP(IFERROR(MID($Y241,1,FIND("-",$Y241)-2),$Y241),Table3[#All],2,0)</f>
        <v>BIDV</v>
      </c>
      <c r="Y241" s="1156" t="str">
        <f>VLOOKUP($B241,Table4[#All],2,0)</f>
        <v>BIDV - THANH XUAN</v>
      </c>
      <c r="Z241" s="1151"/>
      <c r="AA241" s="49"/>
      <c r="AE241" s="818">
        <f>SUM(Table11[[#This Row],[CASH IN - CREDIT (VND)]],Table11[[#This Row],[CASH IN - CREDIT (USD)]])</f>
        <v>0</v>
      </c>
      <c r="AF241" s="818">
        <f>Table11[[#This Row],[CASH OUT - DEBIT (VND)]]+Table11[[#This Row],[CASH OUT - DEBIT (USD)]]</f>
        <v>0</v>
      </c>
      <c r="AH241" s="1158"/>
      <c r="AI241" s="49"/>
      <c r="AJ241" s="1158"/>
      <c r="AL241"/>
    </row>
    <row r="242" spans="1:38" ht="14.4">
      <c r="A242" s="1153" t="str">
        <f>VLOOKUP('Cash Balance'!$C242,Table2[#All],MATCH('Cash Balance'!A$3,Acc_Char!$B$1:$I$1,0),0)</f>
        <v>HOLDCO4K</v>
      </c>
      <c r="B242" s="1154" t="str">
        <f>VLOOKUP('Cash Balance'!$C242,Table2[#All],MATCH('Cash Balance'!B$3,Acc_Char!$B$1:$I$1,0),0)</f>
        <v>BIDV - THANH XUAN</v>
      </c>
      <c r="C242" s="1189" t="s">
        <v>812</v>
      </c>
      <c r="D242" s="1156" t="str">
        <f>VLOOKUP('Cash Balance'!$C242,Table2[#All],MATCH('Cash Balance'!D$3,Acc_Char!$B$1:$I$1,0),0)</f>
        <v>Saving Account</v>
      </c>
      <c r="E242" s="384" t="str">
        <f>VLOOKUP('Cash Balance'!$C242,Table2[#All],MATCH('Cash Balance'!E$3,Acc_Char!$B$1:$I$1,0),0)</f>
        <v>VND</v>
      </c>
      <c r="F242" s="1094" t="e">
        <f>VLOOKUP(C242,'Cash balance (BS)'!A:C,3,)</f>
        <v>#N/A</v>
      </c>
      <c r="G242" s="1157" t="e">
        <f t="shared" si="25"/>
        <v>#N/A</v>
      </c>
      <c r="H242" s="1318">
        <f>SUMIFS('Cash balance (Prior period)'!F:F,'Cash balance (Prior period)'!C:C,Table11[[#This Row],[ACCOUNT NUMBER]],'Cash balance (Prior period)'!E:E,Table11[[#This Row],[CURRENCY]])</f>
        <v>900000000</v>
      </c>
      <c r="I242" s="1318">
        <f>SUMIFS(Movement!$F$4:$F$2136,Movement!$M$4:$M$2136,"VND",Movement!$C$4:$C$2136,Table11[[#This Row],[ACCOUNT NUMBER]],Movement!$J$4:$J$2136,Table11[[#This Row],[ENTITY]],Movement!$O$4:$O$2136,'Cash Balance'!$A$2)</f>
        <v>0</v>
      </c>
      <c r="J242" s="1318">
        <f>SUMIFS(Movement!$G$4:$G$2136,Movement!$M$4:$M$2136,"VND",Movement!$C$4:$C$2136,Table11[[#This Row],[ACCOUNT NUMBER]],Movement!$J$4:$J$2136,Table11[[#This Row],[ENTITY]],Movement!$O$4:$O$2136,'Cash Balance'!$A$2)</f>
        <v>0</v>
      </c>
      <c r="K242" s="1084">
        <f>Table11[[#This Row],[CASH IN - CREDIT (VND)]]-Table11[[#This Row],[CASH OUT - DEBIT (VND)]]</f>
        <v>0</v>
      </c>
      <c r="L242" s="1095">
        <f t="shared" si="22"/>
        <v>900000000</v>
      </c>
      <c r="M242" s="1184" t="e">
        <f>VLOOKUP(C242,'Cash balance (BS)'!A:D,4,)</f>
        <v>#N/A</v>
      </c>
      <c r="N242" s="1095" t="e">
        <f>Table11[[#This Row],[CLOSING BALANCE (VND)2]]-Table11[[#This Row],[CB_BS (VND)]]</f>
        <v>#N/A</v>
      </c>
      <c r="O242" s="1094">
        <v>0</v>
      </c>
      <c r="P242" s="1095">
        <f t="shared" si="23"/>
        <v>0</v>
      </c>
      <c r="Q242" s="817">
        <f>SUMIFS('Cash balance (Prior period)'!G:G,'Cash balance (Prior period)'!C:C,Table11[[#This Row],[ACCOUNT NUMBER]],'Cash balance (Prior period)'!E:E,Table11[[#This Row],[CURRENCY]])</f>
        <v>0</v>
      </c>
      <c r="R242" s="817">
        <f>SUMIFS(Movement!$F$4:$F$2136,Movement!$M$4:$M$2136,"USD",Movement!$C$4:$C$2136,Table11[[#This Row],[ACCOUNT NUMBER]],Movement!$J$4:$J$2136,Table11[[#This Row],[ENTITY]],Movement!$O$4:$O$2136,'Cash Balance'!$A$2)</f>
        <v>0</v>
      </c>
      <c r="S242" s="817">
        <f>SUMIFS(Movement!$G$4:$G$2136,Movement!$M$4:$M$2136,"USD",Movement!$C$4:$C$2136,Table11[[#This Row],[ACCOUNT NUMBER]],Movement!$J$4:$J$2136,Table11[[#This Row],[ENTITY]],Movement!$O$4:$O$2136,'Cash Balance'!$A$2)</f>
        <v>0</v>
      </c>
      <c r="T242" s="1087">
        <f t="shared" si="24"/>
        <v>0</v>
      </c>
      <c r="U242" s="817"/>
      <c r="V242" s="817">
        <f>Table11[[#This Row],[CLOSING BALANCE (USD)]]-Table11[[#This Row],[CB_BS (USD)]]</f>
        <v>0</v>
      </c>
      <c r="W242" s="1156" t="str">
        <f>VLOOKUP('Cash Balance'!$C242,Table2[#All],MATCH('Cash Balance'!W$3,Acc_Char!$B$1:$I$1,0),0)</f>
        <v>Subsidiaries</v>
      </c>
      <c r="X242" s="1156" t="str">
        <f>VLOOKUP(IFERROR(MID($Y242,1,FIND("-",$Y242)-2),$Y242),Table3[#All],2,0)</f>
        <v>BIDV</v>
      </c>
      <c r="Y242" s="1156" t="str">
        <f>VLOOKUP($B242,Table4[#All],2,0)</f>
        <v>BIDV - THANH XUAN</v>
      </c>
      <c r="Z242" s="1151"/>
      <c r="AA242" s="49"/>
      <c r="AE242" s="818">
        <f>SUM(Table11[[#This Row],[CASH IN - CREDIT (VND)]],Table11[[#This Row],[CASH IN - CREDIT (USD)]])</f>
        <v>0</v>
      </c>
      <c r="AF242" s="818">
        <f>Table11[[#This Row],[CASH OUT - DEBIT (VND)]]+Table11[[#This Row],[CASH OUT - DEBIT (USD)]]</f>
        <v>0</v>
      </c>
      <c r="AH242" s="1158"/>
      <c r="AI242" s="49"/>
      <c r="AJ242" s="1158"/>
      <c r="AL242"/>
    </row>
    <row r="243" spans="1:38" ht="14.4">
      <c r="A243" s="1153" t="str">
        <f>VLOOKUP('Cash Balance'!$C243,Table2[#All],MATCH('Cash Balance'!A$3,Acc_Char!$B$1:$I$1,0),0)</f>
        <v>HOLDCO4M</v>
      </c>
      <c r="B243" s="1154" t="str">
        <f>VLOOKUP('Cash Balance'!$C243,Table2[#All],MATCH('Cash Balance'!B$3,Acc_Char!$B$1:$I$1,0),0)</f>
        <v>BIDV - THANH XUAN</v>
      </c>
      <c r="C243" s="1185" t="s">
        <v>813</v>
      </c>
      <c r="D243" s="1156" t="str">
        <f>VLOOKUP('Cash Balance'!$C243,Table2[#All],MATCH('Cash Balance'!D$3,Acc_Char!$B$1:$I$1,0),0)</f>
        <v>Saving Account</v>
      </c>
      <c r="E243" s="384" t="str">
        <f>VLOOKUP('Cash Balance'!$C243,Table2[#All],MATCH('Cash Balance'!E$3,Acc_Char!$B$1:$I$1,0),0)</f>
        <v>VND</v>
      </c>
      <c r="F243" s="1094" t="e">
        <f>VLOOKUP(C243,'Cash balance (BS)'!A:C,3,)</f>
        <v>#N/A</v>
      </c>
      <c r="G243" s="1157" t="e">
        <f t="shared" si="25"/>
        <v>#N/A</v>
      </c>
      <c r="H243" s="1318">
        <f>SUMIFS('Cash balance (Prior period)'!F:F,'Cash balance (Prior period)'!C:C,Table11[[#This Row],[ACCOUNT NUMBER]],'Cash balance (Prior period)'!E:E,Table11[[#This Row],[CURRENCY]])</f>
        <v>900000000</v>
      </c>
      <c r="I243" s="1318">
        <f>SUMIFS(Movement!$F$4:$F$2136,Movement!$M$4:$M$2136,"VND",Movement!$C$4:$C$2136,Table11[[#This Row],[ACCOUNT NUMBER]],Movement!$J$4:$J$2136,Table11[[#This Row],[ENTITY]],Movement!$O$4:$O$2136,'Cash Balance'!$A$2)</f>
        <v>0</v>
      </c>
      <c r="J243" s="1318">
        <f>SUMIFS(Movement!$G$4:$G$2136,Movement!$M$4:$M$2136,"VND",Movement!$C$4:$C$2136,Table11[[#This Row],[ACCOUNT NUMBER]],Movement!$J$4:$J$2136,Table11[[#This Row],[ENTITY]],Movement!$O$4:$O$2136,'Cash Balance'!$A$2)</f>
        <v>0</v>
      </c>
      <c r="K243" s="1084">
        <f>Table11[[#This Row],[CASH IN - CREDIT (VND)]]-Table11[[#This Row],[CASH OUT - DEBIT (VND)]]</f>
        <v>0</v>
      </c>
      <c r="L243" s="1095">
        <f t="shared" si="22"/>
        <v>900000000</v>
      </c>
      <c r="M243" s="1184" t="e">
        <f>VLOOKUP(C243,'Cash balance (BS)'!A:D,4,)</f>
        <v>#N/A</v>
      </c>
      <c r="N243" s="1095" t="e">
        <f>Table11[[#This Row],[CLOSING BALANCE (VND)2]]-Table11[[#This Row],[CB_BS (VND)]]</f>
        <v>#N/A</v>
      </c>
      <c r="O243" s="1094">
        <v>0</v>
      </c>
      <c r="P243" s="1095">
        <f t="shared" si="23"/>
        <v>0</v>
      </c>
      <c r="Q243" s="817">
        <f>SUMIFS('Cash balance (Prior period)'!G:G,'Cash balance (Prior period)'!C:C,Table11[[#This Row],[ACCOUNT NUMBER]],'Cash balance (Prior period)'!E:E,Table11[[#This Row],[CURRENCY]])</f>
        <v>0</v>
      </c>
      <c r="R243" s="817">
        <f>SUMIFS(Movement!$F$4:$F$2136,Movement!$M$4:$M$2136,"USD",Movement!$C$4:$C$2136,Table11[[#This Row],[ACCOUNT NUMBER]],Movement!$J$4:$J$2136,Table11[[#This Row],[ENTITY]],Movement!$O$4:$O$2136,'Cash Balance'!$A$2)</f>
        <v>0</v>
      </c>
      <c r="S243" s="817">
        <f>SUMIFS(Movement!$G$4:$G$2136,Movement!$M$4:$M$2136,"USD",Movement!$C$4:$C$2136,Table11[[#This Row],[ACCOUNT NUMBER]],Movement!$J$4:$J$2136,Table11[[#This Row],[ENTITY]],Movement!$O$4:$O$2136,'Cash Balance'!$A$2)</f>
        <v>0</v>
      </c>
      <c r="T243" s="1087">
        <f t="shared" si="24"/>
        <v>0</v>
      </c>
      <c r="U243" s="817"/>
      <c r="V243" s="817">
        <f>Table11[[#This Row],[CLOSING BALANCE (USD)]]-Table11[[#This Row],[CB_BS (USD)]]</f>
        <v>0</v>
      </c>
      <c r="W243" s="1156" t="str">
        <f>VLOOKUP('Cash Balance'!$C243,Table2[#All],MATCH('Cash Balance'!W$3,Acc_Char!$B$1:$I$1,0),0)</f>
        <v>Subsidiaries</v>
      </c>
      <c r="X243" s="1156" t="str">
        <f>VLOOKUP(IFERROR(MID($Y243,1,FIND("-",$Y243)-2),$Y243),Table3[#All],2,0)</f>
        <v>BIDV</v>
      </c>
      <c r="Y243" s="1156" t="str">
        <f>VLOOKUP($B243,Table4[#All],2,0)</f>
        <v>BIDV - THANH XUAN</v>
      </c>
      <c r="Z243" s="1151"/>
      <c r="AA243" s="49"/>
      <c r="AE243" s="818">
        <f>SUM(Table11[[#This Row],[CASH IN - CREDIT (VND)]],Table11[[#This Row],[CASH IN - CREDIT (USD)]])</f>
        <v>0</v>
      </c>
      <c r="AF243" s="818">
        <f>Table11[[#This Row],[CASH OUT - DEBIT (VND)]]+Table11[[#This Row],[CASH OUT - DEBIT (USD)]]</f>
        <v>0</v>
      </c>
      <c r="AH243" s="1158"/>
      <c r="AI243" s="49"/>
      <c r="AJ243" s="1158"/>
      <c r="AL243"/>
    </row>
    <row r="244" spans="1:38" ht="14.4">
      <c r="A244" s="1153" t="str">
        <f>VLOOKUP('Cash Balance'!$C244,Table2[#All],MATCH('Cash Balance'!A$3,Acc_Char!$B$1:$I$1,0),0)</f>
        <v>HOLDCO4N</v>
      </c>
      <c r="B244" s="1154" t="str">
        <f>VLOOKUP('Cash Balance'!$C244,Table2[#All],MATCH('Cash Balance'!B$3,Acc_Char!$B$1:$I$1,0),0)</f>
        <v>BIDV - BEN NGHE</v>
      </c>
      <c r="C244" s="1190" t="s">
        <v>814</v>
      </c>
      <c r="D244" s="1156" t="str">
        <f>VLOOKUP('Cash Balance'!$C244,Table2[#All],MATCH('Cash Balance'!D$3,Acc_Char!$B$1:$I$1,0),0)</f>
        <v>Saving Account</v>
      </c>
      <c r="E244" s="384" t="str">
        <f>VLOOKUP('Cash Balance'!$C244,Table2[#All],MATCH('Cash Balance'!E$3,Acc_Char!$B$1:$I$1,0),0)</f>
        <v>VND</v>
      </c>
      <c r="F244" s="1094" t="e">
        <f>VLOOKUP(C244,'Cash balance (BS)'!A:C,3,)</f>
        <v>#N/A</v>
      </c>
      <c r="G244" s="1157" t="e">
        <f t="shared" si="25"/>
        <v>#N/A</v>
      </c>
      <c r="H244" s="1318">
        <f>SUMIFS('Cash balance (Prior period)'!F:F,'Cash balance (Prior period)'!C:C,Table11[[#This Row],[ACCOUNT NUMBER]],'Cash balance (Prior period)'!E:E,Table11[[#This Row],[CURRENCY]])</f>
        <v>0</v>
      </c>
      <c r="I244" s="1318">
        <f>SUMIFS(Movement!$F$4:$F$2136,Movement!$M$4:$M$2136,"VND",Movement!$C$4:$C$2136,Table11[[#This Row],[ACCOUNT NUMBER]],Movement!$J$4:$J$2136,Table11[[#This Row],[ENTITY]],Movement!$O$4:$O$2136,'Cash Balance'!$A$2)</f>
        <v>0</v>
      </c>
      <c r="J244" s="1318">
        <f>SUMIFS(Movement!$G$4:$G$2136,Movement!$M$4:$M$2136,"VND",Movement!$C$4:$C$2136,Table11[[#This Row],[ACCOUNT NUMBER]],Movement!$J$4:$J$2136,Table11[[#This Row],[ENTITY]],Movement!$O$4:$O$2136,'Cash Balance'!$A$2)</f>
        <v>0</v>
      </c>
      <c r="K244" s="1084">
        <f>Table11[[#This Row],[CASH IN - CREDIT (VND)]]-Table11[[#This Row],[CASH OUT - DEBIT (VND)]]</f>
        <v>0</v>
      </c>
      <c r="L244" s="1095">
        <f t="shared" si="22"/>
        <v>0</v>
      </c>
      <c r="M244" s="1184" t="e">
        <f>VLOOKUP(C244,'Cash balance (BS)'!A:D,4,)</f>
        <v>#N/A</v>
      </c>
      <c r="N244" s="1095" t="e">
        <f>Table11[[#This Row],[CLOSING BALANCE (VND)2]]-Table11[[#This Row],[CB_BS (VND)]]</f>
        <v>#N/A</v>
      </c>
      <c r="O244" s="1094">
        <v>0</v>
      </c>
      <c r="P244" s="1095">
        <f t="shared" si="23"/>
        <v>0</v>
      </c>
      <c r="Q244" s="817">
        <f>SUMIFS('Cash balance (Prior period)'!G:G,'Cash balance (Prior period)'!C:C,Table11[[#This Row],[ACCOUNT NUMBER]],'Cash balance (Prior period)'!E:E,Table11[[#This Row],[CURRENCY]])</f>
        <v>0</v>
      </c>
      <c r="R244" s="817">
        <f>SUMIFS(Movement!$F$4:$F$2136,Movement!$M$4:$M$2136,"USD",Movement!$C$4:$C$2136,Table11[[#This Row],[ACCOUNT NUMBER]],Movement!$J$4:$J$2136,Table11[[#This Row],[ENTITY]],Movement!$O$4:$O$2136,'Cash Balance'!$A$2)</f>
        <v>0</v>
      </c>
      <c r="S244" s="817">
        <f>SUMIFS(Movement!$G$4:$G$2136,Movement!$M$4:$M$2136,"USD",Movement!$C$4:$C$2136,Table11[[#This Row],[ACCOUNT NUMBER]],Movement!$J$4:$J$2136,Table11[[#This Row],[ENTITY]],Movement!$O$4:$O$2136,'Cash Balance'!$A$2)</f>
        <v>0</v>
      </c>
      <c r="T244" s="1087">
        <f t="shared" si="24"/>
        <v>0</v>
      </c>
      <c r="U244" s="817"/>
      <c r="V244" s="817">
        <f>Table11[[#This Row],[CLOSING BALANCE (USD)]]-Table11[[#This Row],[CB_BS (USD)]]</f>
        <v>0</v>
      </c>
      <c r="W244" s="1156" t="str">
        <f>VLOOKUP('Cash Balance'!$C244,Table2[#All],MATCH('Cash Balance'!W$3,Acc_Char!$B$1:$I$1,0),0)</f>
        <v>Subsidiaries</v>
      </c>
      <c r="X244" s="1156" t="str">
        <f>VLOOKUP(IFERROR(MID($Y244,1,FIND("-",$Y244)-2),$Y244),Table3[#All],2,0)</f>
        <v>Others</v>
      </c>
      <c r="Y244" s="1156" t="str">
        <f>VLOOKUP($B244,Table4[#All],2,0)</f>
        <v>OTHERS</v>
      </c>
      <c r="Z244" s="1151"/>
      <c r="AA244" s="49"/>
      <c r="AE244" s="818">
        <f>SUM(Table11[[#This Row],[CASH IN - CREDIT (VND)]],Table11[[#This Row],[CASH IN - CREDIT (USD)]])</f>
        <v>0</v>
      </c>
      <c r="AF244" s="818">
        <f>Table11[[#This Row],[CASH OUT - DEBIT (VND)]]+Table11[[#This Row],[CASH OUT - DEBIT (USD)]]</f>
        <v>0</v>
      </c>
      <c r="AH244" s="1158"/>
      <c r="AI244" s="49"/>
      <c r="AJ244" s="1158"/>
      <c r="AL244"/>
    </row>
    <row r="245" spans="1:38" ht="14.4">
      <c r="A245" s="1153" t="str">
        <f>VLOOKUP('Cash Balance'!$C245,Table2[#All],MATCH('Cash Balance'!A$3,Acc_Char!$B$1:$I$1,0),0)</f>
        <v>HOLDCO4O</v>
      </c>
      <c r="B245" s="1154" t="str">
        <f>VLOOKUP('Cash Balance'!$C245,Table2[#All],MATCH('Cash Balance'!B$3,Acc_Char!$B$1:$I$1,0),0)</f>
        <v>BIDV - BEN NGHE</v>
      </c>
      <c r="C245" s="1190" t="s">
        <v>815</v>
      </c>
      <c r="D245" s="1156" t="str">
        <f>VLOOKUP('Cash Balance'!$C245,Table2[#All],MATCH('Cash Balance'!D$3,Acc_Char!$B$1:$I$1,0),0)</f>
        <v>Saving Account</v>
      </c>
      <c r="E245" s="384" t="str">
        <f>VLOOKUP('Cash Balance'!$C245,Table2[#All],MATCH('Cash Balance'!E$3,Acc_Char!$B$1:$I$1,0),0)</f>
        <v>VND</v>
      </c>
      <c r="F245" s="1094" t="e">
        <f>VLOOKUP(C245,'Cash balance (BS)'!A:C,3,)</f>
        <v>#N/A</v>
      </c>
      <c r="G245" s="1157" t="e">
        <f t="shared" si="25"/>
        <v>#N/A</v>
      </c>
      <c r="H245" s="1318">
        <f>SUMIFS('Cash balance (Prior period)'!F:F,'Cash balance (Prior period)'!C:C,Table11[[#This Row],[ACCOUNT NUMBER]],'Cash balance (Prior period)'!E:E,Table11[[#This Row],[CURRENCY]])</f>
        <v>0</v>
      </c>
      <c r="I245" s="1318">
        <f>SUMIFS(Movement!$F$4:$F$2136,Movement!$M$4:$M$2136,"VND",Movement!$C$4:$C$2136,Table11[[#This Row],[ACCOUNT NUMBER]],Movement!$J$4:$J$2136,Table11[[#This Row],[ENTITY]],Movement!$O$4:$O$2136,'Cash Balance'!$A$2)</f>
        <v>0</v>
      </c>
      <c r="J245" s="1318">
        <f>SUMIFS(Movement!$G$4:$G$2136,Movement!$M$4:$M$2136,"VND",Movement!$C$4:$C$2136,Table11[[#This Row],[ACCOUNT NUMBER]],Movement!$J$4:$J$2136,Table11[[#This Row],[ENTITY]],Movement!$O$4:$O$2136,'Cash Balance'!$A$2)</f>
        <v>0</v>
      </c>
      <c r="K245" s="1084">
        <f>Table11[[#This Row],[CASH IN - CREDIT (VND)]]-Table11[[#This Row],[CASH OUT - DEBIT (VND)]]</f>
        <v>0</v>
      </c>
      <c r="L245" s="1095">
        <f t="shared" si="22"/>
        <v>0</v>
      </c>
      <c r="M245" s="1184" t="e">
        <f>VLOOKUP(C245,'Cash balance (BS)'!A:D,4,)</f>
        <v>#N/A</v>
      </c>
      <c r="N245" s="1095" t="e">
        <f>Table11[[#This Row],[CLOSING BALANCE (VND)2]]-Table11[[#This Row],[CB_BS (VND)]]</f>
        <v>#N/A</v>
      </c>
      <c r="O245" s="1094">
        <v>0</v>
      </c>
      <c r="P245" s="1095">
        <f t="shared" si="23"/>
        <v>0</v>
      </c>
      <c r="Q245" s="817">
        <f>SUMIFS('Cash balance (Prior period)'!G:G,'Cash balance (Prior period)'!C:C,Table11[[#This Row],[ACCOUNT NUMBER]],'Cash balance (Prior period)'!E:E,Table11[[#This Row],[CURRENCY]])</f>
        <v>0</v>
      </c>
      <c r="R245" s="817">
        <f>SUMIFS(Movement!$F$4:$F$2136,Movement!$M$4:$M$2136,"USD",Movement!$C$4:$C$2136,Table11[[#This Row],[ACCOUNT NUMBER]],Movement!$J$4:$J$2136,Table11[[#This Row],[ENTITY]],Movement!$O$4:$O$2136,'Cash Balance'!$A$2)</f>
        <v>0</v>
      </c>
      <c r="S245" s="817">
        <f>SUMIFS(Movement!$G$4:$G$2136,Movement!$M$4:$M$2136,"USD",Movement!$C$4:$C$2136,Table11[[#This Row],[ACCOUNT NUMBER]],Movement!$J$4:$J$2136,Table11[[#This Row],[ENTITY]],Movement!$O$4:$O$2136,'Cash Balance'!$A$2)</f>
        <v>0</v>
      </c>
      <c r="T245" s="1087">
        <f t="shared" si="24"/>
        <v>0</v>
      </c>
      <c r="U245" s="817"/>
      <c r="V245" s="817">
        <f>Table11[[#This Row],[CLOSING BALANCE (USD)]]-Table11[[#This Row],[CB_BS (USD)]]</f>
        <v>0</v>
      </c>
      <c r="W245" s="1156" t="str">
        <f>VLOOKUP('Cash Balance'!$C245,Table2[#All],MATCH('Cash Balance'!W$3,Acc_Char!$B$1:$I$1,0),0)</f>
        <v>Subsidiaries</v>
      </c>
      <c r="X245" s="1156" t="str">
        <f>VLOOKUP(IFERROR(MID($Y245,1,FIND("-",$Y245)-2),$Y245),Table3[#All],2,0)</f>
        <v>Others</v>
      </c>
      <c r="Y245" s="1156" t="str">
        <f>VLOOKUP($B245,Table4[#All],2,0)</f>
        <v>OTHERS</v>
      </c>
      <c r="Z245" s="1151"/>
      <c r="AA245" s="49"/>
      <c r="AE245" s="818">
        <f>SUM(Table11[[#This Row],[CASH IN - CREDIT (VND)]],Table11[[#This Row],[CASH IN - CREDIT (USD)]])</f>
        <v>0</v>
      </c>
      <c r="AF245" s="818">
        <f>Table11[[#This Row],[CASH OUT - DEBIT (VND)]]+Table11[[#This Row],[CASH OUT - DEBIT (USD)]]</f>
        <v>0</v>
      </c>
      <c r="AH245" s="1158"/>
      <c r="AI245" s="49"/>
      <c r="AJ245" s="1158"/>
      <c r="AL245"/>
    </row>
    <row r="246" spans="1:38" ht="14.4">
      <c r="A246" s="1153" t="str">
        <f>VLOOKUP('Cash Balance'!$C246,Table2[#All],MATCH('Cash Balance'!A$3,Acc_Char!$B$1:$I$1,0),0)</f>
        <v>HOLDCO4P</v>
      </c>
      <c r="B246" s="1154" t="str">
        <f>VLOOKUP('Cash Balance'!$C246,Table2[#All],MATCH('Cash Balance'!B$3,Acc_Char!$B$1:$I$1,0),0)</f>
        <v>BIDV - BEN NGHE</v>
      </c>
      <c r="C246" s="1190" t="s">
        <v>816</v>
      </c>
      <c r="D246" s="1156" t="str">
        <f>VLOOKUP('Cash Balance'!$C246,Table2[#All],MATCH('Cash Balance'!D$3,Acc_Char!$B$1:$I$1,0),0)</f>
        <v>Saving Account</v>
      </c>
      <c r="E246" s="384" t="str">
        <f>VLOOKUP('Cash Balance'!$C246,Table2[#All],MATCH('Cash Balance'!E$3,Acc_Char!$B$1:$I$1,0),0)</f>
        <v>VND</v>
      </c>
      <c r="F246" s="1094" t="e">
        <f>VLOOKUP(C246,'Cash balance (BS)'!A:C,3,)</f>
        <v>#N/A</v>
      </c>
      <c r="G246" s="1157" t="e">
        <f t="shared" si="25"/>
        <v>#N/A</v>
      </c>
      <c r="H246" s="1318">
        <f>SUMIFS('Cash balance (Prior period)'!F:F,'Cash balance (Prior period)'!C:C,Table11[[#This Row],[ACCOUNT NUMBER]],'Cash balance (Prior period)'!E:E,Table11[[#This Row],[CURRENCY]])</f>
        <v>0</v>
      </c>
      <c r="I246" s="1318">
        <f>SUMIFS(Movement!$F$4:$F$2136,Movement!$M$4:$M$2136,"VND",Movement!$C$4:$C$2136,Table11[[#This Row],[ACCOUNT NUMBER]],Movement!$J$4:$J$2136,Table11[[#This Row],[ENTITY]],Movement!$O$4:$O$2136,'Cash Balance'!$A$2)</f>
        <v>0</v>
      </c>
      <c r="J246" s="1318">
        <f>SUMIFS(Movement!$G$4:$G$2136,Movement!$M$4:$M$2136,"VND",Movement!$C$4:$C$2136,Table11[[#This Row],[ACCOUNT NUMBER]],Movement!$J$4:$J$2136,Table11[[#This Row],[ENTITY]],Movement!$O$4:$O$2136,'Cash Balance'!$A$2)</f>
        <v>0</v>
      </c>
      <c r="K246" s="1084">
        <f>Table11[[#This Row],[CASH IN - CREDIT (VND)]]-Table11[[#This Row],[CASH OUT - DEBIT (VND)]]</f>
        <v>0</v>
      </c>
      <c r="L246" s="1095">
        <f t="shared" si="22"/>
        <v>0</v>
      </c>
      <c r="M246" s="1184" t="e">
        <f>VLOOKUP(C246,'Cash balance (BS)'!A:D,4,)</f>
        <v>#N/A</v>
      </c>
      <c r="N246" s="1095" t="e">
        <f>Table11[[#This Row],[CLOSING BALANCE (VND)2]]-Table11[[#This Row],[CB_BS (VND)]]</f>
        <v>#N/A</v>
      </c>
      <c r="O246" s="1094">
        <v>0</v>
      </c>
      <c r="P246" s="1095">
        <f t="shared" si="23"/>
        <v>0</v>
      </c>
      <c r="Q246" s="817">
        <f>SUMIFS('Cash balance (Prior period)'!G:G,'Cash balance (Prior period)'!C:C,Table11[[#This Row],[ACCOUNT NUMBER]],'Cash balance (Prior period)'!E:E,Table11[[#This Row],[CURRENCY]])</f>
        <v>0</v>
      </c>
      <c r="R246" s="817">
        <f>SUMIFS(Movement!$F$4:$F$2136,Movement!$M$4:$M$2136,"USD",Movement!$C$4:$C$2136,Table11[[#This Row],[ACCOUNT NUMBER]],Movement!$J$4:$J$2136,Table11[[#This Row],[ENTITY]],Movement!$O$4:$O$2136,'Cash Balance'!$A$2)</f>
        <v>0</v>
      </c>
      <c r="S246" s="817">
        <f>SUMIFS(Movement!$G$4:$G$2136,Movement!$M$4:$M$2136,"USD",Movement!$C$4:$C$2136,Table11[[#This Row],[ACCOUNT NUMBER]],Movement!$J$4:$J$2136,Table11[[#This Row],[ENTITY]],Movement!$O$4:$O$2136,'Cash Balance'!$A$2)</f>
        <v>0</v>
      </c>
      <c r="T246" s="1087">
        <f t="shared" si="24"/>
        <v>0</v>
      </c>
      <c r="U246" s="817"/>
      <c r="V246" s="817">
        <f>Table11[[#This Row],[CLOSING BALANCE (USD)]]-Table11[[#This Row],[CB_BS (USD)]]</f>
        <v>0</v>
      </c>
      <c r="W246" s="1156" t="str">
        <f>VLOOKUP('Cash Balance'!$C246,Table2[#All],MATCH('Cash Balance'!W$3,Acc_Char!$B$1:$I$1,0),0)</f>
        <v>Subsidiaries</v>
      </c>
      <c r="X246" s="1156" t="str">
        <f>VLOOKUP(IFERROR(MID($Y246,1,FIND("-",$Y246)-2),$Y246),Table3[#All],2,0)</f>
        <v>Others</v>
      </c>
      <c r="Y246" s="1156" t="str">
        <f>VLOOKUP($B246,Table4[#All],2,0)</f>
        <v>OTHERS</v>
      </c>
      <c r="Z246" s="1151"/>
      <c r="AA246" s="49"/>
      <c r="AE246" s="818">
        <f>SUM(Table11[[#This Row],[CASH IN - CREDIT (VND)]],Table11[[#This Row],[CASH IN - CREDIT (USD)]])</f>
        <v>0</v>
      </c>
      <c r="AF246" s="818">
        <f>Table11[[#This Row],[CASH OUT - DEBIT (VND)]]+Table11[[#This Row],[CASH OUT - DEBIT (USD)]]</f>
        <v>0</v>
      </c>
      <c r="AH246" s="1158"/>
      <c r="AI246" s="49"/>
      <c r="AJ246" s="1158"/>
      <c r="AL246"/>
    </row>
    <row r="247" spans="1:38" ht="14.4">
      <c r="A247" s="1153" t="str">
        <f>VLOOKUP('Cash Balance'!$C247,Table2[#All],MATCH('Cash Balance'!A$3,Acc_Char!$B$1:$I$1,0),0)</f>
        <v>HOLDCO5K</v>
      </c>
      <c r="B247" s="1154" t="str">
        <f>VLOOKUP('Cash Balance'!$C247,Table2[#All],MATCH('Cash Balance'!B$3,Acc_Char!$B$1:$I$1,0),0)</f>
        <v>BIDV - THANH XUAN</v>
      </c>
      <c r="C247" s="1190" t="s">
        <v>817</v>
      </c>
      <c r="D247" s="1156" t="str">
        <f>VLOOKUP('Cash Balance'!$C247,Table2[#All],MATCH('Cash Balance'!D$3,Acc_Char!$B$1:$I$1,0),0)</f>
        <v>Saving Account</v>
      </c>
      <c r="E247" s="384" t="str">
        <f>VLOOKUP('Cash Balance'!$C247,Table2[#All],MATCH('Cash Balance'!E$3,Acc_Char!$B$1:$I$1,0),0)</f>
        <v>VND</v>
      </c>
      <c r="F247" s="1094" t="e">
        <f>VLOOKUP(C247,'Cash balance (BS)'!A:C,3,)</f>
        <v>#N/A</v>
      </c>
      <c r="G247" s="1157" t="e">
        <f t="shared" si="25"/>
        <v>#N/A</v>
      </c>
      <c r="H247" s="1318">
        <f>SUMIFS('Cash balance (Prior period)'!F:F,'Cash balance (Prior period)'!C:C,Table11[[#This Row],[ACCOUNT NUMBER]],'Cash balance (Prior period)'!E:E,Table11[[#This Row],[CURRENCY]])</f>
        <v>800000000</v>
      </c>
      <c r="I247" s="1318">
        <f>SUMIFS(Movement!$F$4:$F$2136,Movement!$M$4:$M$2136,"VND",Movement!$C$4:$C$2136,Table11[[#This Row],[ACCOUNT NUMBER]],Movement!$J$4:$J$2136,Table11[[#This Row],[ENTITY]],Movement!$O$4:$O$2136,'Cash Balance'!$A$2)</f>
        <v>0</v>
      </c>
      <c r="J247" s="1318">
        <f>SUMIFS(Movement!$G$4:$G$2136,Movement!$M$4:$M$2136,"VND",Movement!$C$4:$C$2136,Table11[[#This Row],[ACCOUNT NUMBER]],Movement!$J$4:$J$2136,Table11[[#This Row],[ENTITY]],Movement!$O$4:$O$2136,'Cash Balance'!$A$2)</f>
        <v>0</v>
      </c>
      <c r="K247" s="1084">
        <f>Table11[[#This Row],[CASH IN - CREDIT (VND)]]-Table11[[#This Row],[CASH OUT - DEBIT (VND)]]</f>
        <v>0</v>
      </c>
      <c r="L247" s="1095">
        <f t="shared" si="22"/>
        <v>800000000</v>
      </c>
      <c r="M247" s="1184" t="e">
        <f>VLOOKUP(C247,'Cash balance (BS)'!A:D,4,)</f>
        <v>#N/A</v>
      </c>
      <c r="N247" s="1095" t="e">
        <f>Table11[[#This Row],[CLOSING BALANCE (VND)2]]-Table11[[#This Row],[CB_BS (VND)]]</f>
        <v>#N/A</v>
      </c>
      <c r="O247" s="1094">
        <v>0</v>
      </c>
      <c r="P247" s="1095">
        <f t="shared" si="23"/>
        <v>0</v>
      </c>
      <c r="Q247" s="817">
        <f>SUMIFS('Cash balance (Prior period)'!G:G,'Cash balance (Prior period)'!C:C,Table11[[#This Row],[ACCOUNT NUMBER]],'Cash balance (Prior period)'!E:E,Table11[[#This Row],[CURRENCY]])</f>
        <v>0</v>
      </c>
      <c r="R247" s="817">
        <f>SUMIFS(Movement!$F$4:$F$2136,Movement!$M$4:$M$2136,"USD",Movement!$C$4:$C$2136,Table11[[#This Row],[ACCOUNT NUMBER]],Movement!$J$4:$J$2136,Table11[[#This Row],[ENTITY]],Movement!$O$4:$O$2136,'Cash Balance'!$A$2)</f>
        <v>0</v>
      </c>
      <c r="S247" s="817">
        <f>SUMIFS(Movement!$G$4:$G$2136,Movement!$M$4:$M$2136,"USD",Movement!$C$4:$C$2136,Table11[[#This Row],[ACCOUNT NUMBER]],Movement!$J$4:$J$2136,Table11[[#This Row],[ENTITY]],Movement!$O$4:$O$2136,'Cash Balance'!$A$2)</f>
        <v>0</v>
      </c>
      <c r="T247" s="1087">
        <f t="shared" si="24"/>
        <v>0</v>
      </c>
      <c r="U247" s="817"/>
      <c r="V247" s="817">
        <f>Table11[[#This Row],[CLOSING BALANCE (USD)]]-Table11[[#This Row],[CB_BS (USD)]]</f>
        <v>0</v>
      </c>
      <c r="W247" s="1156" t="str">
        <f>VLOOKUP('Cash Balance'!$C247,Table2[#All],MATCH('Cash Balance'!W$3,Acc_Char!$B$1:$I$1,0),0)</f>
        <v>Subsidiaries</v>
      </c>
      <c r="X247" s="1156" t="str">
        <f>VLOOKUP(IFERROR(MID($Y247,1,FIND("-",$Y247)-2),$Y247),Table3[#All],2,0)</f>
        <v>BIDV</v>
      </c>
      <c r="Y247" s="1156" t="str">
        <f>VLOOKUP($B247,Table4[#All],2,0)</f>
        <v>BIDV - THANH XUAN</v>
      </c>
      <c r="Z247" s="1151"/>
      <c r="AA247" s="49"/>
      <c r="AE247" s="818">
        <f>SUM(Table11[[#This Row],[CASH IN - CREDIT (VND)]],Table11[[#This Row],[CASH IN - CREDIT (USD)]])</f>
        <v>0</v>
      </c>
      <c r="AF247" s="818">
        <f>Table11[[#This Row],[CASH OUT - DEBIT (VND)]]+Table11[[#This Row],[CASH OUT - DEBIT (USD)]]</f>
        <v>0</v>
      </c>
      <c r="AH247" s="1158"/>
      <c r="AI247" s="49"/>
      <c r="AJ247" s="1158"/>
      <c r="AL247"/>
    </row>
    <row r="248" spans="1:38" ht="14.4">
      <c r="A248" s="1153" t="str">
        <f>VLOOKUP('Cash Balance'!$C248,Table2[#All],MATCH('Cash Balance'!A$3,Acc_Char!$B$1:$I$1,0),0)</f>
        <v>HOLDCO5M</v>
      </c>
      <c r="B248" s="1154" t="str">
        <f>VLOOKUP('Cash Balance'!$C248,Table2[#All],MATCH('Cash Balance'!B$3,Acc_Char!$B$1:$I$1,0),0)</f>
        <v>BIDV - THANH XUAN</v>
      </c>
      <c r="C248" s="1190" t="s">
        <v>818</v>
      </c>
      <c r="D248" s="1156" t="str">
        <f>VLOOKUP('Cash Balance'!$C248,Table2[#All],MATCH('Cash Balance'!D$3,Acc_Char!$B$1:$I$1,0),0)</f>
        <v>Saving Account</v>
      </c>
      <c r="E248" s="384" t="str">
        <f>VLOOKUP('Cash Balance'!$C248,Table2[#All],MATCH('Cash Balance'!E$3,Acc_Char!$B$1:$I$1,0),0)</f>
        <v>VND</v>
      </c>
      <c r="F248" s="1094" t="e">
        <f>VLOOKUP(C248,'Cash balance (BS)'!A:C,3,)</f>
        <v>#N/A</v>
      </c>
      <c r="G248" s="1157" t="e">
        <f t="shared" si="25"/>
        <v>#N/A</v>
      </c>
      <c r="H248" s="1318">
        <f>SUMIFS('Cash balance (Prior period)'!F:F,'Cash balance (Prior period)'!C:C,Table11[[#This Row],[ACCOUNT NUMBER]],'Cash balance (Prior period)'!E:E,Table11[[#This Row],[CURRENCY]])</f>
        <v>800000000</v>
      </c>
      <c r="I248" s="1318">
        <f>SUMIFS(Movement!$F$4:$F$2136,Movement!$M$4:$M$2136,"VND",Movement!$C$4:$C$2136,Table11[[#This Row],[ACCOUNT NUMBER]],Movement!$J$4:$J$2136,Table11[[#This Row],[ENTITY]],Movement!$O$4:$O$2136,'Cash Balance'!$A$2)</f>
        <v>0</v>
      </c>
      <c r="J248" s="1318">
        <f>SUMIFS(Movement!$G$4:$G$2136,Movement!$M$4:$M$2136,"VND",Movement!$C$4:$C$2136,Table11[[#This Row],[ACCOUNT NUMBER]],Movement!$J$4:$J$2136,Table11[[#This Row],[ENTITY]],Movement!$O$4:$O$2136,'Cash Balance'!$A$2)</f>
        <v>0</v>
      </c>
      <c r="K248" s="1084">
        <f>Table11[[#This Row],[CASH IN - CREDIT (VND)]]-Table11[[#This Row],[CASH OUT - DEBIT (VND)]]</f>
        <v>0</v>
      </c>
      <c r="L248" s="1095">
        <f t="shared" si="22"/>
        <v>800000000</v>
      </c>
      <c r="M248" s="1184" t="e">
        <f>VLOOKUP(C248,'Cash balance (BS)'!A:D,4,)</f>
        <v>#N/A</v>
      </c>
      <c r="N248" s="1095" t="e">
        <f>Table11[[#This Row],[CLOSING BALANCE (VND)2]]-Table11[[#This Row],[CB_BS (VND)]]</f>
        <v>#N/A</v>
      </c>
      <c r="O248" s="1094">
        <v>0</v>
      </c>
      <c r="P248" s="1095">
        <f t="shared" si="23"/>
        <v>0</v>
      </c>
      <c r="Q248" s="817">
        <f>SUMIFS('Cash balance (Prior period)'!G:G,'Cash balance (Prior period)'!C:C,Table11[[#This Row],[ACCOUNT NUMBER]],'Cash balance (Prior period)'!E:E,Table11[[#This Row],[CURRENCY]])</f>
        <v>0</v>
      </c>
      <c r="R248" s="817">
        <f>SUMIFS(Movement!$F$4:$F$2136,Movement!$M$4:$M$2136,"USD",Movement!$C$4:$C$2136,Table11[[#This Row],[ACCOUNT NUMBER]],Movement!$J$4:$J$2136,Table11[[#This Row],[ENTITY]],Movement!$O$4:$O$2136,'Cash Balance'!$A$2)</f>
        <v>0</v>
      </c>
      <c r="S248" s="817">
        <f>SUMIFS(Movement!$G$4:$G$2136,Movement!$M$4:$M$2136,"USD",Movement!$C$4:$C$2136,Table11[[#This Row],[ACCOUNT NUMBER]],Movement!$J$4:$J$2136,Table11[[#This Row],[ENTITY]],Movement!$O$4:$O$2136,'Cash Balance'!$A$2)</f>
        <v>0</v>
      </c>
      <c r="T248" s="1087">
        <f t="shared" si="24"/>
        <v>0</v>
      </c>
      <c r="U248" s="817"/>
      <c r="V248" s="817">
        <f>Table11[[#This Row],[CLOSING BALANCE (USD)]]-Table11[[#This Row],[CB_BS (USD)]]</f>
        <v>0</v>
      </c>
      <c r="W248" s="1156" t="str">
        <f>VLOOKUP('Cash Balance'!$C248,Table2[#All],MATCH('Cash Balance'!W$3,Acc_Char!$B$1:$I$1,0),0)</f>
        <v>Subsidiaries</v>
      </c>
      <c r="X248" s="1156" t="str">
        <f>VLOOKUP(IFERROR(MID($Y248,1,FIND("-",$Y248)-2),$Y248),Table3[#All],2,0)</f>
        <v>BIDV</v>
      </c>
      <c r="Y248" s="1156" t="str">
        <f>VLOOKUP($B248,Table4[#All],2,0)</f>
        <v>BIDV - THANH XUAN</v>
      </c>
      <c r="Z248" s="1151"/>
      <c r="AA248" s="49"/>
      <c r="AE248" s="818">
        <f>SUM(Table11[[#This Row],[CASH IN - CREDIT (VND)]],Table11[[#This Row],[CASH IN - CREDIT (USD)]])</f>
        <v>0</v>
      </c>
      <c r="AF248" s="818">
        <f>Table11[[#This Row],[CASH OUT - DEBIT (VND)]]+Table11[[#This Row],[CASH OUT - DEBIT (USD)]]</f>
        <v>0</v>
      </c>
      <c r="AH248" s="1158"/>
      <c r="AI248" s="49"/>
      <c r="AJ248" s="1158"/>
      <c r="AL248"/>
    </row>
    <row r="249" spans="1:38" ht="14.4">
      <c r="A249" s="1153" t="str">
        <f>VLOOKUP('Cash Balance'!$C249,Table2[#All],MATCH('Cash Balance'!A$3,Acc_Char!$B$1:$I$1,0),0)</f>
        <v>BW THU DAU MOT</v>
      </c>
      <c r="B249" s="1154" t="str">
        <f>VLOOKUP('Cash Balance'!$C249,Table2[#All],MATCH('Cash Balance'!B$3,Acc_Char!$B$1:$I$1,0),0)</f>
        <v>VIETINBANK - TIEN SON</v>
      </c>
      <c r="C249" s="1190" t="s">
        <v>819</v>
      </c>
      <c r="D249" s="1156" t="str">
        <f>VLOOKUP('Cash Balance'!$C249,Table2[#All],MATCH('Cash Balance'!D$3,Acc_Char!$B$1:$I$1,0),0)</f>
        <v>Saving Account</v>
      </c>
      <c r="E249" s="384" t="str">
        <f>VLOOKUP('Cash Balance'!$C249,Table2[#All],MATCH('Cash Balance'!E$3,Acc_Char!$B$1:$I$1,0),0)</f>
        <v>VND</v>
      </c>
      <c r="F249" s="1094" t="e">
        <f>VLOOKUP(C249,'Cash balance (BS)'!A:C,3,)</f>
        <v>#N/A</v>
      </c>
      <c r="G249" s="1157" t="e">
        <f t="shared" si="25"/>
        <v>#N/A</v>
      </c>
      <c r="H249" s="1318">
        <f>SUMIFS('Cash balance (Prior period)'!F:F,'Cash balance (Prior period)'!C:C,Table11[[#This Row],[ACCOUNT NUMBER]],'Cash balance (Prior period)'!E:E,Table11[[#This Row],[CURRENCY]])</f>
        <v>400000000</v>
      </c>
      <c r="I249" s="1318">
        <f>SUMIFS(Movement!$F$4:$F$2136,Movement!$M$4:$M$2136,"VND",Movement!$C$4:$C$2136,Table11[[#This Row],[ACCOUNT NUMBER]],Movement!$J$4:$J$2136,Table11[[#This Row],[ENTITY]],Movement!$O$4:$O$2136,'Cash Balance'!$A$2)</f>
        <v>0</v>
      </c>
      <c r="J249" s="1318">
        <f>SUMIFS(Movement!$G$4:$G$2136,Movement!$M$4:$M$2136,"VND",Movement!$C$4:$C$2136,Table11[[#This Row],[ACCOUNT NUMBER]],Movement!$J$4:$J$2136,Table11[[#This Row],[ENTITY]],Movement!$O$4:$O$2136,'Cash Balance'!$A$2)</f>
        <v>0</v>
      </c>
      <c r="K249" s="1084">
        <f>Table11[[#This Row],[CASH IN - CREDIT (VND)]]-Table11[[#This Row],[CASH OUT - DEBIT (VND)]]</f>
        <v>0</v>
      </c>
      <c r="L249" s="1095">
        <f t="shared" si="22"/>
        <v>400000000</v>
      </c>
      <c r="M249" s="1184" t="e">
        <f>VLOOKUP(C249,'Cash balance (BS)'!A:D,4,)</f>
        <v>#N/A</v>
      </c>
      <c r="N249" s="1095" t="e">
        <f>Table11[[#This Row],[CLOSING BALANCE (VND)2]]-Table11[[#This Row],[CB_BS (VND)]]</f>
        <v>#N/A</v>
      </c>
      <c r="O249" s="1094">
        <v>0</v>
      </c>
      <c r="P249" s="1095">
        <f t="shared" si="23"/>
        <v>0</v>
      </c>
      <c r="Q249" s="817">
        <f>SUMIFS('Cash balance (Prior period)'!G:G,'Cash balance (Prior period)'!C:C,Table11[[#This Row],[ACCOUNT NUMBER]],'Cash balance (Prior period)'!E:E,Table11[[#This Row],[CURRENCY]])</f>
        <v>0</v>
      </c>
      <c r="R249" s="817">
        <f>SUMIFS(Movement!$F$4:$F$2136,Movement!$M$4:$M$2136,"USD",Movement!$C$4:$C$2136,Table11[[#This Row],[ACCOUNT NUMBER]],Movement!$J$4:$J$2136,Table11[[#This Row],[ENTITY]],Movement!$O$4:$O$2136,'Cash Balance'!$A$2)</f>
        <v>0</v>
      </c>
      <c r="S249" s="817">
        <f>SUMIFS(Movement!$G$4:$G$2136,Movement!$M$4:$M$2136,"USD",Movement!$C$4:$C$2136,Table11[[#This Row],[ACCOUNT NUMBER]],Movement!$J$4:$J$2136,Table11[[#This Row],[ENTITY]],Movement!$O$4:$O$2136,'Cash Balance'!$A$2)</f>
        <v>0</v>
      </c>
      <c r="T249" s="1087">
        <f t="shared" si="24"/>
        <v>0</v>
      </c>
      <c r="U249" s="817"/>
      <c r="V249" s="817">
        <f>Table11[[#This Row],[CLOSING BALANCE (USD)]]-Table11[[#This Row],[CB_BS (USD)]]</f>
        <v>0</v>
      </c>
      <c r="W249" s="1156" t="str">
        <f>VLOOKUP('Cash Balance'!$C249,Table2[#All],MATCH('Cash Balance'!W$3,Acc_Char!$B$1:$I$1,0),0)</f>
        <v>Subsidiaries</v>
      </c>
      <c r="X249" s="1156" t="str">
        <f>VLOOKUP(IFERROR(MID($Y249,1,FIND("-",$Y249)-2),$Y249),Table3[#All],2,0)</f>
        <v>VTB</v>
      </c>
      <c r="Y249" s="1156" t="str">
        <f>VLOOKUP($B249,Table4[#All],2,0)</f>
        <v>VIETINBANK - TIEN SON</v>
      </c>
      <c r="Z249" s="1151"/>
      <c r="AA249" s="49"/>
      <c r="AE249" s="818">
        <f>SUM(Table11[[#This Row],[CASH IN - CREDIT (VND)]],Table11[[#This Row],[CASH IN - CREDIT (USD)]])</f>
        <v>0</v>
      </c>
      <c r="AF249" s="818">
        <f>Table11[[#This Row],[CASH OUT - DEBIT (VND)]]+Table11[[#This Row],[CASH OUT - DEBIT (USD)]]</f>
        <v>0</v>
      </c>
      <c r="AH249" s="1158"/>
      <c r="AI249" s="49"/>
      <c r="AJ249" s="1158"/>
      <c r="AL249"/>
    </row>
    <row r="250" spans="1:38" ht="14.4">
      <c r="A250" s="1153" t="str">
        <f>VLOOKUP('Cash Balance'!$C250,Table2[#All],MATCH('Cash Balance'!A$3,Acc_Char!$B$1:$I$1,0),0)</f>
        <v>SG LOGISTICS</v>
      </c>
      <c r="B250" s="1154" t="str">
        <f>VLOOKUP('Cash Balance'!$C250,Table2[#All],MATCH('Cash Balance'!B$3,Acc_Char!$B$1:$I$1,0),0)</f>
        <v>VIETINBANK - TIEN SON</v>
      </c>
      <c r="C250" s="1190" t="s">
        <v>820</v>
      </c>
      <c r="D250" s="1156" t="str">
        <f>VLOOKUP('Cash Balance'!$C250,Table2[#All],MATCH('Cash Balance'!D$3,Acc_Char!$B$1:$I$1,0),0)</f>
        <v>Saving Account</v>
      </c>
      <c r="E250" s="384" t="str">
        <f>VLOOKUP('Cash Balance'!$C250,Table2[#All],MATCH('Cash Balance'!E$3,Acc_Char!$B$1:$I$1,0),0)</f>
        <v>VND</v>
      </c>
      <c r="F250" s="1094" t="e">
        <f>VLOOKUP(C250,'Cash balance (BS)'!A:C,3,)</f>
        <v>#N/A</v>
      </c>
      <c r="G250" s="1157" t="e">
        <f t="shared" si="25"/>
        <v>#N/A</v>
      </c>
      <c r="H250" s="1318">
        <f>SUMIFS('Cash balance (Prior period)'!F:F,'Cash balance (Prior period)'!C:C,Table11[[#This Row],[ACCOUNT NUMBER]],'Cash balance (Prior period)'!E:E,Table11[[#This Row],[CURRENCY]])</f>
        <v>50000000</v>
      </c>
      <c r="I250" s="1318">
        <f>SUMIFS(Movement!$F$4:$F$2136,Movement!$M$4:$M$2136,"VND",Movement!$C$4:$C$2136,Table11[[#This Row],[ACCOUNT NUMBER]],Movement!$J$4:$J$2136,Table11[[#This Row],[ENTITY]],Movement!$O$4:$O$2136,'Cash Balance'!$A$2)</f>
        <v>0</v>
      </c>
      <c r="J250" s="1318">
        <f>SUMIFS(Movement!$G$4:$G$2136,Movement!$M$4:$M$2136,"VND",Movement!$C$4:$C$2136,Table11[[#This Row],[ACCOUNT NUMBER]],Movement!$J$4:$J$2136,Table11[[#This Row],[ENTITY]],Movement!$O$4:$O$2136,'Cash Balance'!$A$2)</f>
        <v>0</v>
      </c>
      <c r="K250" s="1084">
        <f>Table11[[#This Row],[CASH IN - CREDIT (VND)]]-Table11[[#This Row],[CASH OUT - DEBIT (VND)]]</f>
        <v>0</v>
      </c>
      <c r="L250" s="1095">
        <f t="shared" si="22"/>
        <v>50000000</v>
      </c>
      <c r="M250" s="1184" t="e">
        <f>VLOOKUP(C250,'Cash balance (BS)'!A:D,4,)</f>
        <v>#N/A</v>
      </c>
      <c r="N250" s="1095" t="e">
        <f>Table11[[#This Row],[CLOSING BALANCE (VND)2]]-Table11[[#This Row],[CB_BS (VND)]]</f>
        <v>#N/A</v>
      </c>
      <c r="O250" s="1094">
        <v>0</v>
      </c>
      <c r="P250" s="1095">
        <f t="shared" si="23"/>
        <v>0</v>
      </c>
      <c r="Q250" s="817">
        <f>SUMIFS('Cash balance (Prior period)'!G:G,'Cash balance (Prior period)'!C:C,Table11[[#This Row],[ACCOUNT NUMBER]],'Cash balance (Prior period)'!E:E,Table11[[#This Row],[CURRENCY]])</f>
        <v>0</v>
      </c>
      <c r="R250" s="817">
        <f>SUMIFS(Movement!$F$4:$F$2136,Movement!$M$4:$M$2136,"USD",Movement!$C$4:$C$2136,Table11[[#This Row],[ACCOUNT NUMBER]],Movement!$J$4:$J$2136,Table11[[#This Row],[ENTITY]],Movement!$O$4:$O$2136,'Cash Balance'!$A$2)</f>
        <v>0</v>
      </c>
      <c r="S250" s="817">
        <f>SUMIFS(Movement!$G$4:$G$2136,Movement!$M$4:$M$2136,"USD",Movement!$C$4:$C$2136,Table11[[#This Row],[ACCOUNT NUMBER]],Movement!$J$4:$J$2136,Table11[[#This Row],[ENTITY]],Movement!$O$4:$O$2136,'Cash Balance'!$A$2)</f>
        <v>0</v>
      </c>
      <c r="T250" s="1087">
        <f t="shared" si="24"/>
        <v>0</v>
      </c>
      <c r="U250" s="817"/>
      <c r="V250" s="817">
        <f>Table11[[#This Row],[CLOSING BALANCE (USD)]]-Table11[[#This Row],[CB_BS (USD)]]</f>
        <v>0</v>
      </c>
      <c r="W250" s="1156" t="str">
        <f>VLOOKUP('Cash Balance'!$C250,Table2[#All],MATCH('Cash Balance'!W$3,Acc_Char!$B$1:$I$1,0),0)</f>
        <v>Subsidiaries</v>
      </c>
      <c r="X250" s="1156" t="str">
        <f>VLOOKUP(IFERROR(MID($Y250,1,FIND("-",$Y250)-2),$Y250),Table3[#All],2,0)</f>
        <v>VTB</v>
      </c>
      <c r="Y250" s="1156" t="str">
        <f>VLOOKUP($B250,Table4[#All],2,0)</f>
        <v>VIETINBANK - TIEN SON</v>
      </c>
      <c r="Z250" s="1151"/>
      <c r="AA250" s="49"/>
      <c r="AE250" s="818">
        <f>SUM(Table11[[#This Row],[CASH IN - CREDIT (VND)]],Table11[[#This Row],[CASH IN - CREDIT (USD)]])</f>
        <v>0</v>
      </c>
      <c r="AF250" s="818">
        <f>Table11[[#This Row],[CASH OUT - DEBIT (VND)]]+Table11[[#This Row],[CASH OUT - DEBIT (USD)]]</f>
        <v>0</v>
      </c>
      <c r="AH250" s="1158"/>
      <c r="AI250" s="49"/>
      <c r="AJ250" s="1158"/>
      <c r="AL250"/>
    </row>
    <row r="251" spans="1:38" ht="14.4">
      <c r="A251" s="1153" t="str">
        <f>VLOOKUP('Cash Balance'!$C251,Table2[#All],MATCH('Cash Balance'!A$3,Acc_Char!$B$1:$I$1,0),0)</f>
        <v>GIA TAN</v>
      </c>
      <c r="B251" s="1154" t="str">
        <f>VLOOKUP('Cash Balance'!$C251,Table2[#All],MATCH('Cash Balance'!B$3,Acc_Char!$B$1:$I$1,0),0)</f>
        <v>VIETINBANK - TIEN SON</v>
      </c>
      <c r="C251" s="1190" t="s">
        <v>821</v>
      </c>
      <c r="D251" s="1156" t="str">
        <f>VLOOKUP('Cash Balance'!$C251,Table2[#All],MATCH('Cash Balance'!D$3,Acc_Char!$B$1:$I$1,0),0)</f>
        <v>Saving Account</v>
      </c>
      <c r="E251" s="384" t="str">
        <f>VLOOKUP('Cash Balance'!$C251,Table2[#All],MATCH('Cash Balance'!E$3,Acc_Char!$B$1:$I$1,0),0)</f>
        <v>VND</v>
      </c>
      <c r="F251" s="1094" t="e">
        <f>VLOOKUP(C251,'Cash balance (BS)'!A:C,3,)</f>
        <v>#N/A</v>
      </c>
      <c r="G251" s="1157" t="e">
        <f t="shared" si="25"/>
        <v>#N/A</v>
      </c>
      <c r="H251" s="1318">
        <f>SUMIFS('Cash balance (Prior period)'!F:F,'Cash balance (Prior period)'!C:C,Table11[[#This Row],[ACCOUNT NUMBER]],'Cash balance (Prior period)'!E:E,Table11[[#This Row],[CURRENCY]])</f>
        <v>50000000</v>
      </c>
      <c r="I251" s="1318">
        <f>SUMIFS(Movement!$F$4:$F$2136,Movement!$M$4:$M$2136,"VND",Movement!$C$4:$C$2136,Table11[[#This Row],[ACCOUNT NUMBER]],Movement!$J$4:$J$2136,Table11[[#This Row],[ENTITY]],Movement!$O$4:$O$2136,'Cash Balance'!$A$2)</f>
        <v>0</v>
      </c>
      <c r="J251" s="1318">
        <f>SUMIFS(Movement!$G$4:$G$2136,Movement!$M$4:$M$2136,"VND",Movement!$C$4:$C$2136,Table11[[#This Row],[ACCOUNT NUMBER]],Movement!$J$4:$J$2136,Table11[[#This Row],[ENTITY]],Movement!$O$4:$O$2136,'Cash Balance'!$A$2)</f>
        <v>0</v>
      </c>
      <c r="K251" s="1084">
        <f>Table11[[#This Row],[CASH IN - CREDIT (VND)]]-Table11[[#This Row],[CASH OUT - DEBIT (VND)]]</f>
        <v>0</v>
      </c>
      <c r="L251" s="1095">
        <f t="shared" si="22"/>
        <v>50000000</v>
      </c>
      <c r="M251" s="1184" t="e">
        <f>VLOOKUP(C251,'Cash balance (BS)'!A:D,4,)</f>
        <v>#N/A</v>
      </c>
      <c r="N251" s="1095" t="e">
        <f>Table11[[#This Row],[CLOSING BALANCE (VND)2]]-Table11[[#This Row],[CB_BS (VND)]]</f>
        <v>#N/A</v>
      </c>
      <c r="O251" s="1094">
        <v>0</v>
      </c>
      <c r="P251" s="1095">
        <f t="shared" si="23"/>
        <v>0</v>
      </c>
      <c r="Q251" s="817">
        <f>SUMIFS('Cash balance (Prior period)'!G:G,'Cash balance (Prior period)'!C:C,Table11[[#This Row],[ACCOUNT NUMBER]],'Cash balance (Prior period)'!E:E,Table11[[#This Row],[CURRENCY]])</f>
        <v>0</v>
      </c>
      <c r="R251" s="817">
        <f>SUMIFS(Movement!$F$4:$F$2136,Movement!$M$4:$M$2136,"USD",Movement!$C$4:$C$2136,Table11[[#This Row],[ACCOUNT NUMBER]],Movement!$J$4:$J$2136,Table11[[#This Row],[ENTITY]],Movement!$O$4:$O$2136,'Cash Balance'!$A$2)</f>
        <v>0</v>
      </c>
      <c r="S251" s="817">
        <f>SUMIFS(Movement!$G$4:$G$2136,Movement!$M$4:$M$2136,"USD",Movement!$C$4:$C$2136,Table11[[#This Row],[ACCOUNT NUMBER]],Movement!$J$4:$J$2136,Table11[[#This Row],[ENTITY]],Movement!$O$4:$O$2136,'Cash Balance'!$A$2)</f>
        <v>0</v>
      </c>
      <c r="T251" s="1087">
        <f t="shared" si="24"/>
        <v>0</v>
      </c>
      <c r="U251" s="817"/>
      <c r="V251" s="817">
        <f>Table11[[#This Row],[CLOSING BALANCE (USD)]]-Table11[[#This Row],[CB_BS (USD)]]</f>
        <v>0</v>
      </c>
      <c r="W251" s="1156" t="str">
        <f>VLOOKUP('Cash Balance'!$C251,Table2[#All],MATCH('Cash Balance'!W$3,Acc_Char!$B$1:$I$1,0),0)</f>
        <v>Subsidiaries</v>
      </c>
      <c r="X251" s="1156" t="str">
        <f>VLOOKUP(IFERROR(MID($Y251,1,FIND("-",$Y251)-2),$Y251),Table3[#All],2,0)</f>
        <v>VTB</v>
      </c>
      <c r="Y251" s="1156" t="str">
        <f>VLOOKUP($B251,Table4[#All],2,0)</f>
        <v>VIETINBANK - TIEN SON</v>
      </c>
      <c r="Z251" s="1151"/>
      <c r="AA251" s="49"/>
      <c r="AE251" s="818">
        <f>SUM(Table11[[#This Row],[CASH IN - CREDIT (VND)]],Table11[[#This Row],[CASH IN - CREDIT (USD)]])</f>
        <v>0</v>
      </c>
      <c r="AF251" s="818">
        <f>Table11[[#This Row],[CASH OUT - DEBIT (VND)]]+Table11[[#This Row],[CASH OUT - DEBIT (USD)]]</f>
        <v>0</v>
      </c>
      <c r="AH251" s="1158"/>
      <c r="AI251" s="49"/>
      <c r="AJ251" s="1158"/>
      <c r="AL251"/>
    </row>
    <row r="252" spans="1:38" ht="14.4">
      <c r="A252" s="1153" t="str">
        <f>VLOOKUP('Cash Balance'!$C252,Table2[#All],MATCH('Cash Balance'!A$3,Acc_Char!$B$1:$I$1,0),0)</f>
        <v>SPV4B</v>
      </c>
      <c r="B252" s="1154" t="str">
        <f>VLOOKUP('Cash Balance'!$C252,Table2[#All],MATCH('Cash Balance'!B$3,Acc_Char!$B$1:$I$1,0),0)</f>
        <v>VIETINBANK - TIEN SON</v>
      </c>
      <c r="C252" s="1190" t="s">
        <v>822</v>
      </c>
      <c r="D252" s="1156" t="str">
        <f>VLOOKUP('Cash Balance'!$C252,Table2[#All],MATCH('Cash Balance'!D$3,Acc_Char!$B$1:$I$1,0),0)</f>
        <v>Saving Account</v>
      </c>
      <c r="E252" s="384" t="str">
        <f>VLOOKUP('Cash Balance'!$C252,Table2[#All],MATCH('Cash Balance'!E$3,Acc_Char!$B$1:$I$1,0),0)</f>
        <v>VND</v>
      </c>
      <c r="F252" s="1094" t="e">
        <f>VLOOKUP(C252,'Cash balance (BS)'!A:C,3,)</f>
        <v>#N/A</v>
      </c>
      <c r="G252" s="1157" t="e">
        <f t="shared" si="25"/>
        <v>#N/A</v>
      </c>
      <c r="H252" s="1318">
        <f>SUMIFS('Cash balance (Prior period)'!F:F,'Cash balance (Prior period)'!C:C,Table11[[#This Row],[ACCOUNT NUMBER]],'Cash balance (Prior period)'!E:E,Table11[[#This Row],[CURRENCY]])</f>
        <v>80000000</v>
      </c>
      <c r="I252" s="1318">
        <f>SUMIFS(Movement!$F$4:$F$2136,Movement!$M$4:$M$2136,"VND",Movement!$C$4:$C$2136,Table11[[#This Row],[ACCOUNT NUMBER]],Movement!$J$4:$J$2136,Table11[[#This Row],[ENTITY]],Movement!$O$4:$O$2136,'Cash Balance'!$A$2)</f>
        <v>0</v>
      </c>
      <c r="J252" s="1318">
        <f>SUMIFS(Movement!$G$4:$G$2136,Movement!$M$4:$M$2136,"VND",Movement!$C$4:$C$2136,Table11[[#This Row],[ACCOUNT NUMBER]],Movement!$J$4:$J$2136,Table11[[#This Row],[ENTITY]],Movement!$O$4:$O$2136,'Cash Balance'!$A$2)</f>
        <v>0</v>
      </c>
      <c r="K252" s="1084">
        <f>Table11[[#This Row],[CASH IN - CREDIT (VND)]]-Table11[[#This Row],[CASH OUT - DEBIT (VND)]]</f>
        <v>0</v>
      </c>
      <c r="L252" s="1095">
        <f t="shared" si="22"/>
        <v>80000000</v>
      </c>
      <c r="M252" s="1184" t="e">
        <f>VLOOKUP(C252,'Cash balance (BS)'!A:D,4,)</f>
        <v>#N/A</v>
      </c>
      <c r="N252" s="1095" t="e">
        <f>Table11[[#This Row],[CLOSING BALANCE (VND)2]]-Table11[[#This Row],[CB_BS (VND)]]</f>
        <v>#N/A</v>
      </c>
      <c r="O252" s="1094">
        <v>0</v>
      </c>
      <c r="P252" s="1095">
        <f t="shared" si="23"/>
        <v>0</v>
      </c>
      <c r="Q252" s="817">
        <f>SUMIFS('Cash balance (Prior period)'!G:G,'Cash balance (Prior period)'!C:C,Table11[[#This Row],[ACCOUNT NUMBER]],'Cash balance (Prior period)'!E:E,Table11[[#This Row],[CURRENCY]])</f>
        <v>0</v>
      </c>
      <c r="R252" s="817">
        <f>SUMIFS(Movement!$F$4:$F$2136,Movement!$M$4:$M$2136,"USD",Movement!$C$4:$C$2136,Table11[[#This Row],[ACCOUNT NUMBER]],Movement!$J$4:$J$2136,Table11[[#This Row],[ENTITY]],Movement!$O$4:$O$2136,'Cash Balance'!$A$2)</f>
        <v>0</v>
      </c>
      <c r="S252" s="817">
        <f>SUMIFS(Movement!$G$4:$G$2136,Movement!$M$4:$M$2136,"USD",Movement!$C$4:$C$2136,Table11[[#This Row],[ACCOUNT NUMBER]],Movement!$J$4:$J$2136,Table11[[#This Row],[ENTITY]],Movement!$O$4:$O$2136,'Cash Balance'!$A$2)</f>
        <v>0</v>
      </c>
      <c r="T252" s="1087">
        <f t="shared" si="24"/>
        <v>0</v>
      </c>
      <c r="U252" s="817"/>
      <c r="V252" s="817">
        <f>Table11[[#This Row],[CLOSING BALANCE (USD)]]-Table11[[#This Row],[CB_BS (USD)]]</f>
        <v>0</v>
      </c>
      <c r="W252" s="1156" t="str">
        <f>VLOOKUP('Cash Balance'!$C252,Table2[#All],MATCH('Cash Balance'!W$3,Acc_Char!$B$1:$I$1,0),0)</f>
        <v>Subsidiaries</v>
      </c>
      <c r="X252" s="1156" t="str">
        <f>VLOOKUP(IFERROR(MID($Y252,1,FIND("-",$Y252)-2),$Y252),Table3[#All],2,0)</f>
        <v>VTB</v>
      </c>
      <c r="Y252" s="1156" t="str">
        <f>VLOOKUP($B252,Table4[#All],2,0)</f>
        <v>VIETINBANK - TIEN SON</v>
      </c>
      <c r="Z252" s="1151"/>
      <c r="AA252" s="49"/>
      <c r="AE252" s="818">
        <f>SUM(Table11[[#This Row],[CASH IN - CREDIT (VND)]],Table11[[#This Row],[CASH IN - CREDIT (USD)]])</f>
        <v>0</v>
      </c>
      <c r="AF252" s="818">
        <f>Table11[[#This Row],[CASH OUT - DEBIT (VND)]]+Table11[[#This Row],[CASH OUT - DEBIT (USD)]]</f>
        <v>0</v>
      </c>
      <c r="AH252" s="1158"/>
      <c r="AI252" s="49"/>
      <c r="AJ252" s="1158"/>
      <c r="AL252"/>
    </row>
    <row r="253" spans="1:38" ht="14.4">
      <c r="A253" s="1153" t="str">
        <f>VLOOKUP('Cash Balance'!$C253,Table2[#All],MATCH('Cash Balance'!A$3,Acc_Char!$B$1:$I$1,0),0)</f>
        <v>SPV4C</v>
      </c>
      <c r="B253" s="1154" t="str">
        <f>VLOOKUP('Cash Balance'!$C253,Table2[#All],MATCH('Cash Balance'!B$3,Acc_Char!$B$1:$I$1,0),0)</f>
        <v>VIETINBANK - TIEN SON</v>
      </c>
      <c r="C253" s="1190" t="s">
        <v>823</v>
      </c>
      <c r="D253" s="1156" t="str">
        <f>VLOOKUP('Cash Balance'!$C253,Table2[#All],MATCH('Cash Balance'!D$3,Acc_Char!$B$1:$I$1,0),0)</f>
        <v>Saving Account</v>
      </c>
      <c r="E253" s="384" t="str">
        <f>VLOOKUP('Cash Balance'!$C253,Table2[#All],MATCH('Cash Balance'!E$3,Acc_Char!$B$1:$I$1,0),0)</f>
        <v>VND</v>
      </c>
      <c r="F253" s="1094" t="e">
        <f>VLOOKUP(C253,'Cash balance (BS)'!A:C,3,)</f>
        <v>#N/A</v>
      </c>
      <c r="G253" s="1157" t="e">
        <f t="shared" si="25"/>
        <v>#N/A</v>
      </c>
      <c r="H253" s="1318">
        <f>SUMIFS('Cash balance (Prior period)'!F:F,'Cash balance (Prior period)'!C:C,Table11[[#This Row],[ACCOUNT NUMBER]],'Cash balance (Prior period)'!E:E,Table11[[#This Row],[CURRENCY]])</f>
        <v>50000000</v>
      </c>
      <c r="I253" s="1318">
        <f>SUMIFS(Movement!$F$4:$F$2136,Movement!$M$4:$M$2136,"VND",Movement!$C$4:$C$2136,Table11[[#This Row],[ACCOUNT NUMBER]],Movement!$J$4:$J$2136,Table11[[#This Row],[ENTITY]],Movement!$O$4:$O$2136,'Cash Balance'!$A$2)</f>
        <v>0</v>
      </c>
      <c r="J253" s="1318">
        <f>SUMIFS(Movement!$G$4:$G$2136,Movement!$M$4:$M$2136,"VND",Movement!$C$4:$C$2136,Table11[[#This Row],[ACCOUNT NUMBER]],Movement!$J$4:$J$2136,Table11[[#This Row],[ENTITY]],Movement!$O$4:$O$2136,'Cash Balance'!$A$2)</f>
        <v>0</v>
      </c>
      <c r="K253" s="1084">
        <f>Table11[[#This Row],[CASH IN - CREDIT (VND)]]-Table11[[#This Row],[CASH OUT - DEBIT (VND)]]</f>
        <v>0</v>
      </c>
      <c r="L253" s="1095">
        <f t="shared" si="22"/>
        <v>50000000</v>
      </c>
      <c r="M253" s="1184" t="e">
        <f>VLOOKUP(C253,'Cash balance (BS)'!A:D,4,)</f>
        <v>#N/A</v>
      </c>
      <c r="N253" s="1095" t="e">
        <f>Table11[[#This Row],[CLOSING BALANCE (VND)2]]-Table11[[#This Row],[CB_BS (VND)]]</f>
        <v>#N/A</v>
      </c>
      <c r="O253" s="1094">
        <v>0</v>
      </c>
      <c r="P253" s="1095">
        <f t="shared" si="23"/>
        <v>0</v>
      </c>
      <c r="Q253" s="817">
        <f>SUMIFS('Cash balance (Prior period)'!G:G,'Cash balance (Prior period)'!C:C,Table11[[#This Row],[ACCOUNT NUMBER]],'Cash balance (Prior period)'!E:E,Table11[[#This Row],[CURRENCY]])</f>
        <v>0</v>
      </c>
      <c r="R253" s="817">
        <f>SUMIFS(Movement!$F$4:$F$2136,Movement!$M$4:$M$2136,"USD",Movement!$C$4:$C$2136,Table11[[#This Row],[ACCOUNT NUMBER]],Movement!$J$4:$J$2136,Table11[[#This Row],[ENTITY]],Movement!$O$4:$O$2136,'Cash Balance'!$A$2)</f>
        <v>0</v>
      </c>
      <c r="S253" s="817">
        <f>SUMIFS(Movement!$G$4:$G$2136,Movement!$M$4:$M$2136,"USD",Movement!$C$4:$C$2136,Table11[[#This Row],[ACCOUNT NUMBER]],Movement!$J$4:$J$2136,Table11[[#This Row],[ENTITY]],Movement!$O$4:$O$2136,'Cash Balance'!$A$2)</f>
        <v>0</v>
      </c>
      <c r="T253" s="1087">
        <f t="shared" si="24"/>
        <v>0</v>
      </c>
      <c r="U253" s="817"/>
      <c r="V253" s="817">
        <f>Table11[[#This Row],[CLOSING BALANCE (USD)]]-Table11[[#This Row],[CB_BS (USD)]]</f>
        <v>0</v>
      </c>
      <c r="W253" s="1156" t="str">
        <f>VLOOKUP('Cash Balance'!$C253,Table2[#All],MATCH('Cash Balance'!W$3,Acc_Char!$B$1:$I$1,0),0)</f>
        <v>Subsidiaries</v>
      </c>
      <c r="X253" s="1156" t="str">
        <f>VLOOKUP(IFERROR(MID($Y253,1,FIND("-",$Y253)-2),$Y253),Table3[#All],2,0)</f>
        <v>VTB</v>
      </c>
      <c r="Y253" s="1156" t="str">
        <f>VLOOKUP($B253,Table4[#All],2,0)</f>
        <v>VIETINBANK - TIEN SON</v>
      </c>
      <c r="Z253" s="1151"/>
      <c r="AA253" s="49"/>
      <c r="AE253" s="818">
        <f>SUM(Table11[[#This Row],[CASH IN - CREDIT (VND)]],Table11[[#This Row],[CASH IN - CREDIT (USD)]])</f>
        <v>0</v>
      </c>
      <c r="AF253" s="818">
        <f>Table11[[#This Row],[CASH OUT - DEBIT (VND)]]+Table11[[#This Row],[CASH OUT - DEBIT (USD)]]</f>
        <v>0</v>
      </c>
      <c r="AH253" s="1158"/>
      <c r="AI253" s="49"/>
      <c r="AJ253" s="1158"/>
      <c r="AL253"/>
    </row>
    <row r="254" spans="1:38" ht="14.4">
      <c r="A254" s="1153" t="str">
        <f>VLOOKUP('Cash Balance'!$C254,Table2[#All],MATCH('Cash Balance'!A$3,Acc_Char!$B$1:$I$1,0),0)</f>
        <v>SPV5C</v>
      </c>
      <c r="B254" s="1154" t="str">
        <f>VLOOKUP('Cash Balance'!$C254,Table2[#All],MATCH('Cash Balance'!B$3,Acc_Char!$B$1:$I$1,0),0)</f>
        <v>VIETINBANK - TIEN SON</v>
      </c>
      <c r="C254" s="1190" t="s">
        <v>824</v>
      </c>
      <c r="D254" s="1156" t="str">
        <f>VLOOKUP('Cash Balance'!$C254,Table2[#All],MATCH('Cash Balance'!D$3,Acc_Char!$B$1:$I$1,0),0)</f>
        <v>Saving Account</v>
      </c>
      <c r="E254" s="384" t="str">
        <f>VLOOKUP('Cash Balance'!$C254,Table2[#All],MATCH('Cash Balance'!E$3,Acc_Char!$B$1:$I$1,0),0)</f>
        <v>VND</v>
      </c>
      <c r="F254" s="1094" t="e">
        <f>VLOOKUP(C254,'Cash balance (BS)'!A:C,3,)</f>
        <v>#N/A</v>
      </c>
      <c r="G254" s="1157" t="e">
        <f t="shared" si="25"/>
        <v>#N/A</v>
      </c>
      <c r="H254" s="1318">
        <f>SUMIFS('Cash balance (Prior period)'!F:F,'Cash balance (Prior period)'!C:C,Table11[[#This Row],[ACCOUNT NUMBER]],'Cash balance (Prior period)'!E:E,Table11[[#This Row],[CURRENCY]])</f>
        <v>800000000</v>
      </c>
      <c r="I254" s="1318">
        <f>SUMIFS(Movement!$F$4:$F$2136,Movement!$M$4:$M$2136,"VND",Movement!$C$4:$C$2136,Table11[[#This Row],[ACCOUNT NUMBER]],Movement!$J$4:$J$2136,Table11[[#This Row],[ENTITY]],Movement!$O$4:$O$2136,'Cash Balance'!$A$2)</f>
        <v>0</v>
      </c>
      <c r="J254" s="1318">
        <f>SUMIFS(Movement!$G$4:$G$2136,Movement!$M$4:$M$2136,"VND",Movement!$C$4:$C$2136,Table11[[#This Row],[ACCOUNT NUMBER]],Movement!$J$4:$J$2136,Table11[[#This Row],[ENTITY]],Movement!$O$4:$O$2136,'Cash Balance'!$A$2)</f>
        <v>0</v>
      </c>
      <c r="K254" s="1084">
        <f>Table11[[#This Row],[CASH IN - CREDIT (VND)]]-Table11[[#This Row],[CASH OUT - DEBIT (VND)]]</f>
        <v>0</v>
      </c>
      <c r="L254" s="1095">
        <f t="shared" si="22"/>
        <v>800000000</v>
      </c>
      <c r="M254" s="1184" t="e">
        <f>VLOOKUP(C254,'Cash balance (BS)'!A:D,4,)</f>
        <v>#N/A</v>
      </c>
      <c r="N254" s="1095" t="e">
        <f>Table11[[#This Row],[CLOSING BALANCE (VND)2]]-Table11[[#This Row],[CB_BS (VND)]]</f>
        <v>#N/A</v>
      </c>
      <c r="O254" s="1094">
        <v>0</v>
      </c>
      <c r="P254" s="1095">
        <f t="shared" si="23"/>
        <v>0</v>
      </c>
      <c r="Q254" s="817">
        <f>SUMIFS('Cash balance (Prior period)'!G:G,'Cash balance (Prior period)'!C:C,Table11[[#This Row],[ACCOUNT NUMBER]],'Cash balance (Prior period)'!E:E,Table11[[#This Row],[CURRENCY]])</f>
        <v>0</v>
      </c>
      <c r="R254" s="817">
        <f>SUMIFS(Movement!$F$4:$F$2136,Movement!$M$4:$M$2136,"USD",Movement!$C$4:$C$2136,Table11[[#This Row],[ACCOUNT NUMBER]],Movement!$J$4:$J$2136,Table11[[#This Row],[ENTITY]],Movement!$O$4:$O$2136,'Cash Balance'!$A$2)</f>
        <v>0</v>
      </c>
      <c r="S254" s="817">
        <f>SUMIFS(Movement!$G$4:$G$2136,Movement!$M$4:$M$2136,"USD",Movement!$C$4:$C$2136,Table11[[#This Row],[ACCOUNT NUMBER]],Movement!$J$4:$J$2136,Table11[[#This Row],[ENTITY]],Movement!$O$4:$O$2136,'Cash Balance'!$A$2)</f>
        <v>0</v>
      </c>
      <c r="T254" s="1087">
        <f t="shared" si="24"/>
        <v>0</v>
      </c>
      <c r="U254" s="817"/>
      <c r="V254" s="817">
        <f>Table11[[#This Row],[CLOSING BALANCE (USD)]]-Table11[[#This Row],[CB_BS (USD)]]</f>
        <v>0</v>
      </c>
      <c r="W254" s="1156" t="str">
        <f>VLOOKUP('Cash Balance'!$C254,Table2[#All],MATCH('Cash Balance'!W$3,Acc_Char!$B$1:$I$1,0),0)</f>
        <v>Subsidiaries</v>
      </c>
      <c r="X254" s="1156" t="str">
        <f>VLOOKUP(IFERROR(MID($Y254,1,FIND("-",$Y254)-2),$Y254),Table3[#All],2,0)</f>
        <v>VTB</v>
      </c>
      <c r="Y254" s="1156" t="str">
        <f>VLOOKUP($B254,Table4[#All],2,0)</f>
        <v>VIETINBANK - TIEN SON</v>
      </c>
      <c r="Z254" s="1151"/>
      <c r="AA254" s="49"/>
      <c r="AE254" s="818">
        <f>SUM(Table11[[#This Row],[CASH IN - CREDIT (VND)]],Table11[[#This Row],[CASH IN - CREDIT (USD)]])</f>
        <v>0</v>
      </c>
      <c r="AF254" s="818">
        <f>Table11[[#This Row],[CASH OUT - DEBIT (VND)]]+Table11[[#This Row],[CASH OUT - DEBIT (USD)]]</f>
        <v>0</v>
      </c>
      <c r="AH254" s="1158"/>
      <c r="AI254" s="49"/>
      <c r="AJ254" s="1158"/>
      <c r="AL254"/>
    </row>
    <row r="255" spans="1:38" ht="14.4">
      <c r="A255" s="1153" t="str">
        <f>VLOOKUP('Cash Balance'!$C255,Table2[#All],MATCH('Cash Balance'!A$3,Acc_Char!$B$1:$I$1,0),0)</f>
        <v>SPV4A</v>
      </c>
      <c r="B255" s="1154" t="str">
        <f>VLOOKUP('Cash Balance'!$C255,Table2[#All],MATCH('Cash Balance'!B$3,Acc_Char!$B$1:$I$1,0),0)</f>
        <v>VIETINBANK - TIEN SON</v>
      </c>
      <c r="C255" s="1190" t="s">
        <v>825</v>
      </c>
      <c r="D255" s="1156" t="str">
        <f>VLOOKUP('Cash Balance'!$C255,Table2[#All],MATCH('Cash Balance'!D$3,Acc_Char!$B$1:$I$1,0),0)</f>
        <v>Saving Account</v>
      </c>
      <c r="E255" s="384" t="str">
        <f>VLOOKUP('Cash Balance'!$C255,Table2[#All],MATCH('Cash Balance'!E$3,Acc_Char!$B$1:$I$1,0),0)</f>
        <v>VND</v>
      </c>
      <c r="F255" s="1094" t="e">
        <f>VLOOKUP(C255,'Cash balance (BS)'!A:C,3,)</f>
        <v>#N/A</v>
      </c>
      <c r="G255" s="1157" t="e">
        <f t="shared" si="25"/>
        <v>#N/A</v>
      </c>
      <c r="H255" s="1318">
        <f>SUMIFS('Cash balance (Prior period)'!F:F,'Cash balance (Prior period)'!C:C,Table11[[#This Row],[ACCOUNT NUMBER]],'Cash balance (Prior period)'!E:E,Table11[[#This Row],[CURRENCY]])</f>
        <v>50000000</v>
      </c>
      <c r="I255" s="1318">
        <f>SUMIFS(Movement!$F$4:$F$2136,Movement!$M$4:$M$2136,"VND",Movement!$C$4:$C$2136,Table11[[#This Row],[ACCOUNT NUMBER]],Movement!$J$4:$J$2136,Table11[[#This Row],[ENTITY]],Movement!$O$4:$O$2136,'Cash Balance'!$A$2)</f>
        <v>0</v>
      </c>
      <c r="J255" s="1318">
        <f>SUMIFS(Movement!$G$4:$G$2136,Movement!$M$4:$M$2136,"VND",Movement!$C$4:$C$2136,Table11[[#This Row],[ACCOUNT NUMBER]],Movement!$J$4:$J$2136,Table11[[#This Row],[ENTITY]],Movement!$O$4:$O$2136,'Cash Balance'!$A$2)</f>
        <v>0</v>
      </c>
      <c r="K255" s="1084">
        <f>Table11[[#This Row],[CASH IN - CREDIT (VND)]]-Table11[[#This Row],[CASH OUT - DEBIT (VND)]]</f>
        <v>0</v>
      </c>
      <c r="L255" s="1095">
        <f t="shared" si="22"/>
        <v>50000000</v>
      </c>
      <c r="M255" s="1184" t="e">
        <f>VLOOKUP(C255,'Cash balance (BS)'!A:D,4,)</f>
        <v>#N/A</v>
      </c>
      <c r="N255" s="1095" t="e">
        <f>Table11[[#This Row],[CLOSING BALANCE (VND)2]]-Table11[[#This Row],[CB_BS (VND)]]</f>
        <v>#N/A</v>
      </c>
      <c r="O255" s="1094">
        <v>0</v>
      </c>
      <c r="P255" s="1095">
        <f t="shared" si="23"/>
        <v>0</v>
      </c>
      <c r="Q255" s="817">
        <f>SUMIFS('Cash balance (Prior period)'!G:G,'Cash balance (Prior period)'!C:C,Table11[[#This Row],[ACCOUNT NUMBER]],'Cash balance (Prior period)'!E:E,Table11[[#This Row],[CURRENCY]])</f>
        <v>0</v>
      </c>
      <c r="R255" s="817">
        <f>SUMIFS(Movement!$F$4:$F$2136,Movement!$M$4:$M$2136,"USD",Movement!$C$4:$C$2136,Table11[[#This Row],[ACCOUNT NUMBER]],Movement!$J$4:$J$2136,Table11[[#This Row],[ENTITY]],Movement!$O$4:$O$2136,'Cash Balance'!$A$2)</f>
        <v>0</v>
      </c>
      <c r="S255" s="817">
        <f>SUMIFS(Movement!$G$4:$G$2136,Movement!$M$4:$M$2136,"USD",Movement!$C$4:$C$2136,Table11[[#This Row],[ACCOUNT NUMBER]],Movement!$J$4:$J$2136,Table11[[#This Row],[ENTITY]],Movement!$O$4:$O$2136,'Cash Balance'!$A$2)</f>
        <v>0</v>
      </c>
      <c r="T255" s="1087">
        <f t="shared" si="24"/>
        <v>0</v>
      </c>
      <c r="U255" s="817"/>
      <c r="V255" s="817">
        <f>Table11[[#This Row],[CLOSING BALANCE (USD)]]-Table11[[#This Row],[CB_BS (USD)]]</f>
        <v>0</v>
      </c>
      <c r="W255" s="1156" t="str">
        <f>VLOOKUP('Cash Balance'!$C255,Table2[#All],MATCH('Cash Balance'!W$3,Acc_Char!$B$1:$I$1,0),0)</f>
        <v>Subsidiaries</v>
      </c>
      <c r="X255" s="1156" t="str">
        <f>VLOOKUP(IFERROR(MID($Y255,1,FIND("-",$Y255)-2),$Y255),Table3[#All],2,0)</f>
        <v>VTB</v>
      </c>
      <c r="Y255" s="1156" t="str">
        <f>VLOOKUP($B255,Table4[#All],2,0)</f>
        <v>VIETINBANK - TIEN SON</v>
      </c>
      <c r="Z255" s="1151"/>
      <c r="AA255" s="49"/>
      <c r="AE255" s="818">
        <f>SUM(Table11[[#This Row],[CASH IN - CREDIT (VND)]],Table11[[#This Row],[CASH IN - CREDIT (USD)]])</f>
        <v>0</v>
      </c>
      <c r="AF255" s="818">
        <f>Table11[[#This Row],[CASH OUT - DEBIT (VND)]]+Table11[[#This Row],[CASH OUT - DEBIT (USD)]]</f>
        <v>0</v>
      </c>
      <c r="AH255" s="1158"/>
      <c r="AI255" s="49"/>
      <c r="AJ255" s="1158"/>
      <c r="AL255"/>
    </row>
    <row r="256" spans="1:38" ht="14.4">
      <c r="A256" s="1153" t="str">
        <f>VLOOKUP('Cash Balance'!$C256,Table2[#All],MATCH('Cash Balance'!A$3,Acc_Char!$B$1:$I$1,0),0)</f>
        <v>SPV5A</v>
      </c>
      <c r="B256" s="1154" t="str">
        <f>VLOOKUP('Cash Balance'!$C256,Table2[#All],MATCH('Cash Balance'!B$3,Acc_Char!$B$1:$I$1,0),0)</f>
        <v>VIETINBANK - TIEN SON</v>
      </c>
      <c r="C256" s="1190" t="s">
        <v>826</v>
      </c>
      <c r="D256" s="1156" t="str">
        <f>VLOOKUP('Cash Balance'!$C256,Table2[#All],MATCH('Cash Balance'!D$3,Acc_Char!$B$1:$I$1,0),0)</f>
        <v>Saving Account</v>
      </c>
      <c r="E256" s="384" t="str">
        <f>VLOOKUP('Cash Balance'!$C256,Table2[#All],MATCH('Cash Balance'!E$3,Acc_Char!$B$1:$I$1,0),0)</f>
        <v>VND</v>
      </c>
      <c r="F256" s="1094" t="e">
        <f>VLOOKUP(C256,'Cash balance (BS)'!A:C,3,)</f>
        <v>#N/A</v>
      </c>
      <c r="G256" s="1157" t="e">
        <f t="shared" si="25"/>
        <v>#N/A</v>
      </c>
      <c r="H256" s="1318">
        <f>SUMIFS('Cash balance (Prior period)'!F:F,'Cash balance (Prior period)'!C:C,Table11[[#This Row],[ACCOUNT NUMBER]],'Cash balance (Prior period)'!E:E,Table11[[#This Row],[CURRENCY]])</f>
        <v>80000000</v>
      </c>
      <c r="I256" s="1318">
        <f>SUMIFS(Movement!$F$4:$F$2136,Movement!$M$4:$M$2136,"VND",Movement!$C$4:$C$2136,Table11[[#This Row],[ACCOUNT NUMBER]],Movement!$J$4:$J$2136,Table11[[#This Row],[ENTITY]],Movement!$O$4:$O$2136,'Cash Balance'!$A$2)</f>
        <v>0</v>
      </c>
      <c r="J256" s="1318">
        <f>SUMIFS(Movement!$G$4:$G$2136,Movement!$M$4:$M$2136,"VND",Movement!$C$4:$C$2136,Table11[[#This Row],[ACCOUNT NUMBER]],Movement!$J$4:$J$2136,Table11[[#This Row],[ENTITY]],Movement!$O$4:$O$2136,'Cash Balance'!$A$2)</f>
        <v>0</v>
      </c>
      <c r="K256" s="1084">
        <f>Table11[[#This Row],[CASH IN - CREDIT (VND)]]-Table11[[#This Row],[CASH OUT - DEBIT (VND)]]</f>
        <v>0</v>
      </c>
      <c r="L256" s="1095">
        <f t="shared" si="22"/>
        <v>80000000</v>
      </c>
      <c r="M256" s="1184" t="e">
        <f>VLOOKUP(C256,'Cash balance (BS)'!A:D,4,)</f>
        <v>#N/A</v>
      </c>
      <c r="N256" s="1095" t="e">
        <f>Table11[[#This Row],[CLOSING BALANCE (VND)2]]-Table11[[#This Row],[CB_BS (VND)]]</f>
        <v>#N/A</v>
      </c>
      <c r="O256" s="1094">
        <v>0</v>
      </c>
      <c r="P256" s="1095">
        <f t="shared" si="23"/>
        <v>0</v>
      </c>
      <c r="Q256" s="817">
        <f>SUMIFS('Cash balance (Prior period)'!G:G,'Cash balance (Prior period)'!C:C,Table11[[#This Row],[ACCOUNT NUMBER]],'Cash balance (Prior period)'!E:E,Table11[[#This Row],[CURRENCY]])</f>
        <v>0</v>
      </c>
      <c r="R256" s="817">
        <f>SUMIFS(Movement!$F$4:$F$2136,Movement!$M$4:$M$2136,"USD",Movement!$C$4:$C$2136,Table11[[#This Row],[ACCOUNT NUMBER]],Movement!$J$4:$J$2136,Table11[[#This Row],[ENTITY]],Movement!$O$4:$O$2136,'Cash Balance'!$A$2)</f>
        <v>0</v>
      </c>
      <c r="S256" s="817">
        <f>SUMIFS(Movement!$G$4:$G$2136,Movement!$M$4:$M$2136,"USD",Movement!$C$4:$C$2136,Table11[[#This Row],[ACCOUNT NUMBER]],Movement!$J$4:$J$2136,Table11[[#This Row],[ENTITY]],Movement!$O$4:$O$2136,'Cash Balance'!$A$2)</f>
        <v>0</v>
      </c>
      <c r="T256" s="1087">
        <f t="shared" si="24"/>
        <v>0</v>
      </c>
      <c r="U256" s="817"/>
      <c r="V256" s="817">
        <f>Table11[[#This Row],[CLOSING BALANCE (USD)]]-Table11[[#This Row],[CB_BS (USD)]]</f>
        <v>0</v>
      </c>
      <c r="W256" s="1156" t="str">
        <f>VLOOKUP('Cash Balance'!$C256,Table2[#All],MATCH('Cash Balance'!W$3,Acc_Char!$B$1:$I$1,0),0)</f>
        <v>Subsidiaries</v>
      </c>
      <c r="X256" s="1156" t="str">
        <f>VLOOKUP(IFERROR(MID($Y256,1,FIND("-",$Y256)-2),$Y256),Table3[#All],2,0)</f>
        <v>VTB</v>
      </c>
      <c r="Y256" s="1156" t="str">
        <f>VLOOKUP($B256,Table4[#All],2,0)</f>
        <v>VIETINBANK - TIEN SON</v>
      </c>
      <c r="Z256" s="1151"/>
      <c r="AA256" s="49"/>
      <c r="AE256" s="818">
        <f>SUM(Table11[[#This Row],[CASH IN - CREDIT (VND)]],Table11[[#This Row],[CASH IN - CREDIT (USD)]])</f>
        <v>0</v>
      </c>
      <c r="AF256" s="818">
        <f>Table11[[#This Row],[CASH OUT - DEBIT (VND)]]+Table11[[#This Row],[CASH OUT - DEBIT (USD)]]</f>
        <v>0</v>
      </c>
      <c r="AH256" s="1158"/>
      <c r="AI256" s="49"/>
      <c r="AJ256" s="1158"/>
      <c r="AL256"/>
    </row>
    <row r="257" spans="1:38" ht="14.4">
      <c r="A257" s="1153" t="str">
        <f>VLOOKUP('Cash Balance'!$C257,Table2[#All],MATCH('Cash Balance'!A$3,Acc_Char!$B$1:$I$1,0),0)</f>
        <v>SPV5A</v>
      </c>
      <c r="B257" s="1154" t="str">
        <f>VLOOKUP('Cash Balance'!$C257,Table2[#All],MATCH('Cash Balance'!B$3,Acc_Char!$B$1:$I$1,0),0)</f>
        <v>VIETINBANK - TIEN SON</v>
      </c>
      <c r="C257" s="1190" t="s">
        <v>827</v>
      </c>
      <c r="D257" s="1156" t="str">
        <f>VLOOKUP('Cash Balance'!$C257,Table2[#All],MATCH('Cash Balance'!D$3,Acc_Char!$B$1:$I$1,0),0)</f>
        <v>Saving Account</v>
      </c>
      <c r="E257" s="384" t="str">
        <f>VLOOKUP('Cash Balance'!$C257,Table2[#All],MATCH('Cash Balance'!E$3,Acc_Char!$B$1:$I$1,0),0)</f>
        <v>VND</v>
      </c>
      <c r="F257" s="1094" t="e">
        <f>VLOOKUP(C257,'Cash balance (BS)'!A:C,3,)</f>
        <v>#N/A</v>
      </c>
      <c r="G257" s="1157" t="e">
        <f t="shared" si="25"/>
        <v>#N/A</v>
      </c>
      <c r="H257" s="1318">
        <f>SUMIFS('Cash balance (Prior period)'!F:F,'Cash balance (Prior period)'!C:C,Table11[[#This Row],[ACCOUNT NUMBER]],'Cash balance (Prior period)'!E:E,Table11[[#This Row],[CURRENCY]])</f>
        <v>720000000</v>
      </c>
      <c r="I257" s="1318">
        <f>SUMIFS(Movement!$F$4:$F$2136,Movement!$M$4:$M$2136,"VND",Movement!$C$4:$C$2136,Table11[[#This Row],[ACCOUNT NUMBER]],Movement!$J$4:$J$2136,Table11[[#This Row],[ENTITY]],Movement!$O$4:$O$2136,'Cash Balance'!$A$2)</f>
        <v>0</v>
      </c>
      <c r="J257" s="1318">
        <f>SUMIFS(Movement!$G$4:$G$2136,Movement!$M$4:$M$2136,"VND",Movement!$C$4:$C$2136,Table11[[#This Row],[ACCOUNT NUMBER]],Movement!$J$4:$J$2136,Table11[[#This Row],[ENTITY]],Movement!$O$4:$O$2136,'Cash Balance'!$A$2)</f>
        <v>0</v>
      </c>
      <c r="K257" s="1084">
        <f>Table11[[#This Row],[CASH IN - CREDIT (VND)]]-Table11[[#This Row],[CASH OUT - DEBIT (VND)]]</f>
        <v>0</v>
      </c>
      <c r="L257" s="1095">
        <f t="shared" si="22"/>
        <v>720000000</v>
      </c>
      <c r="M257" s="1184" t="e">
        <f>VLOOKUP(C257,'Cash balance (BS)'!A:D,4,)</f>
        <v>#N/A</v>
      </c>
      <c r="N257" s="1095" t="e">
        <f>Table11[[#This Row],[CLOSING BALANCE (VND)2]]-Table11[[#This Row],[CB_BS (VND)]]</f>
        <v>#N/A</v>
      </c>
      <c r="O257" s="1094">
        <v>0</v>
      </c>
      <c r="P257" s="1095">
        <f t="shared" si="23"/>
        <v>0</v>
      </c>
      <c r="Q257" s="817">
        <f>SUMIFS('Cash balance (Prior period)'!G:G,'Cash balance (Prior period)'!C:C,Table11[[#This Row],[ACCOUNT NUMBER]],'Cash balance (Prior period)'!E:E,Table11[[#This Row],[CURRENCY]])</f>
        <v>0</v>
      </c>
      <c r="R257" s="817">
        <f>SUMIFS(Movement!$F$4:$F$2136,Movement!$M$4:$M$2136,"USD",Movement!$C$4:$C$2136,Table11[[#This Row],[ACCOUNT NUMBER]],Movement!$J$4:$J$2136,Table11[[#This Row],[ENTITY]],Movement!$O$4:$O$2136,'Cash Balance'!$A$2)</f>
        <v>0</v>
      </c>
      <c r="S257" s="817">
        <f>SUMIFS(Movement!$G$4:$G$2136,Movement!$M$4:$M$2136,"USD",Movement!$C$4:$C$2136,Table11[[#This Row],[ACCOUNT NUMBER]],Movement!$J$4:$J$2136,Table11[[#This Row],[ENTITY]],Movement!$O$4:$O$2136,'Cash Balance'!$A$2)</f>
        <v>0</v>
      </c>
      <c r="T257" s="1087">
        <f t="shared" si="24"/>
        <v>0</v>
      </c>
      <c r="U257" s="817"/>
      <c r="V257" s="817">
        <f>Table11[[#This Row],[CLOSING BALANCE (USD)]]-Table11[[#This Row],[CB_BS (USD)]]</f>
        <v>0</v>
      </c>
      <c r="W257" s="1156" t="str">
        <f>VLOOKUP('Cash Balance'!$C257,Table2[#All],MATCH('Cash Balance'!W$3,Acc_Char!$B$1:$I$1,0),0)</f>
        <v>Subsidiaries</v>
      </c>
      <c r="X257" s="1156" t="str">
        <f>VLOOKUP(IFERROR(MID($Y257,1,FIND("-",$Y257)-2),$Y257),Table3[#All],2,0)</f>
        <v>VTB</v>
      </c>
      <c r="Y257" s="1156" t="str">
        <f>VLOOKUP($B257,Table4[#All],2,0)</f>
        <v>VIETINBANK - TIEN SON</v>
      </c>
      <c r="Z257" s="1151"/>
      <c r="AA257" s="49"/>
      <c r="AE257" s="818">
        <f>SUM(Table11[[#This Row],[CASH IN - CREDIT (VND)]],Table11[[#This Row],[CASH IN - CREDIT (USD)]])</f>
        <v>0</v>
      </c>
      <c r="AF257" s="818">
        <f>Table11[[#This Row],[CASH OUT - DEBIT (VND)]]+Table11[[#This Row],[CASH OUT - DEBIT (USD)]]</f>
        <v>0</v>
      </c>
      <c r="AH257" s="1158"/>
      <c r="AI257" s="49"/>
      <c r="AJ257" s="1158"/>
      <c r="AL257"/>
    </row>
    <row r="258" spans="1:38" ht="14.4">
      <c r="A258" s="1153" t="str">
        <f>VLOOKUP('Cash Balance'!$C258,Table2[#All],MATCH('Cash Balance'!A$3,Acc_Char!$B$1:$I$1,0),0)</f>
        <v>HOLDCO5F</v>
      </c>
      <c r="B258" s="1154" t="str">
        <f>VLOOKUP('Cash Balance'!$C258,Table2[#All],MATCH('Cash Balance'!B$3,Acc_Char!$B$1:$I$1,0),0)</f>
        <v>VIETINBANK - TIEN SON</v>
      </c>
      <c r="C258" s="1190" t="s">
        <v>828</v>
      </c>
      <c r="D258" s="1156" t="str">
        <f>VLOOKUP('Cash Balance'!$C258,Table2[#All],MATCH('Cash Balance'!D$3,Acc_Char!$B$1:$I$1,0),0)</f>
        <v>Saving Account</v>
      </c>
      <c r="E258" s="384" t="str">
        <f>VLOOKUP('Cash Balance'!$C258,Table2[#All],MATCH('Cash Balance'!E$3,Acc_Char!$B$1:$I$1,0),0)</f>
        <v>VND</v>
      </c>
      <c r="F258" s="1094" t="e">
        <f>VLOOKUP(C258,'Cash balance (BS)'!A:C,3,)</f>
        <v>#N/A</v>
      </c>
      <c r="G258" s="1157" t="e">
        <f t="shared" si="25"/>
        <v>#N/A</v>
      </c>
      <c r="H258" s="1318">
        <f>SUMIFS('Cash balance (Prior period)'!F:F,'Cash balance (Prior period)'!C:C,Table11[[#This Row],[ACCOUNT NUMBER]],'Cash balance (Prior period)'!E:E,Table11[[#This Row],[CURRENCY]])</f>
        <v>600000000</v>
      </c>
      <c r="I258" s="1318">
        <f>SUMIFS(Movement!$F$4:$F$2136,Movement!$M$4:$M$2136,"VND",Movement!$C$4:$C$2136,Table11[[#This Row],[ACCOUNT NUMBER]],Movement!$J$4:$J$2136,Table11[[#This Row],[ENTITY]],Movement!$O$4:$O$2136,'Cash Balance'!$A$2)</f>
        <v>0</v>
      </c>
      <c r="J258" s="1318">
        <f>SUMIFS(Movement!$G$4:$G$2136,Movement!$M$4:$M$2136,"VND",Movement!$C$4:$C$2136,Table11[[#This Row],[ACCOUNT NUMBER]],Movement!$J$4:$J$2136,Table11[[#This Row],[ENTITY]],Movement!$O$4:$O$2136,'Cash Balance'!$A$2)</f>
        <v>0</v>
      </c>
      <c r="K258" s="1084">
        <f>Table11[[#This Row],[CASH IN - CREDIT (VND)]]-Table11[[#This Row],[CASH OUT - DEBIT (VND)]]</f>
        <v>0</v>
      </c>
      <c r="L258" s="1095">
        <f t="shared" si="22"/>
        <v>600000000</v>
      </c>
      <c r="M258" s="1184" t="e">
        <f>VLOOKUP(C258,'Cash balance (BS)'!A:D,4,)</f>
        <v>#N/A</v>
      </c>
      <c r="N258" s="1095" t="e">
        <f>Table11[[#This Row],[CLOSING BALANCE (VND)2]]-Table11[[#This Row],[CB_BS (VND)]]</f>
        <v>#N/A</v>
      </c>
      <c r="O258" s="1094">
        <v>0</v>
      </c>
      <c r="P258" s="1095">
        <f t="shared" si="23"/>
        <v>0</v>
      </c>
      <c r="Q258" s="817">
        <f>SUMIFS('Cash balance (Prior period)'!G:G,'Cash balance (Prior period)'!C:C,Table11[[#This Row],[ACCOUNT NUMBER]],'Cash balance (Prior period)'!E:E,Table11[[#This Row],[CURRENCY]])</f>
        <v>0</v>
      </c>
      <c r="R258" s="817">
        <f>SUMIFS(Movement!$F$4:$F$2136,Movement!$M$4:$M$2136,"USD",Movement!$C$4:$C$2136,Table11[[#This Row],[ACCOUNT NUMBER]],Movement!$J$4:$J$2136,Table11[[#This Row],[ENTITY]],Movement!$O$4:$O$2136,'Cash Balance'!$A$2)</f>
        <v>0</v>
      </c>
      <c r="S258" s="817">
        <f>SUMIFS(Movement!$G$4:$G$2136,Movement!$M$4:$M$2136,"USD",Movement!$C$4:$C$2136,Table11[[#This Row],[ACCOUNT NUMBER]],Movement!$J$4:$J$2136,Table11[[#This Row],[ENTITY]],Movement!$O$4:$O$2136,'Cash Balance'!$A$2)</f>
        <v>0</v>
      </c>
      <c r="T258" s="1087">
        <f t="shared" si="24"/>
        <v>0</v>
      </c>
      <c r="U258" s="817"/>
      <c r="V258" s="817">
        <f>Table11[[#This Row],[CLOSING BALANCE (USD)]]-Table11[[#This Row],[CB_BS (USD)]]</f>
        <v>0</v>
      </c>
      <c r="W258" s="1156" t="str">
        <f>VLOOKUP('Cash Balance'!$C258,Table2[#All],MATCH('Cash Balance'!W$3,Acc_Char!$B$1:$I$1,0),0)</f>
        <v>Subsidiaries</v>
      </c>
      <c r="X258" s="1156" t="str">
        <f>VLOOKUP(IFERROR(MID($Y258,1,FIND("-",$Y258)-2),$Y258),Table3[#All],2,0)</f>
        <v>VTB</v>
      </c>
      <c r="Y258" s="1156" t="str">
        <f>VLOOKUP($B258,Table4[#All],2,0)</f>
        <v>VIETINBANK - TIEN SON</v>
      </c>
      <c r="Z258" s="1151"/>
      <c r="AA258" s="49"/>
      <c r="AE258" s="818">
        <f>SUM(Table11[[#This Row],[CASH IN - CREDIT (VND)]],Table11[[#This Row],[CASH IN - CREDIT (USD)]])</f>
        <v>0</v>
      </c>
      <c r="AF258" s="818">
        <f>Table11[[#This Row],[CASH OUT - DEBIT (VND)]]+Table11[[#This Row],[CASH OUT - DEBIT (USD)]]</f>
        <v>0</v>
      </c>
      <c r="AH258" s="1158"/>
      <c r="AI258" s="49"/>
      <c r="AJ258" s="1158"/>
      <c r="AL258"/>
    </row>
    <row r="259" spans="1:38" ht="14.4">
      <c r="A259" s="1153" t="str">
        <f>VLOOKUP('Cash Balance'!$C259,Table2[#All],MATCH('Cash Balance'!A$3,Acc_Char!$B$1:$I$1,0),0)</f>
        <v>HOLDCO4F</v>
      </c>
      <c r="B259" s="1154" t="str">
        <f>VLOOKUP('Cash Balance'!$C259,Table2[#All],MATCH('Cash Balance'!B$3,Acc_Char!$B$1:$I$1,0),0)</f>
        <v>VIETINBANK - TIEN SON</v>
      </c>
      <c r="C259" s="1190" t="s">
        <v>829</v>
      </c>
      <c r="D259" s="1156" t="str">
        <f>VLOOKUP('Cash Balance'!$C259,Table2[#All],MATCH('Cash Balance'!D$3,Acc_Char!$B$1:$I$1,0),0)</f>
        <v>Saving Account</v>
      </c>
      <c r="E259" s="384" t="str">
        <f>VLOOKUP('Cash Balance'!$C259,Table2[#All],MATCH('Cash Balance'!E$3,Acc_Char!$B$1:$I$1,0),0)</f>
        <v>VND</v>
      </c>
      <c r="F259" s="1094" t="e">
        <f>VLOOKUP(C259,'Cash balance (BS)'!A:C,3,)</f>
        <v>#N/A</v>
      </c>
      <c r="G259" s="1157" t="e">
        <f t="shared" si="25"/>
        <v>#N/A</v>
      </c>
      <c r="H259" s="1318">
        <f>SUMIFS('Cash balance (Prior period)'!F:F,'Cash balance (Prior period)'!C:C,Table11[[#This Row],[ACCOUNT NUMBER]],'Cash balance (Prior period)'!E:E,Table11[[#This Row],[CURRENCY]])</f>
        <v>50000000</v>
      </c>
      <c r="I259" s="1318">
        <f>SUMIFS(Movement!$F$4:$F$2136,Movement!$M$4:$M$2136,"VND",Movement!$C$4:$C$2136,Table11[[#This Row],[ACCOUNT NUMBER]],Movement!$J$4:$J$2136,Table11[[#This Row],[ENTITY]],Movement!$O$4:$O$2136,'Cash Balance'!$A$2)</f>
        <v>0</v>
      </c>
      <c r="J259" s="1318">
        <f>SUMIFS(Movement!$G$4:$G$2136,Movement!$M$4:$M$2136,"VND",Movement!$C$4:$C$2136,Table11[[#This Row],[ACCOUNT NUMBER]],Movement!$J$4:$J$2136,Table11[[#This Row],[ENTITY]],Movement!$O$4:$O$2136,'Cash Balance'!$A$2)</f>
        <v>0</v>
      </c>
      <c r="K259" s="1084">
        <f>Table11[[#This Row],[CASH IN - CREDIT (VND)]]-Table11[[#This Row],[CASH OUT - DEBIT (VND)]]</f>
        <v>0</v>
      </c>
      <c r="L259" s="1095">
        <f t="shared" si="22"/>
        <v>50000000</v>
      </c>
      <c r="M259" s="1184" t="e">
        <f>VLOOKUP(C259,'Cash balance (BS)'!A:D,4,)</f>
        <v>#N/A</v>
      </c>
      <c r="N259" s="1095" t="e">
        <f>Table11[[#This Row],[CLOSING BALANCE (VND)2]]-Table11[[#This Row],[CB_BS (VND)]]</f>
        <v>#N/A</v>
      </c>
      <c r="O259" s="1094">
        <v>0</v>
      </c>
      <c r="P259" s="1095">
        <f t="shared" si="23"/>
        <v>0</v>
      </c>
      <c r="Q259" s="817">
        <f>SUMIFS('Cash balance (Prior period)'!G:G,'Cash balance (Prior period)'!C:C,Table11[[#This Row],[ACCOUNT NUMBER]],'Cash balance (Prior period)'!E:E,Table11[[#This Row],[CURRENCY]])</f>
        <v>0</v>
      </c>
      <c r="R259" s="817">
        <f>SUMIFS(Movement!$F$4:$F$2136,Movement!$M$4:$M$2136,"USD",Movement!$C$4:$C$2136,Table11[[#This Row],[ACCOUNT NUMBER]],Movement!$J$4:$J$2136,Table11[[#This Row],[ENTITY]],Movement!$O$4:$O$2136,'Cash Balance'!$A$2)</f>
        <v>0</v>
      </c>
      <c r="S259" s="817">
        <f>SUMIFS(Movement!$G$4:$G$2136,Movement!$M$4:$M$2136,"USD",Movement!$C$4:$C$2136,Table11[[#This Row],[ACCOUNT NUMBER]],Movement!$J$4:$J$2136,Table11[[#This Row],[ENTITY]],Movement!$O$4:$O$2136,'Cash Balance'!$A$2)</f>
        <v>0</v>
      </c>
      <c r="T259" s="1087">
        <f t="shared" si="24"/>
        <v>0</v>
      </c>
      <c r="U259" s="817"/>
      <c r="V259" s="817">
        <f>Table11[[#This Row],[CLOSING BALANCE (USD)]]-Table11[[#This Row],[CB_BS (USD)]]</f>
        <v>0</v>
      </c>
      <c r="W259" s="1156" t="str">
        <f>VLOOKUP('Cash Balance'!$C259,Table2[#All],MATCH('Cash Balance'!W$3,Acc_Char!$B$1:$I$1,0),0)</f>
        <v>Subsidiaries</v>
      </c>
      <c r="X259" s="1156" t="str">
        <f>VLOOKUP(IFERROR(MID($Y259,1,FIND("-",$Y259)-2),$Y259),Table3[#All],2,0)</f>
        <v>VTB</v>
      </c>
      <c r="Y259" s="1156" t="str">
        <f>VLOOKUP($B259,Table4[#All],2,0)</f>
        <v>VIETINBANK - TIEN SON</v>
      </c>
      <c r="Z259" s="1151"/>
      <c r="AA259" s="49"/>
      <c r="AE259" s="818">
        <f>SUM(Table11[[#This Row],[CASH IN - CREDIT (VND)]],Table11[[#This Row],[CASH IN - CREDIT (USD)]])</f>
        <v>0</v>
      </c>
      <c r="AF259" s="818">
        <f>Table11[[#This Row],[CASH OUT - DEBIT (VND)]]+Table11[[#This Row],[CASH OUT - DEBIT (USD)]]</f>
        <v>0</v>
      </c>
      <c r="AH259" s="1158"/>
      <c r="AI259" s="49"/>
      <c r="AJ259" s="1158"/>
      <c r="AL259"/>
    </row>
    <row r="260" spans="1:38" ht="14.4">
      <c r="A260" s="1153" t="str">
        <f>VLOOKUP('Cash Balance'!$C260,Table2[#All],MATCH('Cash Balance'!A$3,Acc_Char!$B$1:$I$1,0),0)</f>
        <v>HOLDCO4H</v>
      </c>
      <c r="B260" s="1154" t="str">
        <f>VLOOKUP('Cash Balance'!$C260,Table2[#All],MATCH('Cash Balance'!B$3,Acc_Char!$B$1:$I$1,0),0)</f>
        <v>VIETINBANK - TIEN SON</v>
      </c>
      <c r="C260" s="1190" t="s">
        <v>830</v>
      </c>
      <c r="D260" s="1156" t="str">
        <f>VLOOKUP('Cash Balance'!$C260,Table2[#All],MATCH('Cash Balance'!D$3,Acc_Char!$B$1:$I$1,0),0)</f>
        <v>Saving Account</v>
      </c>
      <c r="E260" s="384" t="str">
        <f>VLOOKUP('Cash Balance'!$C260,Table2[#All],MATCH('Cash Balance'!E$3,Acc_Char!$B$1:$I$1,0),0)</f>
        <v>VND</v>
      </c>
      <c r="F260" s="1094" t="e">
        <f>VLOOKUP(C260,'Cash balance (BS)'!A:C,3,)</f>
        <v>#N/A</v>
      </c>
      <c r="G260" s="1157" t="e">
        <f t="shared" si="25"/>
        <v>#N/A</v>
      </c>
      <c r="H260" s="1318">
        <f>SUMIFS('Cash balance (Prior period)'!F:F,'Cash balance (Prior period)'!C:C,Table11[[#This Row],[ACCOUNT NUMBER]],'Cash balance (Prior period)'!E:E,Table11[[#This Row],[CURRENCY]])</f>
        <v>50000000</v>
      </c>
      <c r="I260" s="1318">
        <f>SUMIFS(Movement!$F$4:$F$2136,Movement!$M$4:$M$2136,"VND",Movement!$C$4:$C$2136,Table11[[#This Row],[ACCOUNT NUMBER]],Movement!$J$4:$J$2136,Table11[[#This Row],[ENTITY]],Movement!$O$4:$O$2136,'Cash Balance'!$A$2)</f>
        <v>0</v>
      </c>
      <c r="J260" s="1318">
        <f>SUMIFS(Movement!$G$4:$G$2136,Movement!$M$4:$M$2136,"VND",Movement!$C$4:$C$2136,Table11[[#This Row],[ACCOUNT NUMBER]],Movement!$J$4:$J$2136,Table11[[#This Row],[ENTITY]],Movement!$O$4:$O$2136,'Cash Balance'!$A$2)</f>
        <v>0</v>
      </c>
      <c r="K260" s="1084">
        <f>Table11[[#This Row],[CASH IN - CREDIT (VND)]]-Table11[[#This Row],[CASH OUT - DEBIT (VND)]]</f>
        <v>0</v>
      </c>
      <c r="L260" s="1095">
        <f t="shared" si="22"/>
        <v>50000000</v>
      </c>
      <c r="M260" s="1184" t="e">
        <f>VLOOKUP(C260,'Cash balance (BS)'!A:D,4,)</f>
        <v>#N/A</v>
      </c>
      <c r="N260" s="1095" t="e">
        <f>Table11[[#This Row],[CLOSING BALANCE (VND)2]]-Table11[[#This Row],[CB_BS (VND)]]</f>
        <v>#N/A</v>
      </c>
      <c r="O260" s="1094">
        <v>0</v>
      </c>
      <c r="P260" s="1095">
        <f t="shared" si="23"/>
        <v>0</v>
      </c>
      <c r="Q260" s="817">
        <f>SUMIFS('Cash balance (Prior period)'!G:G,'Cash balance (Prior period)'!C:C,Table11[[#This Row],[ACCOUNT NUMBER]],'Cash balance (Prior period)'!E:E,Table11[[#This Row],[CURRENCY]])</f>
        <v>0</v>
      </c>
      <c r="R260" s="817">
        <f>SUMIFS(Movement!$F$4:$F$2136,Movement!$M$4:$M$2136,"USD",Movement!$C$4:$C$2136,Table11[[#This Row],[ACCOUNT NUMBER]],Movement!$J$4:$J$2136,Table11[[#This Row],[ENTITY]],Movement!$O$4:$O$2136,'Cash Balance'!$A$2)</f>
        <v>0</v>
      </c>
      <c r="S260" s="817">
        <f>SUMIFS(Movement!$G$4:$G$2136,Movement!$M$4:$M$2136,"USD",Movement!$C$4:$C$2136,Table11[[#This Row],[ACCOUNT NUMBER]],Movement!$J$4:$J$2136,Table11[[#This Row],[ENTITY]],Movement!$O$4:$O$2136,'Cash Balance'!$A$2)</f>
        <v>0</v>
      </c>
      <c r="T260" s="1087">
        <f t="shared" si="24"/>
        <v>0</v>
      </c>
      <c r="U260" s="817"/>
      <c r="V260" s="817">
        <f>Table11[[#This Row],[CLOSING BALANCE (USD)]]-Table11[[#This Row],[CB_BS (USD)]]</f>
        <v>0</v>
      </c>
      <c r="W260" s="1156" t="str">
        <f>VLOOKUP('Cash Balance'!$C260,Table2[#All],MATCH('Cash Balance'!W$3,Acc_Char!$B$1:$I$1,0),0)</f>
        <v>Subsidiaries</v>
      </c>
      <c r="X260" s="1156" t="str">
        <f>VLOOKUP(IFERROR(MID($Y260,1,FIND("-",$Y260)-2),$Y260),Table3[#All],2,0)</f>
        <v>VTB</v>
      </c>
      <c r="Y260" s="1156" t="str">
        <f>VLOOKUP($B260,Table4[#All],2,0)</f>
        <v>VIETINBANK - TIEN SON</v>
      </c>
      <c r="Z260" s="1151"/>
      <c r="AA260" s="49"/>
      <c r="AE260" s="818">
        <f>SUM(Table11[[#This Row],[CASH IN - CREDIT (VND)]],Table11[[#This Row],[CASH IN - CREDIT (USD)]])</f>
        <v>0</v>
      </c>
      <c r="AF260" s="818">
        <f>Table11[[#This Row],[CASH OUT - DEBIT (VND)]]+Table11[[#This Row],[CASH OUT - DEBIT (USD)]]</f>
        <v>0</v>
      </c>
      <c r="AH260" s="1158"/>
      <c r="AI260" s="49"/>
      <c r="AJ260" s="1158"/>
      <c r="AL260"/>
    </row>
    <row r="261" spans="1:38" ht="14.4">
      <c r="A261" s="1153" t="str">
        <f>VLOOKUP('Cash Balance'!$C261,Table2[#All],MATCH('Cash Balance'!A$3,Acc_Char!$B$1:$I$1,0),0)</f>
        <v>HOLDCO5H</v>
      </c>
      <c r="B261" s="1154" t="str">
        <f>VLOOKUP('Cash Balance'!$C261,Table2[#All],MATCH('Cash Balance'!B$3,Acc_Char!$B$1:$I$1,0),0)</f>
        <v>VIETINBANK - TIEN SON</v>
      </c>
      <c r="C261" s="1190" t="s">
        <v>831</v>
      </c>
      <c r="D261" s="1156" t="str">
        <f>VLOOKUP('Cash Balance'!$C261,Table2[#All],MATCH('Cash Balance'!D$3,Acc_Char!$B$1:$I$1,0),0)</f>
        <v>Saving Account</v>
      </c>
      <c r="E261" s="384" t="str">
        <f>VLOOKUP('Cash Balance'!$C261,Table2[#All],MATCH('Cash Balance'!E$3,Acc_Char!$B$1:$I$1,0),0)</f>
        <v>VND</v>
      </c>
      <c r="F261" s="1094" t="e">
        <f>VLOOKUP(C261,'Cash balance (BS)'!A:C,3,)</f>
        <v>#N/A</v>
      </c>
      <c r="G261" s="1157" t="e">
        <f t="shared" si="25"/>
        <v>#N/A</v>
      </c>
      <c r="H261" s="1318">
        <f>SUMIFS('Cash balance (Prior period)'!F:F,'Cash balance (Prior period)'!C:C,Table11[[#This Row],[ACCOUNT NUMBER]],'Cash balance (Prior period)'!E:E,Table11[[#This Row],[CURRENCY]])</f>
        <v>800000000</v>
      </c>
      <c r="I261" s="1318">
        <f>SUMIFS(Movement!$F$4:$F$2136,Movement!$M$4:$M$2136,"VND",Movement!$C$4:$C$2136,Table11[[#This Row],[ACCOUNT NUMBER]],Movement!$J$4:$J$2136,Table11[[#This Row],[ENTITY]],Movement!$O$4:$O$2136,'Cash Balance'!$A$2)</f>
        <v>0</v>
      </c>
      <c r="J261" s="1318">
        <f>SUMIFS(Movement!$G$4:$G$2136,Movement!$M$4:$M$2136,"VND",Movement!$C$4:$C$2136,Table11[[#This Row],[ACCOUNT NUMBER]],Movement!$J$4:$J$2136,Table11[[#This Row],[ENTITY]],Movement!$O$4:$O$2136,'Cash Balance'!$A$2)</f>
        <v>0</v>
      </c>
      <c r="K261" s="1084">
        <f>Table11[[#This Row],[CASH IN - CREDIT (VND)]]-Table11[[#This Row],[CASH OUT - DEBIT (VND)]]</f>
        <v>0</v>
      </c>
      <c r="L261" s="1095">
        <f t="shared" si="22"/>
        <v>800000000</v>
      </c>
      <c r="M261" s="1184" t="e">
        <f>VLOOKUP(C261,'Cash balance (BS)'!A:D,4,)</f>
        <v>#N/A</v>
      </c>
      <c r="N261" s="1095" t="e">
        <f>Table11[[#This Row],[CLOSING BALANCE (VND)2]]-Table11[[#This Row],[CB_BS (VND)]]</f>
        <v>#N/A</v>
      </c>
      <c r="O261" s="1094">
        <v>0</v>
      </c>
      <c r="P261" s="1095">
        <f t="shared" si="23"/>
        <v>0</v>
      </c>
      <c r="Q261" s="817">
        <f>SUMIFS('Cash balance (Prior period)'!G:G,'Cash balance (Prior period)'!C:C,Table11[[#This Row],[ACCOUNT NUMBER]],'Cash balance (Prior period)'!E:E,Table11[[#This Row],[CURRENCY]])</f>
        <v>0</v>
      </c>
      <c r="R261" s="817">
        <f>SUMIFS(Movement!$F$4:$F$2136,Movement!$M$4:$M$2136,"USD",Movement!$C$4:$C$2136,Table11[[#This Row],[ACCOUNT NUMBER]],Movement!$J$4:$J$2136,Table11[[#This Row],[ENTITY]],Movement!$O$4:$O$2136,'Cash Balance'!$A$2)</f>
        <v>0</v>
      </c>
      <c r="S261" s="817">
        <f>SUMIFS(Movement!$G$4:$G$2136,Movement!$M$4:$M$2136,"USD",Movement!$C$4:$C$2136,Table11[[#This Row],[ACCOUNT NUMBER]],Movement!$J$4:$J$2136,Table11[[#This Row],[ENTITY]],Movement!$O$4:$O$2136,'Cash Balance'!$A$2)</f>
        <v>0</v>
      </c>
      <c r="T261" s="1087">
        <f t="shared" si="24"/>
        <v>0</v>
      </c>
      <c r="U261" s="817"/>
      <c r="V261" s="817">
        <f>Table11[[#This Row],[CLOSING BALANCE (USD)]]-Table11[[#This Row],[CB_BS (USD)]]</f>
        <v>0</v>
      </c>
      <c r="W261" s="1156" t="str">
        <f>VLOOKUP('Cash Balance'!$C261,Table2[#All],MATCH('Cash Balance'!W$3,Acc_Char!$B$1:$I$1,0),0)</f>
        <v>Subsidiaries</v>
      </c>
      <c r="X261" s="1156" t="str">
        <f>VLOOKUP(IFERROR(MID($Y261,1,FIND("-",$Y261)-2),$Y261),Table3[#All],2,0)</f>
        <v>VTB</v>
      </c>
      <c r="Y261" s="1156" t="str">
        <f>VLOOKUP($B261,Table4[#All],2,0)</f>
        <v>VIETINBANK - TIEN SON</v>
      </c>
      <c r="Z261" s="1151"/>
      <c r="AA261" s="49"/>
      <c r="AE261" s="818">
        <f>SUM(Table11[[#This Row],[CASH IN - CREDIT (VND)]],Table11[[#This Row],[CASH IN - CREDIT (USD)]])</f>
        <v>0</v>
      </c>
      <c r="AF261" s="818">
        <f>Table11[[#This Row],[CASH OUT - DEBIT (VND)]]+Table11[[#This Row],[CASH OUT - DEBIT (USD)]]</f>
        <v>0</v>
      </c>
      <c r="AH261" s="1158"/>
      <c r="AI261" s="49"/>
      <c r="AJ261" s="1158"/>
      <c r="AL261"/>
    </row>
    <row r="262" spans="1:38" ht="14.4">
      <c r="A262" s="1153" t="str">
        <f>VLOOKUP('Cash Balance'!$C262,Table2[#All],MATCH('Cash Balance'!A$3,Acc_Char!$B$1:$I$1,0),0)</f>
        <v>HOLDCO5J</v>
      </c>
      <c r="B262" s="1154" t="str">
        <f>VLOOKUP('Cash Balance'!$C262,Table2[#All],MATCH('Cash Balance'!B$3,Acc_Char!$B$1:$I$1,0),0)</f>
        <v>VIETINBANK - TIEN SON</v>
      </c>
      <c r="C262" s="1185" t="s">
        <v>832</v>
      </c>
      <c r="D262" s="1156" t="str">
        <f>VLOOKUP('Cash Balance'!$C262,Table2[#All],MATCH('Cash Balance'!D$3,Acc_Char!$B$1:$I$1,0),0)</f>
        <v>Saving Account</v>
      </c>
      <c r="E262" s="384" t="str">
        <f>VLOOKUP('Cash Balance'!$C262,Table2[#All],MATCH('Cash Balance'!E$3,Acc_Char!$B$1:$I$1,0),0)</f>
        <v>VND</v>
      </c>
      <c r="F262" s="1094" t="e">
        <f>VLOOKUP(C262,'Cash balance (BS)'!A:C,3,)</f>
        <v>#N/A</v>
      </c>
      <c r="G262" s="1157" t="e">
        <f t="shared" si="25"/>
        <v>#N/A</v>
      </c>
      <c r="H262" s="1318">
        <f>SUMIFS('Cash balance (Prior period)'!F:F,'Cash balance (Prior period)'!C:C,Table11[[#This Row],[ACCOUNT NUMBER]],'Cash balance (Prior period)'!E:E,Table11[[#This Row],[CURRENCY]])</f>
        <v>800000000</v>
      </c>
      <c r="I262" s="1318">
        <f>SUMIFS(Movement!$F$4:$F$2136,Movement!$M$4:$M$2136,"VND",Movement!$C$4:$C$2136,Table11[[#This Row],[ACCOUNT NUMBER]],Movement!$J$4:$J$2136,Table11[[#This Row],[ENTITY]],Movement!$O$4:$O$2136,'Cash Balance'!$A$2)</f>
        <v>0</v>
      </c>
      <c r="J262" s="1318">
        <f>SUMIFS(Movement!$G$4:$G$2136,Movement!$M$4:$M$2136,"VND",Movement!$C$4:$C$2136,Table11[[#This Row],[ACCOUNT NUMBER]],Movement!$J$4:$J$2136,Table11[[#This Row],[ENTITY]],Movement!$O$4:$O$2136,'Cash Balance'!$A$2)</f>
        <v>0</v>
      </c>
      <c r="K262" s="1084">
        <f>Table11[[#This Row],[CASH IN - CREDIT (VND)]]-Table11[[#This Row],[CASH OUT - DEBIT (VND)]]</f>
        <v>0</v>
      </c>
      <c r="L262" s="1095">
        <f t="shared" si="22"/>
        <v>800000000</v>
      </c>
      <c r="M262" s="1184" t="e">
        <f>VLOOKUP(C262,'Cash balance (BS)'!A:D,4,)</f>
        <v>#N/A</v>
      </c>
      <c r="N262" s="1095" t="e">
        <f>Table11[[#This Row],[CLOSING BALANCE (VND)2]]-Table11[[#This Row],[CB_BS (VND)]]</f>
        <v>#N/A</v>
      </c>
      <c r="O262" s="1094">
        <v>0</v>
      </c>
      <c r="P262" s="1095">
        <f t="shared" si="23"/>
        <v>0</v>
      </c>
      <c r="Q262" s="817">
        <f>SUMIFS('Cash balance (Prior period)'!G:G,'Cash balance (Prior period)'!C:C,Table11[[#This Row],[ACCOUNT NUMBER]],'Cash balance (Prior period)'!E:E,Table11[[#This Row],[CURRENCY]])</f>
        <v>0</v>
      </c>
      <c r="R262" s="817">
        <f>SUMIFS(Movement!$F$4:$F$2136,Movement!$M$4:$M$2136,"USD",Movement!$C$4:$C$2136,Table11[[#This Row],[ACCOUNT NUMBER]],Movement!$J$4:$J$2136,Table11[[#This Row],[ENTITY]],Movement!$O$4:$O$2136,'Cash Balance'!$A$2)</f>
        <v>0</v>
      </c>
      <c r="S262" s="817">
        <f>SUMIFS(Movement!$G$4:$G$2136,Movement!$M$4:$M$2136,"USD",Movement!$C$4:$C$2136,Table11[[#This Row],[ACCOUNT NUMBER]],Movement!$J$4:$J$2136,Table11[[#This Row],[ENTITY]],Movement!$O$4:$O$2136,'Cash Balance'!$A$2)</f>
        <v>0</v>
      </c>
      <c r="T262" s="1087">
        <f t="shared" si="24"/>
        <v>0</v>
      </c>
      <c r="U262" s="817"/>
      <c r="V262" s="817">
        <f>Table11[[#This Row],[CLOSING BALANCE (USD)]]-Table11[[#This Row],[CB_BS (USD)]]</f>
        <v>0</v>
      </c>
      <c r="W262" s="1156" t="str">
        <f>VLOOKUP('Cash Balance'!$C262,Table2[#All],MATCH('Cash Balance'!W$3,Acc_Char!$B$1:$I$1,0),0)</f>
        <v>Subsidiaries</v>
      </c>
      <c r="X262" s="1156" t="str">
        <f>VLOOKUP(IFERROR(MID($Y262,1,FIND("-",$Y262)-2),$Y262),Table3[#All],2,0)</f>
        <v>VTB</v>
      </c>
      <c r="Y262" s="1156" t="str">
        <f>VLOOKUP($B262,Table4[#All],2,0)</f>
        <v>VIETINBANK - TIEN SON</v>
      </c>
      <c r="Z262" s="1151"/>
      <c r="AA262" s="49"/>
      <c r="AE262" s="818">
        <f>SUM(Table11[[#This Row],[CASH IN - CREDIT (VND)]],Table11[[#This Row],[CASH IN - CREDIT (USD)]])</f>
        <v>0</v>
      </c>
      <c r="AF262" s="818">
        <f>Table11[[#This Row],[CASH OUT - DEBIT (VND)]]+Table11[[#This Row],[CASH OUT - DEBIT (USD)]]</f>
        <v>0</v>
      </c>
      <c r="AH262" s="1158"/>
      <c r="AI262" s="49"/>
      <c r="AJ262" s="1158"/>
      <c r="AL262"/>
    </row>
    <row r="263" spans="1:38" ht="14.4">
      <c r="A263" s="1153" t="str">
        <f>VLOOKUP('Cash Balance'!$C263,Table2[#All],MATCH('Cash Balance'!A$3,Acc_Char!$B$1:$I$1,0),0)</f>
        <v>HOLDCO5I</v>
      </c>
      <c r="B263" s="1154" t="str">
        <f>VLOOKUP('Cash Balance'!$C263,Table2[#All],MATCH('Cash Balance'!B$3,Acc_Char!$B$1:$I$1,0),0)</f>
        <v>VIETINBANK - TIEN SON</v>
      </c>
      <c r="C263" s="1185" t="s">
        <v>833</v>
      </c>
      <c r="D263" s="1156" t="str">
        <f>VLOOKUP('Cash Balance'!$C263,Table2[#All],MATCH('Cash Balance'!D$3,Acc_Char!$B$1:$I$1,0),0)</f>
        <v>Saving Account</v>
      </c>
      <c r="E263" s="384" t="str">
        <f>VLOOKUP('Cash Balance'!$C263,Table2[#All],MATCH('Cash Balance'!E$3,Acc_Char!$B$1:$I$1,0),0)</f>
        <v>VND</v>
      </c>
      <c r="F263" s="1094" t="e">
        <f>VLOOKUP(C263,'Cash balance (BS)'!A:C,3,)</f>
        <v>#N/A</v>
      </c>
      <c r="G263" s="1157" t="e">
        <f t="shared" si="25"/>
        <v>#N/A</v>
      </c>
      <c r="H263" s="1318">
        <f>SUMIFS('Cash balance (Prior period)'!F:F,'Cash balance (Prior period)'!C:C,Table11[[#This Row],[ACCOUNT NUMBER]],'Cash balance (Prior period)'!E:E,Table11[[#This Row],[CURRENCY]])</f>
        <v>800000000</v>
      </c>
      <c r="I263" s="1318">
        <f>SUMIFS(Movement!$F$4:$F$2136,Movement!$M$4:$M$2136,"VND",Movement!$C$4:$C$2136,Table11[[#This Row],[ACCOUNT NUMBER]],Movement!$J$4:$J$2136,Table11[[#This Row],[ENTITY]],Movement!$O$4:$O$2136,'Cash Balance'!$A$2)</f>
        <v>0</v>
      </c>
      <c r="J263" s="1318">
        <f>SUMIFS(Movement!$G$4:$G$2136,Movement!$M$4:$M$2136,"VND",Movement!$C$4:$C$2136,Table11[[#This Row],[ACCOUNT NUMBER]],Movement!$J$4:$J$2136,Table11[[#This Row],[ENTITY]],Movement!$O$4:$O$2136,'Cash Balance'!$A$2)</f>
        <v>0</v>
      </c>
      <c r="K263" s="1084">
        <f>Table11[[#This Row],[CASH IN - CREDIT (VND)]]-Table11[[#This Row],[CASH OUT - DEBIT (VND)]]</f>
        <v>0</v>
      </c>
      <c r="L263" s="1095">
        <f t="shared" ref="L263:L327" si="26">H263+I263-J263</f>
        <v>800000000</v>
      </c>
      <c r="M263" s="1184" t="e">
        <f>VLOOKUP(C263,'Cash balance (BS)'!A:D,4,)</f>
        <v>#N/A</v>
      </c>
      <c r="N263" s="1095" t="e">
        <f>Table11[[#This Row],[CLOSING BALANCE (VND)2]]-Table11[[#This Row],[CB_BS (VND)]]</f>
        <v>#N/A</v>
      </c>
      <c r="O263" s="1094">
        <v>0</v>
      </c>
      <c r="P263" s="1095">
        <f t="shared" ref="P263:P327" si="27">O263-Q263</f>
        <v>0</v>
      </c>
      <c r="Q263" s="817">
        <f>SUMIFS('Cash balance (Prior period)'!G:G,'Cash balance (Prior period)'!C:C,Table11[[#This Row],[ACCOUNT NUMBER]],'Cash balance (Prior period)'!E:E,Table11[[#This Row],[CURRENCY]])</f>
        <v>0</v>
      </c>
      <c r="R263" s="817">
        <f>SUMIFS(Movement!$F$4:$F$2136,Movement!$M$4:$M$2136,"USD",Movement!$C$4:$C$2136,Table11[[#This Row],[ACCOUNT NUMBER]],Movement!$J$4:$J$2136,Table11[[#This Row],[ENTITY]],Movement!$O$4:$O$2136,'Cash Balance'!$A$2)</f>
        <v>0</v>
      </c>
      <c r="S263" s="817">
        <f>SUMIFS(Movement!$G$4:$G$2136,Movement!$M$4:$M$2136,"USD",Movement!$C$4:$C$2136,Table11[[#This Row],[ACCOUNT NUMBER]],Movement!$J$4:$J$2136,Table11[[#This Row],[ENTITY]],Movement!$O$4:$O$2136,'Cash Balance'!$A$2)</f>
        <v>0</v>
      </c>
      <c r="T263" s="1087">
        <f t="shared" ref="T263:T327" si="28">Q263+R263-S263</f>
        <v>0</v>
      </c>
      <c r="U263" s="817"/>
      <c r="V263" s="817">
        <f>Table11[[#This Row],[CLOSING BALANCE (USD)]]-Table11[[#This Row],[CB_BS (USD)]]</f>
        <v>0</v>
      </c>
      <c r="W263" s="1156" t="str">
        <f>VLOOKUP('Cash Balance'!$C263,Table2[#All],MATCH('Cash Balance'!W$3,Acc_Char!$B$1:$I$1,0),0)</f>
        <v>Subsidiaries</v>
      </c>
      <c r="X263" s="1156" t="str">
        <f>VLOOKUP(IFERROR(MID($Y263,1,FIND("-",$Y263)-2),$Y263),Table3[#All],2,0)</f>
        <v>VTB</v>
      </c>
      <c r="Y263" s="1156" t="str">
        <f>VLOOKUP($B263,Table4[#All],2,0)</f>
        <v>VIETINBANK - TIEN SON</v>
      </c>
      <c r="Z263" s="1151"/>
      <c r="AA263" s="49"/>
      <c r="AE263" s="818">
        <f>SUM(Table11[[#This Row],[CASH IN - CREDIT (VND)]],Table11[[#This Row],[CASH IN - CREDIT (USD)]])</f>
        <v>0</v>
      </c>
      <c r="AF263" s="818">
        <f>Table11[[#This Row],[CASH OUT - DEBIT (VND)]]+Table11[[#This Row],[CASH OUT - DEBIT (USD)]]</f>
        <v>0</v>
      </c>
      <c r="AH263" s="1158"/>
      <c r="AI263" s="49"/>
      <c r="AJ263" s="1158"/>
      <c r="AL263"/>
    </row>
    <row r="264" spans="1:38" ht="14.4">
      <c r="A264" s="1153" t="str">
        <f>VLOOKUP('Cash Balance'!$C264,Table2[#All],MATCH('Cash Balance'!A$3,Acc_Char!$B$1:$I$1,0),0)</f>
        <v>HOLDCO5G</v>
      </c>
      <c r="B264" s="1154" t="str">
        <f>VLOOKUP('Cash Balance'!$C264,Table2[#All],MATCH('Cash Balance'!B$3,Acc_Char!$B$1:$I$1,0),0)</f>
        <v>VIETINBANK - TIEN SON</v>
      </c>
      <c r="C264" s="1185" t="s">
        <v>834</v>
      </c>
      <c r="D264" s="1156" t="str">
        <f>VLOOKUP('Cash Balance'!$C264,Table2[#All],MATCH('Cash Balance'!D$3,Acc_Char!$B$1:$I$1,0),0)</f>
        <v>Saving Account</v>
      </c>
      <c r="E264" s="384" t="str">
        <f>VLOOKUP('Cash Balance'!$C264,Table2[#All],MATCH('Cash Balance'!E$3,Acc_Char!$B$1:$I$1,0),0)</f>
        <v>VND</v>
      </c>
      <c r="F264" s="1094" t="e">
        <f>VLOOKUP(C264,'Cash balance (BS)'!A:C,3,)</f>
        <v>#N/A</v>
      </c>
      <c r="G264" s="1157" t="e">
        <f t="shared" si="25"/>
        <v>#N/A</v>
      </c>
      <c r="H264" s="1318">
        <f>SUMIFS('Cash balance (Prior period)'!F:F,'Cash balance (Prior period)'!C:C,Table11[[#This Row],[ACCOUNT NUMBER]],'Cash balance (Prior period)'!E:E,Table11[[#This Row],[CURRENCY]])</f>
        <v>800000000</v>
      </c>
      <c r="I264" s="1318">
        <f>SUMIFS(Movement!$F$4:$F$2136,Movement!$M$4:$M$2136,"VND",Movement!$C$4:$C$2136,Table11[[#This Row],[ACCOUNT NUMBER]],Movement!$J$4:$J$2136,Table11[[#This Row],[ENTITY]],Movement!$O$4:$O$2136,'Cash Balance'!$A$2)</f>
        <v>0</v>
      </c>
      <c r="J264" s="1318">
        <f>SUMIFS(Movement!$G$4:$G$2136,Movement!$M$4:$M$2136,"VND",Movement!$C$4:$C$2136,Table11[[#This Row],[ACCOUNT NUMBER]],Movement!$J$4:$J$2136,Table11[[#This Row],[ENTITY]],Movement!$O$4:$O$2136,'Cash Balance'!$A$2)</f>
        <v>0</v>
      </c>
      <c r="K264" s="1084">
        <f>Table11[[#This Row],[CASH IN - CREDIT (VND)]]-Table11[[#This Row],[CASH OUT - DEBIT (VND)]]</f>
        <v>0</v>
      </c>
      <c r="L264" s="1095">
        <f t="shared" si="26"/>
        <v>800000000</v>
      </c>
      <c r="M264" s="1184" t="e">
        <f>VLOOKUP(C264,'Cash balance (BS)'!A:D,4,)</f>
        <v>#N/A</v>
      </c>
      <c r="N264" s="1095" t="e">
        <f>Table11[[#This Row],[CLOSING BALANCE (VND)2]]-Table11[[#This Row],[CB_BS (VND)]]</f>
        <v>#N/A</v>
      </c>
      <c r="O264" s="1094">
        <v>0</v>
      </c>
      <c r="P264" s="1095">
        <f t="shared" si="27"/>
        <v>0</v>
      </c>
      <c r="Q264" s="817">
        <f>SUMIFS('Cash balance (Prior period)'!G:G,'Cash balance (Prior period)'!C:C,Table11[[#This Row],[ACCOUNT NUMBER]],'Cash balance (Prior period)'!E:E,Table11[[#This Row],[CURRENCY]])</f>
        <v>0</v>
      </c>
      <c r="R264" s="817">
        <f>SUMIFS(Movement!$F$4:$F$2136,Movement!$M$4:$M$2136,"USD",Movement!$C$4:$C$2136,Table11[[#This Row],[ACCOUNT NUMBER]],Movement!$J$4:$J$2136,Table11[[#This Row],[ENTITY]],Movement!$O$4:$O$2136,'Cash Balance'!$A$2)</f>
        <v>0</v>
      </c>
      <c r="S264" s="817">
        <f>SUMIFS(Movement!$G$4:$G$2136,Movement!$M$4:$M$2136,"USD",Movement!$C$4:$C$2136,Table11[[#This Row],[ACCOUNT NUMBER]],Movement!$J$4:$J$2136,Table11[[#This Row],[ENTITY]],Movement!$O$4:$O$2136,'Cash Balance'!$A$2)</f>
        <v>0</v>
      </c>
      <c r="T264" s="1087">
        <f t="shared" si="28"/>
        <v>0</v>
      </c>
      <c r="U264" s="817"/>
      <c r="V264" s="817">
        <f>Table11[[#This Row],[CLOSING BALANCE (USD)]]-Table11[[#This Row],[CB_BS (USD)]]</f>
        <v>0</v>
      </c>
      <c r="W264" s="1156" t="str">
        <f>VLOOKUP('Cash Balance'!$C264,Table2[#All],MATCH('Cash Balance'!W$3,Acc_Char!$B$1:$I$1,0),0)</f>
        <v>Subsidiaries</v>
      </c>
      <c r="X264" s="1156" t="str">
        <f>VLOOKUP(IFERROR(MID($Y264,1,FIND("-",$Y264)-2),$Y264),Table3[#All],2,0)</f>
        <v>VTB</v>
      </c>
      <c r="Y264" s="1156" t="str">
        <f>VLOOKUP($B264,Table4[#All],2,0)</f>
        <v>VIETINBANK - TIEN SON</v>
      </c>
      <c r="Z264" s="1151"/>
      <c r="AA264" s="49"/>
      <c r="AE264" s="818">
        <f>SUM(Table11[[#This Row],[CASH IN - CREDIT (VND)]],Table11[[#This Row],[CASH IN - CREDIT (USD)]])</f>
        <v>0</v>
      </c>
      <c r="AF264" s="818">
        <f>Table11[[#This Row],[CASH OUT - DEBIT (VND)]]+Table11[[#This Row],[CASH OUT - DEBIT (USD)]]</f>
        <v>0</v>
      </c>
      <c r="AH264" s="1158"/>
      <c r="AI264" s="49"/>
      <c r="AJ264" s="1158"/>
      <c r="AL264"/>
    </row>
    <row r="265" spans="1:38" ht="14.4">
      <c r="A265" s="1153" t="str">
        <f>VLOOKUP('Cash Balance'!$C265,Table2[#All],MATCH('Cash Balance'!A$3,Acc_Char!$B$1:$I$1,0),0)</f>
        <v>HOLDCO4J</v>
      </c>
      <c r="B265" s="1154" t="str">
        <f>VLOOKUP('Cash Balance'!$C265,Table2[#All],MATCH('Cash Balance'!B$3,Acc_Char!$B$1:$I$1,0),0)</f>
        <v>VIETINBANK - TIEN SON</v>
      </c>
      <c r="C265" s="1189" t="s">
        <v>835</v>
      </c>
      <c r="D265" s="1156" t="str">
        <f>VLOOKUP('Cash Balance'!$C265,Table2[#All],MATCH('Cash Balance'!D$3,Acc_Char!$B$1:$I$1,0),0)</f>
        <v>Saving Account</v>
      </c>
      <c r="E265" s="384" t="str">
        <f>VLOOKUP('Cash Balance'!$C265,Table2[#All],MATCH('Cash Balance'!E$3,Acc_Char!$B$1:$I$1,0),0)</f>
        <v>VND</v>
      </c>
      <c r="F265" s="1094" t="e">
        <f>VLOOKUP(C265,'Cash balance (BS)'!A:C,3,)</f>
        <v>#N/A</v>
      </c>
      <c r="G265" s="1157" t="e">
        <f t="shared" si="25"/>
        <v>#N/A</v>
      </c>
      <c r="H265" s="1318">
        <f>SUMIFS('Cash balance (Prior period)'!F:F,'Cash balance (Prior period)'!C:C,Table11[[#This Row],[ACCOUNT NUMBER]],'Cash balance (Prior period)'!E:E,Table11[[#This Row],[CURRENCY]])</f>
        <v>50000000</v>
      </c>
      <c r="I265" s="1318">
        <f>SUMIFS(Movement!$F$4:$F$2136,Movement!$M$4:$M$2136,"VND",Movement!$C$4:$C$2136,Table11[[#This Row],[ACCOUNT NUMBER]],Movement!$J$4:$J$2136,Table11[[#This Row],[ENTITY]],Movement!$O$4:$O$2136,'Cash Balance'!$A$2)</f>
        <v>0</v>
      </c>
      <c r="J265" s="1318">
        <f>SUMIFS(Movement!$G$4:$G$2136,Movement!$M$4:$M$2136,"VND",Movement!$C$4:$C$2136,Table11[[#This Row],[ACCOUNT NUMBER]],Movement!$J$4:$J$2136,Table11[[#This Row],[ENTITY]],Movement!$O$4:$O$2136,'Cash Balance'!$A$2)</f>
        <v>0</v>
      </c>
      <c r="K265" s="1084">
        <f>Table11[[#This Row],[CASH IN - CREDIT (VND)]]-Table11[[#This Row],[CASH OUT - DEBIT (VND)]]</f>
        <v>0</v>
      </c>
      <c r="L265" s="1095">
        <f t="shared" si="26"/>
        <v>50000000</v>
      </c>
      <c r="M265" s="1184" t="e">
        <f>VLOOKUP(C265,'Cash balance (BS)'!A:D,4,)</f>
        <v>#N/A</v>
      </c>
      <c r="N265" s="1095" t="e">
        <f>Table11[[#This Row],[CLOSING BALANCE (VND)2]]-Table11[[#This Row],[CB_BS (VND)]]</f>
        <v>#N/A</v>
      </c>
      <c r="O265" s="1094">
        <v>0</v>
      </c>
      <c r="P265" s="1095">
        <f t="shared" si="27"/>
        <v>0</v>
      </c>
      <c r="Q265" s="817">
        <f>SUMIFS('Cash balance (Prior period)'!G:G,'Cash balance (Prior period)'!C:C,Table11[[#This Row],[ACCOUNT NUMBER]],'Cash balance (Prior period)'!E:E,Table11[[#This Row],[CURRENCY]])</f>
        <v>0</v>
      </c>
      <c r="R265" s="817">
        <f>SUMIFS(Movement!$F$4:$F$2136,Movement!$M$4:$M$2136,"USD",Movement!$C$4:$C$2136,Table11[[#This Row],[ACCOUNT NUMBER]],Movement!$J$4:$J$2136,Table11[[#This Row],[ENTITY]],Movement!$O$4:$O$2136,'Cash Balance'!$A$2)</f>
        <v>0</v>
      </c>
      <c r="S265" s="817">
        <f>SUMIFS(Movement!$G$4:$G$2136,Movement!$M$4:$M$2136,"USD",Movement!$C$4:$C$2136,Table11[[#This Row],[ACCOUNT NUMBER]],Movement!$J$4:$J$2136,Table11[[#This Row],[ENTITY]],Movement!$O$4:$O$2136,'Cash Balance'!$A$2)</f>
        <v>0</v>
      </c>
      <c r="T265" s="1087">
        <f t="shared" si="28"/>
        <v>0</v>
      </c>
      <c r="U265" s="817"/>
      <c r="V265" s="817">
        <f>Table11[[#This Row],[CLOSING BALANCE (USD)]]-Table11[[#This Row],[CB_BS (USD)]]</f>
        <v>0</v>
      </c>
      <c r="W265" s="1156" t="str">
        <f>VLOOKUP('Cash Balance'!$C265,Table2[#All],MATCH('Cash Balance'!W$3,Acc_Char!$B$1:$I$1,0),0)</f>
        <v>Subsidiaries</v>
      </c>
      <c r="X265" s="1156" t="str">
        <f>VLOOKUP(IFERROR(MID($Y265,1,FIND("-",$Y265)-2),$Y265),Table3[#All],2,0)</f>
        <v>VTB</v>
      </c>
      <c r="Y265" s="1156" t="str">
        <f>VLOOKUP($B265,Table4[#All],2,0)</f>
        <v>VIETINBANK - TIEN SON</v>
      </c>
      <c r="Z265" s="1151"/>
      <c r="AA265" s="49"/>
      <c r="AE265" s="818">
        <f>SUM(Table11[[#This Row],[CASH IN - CREDIT (VND)]],Table11[[#This Row],[CASH IN - CREDIT (USD)]])</f>
        <v>0</v>
      </c>
      <c r="AF265" s="818">
        <f>Table11[[#This Row],[CASH OUT - DEBIT (VND)]]+Table11[[#This Row],[CASH OUT - DEBIT (USD)]]</f>
        <v>0</v>
      </c>
      <c r="AH265" s="1158"/>
      <c r="AI265" s="49"/>
      <c r="AJ265" s="1158"/>
      <c r="AL265"/>
    </row>
    <row r="266" spans="1:38" ht="14.4">
      <c r="A266" s="1153" t="str">
        <f>VLOOKUP('Cash Balance'!$C266,Table2[#All],MATCH('Cash Balance'!A$3,Acc_Char!$B$1:$I$1,0),0)</f>
        <v>HOLDCO4I</v>
      </c>
      <c r="B266" s="1154" t="str">
        <f>VLOOKUP('Cash Balance'!$C266,Table2[#All],MATCH('Cash Balance'!B$3,Acc_Char!$B$1:$I$1,0),0)</f>
        <v>VIETINBANK - TIEN SON</v>
      </c>
      <c r="C266" s="1185" t="s">
        <v>836</v>
      </c>
      <c r="D266" s="1156" t="str">
        <f>VLOOKUP('Cash Balance'!$C266,Table2[#All],MATCH('Cash Balance'!D$3,Acc_Char!$B$1:$I$1,0),0)</f>
        <v>Saving Account</v>
      </c>
      <c r="E266" s="384" t="str">
        <f>VLOOKUP('Cash Balance'!$C266,Table2[#All],MATCH('Cash Balance'!E$3,Acc_Char!$B$1:$I$1,0),0)</f>
        <v>VND</v>
      </c>
      <c r="F266" s="1094" t="e">
        <f>VLOOKUP(C266,'Cash balance (BS)'!A:C,3,)</f>
        <v>#N/A</v>
      </c>
      <c r="G266" s="1157" t="e">
        <f t="shared" ref="G266:G286" si="29">F266-H266</f>
        <v>#N/A</v>
      </c>
      <c r="H266" s="1318">
        <f>SUMIFS('Cash balance (Prior period)'!F:F,'Cash balance (Prior period)'!C:C,Table11[[#This Row],[ACCOUNT NUMBER]],'Cash balance (Prior period)'!E:E,Table11[[#This Row],[CURRENCY]])</f>
        <v>50000000</v>
      </c>
      <c r="I266" s="1318">
        <f>SUMIFS(Movement!$F$4:$F$2136,Movement!$M$4:$M$2136,"VND",Movement!$C$4:$C$2136,Table11[[#This Row],[ACCOUNT NUMBER]],Movement!$J$4:$J$2136,Table11[[#This Row],[ENTITY]],Movement!$O$4:$O$2136,'Cash Balance'!$A$2)</f>
        <v>0</v>
      </c>
      <c r="J266" s="1318">
        <f>SUMIFS(Movement!$G$4:$G$2136,Movement!$M$4:$M$2136,"VND",Movement!$C$4:$C$2136,Table11[[#This Row],[ACCOUNT NUMBER]],Movement!$J$4:$J$2136,Table11[[#This Row],[ENTITY]],Movement!$O$4:$O$2136,'Cash Balance'!$A$2)</f>
        <v>0</v>
      </c>
      <c r="K266" s="1084">
        <f>Table11[[#This Row],[CASH IN - CREDIT (VND)]]-Table11[[#This Row],[CASH OUT - DEBIT (VND)]]</f>
        <v>0</v>
      </c>
      <c r="L266" s="1095">
        <f t="shared" si="26"/>
        <v>50000000</v>
      </c>
      <c r="M266" s="1184" t="e">
        <f>VLOOKUP(C266,'Cash balance (BS)'!A:D,4,)</f>
        <v>#N/A</v>
      </c>
      <c r="N266" s="1095" t="e">
        <f>Table11[[#This Row],[CLOSING BALANCE (VND)2]]-Table11[[#This Row],[CB_BS (VND)]]</f>
        <v>#N/A</v>
      </c>
      <c r="O266" s="1094">
        <v>0</v>
      </c>
      <c r="P266" s="1095">
        <f t="shared" si="27"/>
        <v>0</v>
      </c>
      <c r="Q266" s="817">
        <f>SUMIFS('Cash balance (Prior period)'!G:G,'Cash balance (Prior period)'!C:C,Table11[[#This Row],[ACCOUNT NUMBER]],'Cash balance (Prior period)'!E:E,Table11[[#This Row],[CURRENCY]])</f>
        <v>0</v>
      </c>
      <c r="R266" s="817">
        <f>SUMIFS(Movement!$F$4:$F$2136,Movement!$M$4:$M$2136,"USD",Movement!$C$4:$C$2136,Table11[[#This Row],[ACCOUNT NUMBER]],Movement!$J$4:$J$2136,Table11[[#This Row],[ENTITY]],Movement!$O$4:$O$2136,'Cash Balance'!$A$2)</f>
        <v>0</v>
      </c>
      <c r="S266" s="817">
        <f>SUMIFS(Movement!$G$4:$G$2136,Movement!$M$4:$M$2136,"USD",Movement!$C$4:$C$2136,Table11[[#This Row],[ACCOUNT NUMBER]],Movement!$J$4:$J$2136,Table11[[#This Row],[ENTITY]],Movement!$O$4:$O$2136,'Cash Balance'!$A$2)</f>
        <v>0</v>
      </c>
      <c r="T266" s="1087">
        <f t="shared" si="28"/>
        <v>0</v>
      </c>
      <c r="U266" s="817"/>
      <c r="V266" s="817">
        <f>Table11[[#This Row],[CLOSING BALANCE (USD)]]-Table11[[#This Row],[CB_BS (USD)]]</f>
        <v>0</v>
      </c>
      <c r="W266" s="1156" t="str">
        <f>VLOOKUP('Cash Balance'!$C266,Table2[#All],MATCH('Cash Balance'!W$3,Acc_Char!$B$1:$I$1,0),0)</f>
        <v>Subsidiaries</v>
      </c>
      <c r="X266" s="1156" t="str">
        <f>VLOOKUP(IFERROR(MID($Y266,1,FIND("-",$Y266)-2),$Y266),Table3[#All],2,0)</f>
        <v>VTB</v>
      </c>
      <c r="Y266" s="1156" t="str">
        <f>VLOOKUP($B266,Table4[#All],2,0)</f>
        <v>VIETINBANK - TIEN SON</v>
      </c>
      <c r="Z266" s="1151"/>
      <c r="AA266" s="49"/>
      <c r="AE266" s="818">
        <f>SUM(Table11[[#This Row],[CASH IN - CREDIT (VND)]],Table11[[#This Row],[CASH IN - CREDIT (USD)]])</f>
        <v>0</v>
      </c>
      <c r="AF266" s="818">
        <f>Table11[[#This Row],[CASH OUT - DEBIT (VND)]]+Table11[[#This Row],[CASH OUT - DEBIT (USD)]]</f>
        <v>0</v>
      </c>
      <c r="AH266" s="1158"/>
      <c r="AI266" s="49"/>
      <c r="AJ266" s="1158"/>
      <c r="AL266"/>
    </row>
    <row r="267" spans="1:38" ht="14.4">
      <c r="A267" s="1153" t="str">
        <f>VLOOKUP('Cash Balance'!$C267,Table2[#All],MATCH('Cash Balance'!A$3,Acc_Char!$B$1:$I$1,0),0)</f>
        <v>HOLDCO4G</v>
      </c>
      <c r="B267" s="1154" t="str">
        <f>VLOOKUP('Cash Balance'!$C267,Table2[#All],MATCH('Cash Balance'!B$3,Acc_Char!$B$1:$I$1,0),0)</f>
        <v>VIETINBANK - TIEN SON</v>
      </c>
      <c r="C267" s="1185" t="s">
        <v>837</v>
      </c>
      <c r="D267" s="1156" t="str">
        <f>VLOOKUP('Cash Balance'!$C267,Table2[#All],MATCH('Cash Balance'!D$3,Acc_Char!$B$1:$I$1,0),0)</f>
        <v>Saving Account</v>
      </c>
      <c r="E267" s="384" t="str">
        <f>VLOOKUP('Cash Balance'!$C267,Table2[#All],MATCH('Cash Balance'!E$3,Acc_Char!$B$1:$I$1,0),0)</f>
        <v>VND</v>
      </c>
      <c r="F267" s="1094" t="e">
        <f>VLOOKUP(C267,'Cash balance (BS)'!A:C,3,)</f>
        <v>#N/A</v>
      </c>
      <c r="G267" s="1157" t="e">
        <f t="shared" si="29"/>
        <v>#N/A</v>
      </c>
      <c r="H267" s="1318">
        <f>SUMIFS('Cash balance (Prior period)'!F:F,'Cash balance (Prior period)'!C:C,Table11[[#This Row],[ACCOUNT NUMBER]],'Cash balance (Prior period)'!E:E,Table11[[#This Row],[CURRENCY]])</f>
        <v>50000000</v>
      </c>
      <c r="I267" s="1318">
        <f>SUMIFS(Movement!$F$4:$F$2136,Movement!$M$4:$M$2136,"VND",Movement!$C$4:$C$2136,Table11[[#This Row],[ACCOUNT NUMBER]],Movement!$J$4:$J$2136,Table11[[#This Row],[ENTITY]],Movement!$O$4:$O$2136,'Cash Balance'!$A$2)</f>
        <v>0</v>
      </c>
      <c r="J267" s="1318">
        <f>SUMIFS(Movement!$G$4:$G$2136,Movement!$M$4:$M$2136,"VND",Movement!$C$4:$C$2136,Table11[[#This Row],[ACCOUNT NUMBER]],Movement!$J$4:$J$2136,Table11[[#This Row],[ENTITY]],Movement!$O$4:$O$2136,'Cash Balance'!$A$2)</f>
        <v>0</v>
      </c>
      <c r="K267" s="1084">
        <f>Table11[[#This Row],[CASH IN - CREDIT (VND)]]-Table11[[#This Row],[CASH OUT - DEBIT (VND)]]</f>
        <v>0</v>
      </c>
      <c r="L267" s="1095">
        <f t="shared" si="26"/>
        <v>50000000</v>
      </c>
      <c r="M267" s="1184" t="e">
        <f>VLOOKUP(C267,'Cash balance (BS)'!A:D,4,)</f>
        <v>#N/A</v>
      </c>
      <c r="N267" s="1095" t="e">
        <f>Table11[[#This Row],[CLOSING BALANCE (VND)2]]-Table11[[#This Row],[CB_BS (VND)]]</f>
        <v>#N/A</v>
      </c>
      <c r="O267" s="1094">
        <v>0</v>
      </c>
      <c r="P267" s="1095">
        <f t="shared" si="27"/>
        <v>0</v>
      </c>
      <c r="Q267" s="817">
        <f>SUMIFS('Cash balance (Prior period)'!G:G,'Cash balance (Prior period)'!C:C,Table11[[#This Row],[ACCOUNT NUMBER]],'Cash balance (Prior period)'!E:E,Table11[[#This Row],[CURRENCY]])</f>
        <v>0</v>
      </c>
      <c r="R267" s="817">
        <f>SUMIFS(Movement!$F$4:$F$2136,Movement!$M$4:$M$2136,"USD",Movement!$C$4:$C$2136,Table11[[#This Row],[ACCOUNT NUMBER]],Movement!$J$4:$J$2136,Table11[[#This Row],[ENTITY]],Movement!$O$4:$O$2136,'Cash Balance'!$A$2)</f>
        <v>0</v>
      </c>
      <c r="S267" s="817">
        <f>SUMIFS(Movement!$G$4:$G$2136,Movement!$M$4:$M$2136,"USD",Movement!$C$4:$C$2136,Table11[[#This Row],[ACCOUNT NUMBER]],Movement!$J$4:$J$2136,Table11[[#This Row],[ENTITY]],Movement!$O$4:$O$2136,'Cash Balance'!$A$2)</f>
        <v>0</v>
      </c>
      <c r="T267" s="1087">
        <f t="shared" si="28"/>
        <v>0</v>
      </c>
      <c r="U267" s="817"/>
      <c r="V267" s="817">
        <f>Table11[[#This Row],[CLOSING BALANCE (USD)]]-Table11[[#This Row],[CB_BS (USD)]]</f>
        <v>0</v>
      </c>
      <c r="W267" s="1156" t="str">
        <f>VLOOKUP('Cash Balance'!$C267,Table2[#All],MATCH('Cash Balance'!W$3,Acc_Char!$B$1:$I$1,0),0)</f>
        <v>Subsidiaries</v>
      </c>
      <c r="X267" s="1156" t="str">
        <f>VLOOKUP(IFERROR(MID($Y267,1,FIND("-",$Y267)-2),$Y267),Table3[#All],2,0)</f>
        <v>VTB</v>
      </c>
      <c r="Y267" s="1156" t="str">
        <f>VLOOKUP($B267,Table4[#All],2,0)</f>
        <v>VIETINBANK - TIEN SON</v>
      </c>
      <c r="Z267" s="1151"/>
      <c r="AA267" s="49"/>
      <c r="AE267" s="818">
        <f>SUM(Table11[[#This Row],[CASH IN - CREDIT (VND)]],Table11[[#This Row],[CASH IN - CREDIT (USD)]])</f>
        <v>0</v>
      </c>
      <c r="AF267" s="818">
        <f>Table11[[#This Row],[CASH OUT - DEBIT (VND)]]+Table11[[#This Row],[CASH OUT - DEBIT (USD)]]</f>
        <v>0</v>
      </c>
      <c r="AH267" s="1158"/>
      <c r="AI267" s="49"/>
      <c r="AJ267" s="1158"/>
      <c r="AL267"/>
    </row>
    <row r="268" spans="1:38" ht="14.4">
      <c r="A268" s="1153" t="str">
        <f>VLOOKUP('Cash Balance'!$C268,Table2[#All],MATCH('Cash Balance'!A$3,Acc_Char!$B$1:$I$1,0),0)</f>
        <v>HOLDCO4Q</v>
      </c>
      <c r="B268" s="1154" t="str">
        <f>VLOOKUP('Cash Balance'!$C268,Table2[#All],MATCH('Cash Balance'!B$3,Acc_Char!$B$1:$I$1,0),0)</f>
        <v>VIETINBANK - TIEN SON</v>
      </c>
      <c r="C268" s="1185" t="s">
        <v>838</v>
      </c>
      <c r="D268" s="1156" t="str">
        <f>VLOOKUP('Cash Balance'!$C268,Table2[#All],MATCH('Cash Balance'!D$3,Acc_Char!$B$1:$I$1,0),0)</f>
        <v>Saving Account</v>
      </c>
      <c r="E268" s="384" t="str">
        <f>VLOOKUP('Cash Balance'!$C268,Table2[#All],MATCH('Cash Balance'!E$3,Acc_Char!$B$1:$I$1,0),0)</f>
        <v>VND</v>
      </c>
      <c r="F268" s="1094" t="e">
        <f>VLOOKUP(C268,'Cash balance (BS)'!A:C,3,)</f>
        <v>#N/A</v>
      </c>
      <c r="G268" s="1157" t="e">
        <f t="shared" si="29"/>
        <v>#N/A</v>
      </c>
      <c r="H268" s="1318">
        <f>SUMIFS('Cash balance (Prior period)'!F:F,'Cash balance (Prior period)'!C:C,Table11[[#This Row],[ACCOUNT NUMBER]],'Cash balance (Prior period)'!E:E,Table11[[#This Row],[CURRENCY]])</f>
        <v>80000000</v>
      </c>
      <c r="I268" s="1318">
        <f>SUMIFS(Movement!$F$4:$F$2136,Movement!$M$4:$M$2136,"VND",Movement!$C$4:$C$2136,Table11[[#This Row],[ACCOUNT NUMBER]],Movement!$J$4:$J$2136,Table11[[#This Row],[ENTITY]],Movement!$O$4:$O$2136,'Cash Balance'!$A$2)</f>
        <v>0</v>
      </c>
      <c r="J268" s="1318">
        <f>SUMIFS(Movement!$G$4:$G$2136,Movement!$M$4:$M$2136,"VND",Movement!$C$4:$C$2136,Table11[[#This Row],[ACCOUNT NUMBER]],Movement!$J$4:$J$2136,Table11[[#This Row],[ENTITY]],Movement!$O$4:$O$2136,'Cash Balance'!$A$2)</f>
        <v>0</v>
      </c>
      <c r="K268" s="1084">
        <f>Table11[[#This Row],[CASH IN - CREDIT (VND)]]-Table11[[#This Row],[CASH OUT - DEBIT (VND)]]</f>
        <v>0</v>
      </c>
      <c r="L268" s="1095">
        <f t="shared" si="26"/>
        <v>80000000</v>
      </c>
      <c r="M268" s="1184" t="e">
        <f>VLOOKUP(C268,'Cash balance (BS)'!A:D,4,)</f>
        <v>#N/A</v>
      </c>
      <c r="N268" s="1095" t="e">
        <f>Table11[[#This Row],[CLOSING BALANCE (VND)2]]-Table11[[#This Row],[CB_BS (VND)]]</f>
        <v>#N/A</v>
      </c>
      <c r="O268" s="1094">
        <v>0</v>
      </c>
      <c r="P268" s="1095">
        <f t="shared" si="27"/>
        <v>0</v>
      </c>
      <c r="Q268" s="817">
        <f>SUMIFS('Cash balance (Prior period)'!G:G,'Cash balance (Prior period)'!C:C,Table11[[#This Row],[ACCOUNT NUMBER]],'Cash balance (Prior period)'!E:E,Table11[[#This Row],[CURRENCY]])</f>
        <v>0</v>
      </c>
      <c r="R268" s="817">
        <f>SUMIFS(Movement!$F$4:$F$2136,Movement!$M$4:$M$2136,"USD",Movement!$C$4:$C$2136,Table11[[#This Row],[ACCOUNT NUMBER]],Movement!$J$4:$J$2136,Table11[[#This Row],[ENTITY]],Movement!$O$4:$O$2136,'Cash Balance'!$A$2)</f>
        <v>0</v>
      </c>
      <c r="S268" s="817">
        <f>SUMIFS(Movement!$G$4:$G$2136,Movement!$M$4:$M$2136,"USD",Movement!$C$4:$C$2136,Table11[[#This Row],[ACCOUNT NUMBER]],Movement!$J$4:$J$2136,Table11[[#This Row],[ENTITY]],Movement!$O$4:$O$2136,'Cash Balance'!$A$2)</f>
        <v>0</v>
      </c>
      <c r="T268" s="1087">
        <f t="shared" si="28"/>
        <v>0</v>
      </c>
      <c r="U268" s="817"/>
      <c r="V268" s="817">
        <f>Table11[[#This Row],[CLOSING BALANCE (USD)]]-Table11[[#This Row],[CB_BS (USD)]]</f>
        <v>0</v>
      </c>
      <c r="W268" s="1156" t="str">
        <f>VLOOKUP('Cash Balance'!$C268,Table2[#All],MATCH('Cash Balance'!W$3,Acc_Char!$B$1:$I$1,0),0)</f>
        <v>Subsidiaries</v>
      </c>
      <c r="X268" s="1156" t="str">
        <f>VLOOKUP(IFERROR(MID($Y268,1,FIND("-",$Y268)-2),$Y268),Table3[#All],2,0)</f>
        <v>VTB</v>
      </c>
      <c r="Y268" s="1156" t="str">
        <f>VLOOKUP($B268,Table4[#All],2,0)</f>
        <v>VIETINBANK - TIEN SON</v>
      </c>
      <c r="Z268" s="1151"/>
      <c r="AA268" s="49"/>
      <c r="AE268" s="818">
        <f>SUM(Table11[[#This Row],[CASH IN - CREDIT (VND)]],Table11[[#This Row],[CASH IN - CREDIT (USD)]])</f>
        <v>0</v>
      </c>
      <c r="AF268" s="818">
        <f>Table11[[#This Row],[CASH OUT - DEBIT (VND)]]+Table11[[#This Row],[CASH OUT - DEBIT (USD)]]</f>
        <v>0</v>
      </c>
      <c r="AH268" s="1158"/>
      <c r="AI268" s="49"/>
      <c r="AJ268" s="1158"/>
      <c r="AL268"/>
    </row>
    <row r="269" spans="1:38" ht="14.4">
      <c r="A269" s="1153" t="str">
        <f>VLOOKUP('Cash Balance'!$C269,Table2[#All],MATCH('Cash Balance'!A$3,Acc_Char!$B$1:$I$1,0),0)</f>
        <v>HOLDCO4R</v>
      </c>
      <c r="B269" s="1154" t="str">
        <f>VLOOKUP('Cash Balance'!$C269,Table2[#All],MATCH('Cash Balance'!B$3,Acc_Char!$B$1:$I$1,0),0)</f>
        <v>VIETINBANK - TIEN SON</v>
      </c>
      <c r="C269" s="1185" t="s">
        <v>839</v>
      </c>
      <c r="D269" s="1156" t="str">
        <f>VLOOKUP('Cash Balance'!$C269,Table2[#All],MATCH('Cash Balance'!D$3,Acc_Char!$B$1:$I$1,0),0)</f>
        <v>Saving Account</v>
      </c>
      <c r="E269" s="384" t="str">
        <f>VLOOKUP('Cash Balance'!$C269,Table2[#All],MATCH('Cash Balance'!E$3,Acc_Char!$B$1:$I$1,0),0)</f>
        <v>VND</v>
      </c>
      <c r="F269" s="1094" t="e">
        <f>VLOOKUP(C269,'Cash balance (BS)'!A:C,3,)</f>
        <v>#N/A</v>
      </c>
      <c r="G269" s="1157" t="e">
        <f t="shared" si="29"/>
        <v>#N/A</v>
      </c>
      <c r="H269" s="1318">
        <f>SUMIFS('Cash balance (Prior period)'!F:F,'Cash balance (Prior period)'!C:C,Table11[[#This Row],[ACCOUNT NUMBER]],'Cash balance (Prior period)'!E:E,Table11[[#This Row],[CURRENCY]])</f>
        <v>80000000</v>
      </c>
      <c r="I269" s="1318">
        <f>SUMIFS(Movement!$F$4:$F$2136,Movement!$M$4:$M$2136,"VND",Movement!$C$4:$C$2136,Table11[[#This Row],[ACCOUNT NUMBER]],Movement!$J$4:$J$2136,Table11[[#This Row],[ENTITY]],Movement!$O$4:$O$2136,'Cash Balance'!$A$2)</f>
        <v>0</v>
      </c>
      <c r="J269" s="1318">
        <f>SUMIFS(Movement!$G$4:$G$2136,Movement!$M$4:$M$2136,"VND",Movement!$C$4:$C$2136,Table11[[#This Row],[ACCOUNT NUMBER]],Movement!$J$4:$J$2136,Table11[[#This Row],[ENTITY]],Movement!$O$4:$O$2136,'Cash Balance'!$A$2)</f>
        <v>0</v>
      </c>
      <c r="K269" s="1084">
        <f>Table11[[#This Row],[CASH IN - CREDIT (VND)]]-Table11[[#This Row],[CASH OUT - DEBIT (VND)]]</f>
        <v>0</v>
      </c>
      <c r="L269" s="1095">
        <f t="shared" si="26"/>
        <v>80000000</v>
      </c>
      <c r="M269" s="1184" t="e">
        <f>VLOOKUP(C269,'Cash balance (BS)'!A:D,4,)</f>
        <v>#N/A</v>
      </c>
      <c r="N269" s="1095" t="e">
        <f>Table11[[#This Row],[CLOSING BALANCE (VND)2]]-Table11[[#This Row],[CB_BS (VND)]]</f>
        <v>#N/A</v>
      </c>
      <c r="O269" s="1094">
        <v>0</v>
      </c>
      <c r="P269" s="1095">
        <f t="shared" si="27"/>
        <v>0</v>
      </c>
      <c r="Q269" s="817">
        <f>SUMIFS('Cash balance (Prior period)'!G:G,'Cash balance (Prior period)'!C:C,Table11[[#This Row],[ACCOUNT NUMBER]],'Cash balance (Prior period)'!E:E,Table11[[#This Row],[CURRENCY]])</f>
        <v>0</v>
      </c>
      <c r="R269" s="817">
        <f>SUMIFS(Movement!$F$4:$F$2136,Movement!$M$4:$M$2136,"USD",Movement!$C$4:$C$2136,Table11[[#This Row],[ACCOUNT NUMBER]],Movement!$J$4:$J$2136,Table11[[#This Row],[ENTITY]],Movement!$O$4:$O$2136,'Cash Balance'!$A$2)</f>
        <v>0</v>
      </c>
      <c r="S269" s="817">
        <f>SUMIFS(Movement!$G$4:$G$2136,Movement!$M$4:$M$2136,"USD",Movement!$C$4:$C$2136,Table11[[#This Row],[ACCOUNT NUMBER]],Movement!$J$4:$J$2136,Table11[[#This Row],[ENTITY]],Movement!$O$4:$O$2136,'Cash Balance'!$A$2)</f>
        <v>0</v>
      </c>
      <c r="T269" s="1087">
        <f t="shared" si="28"/>
        <v>0</v>
      </c>
      <c r="U269" s="817"/>
      <c r="V269" s="817">
        <f>Table11[[#This Row],[CLOSING BALANCE (USD)]]-Table11[[#This Row],[CB_BS (USD)]]</f>
        <v>0</v>
      </c>
      <c r="W269" s="1156" t="str">
        <f>VLOOKUP('Cash Balance'!$C269,Table2[#All],MATCH('Cash Balance'!W$3,Acc_Char!$B$1:$I$1,0),0)</f>
        <v>Subsidiaries</v>
      </c>
      <c r="X269" s="1156" t="str">
        <f>VLOOKUP(IFERROR(MID($Y269,1,FIND("-",$Y269)-2),$Y269),Table3[#All],2,0)</f>
        <v>VTB</v>
      </c>
      <c r="Y269" s="1156" t="str">
        <f>VLOOKUP($B269,Table4[#All],2,0)</f>
        <v>VIETINBANK - TIEN SON</v>
      </c>
      <c r="Z269" s="1151"/>
      <c r="AA269" s="49"/>
      <c r="AE269" s="818">
        <f>SUM(Table11[[#This Row],[CASH IN - CREDIT (VND)]],Table11[[#This Row],[CASH IN - CREDIT (USD)]])</f>
        <v>0</v>
      </c>
      <c r="AF269" s="818">
        <f>Table11[[#This Row],[CASH OUT - DEBIT (VND)]]+Table11[[#This Row],[CASH OUT - DEBIT (USD)]]</f>
        <v>0</v>
      </c>
      <c r="AH269" s="1158"/>
      <c r="AI269" s="49"/>
      <c r="AJ269" s="1158"/>
      <c r="AL269"/>
    </row>
    <row r="270" spans="1:38" ht="14.4">
      <c r="A270" s="1153" t="str">
        <f>VLOOKUP('Cash Balance'!$C270,Table2[#All],MATCH('Cash Balance'!A$3,Acc_Char!$B$1:$I$1,0),0)</f>
        <v>HOLDCO4S</v>
      </c>
      <c r="B270" s="1154" t="str">
        <f>VLOOKUP('Cash Balance'!$C270,Table2[#All],MATCH('Cash Balance'!B$3,Acc_Char!$B$1:$I$1,0),0)</f>
        <v>VIETINBANK - TIEN SON</v>
      </c>
      <c r="C270" s="1185" t="s">
        <v>840</v>
      </c>
      <c r="D270" s="1156" t="str">
        <f>VLOOKUP('Cash Balance'!$C270,Table2[#All],MATCH('Cash Balance'!D$3,Acc_Char!$B$1:$I$1,0),0)</f>
        <v>Saving Account</v>
      </c>
      <c r="E270" s="384" t="str">
        <f>VLOOKUP('Cash Balance'!$C270,Table2[#All],MATCH('Cash Balance'!E$3,Acc_Char!$B$1:$I$1,0),0)</f>
        <v>VND</v>
      </c>
      <c r="F270" s="1094" t="e">
        <f>VLOOKUP(C270,'Cash balance (BS)'!A:C,3,)</f>
        <v>#N/A</v>
      </c>
      <c r="G270" s="1157" t="e">
        <f t="shared" si="29"/>
        <v>#N/A</v>
      </c>
      <c r="H270" s="1318">
        <f>SUMIFS('Cash balance (Prior period)'!F:F,'Cash balance (Prior period)'!C:C,Table11[[#This Row],[ACCOUNT NUMBER]],'Cash balance (Prior period)'!E:E,Table11[[#This Row],[CURRENCY]])</f>
        <v>80000000</v>
      </c>
      <c r="I270" s="1318">
        <f>SUMIFS(Movement!$F$4:$F$2136,Movement!$M$4:$M$2136,"VND",Movement!$C$4:$C$2136,Table11[[#This Row],[ACCOUNT NUMBER]],Movement!$J$4:$J$2136,Table11[[#This Row],[ENTITY]],Movement!$O$4:$O$2136,'Cash Balance'!$A$2)</f>
        <v>0</v>
      </c>
      <c r="J270" s="1318">
        <f>SUMIFS(Movement!$G$4:$G$2136,Movement!$M$4:$M$2136,"VND",Movement!$C$4:$C$2136,Table11[[#This Row],[ACCOUNT NUMBER]],Movement!$J$4:$J$2136,Table11[[#This Row],[ENTITY]],Movement!$O$4:$O$2136,'Cash Balance'!$A$2)</f>
        <v>0</v>
      </c>
      <c r="K270" s="1084">
        <f>Table11[[#This Row],[CASH IN - CREDIT (VND)]]-Table11[[#This Row],[CASH OUT - DEBIT (VND)]]</f>
        <v>0</v>
      </c>
      <c r="L270" s="1095">
        <f t="shared" si="26"/>
        <v>80000000</v>
      </c>
      <c r="M270" s="1184" t="e">
        <f>VLOOKUP(C270,'Cash balance (BS)'!A:D,4,)</f>
        <v>#N/A</v>
      </c>
      <c r="N270" s="1095" t="e">
        <f>Table11[[#This Row],[CLOSING BALANCE (VND)2]]-Table11[[#This Row],[CB_BS (VND)]]</f>
        <v>#N/A</v>
      </c>
      <c r="O270" s="1094">
        <v>0</v>
      </c>
      <c r="P270" s="1095">
        <f t="shared" si="27"/>
        <v>0</v>
      </c>
      <c r="Q270" s="817">
        <f>SUMIFS('Cash balance (Prior period)'!G:G,'Cash balance (Prior period)'!C:C,Table11[[#This Row],[ACCOUNT NUMBER]],'Cash balance (Prior period)'!E:E,Table11[[#This Row],[CURRENCY]])</f>
        <v>0</v>
      </c>
      <c r="R270" s="817">
        <f>SUMIFS(Movement!$F$4:$F$2136,Movement!$M$4:$M$2136,"USD",Movement!$C$4:$C$2136,Table11[[#This Row],[ACCOUNT NUMBER]],Movement!$J$4:$J$2136,Table11[[#This Row],[ENTITY]],Movement!$O$4:$O$2136,'Cash Balance'!$A$2)</f>
        <v>0</v>
      </c>
      <c r="S270" s="817">
        <f>SUMIFS(Movement!$G$4:$G$2136,Movement!$M$4:$M$2136,"USD",Movement!$C$4:$C$2136,Table11[[#This Row],[ACCOUNT NUMBER]],Movement!$J$4:$J$2136,Table11[[#This Row],[ENTITY]],Movement!$O$4:$O$2136,'Cash Balance'!$A$2)</f>
        <v>0</v>
      </c>
      <c r="T270" s="1087">
        <f t="shared" si="28"/>
        <v>0</v>
      </c>
      <c r="U270" s="817"/>
      <c r="V270" s="817">
        <f>Table11[[#This Row],[CLOSING BALANCE (USD)]]-Table11[[#This Row],[CB_BS (USD)]]</f>
        <v>0</v>
      </c>
      <c r="W270" s="1156" t="str">
        <f>VLOOKUP('Cash Balance'!$C270,Table2[#All],MATCH('Cash Balance'!W$3,Acc_Char!$B$1:$I$1,0),0)</f>
        <v>Subsidiaries</v>
      </c>
      <c r="X270" s="1156" t="str">
        <f>VLOOKUP(IFERROR(MID($Y270,1,FIND("-",$Y270)-2),$Y270),Table3[#All],2,0)</f>
        <v>VTB</v>
      </c>
      <c r="Y270" s="1156" t="str">
        <f>VLOOKUP($B270,Table4[#All],2,0)</f>
        <v>VIETINBANK - TIEN SON</v>
      </c>
      <c r="Z270" s="1151"/>
      <c r="AA270" s="49"/>
      <c r="AE270" s="818">
        <f>SUM(Table11[[#This Row],[CASH IN - CREDIT (VND)]],Table11[[#This Row],[CASH IN - CREDIT (USD)]])</f>
        <v>0</v>
      </c>
      <c r="AF270" s="818">
        <f>Table11[[#This Row],[CASH OUT - DEBIT (VND)]]+Table11[[#This Row],[CASH OUT - DEBIT (USD)]]</f>
        <v>0</v>
      </c>
      <c r="AH270" s="1158"/>
      <c r="AI270" s="49"/>
      <c r="AJ270" s="1158"/>
      <c r="AL270"/>
    </row>
    <row r="271" spans="1:38" ht="14.4">
      <c r="A271" s="1153" t="str">
        <f>VLOOKUP('Cash Balance'!$C271,Table2[#All],MATCH('Cash Balance'!A$3,Acc_Char!$B$1:$I$1,0),0)</f>
        <v>HOLDCO4T</v>
      </c>
      <c r="B271" s="1154" t="str">
        <f>VLOOKUP('Cash Balance'!$C271,Table2[#All],MATCH('Cash Balance'!B$3,Acc_Char!$B$1:$I$1,0),0)</f>
        <v>VIETINBANK - TIEN SON</v>
      </c>
      <c r="C271" s="1185" t="s">
        <v>841</v>
      </c>
      <c r="D271" s="1156" t="str">
        <f>VLOOKUP('Cash Balance'!$C271,Table2[#All],MATCH('Cash Balance'!D$3,Acc_Char!$B$1:$I$1,0),0)</f>
        <v>Saving Account</v>
      </c>
      <c r="E271" s="384" t="str">
        <f>VLOOKUP('Cash Balance'!$C271,Table2[#All],MATCH('Cash Balance'!E$3,Acc_Char!$B$1:$I$1,0),0)</f>
        <v>VND</v>
      </c>
      <c r="F271" s="1094" t="e">
        <f>VLOOKUP(C271,'Cash balance (BS)'!A:C,3,)</f>
        <v>#N/A</v>
      </c>
      <c r="G271" s="1157" t="e">
        <f t="shared" si="29"/>
        <v>#N/A</v>
      </c>
      <c r="H271" s="1318">
        <f>SUMIFS('Cash balance (Prior period)'!F:F,'Cash balance (Prior period)'!C:C,Table11[[#This Row],[ACCOUNT NUMBER]],'Cash balance (Prior period)'!E:E,Table11[[#This Row],[CURRENCY]])</f>
        <v>80000000</v>
      </c>
      <c r="I271" s="1318">
        <f>SUMIFS(Movement!$F$4:$F$2136,Movement!$M$4:$M$2136,"VND",Movement!$C$4:$C$2136,Table11[[#This Row],[ACCOUNT NUMBER]],Movement!$J$4:$J$2136,Table11[[#This Row],[ENTITY]],Movement!$O$4:$O$2136,'Cash Balance'!$A$2)</f>
        <v>0</v>
      </c>
      <c r="J271" s="1318">
        <f>SUMIFS(Movement!$G$4:$G$2136,Movement!$M$4:$M$2136,"VND",Movement!$C$4:$C$2136,Table11[[#This Row],[ACCOUNT NUMBER]],Movement!$J$4:$J$2136,Table11[[#This Row],[ENTITY]],Movement!$O$4:$O$2136,'Cash Balance'!$A$2)</f>
        <v>0</v>
      </c>
      <c r="K271" s="1084">
        <f>Table11[[#This Row],[CASH IN - CREDIT (VND)]]-Table11[[#This Row],[CASH OUT - DEBIT (VND)]]</f>
        <v>0</v>
      </c>
      <c r="L271" s="1095">
        <f t="shared" si="26"/>
        <v>80000000</v>
      </c>
      <c r="M271" s="1184" t="e">
        <f>VLOOKUP(C271,'Cash balance (BS)'!A:D,4,)</f>
        <v>#N/A</v>
      </c>
      <c r="N271" s="1095" t="e">
        <f>Table11[[#This Row],[CLOSING BALANCE (VND)2]]-Table11[[#This Row],[CB_BS (VND)]]</f>
        <v>#N/A</v>
      </c>
      <c r="O271" s="1094">
        <v>0</v>
      </c>
      <c r="P271" s="1095">
        <f t="shared" si="27"/>
        <v>0</v>
      </c>
      <c r="Q271" s="817">
        <f>SUMIFS('Cash balance (Prior period)'!G:G,'Cash balance (Prior period)'!C:C,Table11[[#This Row],[ACCOUNT NUMBER]],'Cash balance (Prior period)'!E:E,Table11[[#This Row],[CURRENCY]])</f>
        <v>0</v>
      </c>
      <c r="R271" s="817">
        <f>SUMIFS(Movement!$F$4:$F$2136,Movement!$M$4:$M$2136,"USD",Movement!$C$4:$C$2136,Table11[[#This Row],[ACCOUNT NUMBER]],Movement!$J$4:$J$2136,Table11[[#This Row],[ENTITY]],Movement!$O$4:$O$2136,'Cash Balance'!$A$2)</f>
        <v>0</v>
      </c>
      <c r="S271" s="817">
        <f>SUMIFS(Movement!$G$4:$G$2136,Movement!$M$4:$M$2136,"USD",Movement!$C$4:$C$2136,Table11[[#This Row],[ACCOUNT NUMBER]],Movement!$J$4:$J$2136,Table11[[#This Row],[ENTITY]],Movement!$O$4:$O$2136,'Cash Balance'!$A$2)</f>
        <v>0</v>
      </c>
      <c r="T271" s="1087">
        <f t="shared" si="28"/>
        <v>0</v>
      </c>
      <c r="U271" s="817"/>
      <c r="V271" s="817">
        <f>Table11[[#This Row],[CLOSING BALANCE (USD)]]-Table11[[#This Row],[CB_BS (USD)]]</f>
        <v>0</v>
      </c>
      <c r="W271" s="1156" t="str">
        <f>VLOOKUP('Cash Balance'!$C271,Table2[#All],MATCH('Cash Balance'!W$3,Acc_Char!$B$1:$I$1,0),0)</f>
        <v>Subsidiaries</v>
      </c>
      <c r="X271" s="1156" t="str">
        <f>VLOOKUP(IFERROR(MID($Y271,1,FIND("-",$Y271)-2),$Y271),Table3[#All],2,0)</f>
        <v>VTB</v>
      </c>
      <c r="Y271" s="1156" t="str">
        <f>VLOOKUP($B271,Table4[#All],2,0)</f>
        <v>VIETINBANK - TIEN SON</v>
      </c>
      <c r="Z271" s="1151"/>
      <c r="AA271" s="49"/>
      <c r="AE271" s="818">
        <f>SUM(Table11[[#This Row],[CASH IN - CREDIT (VND)]],Table11[[#This Row],[CASH IN - CREDIT (USD)]])</f>
        <v>0</v>
      </c>
      <c r="AF271" s="818">
        <f>Table11[[#This Row],[CASH OUT - DEBIT (VND)]]+Table11[[#This Row],[CASH OUT - DEBIT (USD)]]</f>
        <v>0</v>
      </c>
      <c r="AH271" s="1158"/>
      <c r="AI271" s="49"/>
      <c r="AJ271" s="1158"/>
      <c r="AL271"/>
    </row>
    <row r="272" spans="1:38" ht="14.4">
      <c r="A272" s="1153" t="str">
        <f>VLOOKUP('Cash Balance'!$C272,Table2[#All],MATCH('Cash Balance'!A$3,Acc_Char!$B$1:$I$1,0),0)</f>
        <v>HOLDCO4U</v>
      </c>
      <c r="B272" s="1154" t="str">
        <f>VLOOKUP('Cash Balance'!$C272,Table2[#All],MATCH('Cash Balance'!B$3,Acc_Char!$B$1:$I$1,0),0)</f>
        <v>VIETINBANK - TIEN SON</v>
      </c>
      <c r="C272" s="1185" t="s">
        <v>842</v>
      </c>
      <c r="D272" s="1156" t="str">
        <f>VLOOKUP('Cash Balance'!$C272,Table2[#All],MATCH('Cash Balance'!D$3,Acc_Char!$B$1:$I$1,0),0)</f>
        <v>Saving Account</v>
      </c>
      <c r="E272" s="384" t="str">
        <f>VLOOKUP('Cash Balance'!$C272,Table2[#All],MATCH('Cash Balance'!E$3,Acc_Char!$B$1:$I$1,0),0)</f>
        <v>VND</v>
      </c>
      <c r="F272" s="1094" t="e">
        <f>VLOOKUP(C272,'Cash balance (BS)'!A:C,3,)</f>
        <v>#N/A</v>
      </c>
      <c r="G272" s="1157" t="e">
        <f t="shared" si="29"/>
        <v>#N/A</v>
      </c>
      <c r="H272" s="1318">
        <f>SUMIFS('Cash balance (Prior period)'!F:F,'Cash balance (Prior period)'!C:C,Table11[[#This Row],[ACCOUNT NUMBER]],'Cash balance (Prior period)'!E:E,Table11[[#This Row],[CURRENCY]])</f>
        <v>80000000</v>
      </c>
      <c r="I272" s="1318">
        <f>SUMIFS(Movement!$F$4:$F$2136,Movement!$M$4:$M$2136,"VND",Movement!$C$4:$C$2136,Table11[[#This Row],[ACCOUNT NUMBER]],Movement!$J$4:$J$2136,Table11[[#This Row],[ENTITY]],Movement!$O$4:$O$2136,'Cash Balance'!$A$2)</f>
        <v>0</v>
      </c>
      <c r="J272" s="1318">
        <f>SUMIFS(Movement!$G$4:$G$2136,Movement!$M$4:$M$2136,"VND",Movement!$C$4:$C$2136,Table11[[#This Row],[ACCOUNT NUMBER]],Movement!$J$4:$J$2136,Table11[[#This Row],[ENTITY]],Movement!$O$4:$O$2136,'Cash Balance'!$A$2)</f>
        <v>0</v>
      </c>
      <c r="K272" s="1084">
        <f>Table11[[#This Row],[CASH IN - CREDIT (VND)]]-Table11[[#This Row],[CASH OUT - DEBIT (VND)]]</f>
        <v>0</v>
      </c>
      <c r="L272" s="1095">
        <f t="shared" si="26"/>
        <v>80000000</v>
      </c>
      <c r="M272" s="1184" t="e">
        <f>VLOOKUP(C272,'Cash balance (BS)'!A:D,4,)</f>
        <v>#N/A</v>
      </c>
      <c r="N272" s="1095" t="e">
        <f>Table11[[#This Row],[CLOSING BALANCE (VND)2]]-Table11[[#This Row],[CB_BS (VND)]]</f>
        <v>#N/A</v>
      </c>
      <c r="O272" s="1094">
        <v>0</v>
      </c>
      <c r="P272" s="1095">
        <f t="shared" si="27"/>
        <v>0</v>
      </c>
      <c r="Q272" s="817">
        <f>SUMIFS('Cash balance (Prior period)'!G:G,'Cash balance (Prior period)'!C:C,Table11[[#This Row],[ACCOUNT NUMBER]],'Cash balance (Prior period)'!E:E,Table11[[#This Row],[CURRENCY]])</f>
        <v>0</v>
      </c>
      <c r="R272" s="817">
        <f>SUMIFS(Movement!$F$4:$F$2136,Movement!$M$4:$M$2136,"USD",Movement!$C$4:$C$2136,Table11[[#This Row],[ACCOUNT NUMBER]],Movement!$J$4:$J$2136,Table11[[#This Row],[ENTITY]],Movement!$O$4:$O$2136,'Cash Balance'!$A$2)</f>
        <v>0</v>
      </c>
      <c r="S272" s="817">
        <f>SUMIFS(Movement!$G$4:$G$2136,Movement!$M$4:$M$2136,"USD",Movement!$C$4:$C$2136,Table11[[#This Row],[ACCOUNT NUMBER]],Movement!$J$4:$J$2136,Table11[[#This Row],[ENTITY]],Movement!$O$4:$O$2136,'Cash Balance'!$A$2)</f>
        <v>0</v>
      </c>
      <c r="T272" s="1087">
        <f t="shared" si="28"/>
        <v>0</v>
      </c>
      <c r="U272" s="817"/>
      <c r="V272" s="817">
        <f>Table11[[#This Row],[CLOSING BALANCE (USD)]]-Table11[[#This Row],[CB_BS (USD)]]</f>
        <v>0</v>
      </c>
      <c r="W272" s="1156" t="str">
        <f>VLOOKUP('Cash Balance'!$C272,Table2[#All],MATCH('Cash Balance'!W$3,Acc_Char!$B$1:$I$1,0),0)</f>
        <v>Subsidiaries</v>
      </c>
      <c r="X272" s="1156" t="str">
        <f>VLOOKUP(IFERROR(MID($Y272,1,FIND("-",$Y272)-2),$Y272),Table3[#All],2,0)</f>
        <v>VTB</v>
      </c>
      <c r="Y272" s="1156" t="str">
        <f>VLOOKUP($B272,Table4[#All],2,0)</f>
        <v>VIETINBANK - TIEN SON</v>
      </c>
      <c r="Z272" s="1151"/>
      <c r="AA272" s="49"/>
      <c r="AE272" s="818">
        <f>SUM(Table11[[#This Row],[CASH IN - CREDIT (VND)]],Table11[[#This Row],[CASH IN - CREDIT (USD)]])</f>
        <v>0</v>
      </c>
      <c r="AF272" s="818">
        <f>Table11[[#This Row],[CASH OUT - DEBIT (VND)]]+Table11[[#This Row],[CASH OUT - DEBIT (USD)]]</f>
        <v>0</v>
      </c>
      <c r="AH272" s="1158"/>
      <c r="AI272" s="49"/>
      <c r="AJ272" s="1158"/>
      <c r="AL272"/>
    </row>
    <row r="273" spans="1:38" ht="14.4">
      <c r="A273" s="1153" t="str">
        <f>VLOOKUP('Cash Balance'!$C273,Table2[#All],MATCH('Cash Balance'!A$3,Acc_Char!$B$1:$I$1,0),0)</f>
        <v>HOLDCO4Z</v>
      </c>
      <c r="B273" s="1154" t="str">
        <f>VLOOKUP('Cash Balance'!$C273,Table2[#All],MATCH('Cash Balance'!B$3,Acc_Char!$B$1:$I$1,0),0)</f>
        <v>VIETINBANK - TIEN SON</v>
      </c>
      <c r="C273" s="1185" t="s">
        <v>843</v>
      </c>
      <c r="D273" s="1156" t="str">
        <f>VLOOKUP('Cash Balance'!$C273,Table2[#All],MATCH('Cash Balance'!D$3,Acc_Char!$B$1:$I$1,0),0)</f>
        <v>Saving Account</v>
      </c>
      <c r="E273" s="384" t="str">
        <f>VLOOKUP('Cash Balance'!$C273,Table2[#All],MATCH('Cash Balance'!E$3,Acc_Char!$B$1:$I$1,0),0)</f>
        <v>VND</v>
      </c>
      <c r="F273" s="1094" t="e">
        <f>VLOOKUP(C273,'Cash balance (BS)'!A:C,3,)</f>
        <v>#N/A</v>
      </c>
      <c r="G273" s="1157" t="e">
        <f t="shared" si="29"/>
        <v>#N/A</v>
      </c>
      <c r="H273" s="1318">
        <f>SUMIFS('Cash balance (Prior period)'!F:F,'Cash balance (Prior period)'!C:C,Table11[[#This Row],[ACCOUNT NUMBER]],'Cash balance (Prior period)'!E:E,Table11[[#This Row],[CURRENCY]])</f>
        <v>900000000</v>
      </c>
      <c r="I273" s="1318">
        <f>SUMIFS(Movement!$F$4:$F$2136,Movement!$M$4:$M$2136,"VND",Movement!$C$4:$C$2136,Table11[[#This Row],[ACCOUNT NUMBER]],Movement!$J$4:$J$2136,Table11[[#This Row],[ENTITY]],Movement!$O$4:$O$2136,'Cash Balance'!$A$2)</f>
        <v>0</v>
      </c>
      <c r="J273" s="1318">
        <f>SUMIFS(Movement!$G$4:$G$2136,Movement!$M$4:$M$2136,"VND",Movement!$C$4:$C$2136,Table11[[#This Row],[ACCOUNT NUMBER]],Movement!$J$4:$J$2136,Table11[[#This Row],[ENTITY]],Movement!$O$4:$O$2136,'Cash Balance'!$A$2)</f>
        <v>0</v>
      </c>
      <c r="K273" s="1084">
        <f>Table11[[#This Row],[CASH IN - CREDIT (VND)]]-Table11[[#This Row],[CASH OUT - DEBIT (VND)]]</f>
        <v>0</v>
      </c>
      <c r="L273" s="1095">
        <f t="shared" si="26"/>
        <v>900000000</v>
      </c>
      <c r="M273" s="1184" t="e">
        <f>VLOOKUP(C273,'Cash balance (BS)'!A:D,4,)</f>
        <v>#N/A</v>
      </c>
      <c r="N273" s="1095" t="e">
        <f>Table11[[#This Row],[CLOSING BALANCE (VND)2]]-Table11[[#This Row],[CB_BS (VND)]]</f>
        <v>#N/A</v>
      </c>
      <c r="O273" s="1094">
        <v>0</v>
      </c>
      <c r="P273" s="1095">
        <f t="shared" si="27"/>
        <v>0</v>
      </c>
      <c r="Q273" s="817">
        <f>SUMIFS('Cash balance (Prior period)'!G:G,'Cash balance (Prior period)'!C:C,Table11[[#This Row],[ACCOUNT NUMBER]],'Cash balance (Prior period)'!E:E,Table11[[#This Row],[CURRENCY]])</f>
        <v>0</v>
      </c>
      <c r="R273" s="817">
        <f>SUMIFS(Movement!$F$4:$F$2136,Movement!$M$4:$M$2136,"USD",Movement!$C$4:$C$2136,Table11[[#This Row],[ACCOUNT NUMBER]],Movement!$J$4:$J$2136,Table11[[#This Row],[ENTITY]],Movement!$O$4:$O$2136,'Cash Balance'!$A$2)</f>
        <v>0</v>
      </c>
      <c r="S273" s="817">
        <f>SUMIFS(Movement!$G$4:$G$2136,Movement!$M$4:$M$2136,"USD",Movement!$C$4:$C$2136,Table11[[#This Row],[ACCOUNT NUMBER]],Movement!$J$4:$J$2136,Table11[[#This Row],[ENTITY]],Movement!$O$4:$O$2136,'Cash Balance'!$A$2)</f>
        <v>0</v>
      </c>
      <c r="T273" s="1087">
        <f t="shared" si="28"/>
        <v>0</v>
      </c>
      <c r="U273" s="817"/>
      <c r="V273" s="817">
        <f>Table11[[#This Row],[CLOSING BALANCE (USD)]]-Table11[[#This Row],[CB_BS (USD)]]</f>
        <v>0</v>
      </c>
      <c r="W273" s="1156" t="str">
        <f>VLOOKUP('Cash Balance'!$C273,Table2[#All],MATCH('Cash Balance'!W$3,Acc_Char!$B$1:$I$1,0),0)</f>
        <v>Subsidiaries</v>
      </c>
      <c r="X273" s="1156" t="str">
        <f>VLOOKUP(IFERROR(MID($Y273,1,FIND("-",$Y273)-2),$Y273),Table3[#All],2,0)</f>
        <v>VTB</v>
      </c>
      <c r="Y273" s="1156" t="str">
        <f>VLOOKUP($B273,Table4[#All],2,0)</f>
        <v>VIETINBANK - TIEN SON</v>
      </c>
      <c r="Z273" s="1151"/>
      <c r="AA273" s="49"/>
      <c r="AE273" s="818">
        <f>SUM(Table11[[#This Row],[CASH IN - CREDIT (VND)]],Table11[[#This Row],[CASH IN - CREDIT (USD)]])</f>
        <v>0</v>
      </c>
      <c r="AF273" s="818">
        <f>Table11[[#This Row],[CASH OUT - DEBIT (VND)]]+Table11[[#This Row],[CASH OUT - DEBIT (USD)]]</f>
        <v>0</v>
      </c>
      <c r="AH273" s="1158"/>
      <c r="AI273" s="49"/>
      <c r="AJ273" s="1158"/>
      <c r="AL273"/>
    </row>
    <row r="274" spans="1:38" ht="14.4">
      <c r="A274" s="1153" t="str">
        <f>VLOOKUP('Cash Balance'!$C274,Table2[#All],MATCH('Cash Balance'!A$3,Acc_Char!$B$1:$I$1,0),0)</f>
        <v>HOLDCO4W</v>
      </c>
      <c r="B274" s="1154" t="str">
        <f>VLOOKUP('Cash Balance'!$C274,Table2[#All],MATCH('Cash Balance'!B$3,Acc_Char!$B$1:$I$1,0),0)</f>
        <v>VIETINBANK - TIEN SON</v>
      </c>
      <c r="C274" s="1185" t="s">
        <v>844</v>
      </c>
      <c r="D274" s="1156" t="str">
        <f>VLOOKUP('Cash Balance'!$C274,Table2[#All],MATCH('Cash Balance'!D$3,Acc_Char!$B$1:$I$1,0),0)</f>
        <v>Saving Account</v>
      </c>
      <c r="E274" s="384" t="str">
        <f>VLOOKUP('Cash Balance'!$C274,Table2[#All],MATCH('Cash Balance'!E$3,Acc_Char!$B$1:$I$1,0),0)</f>
        <v>VND</v>
      </c>
      <c r="F274" s="1094" t="e">
        <f>VLOOKUP(C274,'Cash balance (BS)'!A:C,3,)</f>
        <v>#N/A</v>
      </c>
      <c r="G274" s="1157" t="e">
        <f t="shared" si="29"/>
        <v>#N/A</v>
      </c>
      <c r="H274" s="1318">
        <f>SUMIFS('Cash balance (Prior period)'!F:F,'Cash balance (Prior period)'!C:C,Table11[[#This Row],[ACCOUNT NUMBER]],'Cash balance (Prior period)'!E:E,Table11[[#This Row],[CURRENCY]])</f>
        <v>900000000</v>
      </c>
      <c r="I274" s="1318">
        <f>SUMIFS(Movement!$F$4:$F$2136,Movement!$M$4:$M$2136,"VND",Movement!$C$4:$C$2136,Table11[[#This Row],[ACCOUNT NUMBER]],Movement!$J$4:$J$2136,Table11[[#This Row],[ENTITY]],Movement!$O$4:$O$2136,'Cash Balance'!$A$2)</f>
        <v>0</v>
      </c>
      <c r="J274" s="1318">
        <f>SUMIFS(Movement!$G$4:$G$2136,Movement!$M$4:$M$2136,"VND",Movement!$C$4:$C$2136,Table11[[#This Row],[ACCOUNT NUMBER]],Movement!$J$4:$J$2136,Table11[[#This Row],[ENTITY]],Movement!$O$4:$O$2136,'Cash Balance'!$A$2)</f>
        <v>0</v>
      </c>
      <c r="K274" s="1084">
        <f>Table11[[#This Row],[CASH IN - CREDIT (VND)]]-Table11[[#This Row],[CASH OUT - DEBIT (VND)]]</f>
        <v>0</v>
      </c>
      <c r="L274" s="1095">
        <f t="shared" si="26"/>
        <v>900000000</v>
      </c>
      <c r="M274" s="1184" t="e">
        <f>VLOOKUP(C274,'Cash balance (BS)'!A:D,4,)</f>
        <v>#N/A</v>
      </c>
      <c r="N274" s="1095" t="e">
        <f>Table11[[#This Row],[CLOSING BALANCE (VND)2]]-Table11[[#This Row],[CB_BS (VND)]]</f>
        <v>#N/A</v>
      </c>
      <c r="O274" s="1094">
        <v>0</v>
      </c>
      <c r="P274" s="1095">
        <f t="shared" si="27"/>
        <v>0</v>
      </c>
      <c r="Q274" s="817">
        <f>SUMIFS('Cash balance (Prior period)'!G:G,'Cash balance (Prior period)'!C:C,Table11[[#This Row],[ACCOUNT NUMBER]],'Cash balance (Prior period)'!E:E,Table11[[#This Row],[CURRENCY]])</f>
        <v>0</v>
      </c>
      <c r="R274" s="817">
        <f>SUMIFS(Movement!$F$4:$F$2136,Movement!$M$4:$M$2136,"USD",Movement!$C$4:$C$2136,Table11[[#This Row],[ACCOUNT NUMBER]],Movement!$J$4:$J$2136,Table11[[#This Row],[ENTITY]],Movement!$O$4:$O$2136,'Cash Balance'!$A$2)</f>
        <v>0</v>
      </c>
      <c r="S274" s="817">
        <f>SUMIFS(Movement!$G$4:$G$2136,Movement!$M$4:$M$2136,"USD",Movement!$C$4:$C$2136,Table11[[#This Row],[ACCOUNT NUMBER]],Movement!$J$4:$J$2136,Table11[[#This Row],[ENTITY]],Movement!$O$4:$O$2136,'Cash Balance'!$A$2)</f>
        <v>0</v>
      </c>
      <c r="T274" s="1087">
        <f t="shared" si="28"/>
        <v>0</v>
      </c>
      <c r="U274" s="817"/>
      <c r="V274" s="817">
        <f>Table11[[#This Row],[CLOSING BALANCE (USD)]]-Table11[[#This Row],[CB_BS (USD)]]</f>
        <v>0</v>
      </c>
      <c r="W274" s="1156" t="str">
        <f>VLOOKUP('Cash Balance'!$C274,Table2[#All],MATCH('Cash Balance'!W$3,Acc_Char!$B$1:$I$1,0),0)</f>
        <v>Subsidiaries</v>
      </c>
      <c r="X274" s="1156" t="str">
        <f>VLOOKUP(IFERROR(MID($Y274,1,FIND("-",$Y274)-2),$Y274),Table3[#All],2,0)</f>
        <v>VTB</v>
      </c>
      <c r="Y274" s="1156" t="str">
        <f>VLOOKUP($B274,Table4[#All],2,0)</f>
        <v>VIETINBANK - TIEN SON</v>
      </c>
      <c r="Z274" s="1151"/>
      <c r="AA274" s="49"/>
      <c r="AE274" s="818">
        <f>SUM(Table11[[#This Row],[CASH IN - CREDIT (VND)]],Table11[[#This Row],[CASH IN - CREDIT (USD)]])</f>
        <v>0</v>
      </c>
      <c r="AF274" s="818">
        <f>Table11[[#This Row],[CASH OUT - DEBIT (VND)]]+Table11[[#This Row],[CASH OUT - DEBIT (USD)]]</f>
        <v>0</v>
      </c>
      <c r="AH274" s="1158"/>
      <c r="AI274" s="49"/>
      <c r="AJ274" s="1158"/>
      <c r="AL274"/>
    </row>
    <row r="275" spans="1:38" ht="14.4">
      <c r="A275" s="1153" t="str">
        <f>VLOOKUP('Cash Balance'!$C275,Table2[#All],MATCH('Cash Balance'!A$3,Acc_Char!$B$1:$I$1,0),0)</f>
        <v>HOLDCO5Q</v>
      </c>
      <c r="B275" s="1154" t="str">
        <f>VLOOKUP('Cash Balance'!$C275,Table2[#All],MATCH('Cash Balance'!B$3,Acc_Char!$B$1:$I$1,0),0)</f>
        <v>VIETINBANK - TIEN SON</v>
      </c>
      <c r="C275" s="1185" t="s">
        <v>845</v>
      </c>
      <c r="D275" s="1156" t="str">
        <f>VLOOKUP('Cash Balance'!$C275,Table2[#All],MATCH('Cash Balance'!D$3,Acc_Char!$B$1:$I$1,0),0)</f>
        <v>Saving Account</v>
      </c>
      <c r="E275" s="384" t="str">
        <f>VLOOKUP('Cash Balance'!$C275,Table2[#All],MATCH('Cash Balance'!E$3,Acc_Char!$B$1:$I$1,0),0)</f>
        <v>VND</v>
      </c>
      <c r="F275" s="1094" t="e">
        <f>VLOOKUP(C275,'Cash balance (BS)'!A:C,3,)</f>
        <v>#N/A</v>
      </c>
      <c r="G275" s="1157" t="e">
        <f t="shared" si="29"/>
        <v>#N/A</v>
      </c>
      <c r="H275" s="1318">
        <f>SUMIFS('Cash balance (Prior period)'!F:F,'Cash balance (Prior period)'!C:C,Table11[[#This Row],[ACCOUNT NUMBER]],'Cash balance (Prior period)'!E:E,Table11[[#This Row],[CURRENCY]])</f>
        <v>800000000</v>
      </c>
      <c r="I275" s="1318">
        <f>SUMIFS(Movement!$F$4:$F$2136,Movement!$M$4:$M$2136,"VND",Movement!$C$4:$C$2136,Table11[[#This Row],[ACCOUNT NUMBER]],Movement!$J$4:$J$2136,Table11[[#This Row],[ENTITY]],Movement!$O$4:$O$2136,'Cash Balance'!$A$2)</f>
        <v>0</v>
      </c>
      <c r="J275" s="1318">
        <f>SUMIFS(Movement!$G$4:$G$2136,Movement!$M$4:$M$2136,"VND",Movement!$C$4:$C$2136,Table11[[#This Row],[ACCOUNT NUMBER]],Movement!$J$4:$J$2136,Table11[[#This Row],[ENTITY]],Movement!$O$4:$O$2136,'Cash Balance'!$A$2)</f>
        <v>0</v>
      </c>
      <c r="K275" s="1084">
        <f>Table11[[#This Row],[CASH IN - CREDIT (VND)]]-Table11[[#This Row],[CASH OUT - DEBIT (VND)]]</f>
        <v>0</v>
      </c>
      <c r="L275" s="1095">
        <f t="shared" si="26"/>
        <v>800000000</v>
      </c>
      <c r="M275" s="1184" t="e">
        <f>VLOOKUP(C275,'Cash balance (BS)'!A:D,4,)</f>
        <v>#N/A</v>
      </c>
      <c r="N275" s="1095" t="e">
        <f>Table11[[#This Row],[CLOSING BALANCE (VND)2]]-Table11[[#This Row],[CB_BS (VND)]]</f>
        <v>#N/A</v>
      </c>
      <c r="O275" s="1094">
        <v>0</v>
      </c>
      <c r="P275" s="1095">
        <f t="shared" si="27"/>
        <v>0</v>
      </c>
      <c r="Q275" s="817">
        <f>SUMIFS('Cash balance (Prior period)'!G:G,'Cash balance (Prior period)'!C:C,Table11[[#This Row],[ACCOUNT NUMBER]],'Cash balance (Prior period)'!E:E,Table11[[#This Row],[CURRENCY]])</f>
        <v>0</v>
      </c>
      <c r="R275" s="817">
        <f>SUMIFS(Movement!$F$4:$F$2136,Movement!$M$4:$M$2136,"USD",Movement!$C$4:$C$2136,Table11[[#This Row],[ACCOUNT NUMBER]],Movement!$J$4:$J$2136,Table11[[#This Row],[ENTITY]],Movement!$O$4:$O$2136,'Cash Balance'!$A$2)</f>
        <v>0</v>
      </c>
      <c r="S275" s="817">
        <f>SUMIFS(Movement!$G$4:$G$2136,Movement!$M$4:$M$2136,"USD",Movement!$C$4:$C$2136,Table11[[#This Row],[ACCOUNT NUMBER]],Movement!$J$4:$J$2136,Table11[[#This Row],[ENTITY]],Movement!$O$4:$O$2136,'Cash Balance'!$A$2)</f>
        <v>0</v>
      </c>
      <c r="T275" s="1087">
        <f t="shared" si="28"/>
        <v>0</v>
      </c>
      <c r="U275" s="817"/>
      <c r="V275" s="817">
        <f>Table11[[#This Row],[CLOSING BALANCE (USD)]]-Table11[[#This Row],[CB_BS (USD)]]</f>
        <v>0</v>
      </c>
      <c r="W275" s="1156" t="str">
        <f>VLOOKUP('Cash Balance'!$C275,Table2[#All],MATCH('Cash Balance'!W$3,Acc_Char!$B$1:$I$1,0),0)</f>
        <v>Subsidiaries</v>
      </c>
      <c r="X275" s="1156" t="str">
        <f>VLOOKUP(IFERROR(MID($Y275,1,FIND("-",$Y275)-2),$Y275),Table3[#All],2,0)</f>
        <v>VTB</v>
      </c>
      <c r="Y275" s="1156" t="str">
        <f>VLOOKUP($B275,Table4[#All],2,0)</f>
        <v>VIETINBANK - TIEN SON</v>
      </c>
      <c r="Z275" s="1151"/>
      <c r="AA275" s="49"/>
      <c r="AE275" s="818">
        <f>SUM(Table11[[#This Row],[CASH IN - CREDIT (VND)]],Table11[[#This Row],[CASH IN - CREDIT (USD)]])</f>
        <v>0</v>
      </c>
      <c r="AF275" s="818">
        <f>Table11[[#This Row],[CASH OUT - DEBIT (VND)]]+Table11[[#This Row],[CASH OUT - DEBIT (USD)]]</f>
        <v>0</v>
      </c>
      <c r="AH275" s="1158"/>
      <c r="AI275" s="49"/>
      <c r="AJ275" s="1158"/>
      <c r="AL275"/>
    </row>
    <row r="276" spans="1:38" ht="14.4">
      <c r="A276" s="1153" t="str">
        <f>VLOOKUP('Cash Balance'!$C276,Table2[#All],MATCH('Cash Balance'!A$3,Acc_Char!$B$1:$I$1,0),0)</f>
        <v>HOLDCO5R</v>
      </c>
      <c r="B276" s="1154" t="str">
        <f>VLOOKUP('Cash Balance'!$C276,Table2[#All],MATCH('Cash Balance'!B$3,Acc_Char!$B$1:$I$1,0),0)</f>
        <v>VIETINBANK - TIEN SON</v>
      </c>
      <c r="C276" s="1185" t="s">
        <v>846</v>
      </c>
      <c r="D276" s="1156" t="str">
        <f>VLOOKUP('Cash Balance'!$C276,Table2[#All],MATCH('Cash Balance'!D$3,Acc_Char!$B$1:$I$1,0),0)</f>
        <v>Saving Account</v>
      </c>
      <c r="E276" s="384" t="str">
        <f>VLOOKUP('Cash Balance'!$C276,Table2[#All],MATCH('Cash Balance'!E$3,Acc_Char!$B$1:$I$1,0),0)</f>
        <v>VND</v>
      </c>
      <c r="F276" s="1094" t="e">
        <f>VLOOKUP(C276,'Cash balance (BS)'!A:C,3,)</f>
        <v>#N/A</v>
      </c>
      <c r="G276" s="1157" t="e">
        <f t="shared" si="29"/>
        <v>#N/A</v>
      </c>
      <c r="H276" s="1318">
        <f>SUMIFS('Cash balance (Prior period)'!F:F,'Cash balance (Prior period)'!C:C,Table11[[#This Row],[ACCOUNT NUMBER]],'Cash balance (Prior period)'!E:E,Table11[[#This Row],[CURRENCY]])</f>
        <v>800000000</v>
      </c>
      <c r="I276" s="1318">
        <f>SUMIFS(Movement!$F$4:$F$2136,Movement!$M$4:$M$2136,"VND",Movement!$C$4:$C$2136,Table11[[#This Row],[ACCOUNT NUMBER]],Movement!$J$4:$J$2136,Table11[[#This Row],[ENTITY]],Movement!$O$4:$O$2136,'Cash Balance'!$A$2)</f>
        <v>0</v>
      </c>
      <c r="J276" s="1318">
        <f>SUMIFS(Movement!$G$4:$G$2136,Movement!$M$4:$M$2136,"VND",Movement!$C$4:$C$2136,Table11[[#This Row],[ACCOUNT NUMBER]],Movement!$J$4:$J$2136,Table11[[#This Row],[ENTITY]],Movement!$O$4:$O$2136,'Cash Balance'!$A$2)</f>
        <v>0</v>
      </c>
      <c r="K276" s="1084">
        <f>Table11[[#This Row],[CASH IN - CREDIT (VND)]]-Table11[[#This Row],[CASH OUT - DEBIT (VND)]]</f>
        <v>0</v>
      </c>
      <c r="L276" s="1095">
        <f t="shared" si="26"/>
        <v>800000000</v>
      </c>
      <c r="M276" s="1184" t="e">
        <f>VLOOKUP(C276,'Cash balance (BS)'!A:D,4,)</f>
        <v>#N/A</v>
      </c>
      <c r="N276" s="1095" t="e">
        <f>Table11[[#This Row],[CLOSING BALANCE (VND)2]]-Table11[[#This Row],[CB_BS (VND)]]</f>
        <v>#N/A</v>
      </c>
      <c r="O276" s="1094">
        <v>0</v>
      </c>
      <c r="P276" s="1095">
        <f t="shared" si="27"/>
        <v>0</v>
      </c>
      <c r="Q276" s="817">
        <f>SUMIFS('Cash balance (Prior period)'!G:G,'Cash balance (Prior period)'!C:C,Table11[[#This Row],[ACCOUNT NUMBER]],'Cash balance (Prior period)'!E:E,Table11[[#This Row],[CURRENCY]])</f>
        <v>0</v>
      </c>
      <c r="R276" s="817">
        <f>SUMIFS(Movement!$F$4:$F$2136,Movement!$M$4:$M$2136,"USD",Movement!$C$4:$C$2136,Table11[[#This Row],[ACCOUNT NUMBER]],Movement!$J$4:$J$2136,Table11[[#This Row],[ENTITY]],Movement!$O$4:$O$2136,'Cash Balance'!$A$2)</f>
        <v>0</v>
      </c>
      <c r="S276" s="817">
        <f>SUMIFS(Movement!$G$4:$G$2136,Movement!$M$4:$M$2136,"USD",Movement!$C$4:$C$2136,Table11[[#This Row],[ACCOUNT NUMBER]],Movement!$J$4:$J$2136,Table11[[#This Row],[ENTITY]],Movement!$O$4:$O$2136,'Cash Balance'!$A$2)</f>
        <v>0</v>
      </c>
      <c r="T276" s="1087">
        <f t="shared" si="28"/>
        <v>0</v>
      </c>
      <c r="U276" s="817"/>
      <c r="V276" s="817">
        <f>Table11[[#This Row],[CLOSING BALANCE (USD)]]-Table11[[#This Row],[CB_BS (USD)]]</f>
        <v>0</v>
      </c>
      <c r="W276" s="1156" t="str">
        <f>VLOOKUP('Cash Balance'!$C276,Table2[#All],MATCH('Cash Balance'!W$3,Acc_Char!$B$1:$I$1,0),0)</f>
        <v>Subsidiaries</v>
      </c>
      <c r="X276" s="1156" t="str">
        <f>VLOOKUP(IFERROR(MID($Y276,1,FIND("-",$Y276)-2),$Y276),Table3[#All],2,0)</f>
        <v>VTB</v>
      </c>
      <c r="Y276" s="1156" t="str">
        <f>VLOOKUP($B276,Table4[#All],2,0)</f>
        <v>VIETINBANK - TIEN SON</v>
      </c>
      <c r="Z276" s="1151"/>
      <c r="AA276" s="49"/>
      <c r="AE276" s="818">
        <f>SUM(Table11[[#This Row],[CASH IN - CREDIT (VND)]],Table11[[#This Row],[CASH IN - CREDIT (USD)]])</f>
        <v>0</v>
      </c>
      <c r="AF276" s="818">
        <f>Table11[[#This Row],[CASH OUT - DEBIT (VND)]]+Table11[[#This Row],[CASH OUT - DEBIT (USD)]]</f>
        <v>0</v>
      </c>
      <c r="AH276" s="1158"/>
      <c r="AI276" s="49"/>
      <c r="AJ276" s="1158"/>
      <c r="AL276"/>
    </row>
    <row r="277" spans="1:38" ht="14.4">
      <c r="A277" s="1153" t="str">
        <f>VLOOKUP('Cash Balance'!$C277,Table2[#All],MATCH('Cash Balance'!A$3,Acc_Char!$B$1:$I$1,0),0)</f>
        <v>HOLDCO5S</v>
      </c>
      <c r="B277" s="1154" t="str">
        <f>VLOOKUP('Cash Balance'!$C277,Table2[#All],MATCH('Cash Balance'!B$3,Acc_Char!$B$1:$I$1,0),0)</f>
        <v>VIETINBANK - TIEN SON</v>
      </c>
      <c r="C277" s="1185" t="s">
        <v>847</v>
      </c>
      <c r="D277" s="1156" t="str">
        <f>VLOOKUP('Cash Balance'!$C277,Table2[#All],MATCH('Cash Balance'!D$3,Acc_Char!$B$1:$I$1,0),0)</f>
        <v>Saving Account</v>
      </c>
      <c r="E277" s="384" t="str">
        <f>VLOOKUP('Cash Balance'!$C277,Table2[#All],MATCH('Cash Balance'!E$3,Acc_Char!$B$1:$I$1,0),0)</f>
        <v>VND</v>
      </c>
      <c r="F277" s="1094" t="e">
        <f>VLOOKUP(C277,'Cash balance (BS)'!A:C,3,)</f>
        <v>#N/A</v>
      </c>
      <c r="G277" s="1157" t="e">
        <f t="shared" si="29"/>
        <v>#N/A</v>
      </c>
      <c r="H277" s="1318">
        <f>SUMIFS('Cash balance (Prior period)'!F:F,'Cash balance (Prior period)'!C:C,Table11[[#This Row],[ACCOUNT NUMBER]],'Cash balance (Prior period)'!E:E,Table11[[#This Row],[CURRENCY]])</f>
        <v>800000000</v>
      </c>
      <c r="I277" s="1318">
        <f>SUMIFS(Movement!$F$4:$F$2136,Movement!$M$4:$M$2136,"VND",Movement!$C$4:$C$2136,Table11[[#This Row],[ACCOUNT NUMBER]],Movement!$J$4:$J$2136,Table11[[#This Row],[ENTITY]],Movement!$O$4:$O$2136,'Cash Balance'!$A$2)</f>
        <v>0</v>
      </c>
      <c r="J277" s="1318">
        <f>SUMIFS(Movement!$G$4:$G$2136,Movement!$M$4:$M$2136,"VND",Movement!$C$4:$C$2136,Table11[[#This Row],[ACCOUNT NUMBER]],Movement!$J$4:$J$2136,Table11[[#This Row],[ENTITY]],Movement!$O$4:$O$2136,'Cash Balance'!$A$2)</f>
        <v>0</v>
      </c>
      <c r="K277" s="1084">
        <f>Table11[[#This Row],[CASH IN - CREDIT (VND)]]-Table11[[#This Row],[CASH OUT - DEBIT (VND)]]</f>
        <v>0</v>
      </c>
      <c r="L277" s="1095">
        <f t="shared" si="26"/>
        <v>800000000</v>
      </c>
      <c r="M277" s="1184" t="e">
        <f>VLOOKUP(C277,'Cash balance (BS)'!A:D,4,)</f>
        <v>#N/A</v>
      </c>
      <c r="N277" s="1095" t="e">
        <f>Table11[[#This Row],[CLOSING BALANCE (VND)2]]-Table11[[#This Row],[CB_BS (VND)]]</f>
        <v>#N/A</v>
      </c>
      <c r="O277" s="1094">
        <v>0</v>
      </c>
      <c r="P277" s="1095">
        <f t="shared" si="27"/>
        <v>0</v>
      </c>
      <c r="Q277" s="817">
        <f>SUMIFS('Cash balance (Prior period)'!G:G,'Cash balance (Prior period)'!C:C,Table11[[#This Row],[ACCOUNT NUMBER]],'Cash balance (Prior period)'!E:E,Table11[[#This Row],[CURRENCY]])</f>
        <v>0</v>
      </c>
      <c r="R277" s="817">
        <f>SUMIFS(Movement!$F$4:$F$2136,Movement!$M$4:$M$2136,"USD",Movement!$C$4:$C$2136,Table11[[#This Row],[ACCOUNT NUMBER]],Movement!$J$4:$J$2136,Table11[[#This Row],[ENTITY]],Movement!$O$4:$O$2136,'Cash Balance'!$A$2)</f>
        <v>0</v>
      </c>
      <c r="S277" s="817">
        <f>SUMIFS(Movement!$G$4:$G$2136,Movement!$M$4:$M$2136,"USD",Movement!$C$4:$C$2136,Table11[[#This Row],[ACCOUNT NUMBER]],Movement!$J$4:$J$2136,Table11[[#This Row],[ENTITY]],Movement!$O$4:$O$2136,'Cash Balance'!$A$2)</f>
        <v>0</v>
      </c>
      <c r="T277" s="1087">
        <f t="shared" si="28"/>
        <v>0</v>
      </c>
      <c r="U277" s="817"/>
      <c r="V277" s="817">
        <f>Table11[[#This Row],[CLOSING BALANCE (USD)]]-Table11[[#This Row],[CB_BS (USD)]]</f>
        <v>0</v>
      </c>
      <c r="W277" s="1156" t="str">
        <f>VLOOKUP('Cash Balance'!$C277,Table2[#All],MATCH('Cash Balance'!W$3,Acc_Char!$B$1:$I$1,0),0)</f>
        <v>Subsidiaries</v>
      </c>
      <c r="X277" s="1156" t="str">
        <f>VLOOKUP(IFERROR(MID($Y277,1,FIND("-",$Y277)-2),$Y277),Table3[#All],2,0)</f>
        <v>VTB</v>
      </c>
      <c r="Y277" s="1156" t="str">
        <f>VLOOKUP($B277,Table4[#All],2,0)</f>
        <v>VIETINBANK - TIEN SON</v>
      </c>
      <c r="Z277" s="1151"/>
      <c r="AA277" s="49"/>
      <c r="AE277" s="818">
        <f>SUM(Table11[[#This Row],[CASH IN - CREDIT (VND)]],Table11[[#This Row],[CASH IN - CREDIT (USD)]])</f>
        <v>0</v>
      </c>
      <c r="AF277" s="818">
        <f>Table11[[#This Row],[CASH OUT - DEBIT (VND)]]+Table11[[#This Row],[CASH OUT - DEBIT (USD)]]</f>
        <v>0</v>
      </c>
      <c r="AH277" s="1158"/>
      <c r="AI277" s="49"/>
      <c r="AJ277" s="1158"/>
      <c r="AL277"/>
    </row>
    <row r="278" spans="1:38" ht="14.4">
      <c r="A278" s="1153" t="str">
        <f>VLOOKUP('Cash Balance'!$C278,Table2[#All],MATCH('Cash Balance'!A$3,Acc_Char!$B$1:$I$1,0),0)</f>
        <v>HOLDCO5T</v>
      </c>
      <c r="B278" s="1154" t="str">
        <f>VLOOKUP('Cash Balance'!$C278,Table2[#All],MATCH('Cash Balance'!B$3,Acc_Char!$B$1:$I$1,0),0)</f>
        <v>VIETINBANK - TIEN SON</v>
      </c>
      <c r="C278" s="1189" t="s">
        <v>848</v>
      </c>
      <c r="D278" s="1156" t="str">
        <f>VLOOKUP('Cash Balance'!$C278,Table2[#All],MATCH('Cash Balance'!D$3,Acc_Char!$B$1:$I$1,0),0)</f>
        <v>Saving Account</v>
      </c>
      <c r="E278" s="384" t="str">
        <f>VLOOKUP('Cash Balance'!$C278,Table2[#All],MATCH('Cash Balance'!E$3,Acc_Char!$B$1:$I$1,0),0)</f>
        <v>VND</v>
      </c>
      <c r="F278" s="1094" t="e">
        <f>VLOOKUP(C278,'Cash balance (BS)'!A:C,3,)</f>
        <v>#N/A</v>
      </c>
      <c r="G278" s="1157" t="e">
        <f t="shared" si="29"/>
        <v>#N/A</v>
      </c>
      <c r="H278" s="1318">
        <f>SUMIFS('Cash balance (Prior period)'!F:F,'Cash balance (Prior period)'!C:C,Table11[[#This Row],[ACCOUNT NUMBER]],'Cash balance (Prior period)'!E:E,Table11[[#This Row],[CURRENCY]])</f>
        <v>800000000</v>
      </c>
      <c r="I278" s="1318">
        <f>SUMIFS(Movement!$F$4:$F$2136,Movement!$M$4:$M$2136,"VND",Movement!$C$4:$C$2136,Table11[[#This Row],[ACCOUNT NUMBER]],Movement!$J$4:$J$2136,Table11[[#This Row],[ENTITY]],Movement!$O$4:$O$2136,'Cash Balance'!$A$2)</f>
        <v>0</v>
      </c>
      <c r="J278" s="1318">
        <f>SUMIFS(Movement!$G$4:$G$2136,Movement!$M$4:$M$2136,"VND",Movement!$C$4:$C$2136,Table11[[#This Row],[ACCOUNT NUMBER]],Movement!$J$4:$J$2136,Table11[[#This Row],[ENTITY]],Movement!$O$4:$O$2136,'Cash Balance'!$A$2)</f>
        <v>0</v>
      </c>
      <c r="K278" s="1084">
        <f>Table11[[#This Row],[CASH IN - CREDIT (VND)]]-Table11[[#This Row],[CASH OUT - DEBIT (VND)]]</f>
        <v>0</v>
      </c>
      <c r="L278" s="1095">
        <f t="shared" si="26"/>
        <v>800000000</v>
      </c>
      <c r="M278" s="1184" t="e">
        <f>VLOOKUP(C278,'Cash balance (BS)'!A:D,4,)</f>
        <v>#N/A</v>
      </c>
      <c r="N278" s="1095" t="e">
        <f>Table11[[#This Row],[CLOSING BALANCE (VND)2]]-Table11[[#This Row],[CB_BS (VND)]]</f>
        <v>#N/A</v>
      </c>
      <c r="O278" s="1094">
        <v>0</v>
      </c>
      <c r="P278" s="1095">
        <f t="shared" si="27"/>
        <v>0</v>
      </c>
      <c r="Q278" s="817">
        <f>SUMIFS('Cash balance (Prior period)'!G:G,'Cash balance (Prior period)'!C:C,Table11[[#This Row],[ACCOUNT NUMBER]],'Cash balance (Prior period)'!E:E,Table11[[#This Row],[CURRENCY]])</f>
        <v>0</v>
      </c>
      <c r="R278" s="817">
        <f>SUMIFS(Movement!$F$4:$F$2136,Movement!$M$4:$M$2136,"USD",Movement!$C$4:$C$2136,Table11[[#This Row],[ACCOUNT NUMBER]],Movement!$J$4:$J$2136,Table11[[#This Row],[ENTITY]],Movement!$O$4:$O$2136,'Cash Balance'!$A$2)</f>
        <v>0</v>
      </c>
      <c r="S278" s="817">
        <f>SUMIFS(Movement!$G$4:$G$2136,Movement!$M$4:$M$2136,"USD",Movement!$C$4:$C$2136,Table11[[#This Row],[ACCOUNT NUMBER]],Movement!$J$4:$J$2136,Table11[[#This Row],[ENTITY]],Movement!$O$4:$O$2136,'Cash Balance'!$A$2)</f>
        <v>0</v>
      </c>
      <c r="T278" s="1087">
        <f t="shared" si="28"/>
        <v>0</v>
      </c>
      <c r="U278" s="817"/>
      <c r="V278" s="817">
        <f>Table11[[#This Row],[CLOSING BALANCE (USD)]]-Table11[[#This Row],[CB_BS (USD)]]</f>
        <v>0</v>
      </c>
      <c r="W278" s="1156" t="str">
        <f>VLOOKUP('Cash Balance'!$C278,Table2[#All],MATCH('Cash Balance'!W$3,Acc_Char!$B$1:$I$1,0),0)</f>
        <v>Subsidiaries</v>
      </c>
      <c r="X278" s="1156" t="str">
        <f>VLOOKUP(IFERROR(MID($Y278,1,FIND("-",$Y278)-2),$Y278),Table3[#All],2,0)</f>
        <v>VTB</v>
      </c>
      <c r="Y278" s="1156" t="str">
        <f>VLOOKUP($B278,Table4[#All],2,0)</f>
        <v>VIETINBANK - TIEN SON</v>
      </c>
      <c r="Z278" s="1151"/>
      <c r="AA278" s="49"/>
      <c r="AE278" s="818">
        <f>SUM(Table11[[#This Row],[CASH IN - CREDIT (VND)]],Table11[[#This Row],[CASH IN - CREDIT (USD)]])</f>
        <v>0</v>
      </c>
      <c r="AF278" s="818">
        <f>Table11[[#This Row],[CASH OUT - DEBIT (VND)]]+Table11[[#This Row],[CASH OUT - DEBIT (USD)]]</f>
        <v>0</v>
      </c>
      <c r="AH278" s="1158"/>
      <c r="AI278" s="49"/>
      <c r="AJ278" s="1158"/>
      <c r="AL278"/>
    </row>
    <row r="279" spans="1:38" ht="14.4">
      <c r="A279" s="1153" t="str">
        <f>VLOOKUP('Cash Balance'!$C279,Table2[#All],MATCH('Cash Balance'!A$3,Acc_Char!$B$1:$I$1,0),0)</f>
        <v>HOLDCO5U</v>
      </c>
      <c r="B279" s="1154" t="str">
        <f>VLOOKUP('Cash Balance'!$C279,Table2[#All],MATCH('Cash Balance'!B$3,Acc_Char!$B$1:$I$1,0),0)</f>
        <v>VIETINBANK - TIEN SON</v>
      </c>
      <c r="C279" s="1185" t="s">
        <v>849</v>
      </c>
      <c r="D279" s="1156" t="str">
        <f>VLOOKUP('Cash Balance'!$C279,Table2[#All],MATCH('Cash Balance'!D$3,Acc_Char!$B$1:$I$1,0),0)</f>
        <v>Saving Account</v>
      </c>
      <c r="E279" s="384" t="str">
        <f>VLOOKUP('Cash Balance'!$C279,Table2[#All],MATCH('Cash Balance'!E$3,Acc_Char!$B$1:$I$1,0),0)</f>
        <v>VND</v>
      </c>
      <c r="F279" s="1094" t="e">
        <f>VLOOKUP(C279,'Cash balance (BS)'!A:C,3,)</f>
        <v>#N/A</v>
      </c>
      <c r="G279" s="1157" t="e">
        <f t="shared" si="29"/>
        <v>#N/A</v>
      </c>
      <c r="H279" s="1318">
        <f>SUMIFS('Cash balance (Prior period)'!F:F,'Cash balance (Prior period)'!C:C,Table11[[#This Row],[ACCOUNT NUMBER]],'Cash balance (Prior period)'!E:E,Table11[[#This Row],[CURRENCY]])</f>
        <v>800000000</v>
      </c>
      <c r="I279" s="1318">
        <f>SUMIFS(Movement!$F$4:$F$2136,Movement!$M$4:$M$2136,"VND",Movement!$C$4:$C$2136,Table11[[#This Row],[ACCOUNT NUMBER]],Movement!$J$4:$J$2136,Table11[[#This Row],[ENTITY]],Movement!$O$4:$O$2136,'Cash Balance'!$A$2)</f>
        <v>0</v>
      </c>
      <c r="J279" s="1318">
        <f>SUMIFS(Movement!$G$4:$G$2136,Movement!$M$4:$M$2136,"VND",Movement!$C$4:$C$2136,Table11[[#This Row],[ACCOUNT NUMBER]],Movement!$J$4:$J$2136,Table11[[#This Row],[ENTITY]],Movement!$O$4:$O$2136,'Cash Balance'!$A$2)</f>
        <v>0</v>
      </c>
      <c r="K279" s="1084">
        <f>Table11[[#This Row],[CASH IN - CREDIT (VND)]]-Table11[[#This Row],[CASH OUT - DEBIT (VND)]]</f>
        <v>0</v>
      </c>
      <c r="L279" s="1095">
        <f t="shared" si="26"/>
        <v>800000000</v>
      </c>
      <c r="M279" s="1184" t="e">
        <f>VLOOKUP(C279,'Cash balance (BS)'!A:D,4,)</f>
        <v>#N/A</v>
      </c>
      <c r="N279" s="1095" t="e">
        <f>Table11[[#This Row],[CLOSING BALANCE (VND)2]]-Table11[[#This Row],[CB_BS (VND)]]</f>
        <v>#N/A</v>
      </c>
      <c r="O279" s="1094">
        <v>0</v>
      </c>
      <c r="P279" s="1095">
        <f t="shared" si="27"/>
        <v>0</v>
      </c>
      <c r="Q279" s="817">
        <f>SUMIFS('Cash balance (Prior period)'!G:G,'Cash balance (Prior period)'!C:C,Table11[[#This Row],[ACCOUNT NUMBER]],'Cash balance (Prior period)'!E:E,Table11[[#This Row],[CURRENCY]])</f>
        <v>0</v>
      </c>
      <c r="R279" s="817">
        <f>SUMIFS(Movement!$F$4:$F$2136,Movement!$M$4:$M$2136,"USD",Movement!$C$4:$C$2136,Table11[[#This Row],[ACCOUNT NUMBER]],Movement!$J$4:$J$2136,Table11[[#This Row],[ENTITY]],Movement!$O$4:$O$2136,'Cash Balance'!$A$2)</f>
        <v>0</v>
      </c>
      <c r="S279" s="817">
        <f>SUMIFS(Movement!$G$4:$G$2136,Movement!$M$4:$M$2136,"USD",Movement!$C$4:$C$2136,Table11[[#This Row],[ACCOUNT NUMBER]],Movement!$J$4:$J$2136,Table11[[#This Row],[ENTITY]],Movement!$O$4:$O$2136,'Cash Balance'!$A$2)</f>
        <v>0</v>
      </c>
      <c r="T279" s="1087">
        <f t="shared" si="28"/>
        <v>0</v>
      </c>
      <c r="U279" s="817"/>
      <c r="V279" s="817">
        <f>Table11[[#This Row],[CLOSING BALANCE (USD)]]-Table11[[#This Row],[CB_BS (USD)]]</f>
        <v>0</v>
      </c>
      <c r="W279" s="1156" t="str">
        <f>VLOOKUP('Cash Balance'!$C279,Table2[#All],MATCH('Cash Balance'!W$3,Acc_Char!$B$1:$I$1,0),0)</f>
        <v>Subsidiaries</v>
      </c>
      <c r="X279" s="1156" t="str">
        <f>VLOOKUP(IFERROR(MID($Y279,1,FIND("-",$Y279)-2),$Y279),Table3[#All],2,0)</f>
        <v>VTB</v>
      </c>
      <c r="Y279" s="1156" t="str">
        <f>VLOOKUP($B279,Table4[#All],2,0)</f>
        <v>VIETINBANK - TIEN SON</v>
      </c>
      <c r="Z279" s="1151"/>
      <c r="AA279" s="49"/>
      <c r="AE279" s="818">
        <f>SUM(Table11[[#This Row],[CASH IN - CREDIT (VND)]],Table11[[#This Row],[CASH IN - CREDIT (USD)]])</f>
        <v>0</v>
      </c>
      <c r="AF279" s="818">
        <f>Table11[[#This Row],[CASH OUT - DEBIT (VND)]]+Table11[[#This Row],[CASH OUT - DEBIT (USD)]]</f>
        <v>0</v>
      </c>
      <c r="AH279" s="1158"/>
      <c r="AI279" s="49"/>
      <c r="AJ279" s="1158"/>
      <c r="AL279"/>
    </row>
    <row r="280" spans="1:38" ht="14.4">
      <c r="A280" s="1153" t="str">
        <f>VLOOKUP('Cash Balance'!$C280,Table2[#All],MATCH('Cash Balance'!A$3,Acc_Char!$B$1:$I$1,0),0)</f>
        <v>BWID Tan Phu Trung</v>
      </c>
      <c r="B280" s="1154" t="str">
        <f>VLOOKUP('Cash Balance'!$C280,Table2[#All],MATCH('Cash Balance'!B$3,Acc_Char!$B$1:$I$1,0),0)</f>
        <v>VIETINBANK - TIEN SON</v>
      </c>
      <c r="C280" s="1190" t="s">
        <v>850</v>
      </c>
      <c r="D280" s="1156" t="str">
        <f>VLOOKUP('Cash Balance'!$C280,Table2[#All],MATCH('Cash Balance'!D$3,Acc_Char!$B$1:$I$1,0),0)</f>
        <v>Current Account</v>
      </c>
      <c r="E280" s="384" t="str">
        <f>VLOOKUP('Cash Balance'!$C280,Table2[#All],MATCH('Cash Balance'!E$3,Acc_Char!$B$1:$I$1,0),0)</f>
        <v>VND</v>
      </c>
      <c r="F280" s="1094" t="e">
        <f>VLOOKUP(C280,'Cash balance (BS)'!A:C,3,)</f>
        <v>#N/A</v>
      </c>
      <c r="G280" s="1157" t="e">
        <f t="shared" si="29"/>
        <v>#N/A</v>
      </c>
      <c r="H280" s="1318">
        <f>SUMIFS('Cash balance (Prior period)'!F:F,'Cash balance (Prior period)'!C:C,Table11[[#This Row],[ACCOUNT NUMBER]],'Cash balance (Prior period)'!E:E,Table11[[#This Row],[CURRENCY]])</f>
        <v>3245496</v>
      </c>
      <c r="I280" s="1318">
        <f>SUMIFS(Movement!$F$4:$F$2136,Movement!$M$4:$M$2136,"VND",Movement!$C$4:$C$2136,Table11[[#This Row],[ACCOUNT NUMBER]],Movement!$J$4:$J$2136,Table11[[#This Row],[ENTITY]],Movement!$O$4:$O$2136,'Cash Balance'!$A$2)</f>
        <v>0</v>
      </c>
      <c r="J280" s="1318">
        <f>SUMIFS(Movement!$G$4:$G$2136,Movement!$M$4:$M$2136,"VND",Movement!$C$4:$C$2136,Table11[[#This Row],[ACCOUNT NUMBER]],Movement!$J$4:$J$2136,Table11[[#This Row],[ENTITY]],Movement!$O$4:$O$2136,'Cash Balance'!$A$2)</f>
        <v>0</v>
      </c>
      <c r="K280" s="1084">
        <f>Table11[[#This Row],[CASH IN - CREDIT (VND)]]-Table11[[#This Row],[CASH OUT - DEBIT (VND)]]</f>
        <v>0</v>
      </c>
      <c r="L280" s="1095">
        <f t="shared" si="26"/>
        <v>3245496</v>
      </c>
      <c r="M280" s="1184" t="e">
        <f>VLOOKUP(C280,'Cash balance (BS)'!A:D,4,)</f>
        <v>#N/A</v>
      </c>
      <c r="N280" s="1095" t="e">
        <f>Table11[[#This Row],[CLOSING BALANCE (VND)2]]-Table11[[#This Row],[CB_BS (VND)]]</f>
        <v>#N/A</v>
      </c>
      <c r="O280" s="1094">
        <v>0</v>
      </c>
      <c r="P280" s="1095">
        <f t="shared" si="27"/>
        <v>0</v>
      </c>
      <c r="Q280" s="817">
        <f>SUMIFS('Cash balance (Prior period)'!G:G,'Cash balance (Prior period)'!C:C,Table11[[#This Row],[ACCOUNT NUMBER]],'Cash balance (Prior period)'!E:E,Table11[[#This Row],[CURRENCY]])</f>
        <v>0</v>
      </c>
      <c r="R280" s="817">
        <f>SUMIFS(Movement!$F$4:$F$2136,Movement!$M$4:$M$2136,"USD",Movement!$C$4:$C$2136,Table11[[#This Row],[ACCOUNT NUMBER]],Movement!$J$4:$J$2136,Table11[[#This Row],[ENTITY]],Movement!$O$4:$O$2136,'Cash Balance'!$A$2)</f>
        <v>0</v>
      </c>
      <c r="S280" s="817">
        <f>SUMIFS(Movement!$G$4:$G$2136,Movement!$M$4:$M$2136,"USD",Movement!$C$4:$C$2136,Table11[[#This Row],[ACCOUNT NUMBER]],Movement!$J$4:$J$2136,Table11[[#This Row],[ENTITY]],Movement!$O$4:$O$2136,'Cash Balance'!$A$2)</f>
        <v>0</v>
      </c>
      <c r="T280" s="1087">
        <f t="shared" si="28"/>
        <v>0</v>
      </c>
      <c r="U280" s="817"/>
      <c r="V280" s="817">
        <f>Table11[[#This Row],[CLOSING BALANCE (USD)]]-Table11[[#This Row],[CB_BS (USD)]]</f>
        <v>0</v>
      </c>
      <c r="W280" s="1156" t="str">
        <f>VLOOKUP('Cash Balance'!$C280,Table2[#All],MATCH('Cash Balance'!W$3,Acc_Char!$B$1:$I$1,0),0)</f>
        <v>Subsidiaries</v>
      </c>
      <c r="X280" s="1156" t="str">
        <f>VLOOKUP(IFERROR(MID($Y280,1,FIND("-",$Y280)-2),$Y280),Table3[#All],2,0)</f>
        <v>VTB</v>
      </c>
      <c r="Y280" s="1156" t="str">
        <f>VLOOKUP($B280,Table4[#All],2,0)</f>
        <v>VIETINBANK - TIEN SON</v>
      </c>
      <c r="Z280" s="1151"/>
      <c r="AA280" s="49"/>
      <c r="AE280" s="818">
        <f>SUM(Table11[[#This Row],[CASH IN - CREDIT (VND)]],Table11[[#This Row],[CASH IN - CREDIT (USD)]])</f>
        <v>0</v>
      </c>
      <c r="AF280" s="818">
        <f>Table11[[#This Row],[CASH OUT - DEBIT (VND)]]+Table11[[#This Row],[CASH OUT - DEBIT (USD)]]</f>
        <v>0</v>
      </c>
      <c r="AH280" s="1158"/>
      <c r="AI280" s="49"/>
      <c r="AJ280" s="1158"/>
      <c r="AL280"/>
    </row>
    <row r="281" spans="1:38" ht="14.4">
      <c r="A281" s="1153" t="str">
        <f>VLOOKUP('Cash Balance'!$C281,Table2[#All],MATCH('Cash Balance'!A$3,Acc_Char!$B$1:$I$1,0),0)</f>
        <v>BWID Tan Phu Trung</v>
      </c>
      <c r="B281" s="1154" t="str">
        <f>VLOOKUP('Cash Balance'!$C281,Table2[#All],MATCH('Cash Balance'!B$3,Acc_Char!$B$1:$I$1,0),0)</f>
        <v>VIETINBANK - TIEN SON</v>
      </c>
      <c r="C281" s="1190" t="s">
        <v>851</v>
      </c>
      <c r="D281" s="1156" t="str">
        <f>VLOOKUP('Cash Balance'!$C281,Table2[#All],MATCH('Cash Balance'!D$3,Acc_Char!$B$1:$I$1,0),0)</f>
        <v>Current Account</v>
      </c>
      <c r="E281" s="384" t="str">
        <f>VLOOKUP('Cash Balance'!$C281,Table2[#All],MATCH('Cash Balance'!E$3,Acc_Char!$B$1:$I$1,0),0)</f>
        <v>VND</v>
      </c>
      <c r="F281" s="1094" t="e">
        <f>VLOOKUP(C281,'Cash balance (BS)'!A:C,3,)</f>
        <v>#N/A</v>
      </c>
      <c r="G281" s="1157" t="e">
        <f t="shared" si="29"/>
        <v>#N/A</v>
      </c>
      <c r="H281" s="1318">
        <f>SUMIFS('Cash balance (Prior period)'!F:F,'Cash balance (Prior period)'!C:C,Table11[[#This Row],[ACCOUNT NUMBER]],'Cash balance (Prior period)'!E:E,Table11[[#This Row],[CURRENCY]])</f>
        <v>1743106067</v>
      </c>
      <c r="I281" s="1318">
        <f>SUMIFS(Movement!$F$4:$F$2136,Movement!$M$4:$M$2136,"VND",Movement!$C$4:$C$2136,Table11[[#This Row],[ACCOUNT NUMBER]],Movement!$J$4:$J$2136,Table11[[#This Row],[ENTITY]],Movement!$O$4:$O$2136,'Cash Balance'!$A$2)</f>
        <v>4968948019</v>
      </c>
      <c r="J281" s="1318">
        <f>SUMIFS(Movement!$G$4:$G$2136,Movement!$M$4:$M$2136,"VND",Movement!$C$4:$C$2136,Table11[[#This Row],[ACCOUNT NUMBER]],Movement!$J$4:$J$2136,Table11[[#This Row],[ENTITY]],Movement!$O$4:$O$2136,'Cash Balance'!$A$2)</f>
        <v>629966375</v>
      </c>
      <c r="K281" s="1084">
        <f>Table11[[#This Row],[CASH IN - CREDIT (VND)]]-Table11[[#This Row],[CASH OUT - DEBIT (VND)]]</f>
        <v>4338981644</v>
      </c>
      <c r="L281" s="1095">
        <f t="shared" si="26"/>
        <v>6082087711</v>
      </c>
      <c r="M281" s="1184" t="e">
        <f>VLOOKUP(C281,'Cash balance (BS)'!A:D,4,)</f>
        <v>#N/A</v>
      </c>
      <c r="N281" s="1095" t="e">
        <f>Table11[[#This Row],[CLOSING BALANCE (VND)2]]-Table11[[#This Row],[CB_BS (VND)]]</f>
        <v>#N/A</v>
      </c>
      <c r="O281" s="1094">
        <v>0</v>
      </c>
      <c r="P281" s="1095">
        <f t="shared" si="27"/>
        <v>0</v>
      </c>
      <c r="Q281" s="817">
        <f>SUMIFS('Cash balance (Prior period)'!G:G,'Cash balance (Prior period)'!C:C,Table11[[#This Row],[ACCOUNT NUMBER]],'Cash balance (Prior period)'!E:E,Table11[[#This Row],[CURRENCY]])</f>
        <v>0</v>
      </c>
      <c r="R281" s="817">
        <f>SUMIFS(Movement!$F$4:$F$2136,Movement!$M$4:$M$2136,"USD",Movement!$C$4:$C$2136,Table11[[#This Row],[ACCOUNT NUMBER]],Movement!$J$4:$J$2136,Table11[[#This Row],[ENTITY]],Movement!$O$4:$O$2136,'Cash Balance'!$A$2)</f>
        <v>0</v>
      </c>
      <c r="S281" s="817">
        <f>SUMIFS(Movement!$G$4:$G$2136,Movement!$M$4:$M$2136,"USD",Movement!$C$4:$C$2136,Table11[[#This Row],[ACCOUNT NUMBER]],Movement!$J$4:$J$2136,Table11[[#This Row],[ENTITY]],Movement!$O$4:$O$2136,'Cash Balance'!$A$2)</f>
        <v>0</v>
      </c>
      <c r="T281" s="1087">
        <f t="shared" si="28"/>
        <v>0</v>
      </c>
      <c r="U281" s="817"/>
      <c r="V281" s="817">
        <f>Table11[[#This Row],[CLOSING BALANCE (USD)]]-Table11[[#This Row],[CB_BS (USD)]]</f>
        <v>0</v>
      </c>
      <c r="W281" s="1156" t="str">
        <f>VLOOKUP('Cash Balance'!$C281,Table2[#All],MATCH('Cash Balance'!W$3,Acc_Char!$B$1:$I$1,0),0)</f>
        <v>Subsidiaries</v>
      </c>
      <c r="X281" s="1156" t="str">
        <f>VLOOKUP(IFERROR(MID($Y281,1,FIND("-",$Y281)-2),$Y281),Table3[#All],2,0)</f>
        <v>VTB</v>
      </c>
      <c r="Y281" s="1156" t="str">
        <f>VLOOKUP($B281,Table4[#All],2,0)</f>
        <v>VIETINBANK - TIEN SON</v>
      </c>
      <c r="Z281" s="1151"/>
      <c r="AA281" s="49"/>
      <c r="AE281" s="818">
        <f>SUM(Table11[[#This Row],[CASH IN - CREDIT (VND)]],Table11[[#This Row],[CASH IN - CREDIT (USD)]])</f>
        <v>4968948019</v>
      </c>
      <c r="AF281" s="818">
        <f>Table11[[#This Row],[CASH OUT - DEBIT (VND)]]+Table11[[#This Row],[CASH OUT - DEBIT (USD)]]</f>
        <v>629966375</v>
      </c>
      <c r="AH281" s="1158"/>
      <c r="AI281" s="49"/>
      <c r="AJ281" s="1158"/>
      <c r="AL281"/>
    </row>
    <row r="282" spans="1:38" ht="14.4">
      <c r="A282" s="1153" t="str">
        <f>VLOOKUP('Cash Balance'!$C282,Table2[#All],MATCH('Cash Balance'!A$3,Acc_Char!$B$1:$I$1,0),0)</f>
        <v>BW BAU BANG</v>
      </c>
      <c r="B282" s="1154" t="str">
        <f>VLOOKUP('Cash Balance'!$C282,Table2[#All],MATCH('Cash Balance'!B$3,Acc_Char!$B$1:$I$1,0),0)</f>
        <v>VIETINBANK - TIEN SON</v>
      </c>
      <c r="C282" s="1190" t="s">
        <v>852</v>
      </c>
      <c r="D282" s="1156" t="str">
        <f>VLOOKUP('Cash Balance'!$C282,Table2[#All],MATCH('Cash Balance'!D$3,Acc_Char!$B$1:$I$1,0),0)</f>
        <v>Saving Account</v>
      </c>
      <c r="E282" s="384" t="str">
        <f>VLOOKUP('Cash Balance'!$C282,Table2[#All],MATCH('Cash Balance'!E$3,Acc_Char!$B$1:$I$1,0),0)</f>
        <v>VND</v>
      </c>
      <c r="F282" s="1094" t="e">
        <f>VLOOKUP(C282,'Cash balance (BS)'!A:C,3,)</f>
        <v>#N/A</v>
      </c>
      <c r="G282" s="1157" t="e">
        <f t="shared" si="29"/>
        <v>#N/A</v>
      </c>
      <c r="H282" s="1318">
        <f>SUMIFS('Cash balance (Prior period)'!F:F,'Cash balance (Prior period)'!C:C,Table11[[#This Row],[ACCOUNT NUMBER]],'Cash balance (Prior period)'!E:E,Table11[[#This Row],[CURRENCY]])</f>
        <v>0</v>
      </c>
      <c r="I282" s="1318">
        <f>SUMIFS(Movement!$F$4:$F$2136,Movement!$M$4:$M$2136,"VND",Movement!$C$4:$C$2136,Table11[[#This Row],[ACCOUNT NUMBER]],Movement!$J$4:$J$2136,Table11[[#This Row],[ENTITY]],Movement!$O$4:$O$2136,'Cash Balance'!$A$2)</f>
        <v>0</v>
      </c>
      <c r="J282" s="1318">
        <f>SUMIFS(Movement!$G$4:$G$2136,Movement!$M$4:$M$2136,"VND",Movement!$C$4:$C$2136,Table11[[#This Row],[ACCOUNT NUMBER]],Movement!$J$4:$J$2136,Table11[[#This Row],[ENTITY]],Movement!$O$4:$O$2136,'Cash Balance'!$A$2)</f>
        <v>0</v>
      </c>
      <c r="K282" s="1084">
        <f>Table11[[#This Row],[CASH IN - CREDIT (VND)]]-Table11[[#This Row],[CASH OUT - DEBIT (VND)]]</f>
        <v>0</v>
      </c>
      <c r="L282" s="1095">
        <f t="shared" si="26"/>
        <v>0</v>
      </c>
      <c r="M282" s="1184" t="e">
        <f>VLOOKUP(C282,'Cash balance (BS)'!A:D,4,)</f>
        <v>#N/A</v>
      </c>
      <c r="N282" s="1095" t="e">
        <f>Table11[[#This Row],[CLOSING BALANCE (VND)2]]-Table11[[#This Row],[CB_BS (VND)]]</f>
        <v>#N/A</v>
      </c>
      <c r="O282" s="1094">
        <v>0</v>
      </c>
      <c r="P282" s="1095">
        <f t="shared" si="27"/>
        <v>0</v>
      </c>
      <c r="Q282" s="817">
        <f>SUMIFS('Cash balance (Prior period)'!G:G,'Cash balance (Prior period)'!C:C,Table11[[#This Row],[ACCOUNT NUMBER]],'Cash balance (Prior period)'!E:E,Table11[[#This Row],[CURRENCY]])</f>
        <v>0</v>
      </c>
      <c r="R282" s="817">
        <f>SUMIFS(Movement!$F$4:$F$2136,Movement!$M$4:$M$2136,"USD",Movement!$C$4:$C$2136,Table11[[#This Row],[ACCOUNT NUMBER]],Movement!$J$4:$J$2136,Table11[[#This Row],[ENTITY]],Movement!$O$4:$O$2136,'Cash Balance'!$A$2)</f>
        <v>0</v>
      </c>
      <c r="S282" s="817">
        <f>SUMIFS(Movement!$G$4:$G$2136,Movement!$M$4:$M$2136,"USD",Movement!$C$4:$C$2136,Table11[[#This Row],[ACCOUNT NUMBER]],Movement!$J$4:$J$2136,Table11[[#This Row],[ENTITY]],Movement!$O$4:$O$2136,'Cash Balance'!$A$2)</f>
        <v>0</v>
      </c>
      <c r="T282" s="1087">
        <f t="shared" si="28"/>
        <v>0</v>
      </c>
      <c r="U282" s="817"/>
      <c r="V282" s="817">
        <f>Table11[[#This Row],[CLOSING BALANCE (USD)]]-Table11[[#This Row],[CB_BS (USD)]]</f>
        <v>0</v>
      </c>
      <c r="W282" s="1156" t="str">
        <f>VLOOKUP('Cash Balance'!$C282,Table2[#All],MATCH('Cash Balance'!W$3,Acc_Char!$B$1:$I$1,0),0)</f>
        <v>Subsidiaries</v>
      </c>
      <c r="X282" s="1156" t="str">
        <f>VLOOKUP(IFERROR(MID($Y282,1,FIND("-",$Y282)-2),$Y282),Table3[#All],2,0)</f>
        <v>VTB</v>
      </c>
      <c r="Y282" s="1156" t="str">
        <f>VLOOKUP($B282,Table4[#All],2,0)</f>
        <v>VIETINBANK - TIEN SON</v>
      </c>
      <c r="Z282" s="1151"/>
      <c r="AA282" s="49"/>
      <c r="AE282" s="818">
        <f>SUM(Table11[[#This Row],[CASH IN - CREDIT (VND)]],Table11[[#This Row],[CASH IN - CREDIT (USD)]])</f>
        <v>0</v>
      </c>
      <c r="AF282" s="818">
        <f>Table11[[#This Row],[CASH OUT - DEBIT (VND)]]+Table11[[#This Row],[CASH OUT - DEBIT (USD)]]</f>
        <v>0</v>
      </c>
      <c r="AH282" s="1158"/>
      <c r="AI282" s="49"/>
      <c r="AJ282" s="1158"/>
      <c r="AL282"/>
    </row>
    <row r="283" spans="1:38" ht="14.4">
      <c r="A283" s="1153" t="str">
        <f>VLOOKUP('Cash Balance'!$C283,Table2[#All],MATCH('Cash Balance'!A$3,Acc_Char!$B$1:$I$1,0),0)</f>
        <v>BAU BANG 3</v>
      </c>
      <c r="B283" s="1154" t="str">
        <f>VLOOKUP('Cash Balance'!$C283,Table2[#All],MATCH('Cash Balance'!B$3,Acc_Char!$B$1:$I$1,0),0)</f>
        <v>VIETINBANK - BINH DUONG</v>
      </c>
      <c r="C283" s="1190" t="s">
        <v>853</v>
      </c>
      <c r="D283" s="1156" t="str">
        <f>VLOOKUP('Cash Balance'!$C283,Table2[#All],MATCH('Cash Balance'!D$3,Acc_Char!$B$1:$I$1,0),0)</f>
        <v>Saving Account</v>
      </c>
      <c r="E283" s="384" t="str">
        <f>VLOOKUP('Cash Balance'!$C283,Table2[#All],MATCH('Cash Balance'!E$3,Acc_Char!$B$1:$I$1,0),0)</f>
        <v>VND</v>
      </c>
      <c r="F283" s="1094" t="e">
        <f>VLOOKUP(C283,'Cash balance (BS)'!A:C,3,)</f>
        <v>#N/A</v>
      </c>
      <c r="G283" s="1157" t="e">
        <f t="shared" si="29"/>
        <v>#N/A</v>
      </c>
      <c r="H283" s="1318">
        <f>SUMIFS('Cash balance (Prior period)'!F:F,'Cash balance (Prior period)'!C:C,Table11[[#This Row],[ACCOUNT NUMBER]],'Cash balance (Prior period)'!E:E,Table11[[#This Row],[CURRENCY]])</f>
        <v>500000000</v>
      </c>
      <c r="I283" s="1318">
        <f>SUMIFS(Movement!$F$4:$F$2136,Movement!$M$4:$M$2136,"VND",Movement!$C$4:$C$2136,Table11[[#This Row],[ACCOUNT NUMBER]],Movement!$J$4:$J$2136,Table11[[#This Row],[ENTITY]],Movement!$O$4:$O$2136,'Cash Balance'!$A$2)</f>
        <v>0</v>
      </c>
      <c r="J283" s="1318">
        <f>SUMIFS(Movement!$G$4:$G$2136,Movement!$M$4:$M$2136,"VND",Movement!$C$4:$C$2136,Table11[[#This Row],[ACCOUNT NUMBER]],Movement!$J$4:$J$2136,Table11[[#This Row],[ENTITY]],Movement!$O$4:$O$2136,'Cash Balance'!$A$2)</f>
        <v>0</v>
      </c>
      <c r="K283" s="1084">
        <f>Table11[[#This Row],[CASH IN - CREDIT (VND)]]-Table11[[#This Row],[CASH OUT - DEBIT (VND)]]</f>
        <v>0</v>
      </c>
      <c r="L283" s="1095">
        <f t="shared" si="26"/>
        <v>500000000</v>
      </c>
      <c r="M283" s="1184" t="e">
        <f>VLOOKUP(C283,'Cash balance (BS)'!A:D,4,)</f>
        <v>#N/A</v>
      </c>
      <c r="N283" s="1095" t="e">
        <f>Table11[[#This Row],[CLOSING BALANCE (VND)2]]-Table11[[#This Row],[CB_BS (VND)]]</f>
        <v>#N/A</v>
      </c>
      <c r="O283" s="1094">
        <v>0</v>
      </c>
      <c r="P283" s="1095">
        <f t="shared" si="27"/>
        <v>0</v>
      </c>
      <c r="Q283" s="817">
        <f>SUMIFS('Cash balance (Prior period)'!G:G,'Cash balance (Prior period)'!C:C,Table11[[#This Row],[ACCOUNT NUMBER]],'Cash balance (Prior period)'!E:E,Table11[[#This Row],[CURRENCY]])</f>
        <v>0</v>
      </c>
      <c r="R283" s="817">
        <f>SUMIFS(Movement!$F$4:$F$2136,Movement!$M$4:$M$2136,"USD",Movement!$C$4:$C$2136,Table11[[#This Row],[ACCOUNT NUMBER]],Movement!$J$4:$J$2136,Table11[[#This Row],[ENTITY]],Movement!$O$4:$O$2136,'Cash Balance'!$A$2)</f>
        <v>0</v>
      </c>
      <c r="S283" s="817">
        <f>SUMIFS(Movement!$G$4:$G$2136,Movement!$M$4:$M$2136,"USD",Movement!$C$4:$C$2136,Table11[[#This Row],[ACCOUNT NUMBER]],Movement!$J$4:$J$2136,Table11[[#This Row],[ENTITY]],Movement!$O$4:$O$2136,'Cash Balance'!$A$2)</f>
        <v>0</v>
      </c>
      <c r="T283" s="1087">
        <f t="shared" si="28"/>
        <v>0</v>
      </c>
      <c r="U283" s="817"/>
      <c r="V283" s="817">
        <f>Table11[[#This Row],[CLOSING BALANCE (USD)]]-Table11[[#This Row],[CB_BS (USD)]]</f>
        <v>0</v>
      </c>
      <c r="W283" s="1156" t="str">
        <f>VLOOKUP('Cash Balance'!$C283,Table2[#All],MATCH('Cash Balance'!W$3,Acc_Char!$B$1:$I$1,0),0)</f>
        <v>Subsidiaries</v>
      </c>
      <c r="X283" s="1156" t="str">
        <f>VLOOKUP(IFERROR(MID($Y283,1,FIND("-",$Y283)-2),$Y283),Table3[#All],2,0)</f>
        <v>VTB</v>
      </c>
      <c r="Y283" s="1156" t="str">
        <f>VLOOKUP($B283,Table4[#All],2,0)</f>
        <v>VIETINBANK - BINH DUONG + QM</v>
      </c>
      <c r="Z283" s="1151"/>
      <c r="AA283" s="49"/>
      <c r="AE283" s="818">
        <f>SUM(Table11[[#This Row],[CASH IN - CREDIT (VND)]],Table11[[#This Row],[CASH IN - CREDIT (USD)]])</f>
        <v>0</v>
      </c>
      <c r="AF283" s="818">
        <f>Table11[[#This Row],[CASH OUT - DEBIT (VND)]]+Table11[[#This Row],[CASH OUT - DEBIT (USD)]]</f>
        <v>0</v>
      </c>
      <c r="AH283" s="1158"/>
      <c r="AI283" s="49"/>
      <c r="AJ283" s="1158"/>
      <c r="AL283"/>
    </row>
    <row r="284" spans="1:38" ht="14.4">
      <c r="A284" s="1153" t="str">
        <f>VLOOKUP('Cash Balance'!$C284,Table2[#All],MATCH('Cash Balance'!A$3,Acc_Char!$B$1:$I$1,0),0)</f>
        <v>BAU BANG 4</v>
      </c>
      <c r="B284" s="1154" t="str">
        <f>VLOOKUP('Cash Balance'!$C284,Table2[#All],MATCH('Cash Balance'!B$3,Acc_Char!$B$1:$I$1,0),0)</f>
        <v>VIETINBANK - BINH DUONG</v>
      </c>
      <c r="C284" s="1190" t="s">
        <v>854</v>
      </c>
      <c r="D284" s="1156" t="str">
        <f>VLOOKUP('Cash Balance'!$C284,Table2[#All],MATCH('Cash Balance'!D$3,Acc_Char!$B$1:$I$1,0),0)</f>
        <v>Saving Account</v>
      </c>
      <c r="E284" s="384" t="str">
        <f>VLOOKUP('Cash Balance'!$C284,Table2[#All],MATCH('Cash Balance'!E$3,Acc_Char!$B$1:$I$1,0),0)</f>
        <v>VND</v>
      </c>
      <c r="F284" s="1094" t="e">
        <f>VLOOKUP(C284,'Cash balance (BS)'!A:C,3,)</f>
        <v>#N/A</v>
      </c>
      <c r="G284" s="1157" t="e">
        <f t="shared" si="29"/>
        <v>#N/A</v>
      </c>
      <c r="H284" s="1318">
        <f>SUMIFS('Cash balance (Prior period)'!F:F,'Cash balance (Prior period)'!C:C,Table11[[#This Row],[ACCOUNT NUMBER]],'Cash balance (Prior period)'!E:E,Table11[[#This Row],[CURRENCY]])</f>
        <v>0</v>
      </c>
      <c r="I284" s="1318">
        <f>SUMIFS(Movement!$F$4:$F$2136,Movement!$M$4:$M$2136,"VND",Movement!$C$4:$C$2136,Table11[[#This Row],[ACCOUNT NUMBER]],Movement!$J$4:$J$2136,Table11[[#This Row],[ENTITY]],Movement!$O$4:$O$2136,'Cash Balance'!$A$2)</f>
        <v>0</v>
      </c>
      <c r="J284" s="1318">
        <f>SUMIFS(Movement!$G$4:$G$2136,Movement!$M$4:$M$2136,"VND",Movement!$C$4:$C$2136,Table11[[#This Row],[ACCOUNT NUMBER]],Movement!$J$4:$J$2136,Table11[[#This Row],[ENTITY]],Movement!$O$4:$O$2136,'Cash Balance'!$A$2)</f>
        <v>0</v>
      </c>
      <c r="K284" s="1084">
        <f>Table11[[#This Row],[CASH IN - CREDIT (VND)]]-Table11[[#This Row],[CASH OUT - DEBIT (VND)]]</f>
        <v>0</v>
      </c>
      <c r="L284" s="1095">
        <f t="shared" si="26"/>
        <v>0</v>
      </c>
      <c r="M284" s="1184" t="e">
        <f>VLOOKUP(C284,'Cash balance (BS)'!A:D,4,)</f>
        <v>#N/A</v>
      </c>
      <c r="N284" s="1095" t="e">
        <f>Table11[[#This Row],[CLOSING BALANCE (VND)2]]-Table11[[#This Row],[CB_BS (VND)]]</f>
        <v>#N/A</v>
      </c>
      <c r="O284" s="1094">
        <v>0</v>
      </c>
      <c r="P284" s="1095">
        <f t="shared" si="27"/>
        <v>0</v>
      </c>
      <c r="Q284" s="817">
        <f>SUMIFS('Cash balance (Prior period)'!G:G,'Cash balance (Prior period)'!C:C,Table11[[#This Row],[ACCOUNT NUMBER]],'Cash balance (Prior period)'!E:E,Table11[[#This Row],[CURRENCY]])</f>
        <v>0</v>
      </c>
      <c r="R284" s="817">
        <f>SUMIFS(Movement!$F$4:$F$2136,Movement!$M$4:$M$2136,"USD",Movement!$C$4:$C$2136,Table11[[#This Row],[ACCOUNT NUMBER]],Movement!$J$4:$J$2136,Table11[[#This Row],[ENTITY]],Movement!$O$4:$O$2136,'Cash Balance'!$A$2)</f>
        <v>0</v>
      </c>
      <c r="S284" s="817">
        <f>SUMIFS(Movement!$G$4:$G$2136,Movement!$M$4:$M$2136,"USD",Movement!$C$4:$C$2136,Table11[[#This Row],[ACCOUNT NUMBER]],Movement!$J$4:$J$2136,Table11[[#This Row],[ENTITY]],Movement!$O$4:$O$2136,'Cash Balance'!$A$2)</f>
        <v>0</v>
      </c>
      <c r="T284" s="1087">
        <f t="shared" si="28"/>
        <v>0</v>
      </c>
      <c r="U284" s="817"/>
      <c r="V284" s="817">
        <f>Table11[[#This Row],[CLOSING BALANCE (USD)]]-Table11[[#This Row],[CB_BS (USD)]]</f>
        <v>0</v>
      </c>
      <c r="W284" s="1156" t="str">
        <f>VLOOKUP('Cash Balance'!$C284,Table2[#All],MATCH('Cash Balance'!W$3,Acc_Char!$B$1:$I$1,0),0)</f>
        <v>Subsidiaries</v>
      </c>
      <c r="X284" s="1156" t="str">
        <f>VLOOKUP(IFERROR(MID($Y284,1,FIND("-",$Y284)-2),$Y284),Table3[#All],2,0)</f>
        <v>VTB</v>
      </c>
      <c r="Y284" s="1156" t="str">
        <f>VLOOKUP($B284,Table4[#All],2,0)</f>
        <v>VIETINBANK - BINH DUONG + QM</v>
      </c>
      <c r="Z284" s="1151"/>
      <c r="AA284" s="49"/>
      <c r="AE284" s="818">
        <f>SUM(Table11[[#This Row],[CASH IN - CREDIT (VND)]],Table11[[#This Row],[CASH IN - CREDIT (USD)]])</f>
        <v>0</v>
      </c>
      <c r="AF284" s="818">
        <f>Table11[[#This Row],[CASH OUT - DEBIT (VND)]]+Table11[[#This Row],[CASH OUT - DEBIT (USD)]]</f>
        <v>0</v>
      </c>
      <c r="AH284" s="1158"/>
      <c r="AI284" s="49"/>
      <c r="AJ284" s="1158"/>
      <c r="AL284"/>
    </row>
    <row r="285" spans="1:38" s="1368" customFormat="1" ht="14.4">
      <c r="A285" s="1153" t="str">
        <f>VLOOKUP('Cash Balance'!$C285,Table2[#All],MATCH('Cash Balance'!A$3,Acc_Char!$B$1:$I$1,0),0)</f>
        <v>BWID HAI DUONG</v>
      </c>
      <c r="B285" s="1154" t="str">
        <f>VLOOKUP('Cash Balance'!$C285,Table2[#All],MATCH('Cash Balance'!B$3,Acc_Char!$B$1:$I$1,0),0)</f>
        <v>VIETINBANK - TIEN SON</v>
      </c>
      <c r="C285" s="1190" t="s">
        <v>855</v>
      </c>
      <c r="D285" s="1156" t="str">
        <f>VLOOKUP('Cash Balance'!$C285,Table2[#All],MATCH('Cash Balance'!D$3,Acc_Char!$B$1:$I$1,0),0)</f>
        <v>Saving Account</v>
      </c>
      <c r="E285" s="384" t="str">
        <f>VLOOKUP('Cash Balance'!$C285,Table2[#All],MATCH('Cash Balance'!E$3,Acc_Char!$B$1:$I$1,0),0)</f>
        <v>VND</v>
      </c>
      <c r="F285" s="1230" t="e">
        <f>VLOOKUP(C285,'Cash balance (BS)'!A:C,3,)</f>
        <v>#N/A</v>
      </c>
      <c r="G285" s="1157" t="e">
        <f>F285-H285</f>
        <v>#N/A</v>
      </c>
      <c r="H285" s="1319">
        <f>SUMIFS('Cash balance (Prior period)'!F:F,'Cash balance (Prior period)'!C:C,Table11[[#This Row],[ACCOUNT NUMBER]],'Cash balance (Prior period)'!E:E,Table11[[#This Row],[CURRENCY]])</f>
        <v>0</v>
      </c>
      <c r="I285" s="1319">
        <f>SUMIFS(Movement!$F$4:$F$2136,Movement!$M$4:$M$2136,"VND",Movement!$C$4:$C$2136,Table11[[#This Row],[ACCOUNT NUMBER]],Movement!$J$4:$J$2136,Table11[[#This Row],[ENTITY]],Movement!$O$4:$O$2136,'Cash Balance'!$A$2)</f>
        <v>0</v>
      </c>
      <c r="J285" s="1319">
        <f>SUMIFS(Movement!$G$4:$G$2136,Movement!$M$4:$M$2136,"VND",Movement!$C$4:$C$2136,Table11[[#This Row],[ACCOUNT NUMBER]],Movement!$J$4:$J$2136,Table11[[#This Row],[ENTITY]],Movement!$O$4:$O$2136,'Cash Balance'!$A$2)</f>
        <v>0</v>
      </c>
      <c r="K285" s="1224">
        <f>Table11[[#This Row],[CASH IN - CREDIT (VND)]]-Table11[[#This Row],[CASH OUT - DEBIT (VND)]]</f>
        <v>0</v>
      </c>
      <c r="L285" s="1225">
        <f>H285+I285-J285</f>
        <v>0</v>
      </c>
      <c r="M285" s="1184" t="e">
        <f>VLOOKUP(C285,'Cash balance (BS)'!A:D,4,)</f>
        <v>#N/A</v>
      </c>
      <c r="N285" s="1225" t="e">
        <f>Table11[[#This Row],[CLOSING BALANCE (VND)2]]-Table11[[#This Row],[CB_BS (VND)]]</f>
        <v>#N/A</v>
      </c>
      <c r="O285" s="1230">
        <v>0</v>
      </c>
      <c r="P285" s="1225">
        <f>O285-Q285</f>
        <v>0</v>
      </c>
      <c r="Q285" s="1285">
        <f>SUMIFS('Cash balance (Prior period)'!G:G,'Cash balance (Prior period)'!C:C,Table11[[#This Row],[ACCOUNT NUMBER]],'Cash balance (Prior period)'!E:E,Table11[[#This Row],[CURRENCY]])</f>
        <v>0</v>
      </c>
      <c r="R285" s="1285">
        <f>SUMIFS(Movement!$F$4:$F$2136,Movement!$M$4:$M$2136,"USD",Movement!$C$4:$C$2136,Table11[[#This Row],[ACCOUNT NUMBER]],Movement!$J$4:$J$2136,Table11[[#This Row],[ENTITY]],Movement!$O$4:$O$2136,'Cash Balance'!$A$2)</f>
        <v>0</v>
      </c>
      <c r="S285" s="1285">
        <f>SUMIFS(Movement!$G$4:$G$2136,Movement!$M$4:$M$2136,"USD",Movement!$C$4:$C$2136,Table11[[#This Row],[ACCOUNT NUMBER]],Movement!$J$4:$J$2136,Table11[[#This Row],[ENTITY]],Movement!$O$4:$O$2136,'Cash Balance'!$A$2)</f>
        <v>0</v>
      </c>
      <c r="T285" s="1236">
        <f>Q285+R285-S285</f>
        <v>0</v>
      </c>
      <c r="U285" s="1285"/>
      <c r="V285" s="1285">
        <f>Table11[[#This Row],[CLOSING BALANCE (USD)]]-Table11[[#This Row],[CB_BS (USD)]]</f>
        <v>0</v>
      </c>
      <c r="W285" s="1156" t="str">
        <f>VLOOKUP('Cash Balance'!$C285,Table2[#All],MATCH('Cash Balance'!W$3,Acc_Char!$B$1:$I$1,0),0)</f>
        <v>Subsidiaries</v>
      </c>
      <c r="X285" s="1156" t="str">
        <f>VLOOKUP(IFERROR(MID($Y285,1,FIND("-",$Y285)-2),$Y285),Table3[#All],2,0)</f>
        <v>VTB</v>
      </c>
      <c r="Y285" s="1156" t="str">
        <f>VLOOKUP($B285,Table4[#All],2,0)</f>
        <v>VIETINBANK - TIEN SON</v>
      </c>
      <c r="Z285" s="1151"/>
      <c r="AA285" s="49"/>
      <c r="AB285" s="2"/>
      <c r="AC285" s="2"/>
      <c r="AD285" s="2"/>
      <c r="AE285" s="31">
        <f>SUM(Table11[[#This Row],[CASH IN - CREDIT (VND)]],Table11[[#This Row],[CASH IN - CREDIT (USD)]])</f>
        <v>0</v>
      </c>
      <c r="AF285" s="31">
        <f>Table11[[#This Row],[CASH OUT - DEBIT (VND)]]+Table11[[#This Row],[CASH OUT - DEBIT (USD)]]</f>
        <v>0</v>
      </c>
      <c r="AG285" s="2"/>
      <c r="AH285" s="1158"/>
      <c r="AI285" s="49"/>
      <c r="AJ285" s="1158"/>
      <c r="AK285" s="2"/>
      <c r="AL285"/>
    </row>
    <row r="286" spans="1:38" ht="14.4">
      <c r="A286" s="1153" t="str">
        <f>VLOOKUP('Cash Balance'!$C286,Table2[#All],MATCH('Cash Balance'!A$3,Acc_Char!$B$1:$I$1,0),0)</f>
        <v>SUPPLY CHAIN 2A</v>
      </c>
      <c r="B286" s="1154" t="str">
        <f>VLOOKUP('Cash Balance'!$C286,Table2[#All],MATCH('Cash Balance'!B$3,Acc_Char!$B$1:$I$1,0),0)</f>
        <v>VIB - HOI SO</v>
      </c>
      <c r="C286" s="1190" t="s">
        <v>856</v>
      </c>
      <c r="D286" s="1156" t="str">
        <f>VLOOKUP('Cash Balance'!$C286,Table2[#All],MATCH('Cash Balance'!D$3,Acc_Char!$B$1:$I$1,0),0)</f>
        <v>Current Account</v>
      </c>
      <c r="E286" s="384" t="str">
        <f>VLOOKUP('Cash Balance'!$C286,Table2[#All],MATCH('Cash Balance'!E$3,Acc_Char!$B$1:$I$1,0),0)</f>
        <v>VND</v>
      </c>
      <c r="F286" s="1094" t="e">
        <f>VLOOKUP(C286,'Cash balance (BS)'!A:C,3,)</f>
        <v>#N/A</v>
      </c>
      <c r="G286" s="1157" t="e">
        <f t="shared" si="29"/>
        <v>#N/A</v>
      </c>
      <c r="H286" s="1318">
        <f>SUMIFS('Cash balance (Prior period)'!F:F,'Cash balance (Prior period)'!C:C,Table11[[#This Row],[ACCOUNT NUMBER]],'Cash balance (Prior period)'!E:E,Table11[[#This Row],[CURRENCY]])</f>
        <v>241255779</v>
      </c>
      <c r="I286" s="1318">
        <f>SUMIFS(Movement!$F$4:$F$2136,Movement!$M$4:$M$2136,"VND",Movement!$C$4:$C$2136,Table11[[#This Row],[ACCOUNT NUMBER]],Movement!$J$4:$J$2136,Table11[[#This Row],[ENTITY]],Movement!$O$4:$O$2136,'Cash Balance'!$A$2)</f>
        <v>0</v>
      </c>
      <c r="J286" s="1318">
        <f>SUMIFS(Movement!$G$4:$G$2136,Movement!$M$4:$M$2136,"VND",Movement!$C$4:$C$2136,Table11[[#This Row],[ACCOUNT NUMBER]],Movement!$J$4:$J$2136,Table11[[#This Row],[ENTITY]],Movement!$O$4:$O$2136,'Cash Balance'!$A$2)</f>
        <v>0</v>
      </c>
      <c r="K286" s="1084">
        <f>Table11[[#This Row],[CASH IN - CREDIT (VND)]]-Table11[[#This Row],[CASH OUT - DEBIT (VND)]]</f>
        <v>0</v>
      </c>
      <c r="L286" s="1095">
        <f t="shared" si="26"/>
        <v>241255779</v>
      </c>
      <c r="M286" s="1184" t="e">
        <f>VLOOKUP(C286,'Cash balance (BS)'!A:D,4,)</f>
        <v>#N/A</v>
      </c>
      <c r="N286" s="1095" t="e">
        <f>Table11[[#This Row],[CLOSING BALANCE (VND)2]]-Table11[[#This Row],[CB_BS (VND)]]</f>
        <v>#N/A</v>
      </c>
      <c r="O286" s="1094">
        <v>0</v>
      </c>
      <c r="P286" s="1095">
        <f t="shared" si="27"/>
        <v>0</v>
      </c>
      <c r="Q286" s="817">
        <f>SUMIFS('Cash balance (Prior period)'!G:G,'Cash balance (Prior period)'!C:C,Table11[[#This Row],[ACCOUNT NUMBER]],'Cash balance (Prior period)'!E:E,Table11[[#This Row],[CURRENCY]])</f>
        <v>0</v>
      </c>
      <c r="R286" s="817">
        <f>SUMIFS(Movement!$F$4:$F$2136,Movement!$M$4:$M$2136,"USD",Movement!$C$4:$C$2136,Table11[[#This Row],[ACCOUNT NUMBER]],Movement!$J$4:$J$2136,Table11[[#This Row],[ENTITY]],Movement!$O$4:$O$2136,'Cash Balance'!$A$2)</f>
        <v>0</v>
      </c>
      <c r="S286" s="817">
        <f>SUMIFS(Movement!$G$4:$G$2136,Movement!$M$4:$M$2136,"USD",Movement!$C$4:$C$2136,Table11[[#This Row],[ACCOUNT NUMBER]],Movement!$J$4:$J$2136,Table11[[#This Row],[ENTITY]],Movement!$O$4:$O$2136,'Cash Balance'!$A$2)</f>
        <v>0</v>
      </c>
      <c r="T286" s="1087">
        <f t="shared" si="28"/>
        <v>0</v>
      </c>
      <c r="U286" s="817"/>
      <c r="V286" s="817">
        <f>Table11[[#This Row],[CLOSING BALANCE (USD)]]-Table11[[#This Row],[CB_BS (USD)]]</f>
        <v>0</v>
      </c>
      <c r="W286" s="1156" t="str">
        <f>VLOOKUP('Cash Balance'!$C286,Table2[#All],MATCH('Cash Balance'!W$3,Acc_Char!$B$1:$I$1,0),0)</f>
        <v>Subsidiaries</v>
      </c>
      <c r="X286" s="1156" t="str">
        <f>VLOOKUP(IFERROR(MID($Y286,1,FIND("-",$Y286)-2),$Y286),Table3[#All],2,0)</f>
        <v>VIB</v>
      </c>
      <c r="Y286" s="1156" t="str">
        <f>VLOOKUP($B286,Table4[#All],2,0)</f>
        <v>VIB - HOI SO</v>
      </c>
      <c r="Z286" s="1151"/>
      <c r="AA286" s="49"/>
      <c r="AH286" s="1158"/>
      <c r="AI286" s="49"/>
      <c r="AJ286" s="1158"/>
      <c r="AL286"/>
    </row>
    <row r="287" spans="1:38" ht="14.4">
      <c r="A287" s="1153" t="str">
        <f>VLOOKUP('Cash Balance'!$C287,Table2[#All],MATCH('Cash Balance'!A$3,Acc_Char!$B$1:$I$1,0),0)</f>
        <v>THUAN DAO</v>
      </c>
      <c r="B287" s="1154" t="str">
        <f>VLOOKUP('Cash Balance'!$C287,Table2[#All],MATCH('Cash Balance'!B$3,Acc_Char!$B$1:$I$1,0),0)</f>
        <v>VIETINBANK - TPHCM</v>
      </c>
      <c r="C287" s="1190" t="s">
        <v>858</v>
      </c>
      <c r="D287" s="1156" t="str">
        <f>VLOOKUP('Cash Balance'!$C287,Table2[#All],MATCH('Cash Balance'!D$3,Acc_Char!$B$1:$I$1,0),0)</f>
        <v>Current Account</v>
      </c>
      <c r="E287" s="384" t="str">
        <f>VLOOKUP('Cash Balance'!$C287,Table2[#All],MATCH('Cash Balance'!E$3,Acc_Char!$B$1:$I$1,0),0)</f>
        <v>VND</v>
      </c>
      <c r="F287" s="1094"/>
      <c r="G287" s="1157"/>
      <c r="H287" s="1318">
        <f>SUMIFS('Cash balance (Prior period)'!F:F,'Cash balance (Prior period)'!C:C,Table11[[#This Row],[ACCOUNT NUMBER]],'Cash balance (Prior period)'!E:E,Table11[[#This Row],[CURRENCY]])</f>
        <v>385290600</v>
      </c>
      <c r="I287" s="1318">
        <f>SUMIFS(Movement!$F$4:$F$2136,Movement!$M$4:$M$2136,"VND",Movement!$C$4:$C$2136,Table11[[#This Row],[ACCOUNT NUMBER]],Movement!$J$4:$J$2136,Table11[[#This Row],[ENTITY]],Movement!$O$4:$O$2136,'Cash Balance'!$A$2)</f>
        <v>3012102740</v>
      </c>
      <c r="J287" s="1318">
        <f>SUMIFS(Movement!$G$4:$G$2136,Movement!$M$4:$M$2136,"VND",Movement!$C$4:$C$2136,Table11[[#This Row],[ACCOUNT NUMBER]],Movement!$J$4:$J$2136,Table11[[#This Row],[ENTITY]],Movement!$O$4:$O$2136,'Cash Balance'!$A$2)</f>
        <v>1663452626</v>
      </c>
      <c r="K287" s="1084">
        <f>Table11[[#This Row],[CASH IN - CREDIT (VND)]]-Table11[[#This Row],[CASH OUT - DEBIT (VND)]]</f>
        <v>1348650114</v>
      </c>
      <c r="L287" s="1095">
        <f t="shared" si="26"/>
        <v>1733940714</v>
      </c>
      <c r="M287" s="1184" t="e">
        <f>VLOOKUP(C287,'Cash balance (BS)'!A:D,4,)</f>
        <v>#N/A</v>
      </c>
      <c r="N287" s="1095" t="e">
        <f>Table11[[#This Row],[CLOSING BALANCE (VND)2]]-Table11[[#This Row],[CB_BS (VND)]]</f>
        <v>#N/A</v>
      </c>
      <c r="O287" s="1094">
        <v>0</v>
      </c>
      <c r="P287" s="1095">
        <f t="shared" si="27"/>
        <v>0</v>
      </c>
      <c r="Q287" s="817">
        <f>SUMIFS('Cash balance (Prior period)'!G:G,'Cash balance (Prior period)'!C:C,Table11[[#This Row],[ACCOUNT NUMBER]],'Cash balance (Prior period)'!E:E,Table11[[#This Row],[CURRENCY]])</f>
        <v>0</v>
      </c>
      <c r="R287" s="817">
        <f>SUMIFS(Movement!$F$4:$F$2136,Movement!$M$4:$M$2136,"USD",Movement!$C$4:$C$2136,Table11[[#This Row],[ACCOUNT NUMBER]],Movement!$J$4:$J$2136,Table11[[#This Row],[ENTITY]],Movement!$O$4:$O$2136,'Cash Balance'!$A$2)</f>
        <v>0</v>
      </c>
      <c r="S287" s="817">
        <f>SUMIFS(Movement!$G$4:$G$2136,Movement!$M$4:$M$2136,"USD",Movement!$C$4:$C$2136,Table11[[#This Row],[ACCOUNT NUMBER]],Movement!$J$4:$J$2136,Table11[[#This Row],[ENTITY]],Movement!$O$4:$O$2136,'Cash Balance'!$A$2)</f>
        <v>0</v>
      </c>
      <c r="T287" s="1087">
        <f t="shared" si="28"/>
        <v>0</v>
      </c>
      <c r="U287" s="817" t="e">
        <f>VLOOKUP(C287,'Cash balance (BS)'!A:D,4,)</f>
        <v>#N/A</v>
      </c>
      <c r="V287" s="817" t="e">
        <f>Table11[[#This Row],[CLOSING BALANCE (USD)]]-Table11[[#This Row],[CB_BS (USD)]]</f>
        <v>#N/A</v>
      </c>
      <c r="W287" s="1156" t="str">
        <f>VLOOKUP('Cash Balance'!$C287,Table2[#All],MATCH('Cash Balance'!W$3,Acc_Char!$B$1:$I$1,0),0)</f>
        <v>Subsidiaries</v>
      </c>
      <c r="X287" s="1156" t="str">
        <f>VLOOKUP(IFERROR(MID($Y287,1,FIND("-",$Y287)-2),$Y287),Table3[#All],2,0)</f>
        <v>VTB</v>
      </c>
      <c r="Y287" s="1156" t="str">
        <f>VLOOKUP($B287,Table4[#All],2,0)</f>
        <v>VIETINBANK - TPHCM</v>
      </c>
      <c r="Z287" s="1151"/>
      <c r="AA287" s="49"/>
      <c r="AH287" s="1158"/>
      <c r="AI287" s="49"/>
      <c r="AJ287" s="1158"/>
      <c r="AL287"/>
    </row>
    <row r="288" spans="1:38" ht="14.4">
      <c r="A288" s="1153" t="str">
        <f>VLOOKUP('Cash Balance'!$C288,Table2[#All],MATCH('Cash Balance'!A$3,Acc_Char!$B$1:$I$1,0),0)</f>
        <v>WPJV 2A</v>
      </c>
      <c r="B288" s="1154" t="str">
        <f>VLOOKUP('Cash Balance'!$C288,Table2[#All],MATCH('Cash Balance'!B$3,Acc_Char!$B$1:$I$1,0),0)</f>
        <v>VIETINBANK - TPHCM</v>
      </c>
      <c r="C288" s="1190" t="s">
        <v>860</v>
      </c>
      <c r="D288" s="1156" t="str">
        <f>VLOOKUP('Cash Balance'!$C288,Table2[#All],MATCH('Cash Balance'!D$3,Acc_Char!$B$1:$I$1,0),0)</f>
        <v>Current Account</v>
      </c>
      <c r="E288" s="384" t="str">
        <f>VLOOKUP('Cash Balance'!$C288,Table2[#All],MATCH('Cash Balance'!E$3,Acc_Char!$B$1:$I$1,0),0)</f>
        <v>VND</v>
      </c>
      <c r="F288" s="1094" t="e">
        <f>VLOOKUP(C288,'Cash balance (BS)'!A:C,3,)</f>
        <v>#N/A</v>
      </c>
      <c r="G288" s="1157" t="e">
        <f>F288-H288</f>
        <v>#N/A</v>
      </c>
      <c r="H288" s="1318">
        <f>SUMIFS('Cash balance (Prior period)'!F:F,'Cash balance (Prior period)'!C:C,Table11[[#This Row],[ACCOUNT NUMBER]],'Cash balance (Prior period)'!E:E,Table11[[#This Row],[CURRENCY]])</f>
        <v>59633602</v>
      </c>
      <c r="I288" s="1318">
        <f>SUMIFS(Movement!$F$4:$F$2136,Movement!$M$4:$M$2136,"VND",Movement!$C$4:$C$2136,Table11[[#This Row],[ACCOUNT NUMBER]],Movement!$J$4:$J$2136,Table11[[#This Row],[ENTITY]],Movement!$O$4:$O$2136,'Cash Balance'!$A$2)</f>
        <v>1815411</v>
      </c>
      <c r="J288" s="1318">
        <f>SUMIFS(Movement!$G$4:$G$2136,Movement!$M$4:$M$2136,"VND",Movement!$C$4:$C$2136,Table11[[#This Row],[ACCOUNT NUMBER]],Movement!$J$4:$J$2136,Table11[[#This Row],[ENTITY]],Movement!$O$4:$O$2136,'Cash Balance'!$A$2)</f>
        <v>0</v>
      </c>
      <c r="K288" s="1084">
        <f>Table11[[#This Row],[CASH IN - CREDIT (VND)]]-Table11[[#This Row],[CASH OUT - DEBIT (VND)]]</f>
        <v>1815411</v>
      </c>
      <c r="L288" s="1095">
        <f t="shared" si="26"/>
        <v>61449013</v>
      </c>
      <c r="M288" s="1184" t="e">
        <f>VLOOKUP(C288,'Cash balance (BS)'!A:D,4,)</f>
        <v>#N/A</v>
      </c>
      <c r="N288" s="1095" t="e">
        <f>Table11[[#This Row],[CLOSING BALANCE (VND)2]]-Table11[[#This Row],[CB_BS (VND)]]</f>
        <v>#N/A</v>
      </c>
      <c r="O288" s="1094">
        <v>0</v>
      </c>
      <c r="P288" s="1095">
        <f t="shared" si="27"/>
        <v>0</v>
      </c>
      <c r="Q288" s="817">
        <f>SUMIFS('Cash balance (Prior period)'!G:G,'Cash balance (Prior period)'!C:C,Table11[[#This Row],[ACCOUNT NUMBER]],'Cash balance (Prior period)'!E:E,Table11[[#This Row],[CURRENCY]])</f>
        <v>0</v>
      </c>
      <c r="R288" s="817">
        <f>SUMIFS(Movement!$F$4:$F$2136,Movement!$M$4:$M$2136,"USD",Movement!$C$4:$C$2136,Table11[[#This Row],[ACCOUNT NUMBER]],Movement!$J$4:$J$2136,Table11[[#This Row],[ENTITY]],Movement!$O$4:$O$2136,'Cash Balance'!$A$2)</f>
        <v>0</v>
      </c>
      <c r="S288" s="817">
        <f>SUMIFS(Movement!$G$4:$G$2136,Movement!$M$4:$M$2136,"USD",Movement!$C$4:$C$2136,Table11[[#This Row],[ACCOUNT NUMBER]],Movement!$J$4:$J$2136,Table11[[#This Row],[ENTITY]],Movement!$O$4:$O$2136,'Cash Balance'!$A$2)</f>
        <v>0</v>
      </c>
      <c r="T288" s="1087">
        <f t="shared" si="28"/>
        <v>0</v>
      </c>
      <c r="U288" s="817"/>
      <c r="V288" s="817">
        <f>Table11[[#This Row],[CLOSING BALANCE (USD)]]-Table11[[#This Row],[CB_BS (USD)]]</f>
        <v>0</v>
      </c>
      <c r="W288" s="1156" t="str">
        <f>VLOOKUP('Cash Balance'!$C288,Table2[#All],MATCH('Cash Balance'!W$3,Acc_Char!$B$1:$I$1,0),0)</f>
        <v>Subsidiaries</v>
      </c>
      <c r="X288" s="1156" t="str">
        <f>VLOOKUP(IFERROR(MID($Y288,1,FIND("-",$Y288)-2),$Y288),Table3[#All],2,0)</f>
        <v>VTB</v>
      </c>
      <c r="Y288" s="1156" t="str">
        <f>VLOOKUP($B288,Table4[#All],2,0)</f>
        <v>VIETINBANK - TPHCM</v>
      </c>
      <c r="Z288" s="1151"/>
      <c r="AA288" s="49"/>
      <c r="AH288" s="1158"/>
      <c r="AI288" s="49"/>
      <c r="AJ288" s="1158"/>
      <c r="AL288"/>
    </row>
    <row r="289" spans="1:38" ht="14.4">
      <c r="A289" s="1153" t="str">
        <f>VLOOKUP('Cash Balance'!$C289,Table2[#All],MATCH('Cash Balance'!A$3,Acc_Char!$B$1:$I$1,0),0)</f>
        <v>WPJV 2A</v>
      </c>
      <c r="B289" s="1154" t="str">
        <f>VLOOKUP('Cash Balance'!$C289,Table2[#All],MATCH('Cash Balance'!B$3,Acc_Char!$B$1:$I$1,0),0)</f>
        <v>VIETINBANK - TPHCM</v>
      </c>
      <c r="C289" s="1190" t="s">
        <v>861</v>
      </c>
      <c r="D289" s="1156" t="str">
        <f>VLOOKUP('Cash Balance'!$C289,Table2[#All],MATCH('Cash Balance'!D$3,Acc_Char!$B$1:$I$1,0),0)</f>
        <v>Saving Account</v>
      </c>
      <c r="E289" s="384" t="str">
        <f>VLOOKUP('Cash Balance'!$C289,Table2[#All],MATCH('Cash Balance'!E$3,Acc_Char!$B$1:$I$1,0),0)</f>
        <v>VND</v>
      </c>
      <c r="F289" s="1094" t="e">
        <f>VLOOKUP(C289,'Cash balance (BS)'!A:C,3,)</f>
        <v>#N/A</v>
      </c>
      <c r="G289" s="1157" t="e">
        <f>F289-H289</f>
        <v>#N/A</v>
      </c>
      <c r="H289" s="1318">
        <f>SUMIFS('Cash balance (Prior period)'!F:F,'Cash balance (Prior period)'!C:C,Table11[[#This Row],[ACCOUNT NUMBER]],'Cash balance (Prior period)'!E:E,Table11[[#This Row],[CURRENCY]])</f>
        <v>0</v>
      </c>
      <c r="I289" s="1318">
        <f>SUMIFS(Movement!$F$4:$F$2136,Movement!$M$4:$M$2136,"VND",Movement!$C$4:$C$2136,Table11[[#This Row],[ACCOUNT NUMBER]],Movement!$J$4:$J$2136,Table11[[#This Row],[ENTITY]],Movement!$O$4:$O$2136,'Cash Balance'!$A$2)</f>
        <v>0</v>
      </c>
      <c r="J289" s="1318">
        <f>SUMIFS(Movement!$G$4:$G$2136,Movement!$M$4:$M$2136,"VND",Movement!$C$4:$C$2136,Table11[[#This Row],[ACCOUNT NUMBER]],Movement!$J$4:$J$2136,Table11[[#This Row],[ENTITY]],Movement!$O$4:$O$2136,'Cash Balance'!$A$2)</f>
        <v>0</v>
      </c>
      <c r="K289" s="1084">
        <f>Table11[[#This Row],[CASH IN - CREDIT (VND)]]-Table11[[#This Row],[CASH OUT - DEBIT (VND)]]</f>
        <v>0</v>
      </c>
      <c r="L289" s="1095">
        <f t="shared" si="26"/>
        <v>0</v>
      </c>
      <c r="M289" s="1184" t="e">
        <f>VLOOKUP(C289,'Cash balance (BS)'!A:D,4,)</f>
        <v>#N/A</v>
      </c>
      <c r="N289" s="1095" t="e">
        <f>Table11[[#This Row],[CLOSING BALANCE (VND)2]]-Table11[[#This Row],[CB_BS (VND)]]</f>
        <v>#N/A</v>
      </c>
      <c r="O289" s="1094">
        <v>0</v>
      </c>
      <c r="P289" s="1095">
        <f t="shared" si="27"/>
        <v>0</v>
      </c>
      <c r="Q289" s="817">
        <f>SUMIFS('Cash balance (Prior period)'!G:G,'Cash balance (Prior period)'!C:C,Table11[[#This Row],[ACCOUNT NUMBER]],'Cash balance (Prior period)'!E:E,Table11[[#This Row],[CURRENCY]])</f>
        <v>0</v>
      </c>
      <c r="R289" s="817">
        <f>SUMIFS(Movement!$F$4:$F$2136,Movement!$M$4:$M$2136,"USD",Movement!$C$4:$C$2136,Table11[[#This Row],[ACCOUNT NUMBER]],Movement!$J$4:$J$2136,Table11[[#This Row],[ENTITY]],Movement!$O$4:$O$2136,'Cash Balance'!$A$2)</f>
        <v>0</v>
      </c>
      <c r="S289" s="817">
        <f>SUMIFS(Movement!$G$4:$G$2136,Movement!$M$4:$M$2136,"USD",Movement!$C$4:$C$2136,Table11[[#This Row],[ACCOUNT NUMBER]],Movement!$J$4:$J$2136,Table11[[#This Row],[ENTITY]],Movement!$O$4:$O$2136,'Cash Balance'!$A$2)</f>
        <v>0</v>
      </c>
      <c r="T289" s="1087">
        <f t="shared" si="28"/>
        <v>0</v>
      </c>
      <c r="U289" s="817"/>
      <c r="V289" s="817">
        <f>Table11[[#This Row],[CLOSING BALANCE (USD)]]-Table11[[#This Row],[CB_BS (USD)]]</f>
        <v>0</v>
      </c>
      <c r="W289" s="1156" t="str">
        <f>VLOOKUP('Cash Balance'!$C289,Table2[#All],MATCH('Cash Balance'!W$3,Acc_Char!$B$1:$I$1,0),0)</f>
        <v>Subsidiaries</v>
      </c>
      <c r="X289" s="1156" t="str">
        <f>VLOOKUP(IFERROR(MID($Y289,1,FIND("-",$Y289)-2),$Y289),Table3[#All],2,0)</f>
        <v>VTB</v>
      </c>
      <c r="Y289" s="1156" t="str">
        <f>VLOOKUP($B289,Table4[#All],2,0)</f>
        <v>VIETINBANK - TPHCM</v>
      </c>
      <c r="Z289" s="1151"/>
      <c r="AA289" s="49"/>
      <c r="AH289" s="1158"/>
      <c r="AI289" s="49"/>
      <c r="AJ289" s="1158"/>
      <c r="AL289"/>
    </row>
    <row r="290" spans="1:38" ht="14.4">
      <c r="A290" s="1153" t="str">
        <f>VLOOKUP('Cash Balance'!$C290,Table2[#All],MATCH('Cash Balance'!A$3,Acc_Char!$B$1:$I$1,0),0)</f>
        <v>WPJV 2B</v>
      </c>
      <c r="B290" s="1154" t="str">
        <f>VLOOKUP('Cash Balance'!$C290,Table2[#All],MATCH('Cash Balance'!B$3,Acc_Char!$B$1:$I$1,0),0)</f>
        <v>VIETINBANK - TPHCM</v>
      </c>
      <c r="C290" s="1190" t="s">
        <v>863</v>
      </c>
      <c r="D290" s="1156" t="str">
        <f>VLOOKUP('Cash Balance'!$C290,Table2[#All],MATCH('Cash Balance'!D$3,Acc_Char!$B$1:$I$1,0),0)</f>
        <v>Current Account</v>
      </c>
      <c r="E290" s="384" t="str">
        <f>VLOOKUP('Cash Balance'!$C290,Table2[#All],MATCH('Cash Balance'!E$3,Acc_Char!$B$1:$I$1,0),0)</f>
        <v>VND</v>
      </c>
      <c r="F290" s="1094" t="e">
        <f>VLOOKUP(C290,'Cash balance (BS)'!A:C,3,)</f>
        <v>#N/A</v>
      </c>
      <c r="G290" s="1157" t="e">
        <f>F290-H290</f>
        <v>#N/A</v>
      </c>
      <c r="H290" s="1318">
        <f>SUMIFS('Cash balance (Prior period)'!F:F,'Cash balance (Prior period)'!C:C,Table11[[#This Row],[ACCOUNT NUMBER]],'Cash balance (Prior period)'!E:E,Table11[[#This Row],[CURRENCY]])</f>
        <v>59635135</v>
      </c>
      <c r="I290" s="1318">
        <f>SUMIFS(Movement!$F$4:$F$2136,Movement!$M$4:$M$2136,"VND",Movement!$C$4:$C$2136,Table11[[#This Row],[ACCOUNT NUMBER]],Movement!$J$4:$J$2136,Table11[[#This Row],[ENTITY]],Movement!$O$4:$O$2136,'Cash Balance'!$A$2)</f>
        <v>1815411</v>
      </c>
      <c r="J290" s="1318">
        <f>SUMIFS(Movement!$G$4:$G$2136,Movement!$M$4:$M$2136,"VND",Movement!$C$4:$C$2136,Table11[[#This Row],[ACCOUNT NUMBER]],Movement!$J$4:$J$2136,Table11[[#This Row],[ENTITY]],Movement!$O$4:$O$2136,'Cash Balance'!$A$2)</f>
        <v>0</v>
      </c>
      <c r="K290" s="1084">
        <f>Table11[[#This Row],[CASH IN - CREDIT (VND)]]-Table11[[#This Row],[CASH OUT - DEBIT (VND)]]</f>
        <v>1815411</v>
      </c>
      <c r="L290" s="1095">
        <f t="shared" si="26"/>
        <v>61450546</v>
      </c>
      <c r="M290" s="1184" t="e">
        <f>VLOOKUP(C290,'Cash balance (BS)'!A:D,4,)</f>
        <v>#N/A</v>
      </c>
      <c r="N290" s="1095" t="e">
        <f>Table11[[#This Row],[CLOSING BALANCE (VND)2]]-Table11[[#This Row],[CB_BS (VND)]]</f>
        <v>#N/A</v>
      </c>
      <c r="O290" s="1094">
        <v>0</v>
      </c>
      <c r="P290" s="1095">
        <f t="shared" si="27"/>
        <v>0</v>
      </c>
      <c r="Q290" s="817">
        <f>SUMIFS('Cash balance (Prior period)'!G:G,'Cash balance (Prior period)'!C:C,Table11[[#This Row],[ACCOUNT NUMBER]],'Cash balance (Prior period)'!E:E,Table11[[#This Row],[CURRENCY]])</f>
        <v>0</v>
      </c>
      <c r="R290" s="817">
        <f>SUMIFS(Movement!$F$4:$F$2136,Movement!$M$4:$M$2136,"USD",Movement!$C$4:$C$2136,Table11[[#This Row],[ACCOUNT NUMBER]],Movement!$J$4:$J$2136,Table11[[#This Row],[ENTITY]],Movement!$O$4:$O$2136,'Cash Balance'!$A$2)</f>
        <v>0</v>
      </c>
      <c r="S290" s="817">
        <f>SUMIFS(Movement!$G$4:$G$2136,Movement!$M$4:$M$2136,"USD",Movement!$C$4:$C$2136,Table11[[#This Row],[ACCOUNT NUMBER]],Movement!$J$4:$J$2136,Table11[[#This Row],[ENTITY]],Movement!$O$4:$O$2136,'Cash Balance'!$A$2)</f>
        <v>0</v>
      </c>
      <c r="T290" s="1087">
        <f t="shared" si="28"/>
        <v>0</v>
      </c>
      <c r="U290" s="817"/>
      <c r="V290" s="817">
        <f>Table11[[#This Row],[CLOSING BALANCE (USD)]]-Table11[[#This Row],[CB_BS (USD)]]</f>
        <v>0</v>
      </c>
      <c r="W290" s="1156" t="str">
        <f>VLOOKUP('Cash Balance'!$C290,Table2[#All],MATCH('Cash Balance'!W$3,Acc_Char!$B$1:$I$1,0),0)</f>
        <v>Subsidiaries</v>
      </c>
      <c r="X290" s="1156" t="str">
        <f>VLOOKUP(IFERROR(MID($Y290,1,FIND("-",$Y290)-2),$Y290),Table3[#All],2,0)</f>
        <v>VTB</v>
      </c>
      <c r="Y290" s="1156" t="str">
        <f>VLOOKUP($B290,Table4[#All],2,0)</f>
        <v>VIETINBANK - TPHCM</v>
      </c>
      <c r="Z290" s="1151"/>
      <c r="AA290" s="49"/>
      <c r="AH290" s="1158"/>
      <c r="AI290" s="49"/>
      <c r="AJ290" s="1158"/>
      <c r="AL290"/>
    </row>
    <row r="291" spans="1:38" ht="14.4">
      <c r="A291" s="1153" t="str">
        <f>VLOOKUP('Cash Balance'!$C291,Table2[#All],MATCH('Cash Balance'!A$3,Acc_Char!$B$1:$I$1,0),0)</f>
        <v>WPJV 2B</v>
      </c>
      <c r="B291" s="1154" t="str">
        <f>VLOOKUP('Cash Balance'!$C291,Table2[#All],MATCH('Cash Balance'!B$3,Acc_Char!$B$1:$I$1,0),0)</f>
        <v>VIETINBANK - TPHCM</v>
      </c>
      <c r="C291" s="1190" t="s">
        <v>864</v>
      </c>
      <c r="D291" s="1156" t="str">
        <f>VLOOKUP('Cash Balance'!$C291,Table2[#All],MATCH('Cash Balance'!D$3,Acc_Char!$B$1:$I$1,0),0)</f>
        <v>Saving Account</v>
      </c>
      <c r="E291" s="384" t="str">
        <f>VLOOKUP('Cash Balance'!$C291,Table2[#All],MATCH('Cash Balance'!E$3,Acc_Char!$B$1:$I$1,0),0)</f>
        <v>VND</v>
      </c>
      <c r="F291" s="1094" t="e">
        <f>VLOOKUP(C291,'Cash balance (BS)'!A:C,3,)</f>
        <v>#N/A</v>
      </c>
      <c r="G291" s="1157" t="e">
        <f>F291-H291</f>
        <v>#N/A</v>
      </c>
      <c r="H291" s="1318">
        <f>SUMIFS('Cash balance (Prior period)'!F:F,'Cash balance (Prior period)'!C:C,Table11[[#This Row],[ACCOUNT NUMBER]],'Cash balance (Prior period)'!E:E,Table11[[#This Row],[CURRENCY]])</f>
        <v>0</v>
      </c>
      <c r="I291" s="1318">
        <f>SUMIFS(Movement!$F$4:$F$2136,Movement!$M$4:$M$2136,"VND",Movement!$C$4:$C$2136,Table11[[#This Row],[ACCOUNT NUMBER]],Movement!$J$4:$J$2136,Table11[[#This Row],[ENTITY]],Movement!$O$4:$O$2136,'Cash Balance'!$A$2)</f>
        <v>0</v>
      </c>
      <c r="J291" s="1318">
        <f>SUMIFS(Movement!$G$4:$G$2136,Movement!$M$4:$M$2136,"VND",Movement!$C$4:$C$2136,Table11[[#This Row],[ACCOUNT NUMBER]],Movement!$J$4:$J$2136,Table11[[#This Row],[ENTITY]],Movement!$O$4:$O$2136,'Cash Balance'!$A$2)</f>
        <v>0</v>
      </c>
      <c r="K291" s="1084">
        <f>Table11[[#This Row],[CASH IN - CREDIT (VND)]]-Table11[[#This Row],[CASH OUT - DEBIT (VND)]]</f>
        <v>0</v>
      </c>
      <c r="L291" s="1095">
        <f t="shared" si="26"/>
        <v>0</v>
      </c>
      <c r="M291" s="1184" t="e">
        <f>VLOOKUP(C291,'Cash balance (BS)'!A:D,4,)</f>
        <v>#N/A</v>
      </c>
      <c r="N291" s="1095" t="e">
        <f>Table11[[#This Row],[CLOSING BALANCE (VND)2]]-Table11[[#This Row],[CB_BS (VND)]]</f>
        <v>#N/A</v>
      </c>
      <c r="O291" s="1094">
        <v>0</v>
      </c>
      <c r="P291" s="1095">
        <f t="shared" si="27"/>
        <v>0</v>
      </c>
      <c r="Q291" s="817">
        <f>SUMIFS('Cash balance (Prior period)'!G:G,'Cash balance (Prior period)'!C:C,Table11[[#This Row],[ACCOUNT NUMBER]],'Cash balance (Prior period)'!E:E,Table11[[#This Row],[CURRENCY]])</f>
        <v>0</v>
      </c>
      <c r="R291" s="817">
        <f>SUMIFS(Movement!$F$4:$F$2136,Movement!$M$4:$M$2136,"USD",Movement!$C$4:$C$2136,Table11[[#This Row],[ACCOUNT NUMBER]],Movement!$J$4:$J$2136,Table11[[#This Row],[ENTITY]],Movement!$O$4:$O$2136,'Cash Balance'!$A$2)</f>
        <v>0</v>
      </c>
      <c r="S291" s="817">
        <f>SUMIFS(Movement!$G$4:$G$2136,Movement!$M$4:$M$2136,"USD",Movement!$C$4:$C$2136,Table11[[#This Row],[ACCOUNT NUMBER]],Movement!$J$4:$J$2136,Table11[[#This Row],[ENTITY]],Movement!$O$4:$O$2136,'Cash Balance'!$A$2)</f>
        <v>0</v>
      </c>
      <c r="T291" s="1087">
        <f t="shared" si="28"/>
        <v>0</v>
      </c>
      <c r="U291" s="817"/>
      <c r="V291" s="817">
        <f>Table11[[#This Row],[CLOSING BALANCE (USD)]]-Table11[[#This Row],[CB_BS (USD)]]</f>
        <v>0</v>
      </c>
      <c r="W291" s="1156" t="str">
        <f>VLOOKUP('Cash Balance'!$C291,Table2[#All],MATCH('Cash Balance'!W$3,Acc_Char!$B$1:$I$1,0),0)</f>
        <v>Subsidiaries</v>
      </c>
      <c r="X291" s="1156" t="str">
        <f>VLOOKUP(IFERROR(MID($Y291,1,FIND("-",$Y291)-2),$Y291),Table3[#All],2,0)</f>
        <v>VTB</v>
      </c>
      <c r="Y291" s="1156" t="str">
        <f>VLOOKUP($B291,Table4[#All],2,0)</f>
        <v>VIETINBANK - TPHCM</v>
      </c>
      <c r="Z291" s="1151"/>
      <c r="AA291" s="49"/>
      <c r="AH291" s="1158"/>
      <c r="AI291" s="49"/>
      <c r="AJ291" s="1158"/>
      <c r="AL291"/>
    </row>
    <row r="292" spans="1:38" ht="14.4">
      <c r="A292" s="1153" t="str">
        <f>VLOOKUP('Cash Balance'!$C292,Table2[#All],MATCH('Cash Balance'!A$3,Acc_Char!$B$1:$I$1,0),0)</f>
        <v>HOLDCO4W</v>
      </c>
      <c r="B292" s="1154" t="str">
        <f>VLOOKUP('Cash Balance'!$C292,Table2[#All],MATCH('Cash Balance'!B$3,Acc_Char!$B$1:$I$1,0),0)</f>
        <v>STANDARD CHARTERED</v>
      </c>
      <c r="C292" s="1190" t="s">
        <v>865</v>
      </c>
      <c r="D292" s="1156" t="str">
        <f>VLOOKUP('Cash Balance'!$C292,Table2[#All],MATCH('Cash Balance'!D$3,Acc_Char!$B$1:$I$1,0),0)</f>
        <v>Current Account</v>
      </c>
      <c r="E292" s="384" t="str">
        <f>VLOOKUP('Cash Balance'!$C292,Table2[#All],MATCH('Cash Balance'!E$3,Acc_Char!$B$1:$I$1,0),0)</f>
        <v>VND</v>
      </c>
      <c r="F292" s="1094"/>
      <c r="G292" s="1157"/>
      <c r="H292" s="1318">
        <f>SUMIFS('Cash balance (Prior period)'!F:F,'Cash balance (Prior period)'!C:C,Table11[[#This Row],[ACCOUNT NUMBER]],'Cash balance (Prior period)'!E:E,Table11[[#This Row],[CURRENCY]])</f>
        <v>101427112</v>
      </c>
      <c r="I292" s="1318">
        <f>SUMIFS(Movement!$F$4:$F$2136,Movement!$M$4:$M$2136,"VND",Movement!$C$4:$C$2136,Table11[[#This Row],[ACCOUNT NUMBER]],Movement!$J$4:$J$2136,Table11[[#This Row],[ENTITY]],Movement!$O$4:$O$2136,'Cash Balance'!$A$2)</f>
        <v>0</v>
      </c>
      <c r="J292" s="1318">
        <f>SUMIFS(Movement!$G$4:$G$2136,Movement!$M$4:$M$2136,"VND",Movement!$C$4:$C$2136,Table11[[#This Row],[ACCOUNT NUMBER]],Movement!$J$4:$J$2136,Table11[[#This Row],[ENTITY]],Movement!$O$4:$O$2136,'Cash Balance'!$A$2)</f>
        <v>0</v>
      </c>
      <c r="K292" s="1084">
        <f>Table11[[#This Row],[CASH IN - CREDIT (VND)]]-Table11[[#This Row],[CASH OUT - DEBIT (VND)]]</f>
        <v>0</v>
      </c>
      <c r="L292" s="1095">
        <f t="shared" si="26"/>
        <v>101427112</v>
      </c>
      <c r="M292" s="1184" t="e">
        <f>VLOOKUP(C292,'Cash balance (BS)'!A:D,4,)</f>
        <v>#N/A</v>
      </c>
      <c r="N292" s="1095" t="e">
        <f>Table11[[#This Row],[CLOSING BALANCE (VND)2]]-Table11[[#This Row],[CB_BS (VND)]]</f>
        <v>#N/A</v>
      </c>
      <c r="O292" s="1094">
        <v>0</v>
      </c>
      <c r="P292" s="1095">
        <f t="shared" si="27"/>
        <v>0</v>
      </c>
      <c r="Q292" s="817">
        <f>SUMIFS('Cash balance (Prior period)'!G:G,'Cash balance (Prior period)'!C:C,Table11[[#This Row],[ACCOUNT NUMBER]],'Cash balance (Prior period)'!E:E,Table11[[#This Row],[CURRENCY]])</f>
        <v>0</v>
      </c>
      <c r="R292" s="817">
        <f>SUMIFS(Movement!$F$4:$F$2136,Movement!$M$4:$M$2136,"USD",Movement!$C$4:$C$2136,Table11[[#This Row],[ACCOUNT NUMBER]],Movement!$J$4:$J$2136,Table11[[#This Row],[ENTITY]],Movement!$O$4:$O$2136,'Cash Balance'!$A$2)</f>
        <v>0</v>
      </c>
      <c r="S292" s="817">
        <f>SUMIFS(Movement!$G$4:$G$2136,Movement!$M$4:$M$2136,"USD",Movement!$C$4:$C$2136,Table11[[#This Row],[ACCOUNT NUMBER]],Movement!$J$4:$J$2136,Table11[[#This Row],[ENTITY]],Movement!$O$4:$O$2136,'Cash Balance'!$A$2)</f>
        <v>0</v>
      </c>
      <c r="T292" s="1087">
        <f t="shared" si="28"/>
        <v>0</v>
      </c>
      <c r="U292" s="817" t="e">
        <f>VLOOKUP(C292,'Cash balance (BS)'!A:D,4,)</f>
        <v>#N/A</v>
      </c>
      <c r="V292" s="817" t="e">
        <f>Table11[[#This Row],[CLOSING BALANCE (USD)]]-Table11[[#This Row],[CB_BS (USD)]]</f>
        <v>#N/A</v>
      </c>
      <c r="W292" s="1156" t="str">
        <f>VLOOKUP('Cash Balance'!$C292,Table2[#All],MATCH('Cash Balance'!W$3,Acc_Char!$B$1:$I$1,0),0)</f>
        <v>Subsidiaries</v>
      </c>
      <c r="X292" s="1156" t="str">
        <f>VLOOKUP(IFERROR(MID($Y292,1,FIND("-",$Y292)-2),$Y292),Table3[#All],2,0)</f>
        <v>Standard Chartered</v>
      </c>
      <c r="Y292" s="1156" t="str">
        <f>VLOOKUP($B292,Table4[#All],2,0)</f>
        <v>STANDARD CHARTERED</v>
      </c>
      <c r="Z292" s="1151"/>
      <c r="AA292" s="49"/>
      <c r="AH292" s="1158"/>
      <c r="AI292" s="49"/>
      <c r="AJ292" s="1158"/>
      <c r="AL292"/>
    </row>
    <row r="293" spans="1:38" ht="14.4">
      <c r="A293" s="1153" t="str">
        <f>VLOOKUP('Cash Balance'!$C293,Table2[#All],MATCH('Cash Balance'!A$3,Acc_Char!$B$1:$I$1,0),0)</f>
        <v>HOLDCO4X</v>
      </c>
      <c r="B293" s="1154" t="str">
        <f>VLOOKUP('Cash Balance'!$C293,Table2[#All],MATCH('Cash Balance'!B$3,Acc_Char!$B$1:$I$1,0),0)</f>
        <v>STANDARD CHARTERED</v>
      </c>
      <c r="C293" s="1190" t="s">
        <v>866</v>
      </c>
      <c r="D293" s="1156" t="str">
        <f>VLOOKUP('Cash Balance'!$C293,Table2[#All],MATCH('Cash Balance'!D$3,Acc_Char!$B$1:$I$1,0),0)</f>
        <v>Current Account</v>
      </c>
      <c r="E293" s="384" t="str">
        <f>VLOOKUP('Cash Balance'!$C293,Table2[#All],MATCH('Cash Balance'!E$3,Acc_Char!$B$1:$I$1,0),0)</f>
        <v>VND</v>
      </c>
      <c r="F293" s="1094" t="e">
        <f>VLOOKUP(C293,'Cash balance (BS)'!A:C,3,)</f>
        <v>#N/A</v>
      </c>
      <c r="G293" s="1157" t="e">
        <f t="shared" ref="G293:G306" si="30">F293-H293</f>
        <v>#N/A</v>
      </c>
      <c r="H293" s="1318">
        <f>SUMIFS('Cash balance (Prior period)'!F:F,'Cash balance (Prior period)'!C:C,Table11[[#This Row],[ACCOUNT NUMBER]],'Cash balance (Prior period)'!E:E,Table11[[#This Row],[CURRENCY]])</f>
        <v>87077179</v>
      </c>
      <c r="I293" s="1318">
        <f>SUMIFS(Movement!$F$4:$F$2136,Movement!$M$4:$M$2136,"VND",Movement!$C$4:$C$2136,Table11[[#This Row],[ACCOUNT NUMBER]],Movement!$J$4:$J$2136,Table11[[#This Row],[ENTITY]],Movement!$O$4:$O$2136,'Cash Balance'!$A$2)</f>
        <v>0</v>
      </c>
      <c r="J293" s="1318">
        <f>SUMIFS(Movement!$G$4:$G$2136,Movement!$M$4:$M$2136,"VND",Movement!$C$4:$C$2136,Table11[[#This Row],[ACCOUNT NUMBER]],Movement!$J$4:$J$2136,Table11[[#This Row],[ENTITY]],Movement!$O$4:$O$2136,'Cash Balance'!$A$2)</f>
        <v>0</v>
      </c>
      <c r="K293" s="1084">
        <f>Table11[[#This Row],[CASH IN - CREDIT (VND)]]-Table11[[#This Row],[CASH OUT - DEBIT (VND)]]</f>
        <v>0</v>
      </c>
      <c r="L293" s="1095">
        <f t="shared" si="26"/>
        <v>87077179</v>
      </c>
      <c r="M293" s="1184" t="e">
        <f>VLOOKUP(C293,'Cash balance (BS)'!A:D,4,)</f>
        <v>#N/A</v>
      </c>
      <c r="N293" s="1095" t="e">
        <f>Table11[[#This Row],[CLOSING BALANCE (VND)2]]-Table11[[#This Row],[CB_BS (VND)]]</f>
        <v>#N/A</v>
      </c>
      <c r="O293" s="1094">
        <v>0</v>
      </c>
      <c r="P293" s="1095">
        <f t="shared" si="27"/>
        <v>0</v>
      </c>
      <c r="Q293" s="817">
        <f>SUMIFS('Cash balance (Prior period)'!G:G,'Cash balance (Prior period)'!C:C,Table11[[#This Row],[ACCOUNT NUMBER]],'Cash balance (Prior period)'!E:E,Table11[[#This Row],[CURRENCY]])</f>
        <v>0</v>
      </c>
      <c r="R293" s="817">
        <f>SUMIFS(Movement!$F$4:$F$2136,Movement!$M$4:$M$2136,"USD",Movement!$C$4:$C$2136,Table11[[#This Row],[ACCOUNT NUMBER]],Movement!$J$4:$J$2136,Table11[[#This Row],[ENTITY]],Movement!$O$4:$O$2136,'Cash Balance'!$A$2)</f>
        <v>0</v>
      </c>
      <c r="S293" s="817">
        <f>SUMIFS(Movement!$G$4:$G$2136,Movement!$M$4:$M$2136,"USD",Movement!$C$4:$C$2136,Table11[[#This Row],[ACCOUNT NUMBER]],Movement!$J$4:$J$2136,Table11[[#This Row],[ENTITY]],Movement!$O$4:$O$2136,'Cash Balance'!$A$2)</f>
        <v>0</v>
      </c>
      <c r="T293" s="1087">
        <f t="shared" si="28"/>
        <v>0</v>
      </c>
      <c r="U293" s="817"/>
      <c r="V293" s="817">
        <f>Table11[[#This Row],[CLOSING BALANCE (USD)]]-Table11[[#This Row],[CB_BS (USD)]]</f>
        <v>0</v>
      </c>
      <c r="W293" s="1156" t="str">
        <f>VLOOKUP('Cash Balance'!$C293,Table2[#All],MATCH('Cash Balance'!W$3,Acc_Char!$B$1:$I$1,0),0)</f>
        <v>Subsidiaries</v>
      </c>
      <c r="X293" s="1156" t="str">
        <f>VLOOKUP(IFERROR(MID($Y293,1,FIND("-",$Y293)-2),$Y293),Table3[#All],2,0)</f>
        <v>Standard Chartered</v>
      </c>
      <c r="Y293" s="1156" t="str">
        <f>VLOOKUP($B293,Table4[#All],2,0)</f>
        <v>STANDARD CHARTERED</v>
      </c>
      <c r="Z293" s="1151"/>
      <c r="AA293" s="49"/>
      <c r="AH293" s="1158"/>
      <c r="AI293" s="49"/>
      <c r="AJ293" s="1158"/>
      <c r="AL293"/>
    </row>
    <row r="294" spans="1:38" ht="14.4">
      <c r="A294" s="1153" t="str">
        <f>VLOOKUP('Cash Balance'!$C294,Table2[#All],MATCH('Cash Balance'!A$3,Acc_Char!$B$1:$I$1,0),0)</f>
        <v>HOLDCO5R</v>
      </c>
      <c r="B294" s="1154" t="str">
        <f>VLOOKUP('Cash Balance'!$C294,Table2[#All],MATCH('Cash Balance'!B$3,Acc_Char!$B$1:$I$1,0),0)</f>
        <v>STANDARD CHARTERED</v>
      </c>
      <c r="C294" s="1190" t="s">
        <v>867</v>
      </c>
      <c r="D294" s="1156" t="str">
        <f>VLOOKUP('Cash Balance'!$C294,Table2[#All],MATCH('Cash Balance'!D$3,Acc_Char!$B$1:$I$1,0),0)</f>
        <v>Current Account</v>
      </c>
      <c r="E294" s="384" t="str">
        <f>VLOOKUP('Cash Balance'!$C294,Table2[#All],MATCH('Cash Balance'!E$3,Acc_Char!$B$1:$I$1,0),0)</f>
        <v>VND</v>
      </c>
      <c r="F294" s="1094" t="e">
        <f>VLOOKUP(C294,'Cash balance (BS)'!A:C,3,)</f>
        <v>#N/A</v>
      </c>
      <c r="G294" s="1157" t="e">
        <f t="shared" si="30"/>
        <v>#N/A</v>
      </c>
      <c r="H294" s="1318">
        <f>SUMIFS('Cash balance (Prior period)'!F:F,'Cash balance (Prior period)'!C:C,Table11[[#This Row],[ACCOUNT NUMBER]],'Cash balance (Prior period)'!E:E,Table11[[#This Row],[CURRENCY]])</f>
        <v>88357234</v>
      </c>
      <c r="I294" s="1318">
        <f>SUMIFS(Movement!$F$4:$F$2136,Movement!$M$4:$M$2136,"VND",Movement!$C$4:$C$2136,Table11[[#This Row],[ACCOUNT NUMBER]],Movement!$J$4:$J$2136,Table11[[#This Row],[ENTITY]],Movement!$O$4:$O$2136,'Cash Balance'!$A$2)</f>
        <v>0</v>
      </c>
      <c r="J294" s="1318">
        <f>SUMIFS(Movement!$G$4:$G$2136,Movement!$M$4:$M$2136,"VND",Movement!$C$4:$C$2136,Table11[[#This Row],[ACCOUNT NUMBER]],Movement!$J$4:$J$2136,Table11[[#This Row],[ENTITY]],Movement!$O$4:$O$2136,'Cash Balance'!$A$2)</f>
        <v>0</v>
      </c>
      <c r="K294" s="1084">
        <f>Table11[[#This Row],[CASH IN - CREDIT (VND)]]-Table11[[#This Row],[CASH OUT - DEBIT (VND)]]</f>
        <v>0</v>
      </c>
      <c r="L294" s="1095">
        <f t="shared" si="26"/>
        <v>88357234</v>
      </c>
      <c r="M294" s="1184" t="e">
        <f>VLOOKUP(C294,'Cash balance (BS)'!A:D,4,)</f>
        <v>#N/A</v>
      </c>
      <c r="N294" s="1095" t="e">
        <f>Table11[[#This Row],[CLOSING BALANCE (VND)2]]-Table11[[#This Row],[CB_BS (VND)]]</f>
        <v>#N/A</v>
      </c>
      <c r="O294" s="1094">
        <v>0</v>
      </c>
      <c r="P294" s="1095">
        <f t="shared" si="27"/>
        <v>0</v>
      </c>
      <c r="Q294" s="817">
        <f>SUMIFS('Cash balance (Prior period)'!G:G,'Cash balance (Prior period)'!C:C,Table11[[#This Row],[ACCOUNT NUMBER]],'Cash balance (Prior period)'!E:E,Table11[[#This Row],[CURRENCY]])</f>
        <v>0</v>
      </c>
      <c r="R294" s="817">
        <f>SUMIFS(Movement!$F$4:$F$2136,Movement!$M$4:$M$2136,"USD",Movement!$C$4:$C$2136,Table11[[#This Row],[ACCOUNT NUMBER]],Movement!$J$4:$J$2136,Table11[[#This Row],[ENTITY]],Movement!$O$4:$O$2136,'Cash Balance'!$A$2)</f>
        <v>0</v>
      </c>
      <c r="S294" s="817">
        <f>SUMIFS(Movement!$G$4:$G$2136,Movement!$M$4:$M$2136,"USD",Movement!$C$4:$C$2136,Table11[[#This Row],[ACCOUNT NUMBER]],Movement!$J$4:$J$2136,Table11[[#This Row],[ENTITY]],Movement!$O$4:$O$2136,'Cash Balance'!$A$2)</f>
        <v>0</v>
      </c>
      <c r="T294" s="1087">
        <f t="shared" si="28"/>
        <v>0</v>
      </c>
      <c r="U294" s="817"/>
      <c r="V294" s="817">
        <f>Table11[[#This Row],[CLOSING BALANCE (USD)]]-Table11[[#This Row],[CB_BS (USD)]]</f>
        <v>0</v>
      </c>
      <c r="W294" s="1156" t="str">
        <f>VLOOKUP('Cash Balance'!$C294,Table2[#All],MATCH('Cash Balance'!W$3,Acc_Char!$B$1:$I$1,0),0)</f>
        <v>Subsidiaries</v>
      </c>
      <c r="X294" s="1156" t="str">
        <f>VLOOKUP(IFERROR(MID($Y294,1,FIND("-",$Y294)-2),$Y294),Table3[#All],2,0)</f>
        <v>Standard Chartered</v>
      </c>
      <c r="Y294" s="1156" t="str">
        <f>VLOOKUP($B294,Table4[#All],2,0)</f>
        <v>STANDARD CHARTERED</v>
      </c>
      <c r="Z294" s="1151"/>
      <c r="AA294" s="49"/>
      <c r="AH294" s="1158"/>
      <c r="AI294" s="49"/>
      <c r="AJ294" s="1158"/>
      <c r="AL294"/>
    </row>
    <row r="295" spans="1:38" ht="14.4">
      <c r="A295" s="1153" t="str">
        <f>VLOOKUP('Cash Balance'!$C295,Table2[#All],MATCH('Cash Balance'!A$3,Acc_Char!$B$1:$I$1,0),0)</f>
        <v>HOLDCO4Y</v>
      </c>
      <c r="B295" s="1154" t="str">
        <f>VLOOKUP('Cash Balance'!$C295,Table2[#All],MATCH('Cash Balance'!B$3,Acc_Char!$B$1:$I$1,0),0)</f>
        <v>STANDARD CHARTERED</v>
      </c>
      <c r="C295" s="1190" t="s">
        <v>868</v>
      </c>
      <c r="D295" s="1156" t="str">
        <f>VLOOKUP('Cash Balance'!$C295,Table2[#All],MATCH('Cash Balance'!D$3,Acc_Char!$B$1:$I$1,0),0)</f>
        <v>Current Account</v>
      </c>
      <c r="E295" s="384" t="str">
        <f>VLOOKUP('Cash Balance'!$C295,Table2[#All],MATCH('Cash Balance'!E$3,Acc_Char!$B$1:$I$1,0),0)</f>
        <v>VND</v>
      </c>
      <c r="F295" s="1094" t="e">
        <f>VLOOKUP(C295,'Cash balance (BS)'!A:C,3,)</f>
        <v>#N/A</v>
      </c>
      <c r="G295" s="1157" t="e">
        <f t="shared" si="30"/>
        <v>#N/A</v>
      </c>
      <c r="H295" s="1318">
        <f>SUMIFS('Cash balance (Prior period)'!F:F,'Cash balance (Prior period)'!C:C,Table11[[#This Row],[ACCOUNT NUMBER]],'Cash balance (Prior period)'!E:E,Table11[[#This Row],[CURRENCY]])</f>
        <v>157328476</v>
      </c>
      <c r="I295" s="1318">
        <f>SUMIFS(Movement!$F$4:$F$2136,Movement!$M$4:$M$2136,"VND",Movement!$C$4:$C$2136,Table11[[#This Row],[ACCOUNT NUMBER]],Movement!$J$4:$J$2136,Table11[[#This Row],[ENTITY]],Movement!$O$4:$O$2136,'Cash Balance'!$A$2)</f>
        <v>0</v>
      </c>
      <c r="J295" s="1318">
        <f>SUMIFS(Movement!$G$4:$G$2136,Movement!$M$4:$M$2136,"VND",Movement!$C$4:$C$2136,Table11[[#This Row],[ACCOUNT NUMBER]],Movement!$J$4:$J$2136,Table11[[#This Row],[ENTITY]],Movement!$O$4:$O$2136,'Cash Balance'!$A$2)</f>
        <v>0</v>
      </c>
      <c r="K295" s="1084">
        <f>Table11[[#This Row],[CASH IN - CREDIT (VND)]]-Table11[[#This Row],[CASH OUT - DEBIT (VND)]]</f>
        <v>0</v>
      </c>
      <c r="L295" s="1095">
        <f t="shared" si="26"/>
        <v>157328476</v>
      </c>
      <c r="M295" s="1184" t="e">
        <f>VLOOKUP(C295,'Cash balance (BS)'!A:D,4,)</f>
        <v>#N/A</v>
      </c>
      <c r="N295" s="1095" t="e">
        <f>Table11[[#This Row],[CLOSING BALANCE (VND)2]]-Table11[[#This Row],[CB_BS (VND)]]</f>
        <v>#N/A</v>
      </c>
      <c r="O295" s="1094">
        <v>0</v>
      </c>
      <c r="P295" s="1095">
        <f t="shared" si="27"/>
        <v>0</v>
      </c>
      <c r="Q295" s="817">
        <f>SUMIFS('Cash balance (Prior period)'!G:G,'Cash balance (Prior period)'!C:C,Table11[[#This Row],[ACCOUNT NUMBER]],'Cash balance (Prior period)'!E:E,Table11[[#This Row],[CURRENCY]])</f>
        <v>0</v>
      </c>
      <c r="R295" s="817">
        <f>SUMIFS(Movement!$F$4:$F$2136,Movement!$M$4:$M$2136,"USD",Movement!$C$4:$C$2136,Table11[[#This Row],[ACCOUNT NUMBER]],Movement!$J$4:$J$2136,Table11[[#This Row],[ENTITY]],Movement!$O$4:$O$2136,'Cash Balance'!$A$2)</f>
        <v>0</v>
      </c>
      <c r="S295" s="817">
        <f>SUMIFS(Movement!$G$4:$G$2136,Movement!$M$4:$M$2136,"USD",Movement!$C$4:$C$2136,Table11[[#This Row],[ACCOUNT NUMBER]],Movement!$J$4:$J$2136,Table11[[#This Row],[ENTITY]],Movement!$O$4:$O$2136,'Cash Balance'!$A$2)</f>
        <v>0</v>
      </c>
      <c r="T295" s="1087">
        <f t="shared" si="28"/>
        <v>0</v>
      </c>
      <c r="U295" s="817"/>
      <c r="V295" s="817">
        <f>Table11[[#This Row],[CLOSING BALANCE (USD)]]-Table11[[#This Row],[CB_BS (USD)]]</f>
        <v>0</v>
      </c>
      <c r="W295" s="1156" t="str">
        <f>VLOOKUP('Cash Balance'!$C295,Table2[#All],MATCH('Cash Balance'!W$3,Acc_Char!$B$1:$I$1,0),0)</f>
        <v>Subsidiaries</v>
      </c>
      <c r="X295" s="1156" t="str">
        <f>VLOOKUP(IFERROR(MID($Y295,1,FIND("-",$Y295)-2),$Y295),Table3[#All],2,0)</f>
        <v>Standard Chartered</v>
      </c>
      <c r="Y295" s="1156" t="str">
        <f>VLOOKUP($B295,Table4[#All],2,0)</f>
        <v>STANDARD CHARTERED</v>
      </c>
      <c r="Z295" s="1151"/>
      <c r="AA295" s="49"/>
      <c r="AH295" s="1158"/>
      <c r="AI295" s="49"/>
      <c r="AJ295" s="1158"/>
      <c r="AL295"/>
    </row>
    <row r="296" spans="1:38" ht="14.4">
      <c r="A296" s="1153" t="str">
        <f>VLOOKUP('Cash Balance'!$C296,Table2[#All],MATCH('Cash Balance'!A$3,Acc_Char!$B$1:$I$1,0),0)</f>
        <v>HOLDCO5Q</v>
      </c>
      <c r="B296" s="1154" t="str">
        <f>VLOOKUP('Cash Balance'!$C296,Table2[#All],MATCH('Cash Balance'!B$3,Acc_Char!$B$1:$I$1,0),0)</f>
        <v>STANDARD CHARTERED</v>
      </c>
      <c r="C296" s="1190" t="s">
        <v>869</v>
      </c>
      <c r="D296" s="1156" t="str">
        <f>VLOOKUP('Cash Balance'!$C296,Table2[#All],MATCH('Cash Balance'!D$3,Acc_Char!$B$1:$I$1,0),0)</f>
        <v>Current Account</v>
      </c>
      <c r="E296" s="384" t="str">
        <f>VLOOKUP('Cash Balance'!$C296,Table2[#All],MATCH('Cash Balance'!E$3,Acc_Char!$B$1:$I$1,0),0)</f>
        <v>VND</v>
      </c>
      <c r="F296" s="1094" t="e">
        <f>VLOOKUP(C296,'Cash balance (BS)'!A:C,3,)</f>
        <v>#N/A</v>
      </c>
      <c r="G296" s="1157" t="e">
        <f t="shared" si="30"/>
        <v>#N/A</v>
      </c>
      <c r="H296" s="1318">
        <f>SUMIFS('Cash balance (Prior period)'!F:F,'Cash balance (Prior period)'!C:C,Table11[[#This Row],[ACCOUNT NUMBER]],'Cash balance (Prior period)'!E:E,Table11[[#This Row],[CURRENCY]])</f>
        <v>96657026</v>
      </c>
      <c r="I296" s="1318">
        <f>SUMIFS(Movement!$F$4:$F$2136,Movement!$M$4:$M$2136,"VND",Movement!$C$4:$C$2136,Table11[[#This Row],[ACCOUNT NUMBER]],Movement!$J$4:$J$2136,Table11[[#This Row],[ENTITY]],Movement!$O$4:$O$2136,'Cash Balance'!$A$2)</f>
        <v>0</v>
      </c>
      <c r="J296" s="1318">
        <f>SUMIFS(Movement!$G$4:$G$2136,Movement!$M$4:$M$2136,"VND",Movement!$C$4:$C$2136,Table11[[#This Row],[ACCOUNT NUMBER]],Movement!$J$4:$J$2136,Table11[[#This Row],[ENTITY]],Movement!$O$4:$O$2136,'Cash Balance'!$A$2)</f>
        <v>0</v>
      </c>
      <c r="K296" s="1084">
        <f>Table11[[#This Row],[CASH IN - CREDIT (VND)]]-Table11[[#This Row],[CASH OUT - DEBIT (VND)]]</f>
        <v>0</v>
      </c>
      <c r="L296" s="1095">
        <f t="shared" si="26"/>
        <v>96657026</v>
      </c>
      <c r="M296" s="1184" t="e">
        <f>VLOOKUP(C296,'Cash balance (BS)'!A:D,4,)</f>
        <v>#N/A</v>
      </c>
      <c r="N296" s="1095" t="e">
        <f>Table11[[#This Row],[CLOSING BALANCE (VND)2]]-Table11[[#This Row],[CB_BS (VND)]]</f>
        <v>#N/A</v>
      </c>
      <c r="O296" s="1094">
        <v>0</v>
      </c>
      <c r="P296" s="1095">
        <f t="shared" si="27"/>
        <v>0</v>
      </c>
      <c r="Q296" s="817">
        <f>SUMIFS('Cash balance (Prior period)'!G:G,'Cash balance (Prior period)'!C:C,Table11[[#This Row],[ACCOUNT NUMBER]],'Cash balance (Prior period)'!E:E,Table11[[#This Row],[CURRENCY]])</f>
        <v>0</v>
      </c>
      <c r="R296" s="817">
        <f>SUMIFS(Movement!$F$4:$F$2136,Movement!$M$4:$M$2136,"USD",Movement!$C$4:$C$2136,Table11[[#This Row],[ACCOUNT NUMBER]],Movement!$J$4:$J$2136,Table11[[#This Row],[ENTITY]],Movement!$O$4:$O$2136,'Cash Balance'!$A$2)</f>
        <v>0</v>
      </c>
      <c r="S296" s="817">
        <f>SUMIFS(Movement!$G$4:$G$2136,Movement!$M$4:$M$2136,"USD",Movement!$C$4:$C$2136,Table11[[#This Row],[ACCOUNT NUMBER]],Movement!$J$4:$J$2136,Table11[[#This Row],[ENTITY]],Movement!$O$4:$O$2136,'Cash Balance'!$A$2)</f>
        <v>0</v>
      </c>
      <c r="T296" s="1087">
        <f t="shared" si="28"/>
        <v>0</v>
      </c>
      <c r="U296" s="817"/>
      <c r="V296" s="817">
        <f>Table11[[#This Row],[CLOSING BALANCE (USD)]]-Table11[[#This Row],[CB_BS (USD)]]</f>
        <v>0</v>
      </c>
      <c r="W296" s="1156" t="str">
        <f>VLOOKUP('Cash Balance'!$C296,Table2[#All],MATCH('Cash Balance'!W$3,Acc_Char!$B$1:$I$1,0),0)</f>
        <v>Subsidiaries</v>
      </c>
      <c r="X296" s="1156" t="str">
        <f>VLOOKUP(IFERROR(MID($Y296,1,FIND("-",$Y296)-2),$Y296),Table3[#All],2,0)</f>
        <v>Standard Chartered</v>
      </c>
      <c r="Y296" s="1156" t="str">
        <f>VLOOKUP($B296,Table4[#All],2,0)</f>
        <v>STANDARD CHARTERED</v>
      </c>
      <c r="Z296" s="1151"/>
      <c r="AA296" s="49"/>
      <c r="AH296" s="1158"/>
      <c r="AI296" s="49"/>
      <c r="AJ296" s="1158"/>
      <c r="AL296"/>
    </row>
    <row r="297" spans="1:38" ht="14.4">
      <c r="A297" s="1153" t="str">
        <f>VLOOKUP('Cash Balance'!$C297,Table2[#All],MATCH('Cash Balance'!A$3,Acc_Char!$B$1:$I$1,0),0)</f>
        <v>HOLDCO4W</v>
      </c>
      <c r="B297" s="1154" t="str">
        <f>VLOOKUP('Cash Balance'!$C297,Table2[#All],MATCH('Cash Balance'!B$3,Acc_Char!$B$1:$I$1,0),0)</f>
        <v>STANDARD CHARTERED</v>
      </c>
      <c r="C297" s="1190" t="s">
        <v>870</v>
      </c>
      <c r="D297" s="1156" t="str">
        <f>VLOOKUP('Cash Balance'!$C297,Table2[#All],MATCH('Cash Balance'!D$3,Acc_Char!$B$1:$I$1,0),0)</f>
        <v>Escrow account</v>
      </c>
      <c r="E297" s="384" t="str">
        <f>VLOOKUP('Cash Balance'!$C297,Table2[#All],MATCH('Cash Balance'!E$3,Acc_Char!$B$1:$I$1,0),0)</f>
        <v>VND</v>
      </c>
      <c r="F297" s="1094" t="e">
        <f>VLOOKUP(C297,'Cash balance (BS)'!A:C,3,)</f>
        <v>#N/A</v>
      </c>
      <c r="G297" s="1157" t="e">
        <f t="shared" si="30"/>
        <v>#N/A</v>
      </c>
      <c r="H297" s="1318">
        <f>SUMIFS('Cash balance (Prior period)'!F:F,'Cash balance (Prior period)'!C:C,Table11[[#This Row],[ACCOUNT NUMBER]],'Cash balance (Prior period)'!E:E,Table11[[#This Row],[CURRENCY]])</f>
        <v>0</v>
      </c>
      <c r="I297" s="1318">
        <f>SUMIFS(Movement!$F$4:$F$2136,Movement!$M$4:$M$2136,"VND",Movement!$C$4:$C$2136,Table11[[#This Row],[ACCOUNT NUMBER]],Movement!$J$4:$J$2136,Table11[[#This Row],[ENTITY]],Movement!$O$4:$O$2136,'Cash Balance'!$A$2)</f>
        <v>0</v>
      </c>
      <c r="J297" s="1318">
        <f>SUMIFS(Movement!$G$4:$G$2136,Movement!$M$4:$M$2136,"VND",Movement!$C$4:$C$2136,Table11[[#This Row],[ACCOUNT NUMBER]],Movement!$J$4:$J$2136,Table11[[#This Row],[ENTITY]],Movement!$O$4:$O$2136,'Cash Balance'!$A$2)</f>
        <v>0</v>
      </c>
      <c r="K297" s="1084">
        <f>Table11[[#This Row],[CASH IN - CREDIT (VND)]]-Table11[[#This Row],[CASH OUT - DEBIT (VND)]]</f>
        <v>0</v>
      </c>
      <c r="L297" s="1095">
        <f t="shared" si="26"/>
        <v>0</v>
      </c>
      <c r="M297" s="1184" t="e">
        <f>VLOOKUP(C297,'Cash balance (BS)'!A:D,4,)</f>
        <v>#N/A</v>
      </c>
      <c r="N297" s="1095" t="e">
        <f>Table11[[#This Row],[CLOSING BALANCE (VND)2]]-Table11[[#This Row],[CB_BS (VND)]]</f>
        <v>#N/A</v>
      </c>
      <c r="O297" s="1094">
        <v>0</v>
      </c>
      <c r="P297" s="1095">
        <f t="shared" si="27"/>
        <v>0</v>
      </c>
      <c r="Q297" s="817">
        <f>SUMIFS('Cash balance (Prior period)'!G:G,'Cash balance (Prior period)'!C:C,Table11[[#This Row],[ACCOUNT NUMBER]],'Cash balance (Prior period)'!E:E,Table11[[#This Row],[CURRENCY]])</f>
        <v>0</v>
      </c>
      <c r="R297" s="817">
        <f>SUMIFS(Movement!$F$4:$F$2136,Movement!$M$4:$M$2136,"USD",Movement!$C$4:$C$2136,Table11[[#This Row],[ACCOUNT NUMBER]],Movement!$J$4:$J$2136,Table11[[#This Row],[ENTITY]],Movement!$O$4:$O$2136,'Cash Balance'!$A$2)</f>
        <v>0</v>
      </c>
      <c r="S297" s="817">
        <f>SUMIFS(Movement!$G$4:$G$2136,Movement!$M$4:$M$2136,"USD",Movement!$C$4:$C$2136,Table11[[#This Row],[ACCOUNT NUMBER]],Movement!$J$4:$J$2136,Table11[[#This Row],[ENTITY]],Movement!$O$4:$O$2136,'Cash Balance'!$A$2)</f>
        <v>0</v>
      </c>
      <c r="T297" s="1087">
        <f t="shared" si="28"/>
        <v>0</v>
      </c>
      <c r="U297" s="817"/>
      <c r="V297" s="817">
        <f>Table11[[#This Row],[CLOSING BALANCE (USD)]]-Table11[[#This Row],[CB_BS (USD)]]</f>
        <v>0</v>
      </c>
      <c r="W297" s="1156" t="str">
        <f>VLOOKUP('Cash Balance'!$C297,Table2[#All],MATCH('Cash Balance'!W$3,Acc_Char!$B$1:$I$1,0),0)</f>
        <v>Subsidiaries</v>
      </c>
      <c r="X297" s="1156" t="str">
        <f>VLOOKUP(IFERROR(MID($Y297,1,FIND("-",$Y297)-2),$Y297),Table3[#All],2,0)</f>
        <v>Standard Chartered</v>
      </c>
      <c r="Y297" s="1156" t="str">
        <f>VLOOKUP($B297,Table4[#All],2,0)</f>
        <v>STANDARD CHARTERED</v>
      </c>
      <c r="Z297" s="1151"/>
      <c r="AA297" s="49"/>
      <c r="AH297" s="1158"/>
      <c r="AI297" s="49"/>
      <c r="AJ297" s="1158"/>
      <c r="AL297"/>
    </row>
    <row r="298" spans="1:38" ht="14.4">
      <c r="A298" s="1153" t="str">
        <f>VLOOKUP('Cash Balance'!$C298,Table2[#All],MATCH('Cash Balance'!A$3,Acc_Char!$B$1:$I$1,0),0)</f>
        <v>HOLDCO4X</v>
      </c>
      <c r="B298" s="1154" t="str">
        <f>VLOOKUP('Cash Balance'!$C298,Table2[#All],MATCH('Cash Balance'!B$3,Acc_Char!$B$1:$I$1,0),0)</f>
        <v>STANDARD CHARTERED</v>
      </c>
      <c r="C298" s="1190" t="s">
        <v>871</v>
      </c>
      <c r="D298" s="1156" t="str">
        <f>VLOOKUP('Cash Balance'!$C298,Table2[#All],MATCH('Cash Balance'!D$3,Acc_Char!$B$1:$I$1,0),0)</f>
        <v>Escrow account</v>
      </c>
      <c r="E298" s="384" t="str">
        <f>VLOOKUP('Cash Balance'!$C298,Table2[#All],MATCH('Cash Balance'!E$3,Acc_Char!$B$1:$I$1,0),0)</f>
        <v>VND</v>
      </c>
      <c r="F298" s="1094" t="e">
        <f>VLOOKUP(C298,'Cash balance (BS)'!A:C,3,)</f>
        <v>#N/A</v>
      </c>
      <c r="G298" s="1157" t="e">
        <f t="shared" si="30"/>
        <v>#N/A</v>
      </c>
      <c r="H298" s="1318">
        <f>SUMIFS('Cash balance (Prior period)'!F:F,'Cash balance (Prior period)'!C:C,Table11[[#This Row],[ACCOUNT NUMBER]],'Cash balance (Prior period)'!E:E,Table11[[#This Row],[CURRENCY]])</f>
        <v>0</v>
      </c>
      <c r="I298" s="1318">
        <f>SUMIFS(Movement!$F$4:$F$2136,Movement!$M$4:$M$2136,"VND",Movement!$C$4:$C$2136,Table11[[#This Row],[ACCOUNT NUMBER]],Movement!$J$4:$J$2136,Table11[[#This Row],[ENTITY]],Movement!$O$4:$O$2136,'Cash Balance'!$A$2)</f>
        <v>0</v>
      </c>
      <c r="J298" s="1318">
        <f>SUMIFS(Movement!$G$4:$G$2136,Movement!$M$4:$M$2136,"VND",Movement!$C$4:$C$2136,Table11[[#This Row],[ACCOUNT NUMBER]],Movement!$J$4:$J$2136,Table11[[#This Row],[ENTITY]],Movement!$O$4:$O$2136,'Cash Balance'!$A$2)</f>
        <v>0</v>
      </c>
      <c r="K298" s="1084">
        <f>Table11[[#This Row],[CASH IN - CREDIT (VND)]]-Table11[[#This Row],[CASH OUT - DEBIT (VND)]]</f>
        <v>0</v>
      </c>
      <c r="L298" s="1095">
        <f t="shared" si="26"/>
        <v>0</v>
      </c>
      <c r="M298" s="1184" t="e">
        <f>VLOOKUP(C298,'Cash balance (BS)'!A:D,4,)</f>
        <v>#N/A</v>
      </c>
      <c r="N298" s="1095" t="e">
        <f>Table11[[#This Row],[CLOSING BALANCE (VND)2]]-Table11[[#This Row],[CB_BS (VND)]]</f>
        <v>#N/A</v>
      </c>
      <c r="O298" s="1094">
        <v>0</v>
      </c>
      <c r="P298" s="1095">
        <f t="shared" si="27"/>
        <v>0</v>
      </c>
      <c r="Q298" s="817">
        <f>SUMIFS('Cash balance (Prior period)'!G:G,'Cash balance (Prior period)'!C:C,Table11[[#This Row],[ACCOUNT NUMBER]],'Cash balance (Prior period)'!E:E,Table11[[#This Row],[CURRENCY]])</f>
        <v>0</v>
      </c>
      <c r="R298" s="817">
        <f>SUMIFS(Movement!$F$4:$F$2136,Movement!$M$4:$M$2136,"USD",Movement!$C$4:$C$2136,Table11[[#This Row],[ACCOUNT NUMBER]],Movement!$J$4:$J$2136,Table11[[#This Row],[ENTITY]],Movement!$O$4:$O$2136,'Cash Balance'!$A$2)</f>
        <v>0</v>
      </c>
      <c r="S298" s="817">
        <f>SUMIFS(Movement!$G$4:$G$2136,Movement!$M$4:$M$2136,"USD",Movement!$C$4:$C$2136,Table11[[#This Row],[ACCOUNT NUMBER]],Movement!$J$4:$J$2136,Table11[[#This Row],[ENTITY]],Movement!$O$4:$O$2136,'Cash Balance'!$A$2)</f>
        <v>0</v>
      </c>
      <c r="T298" s="1087">
        <f t="shared" si="28"/>
        <v>0</v>
      </c>
      <c r="U298" s="817"/>
      <c r="V298" s="817">
        <f>Table11[[#This Row],[CLOSING BALANCE (USD)]]-Table11[[#This Row],[CB_BS (USD)]]</f>
        <v>0</v>
      </c>
      <c r="W298" s="1156" t="str">
        <f>VLOOKUP('Cash Balance'!$C298,Table2[#All],MATCH('Cash Balance'!W$3,Acc_Char!$B$1:$I$1,0),0)</f>
        <v>Subsidiaries</v>
      </c>
      <c r="X298" s="1156" t="str">
        <f>VLOOKUP(IFERROR(MID($Y298,1,FIND("-",$Y298)-2),$Y298),Table3[#All],2,0)</f>
        <v>Standard Chartered</v>
      </c>
      <c r="Y298" s="1156" t="str">
        <f>VLOOKUP($B298,Table4[#All],2,0)</f>
        <v>STANDARD CHARTERED</v>
      </c>
      <c r="Z298" s="1151"/>
      <c r="AA298" s="49"/>
      <c r="AH298" s="1158"/>
      <c r="AI298" s="49"/>
      <c r="AJ298" s="1158"/>
      <c r="AL298"/>
    </row>
    <row r="299" spans="1:38" ht="14.4">
      <c r="A299" s="1153" t="str">
        <f>VLOOKUP('Cash Balance'!$C299,Table2[#All],MATCH('Cash Balance'!A$3,Acc_Char!$B$1:$I$1,0),0)</f>
        <v>HOLDCO5R</v>
      </c>
      <c r="B299" s="1154" t="str">
        <f>VLOOKUP('Cash Balance'!$C299,Table2[#All],MATCH('Cash Balance'!B$3,Acc_Char!$B$1:$I$1,0),0)</f>
        <v>STANDARD CHARTERED</v>
      </c>
      <c r="C299" s="1190" t="s">
        <v>872</v>
      </c>
      <c r="D299" s="1156" t="str">
        <f>VLOOKUP('Cash Balance'!$C299,Table2[#All],MATCH('Cash Balance'!D$3,Acc_Char!$B$1:$I$1,0),0)</f>
        <v>Escrow account</v>
      </c>
      <c r="E299" s="384" t="str">
        <f>VLOOKUP('Cash Balance'!$C299,Table2[#All],MATCH('Cash Balance'!E$3,Acc_Char!$B$1:$I$1,0),0)</f>
        <v>VND</v>
      </c>
      <c r="F299" s="1094" t="e">
        <f>VLOOKUP(C299,'Cash balance (BS)'!A:C,3,)</f>
        <v>#N/A</v>
      </c>
      <c r="G299" s="1157" t="e">
        <f t="shared" si="30"/>
        <v>#N/A</v>
      </c>
      <c r="H299" s="1318">
        <f>SUMIFS('Cash balance (Prior period)'!F:F,'Cash balance (Prior period)'!C:C,Table11[[#This Row],[ACCOUNT NUMBER]],'Cash balance (Prior period)'!E:E,Table11[[#This Row],[CURRENCY]])</f>
        <v>0</v>
      </c>
      <c r="I299" s="1318">
        <f>SUMIFS(Movement!$F$4:$F$2136,Movement!$M$4:$M$2136,"VND",Movement!$C$4:$C$2136,Table11[[#This Row],[ACCOUNT NUMBER]],Movement!$J$4:$J$2136,Table11[[#This Row],[ENTITY]],Movement!$O$4:$O$2136,'Cash Balance'!$A$2)</f>
        <v>0</v>
      </c>
      <c r="J299" s="1318">
        <f>SUMIFS(Movement!$G$4:$G$2136,Movement!$M$4:$M$2136,"VND",Movement!$C$4:$C$2136,Table11[[#This Row],[ACCOUNT NUMBER]],Movement!$J$4:$J$2136,Table11[[#This Row],[ENTITY]],Movement!$O$4:$O$2136,'Cash Balance'!$A$2)</f>
        <v>0</v>
      </c>
      <c r="K299" s="1084">
        <f>Table11[[#This Row],[CASH IN - CREDIT (VND)]]-Table11[[#This Row],[CASH OUT - DEBIT (VND)]]</f>
        <v>0</v>
      </c>
      <c r="L299" s="1095">
        <f t="shared" si="26"/>
        <v>0</v>
      </c>
      <c r="M299" s="1184" t="e">
        <f>VLOOKUP(C299,'Cash balance (BS)'!A:D,4,)</f>
        <v>#N/A</v>
      </c>
      <c r="N299" s="1095" t="e">
        <f>Table11[[#This Row],[CLOSING BALANCE (VND)2]]-Table11[[#This Row],[CB_BS (VND)]]</f>
        <v>#N/A</v>
      </c>
      <c r="O299" s="1094">
        <v>0</v>
      </c>
      <c r="P299" s="1095">
        <f t="shared" si="27"/>
        <v>0</v>
      </c>
      <c r="Q299" s="817">
        <f>SUMIFS('Cash balance (Prior period)'!G:G,'Cash balance (Prior period)'!C:C,Table11[[#This Row],[ACCOUNT NUMBER]],'Cash balance (Prior period)'!E:E,Table11[[#This Row],[CURRENCY]])</f>
        <v>0</v>
      </c>
      <c r="R299" s="817">
        <f>SUMIFS(Movement!$F$4:$F$2136,Movement!$M$4:$M$2136,"USD",Movement!$C$4:$C$2136,Table11[[#This Row],[ACCOUNT NUMBER]],Movement!$J$4:$J$2136,Table11[[#This Row],[ENTITY]],Movement!$O$4:$O$2136,'Cash Balance'!$A$2)</f>
        <v>0</v>
      </c>
      <c r="S299" s="817">
        <f>SUMIFS(Movement!$G$4:$G$2136,Movement!$M$4:$M$2136,"USD",Movement!$C$4:$C$2136,Table11[[#This Row],[ACCOUNT NUMBER]],Movement!$J$4:$J$2136,Table11[[#This Row],[ENTITY]],Movement!$O$4:$O$2136,'Cash Balance'!$A$2)</f>
        <v>0</v>
      </c>
      <c r="T299" s="1087">
        <f t="shared" si="28"/>
        <v>0</v>
      </c>
      <c r="U299" s="817"/>
      <c r="V299" s="817">
        <f>Table11[[#This Row],[CLOSING BALANCE (USD)]]-Table11[[#This Row],[CB_BS (USD)]]</f>
        <v>0</v>
      </c>
      <c r="W299" s="1156" t="str">
        <f>VLOOKUP('Cash Balance'!$C299,Table2[#All],MATCH('Cash Balance'!W$3,Acc_Char!$B$1:$I$1,0),0)</f>
        <v>Subsidiaries</v>
      </c>
      <c r="X299" s="1156" t="str">
        <f>VLOOKUP(IFERROR(MID($Y299,1,FIND("-",$Y299)-2),$Y299),Table3[#All],2,0)</f>
        <v>Standard Chartered</v>
      </c>
      <c r="Y299" s="1156" t="str">
        <f>VLOOKUP($B299,Table4[#All],2,0)</f>
        <v>STANDARD CHARTERED</v>
      </c>
      <c r="Z299" s="1151"/>
      <c r="AA299" s="49"/>
      <c r="AH299" s="1158"/>
      <c r="AI299" s="49"/>
      <c r="AJ299" s="1158"/>
      <c r="AL299"/>
    </row>
    <row r="300" spans="1:38" ht="14.4">
      <c r="A300" s="1153" t="str">
        <f>VLOOKUP('Cash Balance'!$C300,Table2[#All],MATCH('Cash Balance'!A$3,Acc_Char!$B$1:$I$1,0),0)</f>
        <v>HOLDCO4Y</v>
      </c>
      <c r="B300" s="1154" t="str">
        <f>VLOOKUP('Cash Balance'!$C300,Table2[#All],MATCH('Cash Balance'!B$3,Acc_Char!$B$1:$I$1,0),0)</f>
        <v>STANDARD CHARTERED</v>
      </c>
      <c r="C300" s="1190" t="s">
        <v>873</v>
      </c>
      <c r="D300" s="1156" t="str">
        <f>VLOOKUP('Cash Balance'!$C300,Table2[#All],MATCH('Cash Balance'!D$3,Acc_Char!$B$1:$I$1,0),0)</f>
        <v>Escrow account</v>
      </c>
      <c r="E300" s="384" t="str">
        <f>VLOOKUP('Cash Balance'!$C300,Table2[#All],MATCH('Cash Balance'!E$3,Acc_Char!$B$1:$I$1,0),0)</f>
        <v>VND</v>
      </c>
      <c r="F300" s="1094" t="e">
        <f>VLOOKUP(C300,'Cash balance (BS)'!A:C,3,)</f>
        <v>#N/A</v>
      </c>
      <c r="G300" s="1157" t="e">
        <f t="shared" si="30"/>
        <v>#N/A</v>
      </c>
      <c r="H300" s="1318">
        <f>SUMIFS('Cash balance (Prior period)'!F:F,'Cash balance (Prior period)'!C:C,Table11[[#This Row],[ACCOUNT NUMBER]],'Cash balance (Prior period)'!E:E,Table11[[#This Row],[CURRENCY]])</f>
        <v>0</v>
      </c>
      <c r="I300" s="1318">
        <f>SUMIFS(Movement!$F$4:$F$2136,Movement!$M$4:$M$2136,"VND",Movement!$C$4:$C$2136,Table11[[#This Row],[ACCOUNT NUMBER]],Movement!$J$4:$J$2136,Table11[[#This Row],[ENTITY]],Movement!$O$4:$O$2136,'Cash Balance'!$A$2)</f>
        <v>0</v>
      </c>
      <c r="J300" s="1318">
        <f>SUMIFS(Movement!$G$4:$G$2136,Movement!$M$4:$M$2136,"VND",Movement!$C$4:$C$2136,Table11[[#This Row],[ACCOUNT NUMBER]],Movement!$J$4:$J$2136,Table11[[#This Row],[ENTITY]],Movement!$O$4:$O$2136,'Cash Balance'!$A$2)</f>
        <v>0</v>
      </c>
      <c r="K300" s="1084">
        <f>Table11[[#This Row],[CASH IN - CREDIT (VND)]]-Table11[[#This Row],[CASH OUT - DEBIT (VND)]]</f>
        <v>0</v>
      </c>
      <c r="L300" s="1095">
        <f t="shared" si="26"/>
        <v>0</v>
      </c>
      <c r="M300" s="1184" t="e">
        <f>VLOOKUP(C300,'Cash balance (BS)'!A:D,4,)</f>
        <v>#N/A</v>
      </c>
      <c r="N300" s="1095" t="e">
        <f>Table11[[#This Row],[CLOSING BALANCE (VND)2]]-Table11[[#This Row],[CB_BS (VND)]]</f>
        <v>#N/A</v>
      </c>
      <c r="O300" s="1094">
        <v>0</v>
      </c>
      <c r="P300" s="1095">
        <f t="shared" si="27"/>
        <v>0</v>
      </c>
      <c r="Q300" s="817">
        <f>SUMIFS('Cash balance (Prior period)'!G:G,'Cash balance (Prior period)'!C:C,Table11[[#This Row],[ACCOUNT NUMBER]],'Cash balance (Prior period)'!E:E,Table11[[#This Row],[CURRENCY]])</f>
        <v>0</v>
      </c>
      <c r="R300" s="817">
        <f>SUMIFS(Movement!$F$4:$F$2136,Movement!$M$4:$M$2136,"USD",Movement!$C$4:$C$2136,Table11[[#This Row],[ACCOUNT NUMBER]],Movement!$J$4:$J$2136,Table11[[#This Row],[ENTITY]],Movement!$O$4:$O$2136,'Cash Balance'!$A$2)</f>
        <v>0</v>
      </c>
      <c r="S300" s="817">
        <f>SUMIFS(Movement!$G$4:$G$2136,Movement!$M$4:$M$2136,"USD",Movement!$C$4:$C$2136,Table11[[#This Row],[ACCOUNT NUMBER]],Movement!$J$4:$J$2136,Table11[[#This Row],[ENTITY]],Movement!$O$4:$O$2136,'Cash Balance'!$A$2)</f>
        <v>0</v>
      </c>
      <c r="T300" s="1087">
        <f t="shared" si="28"/>
        <v>0</v>
      </c>
      <c r="U300" s="817"/>
      <c r="V300" s="817">
        <f>Table11[[#This Row],[CLOSING BALANCE (USD)]]-Table11[[#This Row],[CB_BS (USD)]]</f>
        <v>0</v>
      </c>
      <c r="W300" s="1156" t="str">
        <f>VLOOKUP('Cash Balance'!$C300,Table2[#All],MATCH('Cash Balance'!W$3,Acc_Char!$B$1:$I$1,0),0)</f>
        <v>Subsidiaries</v>
      </c>
      <c r="X300" s="1156" t="str">
        <f>VLOOKUP(IFERROR(MID($Y300,1,FIND("-",$Y300)-2),$Y300),Table3[#All],2,0)</f>
        <v>Standard Chartered</v>
      </c>
      <c r="Y300" s="1156" t="str">
        <f>VLOOKUP($B300,Table4[#All],2,0)</f>
        <v>STANDARD CHARTERED</v>
      </c>
      <c r="Z300" s="1151"/>
      <c r="AA300" s="49"/>
      <c r="AH300" s="1158"/>
      <c r="AI300" s="49"/>
      <c r="AJ300" s="1158"/>
      <c r="AL300"/>
    </row>
    <row r="301" spans="1:38" ht="14.4">
      <c r="A301" s="1153" t="str">
        <f>VLOOKUP('Cash Balance'!$C301,Table2[#All],MATCH('Cash Balance'!A$3,Acc_Char!$B$1:$I$1,0),0)</f>
        <v>HOLDCO5Q</v>
      </c>
      <c r="B301" s="1154" t="str">
        <f>VLOOKUP('Cash Balance'!$C301,Table2[#All],MATCH('Cash Balance'!B$3,Acc_Char!$B$1:$I$1,0),0)</f>
        <v>STANDARD CHARTERED</v>
      </c>
      <c r="C301" s="1190" t="s">
        <v>874</v>
      </c>
      <c r="D301" s="1156" t="str">
        <f>VLOOKUP('Cash Balance'!$C301,Table2[#All],MATCH('Cash Balance'!D$3,Acc_Char!$B$1:$I$1,0),0)</f>
        <v>Escrow account</v>
      </c>
      <c r="E301" s="384" t="str">
        <f>VLOOKUP('Cash Balance'!$C301,Table2[#All],MATCH('Cash Balance'!E$3,Acc_Char!$B$1:$I$1,0),0)</f>
        <v>VND</v>
      </c>
      <c r="F301" s="1094" t="e">
        <f>VLOOKUP(C301,'Cash balance (BS)'!A:C,3,)</f>
        <v>#N/A</v>
      </c>
      <c r="G301" s="1157" t="e">
        <f t="shared" si="30"/>
        <v>#N/A</v>
      </c>
      <c r="H301" s="1318">
        <f>SUMIFS('Cash balance (Prior period)'!F:F,'Cash balance (Prior period)'!C:C,Table11[[#This Row],[ACCOUNT NUMBER]],'Cash balance (Prior period)'!E:E,Table11[[#This Row],[CURRENCY]])</f>
        <v>0</v>
      </c>
      <c r="I301" s="1318">
        <f>SUMIFS(Movement!$F$4:$F$2136,Movement!$M$4:$M$2136,"VND",Movement!$C$4:$C$2136,Table11[[#This Row],[ACCOUNT NUMBER]],Movement!$J$4:$J$2136,Table11[[#This Row],[ENTITY]],Movement!$O$4:$O$2136,'Cash Balance'!$A$2)</f>
        <v>0</v>
      </c>
      <c r="J301" s="1318">
        <f>SUMIFS(Movement!$G$4:$G$2136,Movement!$M$4:$M$2136,"VND",Movement!$C$4:$C$2136,Table11[[#This Row],[ACCOUNT NUMBER]],Movement!$J$4:$J$2136,Table11[[#This Row],[ENTITY]],Movement!$O$4:$O$2136,'Cash Balance'!$A$2)</f>
        <v>0</v>
      </c>
      <c r="K301" s="1084">
        <f>Table11[[#This Row],[CASH IN - CREDIT (VND)]]-Table11[[#This Row],[CASH OUT - DEBIT (VND)]]</f>
        <v>0</v>
      </c>
      <c r="L301" s="1095">
        <f t="shared" si="26"/>
        <v>0</v>
      </c>
      <c r="M301" s="1184" t="e">
        <f>VLOOKUP(C301,'Cash balance (BS)'!A:D,4,)</f>
        <v>#N/A</v>
      </c>
      <c r="N301" s="1095" t="e">
        <f>Table11[[#This Row],[CLOSING BALANCE (VND)2]]-Table11[[#This Row],[CB_BS (VND)]]</f>
        <v>#N/A</v>
      </c>
      <c r="O301" s="1094">
        <v>0</v>
      </c>
      <c r="P301" s="1095">
        <f t="shared" si="27"/>
        <v>0</v>
      </c>
      <c r="Q301" s="817">
        <f>SUMIFS('Cash balance (Prior period)'!G:G,'Cash balance (Prior period)'!C:C,Table11[[#This Row],[ACCOUNT NUMBER]],'Cash balance (Prior period)'!E:E,Table11[[#This Row],[CURRENCY]])</f>
        <v>0</v>
      </c>
      <c r="R301" s="817">
        <f>SUMIFS(Movement!$F$4:$F$2136,Movement!$M$4:$M$2136,"USD",Movement!$C$4:$C$2136,Table11[[#This Row],[ACCOUNT NUMBER]],Movement!$J$4:$J$2136,Table11[[#This Row],[ENTITY]],Movement!$O$4:$O$2136,'Cash Balance'!$A$2)</f>
        <v>0</v>
      </c>
      <c r="S301" s="817">
        <f>SUMIFS(Movement!$G$4:$G$2136,Movement!$M$4:$M$2136,"USD",Movement!$C$4:$C$2136,Table11[[#This Row],[ACCOUNT NUMBER]],Movement!$J$4:$J$2136,Table11[[#This Row],[ENTITY]],Movement!$O$4:$O$2136,'Cash Balance'!$A$2)</f>
        <v>0</v>
      </c>
      <c r="T301" s="1087">
        <f t="shared" si="28"/>
        <v>0</v>
      </c>
      <c r="U301" s="817"/>
      <c r="V301" s="817">
        <f>Table11[[#This Row],[CLOSING BALANCE (USD)]]-Table11[[#This Row],[CB_BS (USD)]]</f>
        <v>0</v>
      </c>
      <c r="W301" s="1156" t="str">
        <f>VLOOKUP('Cash Balance'!$C301,Table2[#All],MATCH('Cash Balance'!W$3,Acc_Char!$B$1:$I$1,0),0)</f>
        <v>Subsidiaries</v>
      </c>
      <c r="X301" s="1156" t="str">
        <f>VLOOKUP(IFERROR(MID($Y301,1,FIND("-",$Y301)-2),$Y301),Table3[#All],2,0)</f>
        <v>Standard Chartered</v>
      </c>
      <c r="Y301" s="1156" t="str">
        <f>VLOOKUP($B301,Table4[#All],2,0)</f>
        <v>STANDARD CHARTERED</v>
      </c>
      <c r="Z301" s="1151"/>
      <c r="AA301" s="49"/>
      <c r="AH301" s="1158"/>
      <c r="AI301" s="49"/>
      <c r="AJ301" s="1158"/>
      <c r="AL301"/>
    </row>
    <row r="302" spans="1:38" ht="14.4">
      <c r="A302" s="1153" t="str">
        <f>VLOOKUP('Cash Balance'!$C302,Table2[#All],MATCH('Cash Balance'!A$3,Acc_Char!$B$1:$I$1,0),0)</f>
        <v>NDV HOLDCO 1</v>
      </c>
      <c r="B302" s="1154" t="str">
        <f>VLOOKUP('Cash Balance'!$C302,Table2[#All],MATCH('Cash Balance'!B$3,Acc_Char!$B$1:$I$1,0),0)</f>
        <v>BIDV - THANH XUAN</v>
      </c>
      <c r="C302" s="1190" t="s">
        <v>876</v>
      </c>
      <c r="D302" s="1156" t="str">
        <f>VLOOKUP('Cash Balance'!$C302,Table2[#All],MATCH('Cash Balance'!D$3,Acc_Char!$B$1:$I$1,0),0)</f>
        <v>Current Account</v>
      </c>
      <c r="E302" s="384" t="str">
        <f>VLOOKUP('Cash Balance'!$C302,Table2[#All],MATCH('Cash Balance'!E$3,Acc_Char!$B$1:$I$1,0),0)</f>
        <v>VND</v>
      </c>
      <c r="F302" s="1094" t="e">
        <f>VLOOKUP(C302,'Cash balance (BS)'!A:C,3,)</f>
        <v>#N/A</v>
      </c>
      <c r="G302" s="1157" t="e">
        <f t="shared" si="30"/>
        <v>#N/A</v>
      </c>
      <c r="H302" s="1318">
        <f>SUMIFS('Cash balance (Prior period)'!F:F,'Cash balance (Prior period)'!C:C,Table11[[#This Row],[ACCOUNT NUMBER]],'Cash balance (Prior period)'!E:E,Table11[[#This Row],[CURRENCY]])</f>
        <v>15143999</v>
      </c>
      <c r="I302" s="1318">
        <f>SUMIFS(Movement!$F$4:$F$2136,Movement!$M$4:$M$2136,"VND",Movement!$C$4:$C$2136,Table11[[#This Row],[ACCOUNT NUMBER]],Movement!$J$4:$J$2136,Table11[[#This Row],[ENTITY]],Movement!$O$4:$O$2136,'Cash Balance'!$A$2)</f>
        <v>0</v>
      </c>
      <c r="J302" s="1318">
        <f>SUMIFS(Movement!$G$4:$G$2136,Movement!$M$4:$M$2136,"VND",Movement!$C$4:$C$2136,Table11[[#This Row],[ACCOUNT NUMBER]],Movement!$J$4:$J$2136,Table11[[#This Row],[ENTITY]],Movement!$O$4:$O$2136,'Cash Balance'!$A$2)</f>
        <v>55000</v>
      </c>
      <c r="K302" s="1084">
        <f>Table11[[#This Row],[CASH IN - CREDIT (VND)]]-Table11[[#This Row],[CASH OUT - DEBIT (VND)]]</f>
        <v>-55000</v>
      </c>
      <c r="L302" s="1095">
        <f t="shared" si="26"/>
        <v>15088999</v>
      </c>
      <c r="M302" s="1184" t="e">
        <f>VLOOKUP(C302,'Cash balance (BS)'!A:D,4,)</f>
        <v>#N/A</v>
      </c>
      <c r="N302" s="1095" t="e">
        <f>Table11[[#This Row],[CLOSING BALANCE (VND)2]]-Table11[[#This Row],[CB_BS (VND)]]</f>
        <v>#N/A</v>
      </c>
      <c r="O302" s="1094">
        <v>0</v>
      </c>
      <c r="P302" s="1095">
        <f t="shared" si="27"/>
        <v>0</v>
      </c>
      <c r="Q302" s="817">
        <f>SUMIFS('Cash balance (Prior period)'!G:G,'Cash balance (Prior period)'!C:C,Table11[[#This Row],[ACCOUNT NUMBER]],'Cash balance (Prior period)'!E:E,Table11[[#This Row],[CURRENCY]])</f>
        <v>0</v>
      </c>
      <c r="R302" s="817">
        <f>SUMIFS(Movement!$F$4:$F$2136,Movement!$M$4:$M$2136,"USD",Movement!$C$4:$C$2136,Table11[[#This Row],[ACCOUNT NUMBER]],Movement!$J$4:$J$2136,Table11[[#This Row],[ENTITY]],Movement!$O$4:$O$2136,'Cash Balance'!$A$2)</f>
        <v>0</v>
      </c>
      <c r="S302" s="817">
        <f>SUMIFS(Movement!$G$4:$G$2136,Movement!$M$4:$M$2136,"USD",Movement!$C$4:$C$2136,Table11[[#This Row],[ACCOUNT NUMBER]],Movement!$J$4:$J$2136,Table11[[#This Row],[ENTITY]],Movement!$O$4:$O$2136,'Cash Balance'!$A$2)</f>
        <v>0</v>
      </c>
      <c r="T302" s="1087">
        <f t="shared" si="28"/>
        <v>0</v>
      </c>
      <c r="U302" s="817"/>
      <c r="V302" s="817">
        <f>Table11[[#This Row],[CLOSING BALANCE (USD)]]-Table11[[#This Row],[CB_BS (USD)]]</f>
        <v>0</v>
      </c>
      <c r="W302" s="1156" t="str">
        <f>VLOOKUP('Cash Balance'!$C302,Table2[#All],MATCH('Cash Balance'!W$3,Acc_Char!$B$1:$I$1,0),0)</f>
        <v>Subsidiaries</v>
      </c>
      <c r="X302" s="1156" t="str">
        <f>VLOOKUP(IFERROR(MID($Y302,1,FIND("-",$Y302)-2),$Y302),Table3[#All],2,0)</f>
        <v>BIDV</v>
      </c>
      <c r="Y302" s="1156" t="str">
        <f>VLOOKUP($B302,Table4[#All],2,0)</f>
        <v>BIDV - THANH XUAN</v>
      </c>
      <c r="Z302" s="1151"/>
      <c r="AA302" s="49"/>
      <c r="AH302" s="1158" t="s">
        <v>466</v>
      </c>
      <c r="AI302" s="49"/>
      <c r="AJ302" s="1158"/>
      <c r="AL302"/>
    </row>
    <row r="303" spans="1:38" ht="14.4">
      <c r="A303" s="1153" t="str">
        <f>VLOOKUP('Cash Balance'!$C303,Table2[#All],MATCH('Cash Balance'!A$3,Acc_Char!$B$1:$I$1,0),0)</f>
        <v>NDV HOLDCO 2</v>
      </c>
      <c r="B303" s="1154" t="str">
        <f>VLOOKUP('Cash Balance'!$C303,Table2[#All],MATCH('Cash Balance'!B$3,Acc_Char!$B$1:$I$1,0),0)</f>
        <v>BIDV - THANH XUAN</v>
      </c>
      <c r="C303" s="1190" t="s">
        <v>878</v>
      </c>
      <c r="D303" s="1156" t="str">
        <f>VLOOKUP('Cash Balance'!$C303,Table2[#All],MATCH('Cash Balance'!D$3,Acc_Char!$B$1:$I$1,0),0)</f>
        <v>Current Account</v>
      </c>
      <c r="E303" s="384" t="str">
        <f>VLOOKUP('Cash Balance'!$C303,Table2[#All],MATCH('Cash Balance'!E$3,Acc_Char!$B$1:$I$1,0),0)</f>
        <v>VND</v>
      </c>
      <c r="F303" s="1094" t="e">
        <f>VLOOKUP(C303,'Cash balance (BS)'!A:C,3,)</f>
        <v>#N/A</v>
      </c>
      <c r="G303" s="1157" t="e">
        <f t="shared" si="30"/>
        <v>#N/A</v>
      </c>
      <c r="H303" s="1318">
        <f>SUMIFS('Cash balance (Prior period)'!F:F,'Cash balance (Prior period)'!C:C,Table11[[#This Row],[ACCOUNT NUMBER]],'Cash balance (Prior period)'!E:E,Table11[[#This Row],[CURRENCY]])</f>
        <v>1043540</v>
      </c>
      <c r="I303" s="1318">
        <f>SUMIFS(Movement!$F$4:$F$2136,Movement!$M$4:$M$2136,"VND",Movement!$C$4:$C$2136,Table11[[#This Row],[ACCOUNT NUMBER]],Movement!$J$4:$J$2136,Table11[[#This Row],[ENTITY]],Movement!$O$4:$O$2136,'Cash Balance'!$A$2)</f>
        <v>0</v>
      </c>
      <c r="J303" s="1318">
        <f>SUMIFS(Movement!$G$4:$G$2136,Movement!$M$4:$M$2136,"VND",Movement!$C$4:$C$2136,Table11[[#This Row],[ACCOUNT NUMBER]],Movement!$J$4:$J$2136,Table11[[#This Row],[ENTITY]],Movement!$O$4:$O$2136,'Cash Balance'!$A$2)</f>
        <v>55000</v>
      </c>
      <c r="K303" s="1084">
        <f>Table11[[#This Row],[CASH IN - CREDIT (VND)]]-Table11[[#This Row],[CASH OUT - DEBIT (VND)]]</f>
        <v>-55000</v>
      </c>
      <c r="L303" s="1095">
        <f t="shared" si="26"/>
        <v>988540</v>
      </c>
      <c r="M303" s="1184" t="e">
        <f>VLOOKUP(C303,'Cash balance (BS)'!A:D,4,)</f>
        <v>#N/A</v>
      </c>
      <c r="N303" s="1095" t="e">
        <f>Table11[[#This Row],[CLOSING BALANCE (VND)2]]-Table11[[#This Row],[CB_BS (VND)]]</f>
        <v>#N/A</v>
      </c>
      <c r="O303" s="1094">
        <v>0</v>
      </c>
      <c r="P303" s="1095">
        <f t="shared" si="27"/>
        <v>0</v>
      </c>
      <c r="Q303" s="817">
        <f>SUMIFS('Cash balance (Prior period)'!G:G,'Cash balance (Prior period)'!C:C,Table11[[#This Row],[ACCOUNT NUMBER]],'Cash balance (Prior period)'!E:E,Table11[[#This Row],[CURRENCY]])</f>
        <v>0</v>
      </c>
      <c r="R303" s="817">
        <f>SUMIFS(Movement!$F$4:$F$2136,Movement!$M$4:$M$2136,"USD",Movement!$C$4:$C$2136,Table11[[#This Row],[ACCOUNT NUMBER]],Movement!$J$4:$J$2136,Table11[[#This Row],[ENTITY]],Movement!$O$4:$O$2136,'Cash Balance'!$A$2)</f>
        <v>0</v>
      </c>
      <c r="S303" s="817">
        <f>SUMIFS(Movement!$G$4:$G$2136,Movement!$M$4:$M$2136,"USD",Movement!$C$4:$C$2136,Table11[[#This Row],[ACCOUNT NUMBER]],Movement!$J$4:$J$2136,Table11[[#This Row],[ENTITY]],Movement!$O$4:$O$2136,'Cash Balance'!$A$2)</f>
        <v>0</v>
      </c>
      <c r="T303" s="1087">
        <f t="shared" si="28"/>
        <v>0</v>
      </c>
      <c r="U303" s="817"/>
      <c r="V303" s="817">
        <f>Table11[[#This Row],[CLOSING BALANCE (USD)]]-Table11[[#This Row],[CB_BS (USD)]]</f>
        <v>0</v>
      </c>
      <c r="W303" s="1156" t="str">
        <f>VLOOKUP('Cash Balance'!$C303,Table2[#All],MATCH('Cash Balance'!W$3,Acc_Char!$B$1:$I$1,0),0)</f>
        <v>Subsidiaries</v>
      </c>
      <c r="X303" s="1156" t="str">
        <f>VLOOKUP(IFERROR(MID($Y303,1,FIND("-",$Y303)-2),$Y303),Table3[#All],2,0)</f>
        <v>BIDV</v>
      </c>
      <c r="Y303" s="1156" t="str">
        <f>VLOOKUP($B303,Table4[#All],2,0)</f>
        <v>BIDV - THANH XUAN</v>
      </c>
      <c r="Z303" s="1151"/>
      <c r="AA303" s="49"/>
      <c r="AH303" s="1158" t="s">
        <v>466</v>
      </c>
      <c r="AI303" s="49"/>
      <c r="AJ303" s="1158"/>
      <c r="AL303"/>
    </row>
    <row r="304" spans="1:38" ht="14.4">
      <c r="A304" s="1153" t="str">
        <f>VLOOKUP('Cash Balance'!$C304,Table2[#All],MATCH('Cash Balance'!A$3,Acc_Char!$B$1:$I$1,0),0)</f>
        <v>YEN PHONG HOLDCO</v>
      </c>
      <c r="B304" s="1154" t="str">
        <f>VLOOKUP('Cash Balance'!$C304,Table2[#All],MATCH('Cash Balance'!B$3,Acc_Char!$B$1:$I$1,0),0)</f>
        <v>BIDV - THANH XUAN</v>
      </c>
      <c r="C304" s="1190" t="s">
        <v>880</v>
      </c>
      <c r="D304" s="1156" t="str">
        <f>VLOOKUP('Cash Balance'!$C304,Table2[#All],MATCH('Cash Balance'!D$3,Acc_Char!$B$1:$I$1,0),0)</f>
        <v>Current Account</v>
      </c>
      <c r="E304" s="384" t="str">
        <f>VLOOKUP('Cash Balance'!$C304,Table2[#All],MATCH('Cash Balance'!E$3,Acc_Char!$B$1:$I$1,0),0)</f>
        <v>VND</v>
      </c>
      <c r="F304" s="1094" t="e">
        <f>VLOOKUP(C304,'Cash balance (BS)'!A:C,3,)</f>
        <v>#N/A</v>
      </c>
      <c r="G304" s="1157" t="e">
        <f t="shared" si="30"/>
        <v>#N/A</v>
      </c>
      <c r="H304" s="1318">
        <f>SUMIFS('Cash balance (Prior period)'!F:F,'Cash balance (Prior period)'!C:C,Table11[[#This Row],[ACCOUNT NUMBER]],'Cash balance (Prior period)'!E:E,Table11[[#This Row],[CURRENCY]])</f>
        <v>80750903</v>
      </c>
      <c r="I304" s="1318">
        <f>SUMIFS(Movement!$F$4:$F$2136,Movement!$M$4:$M$2136,"VND",Movement!$C$4:$C$2136,Table11[[#This Row],[ACCOUNT NUMBER]],Movement!$J$4:$J$2136,Table11[[#This Row],[ENTITY]],Movement!$O$4:$O$2136,'Cash Balance'!$A$2)</f>
        <v>0</v>
      </c>
      <c r="J304" s="1318">
        <f>SUMIFS(Movement!$G$4:$G$2136,Movement!$M$4:$M$2136,"VND",Movement!$C$4:$C$2136,Table11[[#This Row],[ACCOUNT NUMBER]],Movement!$J$4:$J$2136,Table11[[#This Row],[ENTITY]],Movement!$O$4:$O$2136,'Cash Balance'!$A$2)</f>
        <v>55000</v>
      </c>
      <c r="K304" s="1084">
        <f>Table11[[#This Row],[CASH IN - CREDIT (VND)]]-Table11[[#This Row],[CASH OUT - DEBIT (VND)]]</f>
        <v>-55000</v>
      </c>
      <c r="L304" s="1095">
        <f t="shared" si="26"/>
        <v>80695903</v>
      </c>
      <c r="M304" s="1184" t="e">
        <f>VLOOKUP(C304,'Cash balance (BS)'!A:D,4,)</f>
        <v>#N/A</v>
      </c>
      <c r="N304" s="1095" t="e">
        <f>Table11[[#This Row],[CLOSING BALANCE (VND)2]]-Table11[[#This Row],[CB_BS (VND)]]</f>
        <v>#N/A</v>
      </c>
      <c r="O304" s="1094">
        <v>0</v>
      </c>
      <c r="P304" s="1095">
        <f t="shared" si="27"/>
        <v>0</v>
      </c>
      <c r="Q304" s="817">
        <f>SUMIFS('Cash balance (Prior period)'!G:G,'Cash balance (Prior period)'!C:C,Table11[[#This Row],[ACCOUNT NUMBER]],'Cash balance (Prior period)'!E:E,Table11[[#This Row],[CURRENCY]])</f>
        <v>0</v>
      </c>
      <c r="R304" s="817">
        <f>SUMIFS(Movement!$F$4:$F$2136,Movement!$M$4:$M$2136,"USD",Movement!$C$4:$C$2136,Table11[[#This Row],[ACCOUNT NUMBER]],Movement!$J$4:$J$2136,Table11[[#This Row],[ENTITY]],Movement!$O$4:$O$2136,'Cash Balance'!$A$2)</f>
        <v>0</v>
      </c>
      <c r="S304" s="817">
        <f>SUMIFS(Movement!$G$4:$G$2136,Movement!$M$4:$M$2136,"USD",Movement!$C$4:$C$2136,Table11[[#This Row],[ACCOUNT NUMBER]],Movement!$J$4:$J$2136,Table11[[#This Row],[ENTITY]],Movement!$O$4:$O$2136,'Cash Balance'!$A$2)</f>
        <v>0</v>
      </c>
      <c r="T304" s="1087">
        <f t="shared" si="28"/>
        <v>0</v>
      </c>
      <c r="U304" s="817"/>
      <c r="V304" s="817">
        <f>Table11[[#This Row],[CLOSING BALANCE (USD)]]-Table11[[#This Row],[CB_BS (USD)]]</f>
        <v>0</v>
      </c>
      <c r="W304" s="1156" t="str">
        <f>VLOOKUP('Cash Balance'!$C304,Table2[#All],MATCH('Cash Balance'!W$3,Acc_Char!$B$1:$I$1,0),0)</f>
        <v>Subsidiaries</v>
      </c>
      <c r="X304" s="1156" t="str">
        <f>VLOOKUP(IFERROR(MID($Y304,1,FIND("-",$Y304)-2),$Y304),Table3[#All],2,0)</f>
        <v>BIDV</v>
      </c>
      <c r="Y304" s="1156" t="str">
        <f>VLOOKUP($B304,Table4[#All],2,0)</f>
        <v>BIDV - THANH XUAN</v>
      </c>
      <c r="Z304" s="1151"/>
      <c r="AA304" s="49"/>
      <c r="AH304" s="1158" t="s">
        <v>466</v>
      </c>
      <c r="AI304" s="49"/>
      <c r="AJ304" s="1158"/>
      <c r="AL304"/>
    </row>
    <row r="305" spans="1:38" ht="14.4">
      <c r="A305" s="1153" t="str">
        <f>VLOOKUP('Cash Balance'!$C305,Table2[#All],MATCH('Cash Balance'!A$3,Acc_Char!$B$1:$I$1,0),0)</f>
        <v>YEN PHONG HOLDCO</v>
      </c>
      <c r="B305" s="1154" t="str">
        <f>VLOOKUP('Cash Balance'!$C305,Table2[#All],MATCH('Cash Balance'!B$3,Acc_Char!$B$1:$I$1,0),0)</f>
        <v>BIDV - THANH XUAN</v>
      </c>
      <c r="C305" s="1190" t="s">
        <v>881</v>
      </c>
      <c r="D305" s="1156" t="str">
        <f>VLOOKUP('Cash Balance'!$C305,Table2[#All],MATCH('Cash Balance'!D$3,Acc_Char!$B$1:$I$1,0),0)</f>
        <v>Capital Account</v>
      </c>
      <c r="E305" s="384" t="str">
        <f>VLOOKUP('Cash Balance'!$C305,Table2[#All],MATCH('Cash Balance'!E$3,Acc_Char!$B$1:$I$1,0),0)</f>
        <v>VND</v>
      </c>
      <c r="F305" s="1094" t="e">
        <f>VLOOKUP(C305,'Cash balance (BS)'!A:C,3,)</f>
        <v>#N/A</v>
      </c>
      <c r="G305" s="1157" t="e">
        <f t="shared" si="30"/>
        <v>#N/A</v>
      </c>
      <c r="H305" s="1318">
        <f>SUMIFS('Cash balance (Prior period)'!F:F,'Cash balance (Prior period)'!C:C,Table11[[#This Row],[ACCOUNT NUMBER]],'Cash balance (Prior period)'!E:E,Table11[[#This Row],[CURRENCY]])</f>
        <v>0</v>
      </c>
      <c r="I305" s="1318">
        <f>SUMIFS(Movement!$F$4:$F$2136,Movement!$M$4:$M$2136,"VND",Movement!$C$4:$C$2136,Table11[[#This Row],[ACCOUNT NUMBER]],Movement!$J$4:$J$2136,Table11[[#This Row],[ENTITY]],Movement!$O$4:$O$2136,'Cash Balance'!$A$2)</f>
        <v>0</v>
      </c>
      <c r="J305" s="1318">
        <f>SUMIFS(Movement!$G$4:$G$2136,Movement!$M$4:$M$2136,"VND",Movement!$C$4:$C$2136,Table11[[#This Row],[ACCOUNT NUMBER]],Movement!$J$4:$J$2136,Table11[[#This Row],[ENTITY]],Movement!$O$4:$O$2136,'Cash Balance'!$A$2)</f>
        <v>0</v>
      </c>
      <c r="K305" s="1084">
        <f>Table11[[#This Row],[CASH IN - CREDIT (VND)]]-Table11[[#This Row],[CASH OUT - DEBIT (VND)]]</f>
        <v>0</v>
      </c>
      <c r="L305" s="1095">
        <f t="shared" si="26"/>
        <v>0</v>
      </c>
      <c r="M305" s="1184" t="e">
        <f>VLOOKUP(C305,'Cash balance (BS)'!A:D,4,)</f>
        <v>#N/A</v>
      </c>
      <c r="N305" s="1095" t="e">
        <f>Table11[[#This Row],[CLOSING BALANCE (VND)2]]-Table11[[#This Row],[CB_BS (VND)]]</f>
        <v>#N/A</v>
      </c>
      <c r="O305" s="1094">
        <v>0</v>
      </c>
      <c r="P305" s="1095">
        <f t="shared" si="27"/>
        <v>0</v>
      </c>
      <c r="Q305" s="817">
        <f>SUMIFS('Cash balance (Prior period)'!G:G,'Cash balance (Prior period)'!C:C,Table11[[#This Row],[ACCOUNT NUMBER]],'Cash balance (Prior period)'!E:E,Table11[[#This Row],[CURRENCY]])</f>
        <v>0</v>
      </c>
      <c r="R305" s="817">
        <f>SUMIFS(Movement!$F$4:$F$2136,Movement!$M$4:$M$2136,"USD",Movement!$C$4:$C$2136,Table11[[#This Row],[ACCOUNT NUMBER]],Movement!$J$4:$J$2136,Table11[[#This Row],[ENTITY]],Movement!$O$4:$O$2136,'Cash Balance'!$A$2)</f>
        <v>0</v>
      </c>
      <c r="S305" s="817">
        <f>SUMIFS(Movement!$G$4:$G$2136,Movement!$M$4:$M$2136,"USD",Movement!$C$4:$C$2136,Table11[[#This Row],[ACCOUNT NUMBER]],Movement!$J$4:$J$2136,Table11[[#This Row],[ENTITY]],Movement!$O$4:$O$2136,'Cash Balance'!$A$2)</f>
        <v>0</v>
      </c>
      <c r="T305" s="1087">
        <f t="shared" si="28"/>
        <v>0</v>
      </c>
      <c r="U305" s="817"/>
      <c r="V305" s="817">
        <f>Table11[[#This Row],[CLOSING BALANCE (USD)]]-Table11[[#This Row],[CB_BS (USD)]]</f>
        <v>0</v>
      </c>
      <c r="W305" s="1156" t="str">
        <f>VLOOKUP('Cash Balance'!$C305,Table2[#All],MATCH('Cash Balance'!W$3,Acc_Char!$B$1:$I$1,0),0)</f>
        <v>Subsidiaries</v>
      </c>
      <c r="X305" s="1156" t="str">
        <f>VLOOKUP(IFERROR(MID($Y305,1,FIND("-",$Y305)-2),$Y305),Table3[#All],2,0)</f>
        <v>BIDV</v>
      </c>
      <c r="Y305" s="1156" t="str">
        <f>VLOOKUP($B305,Table4[#All],2,0)</f>
        <v>BIDV - THANH XUAN</v>
      </c>
      <c r="Z305" s="1151"/>
      <c r="AA305" s="49"/>
      <c r="AH305" s="1158"/>
      <c r="AI305" s="49"/>
      <c r="AJ305" s="1158"/>
      <c r="AL305"/>
    </row>
    <row r="306" spans="1:38" ht="14.4">
      <c r="A306" s="1153" t="str">
        <f>VLOOKUP('Cash Balance'!$C306,Table2[#All],MATCH('Cash Balance'!A$3,Acc_Char!$B$1:$I$1,0),0)</f>
        <v>YEN PHONG HOLDCO</v>
      </c>
      <c r="B306" s="1154" t="str">
        <f>VLOOKUP('Cash Balance'!$C306,Table2[#All],MATCH('Cash Balance'!B$3,Acc_Char!$B$1:$I$1,0),0)</f>
        <v>BIDV - THANH XUAN</v>
      </c>
      <c r="C306" s="1190" t="s">
        <v>882</v>
      </c>
      <c r="D306" s="1156" t="str">
        <f>VLOOKUP('Cash Balance'!$C306,Table2[#All],MATCH('Cash Balance'!D$3,Acc_Char!$B$1:$I$1,0),0)</f>
        <v>Current Account</v>
      </c>
      <c r="E306" s="384" t="str">
        <f>VLOOKUP('Cash Balance'!$C306,Table2[#All],MATCH('Cash Balance'!E$3,Acc_Char!$B$1:$I$1,0),0)</f>
        <v>USD</v>
      </c>
      <c r="F306" s="1094" t="e">
        <f>VLOOKUP(C306,'Cash balance (BS)'!A:C,3,)</f>
        <v>#N/A</v>
      </c>
      <c r="G306" s="1157" t="e">
        <f t="shared" si="30"/>
        <v>#N/A</v>
      </c>
      <c r="H306" s="1318">
        <f>SUMIFS('Cash balance (Prior period)'!F:F,'Cash balance (Prior period)'!C:C,Table11[[#This Row],[ACCOUNT NUMBER]],'Cash balance (Prior period)'!E:E,Table11[[#This Row],[CURRENCY]])</f>
        <v>0</v>
      </c>
      <c r="I306" s="1318">
        <f>SUMIFS(Movement!$F$4:$F$2136,Movement!$M$4:$M$2136,"VND",Movement!$C$4:$C$2136,Table11[[#This Row],[ACCOUNT NUMBER]],Movement!$J$4:$J$2136,Table11[[#This Row],[ENTITY]],Movement!$O$4:$O$2136,'Cash Balance'!$A$2)</f>
        <v>0</v>
      </c>
      <c r="J306" s="1318">
        <f>SUMIFS(Movement!$G$4:$G$2136,Movement!$M$4:$M$2136,"VND",Movement!$C$4:$C$2136,Table11[[#This Row],[ACCOUNT NUMBER]],Movement!$J$4:$J$2136,Table11[[#This Row],[ENTITY]],Movement!$O$4:$O$2136,'Cash Balance'!$A$2)</f>
        <v>0</v>
      </c>
      <c r="K306" s="1084">
        <f>Table11[[#This Row],[CASH IN - CREDIT (VND)]]-Table11[[#This Row],[CASH OUT - DEBIT (VND)]]</f>
        <v>0</v>
      </c>
      <c r="L306" s="1095">
        <f t="shared" si="26"/>
        <v>0</v>
      </c>
      <c r="M306" s="1184" t="e">
        <f>VLOOKUP(C306,'Cash balance (BS)'!A:D,4,)</f>
        <v>#N/A</v>
      </c>
      <c r="N306" s="1095" t="e">
        <f>Table11[[#This Row],[CLOSING BALANCE (VND)2]]-Table11[[#This Row],[CB_BS (VND)]]</f>
        <v>#N/A</v>
      </c>
      <c r="O306" s="1094">
        <v>0</v>
      </c>
      <c r="P306" s="1095">
        <f t="shared" si="27"/>
        <v>0</v>
      </c>
      <c r="Q306" s="817">
        <f>SUMIFS('Cash balance (Prior period)'!G:G,'Cash balance (Prior period)'!C:C,Table11[[#This Row],[ACCOUNT NUMBER]],'Cash balance (Prior period)'!E:E,Table11[[#This Row],[CURRENCY]])</f>
        <v>0</v>
      </c>
      <c r="R306" s="817">
        <f>SUMIFS(Movement!$F$4:$F$2136,Movement!$M$4:$M$2136,"USD",Movement!$C$4:$C$2136,Table11[[#This Row],[ACCOUNT NUMBER]],Movement!$J$4:$J$2136,Table11[[#This Row],[ENTITY]],Movement!$O$4:$O$2136,'Cash Balance'!$A$2)</f>
        <v>0</v>
      </c>
      <c r="S306" s="817">
        <f>SUMIFS(Movement!$G$4:$G$2136,Movement!$M$4:$M$2136,"USD",Movement!$C$4:$C$2136,Table11[[#This Row],[ACCOUNT NUMBER]],Movement!$J$4:$J$2136,Table11[[#This Row],[ENTITY]],Movement!$O$4:$O$2136,'Cash Balance'!$A$2)</f>
        <v>0</v>
      </c>
      <c r="T306" s="1087">
        <f t="shared" si="28"/>
        <v>0</v>
      </c>
      <c r="U306" s="817"/>
      <c r="V306" s="817">
        <f>Table11[[#This Row],[CLOSING BALANCE (USD)]]-Table11[[#This Row],[CB_BS (USD)]]</f>
        <v>0</v>
      </c>
      <c r="W306" s="1156" t="str">
        <f>VLOOKUP('Cash Balance'!$C306,Table2[#All],MATCH('Cash Balance'!W$3,Acc_Char!$B$1:$I$1,0),0)</f>
        <v>Subsidiaries</v>
      </c>
      <c r="X306" s="1156" t="str">
        <f>VLOOKUP(IFERROR(MID($Y306,1,FIND("-",$Y306)-2),$Y306),Table3[#All],2,0)</f>
        <v>BIDV</v>
      </c>
      <c r="Y306" s="1156" t="str">
        <f>VLOOKUP($B306,Table4[#All],2,0)</f>
        <v>BIDV - THANH XUAN</v>
      </c>
      <c r="Z306" s="1151"/>
      <c r="AA306" s="49"/>
      <c r="AH306" s="1158"/>
      <c r="AI306" s="49"/>
      <c r="AJ306" s="1158"/>
      <c r="AL306"/>
    </row>
    <row r="307" spans="1:38" ht="14.4">
      <c r="A307" s="1153" t="str">
        <f>VLOOKUP('Cash Balance'!$C307,Table2[#All],MATCH('Cash Balance'!A$3,Acc_Char!$B$1:$I$1,0),0)</f>
        <v>YEN PHONG HOLDCO</v>
      </c>
      <c r="B307" s="1154" t="str">
        <f>VLOOKUP('Cash Balance'!$C307,Table2[#All],MATCH('Cash Balance'!B$3,Acc_Char!$B$1:$I$1,0),0)</f>
        <v>BIDV - THANH XUAN</v>
      </c>
      <c r="C307" s="1190" t="s">
        <v>883</v>
      </c>
      <c r="D307" s="1156" t="str">
        <f>VLOOKUP('Cash Balance'!$C307,Table2[#All],MATCH('Cash Balance'!D$3,Acc_Char!$B$1:$I$1,0),0)</f>
        <v>Foreign Loan</v>
      </c>
      <c r="E307" s="384" t="str">
        <f>VLOOKUP('Cash Balance'!$C307,Table2[#All],MATCH('Cash Balance'!E$3,Acc_Char!$B$1:$I$1,0),0)</f>
        <v>USD</v>
      </c>
      <c r="F307" s="1094"/>
      <c r="G307" s="1157"/>
      <c r="H307" s="1318">
        <f>SUMIFS('Cash balance (Prior period)'!F:F,'Cash balance (Prior period)'!C:C,Table11[[#This Row],[ACCOUNT NUMBER]],'Cash balance (Prior period)'!E:E,Table11[[#This Row],[CURRENCY]])</f>
        <v>0</v>
      </c>
      <c r="I307" s="1318">
        <f>SUMIFS(Movement!$F$4:$F$2136,Movement!$M$4:$M$2136,"VND",Movement!$C$4:$C$2136,Table11[[#This Row],[ACCOUNT NUMBER]],Movement!$J$4:$J$2136,Table11[[#This Row],[ENTITY]],Movement!$O$4:$O$2136,'Cash Balance'!$A$2)</f>
        <v>0</v>
      </c>
      <c r="J307" s="1318">
        <f>SUMIFS(Movement!$G$4:$G$2136,Movement!$M$4:$M$2136,"VND",Movement!$C$4:$C$2136,Table11[[#This Row],[ACCOUNT NUMBER]],Movement!$J$4:$J$2136,Table11[[#This Row],[ENTITY]],Movement!$O$4:$O$2136,'Cash Balance'!$A$2)</f>
        <v>0</v>
      </c>
      <c r="K307" s="1084">
        <f>Table11[[#This Row],[CASH IN - CREDIT (VND)]]-Table11[[#This Row],[CASH OUT - DEBIT (VND)]]</f>
        <v>0</v>
      </c>
      <c r="L307" s="1095">
        <f t="shared" si="26"/>
        <v>0</v>
      </c>
      <c r="M307" s="1184" t="e">
        <f>VLOOKUP(C307,'Cash balance (BS)'!A:D,4,)</f>
        <v>#N/A</v>
      </c>
      <c r="N307" s="1095" t="e">
        <f>Table11[[#This Row],[CLOSING BALANCE (VND)2]]-Table11[[#This Row],[CB_BS (VND)]]</f>
        <v>#N/A</v>
      </c>
      <c r="O307" s="1094">
        <v>0</v>
      </c>
      <c r="P307" s="1095">
        <f t="shared" si="27"/>
        <v>0</v>
      </c>
      <c r="Q307" s="817">
        <f>SUMIFS('Cash balance (Prior period)'!G:G,'Cash balance (Prior period)'!C:C,Table11[[#This Row],[ACCOUNT NUMBER]],'Cash balance (Prior period)'!E:E,Table11[[#This Row],[CURRENCY]])</f>
        <v>0</v>
      </c>
      <c r="R307" s="817">
        <f>SUMIFS(Movement!$F$4:$F$2136,Movement!$M$4:$M$2136,"USD",Movement!$C$4:$C$2136,Table11[[#This Row],[ACCOUNT NUMBER]],Movement!$J$4:$J$2136,Table11[[#This Row],[ENTITY]],Movement!$O$4:$O$2136,'Cash Balance'!$A$2)</f>
        <v>0</v>
      </c>
      <c r="S307" s="817">
        <f>SUMIFS(Movement!$G$4:$G$2136,Movement!$M$4:$M$2136,"USD",Movement!$C$4:$C$2136,Table11[[#This Row],[ACCOUNT NUMBER]],Movement!$J$4:$J$2136,Table11[[#This Row],[ENTITY]],Movement!$O$4:$O$2136,'Cash Balance'!$A$2)</f>
        <v>0</v>
      </c>
      <c r="T307" s="1087">
        <f t="shared" si="28"/>
        <v>0</v>
      </c>
      <c r="U307" s="817" t="e">
        <f>VLOOKUP(C307,'Cash balance (BS)'!A:D,4,)</f>
        <v>#N/A</v>
      </c>
      <c r="V307" s="817" t="e">
        <f>Table11[[#This Row],[CLOSING BALANCE (USD)]]-Table11[[#This Row],[CB_BS (USD)]]</f>
        <v>#N/A</v>
      </c>
      <c r="W307" s="1156" t="str">
        <f>VLOOKUP('Cash Balance'!$C307,Table2[#All],MATCH('Cash Balance'!W$3,Acc_Char!$B$1:$I$1,0),0)</f>
        <v>Subsidiaries</v>
      </c>
      <c r="X307" s="1156" t="str">
        <f>VLOOKUP(IFERROR(MID($Y307,1,FIND("-",$Y307)-2),$Y307),Table3[#All],2,0)</f>
        <v>BIDV</v>
      </c>
      <c r="Y307" s="1156" t="str">
        <f>VLOOKUP($B307,Table4[#All],2,0)</f>
        <v>BIDV - THANH XUAN</v>
      </c>
      <c r="Z307" s="1151"/>
      <c r="AA307" s="49"/>
      <c r="AH307" s="1158"/>
      <c r="AI307" s="49"/>
      <c r="AJ307" s="1158"/>
      <c r="AL307"/>
    </row>
    <row r="308" spans="1:38" ht="14.4">
      <c r="A308" s="1153" t="str">
        <f>VLOOKUP('Cash Balance'!$C308,Table2[#All],MATCH('Cash Balance'!A$3,Acc_Char!$B$1:$I$1,0),0)</f>
        <v>QV2 HOLDCO</v>
      </c>
      <c r="B308" s="1154" t="str">
        <f>VLOOKUP('Cash Balance'!$C308,Table2[#All],MATCH('Cash Balance'!B$3,Acc_Char!$B$1:$I$1,0),0)</f>
        <v>BIDV - THANH XUAN</v>
      </c>
      <c r="C308" s="1190" t="s">
        <v>885</v>
      </c>
      <c r="D308" s="1156" t="str">
        <f>VLOOKUP('Cash Balance'!$C308,Table2[#All],MATCH('Cash Balance'!D$3,Acc_Char!$B$1:$I$1,0),0)</f>
        <v>Current Account</v>
      </c>
      <c r="E308" s="384" t="str">
        <f>VLOOKUP('Cash Balance'!$C308,Table2[#All],MATCH('Cash Balance'!E$3,Acc_Char!$B$1:$I$1,0),0)</f>
        <v>VND</v>
      </c>
      <c r="F308" s="1094" t="e">
        <f>VLOOKUP(C308,'Cash balance (BS)'!A:C,3,)</f>
        <v>#N/A</v>
      </c>
      <c r="G308" s="1157" t="e">
        <f t="shared" ref="G308:G322" si="31">F308-H308</f>
        <v>#N/A</v>
      </c>
      <c r="H308" s="1318">
        <f>SUMIFS('Cash balance (Prior period)'!F:F,'Cash balance (Prior period)'!C:C,Table11[[#This Row],[ACCOUNT NUMBER]],'Cash balance (Prior period)'!E:E,Table11[[#This Row],[CURRENCY]])</f>
        <v>85434274</v>
      </c>
      <c r="I308" s="1318">
        <f>SUMIFS(Movement!$F$4:$F$2136,Movement!$M$4:$M$2136,"VND",Movement!$C$4:$C$2136,Table11[[#This Row],[ACCOUNT NUMBER]],Movement!$J$4:$J$2136,Table11[[#This Row],[ENTITY]],Movement!$O$4:$O$2136,'Cash Balance'!$A$2)</f>
        <v>0</v>
      </c>
      <c r="J308" s="1318">
        <f>SUMIFS(Movement!$G$4:$G$2136,Movement!$M$4:$M$2136,"VND",Movement!$C$4:$C$2136,Table11[[#This Row],[ACCOUNT NUMBER]],Movement!$J$4:$J$2136,Table11[[#This Row],[ENTITY]],Movement!$O$4:$O$2136,'Cash Balance'!$A$2)</f>
        <v>55000</v>
      </c>
      <c r="K308" s="1084">
        <f>Table11[[#This Row],[CASH IN - CREDIT (VND)]]-Table11[[#This Row],[CASH OUT - DEBIT (VND)]]</f>
        <v>-55000</v>
      </c>
      <c r="L308" s="1095">
        <f t="shared" si="26"/>
        <v>85379274</v>
      </c>
      <c r="M308" s="1184" t="e">
        <f>VLOOKUP(C308,'Cash balance (BS)'!A:D,4,)</f>
        <v>#N/A</v>
      </c>
      <c r="N308" s="1095" t="e">
        <f>Table11[[#This Row],[CLOSING BALANCE (VND)2]]-Table11[[#This Row],[CB_BS (VND)]]</f>
        <v>#N/A</v>
      </c>
      <c r="O308" s="1094">
        <v>0</v>
      </c>
      <c r="P308" s="1095">
        <f t="shared" si="27"/>
        <v>0</v>
      </c>
      <c r="Q308" s="817">
        <f>SUMIFS('Cash balance (Prior period)'!G:G,'Cash balance (Prior period)'!C:C,Table11[[#This Row],[ACCOUNT NUMBER]],'Cash balance (Prior period)'!E:E,Table11[[#This Row],[CURRENCY]])</f>
        <v>0</v>
      </c>
      <c r="R308" s="817">
        <f>SUMIFS(Movement!$F$4:$F$2136,Movement!$M$4:$M$2136,"USD",Movement!$C$4:$C$2136,Table11[[#This Row],[ACCOUNT NUMBER]],Movement!$J$4:$J$2136,Table11[[#This Row],[ENTITY]],Movement!$O$4:$O$2136,'Cash Balance'!$A$2)</f>
        <v>0</v>
      </c>
      <c r="S308" s="817">
        <f>SUMIFS(Movement!$G$4:$G$2136,Movement!$M$4:$M$2136,"USD",Movement!$C$4:$C$2136,Table11[[#This Row],[ACCOUNT NUMBER]],Movement!$J$4:$J$2136,Table11[[#This Row],[ENTITY]],Movement!$O$4:$O$2136,'Cash Balance'!$A$2)</f>
        <v>0</v>
      </c>
      <c r="T308" s="1087">
        <f t="shared" si="28"/>
        <v>0</v>
      </c>
      <c r="U308" s="817"/>
      <c r="V308" s="817">
        <f>Table11[[#This Row],[CLOSING BALANCE (USD)]]-Table11[[#This Row],[CB_BS (USD)]]</f>
        <v>0</v>
      </c>
      <c r="W308" s="1156" t="str">
        <f>VLOOKUP('Cash Balance'!$C308,Table2[#All],MATCH('Cash Balance'!W$3,Acc_Char!$B$1:$I$1,0),0)</f>
        <v>Subsidiaries</v>
      </c>
      <c r="X308" s="1156" t="str">
        <f>VLOOKUP(IFERROR(MID($Y308,1,FIND("-",$Y308)-2),$Y308),Table3[#All],2,0)</f>
        <v>BIDV</v>
      </c>
      <c r="Y308" s="1156" t="str">
        <f>VLOOKUP($B308,Table4[#All],2,0)</f>
        <v>BIDV - THANH XUAN</v>
      </c>
      <c r="Z308" s="1151"/>
      <c r="AA308" s="49"/>
      <c r="AH308" s="1158" t="s">
        <v>466</v>
      </c>
      <c r="AI308" s="49"/>
      <c r="AJ308" s="1158"/>
      <c r="AL308"/>
    </row>
    <row r="309" spans="1:38" ht="14.4">
      <c r="A309" s="1153" t="str">
        <f>VLOOKUP('Cash Balance'!$C309,Table2[#All],MATCH('Cash Balance'!A$3,Acc_Char!$B$1:$I$1,0),0)</f>
        <v>TAY HAI</v>
      </c>
      <c r="B309" s="1154" t="str">
        <f>VLOOKUP('Cash Balance'!$C309,Table2[#All],MATCH('Cash Balance'!B$3,Acc_Char!$B$1:$I$1,0),0)</f>
        <v>BIDV - THANH XUAN</v>
      </c>
      <c r="C309" s="1190" t="s">
        <v>887</v>
      </c>
      <c r="D309" s="1156" t="str">
        <f>VLOOKUP('Cash Balance'!$C309,Table2[#All],MATCH('Cash Balance'!D$3,Acc_Char!$B$1:$I$1,0),0)</f>
        <v>Current Account</v>
      </c>
      <c r="E309" s="384" t="str">
        <f>VLOOKUP('Cash Balance'!$C309,Table2[#All],MATCH('Cash Balance'!E$3,Acc_Char!$B$1:$I$1,0),0)</f>
        <v>VND</v>
      </c>
      <c r="F309" s="1094" t="e">
        <f>VLOOKUP(C309,'Cash balance (BS)'!A:C,3,)</f>
        <v>#N/A</v>
      </c>
      <c r="G309" s="1157" t="e">
        <f t="shared" si="31"/>
        <v>#N/A</v>
      </c>
      <c r="H309" s="1318">
        <f>SUMIFS('Cash balance (Prior period)'!F:F,'Cash balance (Prior period)'!C:C,Table11[[#This Row],[ACCOUNT NUMBER]],'Cash balance (Prior period)'!E:E,Table11[[#This Row],[CURRENCY]])</f>
        <v>0</v>
      </c>
      <c r="I309" s="1318">
        <f>SUMIFS(Movement!$F$4:$F$2136,Movement!$M$4:$M$2136,"VND",Movement!$C$4:$C$2136,Table11[[#This Row],[ACCOUNT NUMBER]],Movement!$J$4:$J$2136,Table11[[#This Row],[ENTITY]],Movement!$O$4:$O$2136,'Cash Balance'!$A$2)</f>
        <v>0</v>
      </c>
      <c r="J309" s="1318">
        <f>SUMIFS(Movement!$G$4:$G$2136,Movement!$M$4:$M$2136,"VND",Movement!$C$4:$C$2136,Table11[[#This Row],[ACCOUNT NUMBER]],Movement!$J$4:$J$2136,Table11[[#This Row],[ENTITY]],Movement!$O$4:$O$2136,'Cash Balance'!$A$2)</f>
        <v>0</v>
      </c>
      <c r="K309" s="1084">
        <f>Table11[[#This Row],[CASH IN - CREDIT (VND)]]-Table11[[#This Row],[CASH OUT - DEBIT (VND)]]</f>
        <v>0</v>
      </c>
      <c r="L309" s="1095">
        <f t="shared" si="26"/>
        <v>0</v>
      </c>
      <c r="M309" s="1184" t="e">
        <f>VLOOKUP(C309,'Cash balance (BS)'!A:D,4,)</f>
        <v>#N/A</v>
      </c>
      <c r="N309" s="1095" t="e">
        <f>Table11[[#This Row],[CLOSING BALANCE (VND)2]]-Table11[[#This Row],[CB_BS (VND)]]</f>
        <v>#N/A</v>
      </c>
      <c r="O309" s="1094">
        <v>0</v>
      </c>
      <c r="P309" s="1095">
        <f t="shared" si="27"/>
        <v>0</v>
      </c>
      <c r="Q309" s="817">
        <f>SUMIFS('Cash balance (Prior period)'!G:G,'Cash balance (Prior period)'!C:C,Table11[[#This Row],[ACCOUNT NUMBER]],'Cash balance (Prior period)'!E:E,Table11[[#This Row],[CURRENCY]])</f>
        <v>0</v>
      </c>
      <c r="R309" s="817">
        <f>SUMIFS(Movement!$F$4:$F$2136,Movement!$M$4:$M$2136,"USD",Movement!$C$4:$C$2136,Table11[[#This Row],[ACCOUNT NUMBER]],Movement!$J$4:$J$2136,Table11[[#This Row],[ENTITY]],Movement!$O$4:$O$2136,'Cash Balance'!$A$2)</f>
        <v>0</v>
      </c>
      <c r="S309" s="817">
        <f>SUMIFS(Movement!$G$4:$G$2136,Movement!$M$4:$M$2136,"USD",Movement!$C$4:$C$2136,Table11[[#This Row],[ACCOUNT NUMBER]],Movement!$J$4:$J$2136,Table11[[#This Row],[ENTITY]],Movement!$O$4:$O$2136,'Cash Balance'!$A$2)</f>
        <v>0</v>
      </c>
      <c r="T309" s="1087">
        <f t="shared" si="28"/>
        <v>0</v>
      </c>
      <c r="U309" s="817"/>
      <c r="V309" s="817">
        <f>Table11[[#This Row],[CLOSING BALANCE (USD)]]-Table11[[#This Row],[CB_BS (USD)]]</f>
        <v>0</v>
      </c>
      <c r="W309" s="1156" t="str">
        <f>VLOOKUP('Cash Balance'!$C309,Table2[#All],MATCH('Cash Balance'!W$3,Acc_Char!$B$1:$I$1,0),0)</f>
        <v>Subsidiaries</v>
      </c>
      <c r="X309" s="1156" t="str">
        <f>VLOOKUP(IFERROR(MID($Y309,1,FIND("-",$Y309)-2),$Y309),Table3[#All],2,0)</f>
        <v>BIDV</v>
      </c>
      <c r="Y309" s="1156" t="str">
        <f>VLOOKUP($B309,Table4[#All],2,0)</f>
        <v>BIDV - THANH XUAN</v>
      </c>
      <c r="Z309" s="1151"/>
      <c r="AA309" s="49"/>
      <c r="AH309" s="1158" t="s">
        <v>466</v>
      </c>
      <c r="AI309" s="49"/>
      <c r="AJ309" s="1158"/>
      <c r="AL309"/>
    </row>
    <row r="310" spans="1:38" ht="14.4">
      <c r="A310" s="1153" t="str">
        <f>VLOOKUP('Cash Balance'!$C310,Table2[#All],MATCH('Cash Balance'!A$3,Acc_Char!$B$1:$I$1,0),0)</f>
        <v>NSHL HOLDCO</v>
      </c>
      <c r="B310" s="1154" t="str">
        <f>VLOOKUP('Cash Balance'!$C310,Table2[#All],MATCH('Cash Balance'!B$3,Acc_Char!$B$1:$I$1,0),0)</f>
        <v>BIDV - THANH XUAN</v>
      </c>
      <c r="C310" s="1190" t="s">
        <v>889</v>
      </c>
      <c r="D310" s="1156" t="str">
        <f>VLOOKUP('Cash Balance'!$C310,Table2[#All],MATCH('Cash Balance'!D$3,Acc_Char!$B$1:$I$1,0),0)</f>
        <v>Capital Account</v>
      </c>
      <c r="E310" s="384" t="str">
        <f>VLOOKUP('Cash Balance'!$C310,Table2[#All],MATCH('Cash Balance'!E$3,Acc_Char!$B$1:$I$1,0),0)</f>
        <v>VND</v>
      </c>
      <c r="F310" s="1094" t="e">
        <f>VLOOKUP(C310,'Cash balance (BS)'!A:C,3,)</f>
        <v>#N/A</v>
      </c>
      <c r="G310" s="1157" t="e">
        <f t="shared" si="31"/>
        <v>#N/A</v>
      </c>
      <c r="H310" s="1318">
        <f>SUMIFS('Cash balance (Prior period)'!F:F,'Cash balance (Prior period)'!C:C,Table11[[#This Row],[ACCOUNT NUMBER]],'Cash balance (Prior period)'!E:E,Table11[[#This Row],[CURRENCY]])</f>
        <v>1150792</v>
      </c>
      <c r="I310" s="1318">
        <f>SUMIFS(Movement!$F$4:$F$2136,Movement!$M$4:$M$2136,"VND",Movement!$C$4:$C$2136,Table11[[#This Row],[ACCOUNT NUMBER]],Movement!$J$4:$J$2136,Table11[[#This Row],[ENTITY]],Movement!$O$4:$O$2136,'Cash Balance'!$A$2)</f>
        <v>0</v>
      </c>
      <c r="J310" s="1318">
        <f>SUMIFS(Movement!$G$4:$G$2136,Movement!$M$4:$M$2136,"VND",Movement!$C$4:$C$2136,Table11[[#This Row],[ACCOUNT NUMBER]],Movement!$J$4:$J$2136,Table11[[#This Row],[ENTITY]],Movement!$O$4:$O$2136,'Cash Balance'!$A$2)</f>
        <v>110000</v>
      </c>
      <c r="K310" s="1084">
        <f>Table11[[#This Row],[CASH IN - CREDIT (VND)]]-Table11[[#This Row],[CASH OUT - DEBIT (VND)]]</f>
        <v>-110000</v>
      </c>
      <c r="L310" s="1095">
        <f t="shared" si="26"/>
        <v>1040792</v>
      </c>
      <c r="M310" s="1184" t="e">
        <f>VLOOKUP(C310,'Cash balance (BS)'!A:D,4,)</f>
        <v>#N/A</v>
      </c>
      <c r="N310" s="1095" t="e">
        <f>Table11[[#This Row],[CLOSING BALANCE (VND)2]]-Table11[[#This Row],[CB_BS (VND)]]</f>
        <v>#N/A</v>
      </c>
      <c r="O310" s="1094">
        <v>0</v>
      </c>
      <c r="P310" s="1095">
        <f t="shared" si="27"/>
        <v>0</v>
      </c>
      <c r="Q310" s="817">
        <f>SUMIFS('Cash balance (Prior period)'!G:G,'Cash balance (Prior period)'!C:C,Table11[[#This Row],[ACCOUNT NUMBER]],'Cash balance (Prior period)'!E:E,Table11[[#This Row],[CURRENCY]])</f>
        <v>0</v>
      </c>
      <c r="R310" s="817">
        <f>SUMIFS(Movement!$F$4:$F$2136,Movement!$M$4:$M$2136,"USD",Movement!$C$4:$C$2136,Table11[[#This Row],[ACCOUNT NUMBER]],Movement!$J$4:$J$2136,Table11[[#This Row],[ENTITY]],Movement!$O$4:$O$2136,'Cash Balance'!$A$2)</f>
        <v>0</v>
      </c>
      <c r="S310" s="817">
        <f>SUMIFS(Movement!$G$4:$G$2136,Movement!$M$4:$M$2136,"USD",Movement!$C$4:$C$2136,Table11[[#This Row],[ACCOUNT NUMBER]],Movement!$J$4:$J$2136,Table11[[#This Row],[ENTITY]],Movement!$O$4:$O$2136,'Cash Balance'!$A$2)</f>
        <v>0</v>
      </c>
      <c r="T310" s="1087">
        <f t="shared" si="28"/>
        <v>0</v>
      </c>
      <c r="U310" s="817"/>
      <c r="V310" s="817">
        <f>Table11[[#This Row],[CLOSING BALANCE (USD)]]-Table11[[#This Row],[CB_BS (USD)]]</f>
        <v>0</v>
      </c>
      <c r="W310" s="1156" t="str">
        <f>VLOOKUP('Cash Balance'!$C310,Table2[#All],MATCH('Cash Balance'!W$3,Acc_Char!$B$1:$I$1,0),0)</f>
        <v>Subsidiaries</v>
      </c>
      <c r="X310" s="1156" t="str">
        <f>VLOOKUP(IFERROR(MID($Y310,1,FIND("-",$Y310)-2),$Y310),Table3[#All],2,0)</f>
        <v>BIDV</v>
      </c>
      <c r="Y310" s="1156" t="str">
        <f>VLOOKUP($B310,Table4[#All],2,0)</f>
        <v>BIDV - THANH XUAN</v>
      </c>
      <c r="Z310" s="1151"/>
      <c r="AA310" s="49"/>
      <c r="AH310" s="1158"/>
      <c r="AI310" s="49"/>
      <c r="AJ310" s="1158"/>
      <c r="AL310"/>
    </row>
    <row r="311" spans="1:38" ht="14.4">
      <c r="A311" s="1153" t="str">
        <f>VLOOKUP('Cash Balance'!$C311,Table2[#All],MATCH('Cash Balance'!A$3,Acc_Char!$B$1:$I$1,0),0)</f>
        <v>NSHL HOLDCO</v>
      </c>
      <c r="B311" s="1154" t="str">
        <f>VLOOKUP('Cash Balance'!$C311,Table2[#All],MATCH('Cash Balance'!B$3,Acc_Char!$B$1:$I$1,0),0)</f>
        <v>BIDV - THANH XUAN</v>
      </c>
      <c r="C311" s="1190" t="s">
        <v>890</v>
      </c>
      <c r="D311" s="1156" t="str">
        <f>VLOOKUP('Cash Balance'!$C311,Table2[#All],MATCH('Cash Balance'!D$3,Acc_Char!$B$1:$I$1,0),0)</f>
        <v>Current Account</v>
      </c>
      <c r="E311" s="384" t="str">
        <f>VLOOKUP('Cash Balance'!$C311,Table2[#All],MATCH('Cash Balance'!E$3,Acc_Char!$B$1:$I$1,0),0)</f>
        <v>VND</v>
      </c>
      <c r="F311" s="1094" t="e">
        <f>VLOOKUP(C311,'Cash balance (BS)'!A:C,3,)</f>
        <v>#N/A</v>
      </c>
      <c r="G311" s="1157" t="e">
        <f t="shared" si="31"/>
        <v>#N/A</v>
      </c>
      <c r="H311" s="1318">
        <f>SUMIFS('Cash balance (Prior period)'!F:F,'Cash balance (Prior period)'!C:C,Table11[[#This Row],[ACCOUNT NUMBER]],'Cash balance (Prior period)'!E:E,Table11[[#This Row],[CURRENCY]])</f>
        <v>14971245</v>
      </c>
      <c r="I311" s="1318">
        <f>SUMIFS(Movement!$F$4:$F$2136,Movement!$M$4:$M$2136,"VND",Movement!$C$4:$C$2136,Table11[[#This Row],[ACCOUNT NUMBER]],Movement!$J$4:$J$2136,Table11[[#This Row],[ENTITY]],Movement!$O$4:$O$2136,'Cash Balance'!$A$2)</f>
        <v>4536986</v>
      </c>
      <c r="J311" s="1318">
        <f>SUMIFS(Movement!$G$4:$G$2136,Movement!$M$4:$M$2136,"VND",Movement!$C$4:$C$2136,Table11[[#This Row],[ACCOUNT NUMBER]],Movement!$J$4:$J$2136,Table11[[#This Row],[ENTITY]],Movement!$O$4:$O$2136,'Cash Balance'!$A$2)</f>
        <v>55000</v>
      </c>
      <c r="K311" s="1084">
        <f>Table11[[#This Row],[CASH IN - CREDIT (VND)]]-Table11[[#This Row],[CASH OUT - DEBIT (VND)]]</f>
        <v>4481986</v>
      </c>
      <c r="L311" s="1095">
        <f t="shared" si="26"/>
        <v>19453231</v>
      </c>
      <c r="M311" s="1184" t="e">
        <f>VLOOKUP(C311,'Cash balance (BS)'!A:D,4,)</f>
        <v>#N/A</v>
      </c>
      <c r="N311" s="1095" t="e">
        <f>Table11[[#This Row],[CLOSING BALANCE (VND)2]]-Table11[[#This Row],[CB_BS (VND)]]</f>
        <v>#N/A</v>
      </c>
      <c r="O311" s="1094">
        <v>0</v>
      </c>
      <c r="P311" s="1095">
        <f t="shared" si="27"/>
        <v>0</v>
      </c>
      <c r="Q311" s="817">
        <f>SUMIFS('Cash balance (Prior period)'!G:G,'Cash balance (Prior period)'!C:C,Table11[[#This Row],[ACCOUNT NUMBER]],'Cash balance (Prior period)'!E:E,Table11[[#This Row],[CURRENCY]])</f>
        <v>0</v>
      </c>
      <c r="R311" s="817">
        <f>SUMIFS(Movement!$F$4:$F$2136,Movement!$M$4:$M$2136,"USD",Movement!$C$4:$C$2136,Table11[[#This Row],[ACCOUNT NUMBER]],Movement!$J$4:$J$2136,Table11[[#This Row],[ENTITY]],Movement!$O$4:$O$2136,'Cash Balance'!$A$2)</f>
        <v>0</v>
      </c>
      <c r="S311" s="817">
        <f>SUMIFS(Movement!$G$4:$G$2136,Movement!$M$4:$M$2136,"USD",Movement!$C$4:$C$2136,Table11[[#This Row],[ACCOUNT NUMBER]],Movement!$J$4:$J$2136,Table11[[#This Row],[ENTITY]],Movement!$O$4:$O$2136,'Cash Balance'!$A$2)</f>
        <v>0</v>
      </c>
      <c r="T311" s="1087">
        <f t="shared" si="28"/>
        <v>0</v>
      </c>
      <c r="U311" s="817"/>
      <c r="V311" s="817">
        <f>Table11[[#This Row],[CLOSING BALANCE (USD)]]-Table11[[#This Row],[CB_BS (USD)]]</f>
        <v>0</v>
      </c>
      <c r="W311" s="1156" t="str">
        <f>VLOOKUP('Cash Balance'!$C311,Table2[#All],MATCH('Cash Balance'!W$3,Acc_Char!$B$1:$I$1,0),0)</f>
        <v>Subsidiaries</v>
      </c>
      <c r="X311" s="1156" t="str">
        <f>VLOOKUP(IFERROR(MID($Y311,1,FIND("-",$Y311)-2),$Y311),Table3[#All],2,0)</f>
        <v>BIDV</v>
      </c>
      <c r="Y311" s="1156" t="str">
        <f>VLOOKUP($B311,Table4[#All],2,0)</f>
        <v>BIDV - THANH XUAN</v>
      </c>
      <c r="Z311" s="1151"/>
      <c r="AA311" s="49"/>
      <c r="AH311" s="1158" t="s">
        <v>466</v>
      </c>
      <c r="AI311" s="49"/>
      <c r="AJ311" s="1158"/>
      <c r="AL311"/>
    </row>
    <row r="312" spans="1:38" ht="14.4">
      <c r="A312" s="1153" t="str">
        <f>VLOOKUP('Cash Balance'!$C312,Table2[#All],MATCH('Cash Balance'!A$3,Acc_Char!$B$1:$I$1,0),0)</f>
        <v>NSHL LLC</v>
      </c>
      <c r="B312" s="1154" t="str">
        <f>VLOOKUP('Cash Balance'!$C312,Table2[#All],MATCH('Cash Balance'!B$3,Acc_Char!$B$1:$I$1,0),0)</f>
        <v>BIDV - THANH XUAN</v>
      </c>
      <c r="C312" s="1190" t="s">
        <v>892</v>
      </c>
      <c r="D312" s="1156" t="str">
        <f>VLOOKUP('Cash Balance'!$C312,Table2[#All],MATCH('Cash Balance'!D$3,Acc_Char!$B$1:$I$1,0),0)</f>
        <v>Current Account</v>
      </c>
      <c r="E312" s="384" t="str">
        <f>VLOOKUP('Cash Balance'!$C312,Table2[#All],MATCH('Cash Balance'!E$3,Acc_Char!$B$1:$I$1,0),0)</f>
        <v>VND</v>
      </c>
      <c r="F312" s="1094" t="e">
        <f>VLOOKUP(C312,'Cash balance (BS)'!A:C,3,)</f>
        <v>#N/A</v>
      </c>
      <c r="G312" s="1157" t="e">
        <f t="shared" si="31"/>
        <v>#N/A</v>
      </c>
      <c r="H312" s="1318">
        <f>SUMIFS('Cash balance (Prior period)'!F:F,'Cash balance (Prior period)'!C:C,Table11[[#This Row],[ACCOUNT NUMBER]],'Cash balance (Prior period)'!E:E,Table11[[#This Row],[CURRENCY]])</f>
        <v>2391236830</v>
      </c>
      <c r="I312" s="1318">
        <f>SUMIFS(Movement!$F$4:$F$2136,Movement!$M$4:$M$2136,"VND",Movement!$C$4:$C$2136,Table11[[#This Row],[ACCOUNT NUMBER]],Movement!$J$4:$J$2136,Table11[[#This Row],[ENTITY]],Movement!$O$4:$O$2136,'Cash Balance'!$A$2)</f>
        <v>1153979905</v>
      </c>
      <c r="J312" s="1318">
        <f>SUMIFS(Movement!$G$4:$G$2136,Movement!$M$4:$M$2136,"VND",Movement!$C$4:$C$2136,Table11[[#This Row],[ACCOUNT NUMBER]],Movement!$J$4:$J$2136,Table11[[#This Row],[ENTITY]],Movement!$O$4:$O$2136,'Cash Balance'!$A$2)</f>
        <v>1184047655</v>
      </c>
      <c r="K312" s="1084">
        <f>Table11[[#This Row],[CASH IN - CREDIT (VND)]]-Table11[[#This Row],[CASH OUT - DEBIT (VND)]]</f>
        <v>-30067750</v>
      </c>
      <c r="L312" s="1095">
        <f t="shared" si="26"/>
        <v>2361169080</v>
      </c>
      <c r="M312" s="1184" t="e">
        <f>VLOOKUP(C312,'Cash balance (BS)'!A:D,4,)</f>
        <v>#N/A</v>
      </c>
      <c r="N312" s="1095" t="e">
        <f>Table11[[#This Row],[CLOSING BALANCE (VND)2]]-Table11[[#This Row],[CB_BS (VND)]]</f>
        <v>#N/A</v>
      </c>
      <c r="O312" s="1094">
        <v>0</v>
      </c>
      <c r="P312" s="1095">
        <f t="shared" si="27"/>
        <v>0</v>
      </c>
      <c r="Q312" s="817">
        <f>SUMIFS('Cash balance (Prior period)'!G:G,'Cash balance (Prior period)'!C:C,Table11[[#This Row],[ACCOUNT NUMBER]],'Cash balance (Prior period)'!E:E,Table11[[#This Row],[CURRENCY]])</f>
        <v>0</v>
      </c>
      <c r="R312" s="817">
        <f>SUMIFS(Movement!$F$4:$F$2136,Movement!$M$4:$M$2136,"USD",Movement!$C$4:$C$2136,Table11[[#This Row],[ACCOUNT NUMBER]],Movement!$J$4:$J$2136,Table11[[#This Row],[ENTITY]],Movement!$O$4:$O$2136,'Cash Balance'!$A$2)</f>
        <v>0</v>
      </c>
      <c r="S312" s="817">
        <f>SUMIFS(Movement!$G$4:$G$2136,Movement!$M$4:$M$2136,"USD",Movement!$C$4:$C$2136,Table11[[#This Row],[ACCOUNT NUMBER]],Movement!$J$4:$J$2136,Table11[[#This Row],[ENTITY]],Movement!$O$4:$O$2136,'Cash Balance'!$A$2)</f>
        <v>0</v>
      </c>
      <c r="T312" s="1087">
        <f t="shared" si="28"/>
        <v>0</v>
      </c>
      <c r="U312" s="817"/>
      <c r="V312" s="817">
        <f>Table11[[#This Row],[CLOSING BALANCE (USD)]]-Table11[[#This Row],[CB_BS (USD)]]</f>
        <v>0</v>
      </c>
      <c r="W312" s="1156" t="str">
        <f>VLOOKUP('Cash Balance'!$C312,Table2[#All],MATCH('Cash Balance'!W$3,Acc_Char!$B$1:$I$1,0),0)</f>
        <v>Subsidiaries</v>
      </c>
      <c r="X312" s="1156" t="str">
        <f>VLOOKUP(IFERROR(MID($Y312,1,FIND("-",$Y312)-2),$Y312),Table3[#All],2,0)</f>
        <v>BIDV</v>
      </c>
      <c r="Y312" s="1156" t="str">
        <f>VLOOKUP($B312,Table4[#All],2,0)</f>
        <v>BIDV - THANH XUAN</v>
      </c>
      <c r="Z312" s="1151"/>
      <c r="AA312" s="49"/>
      <c r="AH312" s="1158" t="s">
        <v>466</v>
      </c>
      <c r="AI312" s="49"/>
      <c r="AJ312" s="1158"/>
      <c r="AL312"/>
    </row>
    <row r="313" spans="1:38" ht="14.4">
      <c r="A313" s="1153" t="str">
        <f>VLOOKUP('Cash Balance'!$C313,Table2[#All],MATCH('Cash Balance'!A$3,Acc_Char!$B$1:$I$1,0),0)</f>
        <v>SAO HOA</v>
      </c>
      <c r="B313" s="1154" t="str">
        <f>VLOOKUP('Cash Balance'!$C313,Table2[#All],MATCH('Cash Balance'!B$3,Acc_Char!$B$1:$I$1,0),0)</f>
        <v>VIETINBANK - TPHCM</v>
      </c>
      <c r="C313" s="1190" t="s">
        <v>893</v>
      </c>
      <c r="D313" s="1156" t="str">
        <f>VLOOKUP('Cash Balance'!$C313,Table2[#All],MATCH('Cash Balance'!D$3,Acc_Char!$B$1:$I$1,0),0)</f>
        <v>Current Account</v>
      </c>
      <c r="E313" s="384" t="str">
        <f>VLOOKUP('Cash Balance'!$C313,Table2[#All],MATCH('Cash Balance'!E$3,Acc_Char!$B$1:$I$1,0),0)</f>
        <v>VND</v>
      </c>
      <c r="F313" s="1094" t="e">
        <f>VLOOKUP(C313,'Cash balance (BS)'!A:C,3,)</f>
        <v>#N/A</v>
      </c>
      <c r="G313" s="1157" t="e">
        <f t="shared" si="31"/>
        <v>#N/A</v>
      </c>
      <c r="H313" s="1318">
        <f>SUMIFS('Cash balance (Prior period)'!F:F,'Cash balance (Prior period)'!C:C,Table11[[#This Row],[ACCOUNT NUMBER]],'Cash balance (Prior period)'!E:E,Table11[[#This Row],[CURRENCY]])</f>
        <v>1478471839</v>
      </c>
      <c r="I313" s="1318">
        <f>SUMIFS(Movement!$F$4:$F$2136,Movement!$M$4:$M$2136,"VND",Movement!$C$4:$C$2136,Table11[[#This Row],[ACCOUNT NUMBER]],Movement!$J$4:$J$2136,Table11[[#This Row],[ENTITY]],Movement!$O$4:$O$2136,'Cash Balance'!$A$2)</f>
        <v>0</v>
      </c>
      <c r="J313" s="1318">
        <f>SUMIFS(Movement!$G$4:$G$2136,Movement!$M$4:$M$2136,"VND",Movement!$C$4:$C$2136,Table11[[#This Row],[ACCOUNT NUMBER]],Movement!$J$4:$J$2136,Table11[[#This Row],[ENTITY]],Movement!$O$4:$O$2136,'Cash Balance'!$A$2)</f>
        <v>0</v>
      </c>
      <c r="K313" s="1084">
        <f>Table11[[#This Row],[CASH IN - CREDIT (VND)]]-Table11[[#This Row],[CASH OUT - DEBIT (VND)]]</f>
        <v>0</v>
      </c>
      <c r="L313" s="1095">
        <f t="shared" si="26"/>
        <v>1478471839</v>
      </c>
      <c r="M313" s="1184" t="e">
        <f>VLOOKUP(C313,'Cash balance (BS)'!A:D,4,)</f>
        <v>#N/A</v>
      </c>
      <c r="N313" s="1095" t="e">
        <f>Table11[[#This Row],[CLOSING BALANCE (VND)2]]-Table11[[#This Row],[CB_BS (VND)]]</f>
        <v>#N/A</v>
      </c>
      <c r="O313" s="1094">
        <v>0</v>
      </c>
      <c r="P313" s="1095">
        <f t="shared" si="27"/>
        <v>0</v>
      </c>
      <c r="Q313" s="817">
        <f>SUMIFS('Cash balance (Prior period)'!G:G,'Cash balance (Prior period)'!C:C,Table11[[#This Row],[ACCOUNT NUMBER]],'Cash balance (Prior period)'!E:E,Table11[[#This Row],[CURRENCY]])</f>
        <v>0</v>
      </c>
      <c r="R313" s="817">
        <f>SUMIFS(Movement!$F$4:$F$2136,Movement!$M$4:$M$2136,"USD",Movement!$C$4:$C$2136,Table11[[#This Row],[ACCOUNT NUMBER]],Movement!$J$4:$J$2136,Table11[[#This Row],[ENTITY]],Movement!$O$4:$O$2136,'Cash Balance'!$A$2)</f>
        <v>0</v>
      </c>
      <c r="S313" s="817">
        <f>SUMIFS(Movement!$G$4:$G$2136,Movement!$M$4:$M$2136,"USD",Movement!$C$4:$C$2136,Table11[[#This Row],[ACCOUNT NUMBER]],Movement!$J$4:$J$2136,Table11[[#This Row],[ENTITY]],Movement!$O$4:$O$2136,'Cash Balance'!$A$2)</f>
        <v>0</v>
      </c>
      <c r="T313" s="1087">
        <f t="shared" si="28"/>
        <v>0</v>
      </c>
      <c r="U313" s="817"/>
      <c r="V313" s="817">
        <f>Table11[[#This Row],[CLOSING BALANCE (USD)]]-Table11[[#This Row],[CB_BS (USD)]]</f>
        <v>0</v>
      </c>
      <c r="W313" s="1156" t="str">
        <f>VLOOKUP('Cash Balance'!$C313,Table2[#All],MATCH('Cash Balance'!W$3,Acc_Char!$B$1:$I$1,0),0)</f>
        <v>VC3</v>
      </c>
      <c r="X313" s="1156" t="str">
        <f>VLOOKUP(IFERROR(MID($Y313,1,FIND("-",$Y313)-2),$Y313),Table3[#All],2,0)</f>
        <v>VTB</v>
      </c>
      <c r="Y313" s="1156" t="str">
        <f>VLOOKUP($B313,Table4[#All],2,0)</f>
        <v>VIETINBANK - TPHCM</v>
      </c>
      <c r="Z313" s="1151"/>
      <c r="AA313" s="49"/>
      <c r="AH313" s="1158"/>
      <c r="AI313" s="49"/>
      <c r="AJ313" s="1158"/>
      <c r="AL313"/>
    </row>
    <row r="314" spans="1:38" ht="14.4">
      <c r="A314" s="1153" t="str">
        <f>VLOOKUP('Cash Balance'!$C314,Table2[#All],MATCH('Cash Balance'!A$3,Acc_Char!$B$1:$I$1,0),0)</f>
        <v>BW SUPLLY CHAIN CITY</v>
      </c>
      <c r="B314" s="1154" t="str">
        <f>VLOOKUP('Cash Balance'!$C314,Table2[#All],MATCH('Cash Balance'!B$3,Acc_Char!$B$1:$I$1,0),0)</f>
        <v>BIDV - GIA DINH</v>
      </c>
      <c r="C314" s="1190" t="s">
        <v>894</v>
      </c>
      <c r="D314" s="1156" t="str">
        <f>VLOOKUP('Cash Balance'!$C314,Table2[#All],MATCH('Cash Balance'!D$3,Acc_Char!$B$1:$I$1,0),0)</f>
        <v>Current Account</v>
      </c>
      <c r="E314" s="384" t="str">
        <f>VLOOKUP('Cash Balance'!$C314,Table2[#All],MATCH('Cash Balance'!E$3,Acc_Char!$B$1:$I$1,0),0)</f>
        <v>VND</v>
      </c>
      <c r="F314" s="1094" t="e">
        <f>VLOOKUP(C314,'Cash balance (BS)'!A:C,3,)</f>
        <v>#N/A</v>
      </c>
      <c r="G314" s="1157" t="e">
        <f t="shared" si="31"/>
        <v>#N/A</v>
      </c>
      <c r="H314" s="1318">
        <f>SUMIFS('Cash balance (Prior period)'!F:F,'Cash balance (Prior period)'!C:C,Table11[[#This Row],[ACCOUNT NUMBER]],'Cash balance (Prior period)'!E:E,Table11[[#This Row],[CURRENCY]])</f>
        <v>0</v>
      </c>
      <c r="I314" s="1318">
        <f>SUMIFS(Movement!$F$4:$F$2136,Movement!$M$4:$M$2136,"VND",Movement!$C$4:$C$2136,Table11[[#This Row],[ACCOUNT NUMBER]],Movement!$J$4:$J$2136,Table11[[#This Row],[ENTITY]],Movement!$O$4:$O$2136,'Cash Balance'!$A$2)</f>
        <v>0</v>
      </c>
      <c r="J314" s="1318">
        <f>SUMIFS(Movement!$G$4:$G$2136,Movement!$M$4:$M$2136,"VND",Movement!$C$4:$C$2136,Table11[[#This Row],[ACCOUNT NUMBER]],Movement!$J$4:$J$2136,Table11[[#This Row],[ENTITY]],Movement!$O$4:$O$2136,'Cash Balance'!$A$2)</f>
        <v>0</v>
      </c>
      <c r="K314" s="1084">
        <f>Table11[[#This Row],[CASH IN - CREDIT (VND)]]-Table11[[#This Row],[CASH OUT - DEBIT (VND)]]</f>
        <v>0</v>
      </c>
      <c r="L314" s="1095">
        <f t="shared" si="26"/>
        <v>0</v>
      </c>
      <c r="M314" s="1184" t="e">
        <f>VLOOKUP(C314,'Cash balance (BS)'!A:D,4,)</f>
        <v>#N/A</v>
      </c>
      <c r="N314" s="1095" t="e">
        <f>Table11[[#This Row],[CLOSING BALANCE (VND)2]]-Table11[[#This Row],[CB_BS (VND)]]</f>
        <v>#N/A</v>
      </c>
      <c r="O314" s="1094">
        <v>0</v>
      </c>
      <c r="P314" s="1095">
        <f t="shared" si="27"/>
        <v>0</v>
      </c>
      <c r="Q314" s="817">
        <f>SUMIFS('Cash balance (Prior period)'!G:G,'Cash balance (Prior period)'!C:C,Table11[[#This Row],[ACCOUNT NUMBER]],'Cash balance (Prior period)'!E:E,Table11[[#This Row],[CURRENCY]])</f>
        <v>0</v>
      </c>
      <c r="R314" s="817">
        <f>SUMIFS(Movement!$F$4:$F$2136,Movement!$M$4:$M$2136,"USD",Movement!$C$4:$C$2136,Table11[[#This Row],[ACCOUNT NUMBER]],Movement!$J$4:$J$2136,Table11[[#This Row],[ENTITY]],Movement!$O$4:$O$2136,'Cash Balance'!$A$2)</f>
        <v>0</v>
      </c>
      <c r="S314" s="817">
        <f>SUMIFS(Movement!$G$4:$G$2136,Movement!$M$4:$M$2136,"USD",Movement!$C$4:$C$2136,Table11[[#This Row],[ACCOUNT NUMBER]],Movement!$J$4:$J$2136,Table11[[#This Row],[ENTITY]],Movement!$O$4:$O$2136,'Cash Balance'!$A$2)</f>
        <v>0</v>
      </c>
      <c r="T314" s="1087">
        <f t="shared" si="28"/>
        <v>0</v>
      </c>
      <c r="U314" s="817"/>
      <c r="V314" s="817">
        <f>Table11[[#This Row],[CLOSING BALANCE (USD)]]-Table11[[#This Row],[CB_BS (USD)]]</f>
        <v>0</v>
      </c>
      <c r="W314" s="1156" t="str">
        <f>VLOOKUP('Cash Balance'!$C314,Table2[#All],MATCH('Cash Balance'!W$3,Acc_Char!$B$1:$I$1,0),0)</f>
        <v>Subsidiaries</v>
      </c>
      <c r="X314" s="1156" t="str">
        <f>VLOOKUP(IFERROR(MID($Y314,1,FIND("-",$Y314)-2),$Y314),Table3[#All],2,0)</f>
        <v>BIDV</v>
      </c>
      <c r="Y314" s="1156" t="str">
        <f>VLOOKUP($B314,Table4[#All],2,0)</f>
        <v>BIDV - GIA DINH</v>
      </c>
      <c r="Z314" s="1151"/>
      <c r="AA314" s="49"/>
      <c r="AH314" s="1158" t="s">
        <v>466</v>
      </c>
      <c r="AI314" s="49"/>
      <c r="AJ314" s="1158"/>
      <c r="AL314"/>
    </row>
    <row r="315" spans="1:38">
      <c r="A315" s="1153" t="str">
        <f>VLOOKUP('Cash Balance'!$C315,Table2[#All],MATCH('Cash Balance'!A$3,Acc_Char!$B$1:$I$1,0),0)</f>
        <v>HOLDCO4T</v>
      </c>
      <c r="B315" s="1154" t="str">
        <f>VLOOKUP('Cash Balance'!$C315,Table2[#All],MATCH('Cash Balance'!B$3,Acc_Char!$B$1:$I$1,0),0)</f>
        <v>BIDV - THANH XUAN</v>
      </c>
      <c r="C315" s="1190" t="s">
        <v>895</v>
      </c>
      <c r="D315" s="1156" t="str">
        <f>VLOOKUP('Cash Balance'!$C315,Table2[#All],MATCH('Cash Balance'!D$3,Acc_Char!$B$1:$I$1,0),0)</f>
        <v>Current Account</v>
      </c>
      <c r="E315" s="384" t="str">
        <f>VLOOKUP('Cash Balance'!$C315,Table2[#All],MATCH('Cash Balance'!E$3,Acc_Char!$B$1:$I$1,0),0)</f>
        <v>VND</v>
      </c>
      <c r="F315" s="1094" t="e">
        <f>VLOOKUP(C315,'Cash balance (BS)'!A:C,3,)</f>
        <v>#N/A</v>
      </c>
      <c r="G315" s="1157" t="e">
        <f t="shared" si="31"/>
        <v>#N/A</v>
      </c>
      <c r="H315" s="1318">
        <f>SUMIFS('Cash balance (Prior period)'!F:F,'Cash balance (Prior period)'!C:C,Table11[[#This Row],[ACCOUNT NUMBER]],'Cash balance (Prior period)'!E:E,Table11[[#This Row],[CURRENCY]])</f>
        <v>29232328</v>
      </c>
      <c r="I315" s="1318">
        <f>SUMIFS(Movement!$F$4:$F$2136,Movement!$M$4:$M$2136,"VND",Movement!$C$4:$C$2136,Table11[[#This Row],[ACCOUNT NUMBER]],Movement!$J$4:$J$2136,Table11[[#This Row],[ENTITY]],Movement!$O$4:$O$2136,'Cash Balance'!$A$2)</f>
        <v>0</v>
      </c>
      <c r="J315" s="1318">
        <f>SUMIFS(Movement!$G$4:$G$2136,Movement!$M$4:$M$2136,"VND",Movement!$C$4:$C$2136,Table11[[#This Row],[ACCOUNT NUMBER]],Movement!$J$4:$J$2136,Table11[[#This Row],[ENTITY]],Movement!$O$4:$O$2136,'Cash Balance'!$A$2)</f>
        <v>55000</v>
      </c>
      <c r="K315" s="1084">
        <f>Table11[[#This Row],[CASH IN - CREDIT (VND)]]-Table11[[#This Row],[CASH OUT - DEBIT (VND)]]</f>
        <v>-55000</v>
      </c>
      <c r="L315" s="1095">
        <f t="shared" si="26"/>
        <v>29177328</v>
      </c>
      <c r="M315" s="1184" t="e">
        <f>VLOOKUP(C315,'Cash balance (BS)'!A:D,4,)</f>
        <v>#N/A</v>
      </c>
      <c r="N315" s="1095" t="e">
        <f>Table11[[#This Row],[CLOSING BALANCE (VND)2]]-Table11[[#This Row],[CB_BS (VND)]]</f>
        <v>#N/A</v>
      </c>
      <c r="O315" s="1094">
        <v>0</v>
      </c>
      <c r="P315" s="1095">
        <f t="shared" si="27"/>
        <v>0</v>
      </c>
      <c r="Q315" s="817">
        <f>SUMIFS('Cash balance (Prior period)'!G:G,'Cash balance (Prior period)'!C:C,Table11[[#This Row],[ACCOUNT NUMBER]],'Cash balance (Prior period)'!E:E,Table11[[#This Row],[CURRENCY]])</f>
        <v>0</v>
      </c>
      <c r="R315" s="817">
        <f>SUMIFS(Movement!$F$4:$F$2136,Movement!$M$4:$M$2136,"USD",Movement!$C$4:$C$2136,Table11[[#This Row],[ACCOUNT NUMBER]],Movement!$J$4:$J$2136,Table11[[#This Row],[ENTITY]],Movement!$O$4:$O$2136,'Cash Balance'!$A$2)</f>
        <v>0</v>
      </c>
      <c r="S315" s="817">
        <f>SUMIFS(Movement!$G$4:$G$2136,Movement!$M$4:$M$2136,"USD",Movement!$C$4:$C$2136,Table11[[#This Row],[ACCOUNT NUMBER]],Movement!$J$4:$J$2136,Table11[[#This Row],[ENTITY]],Movement!$O$4:$O$2136,'Cash Balance'!$A$2)</f>
        <v>0</v>
      </c>
      <c r="T315" s="1087">
        <f t="shared" si="28"/>
        <v>0</v>
      </c>
      <c r="U315" s="817"/>
      <c r="V315" s="817">
        <f>Table11[[#This Row],[CLOSING BALANCE (USD)]]-Table11[[#This Row],[CB_BS (USD)]]</f>
        <v>0</v>
      </c>
      <c r="W315" s="1156" t="str">
        <f>VLOOKUP('Cash Balance'!$C315,Table2[#All],MATCH('Cash Balance'!W$3,Acc_Char!$B$1:$I$1,0),0)</f>
        <v>Subsidiaries</v>
      </c>
      <c r="X315" s="1156" t="str">
        <f>VLOOKUP(IFERROR(MID($Y315,1,FIND("-",$Y315)-2),$Y315),Table3[#All],2,0)</f>
        <v>BIDV</v>
      </c>
      <c r="Y315" s="1156" t="str">
        <f>VLOOKUP($B315,Table4[#All],2,0)</f>
        <v>BIDV - THANH XUAN</v>
      </c>
      <c r="Z315" s="1151"/>
      <c r="AA315" s="49"/>
      <c r="AH315" s="2" t="s">
        <v>466</v>
      </c>
    </row>
    <row r="316" spans="1:38">
      <c r="A316" s="1153" t="str">
        <f>VLOOKUP('Cash Balance'!$C316,Table2[#All],MATCH('Cash Balance'!A$3,Acc_Char!$B$1:$I$1,0),0)</f>
        <v>HOLDCO5T</v>
      </c>
      <c r="B316" s="1154" t="str">
        <f>VLOOKUP('Cash Balance'!$C316,Table2[#All],MATCH('Cash Balance'!B$3,Acc_Char!$B$1:$I$1,0),0)</f>
        <v>BIDV - THANH XUAN</v>
      </c>
      <c r="C316" s="1190" t="s">
        <v>896</v>
      </c>
      <c r="D316" s="1156" t="str">
        <f>VLOOKUP('Cash Balance'!$C316,Table2[#All],MATCH('Cash Balance'!D$3,Acc_Char!$B$1:$I$1,0),0)</f>
        <v>Current Account</v>
      </c>
      <c r="E316" s="384" t="str">
        <f>VLOOKUP('Cash Balance'!$C316,Table2[#All],MATCH('Cash Balance'!E$3,Acc_Char!$B$1:$I$1,0),0)</f>
        <v>VND</v>
      </c>
      <c r="F316" s="1094" t="e">
        <f>VLOOKUP(C316,'Cash balance (BS)'!A:C,3,)</f>
        <v>#N/A</v>
      </c>
      <c r="G316" s="1157" t="e">
        <f t="shared" si="31"/>
        <v>#N/A</v>
      </c>
      <c r="H316" s="1318">
        <f>SUMIFS('Cash balance (Prior period)'!F:F,'Cash balance (Prior period)'!C:C,Table11[[#This Row],[ACCOUNT NUMBER]],'Cash balance (Prior period)'!E:E,Table11[[#This Row],[CURRENCY]])</f>
        <v>0</v>
      </c>
      <c r="I316" s="1318">
        <f>SUMIFS(Movement!$F$4:$F$2136,Movement!$M$4:$M$2136,"VND",Movement!$C$4:$C$2136,Table11[[#This Row],[ACCOUNT NUMBER]],Movement!$J$4:$J$2136,Table11[[#This Row],[ENTITY]],Movement!$O$4:$O$2136,'Cash Balance'!$A$2)</f>
        <v>0</v>
      </c>
      <c r="J316" s="1318">
        <f>SUMIFS(Movement!$G$4:$G$2136,Movement!$M$4:$M$2136,"VND",Movement!$C$4:$C$2136,Table11[[#This Row],[ACCOUNT NUMBER]],Movement!$J$4:$J$2136,Table11[[#This Row],[ENTITY]],Movement!$O$4:$O$2136,'Cash Balance'!$A$2)</f>
        <v>0</v>
      </c>
      <c r="K316" s="1084">
        <f>Table11[[#This Row],[CASH IN - CREDIT (VND)]]-Table11[[#This Row],[CASH OUT - DEBIT (VND)]]</f>
        <v>0</v>
      </c>
      <c r="L316" s="1095">
        <f t="shared" si="26"/>
        <v>0</v>
      </c>
      <c r="M316" s="1184" t="e">
        <f>VLOOKUP(C316,'Cash balance (BS)'!A:D,4,)</f>
        <v>#N/A</v>
      </c>
      <c r="N316" s="1095" t="e">
        <f>Table11[[#This Row],[CLOSING BALANCE (VND)2]]-Table11[[#This Row],[CB_BS (VND)]]</f>
        <v>#N/A</v>
      </c>
      <c r="O316" s="1094">
        <v>0</v>
      </c>
      <c r="P316" s="1095">
        <f t="shared" si="27"/>
        <v>0</v>
      </c>
      <c r="Q316" s="817">
        <f>SUMIFS('Cash balance (Prior period)'!G:G,'Cash balance (Prior period)'!C:C,Table11[[#This Row],[ACCOUNT NUMBER]],'Cash balance (Prior period)'!E:E,Table11[[#This Row],[CURRENCY]])</f>
        <v>0</v>
      </c>
      <c r="R316" s="817">
        <f>SUMIFS(Movement!$F$4:$F$2136,Movement!$M$4:$M$2136,"USD",Movement!$C$4:$C$2136,Table11[[#This Row],[ACCOUNT NUMBER]],Movement!$J$4:$J$2136,Table11[[#This Row],[ENTITY]],Movement!$O$4:$O$2136,'Cash Balance'!$A$2)</f>
        <v>0</v>
      </c>
      <c r="S316" s="817">
        <f>SUMIFS(Movement!$G$4:$G$2136,Movement!$M$4:$M$2136,"USD",Movement!$C$4:$C$2136,Table11[[#This Row],[ACCOUNT NUMBER]],Movement!$J$4:$J$2136,Table11[[#This Row],[ENTITY]],Movement!$O$4:$O$2136,'Cash Balance'!$A$2)</f>
        <v>0</v>
      </c>
      <c r="T316" s="1087">
        <f t="shared" si="28"/>
        <v>0</v>
      </c>
      <c r="U316" s="817"/>
      <c r="V316" s="817">
        <f>Table11[[#This Row],[CLOSING BALANCE (USD)]]-Table11[[#This Row],[CB_BS (USD)]]</f>
        <v>0</v>
      </c>
      <c r="W316" s="1156" t="str">
        <f>VLOOKUP('Cash Balance'!$C316,Table2[#All],MATCH('Cash Balance'!W$3,Acc_Char!$B$1:$I$1,0),0)</f>
        <v>Subsidiaries</v>
      </c>
      <c r="X316" s="1156" t="str">
        <f>VLOOKUP(IFERROR(MID($Y316,1,FIND("-",$Y316)-2),$Y316),Table3[#All],2,0)</f>
        <v>BIDV</v>
      </c>
      <c r="Y316" s="1156" t="str">
        <f>VLOOKUP($B316,Table4[#All],2,0)</f>
        <v>BIDV - THANH XUAN</v>
      </c>
      <c r="Z316" s="1151"/>
      <c r="AA316" s="49"/>
      <c r="AH316" s="2" t="s">
        <v>466</v>
      </c>
    </row>
    <row r="317" spans="1:38">
      <c r="A317" s="1153" t="str">
        <f>VLOOKUP('Cash Balance'!$C317,Table2[#All],MATCH('Cash Balance'!A$3,Acc_Char!$B$1:$I$1,0),0)</f>
        <v>YEN PHONG PROJECT CO</v>
      </c>
      <c r="B317" s="1154" t="str">
        <f>VLOOKUP('Cash Balance'!$C317,Table2[#All],MATCH('Cash Balance'!B$3,Acc_Char!$B$1:$I$1,0),0)</f>
        <v>BIDV - THANH XUAN</v>
      </c>
      <c r="C317" s="1190" t="s">
        <v>898</v>
      </c>
      <c r="D317" s="1156" t="str">
        <f>VLOOKUP('Cash Balance'!$C317,Table2[#All],MATCH('Cash Balance'!D$3,Acc_Char!$B$1:$I$1,0),0)</f>
        <v>Current Account</v>
      </c>
      <c r="E317" s="384" t="str">
        <f>VLOOKUP('Cash Balance'!$C317,Table2[#All],MATCH('Cash Balance'!E$3,Acc_Char!$B$1:$I$1,0),0)</f>
        <v>VND</v>
      </c>
      <c r="F317" s="1094" t="e">
        <f>VLOOKUP(C317,'Cash balance (BS)'!A:C,3,)</f>
        <v>#N/A</v>
      </c>
      <c r="G317" s="1157" t="e">
        <f t="shared" si="31"/>
        <v>#N/A</v>
      </c>
      <c r="H317" s="1318">
        <f>SUMIFS('Cash balance (Prior period)'!F:F,'Cash balance (Prior period)'!C:C,Table11[[#This Row],[ACCOUNT NUMBER]],'Cash balance (Prior period)'!E:E,Table11[[#This Row],[CURRENCY]])</f>
        <v>2627915647</v>
      </c>
      <c r="I317" s="1318">
        <f>SUMIFS(Movement!$F$4:$F$2136,Movement!$M$4:$M$2136,"VND",Movement!$C$4:$C$2136,Table11[[#This Row],[ACCOUNT NUMBER]],Movement!$J$4:$J$2136,Table11[[#This Row],[ENTITY]],Movement!$O$4:$O$2136,'Cash Balance'!$A$2)</f>
        <v>8998242058</v>
      </c>
      <c r="J317" s="1318">
        <f>SUMIFS(Movement!$G$4:$G$2136,Movement!$M$4:$M$2136,"VND",Movement!$C$4:$C$2136,Table11[[#This Row],[ACCOUNT NUMBER]],Movement!$J$4:$J$2136,Table11[[#This Row],[ENTITY]],Movement!$O$4:$O$2136,'Cash Balance'!$A$2)</f>
        <v>323512263</v>
      </c>
      <c r="K317" s="1084">
        <f>Table11[[#This Row],[CASH IN - CREDIT (VND)]]-Table11[[#This Row],[CASH OUT - DEBIT (VND)]]</f>
        <v>8674729795</v>
      </c>
      <c r="L317" s="1095">
        <f t="shared" si="26"/>
        <v>11302645442</v>
      </c>
      <c r="M317" s="1184" t="e">
        <f>VLOOKUP(C317,'Cash balance (BS)'!A:D,4,)</f>
        <v>#N/A</v>
      </c>
      <c r="N317" s="1095" t="e">
        <f>Table11[[#This Row],[CLOSING BALANCE (VND)2]]-Table11[[#This Row],[CB_BS (VND)]]</f>
        <v>#N/A</v>
      </c>
      <c r="O317" s="1094">
        <v>0</v>
      </c>
      <c r="P317" s="1095">
        <f t="shared" si="27"/>
        <v>0</v>
      </c>
      <c r="Q317" s="817">
        <f>SUMIFS('Cash balance (Prior period)'!G:G,'Cash balance (Prior period)'!C:C,Table11[[#This Row],[ACCOUNT NUMBER]],'Cash balance (Prior period)'!E:E,Table11[[#This Row],[CURRENCY]])</f>
        <v>0</v>
      </c>
      <c r="R317" s="817">
        <f>SUMIFS(Movement!$F$4:$F$2136,Movement!$M$4:$M$2136,"USD",Movement!$C$4:$C$2136,Table11[[#This Row],[ACCOUNT NUMBER]],Movement!$J$4:$J$2136,Table11[[#This Row],[ENTITY]],Movement!$O$4:$O$2136,'Cash Balance'!$A$2)</f>
        <v>0</v>
      </c>
      <c r="S317" s="817">
        <f>SUMIFS(Movement!$G$4:$G$2136,Movement!$M$4:$M$2136,"USD",Movement!$C$4:$C$2136,Table11[[#This Row],[ACCOUNT NUMBER]],Movement!$J$4:$J$2136,Table11[[#This Row],[ENTITY]],Movement!$O$4:$O$2136,'Cash Balance'!$A$2)</f>
        <v>0</v>
      </c>
      <c r="T317" s="1087">
        <f t="shared" si="28"/>
        <v>0</v>
      </c>
      <c r="U317" s="817"/>
      <c r="V317" s="817">
        <f>Table11[[#This Row],[CLOSING BALANCE (USD)]]-Table11[[#This Row],[CB_BS (USD)]]</f>
        <v>0</v>
      </c>
      <c r="W317" s="1156" t="str">
        <f>VLOOKUP('Cash Balance'!$C317,Table2[#All],MATCH('Cash Balance'!W$3,Acc_Char!$B$1:$I$1,0),0)</f>
        <v>Subsidiaries</v>
      </c>
      <c r="X317" s="1156" t="str">
        <f>VLOOKUP(IFERROR(MID($Y317,1,FIND("-",$Y317)-2),$Y317),Table3[#All],2,0)</f>
        <v>BIDV</v>
      </c>
      <c r="Y317" s="1156" t="str">
        <f>VLOOKUP($B317,Table4[#All],2,0)</f>
        <v>BIDV - THANH XUAN</v>
      </c>
      <c r="Z317" s="1151"/>
      <c r="AA317" s="49"/>
      <c r="AH317" s="2" t="s">
        <v>177</v>
      </c>
    </row>
    <row r="318" spans="1:38">
      <c r="A318" s="1153" t="str">
        <f>VLOOKUP('Cash Balance'!$C318,Table2[#All],MATCH('Cash Balance'!A$3,Acc_Char!$B$1:$I$1,0),0)</f>
        <v>YEN PHONG</v>
      </c>
      <c r="B318" s="1154" t="str">
        <f>VLOOKUP('Cash Balance'!$C318,Table2[#All],MATCH('Cash Balance'!B$3,Acc_Char!$B$1:$I$1,0),0)</f>
        <v>BIDV - THANH XUAN</v>
      </c>
      <c r="C318" s="1190" t="s">
        <v>899</v>
      </c>
      <c r="D318" s="1156" t="str">
        <f>VLOOKUP('Cash Balance'!$C318,Table2[#All],MATCH('Cash Balance'!D$3,Acc_Char!$B$1:$I$1,0),0)</f>
        <v>Saving Account</v>
      </c>
      <c r="E318" s="384" t="str">
        <f>VLOOKUP('Cash Balance'!$C318,Table2[#All],MATCH('Cash Balance'!E$3,Acc_Char!$B$1:$I$1,0),0)</f>
        <v>VND</v>
      </c>
      <c r="F318" s="1094" t="e">
        <f>VLOOKUP(C318,'Cash balance (BS)'!A:C,3,)</f>
        <v>#N/A</v>
      </c>
      <c r="G318" s="1157" t="e">
        <f>F318-H318</f>
        <v>#N/A</v>
      </c>
      <c r="H318" s="1318">
        <f>SUMIFS('Cash balance (Prior period)'!F:F,'Cash balance (Prior period)'!C:C,Table11[[#This Row],[ACCOUNT NUMBER]],'Cash balance (Prior period)'!E:E,Table11[[#This Row],[CURRENCY]])</f>
        <v>0</v>
      </c>
      <c r="I318" s="1318">
        <f>SUMIFS(Movement!$F$4:$F$2136,Movement!$M$4:$M$2136,"VND",Movement!$C$4:$C$2136,Table11[[#This Row],[ACCOUNT NUMBER]],Movement!$J$4:$J$2136,Table11[[#This Row],[ENTITY]],Movement!$O$4:$O$2136,'Cash Balance'!$A$2)</f>
        <v>0</v>
      </c>
      <c r="J318" s="1318">
        <f>SUMIFS(Movement!$G$4:$G$2136,Movement!$M$4:$M$2136,"VND",Movement!$C$4:$C$2136,Table11[[#This Row],[ACCOUNT NUMBER]],Movement!$J$4:$J$2136,Table11[[#This Row],[ENTITY]],Movement!$O$4:$O$2136,'Cash Balance'!$A$2)</f>
        <v>0</v>
      </c>
      <c r="K318" s="1084">
        <f>Table11[[#This Row],[CASH IN - CREDIT (VND)]]-Table11[[#This Row],[CASH OUT - DEBIT (VND)]]</f>
        <v>0</v>
      </c>
      <c r="L318" s="1095">
        <f t="shared" si="26"/>
        <v>0</v>
      </c>
      <c r="M318" s="1184" t="e">
        <f>VLOOKUP(C318,'Cash balance (BS)'!A:D,4,)</f>
        <v>#N/A</v>
      </c>
      <c r="N318" s="1095" t="e">
        <f>Table11[[#This Row],[CLOSING BALANCE (VND)2]]-Table11[[#This Row],[CB_BS (VND)]]</f>
        <v>#N/A</v>
      </c>
      <c r="O318" s="1094"/>
      <c r="P318" s="1095">
        <f>O318-Q318</f>
        <v>0</v>
      </c>
      <c r="Q318" s="817">
        <f>SUMIFS('Cash balance (Prior period)'!G:G,'Cash balance (Prior period)'!C:C,Table11[[#This Row],[ACCOUNT NUMBER]],'Cash balance (Prior period)'!E:E,Table11[[#This Row],[CURRENCY]])</f>
        <v>0</v>
      </c>
      <c r="R318" s="817">
        <f>SUMIFS(Movement!$F$4:$F$2136,Movement!$M$4:$M$2136,"USD",Movement!$C$4:$C$2136,Table11[[#This Row],[ACCOUNT NUMBER]],Movement!$J$4:$J$2136,Table11[[#This Row],[ENTITY]],Movement!$O$4:$O$2136,'Cash Balance'!$A$2)</f>
        <v>0</v>
      </c>
      <c r="S318" s="817">
        <f>SUMIFS(Movement!$G$4:$G$2136,Movement!$M$4:$M$2136,"USD",Movement!$C$4:$C$2136,Table11[[#This Row],[ACCOUNT NUMBER]],Movement!$J$4:$J$2136,Table11[[#This Row],[ENTITY]],Movement!$O$4:$O$2136,'Cash Balance'!$A$2)</f>
        <v>0</v>
      </c>
      <c r="T318" s="1087">
        <f t="shared" si="28"/>
        <v>0</v>
      </c>
      <c r="U318" s="817"/>
      <c r="V318" s="817">
        <f>Table11[[#This Row],[CLOSING BALANCE (USD)]]-Table11[[#This Row],[CB_BS (USD)]]</f>
        <v>0</v>
      </c>
      <c r="W318" s="1156" t="str">
        <f>VLOOKUP('Cash Balance'!$C318,Table2[#All],MATCH('Cash Balance'!W$3,Acc_Char!$B$1:$I$1,0),0)</f>
        <v>Subsidiaries</v>
      </c>
      <c r="X318" s="1156" t="str">
        <f>VLOOKUP(IFERROR(MID($Y318,1,FIND("-",$Y318)-2),$Y318),Table3[#All],2,0)</f>
        <v>BIDV</v>
      </c>
      <c r="Y318" s="1156" t="str">
        <f>VLOOKUP($B318,Table4[#All],2,0)</f>
        <v>BIDV - THANH XUAN</v>
      </c>
      <c r="Z318" s="1151"/>
      <c r="AA318" s="49"/>
    </row>
    <row r="319" spans="1:38">
      <c r="A319" s="1153" t="str">
        <f>VLOOKUP('Cash Balance'!$C319,Table2[#All],MATCH('Cash Balance'!A$3,Acc_Char!$B$1:$I$1,0),0)</f>
        <v>YEN PHONG PROJECT CO</v>
      </c>
      <c r="B319" s="1154" t="str">
        <f>VLOOKUP('Cash Balance'!$C319,Table2[#All],MATCH('Cash Balance'!B$3,Acc_Char!$B$1:$I$1,0),0)</f>
        <v>BIDV - THANH XUAN</v>
      </c>
      <c r="C319" s="1190" t="s">
        <v>900</v>
      </c>
      <c r="D319" s="1156" t="str">
        <f>VLOOKUP('Cash Balance'!$C319,Table2[#All],MATCH('Cash Balance'!D$3,Acc_Char!$B$1:$I$1,0),0)</f>
        <v>Current Account</v>
      </c>
      <c r="E319" s="384" t="str">
        <f>VLOOKUP('Cash Balance'!$C319,Table2[#All],MATCH('Cash Balance'!E$3,Acc_Char!$B$1:$I$1,0),0)</f>
        <v>USD</v>
      </c>
      <c r="F319" s="1094" t="e">
        <f>VLOOKUP(C319,'Cash balance (BS)'!A:C,3,)</f>
        <v>#N/A</v>
      </c>
      <c r="G319" s="1157" t="e">
        <f t="shared" si="31"/>
        <v>#N/A</v>
      </c>
      <c r="H319" s="1318">
        <f>SUMIFS('Cash balance (Prior period)'!F:F,'Cash balance (Prior period)'!C:C,Table11[[#This Row],[ACCOUNT NUMBER]],'Cash balance (Prior period)'!E:E,Table11[[#This Row],[CURRENCY]])</f>
        <v>0</v>
      </c>
      <c r="I319" s="1318">
        <f>SUMIFS(Movement!$F$4:$F$2136,Movement!$M$4:$M$2136,"VND",Movement!$C$4:$C$2136,Table11[[#This Row],[ACCOUNT NUMBER]],Movement!$J$4:$J$2136,Table11[[#This Row],[ENTITY]],Movement!$O$4:$O$2136,'Cash Balance'!$A$2)</f>
        <v>0</v>
      </c>
      <c r="J319" s="1318">
        <f>SUMIFS(Movement!$G$4:$G$2136,Movement!$M$4:$M$2136,"VND",Movement!$C$4:$C$2136,Table11[[#This Row],[ACCOUNT NUMBER]],Movement!$J$4:$J$2136,Table11[[#This Row],[ENTITY]],Movement!$O$4:$O$2136,'Cash Balance'!$A$2)</f>
        <v>0</v>
      </c>
      <c r="K319" s="1084">
        <f>Table11[[#This Row],[CASH IN - CREDIT (VND)]]-Table11[[#This Row],[CASH OUT - DEBIT (VND)]]</f>
        <v>0</v>
      </c>
      <c r="L319" s="1095">
        <f t="shared" si="26"/>
        <v>0</v>
      </c>
      <c r="M319" s="1184" t="e">
        <f>VLOOKUP(C319,'Cash balance (BS)'!A:D,4,)</f>
        <v>#N/A</v>
      </c>
      <c r="N319" s="1095" t="e">
        <f>Table11[[#This Row],[CLOSING BALANCE (VND)2]]-Table11[[#This Row],[CB_BS (VND)]]</f>
        <v>#N/A</v>
      </c>
      <c r="O319" s="1094">
        <v>0</v>
      </c>
      <c r="P319" s="1095">
        <f t="shared" si="27"/>
        <v>0</v>
      </c>
      <c r="Q319" s="817">
        <f>SUMIFS('Cash balance (Prior period)'!G:G,'Cash balance (Prior period)'!C:C,Table11[[#This Row],[ACCOUNT NUMBER]],'Cash balance (Prior period)'!E:E,Table11[[#This Row],[CURRENCY]])</f>
        <v>0</v>
      </c>
      <c r="R319" s="817">
        <f>SUMIFS(Movement!$F$4:$F$2136,Movement!$M$4:$M$2136,"USD",Movement!$C$4:$C$2136,Table11[[#This Row],[ACCOUNT NUMBER]],Movement!$J$4:$J$2136,Table11[[#This Row],[ENTITY]],Movement!$O$4:$O$2136,'Cash Balance'!$A$2)</f>
        <v>0</v>
      </c>
      <c r="S319" s="817">
        <f>SUMIFS(Movement!$G$4:$G$2136,Movement!$M$4:$M$2136,"USD",Movement!$C$4:$C$2136,Table11[[#This Row],[ACCOUNT NUMBER]],Movement!$J$4:$J$2136,Table11[[#This Row],[ENTITY]],Movement!$O$4:$O$2136,'Cash Balance'!$A$2)</f>
        <v>0</v>
      </c>
      <c r="T319" s="1087">
        <f t="shared" si="28"/>
        <v>0</v>
      </c>
      <c r="U319" s="817"/>
      <c r="V319" s="817">
        <f>Table11[[#This Row],[CLOSING BALANCE (USD)]]-Table11[[#This Row],[CB_BS (USD)]]</f>
        <v>0</v>
      </c>
      <c r="W319" s="1156" t="str">
        <f>VLOOKUP('Cash Balance'!$C319,Table2[#All],MATCH('Cash Balance'!W$3,Acc_Char!$B$1:$I$1,0),0)</f>
        <v>Subsidiaries</v>
      </c>
      <c r="X319" s="1156" t="str">
        <f>VLOOKUP(IFERROR(MID($Y319,1,FIND("-",$Y319)-2),$Y319),Table3[#All],2,0)</f>
        <v>BIDV</v>
      </c>
      <c r="Y319" s="1156" t="str">
        <f>VLOOKUP($B319,Table4[#All],2,0)</f>
        <v>BIDV - THANH XUAN</v>
      </c>
      <c r="Z319" s="1151"/>
      <c r="AA319" s="49"/>
    </row>
    <row r="320" spans="1:38">
      <c r="A320" s="1153" t="str">
        <f>VLOOKUP('Cash Balance'!$C320,Table2[#All],MATCH('Cash Balance'!A$3,Acc_Char!$B$1:$I$1,0),0)</f>
        <v>YEN PHONG PROJECT CO</v>
      </c>
      <c r="B320" s="1154" t="str">
        <f>VLOOKUP('Cash Balance'!$C320,Table2[#All],MATCH('Cash Balance'!B$3,Acc_Char!$B$1:$I$1,0),0)</f>
        <v>UOB - HCM</v>
      </c>
      <c r="C320" s="1190" t="s">
        <v>901</v>
      </c>
      <c r="D320" s="1156" t="str">
        <f>VLOOKUP('Cash Balance'!$C320,Table2[#All],MATCH('Cash Balance'!D$3,Acc_Char!$B$1:$I$1,0),0)</f>
        <v>Current Account</v>
      </c>
      <c r="E320" s="384" t="str">
        <f>VLOOKUP('Cash Balance'!$C320,Table2[#All],MATCH('Cash Balance'!E$3,Acc_Char!$B$1:$I$1,0),0)</f>
        <v>VND</v>
      </c>
      <c r="F320" s="1094" t="e">
        <f>VLOOKUP(C320,'Cash balance (BS)'!A:C,3,)</f>
        <v>#N/A</v>
      </c>
      <c r="G320" s="1157" t="e">
        <f t="shared" si="31"/>
        <v>#N/A</v>
      </c>
      <c r="H320" s="1318">
        <f>SUMIFS('Cash balance (Prior period)'!F:F,'Cash balance (Prior period)'!C:C,Table11[[#This Row],[ACCOUNT NUMBER]],'Cash balance (Prior period)'!E:E,Table11[[#This Row],[CURRENCY]])</f>
        <v>0</v>
      </c>
      <c r="I320" s="1318">
        <f>SUMIFS(Movement!$F$4:$F$2136,Movement!$M$4:$M$2136,"VND",Movement!$C$4:$C$2136,Table11[[#This Row],[ACCOUNT NUMBER]],Movement!$J$4:$J$2136,Table11[[#This Row],[ENTITY]],Movement!$O$4:$O$2136,'Cash Balance'!$A$2)</f>
        <v>0</v>
      </c>
      <c r="J320" s="1318">
        <f>SUMIFS(Movement!$G$4:$G$2136,Movement!$M$4:$M$2136,"VND",Movement!$C$4:$C$2136,Table11[[#This Row],[ACCOUNT NUMBER]],Movement!$J$4:$J$2136,Table11[[#This Row],[ENTITY]],Movement!$O$4:$O$2136,'Cash Balance'!$A$2)</f>
        <v>0</v>
      </c>
      <c r="K320" s="1084">
        <f>Table11[[#This Row],[CASH IN - CREDIT (VND)]]-Table11[[#This Row],[CASH OUT - DEBIT (VND)]]</f>
        <v>0</v>
      </c>
      <c r="L320" s="1095">
        <f t="shared" si="26"/>
        <v>0</v>
      </c>
      <c r="M320" s="1184" t="e">
        <f>VLOOKUP(C320,'Cash balance (BS)'!A:D,4,)</f>
        <v>#N/A</v>
      </c>
      <c r="N320" s="1095" t="e">
        <f>Table11[[#This Row],[CLOSING BALANCE (VND)2]]-Table11[[#This Row],[CB_BS (VND)]]</f>
        <v>#N/A</v>
      </c>
      <c r="O320" s="1094">
        <v>0</v>
      </c>
      <c r="P320" s="1095">
        <f t="shared" si="27"/>
        <v>0</v>
      </c>
      <c r="Q320" s="817">
        <f>SUMIFS('Cash balance (Prior period)'!G:G,'Cash balance (Prior period)'!C:C,Table11[[#This Row],[ACCOUNT NUMBER]],'Cash balance (Prior period)'!E:E,Table11[[#This Row],[CURRENCY]])</f>
        <v>0</v>
      </c>
      <c r="R320" s="817">
        <f>SUMIFS(Movement!$F$4:$F$2136,Movement!$M$4:$M$2136,"USD",Movement!$C$4:$C$2136,Table11[[#This Row],[ACCOUNT NUMBER]],Movement!$J$4:$J$2136,Table11[[#This Row],[ENTITY]],Movement!$O$4:$O$2136,'Cash Balance'!$A$2)</f>
        <v>0</v>
      </c>
      <c r="S320" s="817">
        <f>SUMIFS(Movement!$G$4:$G$2136,Movement!$M$4:$M$2136,"USD",Movement!$C$4:$C$2136,Table11[[#This Row],[ACCOUNT NUMBER]],Movement!$J$4:$J$2136,Table11[[#This Row],[ENTITY]],Movement!$O$4:$O$2136,'Cash Balance'!$A$2)</f>
        <v>0</v>
      </c>
      <c r="T320" s="1087">
        <f t="shared" si="28"/>
        <v>0</v>
      </c>
      <c r="U320" s="817"/>
      <c r="V320" s="817">
        <f>Table11[[#This Row],[CLOSING BALANCE (USD)]]-Table11[[#This Row],[CB_BS (USD)]]</f>
        <v>0</v>
      </c>
      <c r="W320" s="1156" t="str">
        <f>VLOOKUP('Cash Balance'!$C320,Table2[#All],MATCH('Cash Balance'!W$3,Acc_Char!$B$1:$I$1,0),0)</f>
        <v>Subsidiaries</v>
      </c>
      <c r="X320" s="1156" t="str">
        <f>VLOOKUP(IFERROR(MID($Y320,1,FIND("-",$Y320)-2),$Y320),Table3[#All],2,0)</f>
        <v>UOB</v>
      </c>
      <c r="Y320" s="1156" t="str">
        <f>VLOOKUP($B320,Table4[#All],2,0)</f>
        <v>UOB</v>
      </c>
      <c r="Z320" s="1151"/>
      <c r="AA320" s="49"/>
    </row>
    <row r="321" spans="1:34">
      <c r="A321" s="1153" t="str">
        <f>VLOOKUP('Cash Balance'!$C321,Table2[#All],MATCH('Cash Balance'!A$3,Acc_Char!$B$1:$I$1,0),0)</f>
        <v>YEN PHONG PROJECT CO</v>
      </c>
      <c r="B321" s="1154" t="str">
        <f>VLOOKUP('Cash Balance'!$C321,Table2[#All],MATCH('Cash Balance'!B$3,Acc_Char!$B$1:$I$1,0),0)</f>
        <v>UOB - HCM</v>
      </c>
      <c r="C321" s="1190" t="s">
        <v>902</v>
      </c>
      <c r="D321" s="1156" t="str">
        <f>VLOOKUP('Cash Balance'!$C321,Table2[#All],MATCH('Cash Balance'!D$3,Acc_Char!$B$1:$I$1,0),0)</f>
        <v>Capital Account</v>
      </c>
      <c r="E321" s="384" t="str">
        <f>VLOOKUP('Cash Balance'!$C321,Table2[#All],MATCH('Cash Balance'!E$3,Acc_Char!$B$1:$I$1,0),0)</f>
        <v>VND</v>
      </c>
      <c r="F321" s="1094" t="e">
        <f>VLOOKUP(C321,'Cash balance (BS)'!A:C,3,)</f>
        <v>#N/A</v>
      </c>
      <c r="G321" s="1157" t="e">
        <f t="shared" si="31"/>
        <v>#N/A</v>
      </c>
      <c r="H321" s="1318">
        <f>SUMIFS('Cash balance (Prior period)'!F:F,'Cash balance (Prior period)'!C:C,Table11[[#This Row],[ACCOUNT NUMBER]],'Cash balance (Prior period)'!E:E,Table11[[#This Row],[CURRENCY]])</f>
        <v>0</v>
      </c>
      <c r="I321" s="1318">
        <f>SUMIFS(Movement!$F$4:$F$2136,Movement!$M$4:$M$2136,"VND",Movement!$C$4:$C$2136,Table11[[#This Row],[ACCOUNT NUMBER]],Movement!$J$4:$J$2136,Table11[[#This Row],[ENTITY]],Movement!$O$4:$O$2136,'Cash Balance'!$A$2)</f>
        <v>0</v>
      </c>
      <c r="J321" s="1318">
        <f>SUMIFS(Movement!$G$4:$G$2136,Movement!$M$4:$M$2136,"VND",Movement!$C$4:$C$2136,Table11[[#This Row],[ACCOUNT NUMBER]],Movement!$J$4:$J$2136,Table11[[#This Row],[ENTITY]],Movement!$O$4:$O$2136,'Cash Balance'!$A$2)</f>
        <v>0</v>
      </c>
      <c r="K321" s="1084">
        <f>Table11[[#This Row],[CASH IN - CREDIT (VND)]]-Table11[[#This Row],[CASH OUT - DEBIT (VND)]]</f>
        <v>0</v>
      </c>
      <c r="L321" s="1095">
        <f t="shared" si="26"/>
        <v>0</v>
      </c>
      <c r="M321" s="1184" t="e">
        <f>VLOOKUP(C321,'Cash balance (BS)'!A:D,4,)</f>
        <v>#N/A</v>
      </c>
      <c r="N321" s="1095" t="e">
        <f>Table11[[#This Row],[CLOSING BALANCE (VND)2]]-Table11[[#This Row],[CB_BS (VND)]]</f>
        <v>#N/A</v>
      </c>
      <c r="O321" s="1094">
        <v>0</v>
      </c>
      <c r="P321" s="1095">
        <f t="shared" si="27"/>
        <v>0</v>
      </c>
      <c r="Q321" s="817">
        <f>SUMIFS('Cash balance (Prior period)'!G:G,'Cash balance (Prior period)'!C:C,Table11[[#This Row],[ACCOUNT NUMBER]],'Cash balance (Prior period)'!E:E,Table11[[#This Row],[CURRENCY]])</f>
        <v>0</v>
      </c>
      <c r="R321" s="817">
        <f>SUMIFS(Movement!$F$4:$F$2136,Movement!$M$4:$M$2136,"USD",Movement!$C$4:$C$2136,Table11[[#This Row],[ACCOUNT NUMBER]],Movement!$J$4:$J$2136,Table11[[#This Row],[ENTITY]],Movement!$O$4:$O$2136,'Cash Balance'!$A$2)</f>
        <v>0</v>
      </c>
      <c r="S321" s="817">
        <f>SUMIFS(Movement!$G$4:$G$2136,Movement!$M$4:$M$2136,"USD",Movement!$C$4:$C$2136,Table11[[#This Row],[ACCOUNT NUMBER]],Movement!$J$4:$J$2136,Table11[[#This Row],[ENTITY]],Movement!$O$4:$O$2136,'Cash Balance'!$A$2)</f>
        <v>0</v>
      </c>
      <c r="T321" s="1087">
        <f t="shared" si="28"/>
        <v>0</v>
      </c>
      <c r="U321" s="817"/>
      <c r="V321" s="817">
        <f>Table11[[#This Row],[CLOSING BALANCE (USD)]]-Table11[[#This Row],[CB_BS (USD)]]</f>
        <v>0</v>
      </c>
      <c r="W321" s="1156" t="str">
        <f>VLOOKUP('Cash Balance'!$C321,Table2[#All],MATCH('Cash Balance'!W$3,Acc_Char!$B$1:$I$1,0),0)</f>
        <v>Subsidiaries</v>
      </c>
      <c r="X321" s="1156" t="str">
        <f>VLOOKUP(IFERROR(MID($Y321,1,FIND("-",$Y321)-2),$Y321),Table3[#All],2,0)</f>
        <v>UOB</v>
      </c>
      <c r="Y321" s="1156" t="str">
        <f>VLOOKUP($B321,Table4[#All],2,0)</f>
        <v>UOB</v>
      </c>
      <c r="Z321" s="1151"/>
      <c r="AA321" s="49"/>
    </row>
    <row r="322" spans="1:34">
      <c r="A322" s="1153" t="str">
        <f>VLOOKUP('Cash Balance'!$C322,Table2[#All],MATCH('Cash Balance'!A$3,Acc_Char!$B$1:$I$1,0),0)</f>
        <v>YEN PHONG PROJECT CO</v>
      </c>
      <c r="B322" s="1154" t="str">
        <f>VLOOKUP('Cash Balance'!$C322,Table2[#All],MATCH('Cash Balance'!B$3,Acc_Char!$B$1:$I$1,0),0)</f>
        <v>UOB - HCM</v>
      </c>
      <c r="C322" s="1190" t="s">
        <v>903</v>
      </c>
      <c r="D322" s="1156" t="str">
        <f>VLOOKUP('Cash Balance'!$C322,Table2[#All],MATCH('Cash Balance'!D$3,Acc_Char!$B$1:$I$1,0),0)</f>
        <v>Current Account</v>
      </c>
      <c r="E322" s="384" t="str">
        <f>VLOOKUP('Cash Balance'!$C322,Table2[#All],MATCH('Cash Balance'!E$3,Acc_Char!$B$1:$I$1,0),0)</f>
        <v>USD</v>
      </c>
      <c r="F322" s="1094" t="e">
        <f>VLOOKUP(C322,'Cash balance (BS)'!A:C,3,)</f>
        <v>#N/A</v>
      </c>
      <c r="G322" s="1157" t="e">
        <f t="shared" si="31"/>
        <v>#N/A</v>
      </c>
      <c r="H322" s="1318">
        <f>SUMIFS('Cash balance (Prior period)'!F:F,'Cash balance (Prior period)'!C:C,Table11[[#This Row],[ACCOUNT NUMBER]],'Cash balance (Prior period)'!E:E,Table11[[#This Row],[CURRENCY]])</f>
        <v>0</v>
      </c>
      <c r="I322" s="1318">
        <f>SUMIFS(Movement!$F$4:$F$2136,Movement!$M$4:$M$2136,"VND",Movement!$C$4:$C$2136,Table11[[#This Row],[ACCOUNT NUMBER]],Movement!$J$4:$J$2136,Table11[[#This Row],[ENTITY]],Movement!$O$4:$O$2136,'Cash Balance'!$A$2)</f>
        <v>0</v>
      </c>
      <c r="J322" s="1318">
        <f>SUMIFS(Movement!$G$4:$G$2136,Movement!$M$4:$M$2136,"VND",Movement!$C$4:$C$2136,Table11[[#This Row],[ACCOUNT NUMBER]],Movement!$J$4:$J$2136,Table11[[#This Row],[ENTITY]],Movement!$O$4:$O$2136,'Cash Balance'!$A$2)</f>
        <v>0</v>
      </c>
      <c r="K322" s="1084">
        <f>Table11[[#This Row],[CASH IN - CREDIT (VND)]]-Table11[[#This Row],[CASH OUT - DEBIT (VND)]]</f>
        <v>0</v>
      </c>
      <c r="L322" s="1095">
        <f t="shared" si="26"/>
        <v>0</v>
      </c>
      <c r="M322" s="1184" t="e">
        <f>VLOOKUP(C322,'Cash balance (BS)'!A:D,4,)</f>
        <v>#N/A</v>
      </c>
      <c r="N322" s="1095" t="e">
        <f>Table11[[#This Row],[CLOSING BALANCE (VND)2]]-Table11[[#This Row],[CB_BS (VND)]]</f>
        <v>#N/A</v>
      </c>
      <c r="O322" s="1094">
        <v>0</v>
      </c>
      <c r="P322" s="1095">
        <f t="shared" si="27"/>
        <v>0</v>
      </c>
      <c r="Q322" s="817">
        <f>SUMIFS('Cash balance (Prior period)'!G:G,'Cash balance (Prior period)'!C:C,Table11[[#This Row],[ACCOUNT NUMBER]],'Cash balance (Prior period)'!E:E,Table11[[#This Row],[CURRENCY]])</f>
        <v>0</v>
      </c>
      <c r="R322" s="817">
        <f>SUMIFS(Movement!$F$4:$F$2136,Movement!$M$4:$M$2136,"USD",Movement!$C$4:$C$2136,Table11[[#This Row],[ACCOUNT NUMBER]],Movement!$J$4:$J$2136,Table11[[#This Row],[ENTITY]],Movement!$O$4:$O$2136,'Cash Balance'!$A$2)</f>
        <v>0</v>
      </c>
      <c r="S322" s="817">
        <f>SUMIFS(Movement!$G$4:$G$2136,Movement!$M$4:$M$2136,"USD",Movement!$C$4:$C$2136,Table11[[#This Row],[ACCOUNT NUMBER]],Movement!$J$4:$J$2136,Table11[[#This Row],[ENTITY]],Movement!$O$4:$O$2136,'Cash Balance'!$A$2)</f>
        <v>0</v>
      </c>
      <c r="T322" s="1087">
        <f t="shared" si="28"/>
        <v>0</v>
      </c>
      <c r="U322" s="817"/>
      <c r="V322" s="817">
        <f>Table11[[#This Row],[CLOSING BALANCE (USD)]]-Table11[[#This Row],[CB_BS (USD)]]</f>
        <v>0</v>
      </c>
      <c r="W322" s="1156" t="str">
        <f>VLOOKUP('Cash Balance'!$C322,Table2[#All],MATCH('Cash Balance'!W$3,Acc_Char!$B$1:$I$1,0),0)</f>
        <v>Subsidiaries</v>
      </c>
      <c r="X322" s="1156" t="str">
        <f>VLOOKUP(IFERROR(MID($Y322,1,FIND("-",$Y322)-2),$Y322),Table3[#All],2,0)</f>
        <v>UOB</v>
      </c>
      <c r="Y322" s="1156" t="str">
        <f>VLOOKUP($B322,Table4[#All],2,0)</f>
        <v>UOB</v>
      </c>
      <c r="Z322" s="1151"/>
      <c r="AA322" s="49"/>
    </row>
    <row r="323" spans="1:34">
      <c r="A323" s="1153" t="str">
        <f>VLOOKUP('Cash Balance'!$C323,Table2[#All],MATCH('Cash Balance'!A$3,Acc_Char!$B$1:$I$1,0),0)</f>
        <v>YEN PHONG PROJECT CO</v>
      </c>
      <c r="B323" s="1154" t="str">
        <f>VLOOKUP('Cash Balance'!$C323,Table2[#All],MATCH('Cash Balance'!B$3,Acc_Char!$B$1:$I$1,0),0)</f>
        <v>UOB - HCM</v>
      </c>
      <c r="C323" s="1190" t="s">
        <v>904</v>
      </c>
      <c r="D323" s="1156" t="str">
        <f>VLOOKUP('Cash Balance'!$C323,Table2[#All],MATCH('Cash Balance'!D$3,Acc_Char!$B$1:$I$1,0),0)</f>
        <v>Capital Account</v>
      </c>
      <c r="E323" s="384" t="str">
        <f>VLOOKUP('Cash Balance'!$C323,Table2[#All],MATCH('Cash Balance'!E$3,Acc_Char!$B$1:$I$1,0),0)</f>
        <v>USD</v>
      </c>
      <c r="F323" s="1094"/>
      <c r="G323" s="1157"/>
      <c r="H323" s="1318">
        <f>SUMIFS('Cash balance (Prior period)'!F:F,'Cash balance (Prior period)'!C:C,Table11[[#This Row],[ACCOUNT NUMBER]],'Cash balance (Prior period)'!E:E,Table11[[#This Row],[CURRENCY]])</f>
        <v>0</v>
      </c>
      <c r="I323" s="1318">
        <f>SUMIFS(Movement!$F$4:$F$2136,Movement!$M$4:$M$2136,"VND",Movement!$C$4:$C$2136,Table11[[#This Row],[ACCOUNT NUMBER]],Movement!$J$4:$J$2136,Table11[[#This Row],[ENTITY]],Movement!$O$4:$O$2136,'Cash Balance'!$A$2)</f>
        <v>0</v>
      </c>
      <c r="J323" s="1318">
        <f>SUMIFS(Movement!$G$4:$G$2136,Movement!$M$4:$M$2136,"VND",Movement!$C$4:$C$2136,Table11[[#This Row],[ACCOUNT NUMBER]],Movement!$J$4:$J$2136,Table11[[#This Row],[ENTITY]],Movement!$O$4:$O$2136,'Cash Balance'!$A$2)</f>
        <v>0</v>
      </c>
      <c r="K323" s="1084">
        <f>Table11[[#This Row],[CASH IN - CREDIT (VND)]]-Table11[[#This Row],[CASH OUT - DEBIT (VND)]]</f>
        <v>0</v>
      </c>
      <c r="L323" s="1095">
        <f t="shared" si="26"/>
        <v>0</v>
      </c>
      <c r="M323" s="1184" t="e">
        <f>VLOOKUP(C323,'Cash balance (BS)'!A:D,4,)</f>
        <v>#N/A</v>
      </c>
      <c r="N323" s="1095" t="e">
        <f>Table11[[#This Row],[CLOSING BALANCE (VND)2]]-Table11[[#This Row],[CB_BS (VND)]]</f>
        <v>#N/A</v>
      </c>
      <c r="O323" s="1094">
        <v>0</v>
      </c>
      <c r="P323" s="1095">
        <f t="shared" si="27"/>
        <v>0</v>
      </c>
      <c r="Q323" s="817">
        <f>SUMIFS('Cash balance (Prior period)'!G:G,'Cash balance (Prior period)'!C:C,Table11[[#This Row],[ACCOUNT NUMBER]],'Cash balance (Prior period)'!E:E,Table11[[#This Row],[CURRENCY]])</f>
        <v>0</v>
      </c>
      <c r="R323" s="817">
        <f>SUMIFS(Movement!$F$4:$F$2136,Movement!$M$4:$M$2136,"USD",Movement!$C$4:$C$2136,Table11[[#This Row],[ACCOUNT NUMBER]],Movement!$J$4:$J$2136,Table11[[#This Row],[ENTITY]],Movement!$O$4:$O$2136,'Cash Balance'!$A$2)</f>
        <v>0</v>
      </c>
      <c r="S323" s="817">
        <f>SUMIFS(Movement!$G$4:$G$2136,Movement!$M$4:$M$2136,"USD",Movement!$C$4:$C$2136,Table11[[#This Row],[ACCOUNT NUMBER]],Movement!$J$4:$J$2136,Table11[[#This Row],[ENTITY]],Movement!$O$4:$O$2136,'Cash Balance'!$A$2)</f>
        <v>0</v>
      </c>
      <c r="T323" s="1087">
        <f t="shared" si="28"/>
        <v>0</v>
      </c>
      <c r="U323" s="817" t="e">
        <f>VLOOKUP(C323,'Cash balance (BS)'!A:D,4,)</f>
        <v>#N/A</v>
      </c>
      <c r="V323" s="817" t="e">
        <f>Table11[[#This Row],[CLOSING BALANCE (USD)]]-Table11[[#This Row],[CB_BS (USD)]]</f>
        <v>#N/A</v>
      </c>
      <c r="W323" s="1156" t="str">
        <f>VLOOKUP('Cash Balance'!$C323,Table2[#All],MATCH('Cash Balance'!W$3,Acc_Char!$B$1:$I$1,0),0)</f>
        <v>Subsidiaries</v>
      </c>
      <c r="X323" s="1156" t="str">
        <f>VLOOKUP(IFERROR(MID($Y323,1,FIND("-",$Y323)-2),$Y323),Table3[#All],2,0)</f>
        <v>UOB</v>
      </c>
      <c r="Y323" s="1156" t="str">
        <f>VLOOKUP($B323,Table4[#All],2,0)</f>
        <v>UOB</v>
      </c>
      <c r="Z323" s="1151"/>
      <c r="AA323" s="49"/>
    </row>
    <row r="324" spans="1:34">
      <c r="A324" s="1153" t="str">
        <f>VLOOKUP('Cash Balance'!$C324,Table2[#All],MATCH('Cash Balance'!A$3,Acc_Char!$B$1:$I$1,0),0)</f>
        <v>NDV PROJECT CO</v>
      </c>
      <c r="B324" s="1154" t="str">
        <f>VLOOKUP('Cash Balance'!$C324,Table2[#All],MATCH('Cash Balance'!B$3,Acc_Char!$B$1:$I$1,0),0)</f>
        <v>BIDV - THANH XUAN</v>
      </c>
      <c r="C324" s="1190" t="s">
        <v>906</v>
      </c>
      <c r="D324" s="1156" t="str">
        <f>VLOOKUP('Cash Balance'!$C324,Table2[#All],MATCH('Cash Balance'!D$3,Acc_Char!$B$1:$I$1,0),0)</f>
        <v>Current Account</v>
      </c>
      <c r="E324" s="384" t="str">
        <f>VLOOKUP('Cash Balance'!$C324,Table2[#All],MATCH('Cash Balance'!E$3,Acc_Char!$B$1:$I$1,0),0)</f>
        <v>VND</v>
      </c>
      <c r="F324" s="1094" t="e">
        <f>VLOOKUP(C324,'Cash balance (BS)'!A:C,3,)</f>
        <v>#N/A</v>
      </c>
      <c r="G324" s="1157" t="e">
        <f>F324-H324</f>
        <v>#N/A</v>
      </c>
      <c r="H324" s="1318">
        <f>SUMIFS('Cash balance (Prior period)'!F:F,'Cash balance (Prior period)'!C:C,Table11[[#This Row],[ACCOUNT NUMBER]],'Cash balance (Prior period)'!E:E,Table11[[#This Row],[CURRENCY]])</f>
        <v>3309214112</v>
      </c>
      <c r="I324" s="1318">
        <f>SUMIFS(Movement!$F$4:$F$2136,Movement!$M$4:$M$2136,"VND",Movement!$C$4:$C$2136,Table11[[#This Row],[ACCOUNT NUMBER]],Movement!$J$4:$J$2136,Table11[[#This Row],[ENTITY]],Movement!$O$4:$O$2136,'Cash Balance'!$A$2)</f>
        <v>12328648612</v>
      </c>
      <c r="J324" s="1318">
        <f>SUMIFS(Movement!$G$4:$G$2136,Movement!$M$4:$M$2136,"VND",Movement!$C$4:$C$2136,Table11[[#This Row],[ACCOUNT NUMBER]],Movement!$J$4:$J$2136,Table11[[#This Row],[ENTITY]],Movement!$O$4:$O$2136,'Cash Balance'!$A$2)</f>
        <v>123567140</v>
      </c>
      <c r="K324" s="1084">
        <f>Table11[[#This Row],[CASH IN - CREDIT (VND)]]-Table11[[#This Row],[CASH OUT - DEBIT (VND)]]</f>
        <v>12205081472</v>
      </c>
      <c r="L324" s="1095">
        <f t="shared" si="26"/>
        <v>15514295584</v>
      </c>
      <c r="M324" s="1184" t="e">
        <f>VLOOKUP(C324,'Cash balance (BS)'!A:D,4,)</f>
        <v>#N/A</v>
      </c>
      <c r="N324" s="1095" t="e">
        <f>Table11[[#This Row],[CLOSING BALANCE (VND)2]]-Table11[[#This Row],[CB_BS (VND)]]</f>
        <v>#N/A</v>
      </c>
      <c r="O324" s="1094">
        <v>0</v>
      </c>
      <c r="P324" s="1095">
        <f t="shared" si="27"/>
        <v>0</v>
      </c>
      <c r="Q324" s="817">
        <f>SUMIFS('Cash balance (Prior period)'!G:G,'Cash balance (Prior period)'!C:C,Table11[[#This Row],[ACCOUNT NUMBER]],'Cash balance (Prior period)'!E:E,Table11[[#This Row],[CURRENCY]])</f>
        <v>0</v>
      </c>
      <c r="R324" s="817">
        <f>SUMIFS(Movement!$F$4:$F$2136,Movement!$M$4:$M$2136,"USD",Movement!$C$4:$C$2136,Table11[[#This Row],[ACCOUNT NUMBER]],Movement!$J$4:$J$2136,Table11[[#This Row],[ENTITY]],Movement!$O$4:$O$2136,'Cash Balance'!$A$2)</f>
        <v>0</v>
      </c>
      <c r="S324" s="817">
        <f>SUMIFS(Movement!$G$4:$G$2136,Movement!$M$4:$M$2136,"USD",Movement!$C$4:$C$2136,Table11[[#This Row],[ACCOUNT NUMBER]],Movement!$J$4:$J$2136,Table11[[#This Row],[ENTITY]],Movement!$O$4:$O$2136,'Cash Balance'!$A$2)</f>
        <v>0</v>
      </c>
      <c r="T324" s="1087">
        <f t="shared" si="28"/>
        <v>0</v>
      </c>
      <c r="U324" s="817"/>
      <c r="V324" s="817">
        <f>Table11[[#This Row],[CLOSING BALANCE (USD)]]-Table11[[#This Row],[CB_BS (USD)]]</f>
        <v>0</v>
      </c>
      <c r="W324" s="1156" t="str">
        <f>VLOOKUP('Cash Balance'!$C324,Table2[#All],MATCH('Cash Balance'!W$3,Acc_Char!$B$1:$I$1,0),0)</f>
        <v>Subsidiaries</v>
      </c>
      <c r="X324" s="1156" t="str">
        <f>VLOOKUP(IFERROR(MID($Y324,1,FIND("-",$Y324)-2),$Y324),Table3[#All],2,0)</f>
        <v>BIDV</v>
      </c>
      <c r="Y324" s="1156" t="str">
        <f>VLOOKUP($B324,Table4[#All],2,0)</f>
        <v>BIDV - THANH XUAN</v>
      </c>
      <c r="Z324" s="1151"/>
      <c r="AA324" s="49"/>
      <c r="AH324" s="2" t="s">
        <v>1519</v>
      </c>
    </row>
    <row r="325" spans="1:34">
      <c r="A325" s="1153" t="str">
        <f>VLOOKUP('Cash Balance'!$C325,Table2[#All],MATCH('Cash Balance'!A$3,Acc_Char!$B$1:$I$1,0),0)</f>
        <v>NDV PROJECT CO</v>
      </c>
      <c r="B325" s="1154" t="str">
        <f>VLOOKUP('Cash Balance'!$C325,Table2[#All],MATCH('Cash Balance'!B$3,Acc_Char!$B$1:$I$1,0),0)</f>
        <v>BIDV - THANH XUAN</v>
      </c>
      <c r="C325" s="1190" t="s">
        <v>907</v>
      </c>
      <c r="D325" s="1156" t="str">
        <f>VLOOKUP('Cash Balance'!$C325,Table2[#All],MATCH('Cash Balance'!D$3,Acc_Char!$B$1:$I$1,0),0)</f>
        <v>Current Account</v>
      </c>
      <c r="E325" s="384" t="str">
        <f>VLOOKUP('Cash Balance'!$C325,Table2[#All],MATCH('Cash Balance'!E$3,Acc_Char!$B$1:$I$1,0),0)</f>
        <v>USD</v>
      </c>
      <c r="F325" s="1094" t="e">
        <f>VLOOKUP(C325,'Cash balance (BS)'!A:C,3,)</f>
        <v>#N/A</v>
      </c>
      <c r="G325" s="1157" t="e">
        <f>F325-H325</f>
        <v>#N/A</v>
      </c>
      <c r="H325" s="1318">
        <f>SUMIFS('Cash balance (Prior period)'!F:F,'Cash balance (Prior period)'!C:C,Table11[[#This Row],[ACCOUNT NUMBER]],'Cash balance (Prior period)'!E:E,Table11[[#This Row],[CURRENCY]])</f>
        <v>0</v>
      </c>
      <c r="I325" s="1318">
        <f>SUMIFS(Movement!$F$4:$F$2136,Movement!$M$4:$M$2136,"VND",Movement!$C$4:$C$2136,Table11[[#This Row],[ACCOUNT NUMBER]],Movement!$J$4:$J$2136,Table11[[#This Row],[ENTITY]],Movement!$O$4:$O$2136,'Cash Balance'!$A$2)</f>
        <v>0</v>
      </c>
      <c r="J325" s="1318">
        <f>SUMIFS(Movement!$G$4:$G$2136,Movement!$M$4:$M$2136,"VND",Movement!$C$4:$C$2136,Table11[[#This Row],[ACCOUNT NUMBER]],Movement!$J$4:$J$2136,Table11[[#This Row],[ENTITY]],Movement!$O$4:$O$2136,'Cash Balance'!$A$2)</f>
        <v>0</v>
      </c>
      <c r="K325" s="1084">
        <f>Table11[[#This Row],[CASH IN - CREDIT (VND)]]-Table11[[#This Row],[CASH OUT - DEBIT (VND)]]</f>
        <v>0</v>
      </c>
      <c r="L325" s="1095">
        <f t="shared" si="26"/>
        <v>0</v>
      </c>
      <c r="M325" s="1184" t="e">
        <f>VLOOKUP(C325,'Cash balance (BS)'!A:D,4,)</f>
        <v>#N/A</v>
      </c>
      <c r="N325" s="1095" t="e">
        <f>Table11[[#This Row],[CLOSING BALANCE (VND)2]]-Table11[[#This Row],[CB_BS (VND)]]</f>
        <v>#N/A</v>
      </c>
      <c r="O325" s="1094">
        <v>0</v>
      </c>
      <c r="P325" s="1095">
        <f t="shared" si="27"/>
        <v>0</v>
      </c>
      <c r="Q325" s="817">
        <f>SUMIFS('Cash balance (Prior period)'!G:G,'Cash balance (Prior period)'!C:C,Table11[[#This Row],[ACCOUNT NUMBER]],'Cash balance (Prior period)'!E:E,Table11[[#This Row],[CURRENCY]])</f>
        <v>0</v>
      </c>
      <c r="R325" s="817">
        <f>SUMIFS(Movement!$F$4:$F$2136,Movement!$M$4:$M$2136,"USD",Movement!$C$4:$C$2136,Table11[[#This Row],[ACCOUNT NUMBER]],Movement!$J$4:$J$2136,Table11[[#This Row],[ENTITY]],Movement!$O$4:$O$2136,'Cash Balance'!$A$2)</f>
        <v>0</v>
      </c>
      <c r="S325" s="817">
        <f>SUMIFS(Movement!$G$4:$G$2136,Movement!$M$4:$M$2136,"USD",Movement!$C$4:$C$2136,Table11[[#This Row],[ACCOUNT NUMBER]],Movement!$J$4:$J$2136,Table11[[#This Row],[ENTITY]],Movement!$O$4:$O$2136,'Cash Balance'!$A$2)</f>
        <v>0</v>
      </c>
      <c r="T325" s="1087">
        <f t="shared" si="28"/>
        <v>0</v>
      </c>
      <c r="U325" s="817"/>
      <c r="V325" s="817">
        <f>Table11[[#This Row],[CLOSING BALANCE (USD)]]-Table11[[#This Row],[CB_BS (USD)]]</f>
        <v>0</v>
      </c>
      <c r="W325" s="1156" t="str">
        <f>VLOOKUP('Cash Balance'!$C325,Table2[#All],MATCH('Cash Balance'!W$3,Acc_Char!$B$1:$I$1,0),0)</f>
        <v>Subsidiaries</v>
      </c>
      <c r="X325" s="1156" t="str">
        <f>VLOOKUP(IFERROR(MID($Y325,1,FIND("-",$Y325)-2),$Y325),Table3[#All],2,0)</f>
        <v>BIDV</v>
      </c>
      <c r="Y325" s="1156" t="str">
        <f>VLOOKUP($B325,Table4[#All],2,0)</f>
        <v>BIDV - THANH XUAN</v>
      </c>
      <c r="Z325" s="1151"/>
      <c r="AA325" s="49"/>
    </row>
    <row r="326" spans="1:34">
      <c r="A326" s="1153" t="str">
        <f>VLOOKUP('Cash Balance'!$C326,Table2[#All],MATCH('Cash Balance'!A$3,Acc_Char!$B$1:$I$1,0),0)</f>
        <v>NDV PROJECT CO</v>
      </c>
      <c r="B326" s="1154" t="str">
        <f>VLOOKUP('Cash Balance'!$C326,Table2[#All],MATCH('Cash Balance'!B$3,Acc_Char!$B$1:$I$1,0),0)</f>
        <v>UOB - HCM</v>
      </c>
      <c r="C326" s="1190" t="s">
        <v>908</v>
      </c>
      <c r="D326" s="1156" t="str">
        <f>VLOOKUP('Cash Balance'!$C326,Table2[#All],MATCH('Cash Balance'!D$3,Acc_Char!$B$1:$I$1,0),0)</f>
        <v>Current Account</v>
      </c>
      <c r="E326" s="384" t="str">
        <f>VLOOKUP('Cash Balance'!$C326,Table2[#All],MATCH('Cash Balance'!E$3,Acc_Char!$B$1:$I$1,0),0)</f>
        <v>VND</v>
      </c>
      <c r="F326" s="1094" t="e">
        <f>VLOOKUP(C326,'Cash balance (BS)'!A:C,3,)</f>
        <v>#N/A</v>
      </c>
      <c r="G326" s="1157" t="e">
        <f>F326-H326</f>
        <v>#N/A</v>
      </c>
      <c r="H326" s="1318">
        <f>SUMIFS('Cash balance (Prior period)'!F:F,'Cash balance (Prior period)'!C:C,Table11[[#This Row],[ACCOUNT NUMBER]],'Cash balance (Prior period)'!E:E,Table11[[#This Row],[CURRENCY]])</f>
        <v>0</v>
      </c>
      <c r="I326" s="1318">
        <f>SUMIFS(Movement!$F$4:$F$2136,Movement!$M$4:$M$2136,"VND",Movement!$C$4:$C$2136,Table11[[#This Row],[ACCOUNT NUMBER]],Movement!$J$4:$J$2136,Table11[[#This Row],[ENTITY]],Movement!$O$4:$O$2136,'Cash Balance'!$A$2)</f>
        <v>0</v>
      </c>
      <c r="J326" s="1318">
        <f>SUMIFS(Movement!$G$4:$G$2136,Movement!$M$4:$M$2136,"VND",Movement!$C$4:$C$2136,Table11[[#This Row],[ACCOUNT NUMBER]],Movement!$J$4:$J$2136,Table11[[#This Row],[ENTITY]],Movement!$O$4:$O$2136,'Cash Balance'!$A$2)</f>
        <v>0</v>
      </c>
      <c r="K326" s="1084">
        <f>Table11[[#This Row],[CASH IN - CREDIT (VND)]]-Table11[[#This Row],[CASH OUT - DEBIT (VND)]]</f>
        <v>0</v>
      </c>
      <c r="L326" s="1095">
        <f t="shared" si="26"/>
        <v>0</v>
      </c>
      <c r="M326" s="1184" t="e">
        <f>VLOOKUP(C326,'Cash balance (BS)'!A:D,4,)</f>
        <v>#N/A</v>
      </c>
      <c r="N326" s="1095" t="e">
        <f>Table11[[#This Row],[CLOSING BALANCE (VND)2]]-Table11[[#This Row],[CB_BS (VND)]]</f>
        <v>#N/A</v>
      </c>
      <c r="O326" s="1094">
        <v>0</v>
      </c>
      <c r="P326" s="1095">
        <f t="shared" si="27"/>
        <v>0</v>
      </c>
      <c r="Q326" s="817">
        <f>SUMIFS('Cash balance (Prior period)'!G:G,'Cash balance (Prior period)'!C:C,Table11[[#This Row],[ACCOUNT NUMBER]],'Cash balance (Prior period)'!E:E,Table11[[#This Row],[CURRENCY]])</f>
        <v>0</v>
      </c>
      <c r="R326" s="817">
        <f>SUMIFS(Movement!$F$4:$F$2136,Movement!$M$4:$M$2136,"USD",Movement!$C$4:$C$2136,Table11[[#This Row],[ACCOUNT NUMBER]],Movement!$J$4:$J$2136,Table11[[#This Row],[ENTITY]],Movement!$O$4:$O$2136,'Cash Balance'!$A$2)</f>
        <v>0</v>
      </c>
      <c r="S326" s="817">
        <f>SUMIFS(Movement!$G$4:$G$2136,Movement!$M$4:$M$2136,"USD",Movement!$C$4:$C$2136,Table11[[#This Row],[ACCOUNT NUMBER]],Movement!$J$4:$J$2136,Table11[[#This Row],[ENTITY]],Movement!$O$4:$O$2136,'Cash Balance'!$A$2)</f>
        <v>0</v>
      </c>
      <c r="T326" s="1087">
        <f t="shared" si="28"/>
        <v>0</v>
      </c>
      <c r="U326" s="817"/>
      <c r="V326" s="817">
        <f>Table11[[#This Row],[CLOSING BALANCE (USD)]]-Table11[[#This Row],[CB_BS (USD)]]</f>
        <v>0</v>
      </c>
      <c r="W326" s="1156" t="str">
        <f>VLOOKUP('Cash Balance'!$C326,Table2[#All],MATCH('Cash Balance'!W$3,Acc_Char!$B$1:$I$1,0),0)</f>
        <v>Subsidiaries</v>
      </c>
      <c r="X326" s="1156" t="str">
        <f>VLOOKUP(IFERROR(MID($Y326,1,FIND("-",$Y326)-2),$Y326),Table3[#All],2,0)</f>
        <v>UOB</v>
      </c>
      <c r="Y326" s="1156" t="str">
        <f>VLOOKUP($B326,Table4[#All],2,0)</f>
        <v>UOB</v>
      </c>
      <c r="Z326" s="1151"/>
      <c r="AA326" s="49"/>
    </row>
    <row r="327" spans="1:34">
      <c r="A327" s="1153" t="str">
        <f>VLOOKUP('Cash Balance'!$C327,Table2[#All],MATCH('Cash Balance'!A$3,Acc_Char!$B$1:$I$1,0),0)</f>
        <v>NDV PROJECT CO</v>
      </c>
      <c r="B327" s="1154" t="str">
        <f>VLOOKUP('Cash Balance'!$C327,Table2[#All],MATCH('Cash Balance'!B$3,Acc_Char!$B$1:$I$1,0),0)</f>
        <v>UOB - HCM</v>
      </c>
      <c r="C327" s="1190" t="s">
        <v>909</v>
      </c>
      <c r="D327" s="1156" t="str">
        <f>VLOOKUP('Cash Balance'!$C327,Table2[#All],MATCH('Cash Balance'!D$3,Acc_Char!$B$1:$I$1,0),0)</f>
        <v>Capital Account</v>
      </c>
      <c r="E327" s="384" t="str">
        <f>VLOOKUP('Cash Balance'!$C327,Table2[#All],MATCH('Cash Balance'!E$3,Acc_Char!$B$1:$I$1,0),0)</f>
        <v>VND</v>
      </c>
      <c r="F327" s="1094" t="e">
        <f>VLOOKUP(C327,'Cash balance (BS)'!A:C,3,)</f>
        <v>#N/A</v>
      </c>
      <c r="G327" s="1157" t="e">
        <f>F327-H327</f>
        <v>#N/A</v>
      </c>
      <c r="H327" s="1318">
        <f>SUMIFS('Cash balance (Prior period)'!F:F,'Cash balance (Prior period)'!C:C,Table11[[#This Row],[ACCOUNT NUMBER]],'Cash balance (Prior period)'!E:E,Table11[[#This Row],[CURRENCY]])</f>
        <v>0</v>
      </c>
      <c r="I327" s="1318">
        <f>SUMIFS(Movement!$F$4:$F$2136,Movement!$M$4:$M$2136,"VND",Movement!$C$4:$C$2136,Table11[[#This Row],[ACCOUNT NUMBER]],Movement!$J$4:$J$2136,Table11[[#This Row],[ENTITY]],Movement!$O$4:$O$2136,'Cash Balance'!$A$2)</f>
        <v>0</v>
      </c>
      <c r="J327" s="1318">
        <f>SUMIFS(Movement!$G$4:$G$2136,Movement!$M$4:$M$2136,"VND",Movement!$C$4:$C$2136,Table11[[#This Row],[ACCOUNT NUMBER]],Movement!$J$4:$J$2136,Table11[[#This Row],[ENTITY]],Movement!$O$4:$O$2136,'Cash Balance'!$A$2)</f>
        <v>0</v>
      </c>
      <c r="K327" s="1084">
        <f>Table11[[#This Row],[CASH IN - CREDIT (VND)]]-Table11[[#This Row],[CASH OUT - DEBIT (VND)]]</f>
        <v>0</v>
      </c>
      <c r="L327" s="1095">
        <f t="shared" si="26"/>
        <v>0</v>
      </c>
      <c r="M327" s="1184" t="e">
        <f>VLOOKUP(C327,'Cash balance (BS)'!A:D,4,)</f>
        <v>#N/A</v>
      </c>
      <c r="N327" s="1095" t="e">
        <f>Table11[[#This Row],[CLOSING BALANCE (VND)2]]-Table11[[#This Row],[CB_BS (VND)]]</f>
        <v>#N/A</v>
      </c>
      <c r="O327" s="1094">
        <v>0</v>
      </c>
      <c r="P327" s="1095">
        <f t="shared" si="27"/>
        <v>0</v>
      </c>
      <c r="Q327" s="817">
        <f>SUMIFS('Cash balance (Prior period)'!G:G,'Cash balance (Prior period)'!C:C,Table11[[#This Row],[ACCOUNT NUMBER]],'Cash balance (Prior period)'!E:E,Table11[[#This Row],[CURRENCY]])</f>
        <v>0</v>
      </c>
      <c r="R327" s="817">
        <f>SUMIFS(Movement!$F$4:$F$2136,Movement!$M$4:$M$2136,"USD",Movement!$C$4:$C$2136,Table11[[#This Row],[ACCOUNT NUMBER]],Movement!$J$4:$J$2136,Table11[[#This Row],[ENTITY]],Movement!$O$4:$O$2136,'Cash Balance'!$A$2)</f>
        <v>0</v>
      </c>
      <c r="S327" s="817">
        <f>SUMIFS(Movement!$G$4:$G$2136,Movement!$M$4:$M$2136,"USD",Movement!$C$4:$C$2136,Table11[[#This Row],[ACCOUNT NUMBER]],Movement!$J$4:$J$2136,Table11[[#This Row],[ENTITY]],Movement!$O$4:$O$2136,'Cash Balance'!$A$2)</f>
        <v>0</v>
      </c>
      <c r="T327" s="1087">
        <f t="shared" si="28"/>
        <v>0</v>
      </c>
      <c r="U327" s="817"/>
      <c r="V327" s="817">
        <f>Table11[[#This Row],[CLOSING BALANCE (USD)]]-Table11[[#This Row],[CB_BS (USD)]]</f>
        <v>0</v>
      </c>
      <c r="W327" s="1156" t="str">
        <f>VLOOKUP('Cash Balance'!$C327,Table2[#All],MATCH('Cash Balance'!W$3,Acc_Char!$B$1:$I$1,0),0)</f>
        <v>Subsidiaries</v>
      </c>
      <c r="X327" s="1156" t="str">
        <f>VLOOKUP(IFERROR(MID($Y327,1,FIND("-",$Y327)-2),$Y327),Table3[#All],2,0)</f>
        <v>UOB</v>
      </c>
      <c r="Y327" s="1156" t="str">
        <f>VLOOKUP($B327,Table4[#All],2,0)</f>
        <v>UOB</v>
      </c>
      <c r="Z327" s="1151"/>
      <c r="AA327" s="49"/>
    </row>
    <row r="328" spans="1:34">
      <c r="A328" s="1153" t="str">
        <f>VLOOKUP('Cash Balance'!$C328,Table2[#All],MATCH('Cash Balance'!A$3,Acc_Char!$B$1:$I$1,0),0)</f>
        <v>NDV PROJECT CO</v>
      </c>
      <c r="B328" s="1154" t="str">
        <f>VLOOKUP('Cash Balance'!$C328,Table2[#All],MATCH('Cash Balance'!B$3,Acc_Char!$B$1:$I$1,0),0)</f>
        <v>UOB - HCM</v>
      </c>
      <c r="C328" s="1190" t="s">
        <v>910</v>
      </c>
      <c r="D328" s="1156" t="str">
        <f>VLOOKUP('Cash Balance'!$C328,Table2[#All],MATCH('Cash Balance'!D$3,Acc_Char!$B$1:$I$1,0),0)</f>
        <v>Current Account</v>
      </c>
      <c r="E328" s="384" t="str">
        <f>VLOOKUP('Cash Balance'!$C328,Table2[#All],MATCH('Cash Balance'!E$3,Acc_Char!$B$1:$I$1,0),0)</f>
        <v>USD</v>
      </c>
      <c r="F328" s="1094" t="e">
        <f>VLOOKUP(C328,'Cash balance (BS)'!A:C,3,)</f>
        <v>#N/A</v>
      </c>
      <c r="G328" s="1157" t="e">
        <f>F328-H328</f>
        <v>#N/A</v>
      </c>
      <c r="H328" s="1318">
        <f>SUMIFS('Cash balance (Prior period)'!F:F,'Cash balance (Prior period)'!C:C,Table11[[#This Row],[ACCOUNT NUMBER]],'Cash balance (Prior period)'!E:E,Table11[[#This Row],[CURRENCY]])</f>
        <v>0</v>
      </c>
      <c r="I328" s="1318">
        <f>SUMIFS(Movement!$F$4:$F$2136,Movement!$M$4:$M$2136,"VND",Movement!$C$4:$C$2136,Table11[[#This Row],[ACCOUNT NUMBER]],Movement!$J$4:$J$2136,Table11[[#This Row],[ENTITY]],Movement!$O$4:$O$2136,'Cash Balance'!$A$2)</f>
        <v>0</v>
      </c>
      <c r="J328" s="1318">
        <f>SUMIFS(Movement!$G$4:$G$2136,Movement!$M$4:$M$2136,"VND",Movement!$C$4:$C$2136,Table11[[#This Row],[ACCOUNT NUMBER]],Movement!$J$4:$J$2136,Table11[[#This Row],[ENTITY]],Movement!$O$4:$O$2136,'Cash Balance'!$A$2)</f>
        <v>0</v>
      </c>
      <c r="K328" s="1084">
        <f>Table11[[#This Row],[CASH IN - CREDIT (VND)]]-Table11[[#This Row],[CASH OUT - DEBIT (VND)]]</f>
        <v>0</v>
      </c>
      <c r="L328" s="1095">
        <f t="shared" ref="L328:L391" si="32">H328+I328-J328</f>
        <v>0</v>
      </c>
      <c r="M328" s="1184" t="e">
        <f>VLOOKUP(C328,'Cash balance (BS)'!A:D,4,)</f>
        <v>#N/A</v>
      </c>
      <c r="N328" s="1095" t="e">
        <f>Table11[[#This Row],[CLOSING BALANCE (VND)2]]-Table11[[#This Row],[CB_BS (VND)]]</f>
        <v>#N/A</v>
      </c>
      <c r="O328" s="1094">
        <v>0</v>
      </c>
      <c r="P328" s="1095">
        <f t="shared" ref="P328:P391" si="33">O328-Q328</f>
        <v>0</v>
      </c>
      <c r="Q328" s="817">
        <f>SUMIFS('Cash balance (Prior period)'!G:G,'Cash balance (Prior period)'!C:C,Table11[[#This Row],[ACCOUNT NUMBER]],'Cash balance (Prior period)'!E:E,Table11[[#This Row],[CURRENCY]])</f>
        <v>0</v>
      </c>
      <c r="R328" s="817">
        <f>SUMIFS(Movement!$F$4:$F$2136,Movement!$M$4:$M$2136,"USD",Movement!$C$4:$C$2136,Table11[[#This Row],[ACCOUNT NUMBER]],Movement!$J$4:$J$2136,Table11[[#This Row],[ENTITY]],Movement!$O$4:$O$2136,'Cash Balance'!$A$2)</f>
        <v>0</v>
      </c>
      <c r="S328" s="817">
        <f>SUMIFS(Movement!$G$4:$G$2136,Movement!$M$4:$M$2136,"USD",Movement!$C$4:$C$2136,Table11[[#This Row],[ACCOUNT NUMBER]],Movement!$J$4:$J$2136,Table11[[#This Row],[ENTITY]],Movement!$O$4:$O$2136,'Cash Balance'!$A$2)</f>
        <v>0</v>
      </c>
      <c r="T328" s="1087">
        <f t="shared" ref="T328:T391" si="34">Q328+R328-S328</f>
        <v>0</v>
      </c>
      <c r="U328" s="817"/>
      <c r="V328" s="817">
        <f>Table11[[#This Row],[CLOSING BALANCE (USD)]]-Table11[[#This Row],[CB_BS (USD)]]</f>
        <v>0</v>
      </c>
      <c r="W328" s="1156" t="str">
        <f>VLOOKUP('Cash Balance'!$C328,Table2[#All],MATCH('Cash Balance'!W$3,Acc_Char!$B$1:$I$1,0),0)</f>
        <v>Subsidiaries</v>
      </c>
      <c r="X328" s="1156" t="str">
        <f>VLOOKUP(IFERROR(MID($Y328,1,FIND("-",$Y328)-2),$Y328),Table3[#All],2,0)</f>
        <v>UOB</v>
      </c>
      <c r="Y328" s="1156" t="str">
        <f>VLOOKUP($B328,Table4[#All],2,0)</f>
        <v>UOB</v>
      </c>
      <c r="Z328" s="1151"/>
      <c r="AA328" s="49"/>
    </row>
    <row r="329" spans="1:34">
      <c r="A329" s="1153" t="str">
        <f>VLOOKUP('Cash Balance'!$C329,Table2[#All],MATCH('Cash Balance'!A$3,Acc_Char!$B$1:$I$1,0),0)</f>
        <v>NDV PROJECT CO</v>
      </c>
      <c r="B329" s="1154" t="str">
        <f>VLOOKUP('Cash Balance'!$C329,Table2[#All],MATCH('Cash Balance'!B$3,Acc_Char!$B$1:$I$1,0),0)</f>
        <v>UOB - HCM</v>
      </c>
      <c r="C329" s="1190" t="s">
        <v>911</v>
      </c>
      <c r="D329" s="1156" t="str">
        <f>VLOOKUP('Cash Balance'!$C329,Table2[#All],MATCH('Cash Balance'!D$3,Acc_Char!$B$1:$I$1,0),0)</f>
        <v>Capital Account</v>
      </c>
      <c r="E329" s="384" t="str">
        <f>VLOOKUP('Cash Balance'!$C329,Table2[#All],MATCH('Cash Balance'!E$3,Acc_Char!$B$1:$I$1,0),0)</f>
        <v>USD</v>
      </c>
      <c r="F329" s="1094"/>
      <c r="G329" s="1157"/>
      <c r="H329" s="1318">
        <f>SUMIFS('Cash balance (Prior period)'!F:F,'Cash balance (Prior period)'!C:C,Table11[[#This Row],[ACCOUNT NUMBER]],'Cash balance (Prior period)'!E:E,Table11[[#This Row],[CURRENCY]])</f>
        <v>0</v>
      </c>
      <c r="I329" s="1318">
        <f>SUMIFS(Movement!$F$4:$F$2136,Movement!$M$4:$M$2136,"VND",Movement!$C$4:$C$2136,Table11[[#This Row],[ACCOUNT NUMBER]],Movement!$J$4:$J$2136,Table11[[#This Row],[ENTITY]],Movement!$O$4:$O$2136,'Cash Balance'!$A$2)</f>
        <v>0</v>
      </c>
      <c r="J329" s="1318">
        <f>SUMIFS(Movement!$G$4:$G$2136,Movement!$M$4:$M$2136,"VND",Movement!$C$4:$C$2136,Table11[[#This Row],[ACCOUNT NUMBER]],Movement!$J$4:$J$2136,Table11[[#This Row],[ENTITY]],Movement!$O$4:$O$2136,'Cash Balance'!$A$2)</f>
        <v>0</v>
      </c>
      <c r="K329" s="1084">
        <f>Table11[[#This Row],[CASH IN - CREDIT (VND)]]-Table11[[#This Row],[CASH OUT - DEBIT (VND)]]</f>
        <v>0</v>
      </c>
      <c r="L329" s="1095">
        <f t="shared" si="32"/>
        <v>0</v>
      </c>
      <c r="M329" s="1184" t="e">
        <f>VLOOKUP(C329,'Cash balance (BS)'!A:D,4,)</f>
        <v>#N/A</v>
      </c>
      <c r="N329" s="1095" t="e">
        <f>Table11[[#This Row],[CLOSING BALANCE (VND)2]]-Table11[[#This Row],[CB_BS (VND)]]</f>
        <v>#N/A</v>
      </c>
      <c r="O329" s="1094">
        <v>0</v>
      </c>
      <c r="P329" s="1095">
        <f t="shared" si="33"/>
        <v>0</v>
      </c>
      <c r="Q329" s="817">
        <f>SUMIFS('Cash balance (Prior period)'!G:G,'Cash balance (Prior period)'!C:C,Table11[[#This Row],[ACCOUNT NUMBER]],'Cash balance (Prior period)'!E:E,Table11[[#This Row],[CURRENCY]])</f>
        <v>0</v>
      </c>
      <c r="R329" s="817">
        <f>SUMIFS(Movement!$F$4:$F$2136,Movement!$M$4:$M$2136,"USD",Movement!$C$4:$C$2136,Table11[[#This Row],[ACCOUNT NUMBER]],Movement!$J$4:$J$2136,Table11[[#This Row],[ENTITY]],Movement!$O$4:$O$2136,'Cash Balance'!$A$2)</f>
        <v>0</v>
      </c>
      <c r="S329" s="817">
        <f>SUMIFS(Movement!$G$4:$G$2136,Movement!$M$4:$M$2136,"USD",Movement!$C$4:$C$2136,Table11[[#This Row],[ACCOUNT NUMBER]],Movement!$J$4:$J$2136,Table11[[#This Row],[ENTITY]],Movement!$O$4:$O$2136,'Cash Balance'!$A$2)</f>
        <v>0</v>
      </c>
      <c r="T329" s="1087">
        <f t="shared" si="34"/>
        <v>0</v>
      </c>
      <c r="U329" s="817" t="e">
        <f>VLOOKUP(C329,'Cash balance (BS)'!A:D,4,)</f>
        <v>#N/A</v>
      </c>
      <c r="V329" s="817" t="e">
        <f>Table11[[#This Row],[CLOSING BALANCE (USD)]]-Table11[[#This Row],[CB_BS (USD)]]</f>
        <v>#N/A</v>
      </c>
      <c r="W329" s="1156" t="str">
        <f>VLOOKUP('Cash Balance'!$C329,Table2[#All],MATCH('Cash Balance'!W$3,Acc_Char!$B$1:$I$1,0),0)</f>
        <v>Subsidiaries</v>
      </c>
      <c r="X329" s="1156" t="str">
        <f>VLOOKUP(IFERROR(MID($Y329,1,FIND("-",$Y329)-2),$Y329),Table3[#All],2,0)</f>
        <v>UOB</v>
      </c>
      <c r="Y329" s="1156" t="str">
        <f>VLOOKUP($B329,Table4[#All],2,0)</f>
        <v>UOB</v>
      </c>
      <c r="Z329" s="1151"/>
      <c r="AA329" s="49"/>
    </row>
    <row r="330" spans="1:34">
      <c r="A330" s="1153" t="str">
        <f>VLOOKUP('Cash Balance'!$C330,Table2[#All],MATCH('Cash Balance'!A$3,Acc_Char!$B$1:$I$1,0),0)</f>
        <v>DONG TIEN PHONG</v>
      </c>
      <c r="B330" s="1154" t="str">
        <f>VLOOKUP('Cash Balance'!$C330,Table2[#All],MATCH('Cash Balance'!B$3,Acc_Char!$B$1:$I$1,0),0)</f>
        <v>VIETINBANK - QUANG MINH</v>
      </c>
      <c r="C330" s="1190" t="s">
        <v>913</v>
      </c>
      <c r="D330" s="1156" t="str">
        <f>VLOOKUP('Cash Balance'!$C330,Table2[#All],MATCH('Cash Balance'!D$3,Acc_Char!$B$1:$I$1,0),0)</f>
        <v>Current Account</v>
      </c>
      <c r="E330" s="384" t="str">
        <f>VLOOKUP('Cash Balance'!$C330,Table2[#All],MATCH('Cash Balance'!E$3,Acc_Char!$B$1:$I$1,0),0)</f>
        <v>VND</v>
      </c>
      <c r="F330" s="1094" t="e">
        <f>VLOOKUP(C330,'Cash balance (BS)'!A:C,3,)</f>
        <v>#N/A</v>
      </c>
      <c r="G330" s="1157" t="e">
        <f t="shared" ref="G330:G339" si="35">F330-H330</f>
        <v>#N/A</v>
      </c>
      <c r="H330" s="1318">
        <f>SUMIFS('Cash balance (Prior period)'!F:F,'Cash balance (Prior period)'!C:C,Table11[[#This Row],[ACCOUNT NUMBER]],'Cash balance (Prior period)'!E:E,Table11[[#This Row],[CURRENCY]])</f>
        <v>10275741</v>
      </c>
      <c r="I330" s="1318">
        <f>SUMIFS(Movement!$F$4:$F$2136,Movement!$M$4:$M$2136,"VND",Movement!$C$4:$C$2136,Table11[[#This Row],[ACCOUNT NUMBER]],Movement!$J$4:$J$2136,Table11[[#This Row],[ENTITY]],Movement!$O$4:$O$2136,'Cash Balance'!$A$2)</f>
        <v>0</v>
      </c>
      <c r="J330" s="1318">
        <f>SUMIFS(Movement!$G$4:$G$2136,Movement!$M$4:$M$2136,"VND",Movement!$C$4:$C$2136,Table11[[#This Row],[ACCOUNT NUMBER]],Movement!$J$4:$J$2136,Table11[[#This Row],[ENTITY]],Movement!$O$4:$O$2136,'Cash Balance'!$A$2)</f>
        <v>0</v>
      </c>
      <c r="K330" s="1084">
        <f>Table11[[#This Row],[CASH IN - CREDIT (VND)]]-Table11[[#This Row],[CASH OUT - DEBIT (VND)]]</f>
        <v>0</v>
      </c>
      <c r="L330" s="1095">
        <f t="shared" si="32"/>
        <v>10275741</v>
      </c>
      <c r="M330" s="1184" t="e">
        <f>VLOOKUP(C330,'Cash balance (BS)'!A:D,4,)</f>
        <v>#N/A</v>
      </c>
      <c r="N330" s="1095" t="e">
        <f>Table11[[#This Row],[CLOSING BALANCE (VND)2]]-Table11[[#This Row],[CB_BS (VND)]]</f>
        <v>#N/A</v>
      </c>
      <c r="O330" s="1094">
        <v>0</v>
      </c>
      <c r="P330" s="1095">
        <f t="shared" si="33"/>
        <v>0</v>
      </c>
      <c r="Q330" s="817">
        <f>SUMIFS('Cash balance (Prior period)'!G:G,'Cash balance (Prior period)'!C:C,Table11[[#This Row],[ACCOUNT NUMBER]],'Cash balance (Prior period)'!E:E,Table11[[#This Row],[CURRENCY]])</f>
        <v>0</v>
      </c>
      <c r="R330" s="817">
        <f>SUMIFS(Movement!$F$4:$F$2136,Movement!$M$4:$M$2136,"USD",Movement!$C$4:$C$2136,Table11[[#This Row],[ACCOUNT NUMBER]],Movement!$J$4:$J$2136,Table11[[#This Row],[ENTITY]],Movement!$O$4:$O$2136,'Cash Balance'!$A$2)</f>
        <v>0</v>
      </c>
      <c r="S330" s="817">
        <f>SUMIFS(Movement!$G$4:$G$2136,Movement!$M$4:$M$2136,"USD",Movement!$C$4:$C$2136,Table11[[#This Row],[ACCOUNT NUMBER]],Movement!$J$4:$J$2136,Table11[[#This Row],[ENTITY]],Movement!$O$4:$O$2136,'Cash Balance'!$A$2)</f>
        <v>0</v>
      </c>
      <c r="T330" s="1087">
        <f t="shared" si="34"/>
        <v>0</v>
      </c>
      <c r="U330" s="817"/>
      <c r="V330" s="817">
        <f>Table11[[#This Row],[CLOSING BALANCE (USD)]]-Table11[[#This Row],[CB_BS (USD)]]</f>
        <v>0</v>
      </c>
      <c r="W330" s="1156" t="str">
        <f>VLOOKUP('Cash Balance'!$C330,Table2[#All],MATCH('Cash Balance'!W$3,Acc_Char!$B$1:$I$1,0),0)</f>
        <v>Subsidiaries</v>
      </c>
      <c r="X330" s="1156" t="str">
        <f>VLOOKUP(IFERROR(MID($Y330,1,FIND("-",$Y330)-2),$Y330),Table3[#All],2,0)</f>
        <v>VTB</v>
      </c>
      <c r="Y330" s="1156" t="str">
        <f>VLOOKUP($B330,Table4[#All],2,0)</f>
        <v>VIETINBANK - BINH DUONG + QM</v>
      </c>
      <c r="Z330" s="1151"/>
      <c r="AA330" s="49"/>
    </row>
    <row r="331" spans="1:34">
      <c r="A331" s="1153" t="str">
        <f>VLOOKUP('Cash Balance'!$C331,Table2[#All],MATCH('Cash Balance'!A$3,Acc_Char!$B$1:$I$1,0),0)</f>
        <v>DONG TIEN PHONG</v>
      </c>
      <c r="B331" s="1154" t="str">
        <f>VLOOKUP('Cash Balance'!$C331,Table2[#All],MATCH('Cash Balance'!B$3,Acc_Char!$B$1:$I$1,0),0)</f>
        <v>VIETINBANK - QUANG MINH</v>
      </c>
      <c r="C331" s="1190" t="s">
        <v>914</v>
      </c>
      <c r="D331" s="1156" t="str">
        <f>VLOOKUP('Cash Balance'!$C331,Table2[#All],MATCH('Cash Balance'!D$3,Acc_Char!$B$1:$I$1,0),0)</f>
        <v>Current Account</v>
      </c>
      <c r="E331" s="384" t="str">
        <f>VLOOKUP('Cash Balance'!$C331,Table2[#All],MATCH('Cash Balance'!E$3,Acc_Char!$B$1:$I$1,0),0)</f>
        <v>USD</v>
      </c>
      <c r="F331" s="1094" t="e">
        <f>VLOOKUP(C331,'Cash balance (BS)'!A:C,3,)</f>
        <v>#N/A</v>
      </c>
      <c r="G331" s="1157" t="e">
        <f t="shared" si="35"/>
        <v>#N/A</v>
      </c>
      <c r="H331" s="1318">
        <f>SUMIFS('Cash balance (Prior period)'!F:F,'Cash balance (Prior period)'!C:C,Table11[[#This Row],[ACCOUNT NUMBER]],'Cash balance (Prior period)'!E:E,Table11[[#This Row],[CURRENCY]])</f>
        <v>0</v>
      </c>
      <c r="I331" s="1318">
        <f>SUMIFS(Movement!$F$4:$F$2136,Movement!$M$4:$M$2136,"VND",Movement!$C$4:$C$2136,Table11[[#This Row],[ACCOUNT NUMBER]],Movement!$J$4:$J$2136,Table11[[#This Row],[ENTITY]],Movement!$O$4:$O$2136,'Cash Balance'!$A$2)</f>
        <v>0</v>
      </c>
      <c r="J331" s="1318">
        <f>SUMIFS(Movement!$G$4:$G$2136,Movement!$M$4:$M$2136,"VND",Movement!$C$4:$C$2136,Table11[[#This Row],[ACCOUNT NUMBER]],Movement!$J$4:$J$2136,Table11[[#This Row],[ENTITY]],Movement!$O$4:$O$2136,'Cash Balance'!$A$2)</f>
        <v>0</v>
      </c>
      <c r="K331" s="1084">
        <f>Table11[[#This Row],[CASH IN - CREDIT (VND)]]-Table11[[#This Row],[CASH OUT - DEBIT (VND)]]</f>
        <v>0</v>
      </c>
      <c r="L331" s="1095">
        <f t="shared" si="32"/>
        <v>0</v>
      </c>
      <c r="M331" s="1184" t="e">
        <f>VLOOKUP(C331,'Cash balance (BS)'!A:D,4,)</f>
        <v>#N/A</v>
      </c>
      <c r="N331" s="1095" t="e">
        <f>Table11[[#This Row],[CLOSING BALANCE (VND)2]]-Table11[[#This Row],[CB_BS (VND)]]</f>
        <v>#N/A</v>
      </c>
      <c r="O331" s="1094">
        <v>0</v>
      </c>
      <c r="P331" s="1095">
        <f t="shared" si="33"/>
        <v>0</v>
      </c>
      <c r="Q331" s="817">
        <f>SUMIFS('Cash balance (Prior period)'!G:G,'Cash balance (Prior period)'!C:C,Table11[[#This Row],[ACCOUNT NUMBER]],'Cash balance (Prior period)'!E:E,Table11[[#This Row],[CURRENCY]])</f>
        <v>0</v>
      </c>
      <c r="R331" s="817">
        <f>SUMIFS(Movement!$F$4:$F$2136,Movement!$M$4:$M$2136,"USD",Movement!$C$4:$C$2136,Table11[[#This Row],[ACCOUNT NUMBER]],Movement!$J$4:$J$2136,Table11[[#This Row],[ENTITY]],Movement!$O$4:$O$2136,'Cash Balance'!$A$2)</f>
        <v>0</v>
      </c>
      <c r="S331" s="817">
        <f>SUMIFS(Movement!$G$4:$G$2136,Movement!$M$4:$M$2136,"USD",Movement!$C$4:$C$2136,Table11[[#This Row],[ACCOUNT NUMBER]],Movement!$J$4:$J$2136,Table11[[#This Row],[ENTITY]],Movement!$O$4:$O$2136,'Cash Balance'!$A$2)</f>
        <v>0</v>
      </c>
      <c r="T331" s="1087">
        <f t="shared" si="34"/>
        <v>0</v>
      </c>
      <c r="U331" s="817"/>
      <c r="V331" s="817">
        <f>Table11[[#This Row],[CLOSING BALANCE (USD)]]-Table11[[#This Row],[CB_BS (USD)]]</f>
        <v>0</v>
      </c>
      <c r="W331" s="1156" t="str">
        <f>VLOOKUP('Cash Balance'!$C331,Table2[#All],MATCH('Cash Balance'!W$3,Acc_Char!$B$1:$I$1,0),0)</f>
        <v>Subsidiaries</v>
      </c>
      <c r="X331" s="1156" t="str">
        <f>VLOOKUP(IFERROR(MID($Y331,1,FIND("-",$Y331)-2),$Y331),Table3[#All],2,0)</f>
        <v>VTB</v>
      </c>
      <c r="Y331" s="1156" t="str">
        <f>VLOOKUP($B331,Table4[#All],2,0)</f>
        <v>VIETINBANK - BINH DUONG + QM</v>
      </c>
      <c r="Z331" s="1151"/>
      <c r="AA331" s="49"/>
    </row>
    <row r="332" spans="1:34">
      <c r="A332" s="1153" t="str">
        <f>VLOOKUP('Cash Balance'!$C332,Table2[#All],MATCH('Cash Balance'!A$3,Acc_Char!$B$1:$I$1,0),0)</f>
        <v>QV2 HOLDCO</v>
      </c>
      <c r="B332" s="1154" t="str">
        <f>VLOOKUP('Cash Balance'!$C332,Table2[#All],MATCH('Cash Balance'!B$3,Acc_Char!$B$1:$I$1,0),0)</f>
        <v>BIDV - THANH XUAN</v>
      </c>
      <c r="C332" s="1190" t="s">
        <v>915</v>
      </c>
      <c r="D332" s="1156" t="str">
        <f>VLOOKUP('Cash Balance'!$C332,Table2[#All],MATCH('Cash Balance'!D$3,Acc_Char!$B$1:$I$1,0),0)</f>
        <v>Current Account</v>
      </c>
      <c r="E332" s="384" t="str">
        <f>VLOOKUP('Cash Balance'!$C332,Table2[#All],MATCH('Cash Balance'!E$3,Acc_Char!$B$1:$I$1,0),0)</f>
        <v>USD</v>
      </c>
      <c r="F332" s="1094" t="e">
        <f>VLOOKUP(C332,'Cash balance (BS)'!A:C,3,)</f>
        <v>#N/A</v>
      </c>
      <c r="G332" s="1157" t="e">
        <f t="shared" si="35"/>
        <v>#N/A</v>
      </c>
      <c r="H332" s="1318">
        <f>SUMIFS('Cash balance (Prior period)'!F:F,'Cash balance (Prior period)'!C:C,Table11[[#This Row],[ACCOUNT NUMBER]],'Cash balance (Prior period)'!E:E,Table11[[#This Row],[CURRENCY]])</f>
        <v>0</v>
      </c>
      <c r="I332" s="1318">
        <f>SUMIFS(Movement!$F$4:$F$2136,Movement!$M$4:$M$2136,"VND",Movement!$C$4:$C$2136,Table11[[#This Row],[ACCOUNT NUMBER]],Movement!$J$4:$J$2136,Table11[[#This Row],[ENTITY]],Movement!$O$4:$O$2136,'Cash Balance'!$A$2)</f>
        <v>0</v>
      </c>
      <c r="J332" s="1318">
        <f>SUMIFS(Movement!$G$4:$G$2136,Movement!$M$4:$M$2136,"VND",Movement!$C$4:$C$2136,Table11[[#This Row],[ACCOUNT NUMBER]],Movement!$J$4:$J$2136,Table11[[#This Row],[ENTITY]],Movement!$O$4:$O$2136,'Cash Balance'!$A$2)</f>
        <v>0</v>
      </c>
      <c r="K332" s="1084">
        <f>Table11[[#This Row],[CASH IN - CREDIT (VND)]]-Table11[[#This Row],[CASH OUT - DEBIT (VND)]]</f>
        <v>0</v>
      </c>
      <c r="L332" s="1095">
        <f t="shared" si="32"/>
        <v>0</v>
      </c>
      <c r="M332" s="1184" t="e">
        <f>VLOOKUP(C332,'Cash balance (BS)'!A:D,4,)</f>
        <v>#N/A</v>
      </c>
      <c r="N332" s="1095" t="e">
        <f>Table11[[#This Row],[CLOSING BALANCE (VND)2]]-Table11[[#This Row],[CB_BS (VND)]]</f>
        <v>#N/A</v>
      </c>
      <c r="O332" s="1094">
        <v>0</v>
      </c>
      <c r="P332" s="1095">
        <f t="shared" si="33"/>
        <v>0</v>
      </c>
      <c r="Q332" s="817">
        <f>SUMIFS('Cash balance (Prior period)'!G:G,'Cash balance (Prior period)'!C:C,Table11[[#This Row],[ACCOUNT NUMBER]],'Cash balance (Prior period)'!E:E,Table11[[#This Row],[CURRENCY]])</f>
        <v>0</v>
      </c>
      <c r="R332" s="817">
        <f>SUMIFS(Movement!$F$4:$F$2136,Movement!$M$4:$M$2136,"USD",Movement!$C$4:$C$2136,Table11[[#This Row],[ACCOUNT NUMBER]],Movement!$J$4:$J$2136,Table11[[#This Row],[ENTITY]],Movement!$O$4:$O$2136,'Cash Balance'!$A$2)</f>
        <v>0</v>
      </c>
      <c r="S332" s="817">
        <f>SUMIFS(Movement!$G$4:$G$2136,Movement!$M$4:$M$2136,"USD",Movement!$C$4:$C$2136,Table11[[#This Row],[ACCOUNT NUMBER]],Movement!$J$4:$J$2136,Table11[[#This Row],[ENTITY]],Movement!$O$4:$O$2136,'Cash Balance'!$A$2)</f>
        <v>0</v>
      </c>
      <c r="T332" s="1087">
        <f t="shared" si="34"/>
        <v>0</v>
      </c>
      <c r="U332" s="817"/>
      <c r="V332" s="817">
        <f>Table11[[#This Row],[CLOSING BALANCE (USD)]]-Table11[[#This Row],[CB_BS (USD)]]</f>
        <v>0</v>
      </c>
      <c r="W332" s="1156" t="str">
        <f>VLOOKUP('Cash Balance'!$C332,Table2[#All],MATCH('Cash Balance'!W$3,Acc_Char!$B$1:$I$1,0),0)</f>
        <v>Subsidiaries</v>
      </c>
      <c r="X332" s="1156" t="str">
        <f>VLOOKUP(IFERROR(MID($Y332,1,FIND("-",$Y332)-2),$Y332),Table3[#All],2,0)</f>
        <v>BIDV</v>
      </c>
      <c r="Y332" s="1156" t="str">
        <f>VLOOKUP($B332,Table4[#All],2,0)</f>
        <v>BIDV - THANH XUAN</v>
      </c>
      <c r="Z332" s="1151"/>
      <c r="AA332" s="49"/>
    </row>
    <row r="333" spans="1:34">
      <c r="A333" s="1153" t="str">
        <f>VLOOKUP('Cash Balance'!$C333,Table2[#All],MATCH('Cash Balance'!A$3,Acc_Char!$B$1:$I$1,0),0)</f>
        <v>QV2 HOLDCO</v>
      </c>
      <c r="B333" s="1154" t="str">
        <f>VLOOKUP('Cash Balance'!$C333,Table2[#All],MATCH('Cash Balance'!B$3,Acc_Char!$B$1:$I$1,0),0)</f>
        <v>BIDV - THANH XUAN</v>
      </c>
      <c r="C333" s="1190" t="s">
        <v>916</v>
      </c>
      <c r="D333" s="1156" t="str">
        <f>VLOOKUP('Cash Balance'!$C333,Table2[#All],MATCH('Cash Balance'!D$3,Acc_Char!$B$1:$I$1,0),0)</f>
        <v>Saving Account</v>
      </c>
      <c r="E333" s="384" t="str">
        <f>VLOOKUP('Cash Balance'!$C333,Table2[#All],MATCH('Cash Balance'!E$3,Acc_Char!$B$1:$I$1,0),0)</f>
        <v>VND</v>
      </c>
      <c r="F333" s="1094" t="e">
        <f>VLOOKUP(C333,'Cash balance (BS)'!A:C,3,)</f>
        <v>#N/A</v>
      </c>
      <c r="G333" s="1157" t="e">
        <f t="shared" si="35"/>
        <v>#N/A</v>
      </c>
      <c r="H333" s="1318">
        <f>SUMIFS('Cash balance (Prior period)'!F:F,'Cash balance (Prior period)'!C:C,Table11[[#This Row],[ACCOUNT NUMBER]],'Cash balance (Prior period)'!E:E,Table11[[#This Row],[CURRENCY]])</f>
        <v>1000000000</v>
      </c>
      <c r="I333" s="1318">
        <f>SUMIFS(Movement!$F$4:$F$2136,Movement!$M$4:$M$2136,"VND",Movement!$C$4:$C$2136,Table11[[#This Row],[ACCOUNT NUMBER]],Movement!$J$4:$J$2136,Table11[[#This Row],[ENTITY]],Movement!$O$4:$O$2136,'Cash Balance'!$A$2)</f>
        <v>0</v>
      </c>
      <c r="J333" s="1318">
        <f>SUMIFS(Movement!$G$4:$G$2136,Movement!$M$4:$M$2136,"VND",Movement!$C$4:$C$2136,Table11[[#This Row],[ACCOUNT NUMBER]],Movement!$J$4:$J$2136,Table11[[#This Row],[ENTITY]],Movement!$O$4:$O$2136,'Cash Balance'!$A$2)</f>
        <v>0</v>
      </c>
      <c r="K333" s="1084">
        <f>Table11[[#This Row],[CASH IN - CREDIT (VND)]]-Table11[[#This Row],[CASH OUT - DEBIT (VND)]]</f>
        <v>0</v>
      </c>
      <c r="L333" s="1095">
        <f t="shared" si="32"/>
        <v>1000000000</v>
      </c>
      <c r="M333" s="1184" t="e">
        <f>VLOOKUP(C333,'Cash balance (BS)'!A:D,4,)</f>
        <v>#N/A</v>
      </c>
      <c r="N333" s="1095" t="e">
        <f>Table11[[#This Row],[CLOSING BALANCE (VND)2]]-Table11[[#This Row],[CB_BS (VND)]]</f>
        <v>#N/A</v>
      </c>
      <c r="O333" s="1094">
        <v>0</v>
      </c>
      <c r="P333" s="1095">
        <f t="shared" si="33"/>
        <v>0</v>
      </c>
      <c r="Q333" s="817">
        <f>SUMIFS('Cash balance (Prior period)'!G:G,'Cash balance (Prior period)'!C:C,Table11[[#This Row],[ACCOUNT NUMBER]],'Cash balance (Prior period)'!E:E,Table11[[#This Row],[CURRENCY]])</f>
        <v>0</v>
      </c>
      <c r="R333" s="817">
        <f>SUMIFS(Movement!$F$4:$F$2136,Movement!$M$4:$M$2136,"USD",Movement!$C$4:$C$2136,Table11[[#This Row],[ACCOUNT NUMBER]],Movement!$J$4:$J$2136,Table11[[#This Row],[ENTITY]],Movement!$O$4:$O$2136,'Cash Balance'!$A$2)</f>
        <v>0</v>
      </c>
      <c r="S333" s="817">
        <f>SUMIFS(Movement!$G$4:$G$2136,Movement!$M$4:$M$2136,"USD",Movement!$C$4:$C$2136,Table11[[#This Row],[ACCOUNT NUMBER]],Movement!$J$4:$J$2136,Table11[[#This Row],[ENTITY]],Movement!$O$4:$O$2136,'Cash Balance'!$A$2)</f>
        <v>0</v>
      </c>
      <c r="T333" s="1087">
        <f t="shared" si="34"/>
        <v>0</v>
      </c>
      <c r="U333" s="817"/>
      <c r="V333" s="817">
        <f>Table11[[#This Row],[CLOSING BALANCE (USD)]]-Table11[[#This Row],[CB_BS (USD)]]</f>
        <v>0</v>
      </c>
      <c r="W333" s="1156" t="str">
        <f>VLOOKUP('Cash Balance'!$C333,Table2[#All],MATCH('Cash Balance'!W$3,Acc_Char!$B$1:$I$1,0),0)</f>
        <v>Subsidiaries</v>
      </c>
      <c r="X333" s="1156" t="str">
        <f>VLOOKUP(IFERROR(MID($Y333,1,FIND("-",$Y333)-2),$Y333),Table3[#All],2,0)</f>
        <v>BIDV</v>
      </c>
      <c r="Y333" s="1156" t="str">
        <f>VLOOKUP($B333,Table4[#All],2,0)</f>
        <v>BIDV - THANH XUAN</v>
      </c>
      <c r="Z333" s="1151"/>
      <c r="AA333" s="49"/>
    </row>
    <row r="334" spans="1:34">
      <c r="A334" s="1153" t="str">
        <f>VLOOKUP('Cash Balance'!$C334,Table2[#All],MATCH('Cash Balance'!A$3,Acc_Char!$B$1:$I$1,0),0)</f>
        <v>SAO HOA</v>
      </c>
      <c r="B334" s="1154" t="str">
        <f>VLOOKUP('Cash Balance'!$C334,Table2[#All],MATCH('Cash Balance'!B$3,Acc_Char!$B$1:$I$1,0),0)</f>
        <v>VIETINBANK - QUANG MINH</v>
      </c>
      <c r="C334" s="1190" t="s">
        <v>917</v>
      </c>
      <c r="D334" s="1156" t="str">
        <f>VLOOKUP('Cash Balance'!$C334,Table2[#All],MATCH('Cash Balance'!D$3,Acc_Char!$B$1:$I$1,0),0)</f>
        <v>Current Account</v>
      </c>
      <c r="E334" s="384" t="str">
        <f>VLOOKUP('Cash Balance'!$C334,Table2[#All],MATCH('Cash Balance'!E$3,Acc_Char!$B$1:$I$1,0),0)</f>
        <v>USD</v>
      </c>
      <c r="F334" s="1094" t="e">
        <f>VLOOKUP(C334,'Cash balance (BS)'!A:C,3,)</f>
        <v>#N/A</v>
      </c>
      <c r="G334" s="1157" t="e">
        <f t="shared" si="35"/>
        <v>#N/A</v>
      </c>
      <c r="H334" s="1318">
        <f>SUMIFS('Cash balance (Prior period)'!F:F,'Cash balance (Prior period)'!C:C,Table11[[#This Row],[ACCOUNT NUMBER]],'Cash balance (Prior period)'!E:E,Table11[[#This Row],[CURRENCY]])</f>
        <v>0</v>
      </c>
      <c r="I334" s="1318">
        <f>SUMIFS(Movement!$F$4:$F$2136,Movement!$M$4:$M$2136,"VND",Movement!$C$4:$C$2136,Table11[[#This Row],[ACCOUNT NUMBER]],Movement!$J$4:$J$2136,Table11[[#This Row],[ENTITY]],Movement!$O$4:$O$2136,'Cash Balance'!$A$2)</f>
        <v>0</v>
      </c>
      <c r="J334" s="1318">
        <f>SUMIFS(Movement!$G$4:$G$2136,Movement!$M$4:$M$2136,"VND",Movement!$C$4:$C$2136,Table11[[#This Row],[ACCOUNT NUMBER]],Movement!$J$4:$J$2136,Table11[[#This Row],[ENTITY]],Movement!$O$4:$O$2136,'Cash Balance'!$A$2)</f>
        <v>0</v>
      </c>
      <c r="K334" s="1084">
        <f>Table11[[#This Row],[CASH IN - CREDIT (VND)]]-Table11[[#This Row],[CASH OUT - DEBIT (VND)]]</f>
        <v>0</v>
      </c>
      <c r="L334" s="1095">
        <f t="shared" si="32"/>
        <v>0</v>
      </c>
      <c r="M334" s="1184" t="e">
        <f>VLOOKUP(C334,'Cash balance (BS)'!A:D,4,)</f>
        <v>#N/A</v>
      </c>
      <c r="N334" s="1095" t="e">
        <f>Table11[[#This Row],[CLOSING BALANCE (VND)2]]-Table11[[#This Row],[CB_BS (VND)]]</f>
        <v>#N/A</v>
      </c>
      <c r="O334" s="1094">
        <v>0</v>
      </c>
      <c r="P334" s="1095">
        <f t="shared" si="33"/>
        <v>0</v>
      </c>
      <c r="Q334" s="817">
        <f>SUMIFS('Cash balance (Prior period)'!G:G,'Cash balance (Prior period)'!C:C,Table11[[#This Row],[ACCOUNT NUMBER]],'Cash balance (Prior period)'!E:E,Table11[[#This Row],[CURRENCY]])</f>
        <v>0</v>
      </c>
      <c r="R334" s="817">
        <f>SUMIFS(Movement!$F$4:$F$2136,Movement!$M$4:$M$2136,"USD",Movement!$C$4:$C$2136,Table11[[#This Row],[ACCOUNT NUMBER]],Movement!$J$4:$J$2136,Table11[[#This Row],[ENTITY]],Movement!$O$4:$O$2136,'Cash Balance'!$A$2)</f>
        <v>0</v>
      </c>
      <c r="S334" s="817">
        <f>SUMIFS(Movement!$G$4:$G$2136,Movement!$M$4:$M$2136,"USD",Movement!$C$4:$C$2136,Table11[[#This Row],[ACCOUNT NUMBER]],Movement!$J$4:$J$2136,Table11[[#This Row],[ENTITY]],Movement!$O$4:$O$2136,'Cash Balance'!$A$2)</f>
        <v>0</v>
      </c>
      <c r="T334" s="1087">
        <f t="shared" si="34"/>
        <v>0</v>
      </c>
      <c r="U334" s="817"/>
      <c r="V334" s="817">
        <f>Table11[[#This Row],[CLOSING BALANCE (USD)]]-Table11[[#This Row],[CB_BS (USD)]]</f>
        <v>0</v>
      </c>
      <c r="W334" s="1156" t="str">
        <f>VLOOKUP('Cash Balance'!$C334,Table2[#All],MATCH('Cash Balance'!W$3,Acc_Char!$B$1:$I$1,0),0)</f>
        <v>VC3</v>
      </c>
      <c r="X334" s="1156" t="str">
        <f>VLOOKUP(IFERROR(MID($Y334,1,FIND("-",$Y334)-2),$Y334),Table3[#All],2,0)</f>
        <v>VTB</v>
      </c>
      <c r="Y334" s="1156" t="str">
        <f>VLOOKUP($B334,Table4[#All],2,0)</f>
        <v>VIETINBANK - BINH DUONG + QM</v>
      </c>
      <c r="Z334" s="1151"/>
      <c r="AA334" s="49"/>
    </row>
    <row r="335" spans="1:34">
      <c r="A335" s="1153" t="str">
        <f>VLOOKUP('Cash Balance'!$C335,Table2[#All],MATCH('Cash Balance'!A$3,Acc_Char!$B$1:$I$1,0),0)</f>
        <v>BW PHU NGHIA</v>
      </c>
      <c r="B335" s="1154" t="str">
        <f>VLOOKUP('Cash Balance'!$C335,Table2[#All],MATCH('Cash Balance'!B$3,Acc_Char!$B$1:$I$1,0),0)</f>
        <v>BIDV - THANH XUAN</v>
      </c>
      <c r="C335" s="1190" t="s">
        <v>918</v>
      </c>
      <c r="D335" s="1156" t="str">
        <f>VLOOKUP('Cash Balance'!$C335,Table2[#All],MATCH('Cash Balance'!D$3,Acc_Char!$B$1:$I$1,0),0)</f>
        <v>Saving Account</v>
      </c>
      <c r="E335" s="384" t="str">
        <f>VLOOKUP('Cash Balance'!$C335,Table2[#All],MATCH('Cash Balance'!E$3,Acc_Char!$B$1:$I$1,0),0)</f>
        <v>VND</v>
      </c>
      <c r="F335" s="1094" t="e">
        <f>VLOOKUP(C335,'Cash balance (BS)'!A:C,3,)</f>
        <v>#N/A</v>
      </c>
      <c r="G335" s="1157" t="e">
        <f t="shared" si="35"/>
        <v>#N/A</v>
      </c>
      <c r="H335" s="1318">
        <f>SUMIFS('Cash balance (Prior period)'!F:F,'Cash balance (Prior period)'!C:C,Table11[[#This Row],[ACCOUNT NUMBER]],'Cash balance (Prior period)'!E:E,Table11[[#This Row],[CURRENCY]])</f>
        <v>2000000000</v>
      </c>
      <c r="I335" s="1318">
        <f>SUMIFS(Movement!$F$4:$F$2136,Movement!$M$4:$M$2136,"VND",Movement!$C$4:$C$2136,Table11[[#This Row],[ACCOUNT NUMBER]],Movement!$J$4:$J$2136,Table11[[#This Row],[ENTITY]],Movement!$O$4:$O$2136,'Cash Balance'!$A$2)</f>
        <v>0</v>
      </c>
      <c r="J335" s="1318">
        <f>SUMIFS(Movement!$G$4:$G$2136,Movement!$M$4:$M$2136,"VND",Movement!$C$4:$C$2136,Table11[[#This Row],[ACCOUNT NUMBER]],Movement!$J$4:$J$2136,Table11[[#This Row],[ENTITY]],Movement!$O$4:$O$2136,'Cash Balance'!$A$2)</f>
        <v>0</v>
      </c>
      <c r="K335" s="1084">
        <f>Table11[[#This Row],[CASH IN - CREDIT (VND)]]-Table11[[#This Row],[CASH OUT - DEBIT (VND)]]</f>
        <v>0</v>
      </c>
      <c r="L335" s="1095">
        <f t="shared" si="32"/>
        <v>2000000000</v>
      </c>
      <c r="M335" s="1184" t="e">
        <f>VLOOKUP(C335,'Cash balance (BS)'!A:D,4,)</f>
        <v>#N/A</v>
      </c>
      <c r="N335" s="1095" t="e">
        <f>Table11[[#This Row],[CLOSING BALANCE (VND)2]]-Table11[[#This Row],[CB_BS (VND)]]</f>
        <v>#N/A</v>
      </c>
      <c r="O335" s="1094">
        <v>0</v>
      </c>
      <c r="P335" s="1095">
        <f t="shared" si="33"/>
        <v>0</v>
      </c>
      <c r="Q335" s="817">
        <f>SUMIFS('Cash balance (Prior period)'!G:G,'Cash balance (Prior period)'!C:C,Table11[[#This Row],[ACCOUNT NUMBER]],'Cash balance (Prior period)'!E:E,Table11[[#This Row],[CURRENCY]])</f>
        <v>0</v>
      </c>
      <c r="R335" s="817">
        <f>SUMIFS(Movement!$F$4:$F$2136,Movement!$M$4:$M$2136,"USD",Movement!$C$4:$C$2136,Table11[[#This Row],[ACCOUNT NUMBER]],Movement!$J$4:$J$2136,Table11[[#This Row],[ENTITY]],Movement!$O$4:$O$2136,'Cash Balance'!$A$2)</f>
        <v>0</v>
      </c>
      <c r="S335" s="817">
        <f>SUMIFS(Movement!$G$4:$G$2136,Movement!$M$4:$M$2136,"USD",Movement!$C$4:$C$2136,Table11[[#This Row],[ACCOUNT NUMBER]],Movement!$J$4:$J$2136,Table11[[#This Row],[ENTITY]],Movement!$O$4:$O$2136,'Cash Balance'!$A$2)</f>
        <v>0</v>
      </c>
      <c r="T335" s="1087">
        <f t="shared" si="34"/>
        <v>0</v>
      </c>
      <c r="U335" s="817"/>
      <c r="V335" s="817">
        <f>Table11[[#This Row],[CLOSING BALANCE (USD)]]-Table11[[#This Row],[CB_BS (USD)]]</f>
        <v>0</v>
      </c>
      <c r="W335" s="1156" t="str">
        <f>VLOOKUP('Cash Balance'!$C335,Table2[#All],MATCH('Cash Balance'!W$3,Acc_Char!$B$1:$I$1,0),0)</f>
        <v>Subsidiaries</v>
      </c>
      <c r="X335" s="1156" t="str">
        <f>VLOOKUP(IFERROR(MID($Y335,1,FIND("-",$Y335)-2),$Y335),Table3[#All],2,0)</f>
        <v>BIDV</v>
      </c>
      <c r="Y335" s="1156" t="str">
        <f>VLOOKUP($B335,Table4[#All],2,0)</f>
        <v>BIDV - THANH XUAN</v>
      </c>
      <c r="Z335" s="1151"/>
      <c r="AA335" s="49"/>
    </row>
    <row r="336" spans="1:34">
      <c r="A336" s="1153" t="str">
        <f>VLOOKUP('Cash Balance'!$C336,Table2[#All],MATCH('Cash Balance'!A$3,Acc_Char!$B$1:$I$1,0),0)</f>
        <v>HOLDCO S4C</v>
      </c>
      <c r="B336" s="1154" t="str">
        <f>VLOOKUP('Cash Balance'!$C336,Table2[#All],MATCH('Cash Balance'!B$3,Acc_Char!$B$1:$I$1,0),0)</f>
        <v>VIETINBANK - TIEN SON</v>
      </c>
      <c r="C336" s="1190" t="s">
        <v>920</v>
      </c>
      <c r="D336" s="1156" t="str">
        <f>VLOOKUP('Cash Balance'!$C336,Table2[#All],MATCH('Cash Balance'!D$3,Acc_Char!$B$1:$I$1,0),0)</f>
        <v>Current Account</v>
      </c>
      <c r="E336" s="384" t="str">
        <f>VLOOKUP('Cash Balance'!$C336,Table2[#All],MATCH('Cash Balance'!E$3,Acc_Char!$B$1:$I$1,0),0)</f>
        <v>VND</v>
      </c>
      <c r="F336" s="1094" t="e">
        <f>VLOOKUP(C336,'Cash balance (BS)'!A:C,3,)</f>
        <v>#N/A</v>
      </c>
      <c r="G336" s="1157" t="e">
        <f t="shared" si="35"/>
        <v>#N/A</v>
      </c>
      <c r="H336" s="1318">
        <f>SUMIFS('Cash balance (Prior period)'!F:F,'Cash balance (Prior period)'!C:C,Table11[[#This Row],[ACCOUNT NUMBER]],'Cash balance (Prior period)'!E:E,Table11[[#This Row],[CURRENCY]])</f>
        <v>7988772</v>
      </c>
      <c r="I336" s="1318">
        <f>SUMIFS(Movement!$F$4:$F$2136,Movement!$M$4:$M$2136,"VND",Movement!$C$4:$C$2136,Table11[[#This Row],[ACCOUNT NUMBER]],Movement!$J$4:$J$2136,Table11[[#This Row],[ENTITY]],Movement!$O$4:$O$2136,'Cash Balance'!$A$2)</f>
        <v>0</v>
      </c>
      <c r="J336" s="1318">
        <f>SUMIFS(Movement!$G$4:$G$2136,Movement!$M$4:$M$2136,"VND",Movement!$C$4:$C$2136,Table11[[#This Row],[ACCOUNT NUMBER]],Movement!$J$4:$J$2136,Table11[[#This Row],[ENTITY]],Movement!$O$4:$O$2136,'Cash Balance'!$A$2)</f>
        <v>0</v>
      </c>
      <c r="K336" s="1084">
        <f>Table11[[#This Row],[CASH IN - CREDIT (VND)]]-Table11[[#This Row],[CASH OUT - DEBIT (VND)]]</f>
        <v>0</v>
      </c>
      <c r="L336" s="1095">
        <f t="shared" si="32"/>
        <v>7988772</v>
      </c>
      <c r="M336" s="1184" t="e">
        <f>VLOOKUP(C336,'Cash balance (BS)'!A:D,4,)</f>
        <v>#N/A</v>
      </c>
      <c r="N336" s="1095" t="e">
        <f>Table11[[#This Row],[CLOSING BALANCE (VND)2]]-Table11[[#This Row],[CB_BS (VND)]]</f>
        <v>#N/A</v>
      </c>
      <c r="O336" s="1094">
        <v>0</v>
      </c>
      <c r="P336" s="1095">
        <f t="shared" si="33"/>
        <v>0</v>
      </c>
      <c r="Q336" s="817">
        <f>SUMIFS('Cash balance (Prior period)'!G:G,'Cash balance (Prior period)'!C:C,Table11[[#This Row],[ACCOUNT NUMBER]],'Cash balance (Prior period)'!E:E,Table11[[#This Row],[CURRENCY]])</f>
        <v>0</v>
      </c>
      <c r="R336" s="817">
        <f>SUMIFS(Movement!$F$4:$F$2136,Movement!$M$4:$M$2136,"USD",Movement!$C$4:$C$2136,Table11[[#This Row],[ACCOUNT NUMBER]],Movement!$J$4:$J$2136,Table11[[#This Row],[ENTITY]],Movement!$O$4:$O$2136,'Cash Balance'!$A$2)</f>
        <v>0</v>
      </c>
      <c r="S336" s="817">
        <f>SUMIFS(Movement!$G$4:$G$2136,Movement!$M$4:$M$2136,"USD",Movement!$C$4:$C$2136,Table11[[#This Row],[ACCOUNT NUMBER]],Movement!$J$4:$J$2136,Table11[[#This Row],[ENTITY]],Movement!$O$4:$O$2136,'Cash Balance'!$A$2)</f>
        <v>0</v>
      </c>
      <c r="T336" s="1087">
        <f t="shared" si="34"/>
        <v>0</v>
      </c>
      <c r="U336" s="817"/>
      <c r="V336" s="817">
        <f>Table11[[#This Row],[CLOSING BALANCE (USD)]]-Table11[[#This Row],[CB_BS (USD)]]</f>
        <v>0</v>
      </c>
      <c r="W336" s="1156" t="str">
        <f>VLOOKUP('Cash Balance'!$C336,Table2[#All],MATCH('Cash Balance'!W$3,Acc_Char!$B$1:$I$1,0),0)</f>
        <v>Subsidiaries</v>
      </c>
      <c r="X336" s="1156" t="str">
        <f>VLOOKUP(IFERROR(MID($Y336,1,FIND("-",$Y336)-2),$Y336),Table3[#All],2,0)</f>
        <v>VTB</v>
      </c>
      <c r="Y336" s="1156" t="str">
        <f>VLOOKUP($B336,Table4[#All],2,0)</f>
        <v>VIETINBANK - TIEN SON</v>
      </c>
      <c r="Z336" s="1151"/>
      <c r="AA336" s="49"/>
    </row>
    <row r="337" spans="1:34">
      <c r="A337" s="1153" t="str">
        <f>VLOOKUP('Cash Balance'!$C337,Table2[#All],MATCH('Cash Balance'!A$3,Acc_Char!$B$1:$I$1,0),0)</f>
        <v>TCS JSC</v>
      </c>
      <c r="B337" s="1154" t="str">
        <f>VLOOKUP('Cash Balance'!$C337,Table2[#All],MATCH('Cash Balance'!B$3,Acc_Char!$B$1:$I$1,0),0)</f>
        <v>VIETINBANK - QUANG MINH</v>
      </c>
      <c r="C337" s="1190" t="s">
        <v>922</v>
      </c>
      <c r="D337" s="1156" t="str">
        <f>VLOOKUP('Cash Balance'!$C337,Table2[#All],MATCH('Cash Balance'!D$3,Acc_Char!$B$1:$I$1,0),0)</f>
        <v>Current Account</v>
      </c>
      <c r="E337" s="384" t="str">
        <f>VLOOKUP('Cash Balance'!$C337,Table2[#All],MATCH('Cash Balance'!E$3,Acc_Char!$B$1:$I$1,0),0)</f>
        <v>VND</v>
      </c>
      <c r="F337" s="1094" t="e">
        <f>VLOOKUP(C337,'Cash balance (BS)'!A:C,3,)</f>
        <v>#N/A</v>
      </c>
      <c r="G337" s="1157" t="e">
        <f t="shared" si="35"/>
        <v>#N/A</v>
      </c>
      <c r="H337" s="1318">
        <f>SUMIFS('Cash balance (Prior period)'!F:F,'Cash balance (Prior period)'!C:C,Table11[[#This Row],[ACCOUNT NUMBER]],'Cash balance (Prior period)'!E:E,Table11[[#This Row],[CURRENCY]])</f>
        <v>0</v>
      </c>
      <c r="I337" s="1318">
        <f>SUMIFS(Movement!$F$4:$F$2136,Movement!$M$4:$M$2136,"VND",Movement!$C$4:$C$2136,Table11[[#This Row],[ACCOUNT NUMBER]],Movement!$J$4:$J$2136,Table11[[#This Row],[ENTITY]],Movement!$O$4:$O$2136,'Cash Balance'!$A$2)</f>
        <v>0</v>
      </c>
      <c r="J337" s="1318">
        <f>SUMIFS(Movement!$G$4:$G$2136,Movement!$M$4:$M$2136,"VND",Movement!$C$4:$C$2136,Table11[[#This Row],[ACCOUNT NUMBER]],Movement!$J$4:$J$2136,Table11[[#This Row],[ENTITY]],Movement!$O$4:$O$2136,'Cash Balance'!$A$2)</f>
        <v>0</v>
      </c>
      <c r="K337" s="1084">
        <f>Table11[[#This Row],[CASH IN - CREDIT (VND)]]-Table11[[#This Row],[CASH OUT - DEBIT (VND)]]</f>
        <v>0</v>
      </c>
      <c r="L337" s="1095">
        <f t="shared" si="32"/>
        <v>0</v>
      </c>
      <c r="M337" s="1184" t="e">
        <f>VLOOKUP(C337,'Cash balance (BS)'!A:D,4,)</f>
        <v>#N/A</v>
      </c>
      <c r="N337" s="1095" t="e">
        <f>Table11[[#This Row],[CLOSING BALANCE (VND)2]]-Table11[[#This Row],[CB_BS (VND)]]</f>
        <v>#N/A</v>
      </c>
      <c r="O337" s="1094">
        <v>0</v>
      </c>
      <c r="P337" s="1095">
        <f t="shared" si="33"/>
        <v>0</v>
      </c>
      <c r="Q337" s="817">
        <f>SUMIFS('Cash balance (Prior period)'!G:G,'Cash balance (Prior period)'!C:C,Table11[[#This Row],[ACCOUNT NUMBER]],'Cash balance (Prior period)'!E:E,Table11[[#This Row],[CURRENCY]])</f>
        <v>0</v>
      </c>
      <c r="R337" s="817">
        <f>SUMIFS(Movement!$F$4:$F$2136,Movement!$M$4:$M$2136,"USD",Movement!$C$4:$C$2136,Table11[[#This Row],[ACCOUNT NUMBER]],Movement!$J$4:$J$2136,Table11[[#This Row],[ENTITY]],Movement!$O$4:$O$2136,'Cash Balance'!$A$2)</f>
        <v>0</v>
      </c>
      <c r="S337" s="817">
        <f>SUMIFS(Movement!$G$4:$G$2136,Movement!$M$4:$M$2136,"USD",Movement!$C$4:$C$2136,Table11[[#This Row],[ACCOUNT NUMBER]],Movement!$J$4:$J$2136,Table11[[#This Row],[ENTITY]],Movement!$O$4:$O$2136,'Cash Balance'!$A$2)</f>
        <v>0</v>
      </c>
      <c r="T337" s="1087">
        <f t="shared" si="34"/>
        <v>0</v>
      </c>
      <c r="U337" s="817"/>
      <c r="V337" s="817">
        <f>Table11[[#This Row],[CLOSING BALANCE (USD)]]-Table11[[#This Row],[CB_BS (USD)]]</f>
        <v>0</v>
      </c>
      <c r="W337" s="1156" t="str">
        <f>VLOOKUP('Cash Balance'!$C337,Table2[#All],MATCH('Cash Balance'!W$3,Acc_Char!$B$1:$I$1,0),0)</f>
        <v>Subsidiaries</v>
      </c>
      <c r="X337" s="1156" t="str">
        <f>VLOOKUP(IFERROR(MID($Y337,1,FIND("-",$Y337)-2),$Y337),Table3[#All],2,0)</f>
        <v>VTB</v>
      </c>
      <c r="Y337" s="1156" t="str">
        <f>VLOOKUP($B337,Table4[#All],2,0)</f>
        <v>VIETINBANK - BINH DUONG + QM</v>
      </c>
      <c r="Z337" s="1151"/>
      <c r="AA337" s="49"/>
    </row>
    <row r="338" spans="1:34">
      <c r="A338" s="1153" t="str">
        <f>VLOOKUP('Cash Balance'!$C338,Table2[#All],MATCH('Cash Balance'!A$3,Acc_Char!$B$1:$I$1,0),0)</f>
        <v>TCS JSC</v>
      </c>
      <c r="B338" s="1154" t="str">
        <f>VLOOKUP('Cash Balance'!$C338,Table2[#All],MATCH('Cash Balance'!B$3,Acc_Char!$B$1:$I$1,0),0)</f>
        <v>VIETINBANK - QUANG MINH</v>
      </c>
      <c r="C338" s="1190" t="s">
        <v>923</v>
      </c>
      <c r="D338" s="1156" t="str">
        <f>VLOOKUP('Cash Balance'!$C338,Table2[#All],MATCH('Cash Balance'!D$3,Acc_Char!$B$1:$I$1,0),0)</f>
        <v>Current Account</v>
      </c>
      <c r="E338" s="384" t="str">
        <f>VLOOKUP('Cash Balance'!$C338,Table2[#All],MATCH('Cash Balance'!E$3,Acc_Char!$B$1:$I$1,0),0)</f>
        <v>USD</v>
      </c>
      <c r="F338" s="1094" t="e">
        <f>VLOOKUP(C338,'Cash balance (BS)'!A:C,3,)</f>
        <v>#N/A</v>
      </c>
      <c r="G338" s="1157" t="e">
        <f t="shared" si="35"/>
        <v>#N/A</v>
      </c>
      <c r="H338" s="1318">
        <f>SUMIFS('Cash balance (Prior period)'!F:F,'Cash balance (Prior period)'!C:C,Table11[[#This Row],[ACCOUNT NUMBER]],'Cash balance (Prior period)'!E:E,Table11[[#This Row],[CURRENCY]])</f>
        <v>0</v>
      </c>
      <c r="I338" s="1318">
        <f>SUMIFS(Movement!$F$4:$F$2136,Movement!$M$4:$M$2136,"VND",Movement!$C$4:$C$2136,Table11[[#This Row],[ACCOUNT NUMBER]],Movement!$J$4:$J$2136,Table11[[#This Row],[ENTITY]],Movement!$O$4:$O$2136,'Cash Balance'!$A$2)</f>
        <v>0</v>
      </c>
      <c r="J338" s="1318">
        <f>SUMIFS(Movement!$G$4:$G$2136,Movement!$M$4:$M$2136,"VND",Movement!$C$4:$C$2136,Table11[[#This Row],[ACCOUNT NUMBER]],Movement!$J$4:$J$2136,Table11[[#This Row],[ENTITY]],Movement!$O$4:$O$2136,'Cash Balance'!$A$2)</f>
        <v>0</v>
      </c>
      <c r="K338" s="1084">
        <f>Table11[[#This Row],[CASH IN - CREDIT (VND)]]-Table11[[#This Row],[CASH OUT - DEBIT (VND)]]</f>
        <v>0</v>
      </c>
      <c r="L338" s="1095">
        <f t="shared" si="32"/>
        <v>0</v>
      </c>
      <c r="M338" s="1184" t="e">
        <f>VLOOKUP(C338,'Cash balance (BS)'!A:D,4,)</f>
        <v>#N/A</v>
      </c>
      <c r="N338" s="1095" t="e">
        <f>Table11[[#This Row],[CLOSING BALANCE (VND)2]]-Table11[[#This Row],[CB_BS (VND)]]</f>
        <v>#N/A</v>
      </c>
      <c r="O338" s="1094">
        <v>0</v>
      </c>
      <c r="P338" s="1095">
        <f t="shared" si="33"/>
        <v>0</v>
      </c>
      <c r="Q338" s="817">
        <f>SUMIFS('Cash balance (Prior period)'!G:G,'Cash balance (Prior period)'!C:C,Table11[[#This Row],[ACCOUNT NUMBER]],'Cash balance (Prior period)'!E:E,Table11[[#This Row],[CURRENCY]])</f>
        <v>0</v>
      </c>
      <c r="R338" s="817">
        <f>SUMIFS(Movement!$F$4:$F$2136,Movement!$M$4:$M$2136,"USD",Movement!$C$4:$C$2136,Table11[[#This Row],[ACCOUNT NUMBER]],Movement!$J$4:$J$2136,Table11[[#This Row],[ENTITY]],Movement!$O$4:$O$2136,'Cash Balance'!$A$2)</f>
        <v>0</v>
      </c>
      <c r="S338" s="817">
        <f>SUMIFS(Movement!$G$4:$G$2136,Movement!$M$4:$M$2136,"USD",Movement!$C$4:$C$2136,Table11[[#This Row],[ACCOUNT NUMBER]],Movement!$J$4:$J$2136,Table11[[#This Row],[ENTITY]],Movement!$O$4:$O$2136,'Cash Balance'!$A$2)</f>
        <v>0</v>
      </c>
      <c r="T338" s="1087">
        <f t="shared" si="34"/>
        <v>0</v>
      </c>
      <c r="U338" s="817"/>
      <c r="V338" s="817">
        <f>Table11[[#This Row],[CLOSING BALANCE (USD)]]-Table11[[#This Row],[CB_BS (USD)]]</f>
        <v>0</v>
      </c>
      <c r="W338" s="1156" t="str">
        <f>VLOOKUP('Cash Balance'!$C338,Table2[#All],MATCH('Cash Balance'!W$3,Acc_Char!$B$1:$I$1,0),0)</f>
        <v>Subsidiaries</v>
      </c>
      <c r="X338" s="1156" t="str">
        <f>VLOOKUP(IFERROR(MID($Y338,1,FIND("-",$Y338)-2),$Y338),Table3[#All],2,0)</f>
        <v>VTB</v>
      </c>
      <c r="Y338" s="1156" t="str">
        <f>VLOOKUP($B338,Table4[#All],2,0)</f>
        <v>VIETINBANK - BINH DUONG + QM</v>
      </c>
      <c r="Z338" s="1151"/>
      <c r="AA338" s="49"/>
    </row>
    <row r="339" spans="1:34">
      <c r="A339" s="1153" t="str">
        <f>VLOOKUP('Cash Balance'!$C339,Table2[#All],MATCH('Cash Balance'!A$3,Acc_Char!$B$1:$I$1,0),0)</f>
        <v>HOLDCO S4D</v>
      </c>
      <c r="B339" s="1154" t="str">
        <f>VLOOKUP('Cash Balance'!$C339,Table2[#All],MATCH('Cash Balance'!B$3,Acc_Char!$B$1:$I$1,0),0)</f>
        <v>VIETINBANK - TIEN SON</v>
      </c>
      <c r="C339" s="1190" t="s">
        <v>925</v>
      </c>
      <c r="D339" s="1156" t="str">
        <f>VLOOKUP('Cash Balance'!$C339,Table2[#All],MATCH('Cash Balance'!D$3,Acc_Char!$B$1:$I$1,0),0)</f>
        <v>Current Account</v>
      </c>
      <c r="E339" s="384" t="str">
        <f>VLOOKUP('Cash Balance'!$C339,Table2[#All],MATCH('Cash Balance'!E$3,Acc_Char!$B$1:$I$1,0),0)</f>
        <v>VND</v>
      </c>
      <c r="F339" s="1094" t="e">
        <f>VLOOKUP(C339,'Cash balance (BS)'!A:C,3,)</f>
        <v>#N/A</v>
      </c>
      <c r="G339" s="1157" t="e">
        <f t="shared" si="35"/>
        <v>#N/A</v>
      </c>
      <c r="H339" s="1318">
        <f>SUMIFS('Cash balance (Prior period)'!F:F,'Cash balance (Prior period)'!C:C,Table11[[#This Row],[ACCOUNT NUMBER]],'Cash balance (Prior period)'!E:E,Table11[[#This Row],[CURRENCY]])</f>
        <v>95779453</v>
      </c>
      <c r="I339" s="1318">
        <f>SUMIFS(Movement!$F$4:$F$2136,Movement!$M$4:$M$2136,"VND",Movement!$C$4:$C$2136,Table11[[#This Row],[ACCOUNT NUMBER]],Movement!$J$4:$J$2136,Table11[[#This Row],[ENTITY]],Movement!$O$4:$O$2136,'Cash Balance'!$A$2)</f>
        <v>0</v>
      </c>
      <c r="J339" s="1318">
        <f>SUMIFS(Movement!$G$4:$G$2136,Movement!$M$4:$M$2136,"VND",Movement!$C$4:$C$2136,Table11[[#This Row],[ACCOUNT NUMBER]],Movement!$J$4:$J$2136,Table11[[#This Row],[ENTITY]],Movement!$O$4:$O$2136,'Cash Balance'!$A$2)</f>
        <v>0</v>
      </c>
      <c r="K339" s="1084">
        <f>Table11[[#This Row],[CASH IN - CREDIT (VND)]]-Table11[[#This Row],[CASH OUT - DEBIT (VND)]]</f>
        <v>0</v>
      </c>
      <c r="L339" s="1095">
        <f t="shared" si="32"/>
        <v>95779453</v>
      </c>
      <c r="M339" s="1184" t="e">
        <f>VLOOKUP(C339,'Cash balance (BS)'!A:D,4,)</f>
        <v>#N/A</v>
      </c>
      <c r="N339" s="1095" t="e">
        <f>Table11[[#This Row],[CLOSING BALANCE (VND)2]]-Table11[[#This Row],[CB_BS (VND)]]</f>
        <v>#N/A</v>
      </c>
      <c r="O339" s="1094">
        <v>0</v>
      </c>
      <c r="P339" s="1095">
        <f t="shared" si="33"/>
        <v>0</v>
      </c>
      <c r="Q339" s="817">
        <f>SUMIFS('Cash balance (Prior period)'!G:G,'Cash balance (Prior period)'!C:C,Table11[[#This Row],[ACCOUNT NUMBER]],'Cash balance (Prior period)'!E:E,Table11[[#This Row],[CURRENCY]])</f>
        <v>0</v>
      </c>
      <c r="R339" s="817">
        <f>SUMIFS(Movement!$F$4:$F$2136,Movement!$M$4:$M$2136,"USD",Movement!$C$4:$C$2136,Table11[[#This Row],[ACCOUNT NUMBER]],Movement!$J$4:$J$2136,Table11[[#This Row],[ENTITY]],Movement!$O$4:$O$2136,'Cash Balance'!$A$2)</f>
        <v>0</v>
      </c>
      <c r="S339" s="817">
        <f>SUMIFS(Movement!$G$4:$G$2136,Movement!$M$4:$M$2136,"USD",Movement!$C$4:$C$2136,Table11[[#This Row],[ACCOUNT NUMBER]],Movement!$J$4:$J$2136,Table11[[#This Row],[ENTITY]],Movement!$O$4:$O$2136,'Cash Balance'!$A$2)</f>
        <v>0</v>
      </c>
      <c r="T339" s="1087">
        <f t="shared" si="34"/>
        <v>0</v>
      </c>
      <c r="U339" s="817"/>
      <c r="V339" s="817">
        <f>Table11[[#This Row],[CLOSING BALANCE (USD)]]-Table11[[#This Row],[CB_BS (USD)]]</f>
        <v>0</v>
      </c>
      <c r="W339" s="1156" t="str">
        <f>VLOOKUP('Cash Balance'!$C339,Table2[#All],MATCH('Cash Balance'!W$3,Acc_Char!$B$1:$I$1,0),0)</f>
        <v>Subsidiaries</v>
      </c>
      <c r="X339" s="1156" t="str">
        <f>VLOOKUP(IFERROR(MID($Y339,1,FIND("-",$Y339)-2),$Y339),Table3[#All],2,0)</f>
        <v>VTB</v>
      </c>
      <c r="Y339" s="1156" t="str">
        <f>VLOOKUP($B339,Table4[#All],2,0)</f>
        <v>VIETINBANK - TIEN SON</v>
      </c>
      <c r="Z339" s="1151"/>
      <c r="AA339" s="49"/>
    </row>
    <row r="340" spans="1:34">
      <c r="A340" s="1153" t="str">
        <f>VLOOKUP('Cash Balance'!$C340,Table2[#All],MATCH('Cash Balance'!A$3,Acc_Char!$B$1:$I$1,0),0)</f>
        <v>MINH PHUONG</v>
      </c>
      <c r="B340" s="1154" t="str">
        <f>VLOOKUP('Cash Balance'!$C340,Table2[#All],MATCH('Cash Balance'!B$3,Acc_Char!$B$1:$I$1,0),0)</f>
        <v>VIETCOMBANK - NAM BINH DUONG</v>
      </c>
      <c r="C340" s="1190" t="s">
        <v>927</v>
      </c>
      <c r="D340" s="1156" t="str">
        <f>VLOOKUP('Cash Balance'!$C340,Table2[#All],MATCH('Cash Balance'!D$3,Acc_Char!$B$1:$I$1,0),0)</f>
        <v>Current Account</v>
      </c>
      <c r="E340" s="384" t="str">
        <f>VLOOKUP('Cash Balance'!$C340,Table2[#All],MATCH('Cash Balance'!E$3,Acc_Char!$B$1:$I$1,0),0)</f>
        <v>VND</v>
      </c>
      <c r="F340" s="1094"/>
      <c r="G340" s="1157"/>
      <c r="H340" s="1318">
        <f>SUMIFS('Cash balance (Prior period)'!F:F,'Cash balance (Prior period)'!C:C,Table11[[#This Row],[ACCOUNT NUMBER]],'Cash balance (Prior period)'!E:E,Table11[[#This Row],[CURRENCY]])</f>
        <v>8250555</v>
      </c>
      <c r="I340" s="1318">
        <f>SUMIFS(Movement!$F$4:$F$2136,Movement!$M$4:$M$2136,"VND",Movement!$C$4:$C$2136,Table11[[#This Row],[ACCOUNT NUMBER]],Movement!$J$4:$J$2136,Table11[[#This Row],[ENTITY]],Movement!$O$4:$O$2136,'Cash Balance'!$A$2)</f>
        <v>0</v>
      </c>
      <c r="J340" s="1318">
        <f>SUMIFS(Movement!$G$4:$G$2136,Movement!$M$4:$M$2136,"VND",Movement!$C$4:$C$2136,Table11[[#This Row],[ACCOUNT NUMBER]],Movement!$J$4:$J$2136,Table11[[#This Row],[ENTITY]],Movement!$O$4:$O$2136,'Cash Balance'!$A$2)</f>
        <v>0</v>
      </c>
      <c r="K340" s="1084">
        <f>Table11[[#This Row],[CASH IN - CREDIT (VND)]]-Table11[[#This Row],[CASH OUT - DEBIT (VND)]]</f>
        <v>0</v>
      </c>
      <c r="L340" s="1095">
        <f t="shared" si="32"/>
        <v>8250555</v>
      </c>
      <c r="M340" s="1184" t="e">
        <f>VLOOKUP(C340,'Cash balance (BS)'!A:D,4,)</f>
        <v>#N/A</v>
      </c>
      <c r="N340" s="1095" t="e">
        <f>Table11[[#This Row],[CLOSING BALANCE (VND)2]]-Table11[[#This Row],[CB_BS (VND)]]</f>
        <v>#N/A</v>
      </c>
      <c r="O340" s="1094">
        <v>0</v>
      </c>
      <c r="P340" s="1095">
        <f t="shared" si="33"/>
        <v>0</v>
      </c>
      <c r="Q340" s="817">
        <f>SUMIFS('Cash balance (Prior period)'!G:G,'Cash balance (Prior period)'!C:C,Table11[[#This Row],[ACCOUNT NUMBER]],'Cash balance (Prior period)'!E:E,Table11[[#This Row],[CURRENCY]])</f>
        <v>0</v>
      </c>
      <c r="R340" s="817">
        <f>SUMIFS(Movement!$F$4:$F$2136,Movement!$M$4:$M$2136,"USD",Movement!$C$4:$C$2136,Table11[[#This Row],[ACCOUNT NUMBER]],Movement!$J$4:$J$2136,Table11[[#This Row],[ENTITY]],Movement!$O$4:$O$2136,'Cash Balance'!$A$2)</f>
        <v>0</v>
      </c>
      <c r="S340" s="817">
        <f>SUMIFS(Movement!$G$4:$G$2136,Movement!$M$4:$M$2136,"USD",Movement!$C$4:$C$2136,Table11[[#This Row],[ACCOUNT NUMBER]],Movement!$J$4:$J$2136,Table11[[#This Row],[ENTITY]],Movement!$O$4:$O$2136,'Cash Balance'!$A$2)</f>
        <v>0</v>
      </c>
      <c r="T340" s="1087">
        <f t="shared" si="34"/>
        <v>0</v>
      </c>
      <c r="U340" s="817" t="e">
        <f>VLOOKUP(C340,'Cash balance (BS)'!A:D,4,)</f>
        <v>#N/A</v>
      </c>
      <c r="V340" s="817" t="e">
        <f>Table11[[#This Row],[CLOSING BALANCE (USD)]]-Table11[[#This Row],[CB_BS (USD)]]</f>
        <v>#N/A</v>
      </c>
      <c r="W340" s="1156" t="str">
        <f>VLOOKUP('Cash Balance'!$C340,Table2[#All],MATCH('Cash Balance'!W$3,Acc_Char!$B$1:$I$1,0),0)</f>
        <v>Subsidiaries</v>
      </c>
      <c r="X340" s="1156" t="str">
        <f>VLOOKUP(IFERROR(MID($Y340,1,FIND("-",$Y340)-2),$Y340),Table3[#All],2,0)</f>
        <v>VCB</v>
      </c>
      <c r="Y340" s="1156" t="str">
        <f>VLOOKUP($B340,Table4[#All],2,0)</f>
        <v>VIETCOMBANK - NAM BINH DUONG</v>
      </c>
      <c r="Z340" s="1151"/>
      <c r="AA340" s="49"/>
    </row>
    <row r="341" spans="1:34">
      <c r="A341" s="1153" t="str">
        <f>VLOOKUP('Cash Balance'!$C341,Table2[#All],MATCH('Cash Balance'!A$3,Acc_Char!$B$1:$I$1,0),0)</f>
        <v>TCS JSC</v>
      </c>
      <c r="B341" s="1154" t="str">
        <f>VLOOKUP('Cash Balance'!$C341,Table2[#All],MATCH('Cash Balance'!B$3,Acc_Char!$B$1:$I$1,0),0)</f>
        <v>VIETCOMBANK - BINH TAY</v>
      </c>
      <c r="C341" s="1190" t="s">
        <v>928</v>
      </c>
      <c r="D341" s="1156" t="str">
        <f>VLOOKUP('Cash Balance'!$C341,Table2[#All],MATCH('Cash Balance'!D$3,Acc_Char!$B$1:$I$1,0),0)</f>
        <v>Current Account</v>
      </c>
      <c r="E341" s="384" t="str">
        <f>VLOOKUP('Cash Balance'!$C341,Table2[#All],MATCH('Cash Balance'!E$3,Acc_Char!$B$1:$I$1,0),0)</f>
        <v>VND</v>
      </c>
      <c r="F341" s="1094"/>
      <c r="G341" s="1157"/>
      <c r="H341" s="1318">
        <f>SUMIFS('Cash balance (Prior period)'!F:F,'Cash balance (Prior period)'!C:C,Table11[[#This Row],[ACCOUNT NUMBER]],'Cash balance (Prior period)'!E:E,Table11[[#This Row],[CURRENCY]])</f>
        <v>1859029</v>
      </c>
      <c r="I341" s="1318">
        <f>SUMIFS(Movement!$F$4:$F$2136,Movement!$M$4:$M$2136,"VND",Movement!$C$4:$C$2136,Table11[[#This Row],[ACCOUNT NUMBER]],Movement!$J$4:$J$2136,Table11[[#This Row],[ENTITY]],Movement!$O$4:$O$2136,'Cash Balance'!$A$2)</f>
        <v>0</v>
      </c>
      <c r="J341" s="1318">
        <f>SUMIFS(Movement!$G$4:$G$2136,Movement!$M$4:$M$2136,"VND",Movement!$C$4:$C$2136,Table11[[#This Row],[ACCOUNT NUMBER]],Movement!$J$4:$J$2136,Table11[[#This Row],[ENTITY]],Movement!$O$4:$O$2136,'Cash Balance'!$A$2)</f>
        <v>0</v>
      </c>
      <c r="K341" s="1084">
        <f>Table11[[#This Row],[CASH IN - CREDIT (VND)]]-Table11[[#This Row],[CASH OUT - DEBIT (VND)]]</f>
        <v>0</v>
      </c>
      <c r="L341" s="1095">
        <f t="shared" si="32"/>
        <v>1859029</v>
      </c>
      <c r="M341" s="1184" t="e">
        <f>VLOOKUP(C341,'Cash balance (BS)'!A:D,4,)</f>
        <v>#N/A</v>
      </c>
      <c r="N341" s="1095" t="e">
        <f>Table11[[#This Row],[CLOSING BALANCE (VND)2]]-Table11[[#This Row],[CB_BS (VND)]]</f>
        <v>#N/A</v>
      </c>
      <c r="O341" s="1094">
        <v>0</v>
      </c>
      <c r="P341" s="1095">
        <f t="shared" si="33"/>
        <v>0</v>
      </c>
      <c r="Q341" s="817">
        <f>SUMIFS('Cash balance (Prior period)'!G:G,'Cash balance (Prior period)'!C:C,Table11[[#This Row],[ACCOUNT NUMBER]],'Cash balance (Prior period)'!E:E,Table11[[#This Row],[CURRENCY]])</f>
        <v>0</v>
      </c>
      <c r="R341" s="817">
        <f>SUMIFS(Movement!$F$4:$F$2136,Movement!$M$4:$M$2136,"USD",Movement!$C$4:$C$2136,Table11[[#This Row],[ACCOUNT NUMBER]],Movement!$J$4:$J$2136,Table11[[#This Row],[ENTITY]],Movement!$O$4:$O$2136,'Cash Balance'!$A$2)</f>
        <v>0</v>
      </c>
      <c r="S341" s="817">
        <f>SUMIFS(Movement!$G$4:$G$2136,Movement!$M$4:$M$2136,"USD",Movement!$C$4:$C$2136,Table11[[#This Row],[ACCOUNT NUMBER]],Movement!$J$4:$J$2136,Table11[[#This Row],[ENTITY]],Movement!$O$4:$O$2136,'Cash Balance'!$A$2)</f>
        <v>0</v>
      </c>
      <c r="T341" s="1087">
        <f t="shared" si="34"/>
        <v>0</v>
      </c>
      <c r="U341" s="817" t="e">
        <f>VLOOKUP(C341,'Cash balance (BS)'!A:D,4,)</f>
        <v>#N/A</v>
      </c>
      <c r="V341" s="1087" t="e">
        <f>Table11[[#This Row],[CLOSING BALANCE (USD)]]-Table11[[#This Row],[CB_BS (USD)]]</f>
        <v>#N/A</v>
      </c>
      <c r="W341" s="1156" t="str">
        <f>VLOOKUP('Cash Balance'!$C341,Table2[#All],MATCH('Cash Balance'!W$3,Acc_Char!$B$1:$I$1,0),0)</f>
        <v>Subsidiaries</v>
      </c>
      <c r="X341" s="1156" t="str">
        <f>VLOOKUP(IFERROR(MID($Y341,1,FIND("-",$Y341)-2),$Y341),Table3[#All],2,0)</f>
        <v>VCB</v>
      </c>
      <c r="Y341" s="1156" t="str">
        <f>VLOOKUP($B341,Table4[#All],2,0)</f>
        <v>VIETCOMBANK - BINH TAY</v>
      </c>
      <c r="Z341" s="1151"/>
      <c r="AA341" s="49"/>
    </row>
    <row r="342" spans="1:34">
      <c r="A342" s="1153" t="str">
        <f>VLOOKUP('Cash Balance'!$C342,Table2[#All],MATCH('Cash Balance'!A$3,Acc_Char!$B$1:$I$1,0),0)</f>
        <v>MINH PHUONG</v>
      </c>
      <c r="B342" s="1154" t="str">
        <f>VLOOKUP('Cash Balance'!$C342,Table2[#All],MATCH('Cash Balance'!B$3,Acc_Char!$B$1:$I$1,0),0)</f>
        <v>BIDV - THANH XUAN</v>
      </c>
      <c r="C342" s="1190" t="s">
        <v>929</v>
      </c>
      <c r="D342" s="1156" t="str">
        <f>VLOOKUP('Cash Balance'!$C342,Table2[#All],MATCH('Cash Balance'!D$3,Acc_Char!$B$1:$I$1,0),0)</f>
        <v>Current Account</v>
      </c>
      <c r="E342" s="384" t="str">
        <f>VLOOKUP('Cash Balance'!$C342,Table2[#All],MATCH('Cash Balance'!E$3,Acc_Char!$B$1:$I$1,0),0)</f>
        <v>VND</v>
      </c>
      <c r="F342" s="1094" t="e">
        <f>VLOOKUP(C342,'Cash balance (BS)'!A:C,3,)</f>
        <v>#N/A</v>
      </c>
      <c r="G342" s="1157" t="e">
        <f>F342-H342</f>
        <v>#N/A</v>
      </c>
      <c r="H342" s="1318">
        <f>SUMIFS('Cash balance (Prior period)'!F:F,'Cash balance (Prior period)'!C:C,Table11[[#This Row],[ACCOUNT NUMBER]],'Cash balance (Prior period)'!E:E,Table11[[#This Row],[CURRENCY]])</f>
        <v>452889558</v>
      </c>
      <c r="I342" s="1318">
        <f>SUMIFS(Movement!$F$4:$F$2136,Movement!$M$4:$M$2136,"VND",Movement!$C$4:$C$2136,Table11[[#This Row],[ACCOUNT NUMBER]],Movement!$J$4:$J$2136,Table11[[#This Row],[ENTITY]],Movement!$O$4:$O$2136,'Cash Balance'!$A$2)</f>
        <v>0</v>
      </c>
      <c r="J342" s="1318">
        <f>SUMIFS(Movement!$G$4:$G$2136,Movement!$M$4:$M$2136,"VND",Movement!$C$4:$C$2136,Table11[[#This Row],[ACCOUNT NUMBER]],Movement!$J$4:$J$2136,Table11[[#This Row],[ENTITY]],Movement!$O$4:$O$2136,'Cash Balance'!$A$2)</f>
        <v>55000</v>
      </c>
      <c r="K342" s="1084">
        <f>Table11[[#This Row],[CASH IN - CREDIT (VND)]]-Table11[[#This Row],[CASH OUT - DEBIT (VND)]]</f>
        <v>-55000</v>
      </c>
      <c r="L342" s="1095">
        <f t="shared" si="32"/>
        <v>452834558</v>
      </c>
      <c r="M342" s="1184" t="e">
        <f>VLOOKUP(C342,'Cash balance (BS)'!A:D,4,)</f>
        <v>#N/A</v>
      </c>
      <c r="N342" s="1095" t="e">
        <f>Table11[[#This Row],[CLOSING BALANCE (VND)2]]-Table11[[#This Row],[CB_BS (VND)]]</f>
        <v>#N/A</v>
      </c>
      <c r="O342" s="1094">
        <v>0</v>
      </c>
      <c r="P342" s="1095">
        <f t="shared" si="33"/>
        <v>0</v>
      </c>
      <c r="Q342" s="817">
        <f>SUMIFS('Cash balance (Prior period)'!G:G,'Cash balance (Prior period)'!C:C,Table11[[#This Row],[ACCOUNT NUMBER]],'Cash balance (Prior period)'!E:E,Table11[[#This Row],[CURRENCY]])</f>
        <v>0</v>
      </c>
      <c r="R342" s="817">
        <f>SUMIFS(Movement!$F$4:$F$2136,Movement!$M$4:$M$2136,"USD",Movement!$C$4:$C$2136,Table11[[#This Row],[ACCOUNT NUMBER]],Movement!$J$4:$J$2136,Table11[[#This Row],[ENTITY]],Movement!$O$4:$O$2136,'Cash Balance'!$A$2)</f>
        <v>0</v>
      </c>
      <c r="S342" s="817">
        <f>SUMIFS(Movement!$G$4:$G$2136,Movement!$M$4:$M$2136,"USD",Movement!$C$4:$C$2136,Table11[[#This Row],[ACCOUNT NUMBER]],Movement!$J$4:$J$2136,Table11[[#This Row],[ENTITY]],Movement!$O$4:$O$2136,'Cash Balance'!$A$2)</f>
        <v>0</v>
      </c>
      <c r="T342" s="1087">
        <f t="shared" si="34"/>
        <v>0</v>
      </c>
      <c r="U342" s="817"/>
      <c r="V342" s="817">
        <f>Table11[[#This Row],[CLOSING BALANCE (USD)]]-Table11[[#This Row],[CB_BS (USD)]]</f>
        <v>0</v>
      </c>
      <c r="W342" s="1156" t="str">
        <f>VLOOKUP('Cash Balance'!$C342,Table2[#All],MATCH('Cash Balance'!W$3,Acc_Char!$B$1:$I$1,0),0)</f>
        <v>Subsidiaries</v>
      </c>
      <c r="X342" s="1156" t="str">
        <f>VLOOKUP(IFERROR(MID($Y342,1,FIND("-",$Y342)-2),$Y342),Table3[#All],2,0)</f>
        <v>BIDV</v>
      </c>
      <c r="Y342" s="1156" t="str">
        <f>VLOOKUP($B342,Table4[#All],2,0)</f>
        <v>BIDV - THANH XUAN</v>
      </c>
      <c r="Z342" s="1151"/>
      <c r="AA342" s="49"/>
      <c r="AH342" s="2" t="s">
        <v>466</v>
      </c>
    </row>
    <row r="343" spans="1:34">
      <c r="A343" s="1153" t="str">
        <f>VLOOKUP('Cash Balance'!$C343,Table2[#All],MATCH('Cash Balance'!A$3,Acc_Char!$B$1:$I$1,0),0)</f>
        <v>NSHL HOLDCO</v>
      </c>
      <c r="B343" s="1154" t="str">
        <f>VLOOKUP('Cash Balance'!$C343,Table2[#All],MATCH('Cash Balance'!B$3,Acc_Char!$B$1:$I$1,0),0)</f>
        <v>BIDV - THANH XUAN</v>
      </c>
      <c r="C343" s="1190" t="s">
        <v>930</v>
      </c>
      <c r="D343" s="1156" t="str">
        <f>VLOOKUP('Cash Balance'!$C343,Table2[#All],MATCH('Cash Balance'!D$3,Acc_Char!$B$1:$I$1,0),0)</f>
        <v>Capital Account</v>
      </c>
      <c r="E343" s="384" t="str">
        <f>VLOOKUP('Cash Balance'!$C343,Table2[#All],MATCH('Cash Balance'!E$3,Acc_Char!$B$1:$I$1,0),0)</f>
        <v>USD</v>
      </c>
      <c r="F343" s="1094"/>
      <c r="G343" s="1157"/>
      <c r="H343" s="1318">
        <f>SUMIFS('Cash balance (Prior period)'!F:F,'Cash balance (Prior period)'!C:C,Table11[[#This Row],[ACCOUNT NUMBER]],'Cash balance (Prior period)'!E:E,Table11[[#This Row],[CURRENCY]])</f>
        <v>0</v>
      </c>
      <c r="I343" s="1318">
        <f>SUMIFS(Movement!$F$4:$F$2136,Movement!$M$4:$M$2136,"VND",Movement!$C$4:$C$2136,Table11[[#This Row],[ACCOUNT NUMBER]],Movement!$J$4:$J$2136,Table11[[#This Row],[ENTITY]],Movement!$O$4:$O$2136,'Cash Balance'!$A$2)</f>
        <v>0</v>
      </c>
      <c r="J343" s="1318">
        <f>SUMIFS(Movement!$G$4:$G$2136,Movement!$M$4:$M$2136,"VND",Movement!$C$4:$C$2136,Table11[[#This Row],[ACCOUNT NUMBER]],Movement!$J$4:$J$2136,Table11[[#This Row],[ENTITY]],Movement!$O$4:$O$2136,'Cash Balance'!$A$2)</f>
        <v>0</v>
      </c>
      <c r="K343" s="1084">
        <f>Table11[[#This Row],[CASH IN - CREDIT (VND)]]-Table11[[#This Row],[CASH OUT - DEBIT (VND)]]</f>
        <v>0</v>
      </c>
      <c r="L343" s="1095">
        <f t="shared" si="32"/>
        <v>0</v>
      </c>
      <c r="M343" s="1184" t="e">
        <f>VLOOKUP(C343,'Cash balance (BS)'!A:D,4,)</f>
        <v>#N/A</v>
      </c>
      <c r="N343" s="1095" t="e">
        <f>Table11[[#This Row],[CLOSING BALANCE (VND)2]]-Table11[[#This Row],[CB_BS (VND)]]</f>
        <v>#N/A</v>
      </c>
      <c r="O343" s="1094">
        <v>0</v>
      </c>
      <c r="P343" s="1095">
        <f t="shared" si="33"/>
        <v>0</v>
      </c>
      <c r="Q343" s="817">
        <f>SUMIFS('Cash balance (Prior period)'!G:G,'Cash balance (Prior period)'!C:C,Table11[[#This Row],[ACCOUNT NUMBER]],'Cash balance (Prior period)'!E:E,Table11[[#This Row],[CURRENCY]])</f>
        <v>0</v>
      </c>
      <c r="R343" s="817">
        <f>SUMIFS(Movement!$F$4:$F$2136,Movement!$M$4:$M$2136,"USD",Movement!$C$4:$C$2136,Table11[[#This Row],[ACCOUNT NUMBER]],Movement!$J$4:$J$2136,Table11[[#This Row],[ENTITY]],Movement!$O$4:$O$2136,'Cash Balance'!$A$2)</f>
        <v>0</v>
      </c>
      <c r="S343" s="817">
        <f>SUMIFS(Movement!$G$4:$G$2136,Movement!$M$4:$M$2136,"USD",Movement!$C$4:$C$2136,Table11[[#This Row],[ACCOUNT NUMBER]],Movement!$J$4:$J$2136,Table11[[#This Row],[ENTITY]],Movement!$O$4:$O$2136,'Cash Balance'!$A$2)</f>
        <v>0</v>
      </c>
      <c r="T343" s="1087">
        <f t="shared" si="34"/>
        <v>0</v>
      </c>
      <c r="U343" s="817" t="e">
        <f>VLOOKUP(C343,'Cash balance (BS)'!A:D,4,)</f>
        <v>#N/A</v>
      </c>
      <c r="V343" s="817" t="e">
        <f>Table11[[#This Row],[CLOSING BALANCE (USD)]]-Table11[[#This Row],[CB_BS (USD)]]</f>
        <v>#N/A</v>
      </c>
      <c r="W343" s="1156" t="str">
        <f>VLOOKUP('Cash Balance'!$C343,Table2[#All],MATCH('Cash Balance'!W$3,Acc_Char!$B$1:$I$1,0),0)</f>
        <v>Subsidiaries</v>
      </c>
      <c r="X343" s="1156" t="str">
        <f>VLOOKUP(IFERROR(MID($Y343,1,FIND("-",$Y343)-2),$Y343),Table3[#All],2,0)</f>
        <v>BIDV</v>
      </c>
      <c r="Y343" s="1156" t="str">
        <f>VLOOKUP($B343,Table4[#All],2,0)</f>
        <v>BIDV - THANH XUAN</v>
      </c>
      <c r="Z343" s="1151"/>
      <c r="AA343" s="49"/>
    </row>
    <row r="344" spans="1:34">
      <c r="A344" s="1153" t="str">
        <f>VLOOKUP('Cash Balance'!$C344,Table2[#All],MATCH('Cash Balance'!A$3,Acc_Char!$B$1:$I$1,0),0)</f>
        <v>NSHL LLC</v>
      </c>
      <c r="B344" s="1154" t="str">
        <f>VLOOKUP('Cash Balance'!$C344,Table2[#All],MATCH('Cash Balance'!B$3,Acc_Char!$B$1:$I$1,0),0)</f>
        <v>BIDV - THANH XUAN</v>
      </c>
      <c r="C344" s="1190" t="s">
        <v>931</v>
      </c>
      <c r="D344" s="1156" t="str">
        <f>VLOOKUP('Cash Balance'!$C344,Table2[#All],MATCH('Cash Balance'!D$3,Acc_Char!$B$1:$I$1,0),0)</f>
        <v>Current Account</v>
      </c>
      <c r="E344" s="384" t="str">
        <f>VLOOKUP('Cash Balance'!$C344,Table2[#All],MATCH('Cash Balance'!E$3,Acc_Char!$B$1:$I$1,0),0)</f>
        <v>USD</v>
      </c>
      <c r="F344" s="1094" t="e">
        <f>VLOOKUP(C344,'Cash balance (BS)'!A:C,3,)</f>
        <v>#N/A</v>
      </c>
      <c r="G344" s="1157" t="e">
        <f>F344-H344</f>
        <v>#N/A</v>
      </c>
      <c r="H344" s="1318">
        <f>SUMIFS('Cash balance (Prior period)'!F:F,'Cash balance (Prior period)'!C:C,Table11[[#This Row],[ACCOUNT NUMBER]],'Cash balance (Prior period)'!E:E,Table11[[#This Row],[CURRENCY]])</f>
        <v>0</v>
      </c>
      <c r="I344" s="1318">
        <f>SUMIFS(Movement!$F$4:$F$2136,Movement!$M$4:$M$2136,"VND",Movement!$C$4:$C$2136,Table11[[#This Row],[ACCOUNT NUMBER]],Movement!$J$4:$J$2136,Table11[[#This Row],[ENTITY]],Movement!$O$4:$O$2136,'Cash Balance'!$A$2)</f>
        <v>0</v>
      </c>
      <c r="J344" s="1318">
        <f>SUMIFS(Movement!$G$4:$G$2136,Movement!$M$4:$M$2136,"VND",Movement!$C$4:$C$2136,Table11[[#This Row],[ACCOUNT NUMBER]],Movement!$J$4:$J$2136,Table11[[#This Row],[ENTITY]],Movement!$O$4:$O$2136,'Cash Balance'!$A$2)</f>
        <v>0</v>
      </c>
      <c r="K344" s="1084">
        <f>Table11[[#This Row],[CASH IN - CREDIT (VND)]]-Table11[[#This Row],[CASH OUT - DEBIT (VND)]]</f>
        <v>0</v>
      </c>
      <c r="L344" s="1095">
        <f t="shared" si="32"/>
        <v>0</v>
      </c>
      <c r="M344" s="1184" t="e">
        <f>VLOOKUP(C344,'Cash balance (BS)'!A:D,4,)</f>
        <v>#N/A</v>
      </c>
      <c r="N344" s="1095" t="e">
        <f>Table11[[#This Row],[CLOSING BALANCE (VND)2]]-Table11[[#This Row],[CB_BS (VND)]]</f>
        <v>#N/A</v>
      </c>
      <c r="O344" s="1094">
        <v>0</v>
      </c>
      <c r="P344" s="1095">
        <f t="shared" si="33"/>
        <v>0</v>
      </c>
      <c r="Q344" s="817">
        <f>SUMIFS('Cash balance (Prior period)'!G:G,'Cash balance (Prior period)'!C:C,Table11[[#This Row],[ACCOUNT NUMBER]],'Cash balance (Prior period)'!E:E,Table11[[#This Row],[CURRENCY]])</f>
        <v>0</v>
      </c>
      <c r="R344" s="817">
        <f>SUMIFS(Movement!$F$4:$F$2136,Movement!$M$4:$M$2136,"USD",Movement!$C$4:$C$2136,Table11[[#This Row],[ACCOUNT NUMBER]],Movement!$J$4:$J$2136,Table11[[#This Row],[ENTITY]],Movement!$O$4:$O$2136,'Cash Balance'!$A$2)</f>
        <v>0</v>
      </c>
      <c r="S344" s="817">
        <f>SUMIFS(Movement!$G$4:$G$2136,Movement!$M$4:$M$2136,"USD",Movement!$C$4:$C$2136,Table11[[#This Row],[ACCOUNT NUMBER]],Movement!$J$4:$J$2136,Table11[[#This Row],[ENTITY]],Movement!$O$4:$O$2136,'Cash Balance'!$A$2)</f>
        <v>0</v>
      </c>
      <c r="T344" s="1087">
        <f t="shared" si="34"/>
        <v>0</v>
      </c>
      <c r="U344" s="817"/>
      <c r="V344" s="817">
        <f>Table11[[#This Row],[CLOSING BALANCE (USD)]]-Table11[[#This Row],[CB_BS (USD)]]</f>
        <v>0</v>
      </c>
      <c r="W344" s="1156" t="str">
        <f>VLOOKUP('Cash Balance'!$C344,Table2[#All],MATCH('Cash Balance'!W$3,Acc_Char!$B$1:$I$1,0),0)</f>
        <v>Subsidiaries</v>
      </c>
      <c r="X344" s="1156" t="str">
        <f>VLOOKUP(IFERROR(MID($Y344,1,FIND("-",$Y344)-2),$Y344),Table3[#All],2,0)</f>
        <v>BIDV</v>
      </c>
      <c r="Y344" s="1156" t="str">
        <f>VLOOKUP($B344,Table4[#All],2,0)</f>
        <v>BIDV - THANH XUAN</v>
      </c>
      <c r="Z344" s="1151"/>
      <c r="AA344" s="49"/>
    </row>
    <row r="345" spans="1:34">
      <c r="A345" s="1153" t="str">
        <f>VLOOKUP('Cash Balance'!$C345,Table2[#All],MATCH('Cash Balance'!A$3,Acc_Char!$B$1:$I$1,0),0)</f>
        <v>NSHL HOLDCO</v>
      </c>
      <c r="B345" s="1154" t="str">
        <f>VLOOKUP('Cash Balance'!$C345,Table2[#All],MATCH('Cash Balance'!B$3,Acc_Char!$B$1:$I$1,0),0)</f>
        <v>BIDV - THANH XUAN</v>
      </c>
      <c r="C345" s="1190" t="s">
        <v>932</v>
      </c>
      <c r="D345" s="1156" t="str">
        <f>VLOOKUP('Cash Balance'!$C345,Table2[#All],MATCH('Cash Balance'!D$3,Acc_Char!$B$1:$I$1,0),0)</f>
        <v>Current Account</v>
      </c>
      <c r="E345" s="384" t="str">
        <f>VLOOKUP('Cash Balance'!$C345,Table2[#All],MATCH('Cash Balance'!E$3,Acc_Char!$B$1:$I$1,0),0)</f>
        <v>USD</v>
      </c>
      <c r="F345" s="1094" t="e">
        <f>VLOOKUP(C345,'Cash balance (BS)'!A:C,3,)</f>
        <v>#N/A</v>
      </c>
      <c r="G345" s="1157" t="e">
        <f>F345-H345</f>
        <v>#N/A</v>
      </c>
      <c r="H345" s="1318">
        <f>SUMIFS('Cash balance (Prior period)'!F:F,'Cash balance (Prior period)'!C:C,Table11[[#This Row],[ACCOUNT NUMBER]],'Cash balance (Prior period)'!E:E,Table11[[#This Row],[CURRENCY]])</f>
        <v>0</v>
      </c>
      <c r="I345" s="1318">
        <f>SUMIFS(Movement!$F$4:$F$2136,Movement!$M$4:$M$2136,"VND",Movement!$C$4:$C$2136,Table11[[#This Row],[ACCOUNT NUMBER]],Movement!$J$4:$J$2136,Table11[[#This Row],[ENTITY]],Movement!$O$4:$O$2136,'Cash Balance'!$A$2)</f>
        <v>0</v>
      </c>
      <c r="J345" s="1318">
        <f>SUMIFS(Movement!$G$4:$G$2136,Movement!$M$4:$M$2136,"VND",Movement!$C$4:$C$2136,Table11[[#This Row],[ACCOUNT NUMBER]],Movement!$J$4:$J$2136,Table11[[#This Row],[ENTITY]],Movement!$O$4:$O$2136,'Cash Balance'!$A$2)</f>
        <v>0</v>
      </c>
      <c r="K345" s="1084">
        <f>Table11[[#This Row],[CASH IN - CREDIT (VND)]]-Table11[[#This Row],[CASH OUT - DEBIT (VND)]]</f>
        <v>0</v>
      </c>
      <c r="L345" s="1095">
        <f t="shared" si="32"/>
        <v>0</v>
      </c>
      <c r="M345" s="1184" t="e">
        <f>VLOOKUP(C345,'Cash balance (BS)'!A:D,4,)</f>
        <v>#N/A</v>
      </c>
      <c r="N345" s="1095" t="e">
        <f>Table11[[#This Row],[CLOSING BALANCE (VND)2]]-Table11[[#This Row],[CB_BS (VND)]]</f>
        <v>#N/A</v>
      </c>
      <c r="O345" s="1094">
        <v>0</v>
      </c>
      <c r="P345" s="1095">
        <f t="shared" si="33"/>
        <v>0</v>
      </c>
      <c r="Q345" s="817">
        <f>SUMIFS('Cash balance (Prior period)'!G:G,'Cash balance (Prior period)'!C:C,Table11[[#This Row],[ACCOUNT NUMBER]],'Cash balance (Prior period)'!E:E,Table11[[#This Row],[CURRENCY]])</f>
        <v>0</v>
      </c>
      <c r="R345" s="817">
        <f>SUMIFS(Movement!$F$4:$F$2136,Movement!$M$4:$M$2136,"USD",Movement!$C$4:$C$2136,Table11[[#This Row],[ACCOUNT NUMBER]],Movement!$J$4:$J$2136,Table11[[#This Row],[ENTITY]],Movement!$O$4:$O$2136,'Cash Balance'!$A$2)</f>
        <v>0</v>
      </c>
      <c r="S345" s="817">
        <f>SUMIFS(Movement!$G$4:$G$2136,Movement!$M$4:$M$2136,"USD",Movement!$C$4:$C$2136,Table11[[#This Row],[ACCOUNT NUMBER]],Movement!$J$4:$J$2136,Table11[[#This Row],[ENTITY]],Movement!$O$4:$O$2136,'Cash Balance'!$A$2)</f>
        <v>0</v>
      </c>
      <c r="T345" s="1087">
        <f t="shared" si="34"/>
        <v>0</v>
      </c>
      <c r="U345" s="817"/>
      <c r="V345" s="817">
        <f>Table11[[#This Row],[CLOSING BALANCE (USD)]]-Table11[[#This Row],[CB_BS (USD)]]</f>
        <v>0</v>
      </c>
      <c r="W345" s="1156" t="str">
        <f>VLOOKUP('Cash Balance'!$C345,Table2[#All],MATCH('Cash Balance'!W$3,Acc_Char!$B$1:$I$1,0),0)</f>
        <v>Subsidiaries</v>
      </c>
      <c r="X345" s="1156" t="str">
        <f>VLOOKUP(IFERROR(MID($Y345,1,FIND("-",$Y345)-2),$Y345),Table3[#All],2,0)</f>
        <v>BIDV</v>
      </c>
      <c r="Y345" s="1156" t="str">
        <f>VLOOKUP($B345,Table4[#All],2,0)</f>
        <v>BIDV - THANH XUAN</v>
      </c>
      <c r="Z345" s="1151"/>
      <c r="AA345" s="49"/>
    </row>
    <row r="346" spans="1:34">
      <c r="A346" s="1153" t="str">
        <f>VLOOKUP('Cash Balance'!$C346,Table2[#All],MATCH('Cash Balance'!A$3,Acc_Char!$B$1:$I$1,0),0)</f>
        <v>NSHL HOLDCO</v>
      </c>
      <c r="B346" s="1154" t="str">
        <f>VLOOKUP('Cash Balance'!$C346,Table2[#All],MATCH('Cash Balance'!B$3,Acc_Char!$B$1:$I$1,0),0)</f>
        <v>BIDV - THANH XUAN</v>
      </c>
      <c r="C346" s="1190" t="s">
        <v>933</v>
      </c>
      <c r="D346" s="1156" t="str">
        <f>VLOOKUP('Cash Balance'!$C346,Table2[#All],MATCH('Cash Balance'!D$3,Acc_Char!$B$1:$I$1,0),0)</f>
        <v>Foreign Loan</v>
      </c>
      <c r="E346" s="384" t="str">
        <f>VLOOKUP('Cash Balance'!$C346,Table2[#All],MATCH('Cash Balance'!E$3,Acc_Char!$B$1:$I$1,0),0)</f>
        <v>USD</v>
      </c>
      <c r="F346" s="1094"/>
      <c r="G346" s="1157"/>
      <c r="H346" s="1318">
        <f>SUMIFS('Cash balance (Prior period)'!F:F,'Cash balance (Prior period)'!C:C,Table11[[#This Row],[ACCOUNT NUMBER]],'Cash balance (Prior period)'!E:E,Table11[[#This Row],[CURRENCY]])</f>
        <v>0</v>
      </c>
      <c r="I346" s="1318">
        <f>SUMIFS(Movement!$F$4:$F$2136,Movement!$M$4:$M$2136,"VND",Movement!$C$4:$C$2136,Table11[[#This Row],[ACCOUNT NUMBER]],Movement!$J$4:$J$2136,Table11[[#This Row],[ENTITY]],Movement!$O$4:$O$2136,'Cash Balance'!$A$2)</f>
        <v>0</v>
      </c>
      <c r="J346" s="1318">
        <f>SUMIFS(Movement!$G$4:$G$2136,Movement!$M$4:$M$2136,"VND",Movement!$C$4:$C$2136,Table11[[#This Row],[ACCOUNT NUMBER]],Movement!$J$4:$J$2136,Table11[[#This Row],[ENTITY]],Movement!$O$4:$O$2136,'Cash Balance'!$A$2)</f>
        <v>0</v>
      </c>
      <c r="K346" s="1084">
        <f>Table11[[#This Row],[CASH IN - CREDIT (VND)]]-Table11[[#This Row],[CASH OUT - DEBIT (VND)]]</f>
        <v>0</v>
      </c>
      <c r="L346" s="1095">
        <f t="shared" si="32"/>
        <v>0</v>
      </c>
      <c r="M346" s="1184" t="e">
        <f>VLOOKUP(C346,'Cash balance (BS)'!A:D,4,)</f>
        <v>#N/A</v>
      </c>
      <c r="N346" s="1095" t="e">
        <f>Table11[[#This Row],[CLOSING BALANCE (VND)2]]-Table11[[#This Row],[CB_BS (VND)]]</f>
        <v>#N/A</v>
      </c>
      <c r="O346" s="1094">
        <v>0</v>
      </c>
      <c r="P346" s="1095">
        <f t="shared" si="33"/>
        <v>0</v>
      </c>
      <c r="Q346" s="817">
        <f>SUMIFS('Cash balance (Prior period)'!G:G,'Cash balance (Prior period)'!C:C,Table11[[#This Row],[ACCOUNT NUMBER]],'Cash balance (Prior period)'!E:E,Table11[[#This Row],[CURRENCY]])</f>
        <v>0</v>
      </c>
      <c r="R346" s="817">
        <f>SUMIFS(Movement!$F$4:$F$2136,Movement!$M$4:$M$2136,"USD",Movement!$C$4:$C$2136,Table11[[#This Row],[ACCOUNT NUMBER]],Movement!$J$4:$J$2136,Table11[[#This Row],[ENTITY]],Movement!$O$4:$O$2136,'Cash Balance'!$A$2)</f>
        <v>0</v>
      </c>
      <c r="S346" s="817">
        <f>SUMIFS(Movement!$G$4:$G$2136,Movement!$M$4:$M$2136,"USD",Movement!$C$4:$C$2136,Table11[[#This Row],[ACCOUNT NUMBER]],Movement!$J$4:$J$2136,Table11[[#This Row],[ENTITY]],Movement!$O$4:$O$2136,'Cash Balance'!$A$2)</f>
        <v>0</v>
      </c>
      <c r="T346" s="1087">
        <f t="shared" si="34"/>
        <v>0</v>
      </c>
      <c r="U346" s="817" t="e">
        <f>VLOOKUP(C346,'Cash balance (BS)'!A:D,4,)</f>
        <v>#N/A</v>
      </c>
      <c r="V346" s="817" t="e">
        <f>Table11[[#This Row],[CLOSING BALANCE (USD)]]-Table11[[#This Row],[CB_BS (USD)]]</f>
        <v>#N/A</v>
      </c>
      <c r="W346" s="1156" t="str">
        <f>VLOOKUP('Cash Balance'!$C346,Table2[#All],MATCH('Cash Balance'!W$3,Acc_Char!$B$1:$I$1,0),0)</f>
        <v>Subsidiaries</v>
      </c>
      <c r="X346" s="1156" t="str">
        <f>VLOOKUP(IFERROR(MID($Y346,1,FIND("-",$Y346)-2),$Y346),Table3[#All],2,0)</f>
        <v>BIDV</v>
      </c>
      <c r="Y346" s="1156" t="str">
        <f>VLOOKUP($B346,Table4[#All],2,0)</f>
        <v>BIDV - THANH XUAN</v>
      </c>
      <c r="Z346" s="1151"/>
      <c r="AA346" s="49"/>
    </row>
    <row r="347" spans="1:34">
      <c r="A347" s="1153" t="str">
        <f>VLOOKUP('Cash Balance'!$C347,Table2[#All],MATCH('Cash Balance'!A$3,Acc_Char!$B$1:$I$1,0),0)</f>
        <v>NDV PROJECT CO</v>
      </c>
      <c r="B347" s="1154" t="str">
        <f>VLOOKUP('Cash Balance'!$C347,Table2[#All],MATCH('Cash Balance'!B$3,Acc_Char!$B$1:$I$1,0),0)</f>
        <v>UOB - HCM</v>
      </c>
      <c r="C347" s="1190" t="s">
        <v>934</v>
      </c>
      <c r="D347" s="1156" t="str">
        <f>VLOOKUP('Cash Balance'!$C347,Table2[#All],MATCH('Cash Balance'!D$3,Acc_Char!$B$1:$I$1,0),0)</f>
        <v>Foreign Loan</v>
      </c>
      <c r="E347" s="384" t="str">
        <f>VLOOKUP('Cash Balance'!$C347,Table2[#All],MATCH('Cash Balance'!E$3,Acc_Char!$B$1:$I$1,0),0)</f>
        <v>USD</v>
      </c>
      <c r="F347" s="1094"/>
      <c r="G347" s="1157"/>
      <c r="H347" s="1318">
        <f>SUMIFS('Cash balance (Prior period)'!F:F,'Cash balance (Prior period)'!C:C,Table11[[#This Row],[ACCOUNT NUMBER]],'Cash balance (Prior period)'!E:E,Table11[[#This Row],[CURRENCY]])</f>
        <v>0</v>
      </c>
      <c r="I347" s="1318">
        <f>SUMIFS(Movement!$F$4:$F$2136,Movement!$M$4:$M$2136,"VND",Movement!$C$4:$C$2136,Table11[[#This Row],[ACCOUNT NUMBER]],Movement!$J$4:$J$2136,Table11[[#This Row],[ENTITY]],Movement!$O$4:$O$2136,'Cash Balance'!$A$2)</f>
        <v>0</v>
      </c>
      <c r="J347" s="1318">
        <f>SUMIFS(Movement!$G$4:$G$2136,Movement!$M$4:$M$2136,"VND",Movement!$C$4:$C$2136,Table11[[#This Row],[ACCOUNT NUMBER]],Movement!$J$4:$J$2136,Table11[[#This Row],[ENTITY]],Movement!$O$4:$O$2136,'Cash Balance'!$A$2)</f>
        <v>0</v>
      </c>
      <c r="K347" s="1084">
        <f>Table11[[#This Row],[CASH IN - CREDIT (VND)]]-Table11[[#This Row],[CASH OUT - DEBIT (VND)]]</f>
        <v>0</v>
      </c>
      <c r="L347" s="1095">
        <f t="shared" si="32"/>
        <v>0</v>
      </c>
      <c r="M347" s="1184" t="e">
        <f>VLOOKUP(C347,'Cash balance (BS)'!A:D,4,)</f>
        <v>#N/A</v>
      </c>
      <c r="N347" s="1095" t="e">
        <f>Table11[[#This Row],[CLOSING BALANCE (VND)2]]-Table11[[#This Row],[CB_BS (VND)]]</f>
        <v>#N/A</v>
      </c>
      <c r="O347" s="1094">
        <v>0</v>
      </c>
      <c r="P347" s="1095">
        <f t="shared" si="33"/>
        <v>0</v>
      </c>
      <c r="Q347" s="817">
        <f>SUMIFS('Cash balance (Prior period)'!G:G,'Cash balance (Prior period)'!C:C,Table11[[#This Row],[ACCOUNT NUMBER]],'Cash balance (Prior period)'!E:E,Table11[[#This Row],[CURRENCY]])</f>
        <v>0</v>
      </c>
      <c r="R347" s="817">
        <f>SUMIFS(Movement!$F$4:$F$2136,Movement!$M$4:$M$2136,"USD",Movement!$C$4:$C$2136,Table11[[#This Row],[ACCOUNT NUMBER]],Movement!$J$4:$J$2136,Table11[[#This Row],[ENTITY]],Movement!$O$4:$O$2136,'Cash Balance'!$A$2)</f>
        <v>0</v>
      </c>
      <c r="S347" s="817">
        <f>SUMIFS(Movement!$G$4:$G$2136,Movement!$M$4:$M$2136,"USD",Movement!$C$4:$C$2136,Table11[[#This Row],[ACCOUNT NUMBER]],Movement!$J$4:$J$2136,Table11[[#This Row],[ENTITY]],Movement!$O$4:$O$2136,'Cash Balance'!$A$2)</f>
        <v>0</v>
      </c>
      <c r="T347" s="1087">
        <f t="shared" si="34"/>
        <v>0</v>
      </c>
      <c r="U347" s="817" t="e">
        <f>VLOOKUP(C347,'Cash balance (BS)'!A:D,4,)</f>
        <v>#N/A</v>
      </c>
      <c r="V347" s="817" t="e">
        <f>Table11[[#This Row],[CLOSING BALANCE (USD)]]-Table11[[#This Row],[CB_BS (USD)]]</f>
        <v>#N/A</v>
      </c>
      <c r="W347" s="1156" t="str">
        <f>VLOOKUP('Cash Balance'!$C347,Table2[#All],MATCH('Cash Balance'!W$3,Acc_Char!$B$1:$I$1,0),0)</f>
        <v>Subsidiaries</v>
      </c>
      <c r="X347" s="1156" t="str">
        <f>VLOOKUP(IFERROR(MID($Y347,1,FIND("-",$Y347)-2),$Y347),Table3[#All],2,0)</f>
        <v>UOB</v>
      </c>
      <c r="Y347" s="1156" t="str">
        <f>VLOOKUP($B347,Table4[#All],2,0)</f>
        <v>UOB</v>
      </c>
      <c r="Z347" s="1151"/>
      <c r="AA347" s="49"/>
    </row>
    <row r="348" spans="1:34">
      <c r="A348" s="1153" t="str">
        <f>VLOOKUP('Cash Balance'!$C348,Table2[#All],MATCH('Cash Balance'!A$3,Acc_Char!$B$1:$I$1,0),0)</f>
        <v>YEN PHONG PROJECT CO</v>
      </c>
      <c r="B348" s="1154" t="str">
        <f>VLOOKUP('Cash Balance'!$C348,Table2[#All],MATCH('Cash Balance'!B$3,Acc_Char!$B$1:$I$1,0),0)</f>
        <v>UOB - HCM</v>
      </c>
      <c r="C348" s="1190" t="s">
        <v>935</v>
      </c>
      <c r="D348" s="1156" t="str">
        <f>VLOOKUP('Cash Balance'!$C348,Table2[#All],MATCH('Cash Balance'!D$3,Acc_Char!$B$1:$I$1,0),0)</f>
        <v>Foreign Loan</v>
      </c>
      <c r="E348" s="384" t="str">
        <f>VLOOKUP('Cash Balance'!$C348,Table2[#All],MATCH('Cash Balance'!E$3,Acc_Char!$B$1:$I$1,0),0)</f>
        <v>USD</v>
      </c>
      <c r="F348" s="1094"/>
      <c r="G348" s="1157"/>
      <c r="H348" s="1318">
        <f>SUMIFS('Cash balance (Prior period)'!F:F,'Cash balance (Prior period)'!C:C,Table11[[#This Row],[ACCOUNT NUMBER]],'Cash balance (Prior period)'!E:E,Table11[[#This Row],[CURRENCY]])</f>
        <v>0</v>
      </c>
      <c r="I348" s="1318">
        <f>SUMIFS(Movement!$F$4:$F$2136,Movement!$M$4:$M$2136,"VND",Movement!$C$4:$C$2136,Table11[[#This Row],[ACCOUNT NUMBER]],Movement!$J$4:$J$2136,Table11[[#This Row],[ENTITY]],Movement!$O$4:$O$2136,'Cash Balance'!$A$2)</f>
        <v>0</v>
      </c>
      <c r="J348" s="1318">
        <f>SUMIFS(Movement!$G$4:$G$2136,Movement!$M$4:$M$2136,"VND",Movement!$C$4:$C$2136,Table11[[#This Row],[ACCOUNT NUMBER]],Movement!$J$4:$J$2136,Table11[[#This Row],[ENTITY]],Movement!$O$4:$O$2136,'Cash Balance'!$A$2)</f>
        <v>0</v>
      </c>
      <c r="K348" s="1084">
        <f>Table11[[#This Row],[CASH IN - CREDIT (VND)]]-Table11[[#This Row],[CASH OUT - DEBIT (VND)]]</f>
        <v>0</v>
      </c>
      <c r="L348" s="1095">
        <f t="shared" si="32"/>
        <v>0</v>
      </c>
      <c r="M348" s="1184" t="e">
        <f>VLOOKUP(C348,'Cash balance (BS)'!A:D,4,)</f>
        <v>#N/A</v>
      </c>
      <c r="N348" s="1095" t="e">
        <f>Table11[[#This Row],[CLOSING BALANCE (VND)2]]-Table11[[#This Row],[CB_BS (VND)]]</f>
        <v>#N/A</v>
      </c>
      <c r="O348" s="1094">
        <v>0</v>
      </c>
      <c r="P348" s="1095">
        <f t="shared" si="33"/>
        <v>0</v>
      </c>
      <c r="Q348" s="817">
        <f>SUMIFS('Cash balance (Prior period)'!G:G,'Cash balance (Prior period)'!C:C,Table11[[#This Row],[ACCOUNT NUMBER]],'Cash balance (Prior period)'!E:E,Table11[[#This Row],[CURRENCY]])</f>
        <v>0</v>
      </c>
      <c r="R348" s="817">
        <f>SUMIFS(Movement!$F$4:$F$2136,Movement!$M$4:$M$2136,"USD",Movement!$C$4:$C$2136,Table11[[#This Row],[ACCOUNT NUMBER]],Movement!$J$4:$J$2136,Table11[[#This Row],[ENTITY]],Movement!$O$4:$O$2136,'Cash Balance'!$A$2)</f>
        <v>0</v>
      </c>
      <c r="S348" s="817">
        <f>SUMIFS(Movement!$G$4:$G$2136,Movement!$M$4:$M$2136,"USD",Movement!$C$4:$C$2136,Table11[[#This Row],[ACCOUNT NUMBER]],Movement!$J$4:$J$2136,Table11[[#This Row],[ENTITY]],Movement!$O$4:$O$2136,'Cash Balance'!$A$2)</f>
        <v>0</v>
      </c>
      <c r="T348" s="1087">
        <f t="shared" si="34"/>
        <v>0</v>
      </c>
      <c r="U348" s="817" t="e">
        <f>VLOOKUP(C348,'Cash balance (BS)'!A:D,4,)</f>
        <v>#N/A</v>
      </c>
      <c r="V348" s="817" t="e">
        <f>Table11[[#This Row],[CLOSING BALANCE (USD)]]-Table11[[#This Row],[CB_BS (USD)]]</f>
        <v>#N/A</v>
      </c>
      <c r="W348" s="1156" t="str">
        <f>VLOOKUP('Cash Balance'!$C348,Table2[#All],MATCH('Cash Balance'!W$3,Acc_Char!$B$1:$I$1,0),0)</f>
        <v>Subsidiaries</v>
      </c>
      <c r="X348" s="1156" t="str">
        <f>VLOOKUP(IFERROR(MID($Y348,1,FIND("-",$Y348)-2),$Y348),Table3[#All],2,0)</f>
        <v>UOB</v>
      </c>
      <c r="Y348" s="1156" t="str">
        <f>VLOOKUP($B348,Table4[#All],2,0)</f>
        <v>UOB</v>
      </c>
      <c r="Z348" s="1151"/>
      <c r="AA348" s="49"/>
    </row>
    <row r="349" spans="1:34">
      <c r="A349" s="1153" t="str">
        <f>VLOOKUP('Cash Balance'!$C349,Table2[#All],MATCH('Cash Balance'!A$3,Acc_Char!$B$1:$I$1,0),0)</f>
        <v>HOLDCO5H</v>
      </c>
      <c r="B349" s="1154" t="str">
        <f>VLOOKUP('Cash Balance'!$C349,Table2[#All],MATCH('Cash Balance'!B$3,Acc_Char!$B$1:$I$1,0),0)</f>
        <v>OCB - BINH DUONG</v>
      </c>
      <c r="C349" s="1190" t="s">
        <v>936</v>
      </c>
      <c r="D349" s="1156" t="str">
        <f>VLOOKUP('Cash Balance'!$C349,Table2[#All],MATCH('Cash Balance'!D$3,Acc_Char!$B$1:$I$1,0),0)</f>
        <v>Current Account</v>
      </c>
      <c r="E349" s="384" t="str">
        <f>VLOOKUP('Cash Balance'!$C349,Table2[#All],MATCH('Cash Balance'!E$3,Acc_Char!$B$1:$I$1,0),0)</f>
        <v>VND</v>
      </c>
      <c r="F349" s="1094"/>
      <c r="G349" s="1157"/>
      <c r="H349" s="1318">
        <f>SUMIFS('Cash balance (Prior period)'!F:F,'Cash balance (Prior period)'!C:C,Table11[[#This Row],[ACCOUNT NUMBER]],'Cash balance (Prior period)'!E:E,Table11[[#This Row],[CURRENCY]])</f>
        <v>2036832</v>
      </c>
      <c r="I349" s="1318">
        <f>SUMIFS(Movement!$F$4:$F$2136,Movement!$M$4:$M$2136,"VND",Movement!$C$4:$C$2136,Table11[[#This Row],[ACCOUNT NUMBER]],Movement!$J$4:$J$2136,Table11[[#This Row],[ENTITY]],Movement!$O$4:$O$2136,'Cash Balance'!$A$2)</f>
        <v>0</v>
      </c>
      <c r="J349" s="1318">
        <f>SUMIFS(Movement!$G$4:$G$2136,Movement!$M$4:$M$2136,"VND",Movement!$C$4:$C$2136,Table11[[#This Row],[ACCOUNT NUMBER]],Movement!$J$4:$J$2136,Table11[[#This Row],[ENTITY]],Movement!$O$4:$O$2136,'Cash Balance'!$A$2)</f>
        <v>0</v>
      </c>
      <c r="K349" s="1084">
        <f>Table11[[#This Row],[CASH IN - CREDIT (VND)]]-Table11[[#This Row],[CASH OUT - DEBIT (VND)]]</f>
        <v>0</v>
      </c>
      <c r="L349" s="1095">
        <f t="shared" si="32"/>
        <v>2036832</v>
      </c>
      <c r="M349" s="1184" t="e">
        <f>VLOOKUP(C349,'Cash balance (BS)'!A:D,4,)</f>
        <v>#N/A</v>
      </c>
      <c r="N349" s="1095" t="e">
        <f>Table11[[#This Row],[CLOSING BALANCE (VND)2]]-Table11[[#This Row],[CB_BS (VND)]]</f>
        <v>#N/A</v>
      </c>
      <c r="O349" s="1094">
        <v>0</v>
      </c>
      <c r="P349" s="1095">
        <f t="shared" si="33"/>
        <v>0</v>
      </c>
      <c r="Q349" s="817">
        <f>SUMIFS('Cash balance (Prior period)'!G:G,'Cash balance (Prior period)'!C:C,Table11[[#This Row],[ACCOUNT NUMBER]],'Cash balance (Prior period)'!E:E,Table11[[#This Row],[CURRENCY]])</f>
        <v>0</v>
      </c>
      <c r="R349" s="817">
        <f>SUMIFS(Movement!$F$4:$F$2136,Movement!$M$4:$M$2136,"USD",Movement!$C$4:$C$2136,Table11[[#This Row],[ACCOUNT NUMBER]],Movement!$J$4:$J$2136,Table11[[#This Row],[ENTITY]],Movement!$O$4:$O$2136,'Cash Balance'!$A$2)</f>
        <v>0</v>
      </c>
      <c r="S349" s="817">
        <f>SUMIFS(Movement!$G$4:$G$2136,Movement!$M$4:$M$2136,"USD",Movement!$C$4:$C$2136,Table11[[#This Row],[ACCOUNT NUMBER]],Movement!$J$4:$J$2136,Table11[[#This Row],[ENTITY]],Movement!$O$4:$O$2136,'Cash Balance'!$A$2)</f>
        <v>0</v>
      </c>
      <c r="T349" s="1087">
        <f t="shared" si="34"/>
        <v>0</v>
      </c>
      <c r="U349" s="817" t="e">
        <f>VLOOKUP(C349,'Cash balance (BS)'!A:D,4,)</f>
        <v>#N/A</v>
      </c>
      <c r="V349" s="817" t="e">
        <f>Table11[[#This Row],[CLOSING BALANCE (USD)]]-Table11[[#This Row],[CB_BS (USD)]]</f>
        <v>#N/A</v>
      </c>
      <c r="W349" s="1156" t="str">
        <f>VLOOKUP('Cash Balance'!$C349,Table2[#All],MATCH('Cash Balance'!W$3,Acc_Char!$B$1:$I$1,0),0)</f>
        <v>Subsidiaries</v>
      </c>
      <c r="X349" s="1156" t="str">
        <f>VLOOKUP(IFERROR(MID($Y349,1,FIND("-",$Y349)-2),$Y349),Table3[#All],2,0)</f>
        <v>OCB</v>
      </c>
      <c r="Y349" s="1156" t="str">
        <f>VLOOKUP($B349,Table4[#All],2,0)</f>
        <v>OCB - BINH DUONG</v>
      </c>
      <c r="Z349" s="1151"/>
      <c r="AA349" s="49"/>
    </row>
    <row r="350" spans="1:34">
      <c r="A350" s="1153" t="str">
        <f>VLOOKUP('Cash Balance'!$C350,Table2[#All],MATCH('Cash Balance'!A$3,Acc_Char!$B$1:$I$1,0),0)</f>
        <v>HOLDCO4R</v>
      </c>
      <c r="B350" s="1154" t="str">
        <f>VLOOKUP('Cash Balance'!$C350,Table2[#All],MATCH('Cash Balance'!B$3,Acc_Char!$B$1:$I$1,0),0)</f>
        <v>OCB - BINH DUONG</v>
      </c>
      <c r="C350" s="1190" t="s">
        <v>937</v>
      </c>
      <c r="D350" s="1156" t="str">
        <f>VLOOKUP('Cash Balance'!$C350,Table2[#All],MATCH('Cash Balance'!D$3,Acc_Char!$B$1:$I$1,0),0)</f>
        <v>Current Account</v>
      </c>
      <c r="E350" s="384" t="str">
        <f>VLOOKUP('Cash Balance'!$C350,Table2[#All],MATCH('Cash Balance'!E$3,Acc_Char!$B$1:$I$1,0),0)</f>
        <v>VND</v>
      </c>
      <c r="F350" s="1094"/>
      <c r="G350" s="1157"/>
      <c r="H350" s="1318">
        <f>SUMIFS('Cash balance (Prior period)'!F:F,'Cash balance (Prior period)'!C:C,Table11[[#This Row],[ACCOUNT NUMBER]],'Cash balance (Prior period)'!E:E,Table11[[#This Row],[CURRENCY]])</f>
        <v>48749322</v>
      </c>
      <c r="I350" s="1318">
        <f>SUMIFS(Movement!$F$4:$F$2136,Movement!$M$4:$M$2136,"VND",Movement!$C$4:$C$2136,Table11[[#This Row],[ACCOUNT NUMBER]],Movement!$J$4:$J$2136,Table11[[#This Row],[ENTITY]],Movement!$O$4:$O$2136,'Cash Balance'!$A$2)</f>
        <v>0</v>
      </c>
      <c r="J350" s="1318">
        <f>SUMIFS(Movement!$G$4:$G$2136,Movement!$M$4:$M$2136,"VND",Movement!$C$4:$C$2136,Table11[[#This Row],[ACCOUNT NUMBER]],Movement!$J$4:$J$2136,Table11[[#This Row],[ENTITY]],Movement!$O$4:$O$2136,'Cash Balance'!$A$2)</f>
        <v>0</v>
      </c>
      <c r="K350" s="1084">
        <f>Table11[[#This Row],[CASH IN - CREDIT (VND)]]-Table11[[#This Row],[CASH OUT - DEBIT (VND)]]</f>
        <v>0</v>
      </c>
      <c r="L350" s="1095">
        <f t="shared" si="32"/>
        <v>48749322</v>
      </c>
      <c r="M350" s="1184" t="e">
        <f>VLOOKUP(C350,'Cash balance (BS)'!A:D,4,)</f>
        <v>#N/A</v>
      </c>
      <c r="N350" s="1095" t="e">
        <f>Table11[[#This Row],[CLOSING BALANCE (VND)2]]-Table11[[#This Row],[CB_BS (VND)]]</f>
        <v>#N/A</v>
      </c>
      <c r="O350" s="1094">
        <v>0</v>
      </c>
      <c r="P350" s="1095">
        <f t="shared" si="33"/>
        <v>0</v>
      </c>
      <c r="Q350" s="817">
        <f>SUMIFS('Cash balance (Prior period)'!G:G,'Cash balance (Prior period)'!C:C,Table11[[#This Row],[ACCOUNT NUMBER]],'Cash balance (Prior period)'!E:E,Table11[[#This Row],[CURRENCY]])</f>
        <v>0</v>
      </c>
      <c r="R350" s="817">
        <f>SUMIFS(Movement!$F$4:$F$2136,Movement!$M$4:$M$2136,"USD",Movement!$C$4:$C$2136,Table11[[#This Row],[ACCOUNT NUMBER]],Movement!$J$4:$J$2136,Table11[[#This Row],[ENTITY]],Movement!$O$4:$O$2136,'Cash Balance'!$A$2)</f>
        <v>0</v>
      </c>
      <c r="S350" s="817">
        <f>SUMIFS(Movement!$G$4:$G$2136,Movement!$M$4:$M$2136,"USD",Movement!$C$4:$C$2136,Table11[[#This Row],[ACCOUNT NUMBER]],Movement!$J$4:$J$2136,Table11[[#This Row],[ENTITY]],Movement!$O$4:$O$2136,'Cash Balance'!$A$2)</f>
        <v>0</v>
      </c>
      <c r="T350" s="1087">
        <f t="shared" si="34"/>
        <v>0</v>
      </c>
      <c r="U350" s="817" t="e">
        <f>VLOOKUP(C350,'Cash balance (BS)'!A:D,4,)</f>
        <v>#N/A</v>
      </c>
      <c r="V350" s="817" t="e">
        <f>Table11[[#This Row],[CLOSING BALANCE (USD)]]-Table11[[#This Row],[CB_BS (USD)]]</f>
        <v>#N/A</v>
      </c>
      <c r="W350" s="1156" t="str">
        <f>VLOOKUP('Cash Balance'!$C350,Table2[#All],MATCH('Cash Balance'!W$3,Acc_Char!$B$1:$I$1,0),0)</f>
        <v>Subsidiaries</v>
      </c>
      <c r="X350" s="1156" t="str">
        <f>VLOOKUP(IFERROR(MID($Y350,1,FIND("-",$Y350)-2),$Y350),Table3[#All],2,0)</f>
        <v>OCB</v>
      </c>
      <c r="Y350" s="1156" t="str">
        <f>VLOOKUP($B350,Table4[#All],2,0)</f>
        <v>OCB - BINH DUONG</v>
      </c>
      <c r="Z350" s="1151"/>
      <c r="AA350" s="49"/>
    </row>
    <row r="351" spans="1:34">
      <c r="A351" s="1153" t="str">
        <f>VLOOKUP('Cash Balance'!$C351,Table2[#All],MATCH('Cash Balance'!A$3,Acc_Char!$B$1:$I$1,0),0)</f>
        <v>HOLDCO4Z</v>
      </c>
      <c r="B351" s="1154" t="str">
        <f>VLOOKUP('Cash Balance'!$C351,Table2[#All],MATCH('Cash Balance'!B$3,Acc_Char!$B$1:$I$1,0),0)</f>
        <v>OCB - BINH DUONG</v>
      </c>
      <c r="C351" s="1190" t="s">
        <v>938</v>
      </c>
      <c r="D351" s="1156" t="str">
        <f>VLOOKUP('Cash Balance'!$C351,Table2[#All],MATCH('Cash Balance'!D$3,Acc_Char!$B$1:$I$1,0),0)</f>
        <v>Current Account</v>
      </c>
      <c r="E351" s="384" t="str">
        <f>VLOOKUP('Cash Balance'!$C351,Table2[#All],MATCH('Cash Balance'!E$3,Acc_Char!$B$1:$I$1,0),0)</f>
        <v>VND</v>
      </c>
      <c r="F351" s="1094"/>
      <c r="G351" s="1157"/>
      <c r="H351" s="1318">
        <f>SUMIFS('Cash balance (Prior period)'!F:F,'Cash balance (Prior period)'!C:C,Table11[[#This Row],[ACCOUNT NUMBER]],'Cash balance (Prior period)'!E:E,Table11[[#This Row],[CURRENCY]])</f>
        <v>2230616</v>
      </c>
      <c r="I351" s="1318">
        <f>SUMIFS(Movement!$F$4:$F$2136,Movement!$M$4:$M$2136,"VND",Movement!$C$4:$C$2136,Table11[[#This Row],[ACCOUNT NUMBER]],Movement!$J$4:$J$2136,Table11[[#This Row],[ENTITY]],Movement!$O$4:$O$2136,'Cash Balance'!$A$2)</f>
        <v>0</v>
      </c>
      <c r="J351" s="1318">
        <f>SUMIFS(Movement!$G$4:$G$2136,Movement!$M$4:$M$2136,"VND",Movement!$C$4:$C$2136,Table11[[#This Row],[ACCOUNT NUMBER]],Movement!$J$4:$J$2136,Table11[[#This Row],[ENTITY]],Movement!$O$4:$O$2136,'Cash Balance'!$A$2)</f>
        <v>0</v>
      </c>
      <c r="K351" s="1084">
        <f>Table11[[#This Row],[CASH IN - CREDIT (VND)]]-Table11[[#This Row],[CASH OUT - DEBIT (VND)]]</f>
        <v>0</v>
      </c>
      <c r="L351" s="1095">
        <f t="shared" si="32"/>
        <v>2230616</v>
      </c>
      <c r="M351" s="1184" t="e">
        <f>VLOOKUP(C351,'Cash balance (BS)'!A:D,4,)</f>
        <v>#N/A</v>
      </c>
      <c r="N351" s="1095" t="e">
        <f>Table11[[#This Row],[CLOSING BALANCE (VND)2]]-Table11[[#This Row],[CB_BS (VND)]]</f>
        <v>#N/A</v>
      </c>
      <c r="O351" s="1094">
        <v>0</v>
      </c>
      <c r="P351" s="1095">
        <f t="shared" si="33"/>
        <v>0</v>
      </c>
      <c r="Q351" s="817">
        <f>SUMIFS('Cash balance (Prior period)'!G:G,'Cash balance (Prior period)'!C:C,Table11[[#This Row],[ACCOUNT NUMBER]],'Cash balance (Prior period)'!E:E,Table11[[#This Row],[CURRENCY]])</f>
        <v>0</v>
      </c>
      <c r="R351" s="817">
        <f>SUMIFS(Movement!$F$4:$F$2136,Movement!$M$4:$M$2136,"USD",Movement!$C$4:$C$2136,Table11[[#This Row],[ACCOUNT NUMBER]],Movement!$J$4:$J$2136,Table11[[#This Row],[ENTITY]],Movement!$O$4:$O$2136,'Cash Balance'!$A$2)</f>
        <v>0</v>
      </c>
      <c r="S351" s="817">
        <f>SUMIFS(Movement!$G$4:$G$2136,Movement!$M$4:$M$2136,"USD",Movement!$C$4:$C$2136,Table11[[#This Row],[ACCOUNT NUMBER]],Movement!$J$4:$J$2136,Table11[[#This Row],[ENTITY]],Movement!$O$4:$O$2136,'Cash Balance'!$A$2)</f>
        <v>0</v>
      </c>
      <c r="T351" s="1087">
        <f t="shared" si="34"/>
        <v>0</v>
      </c>
      <c r="U351" s="817" t="e">
        <f>VLOOKUP(C351,'Cash balance (BS)'!A:D,4,)</f>
        <v>#N/A</v>
      </c>
      <c r="V351" s="817" t="e">
        <f>Table11[[#This Row],[CLOSING BALANCE (USD)]]-Table11[[#This Row],[CB_BS (USD)]]</f>
        <v>#N/A</v>
      </c>
      <c r="W351" s="1156" t="str">
        <f>VLOOKUP('Cash Balance'!$C351,Table2[#All],MATCH('Cash Balance'!W$3,Acc_Char!$B$1:$I$1,0),0)</f>
        <v>Subsidiaries</v>
      </c>
      <c r="X351" s="1156" t="str">
        <f>VLOOKUP(IFERROR(MID($Y351,1,FIND("-",$Y351)-2),$Y351),Table3[#All],2,0)</f>
        <v>OCB</v>
      </c>
      <c r="Y351" s="1156" t="str">
        <f>VLOOKUP($B351,Table4[#All],2,0)</f>
        <v>OCB - BINH DUONG</v>
      </c>
      <c r="Z351" s="1151"/>
      <c r="AA351" s="49"/>
    </row>
    <row r="352" spans="1:34">
      <c r="A352" s="1153" t="str">
        <f>VLOOKUP('Cash Balance'!$C352,Table2[#All],MATCH('Cash Balance'!A$3,Acc_Char!$B$1:$I$1,0),0)</f>
        <v>HOLDCO4Q</v>
      </c>
      <c r="B352" s="1154" t="str">
        <f>VLOOKUP('Cash Balance'!$C352,Table2[#All],MATCH('Cash Balance'!B$3,Acc_Char!$B$1:$I$1,0),0)</f>
        <v>OCB - BINH DUONG</v>
      </c>
      <c r="C352" s="1190" t="s">
        <v>939</v>
      </c>
      <c r="D352" s="1156" t="str">
        <f>VLOOKUP('Cash Balance'!$C352,Table2[#All],MATCH('Cash Balance'!D$3,Acc_Char!$B$1:$I$1,0),0)</f>
        <v>Current Account</v>
      </c>
      <c r="E352" s="384" t="str">
        <f>VLOOKUP('Cash Balance'!$C352,Table2[#All],MATCH('Cash Balance'!E$3,Acc_Char!$B$1:$I$1,0),0)</f>
        <v>VND</v>
      </c>
      <c r="F352" s="1094" t="e">
        <f>VLOOKUP(C352,'Cash balance (BS)'!A:C,3,)</f>
        <v>#N/A</v>
      </c>
      <c r="G352" s="1157" t="e">
        <f t="shared" ref="G352:G372" si="36">F352-H352</f>
        <v>#N/A</v>
      </c>
      <c r="H352" s="1318">
        <f>SUMIFS('Cash balance (Prior period)'!F:F,'Cash balance (Prior period)'!C:C,Table11[[#This Row],[ACCOUNT NUMBER]],'Cash balance (Prior period)'!E:E,Table11[[#This Row],[CURRENCY]])</f>
        <v>1456409</v>
      </c>
      <c r="I352" s="1318">
        <f>SUMIFS(Movement!$F$4:$F$2136,Movement!$M$4:$M$2136,"VND",Movement!$C$4:$C$2136,Table11[[#This Row],[ACCOUNT NUMBER]],Movement!$J$4:$J$2136,Table11[[#This Row],[ENTITY]],Movement!$O$4:$O$2136,'Cash Balance'!$A$2)</f>
        <v>0</v>
      </c>
      <c r="J352" s="1318">
        <f>SUMIFS(Movement!$G$4:$G$2136,Movement!$M$4:$M$2136,"VND",Movement!$C$4:$C$2136,Table11[[#This Row],[ACCOUNT NUMBER]],Movement!$J$4:$J$2136,Table11[[#This Row],[ENTITY]],Movement!$O$4:$O$2136,'Cash Balance'!$A$2)</f>
        <v>0</v>
      </c>
      <c r="K352" s="1084">
        <f>Table11[[#This Row],[CASH IN - CREDIT (VND)]]-Table11[[#This Row],[CASH OUT - DEBIT (VND)]]</f>
        <v>0</v>
      </c>
      <c r="L352" s="1095">
        <f t="shared" si="32"/>
        <v>1456409</v>
      </c>
      <c r="M352" s="1184" t="e">
        <f>VLOOKUP(C352,'Cash balance (BS)'!A:D,4,)</f>
        <v>#N/A</v>
      </c>
      <c r="N352" s="1095" t="e">
        <f>Table11[[#This Row],[CLOSING BALANCE (VND)2]]-Table11[[#This Row],[CB_BS (VND)]]</f>
        <v>#N/A</v>
      </c>
      <c r="O352" s="1094">
        <v>0</v>
      </c>
      <c r="P352" s="1095">
        <f t="shared" si="33"/>
        <v>0</v>
      </c>
      <c r="Q352" s="817">
        <f>SUMIFS('Cash balance (Prior period)'!G:G,'Cash balance (Prior period)'!C:C,Table11[[#This Row],[ACCOUNT NUMBER]],'Cash balance (Prior period)'!E:E,Table11[[#This Row],[CURRENCY]])</f>
        <v>0</v>
      </c>
      <c r="R352" s="817">
        <f>SUMIFS(Movement!$F$4:$F$2136,Movement!$M$4:$M$2136,"USD",Movement!$C$4:$C$2136,Table11[[#This Row],[ACCOUNT NUMBER]],Movement!$J$4:$J$2136,Table11[[#This Row],[ENTITY]],Movement!$O$4:$O$2136,'Cash Balance'!$A$2)</f>
        <v>0</v>
      </c>
      <c r="S352" s="817">
        <f>SUMIFS(Movement!$G$4:$G$2136,Movement!$M$4:$M$2136,"USD",Movement!$C$4:$C$2136,Table11[[#This Row],[ACCOUNT NUMBER]],Movement!$J$4:$J$2136,Table11[[#This Row],[ENTITY]],Movement!$O$4:$O$2136,'Cash Balance'!$A$2)</f>
        <v>0</v>
      </c>
      <c r="T352" s="1087">
        <f t="shared" si="34"/>
        <v>0</v>
      </c>
      <c r="U352" s="817"/>
      <c r="V352" s="817">
        <f>Table11[[#This Row],[CLOSING BALANCE (USD)]]-Table11[[#This Row],[CB_BS (USD)]]</f>
        <v>0</v>
      </c>
      <c r="W352" s="1156" t="str">
        <f>VLOOKUP('Cash Balance'!$C352,Table2[#All],MATCH('Cash Balance'!W$3,Acc_Char!$B$1:$I$1,0),0)</f>
        <v>Subsidiaries</v>
      </c>
      <c r="X352" s="1156" t="str">
        <f>VLOOKUP(IFERROR(MID($Y352,1,FIND("-",$Y352)-2),$Y352),Table3[#All],2,0)</f>
        <v>OCB</v>
      </c>
      <c r="Y352" s="1156" t="str">
        <f>VLOOKUP($B352,Table4[#All],2,0)</f>
        <v>OCB - BINH DUONG</v>
      </c>
      <c r="Z352" s="1151"/>
      <c r="AA352" s="49"/>
    </row>
    <row r="353" spans="1:34">
      <c r="A353" s="1153" t="str">
        <f>VLOOKUP('Cash Balance'!$C353,Table2[#All],MATCH('Cash Balance'!A$3,Acc_Char!$B$1:$I$1,0),0)</f>
        <v>HOLDCO4G</v>
      </c>
      <c r="B353" s="1154" t="str">
        <f>VLOOKUP('Cash Balance'!$C353,Table2[#All],MATCH('Cash Balance'!B$3,Acc_Char!$B$1:$I$1,0),0)</f>
        <v>OCB - BINH DUONG</v>
      </c>
      <c r="C353" s="1190" t="s">
        <v>940</v>
      </c>
      <c r="D353" s="1156" t="str">
        <f>VLOOKUP('Cash Balance'!$C353,Table2[#All],MATCH('Cash Balance'!D$3,Acc_Char!$B$1:$I$1,0),0)</f>
        <v>Current Account</v>
      </c>
      <c r="E353" s="384" t="str">
        <f>VLOOKUP('Cash Balance'!$C353,Table2[#All],MATCH('Cash Balance'!E$3,Acc_Char!$B$1:$I$1,0),0)</f>
        <v>VND</v>
      </c>
      <c r="F353" s="1094" t="e">
        <f>VLOOKUP(C353,'Cash balance (BS)'!A:C,3,)</f>
        <v>#N/A</v>
      </c>
      <c r="G353" s="1157" t="e">
        <f t="shared" si="36"/>
        <v>#N/A</v>
      </c>
      <c r="H353" s="1318">
        <f>SUMIFS('Cash balance (Prior period)'!F:F,'Cash balance (Prior period)'!C:C,Table11[[#This Row],[ACCOUNT NUMBER]],'Cash balance (Prior period)'!E:E,Table11[[#This Row],[CURRENCY]])</f>
        <v>4083484</v>
      </c>
      <c r="I353" s="1318">
        <f>SUMIFS(Movement!$F$4:$F$2136,Movement!$M$4:$M$2136,"VND",Movement!$C$4:$C$2136,Table11[[#This Row],[ACCOUNT NUMBER]],Movement!$J$4:$J$2136,Table11[[#This Row],[ENTITY]],Movement!$O$4:$O$2136,'Cash Balance'!$A$2)</f>
        <v>0</v>
      </c>
      <c r="J353" s="1318">
        <f>SUMIFS(Movement!$G$4:$G$2136,Movement!$M$4:$M$2136,"VND",Movement!$C$4:$C$2136,Table11[[#This Row],[ACCOUNT NUMBER]],Movement!$J$4:$J$2136,Table11[[#This Row],[ENTITY]],Movement!$O$4:$O$2136,'Cash Balance'!$A$2)</f>
        <v>0</v>
      </c>
      <c r="K353" s="1084">
        <f>Table11[[#This Row],[CASH IN - CREDIT (VND)]]-Table11[[#This Row],[CASH OUT - DEBIT (VND)]]</f>
        <v>0</v>
      </c>
      <c r="L353" s="1095">
        <f t="shared" si="32"/>
        <v>4083484</v>
      </c>
      <c r="M353" s="1184" t="e">
        <f>VLOOKUP(C353,'Cash balance (BS)'!A:D,4,)</f>
        <v>#N/A</v>
      </c>
      <c r="N353" s="1095" t="e">
        <f>Table11[[#This Row],[CLOSING BALANCE (VND)2]]-Table11[[#This Row],[CB_BS (VND)]]</f>
        <v>#N/A</v>
      </c>
      <c r="O353" s="1094">
        <v>0</v>
      </c>
      <c r="P353" s="1095">
        <f t="shared" si="33"/>
        <v>0</v>
      </c>
      <c r="Q353" s="817">
        <f>SUMIFS('Cash balance (Prior period)'!G:G,'Cash balance (Prior period)'!C:C,Table11[[#This Row],[ACCOUNT NUMBER]],'Cash balance (Prior period)'!E:E,Table11[[#This Row],[CURRENCY]])</f>
        <v>0</v>
      </c>
      <c r="R353" s="817">
        <f>SUMIFS(Movement!$F$4:$F$2136,Movement!$M$4:$M$2136,"USD",Movement!$C$4:$C$2136,Table11[[#This Row],[ACCOUNT NUMBER]],Movement!$J$4:$J$2136,Table11[[#This Row],[ENTITY]],Movement!$O$4:$O$2136,'Cash Balance'!$A$2)</f>
        <v>0</v>
      </c>
      <c r="S353" s="817">
        <f>SUMIFS(Movement!$G$4:$G$2136,Movement!$M$4:$M$2136,"USD",Movement!$C$4:$C$2136,Table11[[#This Row],[ACCOUNT NUMBER]],Movement!$J$4:$J$2136,Table11[[#This Row],[ENTITY]],Movement!$O$4:$O$2136,'Cash Balance'!$A$2)</f>
        <v>0</v>
      </c>
      <c r="T353" s="1087">
        <f t="shared" si="34"/>
        <v>0</v>
      </c>
      <c r="U353" s="817"/>
      <c r="V353" s="817">
        <f>Table11[[#This Row],[CLOSING BALANCE (USD)]]-Table11[[#This Row],[CB_BS (USD)]]</f>
        <v>0</v>
      </c>
      <c r="W353" s="1156" t="str">
        <f>VLOOKUP('Cash Balance'!$C353,Table2[#All],MATCH('Cash Balance'!W$3,Acc_Char!$B$1:$I$1,0),0)</f>
        <v>Subsidiaries</v>
      </c>
      <c r="X353" s="1156" t="str">
        <f>VLOOKUP(IFERROR(MID($Y353,1,FIND("-",$Y353)-2),$Y353),Table3[#All],2,0)</f>
        <v>OCB</v>
      </c>
      <c r="Y353" s="1156" t="str">
        <f>VLOOKUP($B353,Table4[#All],2,0)</f>
        <v>OCB - BINH DUONG</v>
      </c>
      <c r="Z353" s="1151"/>
      <c r="AA353" s="49"/>
    </row>
    <row r="354" spans="1:34">
      <c r="A354" s="1153" t="str">
        <f>VLOOKUP('Cash Balance'!$C354,Table2[#All],MATCH('Cash Balance'!A$3,Acc_Char!$B$1:$I$1,0),0)</f>
        <v>HOLDCO4K</v>
      </c>
      <c r="B354" s="1154" t="str">
        <f>VLOOKUP('Cash Balance'!$C354,Table2[#All],MATCH('Cash Balance'!B$3,Acc_Char!$B$1:$I$1,0),0)</f>
        <v>OCB - BINH DUONG</v>
      </c>
      <c r="C354" s="1190" t="s">
        <v>941</v>
      </c>
      <c r="D354" s="1156" t="str">
        <f>VLOOKUP('Cash Balance'!$C354,Table2[#All],MATCH('Cash Balance'!D$3,Acc_Char!$B$1:$I$1,0),0)</f>
        <v>Current Account</v>
      </c>
      <c r="E354" s="384" t="str">
        <f>VLOOKUP('Cash Balance'!$C354,Table2[#All],MATCH('Cash Balance'!E$3,Acc_Char!$B$1:$I$1,0),0)</f>
        <v>VND</v>
      </c>
      <c r="F354" s="1094" t="e">
        <f>VLOOKUP(C354,'Cash balance (BS)'!A:C,3,)</f>
        <v>#N/A</v>
      </c>
      <c r="G354" s="1157" t="e">
        <f t="shared" si="36"/>
        <v>#N/A</v>
      </c>
      <c r="H354" s="1318">
        <f>SUMIFS('Cash balance (Prior period)'!F:F,'Cash balance (Prior period)'!C:C,Table11[[#This Row],[ACCOUNT NUMBER]],'Cash balance (Prior period)'!E:E,Table11[[#This Row],[CURRENCY]])</f>
        <v>5558178</v>
      </c>
      <c r="I354" s="1318">
        <f>SUMIFS(Movement!$F$4:$F$2136,Movement!$M$4:$M$2136,"VND",Movement!$C$4:$C$2136,Table11[[#This Row],[ACCOUNT NUMBER]],Movement!$J$4:$J$2136,Table11[[#This Row],[ENTITY]],Movement!$O$4:$O$2136,'Cash Balance'!$A$2)</f>
        <v>0</v>
      </c>
      <c r="J354" s="1318">
        <f>SUMIFS(Movement!$G$4:$G$2136,Movement!$M$4:$M$2136,"VND",Movement!$C$4:$C$2136,Table11[[#This Row],[ACCOUNT NUMBER]],Movement!$J$4:$J$2136,Table11[[#This Row],[ENTITY]],Movement!$O$4:$O$2136,'Cash Balance'!$A$2)</f>
        <v>0</v>
      </c>
      <c r="K354" s="1084">
        <f>Table11[[#This Row],[CASH IN - CREDIT (VND)]]-Table11[[#This Row],[CASH OUT - DEBIT (VND)]]</f>
        <v>0</v>
      </c>
      <c r="L354" s="1095">
        <f t="shared" si="32"/>
        <v>5558178</v>
      </c>
      <c r="M354" s="1184" t="e">
        <f>VLOOKUP(C354,'Cash balance (BS)'!A:D,4,)</f>
        <v>#N/A</v>
      </c>
      <c r="N354" s="1095" t="e">
        <f>Table11[[#This Row],[CLOSING BALANCE (VND)2]]-Table11[[#This Row],[CB_BS (VND)]]</f>
        <v>#N/A</v>
      </c>
      <c r="O354" s="1094">
        <v>0</v>
      </c>
      <c r="P354" s="1095">
        <f t="shared" si="33"/>
        <v>0</v>
      </c>
      <c r="Q354" s="817">
        <f>SUMIFS('Cash balance (Prior period)'!G:G,'Cash balance (Prior period)'!C:C,Table11[[#This Row],[ACCOUNT NUMBER]],'Cash balance (Prior period)'!E:E,Table11[[#This Row],[CURRENCY]])</f>
        <v>0</v>
      </c>
      <c r="R354" s="817">
        <f>SUMIFS(Movement!$F$4:$F$2136,Movement!$M$4:$M$2136,"USD",Movement!$C$4:$C$2136,Table11[[#This Row],[ACCOUNT NUMBER]],Movement!$J$4:$J$2136,Table11[[#This Row],[ENTITY]],Movement!$O$4:$O$2136,'Cash Balance'!$A$2)</f>
        <v>0</v>
      </c>
      <c r="S354" s="817">
        <f>SUMIFS(Movement!$G$4:$G$2136,Movement!$M$4:$M$2136,"USD",Movement!$C$4:$C$2136,Table11[[#This Row],[ACCOUNT NUMBER]],Movement!$J$4:$J$2136,Table11[[#This Row],[ENTITY]],Movement!$O$4:$O$2136,'Cash Balance'!$A$2)</f>
        <v>0</v>
      </c>
      <c r="T354" s="1087">
        <f t="shared" si="34"/>
        <v>0</v>
      </c>
      <c r="U354" s="817"/>
      <c r="V354" s="817">
        <f>Table11[[#This Row],[CLOSING BALANCE (USD)]]-Table11[[#This Row],[CB_BS (USD)]]</f>
        <v>0</v>
      </c>
      <c r="W354" s="1156" t="str">
        <f>VLOOKUP('Cash Balance'!$C354,Table2[#All],MATCH('Cash Balance'!W$3,Acc_Char!$B$1:$I$1,0),0)</f>
        <v>Subsidiaries</v>
      </c>
      <c r="X354" s="1156" t="str">
        <f>VLOOKUP(IFERROR(MID($Y354,1,FIND("-",$Y354)-2),$Y354),Table3[#All],2,0)</f>
        <v>OCB</v>
      </c>
      <c r="Y354" s="1156" t="str">
        <f>VLOOKUP($B354,Table4[#All],2,0)</f>
        <v>OCB - BINH DUONG</v>
      </c>
      <c r="Z354" s="1151"/>
      <c r="AA354" s="49"/>
    </row>
    <row r="355" spans="1:34">
      <c r="A355" s="1153" t="str">
        <f>VLOOKUP('Cash Balance'!$C355,Table2[#All],MATCH('Cash Balance'!A$3,Acc_Char!$B$1:$I$1,0),0)</f>
        <v>HOLDCO5K</v>
      </c>
      <c r="B355" s="1154" t="str">
        <f>VLOOKUP('Cash Balance'!$C355,Table2[#All],MATCH('Cash Balance'!B$3,Acc_Char!$B$1:$I$1,0),0)</f>
        <v>OCB - BINH DUONG</v>
      </c>
      <c r="C355" s="1190" t="s">
        <v>942</v>
      </c>
      <c r="D355" s="1156" t="str">
        <f>VLOOKUP('Cash Balance'!$C355,Table2[#All],MATCH('Cash Balance'!D$3,Acc_Char!$B$1:$I$1,0),0)</f>
        <v>Current Account</v>
      </c>
      <c r="E355" s="384" t="str">
        <f>VLOOKUP('Cash Balance'!$C355,Table2[#All],MATCH('Cash Balance'!E$3,Acc_Char!$B$1:$I$1,0),0)</f>
        <v>VND</v>
      </c>
      <c r="F355" s="1094" t="e">
        <f>VLOOKUP(C355,'Cash balance (BS)'!A:C,3,)</f>
        <v>#N/A</v>
      </c>
      <c r="G355" s="1157" t="e">
        <f t="shared" si="36"/>
        <v>#N/A</v>
      </c>
      <c r="H355" s="1318">
        <f>SUMIFS('Cash balance (Prior period)'!F:F,'Cash balance (Prior period)'!C:C,Table11[[#This Row],[ACCOUNT NUMBER]],'Cash balance (Prior period)'!E:E,Table11[[#This Row],[CURRENCY]])</f>
        <v>9809226</v>
      </c>
      <c r="I355" s="1318">
        <f>SUMIFS(Movement!$F$4:$F$2136,Movement!$M$4:$M$2136,"VND",Movement!$C$4:$C$2136,Table11[[#This Row],[ACCOUNT NUMBER]],Movement!$J$4:$J$2136,Table11[[#This Row],[ENTITY]],Movement!$O$4:$O$2136,'Cash Balance'!$A$2)</f>
        <v>0</v>
      </c>
      <c r="J355" s="1318">
        <f>SUMIFS(Movement!$G$4:$G$2136,Movement!$M$4:$M$2136,"VND",Movement!$C$4:$C$2136,Table11[[#This Row],[ACCOUNT NUMBER]],Movement!$J$4:$J$2136,Table11[[#This Row],[ENTITY]],Movement!$O$4:$O$2136,'Cash Balance'!$A$2)</f>
        <v>0</v>
      </c>
      <c r="K355" s="1084">
        <f>Table11[[#This Row],[CASH IN - CREDIT (VND)]]-Table11[[#This Row],[CASH OUT - DEBIT (VND)]]</f>
        <v>0</v>
      </c>
      <c r="L355" s="1095">
        <f t="shared" si="32"/>
        <v>9809226</v>
      </c>
      <c r="M355" s="1184" t="e">
        <f>VLOOKUP(C355,'Cash balance (BS)'!A:D,4,)</f>
        <v>#N/A</v>
      </c>
      <c r="N355" s="1095" t="e">
        <f>Table11[[#This Row],[CLOSING BALANCE (VND)2]]-Table11[[#This Row],[CB_BS (VND)]]</f>
        <v>#N/A</v>
      </c>
      <c r="O355" s="1094">
        <v>0</v>
      </c>
      <c r="P355" s="1095">
        <f t="shared" si="33"/>
        <v>0</v>
      </c>
      <c r="Q355" s="817">
        <f>SUMIFS('Cash balance (Prior period)'!G:G,'Cash balance (Prior period)'!C:C,Table11[[#This Row],[ACCOUNT NUMBER]],'Cash balance (Prior period)'!E:E,Table11[[#This Row],[CURRENCY]])</f>
        <v>0</v>
      </c>
      <c r="R355" s="817">
        <f>SUMIFS(Movement!$F$4:$F$2136,Movement!$M$4:$M$2136,"USD",Movement!$C$4:$C$2136,Table11[[#This Row],[ACCOUNT NUMBER]],Movement!$J$4:$J$2136,Table11[[#This Row],[ENTITY]],Movement!$O$4:$O$2136,'Cash Balance'!$A$2)</f>
        <v>0</v>
      </c>
      <c r="S355" s="817">
        <f>SUMIFS(Movement!$G$4:$G$2136,Movement!$M$4:$M$2136,"USD",Movement!$C$4:$C$2136,Table11[[#This Row],[ACCOUNT NUMBER]],Movement!$J$4:$J$2136,Table11[[#This Row],[ENTITY]],Movement!$O$4:$O$2136,'Cash Balance'!$A$2)</f>
        <v>0</v>
      </c>
      <c r="T355" s="1087">
        <f t="shared" si="34"/>
        <v>0</v>
      </c>
      <c r="U355" s="817"/>
      <c r="V355" s="817">
        <f>Table11[[#This Row],[CLOSING BALANCE (USD)]]-Table11[[#This Row],[CB_BS (USD)]]</f>
        <v>0</v>
      </c>
      <c r="W355" s="1156" t="str">
        <f>VLOOKUP('Cash Balance'!$C355,Table2[#All],MATCH('Cash Balance'!W$3,Acc_Char!$B$1:$I$1,0),0)</f>
        <v>Subsidiaries</v>
      </c>
      <c r="X355" s="1156" t="str">
        <f>VLOOKUP(IFERROR(MID($Y355,1,FIND("-",$Y355)-2),$Y355),Table3[#All],2,0)</f>
        <v>OCB</v>
      </c>
      <c r="Y355" s="1156" t="str">
        <f>VLOOKUP($B355,Table4[#All],2,0)</f>
        <v>OCB - BINH DUONG</v>
      </c>
      <c r="Z355" s="1151"/>
      <c r="AA355" s="49"/>
    </row>
    <row r="356" spans="1:34">
      <c r="A356" s="1153" t="str">
        <f>VLOOKUP('Cash Balance'!$C356,Table2[#All],MATCH('Cash Balance'!A$3,Acc_Char!$B$1:$I$1,0),0)</f>
        <v>HOLDCO S4A</v>
      </c>
      <c r="B356" s="1154" t="str">
        <f>VLOOKUP('Cash Balance'!$C356,Table2[#All],MATCH('Cash Balance'!B$3,Acc_Char!$B$1:$I$1,0),0)</f>
        <v>VIETINBANK - TIEN SON</v>
      </c>
      <c r="C356" s="1190" t="s">
        <v>944</v>
      </c>
      <c r="D356" s="1156" t="str">
        <f>VLOOKUP('Cash Balance'!$C356,Table2[#All],MATCH('Cash Balance'!D$3,Acc_Char!$B$1:$I$1,0),0)</f>
        <v>Current Account</v>
      </c>
      <c r="E356" s="384" t="str">
        <f>VLOOKUP('Cash Balance'!$C356,Table2[#All],MATCH('Cash Balance'!E$3,Acc_Char!$B$1:$I$1,0),0)</f>
        <v>VND</v>
      </c>
      <c r="F356" s="1094" t="e">
        <f>VLOOKUP(C356,'Cash balance (BS)'!A:C,3,)</f>
        <v>#N/A</v>
      </c>
      <c r="G356" s="1157" t="e">
        <f t="shared" si="36"/>
        <v>#N/A</v>
      </c>
      <c r="H356" s="1318">
        <f>SUMIFS('Cash balance (Prior period)'!F:F,'Cash balance (Prior period)'!C:C,Table11[[#This Row],[ACCOUNT NUMBER]],'Cash balance (Prior period)'!E:E,Table11[[#This Row],[CURRENCY]])</f>
        <v>96777040</v>
      </c>
      <c r="I356" s="1318">
        <f>SUMIFS(Movement!$F$4:$F$2136,Movement!$M$4:$M$2136,"VND",Movement!$C$4:$C$2136,Table11[[#This Row],[ACCOUNT NUMBER]],Movement!$J$4:$J$2136,Table11[[#This Row],[ENTITY]],Movement!$O$4:$O$2136,'Cash Balance'!$A$2)</f>
        <v>0</v>
      </c>
      <c r="J356" s="1318">
        <f>SUMIFS(Movement!$G$4:$G$2136,Movement!$M$4:$M$2136,"VND",Movement!$C$4:$C$2136,Table11[[#This Row],[ACCOUNT NUMBER]],Movement!$J$4:$J$2136,Table11[[#This Row],[ENTITY]],Movement!$O$4:$O$2136,'Cash Balance'!$A$2)</f>
        <v>0</v>
      </c>
      <c r="K356" s="1084">
        <f>Table11[[#This Row],[CASH IN - CREDIT (VND)]]-Table11[[#This Row],[CASH OUT - DEBIT (VND)]]</f>
        <v>0</v>
      </c>
      <c r="L356" s="1095">
        <f t="shared" si="32"/>
        <v>96777040</v>
      </c>
      <c r="M356" s="1184" t="e">
        <f>VLOOKUP(C356,'Cash balance (BS)'!A:D,4,)</f>
        <v>#N/A</v>
      </c>
      <c r="N356" s="1095" t="e">
        <f>Table11[[#This Row],[CLOSING BALANCE (VND)2]]-Table11[[#This Row],[CB_BS (VND)]]</f>
        <v>#N/A</v>
      </c>
      <c r="O356" s="1094">
        <v>0</v>
      </c>
      <c r="P356" s="1095">
        <f t="shared" si="33"/>
        <v>0</v>
      </c>
      <c r="Q356" s="817">
        <f>SUMIFS('Cash balance (Prior period)'!G:G,'Cash balance (Prior period)'!C:C,Table11[[#This Row],[ACCOUNT NUMBER]],'Cash balance (Prior period)'!E:E,Table11[[#This Row],[CURRENCY]])</f>
        <v>0</v>
      </c>
      <c r="R356" s="817">
        <f>SUMIFS(Movement!$F$4:$F$2136,Movement!$M$4:$M$2136,"USD",Movement!$C$4:$C$2136,Table11[[#This Row],[ACCOUNT NUMBER]],Movement!$J$4:$J$2136,Table11[[#This Row],[ENTITY]],Movement!$O$4:$O$2136,'Cash Balance'!$A$2)</f>
        <v>0</v>
      </c>
      <c r="S356" s="817">
        <f>SUMIFS(Movement!$G$4:$G$2136,Movement!$M$4:$M$2136,"USD",Movement!$C$4:$C$2136,Table11[[#This Row],[ACCOUNT NUMBER]],Movement!$J$4:$J$2136,Table11[[#This Row],[ENTITY]],Movement!$O$4:$O$2136,'Cash Balance'!$A$2)</f>
        <v>0</v>
      </c>
      <c r="T356" s="1087">
        <f t="shared" si="34"/>
        <v>0</v>
      </c>
      <c r="U356" s="817"/>
      <c r="V356" s="817">
        <f>Table11[[#This Row],[CLOSING BALANCE (USD)]]-Table11[[#This Row],[CB_BS (USD)]]</f>
        <v>0</v>
      </c>
      <c r="W356" s="1156" t="str">
        <f>VLOOKUP('Cash Balance'!$C356,Table2[#All],MATCH('Cash Balance'!W$3,Acc_Char!$B$1:$I$1,0),0)</f>
        <v>Subsidiaries</v>
      </c>
      <c r="X356" s="1156" t="str">
        <f>VLOOKUP(IFERROR(MID($Y356,1,FIND("-",$Y356)-2),$Y356),Table3[#All],2,0)</f>
        <v>VTB</v>
      </c>
      <c r="Y356" s="1156" t="str">
        <f>VLOOKUP($B356,Table4[#All],2,0)</f>
        <v>VIETINBANK - TIEN SON</v>
      </c>
      <c r="Z356" s="1151"/>
      <c r="AA356" s="49"/>
    </row>
    <row r="357" spans="1:34">
      <c r="A357" s="1153" t="str">
        <f>VLOOKUP('Cash Balance'!$C357,Table2[#All],MATCH('Cash Balance'!A$3,Acc_Char!$B$1:$I$1,0),0)</f>
        <v>HOLDCO S5A</v>
      </c>
      <c r="B357" s="1154" t="str">
        <f>VLOOKUP('Cash Balance'!$C357,Table2[#All],MATCH('Cash Balance'!B$3,Acc_Char!$B$1:$I$1,0),0)</f>
        <v>VIETINBANK - TIEN SON</v>
      </c>
      <c r="C357" s="1190" t="s">
        <v>946</v>
      </c>
      <c r="D357" s="1156" t="str">
        <f>VLOOKUP('Cash Balance'!$C357,Table2[#All],MATCH('Cash Balance'!D$3,Acc_Char!$B$1:$I$1,0),0)</f>
        <v>Current Account</v>
      </c>
      <c r="E357" s="384" t="str">
        <f>VLOOKUP('Cash Balance'!$C357,Table2[#All],MATCH('Cash Balance'!E$3,Acc_Char!$B$1:$I$1,0),0)</f>
        <v>VND</v>
      </c>
      <c r="F357" s="1094" t="e">
        <f>VLOOKUP(C357,'Cash balance (BS)'!A:C,3,)</f>
        <v>#N/A</v>
      </c>
      <c r="G357" s="1157" t="e">
        <f t="shared" si="36"/>
        <v>#N/A</v>
      </c>
      <c r="H357" s="1318">
        <f>SUMIFS('Cash balance (Prior period)'!F:F,'Cash balance (Prior period)'!C:C,Table11[[#This Row],[ACCOUNT NUMBER]],'Cash balance (Prior period)'!E:E,Table11[[#This Row],[CURRENCY]])</f>
        <v>98259109</v>
      </c>
      <c r="I357" s="1318">
        <f>SUMIFS(Movement!$F$4:$F$2136,Movement!$M$4:$M$2136,"VND",Movement!$C$4:$C$2136,Table11[[#This Row],[ACCOUNT NUMBER]],Movement!$J$4:$J$2136,Table11[[#This Row],[ENTITY]],Movement!$O$4:$O$2136,'Cash Balance'!$A$2)</f>
        <v>18147945</v>
      </c>
      <c r="J357" s="1318">
        <f>SUMIFS(Movement!$G$4:$G$2136,Movement!$M$4:$M$2136,"VND",Movement!$C$4:$C$2136,Table11[[#This Row],[ACCOUNT NUMBER]],Movement!$J$4:$J$2136,Table11[[#This Row],[ENTITY]],Movement!$O$4:$O$2136,'Cash Balance'!$A$2)</f>
        <v>0</v>
      </c>
      <c r="K357" s="1084">
        <f>Table11[[#This Row],[CASH IN - CREDIT (VND)]]-Table11[[#This Row],[CASH OUT - DEBIT (VND)]]</f>
        <v>18147945</v>
      </c>
      <c r="L357" s="1095">
        <f t="shared" si="32"/>
        <v>116407054</v>
      </c>
      <c r="M357" s="1184" t="e">
        <f>VLOOKUP(C357,'Cash balance (BS)'!A:D,4,)</f>
        <v>#N/A</v>
      </c>
      <c r="N357" s="1095" t="e">
        <f>Table11[[#This Row],[CLOSING BALANCE (VND)2]]-Table11[[#This Row],[CB_BS (VND)]]</f>
        <v>#N/A</v>
      </c>
      <c r="O357" s="1094">
        <v>0</v>
      </c>
      <c r="P357" s="1095">
        <f t="shared" si="33"/>
        <v>0</v>
      </c>
      <c r="Q357" s="817">
        <f>SUMIFS('Cash balance (Prior period)'!G:G,'Cash balance (Prior period)'!C:C,Table11[[#This Row],[ACCOUNT NUMBER]],'Cash balance (Prior period)'!E:E,Table11[[#This Row],[CURRENCY]])</f>
        <v>0</v>
      </c>
      <c r="R357" s="817">
        <f>SUMIFS(Movement!$F$4:$F$2136,Movement!$M$4:$M$2136,"USD",Movement!$C$4:$C$2136,Table11[[#This Row],[ACCOUNT NUMBER]],Movement!$J$4:$J$2136,Table11[[#This Row],[ENTITY]],Movement!$O$4:$O$2136,'Cash Balance'!$A$2)</f>
        <v>0</v>
      </c>
      <c r="S357" s="817">
        <f>SUMIFS(Movement!$G$4:$G$2136,Movement!$M$4:$M$2136,"USD",Movement!$C$4:$C$2136,Table11[[#This Row],[ACCOUNT NUMBER]],Movement!$J$4:$J$2136,Table11[[#This Row],[ENTITY]],Movement!$O$4:$O$2136,'Cash Balance'!$A$2)</f>
        <v>0</v>
      </c>
      <c r="T357" s="1087">
        <f t="shared" si="34"/>
        <v>0</v>
      </c>
      <c r="U357" s="817"/>
      <c r="V357" s="817">
        <f>Table11[[#This Row],[CLOSING BALANCE (USD)]]-Table11[[#This Row],[CB_BS (USD)]]</f>
        <v>0</v>
      </c>
      <c r="W357" s="1156" t="str">
        <f>VLOOKUP('Cash Balance'!$C357,Table2[#All],MATCH('Cash Balance'!W$3,Acc_Char!$B$1:$I$1,0),0)</f>
        <v>Subsidiaries</v>
      </c>
      <c r="X357" s="1156" t="str">
        <f>VLOOKUP(IFERROR(MID($Y357,1,FIND("-",$Y357)-2),$Y357),Table3[#All],2,0)</f>
        <v>VTB</v>
      </c>
      <c r="Y357" s="1156" t="str">
        <f>VLOOKUP($B357,Table4[#All],2,0)</f>
        <v>VIETINBANK - TIEN SON</v>
      </c>
      <c r="Z357" s="1151"/>
      <c r="AA357" s="49"/>
    </row>
    <row r="358" spans="1:34">
      <c r="A358" s="1153" t="str">
        <f>VLOOKUP('Cash Balance'!$C358,Table2[#All],MATCH('Cash Balance'!A$3,Acc_Char!$B$1:$I$1,0),0)</f>
        <v>HOLDCO S4B</v>
      </c>
      <c r="B358" s="1154" t="str">
        <f>VLOOKUP('Cash Balance'!$C358,Table2[#All],MATCH('Cash Balance'!B$3,Acc_Char!$B$1:$I$1,0),0)</f>
        <v>VIETINBANK - TIEN SON</v>
      </c>
      <c r="C358" s="1190" t="s">
        <v>948</v>
      </c>
      <c r="D358" s="1156" t="str">
        <f>VLOOKUP('Cash Balance'!$C358,Table2[#All],MATCH('Cash Balance'!D$3,Acc_Char!$B$1:$I$1,0),0)</f>
        <v>Current Account</v>
      </c>
      <c r="E358" s="384" t="str">
        <f>VLOOKUP('Cash Balance'!$C358,Table2[#All],MATCH('Cash Balance'!E$3,Acc_Char!$B$1:$I$1,0),0)</f>
        <v>VND</v>
      </c>
      <c r="F358" s="1094" t="e">
        <f>VLOOKUP(C358,'Cash balance (BS)'!A:C,3,)</f>
        <v>#N/A</v>
      </c>
      <c r="G358" s="1157" t="e">
        <f t="shared" si="36"/>
        <v>#N/A</v>
      </c>
      <c r="H358" s="1318">
        <f>SUMIFS('Cash balance (Prior period)'!F:F,'Cash balance (Prior period)'!C:C,Table11[[#This Row],[ACCOUNT NUMBER]],'Cash balance (Prior period)'!E:E,Table11[[#This Row],[CURRENCY]])</f>
        <v>96777150</v>
      </c>
      <c r="I358" s="1318">
        <f>SUMIFS(Movement!$F$4:$F$2136,Movement!$M$4:$M$2136,"VND",Movement!$C$4:$C$2136,Table11[[#This Row],[ACCOUNT NUMBER]],Movement!$J$4:$J$2136,Table11[[#This Row],[ENTITY]],Movement!$O$4:$O$2136,'Cash Balance'!$A$2)</f>
        <v>0</v>
      </c>
      <c r="J358" s="1318">
        <f>SUMIFS(Movement!$G$4:$G$2136,Movement!$M$4:$M$2136,"VND",Movement!$C$4:$C$2136,Table11[[#This Row],[ACCOUNT NUMBER]],Movement!$J$4:$J$2136,Table11[[#This Row],[ENTITY]],Movement!$O$4:$O$2136,'Cash Balance'!$A$2)</f>
        <v>0</v>
      </c>
      <c r="K358" s="1084">
        <f>Table11[[#This Row],[CASH IN - CREDIT (VND)]]-Table11[[#This Row],[CASH OUT - DEBIT (VND)]]</f>
        <v>0</v>
      </c>
      <c r="L358" s="1095">
        <f t="shared" si="32"/>
        <v>96777150</v>
      </c>
      <c r="M358" s="1184" t="e">
        <f>VLOOKUP(C358,'Cash balance (BS)'!A:D,4,)</f>
        <v>#N/A</v>
      </c>
      <c r="N358" s="1095" t="e">
        <f>Table11[[#This Row],[CLOSING BALANCE (VND)2]]-Table11[[#This Row],[CB_BS (VND)]]</f>
        <v>#N/A</v>
      </c>
      <c r="O358" s="1094">
        <v>0</v>
      </c>
      <c r="P358" s="1095">
        <f t="shared" si="33"/>
        <v>0</v>
      </c>
      <c r="Q358" s="817">
        <f>SUMIFS('Cash balance (Prior period)'!G:G,'Cash balance (Prior period)'!C:C,Table11[[#This Row],[ACCOUNT NUMBER]],'Cash balance (Prior period)'!E:E,Table11[[#This Row],[CURRENCY]])</f>
        <v>0</v>
      </c>
      <c r="R358" s="817">
        <f>SUMIFS(Movement!$F$4:$F$2136,Movement!$M$4:$M$2136,"USD",Movement!$C$4:$C$2136,Table11[[#This Row],[ACCOUNT NUMBER]],Movement!$J$4:$J$2136,Table11[[#This Row],[ENTITY]],Movement!$O$4:$O$2136,'Cash Balance'!$A$2)</f>
        <v>0</v>
      </c>
      <c r="S358" s="817">
        <f>SUMIFS(Movement!$G$4:$G$2136,Movement!$M$4:$M$2136,"USD",Movement!$C$4:$C$2136,Table11[[#This Row],[ACCOUNT NUMBER]],Movement!$J$4:$J$2136,Table11[[#This Row],[ENTITY]],Movement!$O$4:$O$2136,'Cash Balance'!$A$2)</f>
        <v>0</v>
      </c>
      <c r="T358" s="1087">
        <f t="shared" si="34"/>
        <v>0</v>
      </c>
      <c r="U358" s="817"/>
      <c r="V358" s="817">
        <f>Table11[[#This Row],[CLOSING BALANCE (USD)]]-Table11[[#This Row],[CB_BS (USD)]]</f>
        <v>0</v>
      </c>
      <c r="W358" s="1156" t="str">
        <f>VLOOKUP('Cash Balance'!$C358,Table2[#All],MATCH('Cash Balance'!W$3,Acc_Char!$B$1:$I$1,0),0)</f>
        <v>Subsidiaries</v>
      </c>
      <c r="X358" s="1156" t="str">
        <f>VLOOKUP(IFERROR(MID($Y358,1,FIND("-",$Y358)-2),$Y358),Table3[#All],2,0)</f>
        <v>VTB</v>
      </c>
      <c r="Y358" s="1156" t="str">
        <f>VLOOKUP($B358,Table4[#All],2,0)</f>
        <v>VIETINBANK - TIEN SON</v>
      </c>
      <c r="Z358" s="1151"/>
      <c r="AA358" s="49"/>
    </row>
    <row r="359" spans="1:34">
      <c r="A359" s="1153" t="str">
        <f>VLOOKUP('Cash Balance'!$C359,Table2[#All],MATCH('Cash Balance'!A$3,Acc_Char!$B$1:$I$1,0),0)</f>
        <v>HOLDCO S5B</v>
      </c>
      <c r="B359" s="1154" t="str">
        <f>VLOOKUP('Cash Balance'!$C359,Table2[#All],MATCH('Cash Balance'!B$3,Acc_Char!$B$1:$I$1,0),0)</f>
        <v>VIETINBANK - TIEN SON</v>
      </c>
      <c r="C359" s="1190" t="s">
        <v>950</v>
      </c>
      <c r="D359" s="1156" t="str">
        <f>VLOOKUP('Cash Balance'!$C359,Table2[#All],MATCH('Cash Balance'!D$3,Acc_Char!$B$1:$I$1,0),0)</f>
        <v>Current Account</v>
      </c>
      <c r="E359" s="384" t="str">
        <f>VLOOKUP('Cash Balance'!$C359,Table2[#All],MATCH('Cash Balance'!E$3,Acc_Char!$B$1:$I$1,0),0)</f>
        <v>VND</v>
      </c>
      <c r="F359" s="1094" t="e">
        <f>VLOOKUP(C359,'Cash balance (BS)'!A:C,3,)</f>
        <v>#N/A</v>
      </c>
      <c r="G359" s="1157" t="e">
        <f t="shared" si="36"/>
        <v>#N/A</v>
      </c>
      <c r="H359" s="1318">
        <f>SUMIFS('Cash balance (Prior period)'!F:F,'Cash balance (Prior period)'!C:C,Table11[[#This Row],[ACCOUNT NUMBER]],'Cash balance (Prior period)'!E:E,Table11[[#This Row],[CURRENCY]])</f>
        <v>51777217</v>
      </c>
      <c r="I359" s="1318">
        <f>SUMIFS(Movement!$F$4:$F$2136,Movement!$M$4:$M$2136,"VND",Movement!$C$4:$C$2136,Table11[[#This Row],[ACCOUNT NUMBER]],Movement!$J$4:$J$2136,Table11[[#This Row],[ENTITY]],Movement!$O$4:$O$2136,'Cash Balance'!$A$2)</f>
        <v>19282192</v>
      </c>
      <c r="J359" s="1318">
        <f>SUMIFS(Movement!$G$4:$G$2136,Movement!$M$4:$M$2136,"VND",Movement!$C$4:$C$2136,Table11[[#This Row],[ACCOUNT NUMBER]],Movement!$J$4:$J$2136,Table11[[#This Row],[ENTITY]],Movement!$O$4:$O$2136,'Cash Balance'!$A$2)</f>
        <v>0</v>
      </c>
      <c r="K359" s="1084">
        <f>Table11[[#This Row],[CASH IN - CREDIT (VND)]]-Table11[[#This Row],[CASH OUT - DEBIT (VND)]]</f>
        <v>19282192</v>
      </c>
      <c r="L359" s="1095">
        <f t="shared" si="32"/>
        <v>71059409</v>
      </c>
      <c r="M359" s="1184" t="e">
        <f>VLOOKUP(C359,'Cash balance (BS)'!A:D,4,)</f>
        <v>#N/A</v>
      </c>
      <c r="N359" s="1095" t="e">
        <f>Table11[[#This Row],[CLOSING BALANCE (VND)2]]-Table11[[#This Row],[CB_BS (VND)]]</f>
        <v>#N/A</v>
      </c>
      <c r="O359" s="1094">
        <v>0</v>
      </c>
      <c r="P359" s="1095">
        <f t="shared" si="33"/>
        <v>0</v>
      </c>
      <c r="Q359" s="817">
        <f>SUMIFS('Cash balance (Prior period)'!G:G,'Cash balance (Prior period)'!C:C,Table11[[#This Row],[ACCOUNT NUMBER]],'Cash balance (Prior period)'!E:E,Table11[[#This Row],[CURRENCY]])</f>
        <v>0</v>
      </c>
      <c r="R359" s="817">
        <f>SUMIFS(Movement!$F$4:$F$2136,Movement!$M$4:$M$2136,"USD",Movement!$C$4:$C$2136,Table11[[#This Row],[ACCOUNT NUMBER]],Movement!$J$4:$J$2136,Table11[[#This Row],[ENTITY]],Movement!$O$4:$O$2136,'Cash Balance'!$A$2)</f>
        <v>0</v>
      </c>
      <c r="S359" s="817">
        <f>SUMIFS(Movement!$G$4:$G$2136,Movement!$M$4:$M$2136,"USD",Movement!$C$4:$C$2136,Table11[[#This Row],[ACCOUNT NUMBER]],Movement!$J$4:$J$2136,Table11[[#This Row],[ENTITY]],Movement!$O$4:$O$2136,'Cash Balance'!$A$2)</f>
        <v>0</v>
      </c>
      <c r="T359" s="1087">
        <f t="shared" si="34"/>
        <v>0</v>
      </c>
      <c r="U359" s="817"/>
      <c r="V359" s="817">
        <f>Table11[[#This Row],[CLOSING BALANCE (USD)]]-Table11[[#This Row],[CB_BS (USD)]]</f>
        <v>0</v>
      </c>
      <c r="W359" s="1156" t="str">
        <f>VLOOKUP('Cash Balance'!$C359,Table2[#All],MATCH('Cash Balance'!W$3,Acc_Char!$B$1:$I$1,0),0)</f>
        <v>Subsidiaries</v>
      </c>
      <c r="X359" s="1156" t="str">
        <f>VLOOKUP(IFERROR(MID($Y359,1,FIND("-",$Y359)-2),$Y359),Table3[#All],2,0)</f>
        <v>VTB</v>
      </c>
      <c r="Y359" s="1156" t="str">
        <f>VLOOKUP($B359,Table4[#All],2,0)</f>
        <v>VIETINBANK - TIEN SON</v>
      </c>
      <c r="Z359" s="1151"/>
      <c r="AA359" s="49"/>
    </row>
    <row r="360" spans="1:34">
      <c r="A360" s="1153" t="str">
        <f>VLOOKUP('Cash Balance'!$C360,Table2[#All],MATCH('Cash Balance'!A$3,Acc_Char!$B$1:$I$1,0),0)</f>
        <v>HOLDCO S4E</v>
      </c>
      <c r="B360" s="1154" t="str">
        <f>VLOOKUP('Cash Balance'!$C360,Table2[#All],MATCH('Cash Balance'!B$3,Acc_Char!$B$1:$I$1,0),0)</f>
        <v>VIETINBANK - TIEN SON</v>
      </c>
      <c r="C360" s="1190" t="s">
        <v>952</v>
      </c>
      <c r="D360" s="1156" t="str">
        <f>VLOOKUP('Cash Balance'!$C360,Table2[#All],MATCH('Cash Balance'!D$3,Acc_Char!$B$1:$I$1,0),0)</f>
        <v>Current Account</v>
      </c>
      <c r="E360" s="384" t="str">
        <f>VLOOKUP('Cash Balance'!$C360,Table2[#All],MATCH('Cash Balance'!E$3,Acc_Char!$B$1:$I$1,0),0)</f>
        <v>VND</v>
      </c>
      <c r="F360" s="1094" t="e">
        <f>VLOOKUP(C360,'Cash balance (BS)'!A:C,3,)</f>
        <v>#N/A</v>
      </c>
      <c r="G360" s="1157" t="e">
        <f t="shared" si="36"/>
        <v>#N/A</v>
      </c>
      <c r="H360" s="1318">
        <f>SUMIFS('Cash balance (Prior period)'!F:F,'Cash balance (Prior period)'!C:C,Table11[[#This Row],[ACCOUNT NUMBER]],'Cash balance (Prior period)'!E:E,Table11[[#This Row],[CURRENCY]])</f>
        <v>102521114</v>
      </c>
      <c r="I360" s="1318">
        <f>SUMIFS(Movement!$F$4:$F$2136,Movement!$M$4:$M$2136,"VND",Movement!$C$4:$C$2136,Table11[[#This Row],[ACCOUNT NUMBER]],Movement!$J$4:$J$2136,Table11[[#This Row],[ENTITY]],Movement!$O$4:$O$2136,'Cash Balance'!$A$2)</f>
        <v>20416438</v>
      </c>
      <c r="J360" s="1318">
        <f>SUMIFS(Movement!$G$4:$G$2136,Movement!$M$4:$M$2136,"VND",Movement!$C$4:$C$2136,Table11[[#This Row],[ACCOUNT NUMBER]],Movement!$J$4:$J$2136,Table11[[#This Row],[ENTITY]],Movement!$O$4:$O$2136,'Cash Balance'!$A$2)</f>
        <v>0</v>
      </c>
      <c r="K360" s="1084">
        <f>Table11[[#This Row],[CASH IN - CREDIT (VND)]]-Table11[[#This Row],[CASH OUT - DEBIT (VND)]]</f>
        <v>20416438</v>
      </c>
      <c r="L360" s="1095">
        <f t="shared" si="32"/>
        <v>122937552</v>
      </c>
      <c r="M360" s="1184" t="e">
        <f>VLOOKUP(C360,'Cash balance (BS)'!A:D,4,)</f>
        <v>#N/A</v>
      </c>
      <c r="N360" s="1095" t="e">
        <f>Table11[[#This Row],[CLOSING BALANCE (VND)2]]-Table11[[#This Row],[CB_BS (VND)]]</f>
        <v>#N/A</v>
      </c>
      <c r="O360" s="1094">
        <v>0</v>
      </c>
      <c r="P360" s="1095">
        <f t="shared" si="33"/>
        <v>0</v>
      </c>
      <c r="Q360" s="817">
        <f>SUMIFS('Cash balance (Prior period)'!G:G,'Cash balance (Prior period)'!C:C,Table11[[#This Row],[ACCOUNT NUMBER]],'Cash balance (Prior period)'!E:E,Table11[[#This Row],[CURRENCY]])</f>
        <v>0</v>
      </c>
      <c r="R360" s="817">
        <f>SUMIFS(Movement!$F$4:$F$2136,Movement!$M$4:$M$2136,"USD",Movement!$C$4:$C$2136,Table11[[#This Row],[ACCOUNT NUMBER]],Movement!$J$4:$J$2136,Table11[[#This Row],[ENTITY]],Movement!$O$4:$O$2136,'Cash Balance'!$A$2)</f>
        <v>0</v>
      </c>
      <c r="S360" s="817">
        <f>SUMIFS(Movement!$G$4:$G$2136,Movement!$M$4:$M$2136,"USD",Movement!$C$4:$C$2136,Table11[[#This Row],[ACCOUNT NUMBER]],Movement!$J$4:$J$2136,Table11[[#This Row],[ENTITY]],Movement!$O$4:$O$2136,'Cash Balance'!$A$2)</f>
        <v>0</v>
      </c>
      <c r="T360" s="1087">
        <f t="shared" si="34"/>
        <v>0</v>
      </c>
      <c r="U360" s="817"/>
      <c r="V360" s="817">
        <f>Table11[[#This Row],[CLOSING BALANCE (USD)]]-Table11[[#This Row],[CB_BS (USD)]]</f>
        <v>0</v>
      </c>
      <c r="W360" s="1156" t="str">
        <f>VLOOKUP('Cash Balance'!$C360,Table2[#All],MATCH('Cash Balance'!W$3,Acc_Char!$B$1:$I$1,0),0)</f>
        <v>Subsidiaries</v>
      </c>
      <c r="X360" s="1156" t="str">
        <f>VLOOKUP(IFERROR(MID($Y360,1,FIND("-",$Y360)-2),$Y360),Table3[#All],2,0)</f>
        <v>VTB</v>
      </c>
      <c r="Y360" s="1156" t="str">
        <f>VLOOKUP($B360,Table4[#All],2,0)</f>
        <v>VIETINBANK - TIEN SON</v>
      </c>
      <c r="Z360" s="1151"/>
      <c r="AA360" s="49"/>
    </row>
    <row r="361" spans="1:34">
      <c r="A361" s="1153" t="str">
        <f>VLOOKUP('Cash Balance'!$C361,Table2[#All],MATCH('Cash Balance'!A$3,Acc_Char!$B$1:$I$1,0),0)</f>
        <v>QV2 LLC</v>
      </c>
      <c r="B361" s="1154" t="str">
        <f>VLOOKUP('Cash Balance'!$C361,Table2[#All],MATCH('Cash Balance'!B$3,Acc_Char!$B$1:$I$1,0),0)</f>
        <v>BIDV - THANH XUAN</v>
      </c>
      <c r="C361" s="1190" t="s">
        <v>954</v>
      </c>
      <c r="D361" s="1156" t="str">
        <f>VLOOKUP('Cash Balance'!$C361,Table2[#All],MATCH('Cash Balance'!D$3,Acc_Char!$B$1:$I$1,0),0)</f>
        <v>Current Account</v>
      </c>
      <c r="E361" s="384" t="str">
        <f>VLOOKUP('Cash Balance'!$C361,Table2[#All],MATCH('Cash Balance'!E$3,Acc_Char!$B$1:$I$1,0),0)</f>
        <v>VND</v>
      </c>
      <c r="F361" s="1094" t="e">
        <f>VLOOKUP(C361,'Cash balance (BS)'!A:C,3,)</f>
        <v>#N/A</v>
      </c>
      <c r="G361" s="1157" t="e">
        <f t="shared" si="36"/>
        <v>#N/A</v>
      </c>
      <c r="H361" s="1318">
        <f>SUMIFS('Cash balance (Prior period)'!F:F,'Cash balance (Prior period)'!C:C,Table11[[#This Row],[ACCOUNT NUMBER]],'Cash balance (Prior period)'!E:E,Table11[[#This Row],[CURRENCY]])</f>
        <v>10662191</v>
      </c>
      <c r="I361" s="1318">
        <f>SUMIFS(Movement!$F$4:$F$2136,Movement!$M$4:$M$2136,"VND",Movement!$C$4:$C$2136,Table11[[#This Row],[ACCOUNT NUMBER]],Movement!$J$4:$J$2136,Table11[[#This Row],[ENTITY]],Movement!$O$4:$O$2136,'Cash Balance'!$A$2)</f>
        <v>0</v>
      </c>
      <c r="J361" s="1318">
        <f>SUMIFS(Movement!$G$4:$G$2136,Movement!$M$4:$M$2136,"VND",Movement!$C$4:$C$2136,Table11[[#This Row],[ACCOUNT NUMBER]],Movement!$J$4:$J$2136,Table11[[#This Row],[ENTITY]],Movement!$O$4:$O$2136,'Cash Balance'!$A$2)</f>
        <v>55000</v>
      </c>
      <c r="K361" s="1084">
        <f>Table11[[#This Row],[CASH IN - CREDIT (VND)]]-Table11[[#This Row],[CASH OUT - DEBIT (VND)]]</f>
        <v>-55000</v>
      </c>
      <c r="L361" s="1095">
        <f t="shared" si="32"/>
        <v>10607191</v>
      </c>
      <c r="M361" s="1184" t="e">
        <f>VLOOKUP(C361,'Cash balance (BS)'!A:D,4,)</f>
        <v>#N/A</v>
      </c>
      <c r="N361" s="1095" t="e">
        <f>Table11[[#This Row],[CLOSING BALANCE (VND)2]]-Table11[[#This Row],[CB_BS (VND)]]</f>
        <v>#N/A</v>
      </c>
      <c r="O361" s="1094">
        <v>0</v>
      </c>
      <c r="P361" s="1095">
        <f t="shared" si="33"/>
        <v>0</v>
      </c>
      <c r="Q361" s="817">
        <f>SUMIFS('Cash balance (Prior period)'!G:G,'Cash balance (Prior period)'!C:C,Table11[[#This Row],[ACCOUNT NUMBER]],'Cash balance (Prior period)'!E:E,Table11[[#This Row],[CURRENCY]])</f>
        <v>0</v>
      </c>
      <c r="R361" s="817">
        <f>SUMIFS(Movement!$F$4:$F$2136,Movement!$M$4:$M$2136,"USD",Movement!$C$4:$C$2136,Table11[[#This Row],[ACCOUNT NUMBER]],Movement!$J$4:$J$2136,Table11[[#This Row],[ENTITY]],Movement!$O$4:$O$2136,'Cash Balance'!$A$2)</f>
        <v>0</v>
      </c>
      <c r="S361" s="817">
        <f>SUMIFS(Movement!$G$4:$G$2136,Movement!$M$4:$M$2136,"USD",Movement!$C$4:$C$2136,Table11[[#This Row],[ACCOUNT NUMBER]],Movement!$J$4:$J$2136,Table11[[#This Row],[ENTITY]],Movement!$O$4:$O$2136,'Cash Balance'!$A$2)</f>
        <v>0</v>
      </c>
      <c r="T361" s="1087">
        <f t="shared" si="34"/>
        <v>0</v>
      </c>
      <c r="U361" s="817"/>
      <c r="V361" s="817">
        <f>Table11[[#This Row],[CLOSING BALANCE (USD)]]-Table11[[#This Row],[CB_BS (USD)]]</f>
        <v>0</v>
      </c>
      <c r="W361" s="1156" t="str">
        <f>VLOOKUP('Cash Balance'!$C361,Table2[#All],MATCH('Cash Balance'!W$3,Acc_Char!$B$1:$I$1,0),0)</f>
        <v>Subsidiaries</v>
      </c>
      <c r="X361" s="1156" t="str">
        <f>VLOOKUP(IFERROR(MID($Y361,1,FIND("-",$Y361)-2),$Y361),Table3[#All],2,0)</f>
        <v>BIDV</v>
      </c>
      <c r="Y361" s="1156" t="str">
        <f>VLOOKUP($B361,Table4[#All],2,0)</f>
        <v>BIDV - THANH XUAN</v>
      </c>
      <c r="Z361" s="1151"/>
      <c r="AA361" s="49"/>
      <c r="AH361" s="2" t="s">
        <v>466</v>
      </c>
    </row>
    <row r="362" spans="1:34">
      <c r="A362" s="1153" t="str">
        <f>VLOOKUP('Cash Balance'!$C362,Table2[#All],MATCH('Cash Balance'!A$3,Acc_Char!$B$1:$I$1,0),0)</f>
        <v>WPJV 3A</v>
      </c>
      <c r="B362" s="1154" t="str">
        <f>VLOOKUP('Cash Balance'!$C362,Table2[#All],MATCH('Cash Balance'!B$3,Acc_Char!$B$1:$I$1,0),0)</f>
        <v>VIETINBANK - TIEN SON</v>
      </c>
      <c r="C362" s="1190" t="s">
        <v>956</v>
      </c>
      <c r="D362" s="1156" t="str">
        <f>VLOOKUP('Cash Balance'!$C362,Table2[#All],MATCH('Cash Balance'!D$3,Acc_Char!$B$1:$I$1,0),0)</f>
        <v>Current Account</v>
      </c>
      <c r="E362" s="384" t="str">
        <f>VLOOKUP('Cash Balance'!$C362,Table2[#All],MATCH('Cash Balance'!E$3,Acc_Char!$B$1:$I$1,0),0)</f>
        <v>VND</v>
      </c>
      <c r="F362" s="1094" t="e">
        <f>VLOOKUP(C362,'Cash balance (BS)'!A:C,3,)</f>
        <v>#N/A</v>
      </c>
      <c r="G362" s="1157" t="e">
        <f t="shared" si="36"/>
        <v>#N/A</v>
      </c>
      <c r="H362" s="1318">
        <f>SUMIFS('Cash balance (Prior period)'!F:F,'Cash balance (Prior period)'!C:C,Table11[[#This Row],[ACCOUNT NUMBER]],'Cash balance (Prior period)'!E:E,Table11[[#This Row],[CURRENCY]])</f>
        <v>4618400</v>
      </c>
      <c r="I362" s="1318">
        <f>SUMIFS(Movement!$F$4:$F$2136,Movement!$M$4:$M$2136,"VND",Movement!$C$4:$C$2136,Table11[[#This Row],[ACCOUNT NUMBER]],Movement!$J$4:$J$2136,Table11[[#This Row],[ENTITY]],Movement!$O$4:$O$2136,'Cash Balance'!$A$2)</f>
        <v>0</v>
      </c>
      <c r="J362" s="1318">
        <f>SUMIFS(Movement!$G$4:$G$2136,Movement!$M$4:$M$2136,"VND",Movement!$C$4:$C$2136,Table11[[#This Row],[ACCOUNT NUMBER]],Movement!$J$4:$J$2136,Table11[[#This Row],[ENTITY]],Movement!$O$4:$O$2136,'Cash Balance'!$A$2)</f>
        <v>0</v>
      </c>
      <c r="K362" s="1084">
        <f>Table11[[#This Row],[CASH IN - CREDIT (VND)]]-Table11[[#This Row],[CASH OUT - DEBIT (VND)]]</f>
        <v>0</v>
      </c>
      <c r="L362" s="1095">
        <f t="shared" si="32"/>
        <v>4618400</v>
      </c>
      <c r="M362" s="1184" t="e">
        <f>VLOOKUP(C362,'Cash balance (BS)'!A:D,4,)</f>
        <v>#N/A</v>
      </c>
      <c r="N362" s="1095" t="e">
        <f>Table11[[#This Row],[CLOSING BALANCE (VND)2]]-Table11[[#This Row],[CB_BS (VND)]]</f>
        <v>#N/A</v>
      </c>
      <c r="O362" s="1094">
        <v>0</v>
      </c>
      <c r="P362" s="1095">
        <f t="shared" si="33"/>
        <v>0</v>
      </c>
      <c r="Q362" s="817">
        <f>SUMIFS('Cash balance (Prior period)'!G:G,'Cash balance (Prior period)'!C:C,Table11[[#This Row],[ACCOUNT NUMBER]],'Cash balance (Prior period)'!E:E,Table11[[#This Row],[CURRENCY]])</f>
        <v>0</v>
      </c>
      <c r="R362" s="817">
        <f>SUMIFS(Movement!$F$4:$F$2136,Movement!$M$4:$M$2136,"USD",Movement!$C$4:$C$2136,Table11[[#This Row],[ACCOUNT NUMBER]],Movement!$J$4:$J$2136,Table11[[#This Row],[ENTITY]],Movement!$O$4:$O$2136,'Cash Balance'!$A$2)</f>
        <v>0</v>
      </c>
      <c r="S362" s="817">
        <f>SUMIFS(Movement!$G$4:$G$2136,Movement!$M$4:$M$2136,"USD",Movement!$C$4:$C$2136,Table11[[#This Row],[ACCOUNT NUMBER]],Movement!$J$4:$J$2136,Table11[[#This Row],[ENTITY]],Movement!$O$4:$O$2136,'Cash Balance'!$A$2)</f>
        <v>0</v>
      </c>
      <c r="T362" s="1087">
        <f t="shared" si="34"/>
        <v>0</v>
      </c>
      <c r="U362" s="817"/>
      <c r="V362" s="817">
        <f>Table11[[#This Row],[CLOSING BALANCE (USD)]]-Table11[[#This Row],[CB_BS (USD)]]</f>
        <v>0</v>
      </c>
      <c r="W362" s="1156" t="str">
        <f>VLOOKUP('Cash Balance'!$C362,Table2[#All],MATCH('Cash Balance'!W$3,Acc_Char!$B$1:$I$1,0),0)</f>
        <v>Subsidiaries</v>
      </c>
      <c r="X362" s="1156" t="str">
        <f>VLOOKUP(IFERROR(MID($Y362,1,FIND("-",$Y362)-2),$Y362),Table3[#All],2,0)</f>
        <v>VTB</v>
      </c>
      <c r="Y362" s="1156" t="str">
        <f>VLOOKUP($B362,Table4[#All],2,0)</f>
        <v>VIETINBANK - TIEN SON</v>
      </c>
      <c r="Z362" s="1151"/>
      <c r="AA362" s="49"/>
    </row>
    <row r="363" spans="1:34">
      <c r="A363" s="1153" t="str">
        <f>VLOOKUP('Cash Balance'!$C363,Table2[#All],MATCH('Cash Balance'!A$3,Acc_Char!$B$1:$I$1,0),0)</f>
        <v>WPJV 3B</v>
      </c>
      <c r="B363" s="1154" t="str">
        <f>VLOOKUP('Cash Balance'!$C363,Table2[#All],MATCH('Cash Balance'!B$3,Acc_Char!$B$1:$I$1,0),0)</f>
        <v>VIETINBANK - TIEN SON</v>
      </c>
      <c r="C363" s="1190" t="s">
        <v>958</v>
      </c>
      <c r="D363" s="1156" t="str">
        <f>VLOOKUP('Cash Balance'!$C363,Table2[#All],MATCH('Cash Balance'!D$3,Acc_Char!$B$1:$I$1,0),0)</f>
        <v>Current Account</v>
      </c>
      <c r="E363" s="384" t="str">
        <f>VLOOKUP('Cash Balance'!$C363,Table2[#All],MATCH('Cash Balance'!E$3,Acc_Char!$B$1:$I$1,0),0)</f>
        <v>VND</v>
      </c>
      <c r="F363" s="1094" t="e">
        <f>VLOOKUP(C363,'Cash balance (BS)'!A:C,3,)</f>
        <v>#N/A</v>
      </c>
      <c r="G363" s="1157" t="e">
        <f t="shared" si="36"/>
        <v>#N/A</v>
      </c>
      <c r="H363" s="1318">
        <f>SUMIFS('Cash balance (Prior period)'!F:F,'Cash balance (Prior period)'!C:C,Table11[[#This Row],[ACCOUNT NUMBER]],'Cash balance (Prior period)'!E:E,Table11[[#This Row],[CURRENCY]])</f>
        <v>4620472</v>
      </c>
      <c r="I363" s="1318">
        <f>SUMIFS(Movement!$F$4:$F$2136,Movement!$M$4:$M$2136,"VND",Movement!$C$4:$C$2136,Table11[[#This Row],[ACCOUNT NUMBER]],Movement!$J$4:$J$2136,Table11[[#This Row],[ENTITY]],Movement!$O$4:$O$2136,'Cash Balance'!$A$2)</f>
        <v>0</v>
      </c>
      <c r="J363" s="1318">
        <f>SUMIFS(Movement!$G$4:$G$2136,Movement!$M$4:$M$2136,"VND",Movement!$C$4:$C$2136,Table11[[#This Row],[ACCOUNT NUMBER]],Movement!$J$4:$J$2136,Table11[[#This Row],[ENTITY]],Movement!$O$4:$O$2136,'Cash Balance'!$A$2)</f>
        <v>0</v>
      </c>
      <c r="K363" s="1084">
        <f>Table11[[#This Row],[CASH IN - CREDIT (VND)]]-Table11[[#This Row],[CASH OUT - DEBIT (VND)]]</f>
        <v>0</v>
      </c>
      <c r="L363" s="1095">
        <f t="shared" si="32"/>
        <v>4620472</v>
      </c>
      <c r="M363" s="1184" t="e">
        <f>VLOOKUP(C363,'Cash balance (BS)'!A:D,4,)</f>
        <v>#N/A</v>
      </c>
      <c r="N363" s="1095" t="e">
        <f>Table11[[#This Row],[CLOSING BALANCE (VND)2]]-Table11[[#This Row],[CB_BS (VND)]]</f>
        <v>#N/A</v>
      </c>
      <c r="O363" s="1094">
        <v>0</v>
      </c>
      <c r="P363" s="1095">
        <f t="shared" si="33"/>
        <v>0</v>
      </c>
      <c r="Q363" s="817">
        <f>SUMIFS('Cash balance (Prior period)'!G:G,'Cash balance (Prior period)'!C:C,Table11[[#This Row],[ACCOUNT NUMBER]],'Cash balance (Prior period)'!E:E,Table11[[#This Row],[CURRENCY]])</f>
        <v>0</v>
      </c>
      <c r="R363" s="817">
        <f>SUMIFS(Movement!$F$4:$F$2136,Movement!$M$4:$M$2136,"USD",Movement!$C$4:$C$2136,Table11[[#This Row],[ACCOUNT NUMBER]],Movement!$J$4:$J$2136,Table11[[#This Row],[ENTITY]],Movement!$O$4:$O$2136,'Cash Balance'!$A$2)</f>
        <v>0</v>
      </c>
      <c r="S363" s="817">
        <f>SUMIFS(Movement!$G$4:$G$2136,Movement!$M$4:$M$2136,"USD",Movement!$C$4:$C$2136,Table11[[#This Row],[ACCOUNT NUMBER]],Movement!$J$4:$J$2136,Table11[[#This Row],[ENTITY]],Movement!$O$4:$O$2136,'Cash Balance'!$A$2)</f>
        <v>0</v>
      </c>
      <c r="T363" s="1087">
        <f t="shared" si="34"/>
        <v>0</v>
      </c>
      <c r="U363" s="817"/>
      <c r="V363" s="817">
        <f>Table11[[#This Row],[CLOSING BALANCE (USD)]]-Table11[[#This Row],[CB_BS (USD)]]</f>
        <v>0</v>
      </c>
      <c r="W363" s="1156" t="str">
        <f>VLOOKUP('Cash Balance'!$C363,Table2[#All],MATCH('Cash Balance'!W$3,Acc_Char!$B$1:$I$1,0),0)</f>
        <v>Subsidiaries</v>
      </c>
      <c r="X363" s="1156" t="str">
        <f>VLOOKUP(IFERROR(MID($Y363,1,FIND("-",$Y363)-2),$Y363),Table3[#All],2,0)</f>
        <v>VTB</v>
      </c>
      <c r="Y363" s="1156" t="str">
        <f>VLOOKUP($B363,Table4[#All],2,0)</f>
        <v>VIETINBANK - TIEN SON</v>
      </c>
      <c r="Z363" s="1151"/>
      <c r="AA363" s="49"/>
    </row>
    <row r="364" spans="1:34">
      <c r="A364" s="1153" t="str">
        <f>VLOOKUP('Cash Balance'!$C364,Table2[#All],MATCH('Cash Balance'!A$3,Acc_Char!$B$1:$I$1,0),0)</f>
        <v>PHO NOI A</v>
      </c>
      <c r="B364" s="1154" t="str">
        <f>VLOOKUP('Cash Balance'!$C364,Table2[#All],MATCH('Cash Balance'!B$3,Acc_Char!$B$1:$I$1,0),0)</f>
        <v>VIETINBANK - TIEN SON</v>
      </c>
      <c r="C364" s="1190" t="s">
        <v>960</v>
      </c>
      <c r="D364" s="1156" t="str">
        <f>VLOOKUP('Cash Balance'!$C364,Table2[#All],MATCH('Cash Balance'!D$3,Acc_Char!$B$1:$I$1,0),0)</f>
        <v>Current Account</v>
      </c>
      <c r="E364" s="384" t="str">
        <f>VLOOKUP('Cash Balance'!$C364,Table2[#All],MATCH('Cash Balance'!E$3,Acc_Char!$B$1:$I$1,0),0)</f>
        <v>VND</v>
      </c>
      <c r="F364" s="1094" t="e">
        <f>VLOOKUP(C364,'Cash balance (BS)'!A:C,3,)</f>
        <v>#N/A</v>
      </c>
      <c r="G364" s="1157" t="e">
        <f t="shared" si="36"/>
        <v>#N/A</v>
      </c>
      <c r="H364" s="1318">
        <f>SUMIFS('Cash balance (Prior period)'!F:F,'Cash balance (Prior period)'!C:C,Table11[[#This Row],[ACCOUNT NUMBER]],'Cash balance (Prior period)'!E:E,Table11[[#This Row],[CURRENCY]])</f>
        <v>240046434</v>
      </c>
      <c r="I364" s="1318">
        <f>SUMIFS(Movement!$F$4:$F$2136,Movement!$M$4:$M$2136,"VND",Movement!$C$4:$C$2136,Table11[[#This Row],[ACCOUNT NUMBER]],Movement!$J$4:$J$2136,Table11[[#This Row],[ENTITY]],Movement!$O$4:$O$2136,'Cash Balance'!$A$2)</f>
        <v>0</v>
      </c>
      <c r="J364" s="1318">
        <f>SUMIFS(Movement!$G$4:$G$2136,Movement!$M$4:$M$2136,"VND",Movement!$C$4:$C$2136,Table11[[#This Row],[ACCOUNT NUMBER]],Movement!$J$4:$J$2136,Table11[[#This Row],[ENTITY]],Movement!$O$4:$O$2136,'Cash Balance'!$A$2)</f>
        <v>66235928</v>
      </c>
      <c r="K364" s="1084">
        <f>Table11[[#This Row],[CASH IN - CREDIT (VND)]]-Table11[[#This Row],[CASH OUT - DEBIT (VND)]]</f>
        <v>-66235928</v>
      </c>
      <c r="L364" s="1095">
        <f t="shared" si="32"/>
        <v>173810506</v>
      </c>
      <c r="M364" s="1184" t="e">
        <f>VLOOKUP(C364,'Cash balance (BS)'!A:D,4,)</f>
        <v>#N/A</v>
      </c>
      <c r="N364" s="1095" t="e">
        <f>Table11[[#This Row],[CLOSING BALANCE (VND)2]]-Table11[[#This Row],[CB_BS (VND)]]</f>
        <v>#N/A</v>
      </c>
      <c r="O364" s="1094">
        <v>0</v>
      </c>
      <c r="P364" s="1095">
        <f t="shared" si="33"/>
        <v>0</v>
      </c>
      <c r="Q364" s="817">
        <f>SUMIFS('Cash balance (Prior period)'!G:G,'Cash balance (Prior period)'!C:C,Table11[[#This Row],[ACCOUNT NUMBER]],'Cash balance (Prior period)'!E:E,Table11[[#This Row],[CURRENCY]])</f>
        <v>0</v>
      </c>
      <c r="R364" s="817">
        <f>SUMIFS(Movement!$F$4:$F$2136,Movement!$M$4:$M$2136,"USD",Movement!$C$4:$C$2136,Table11[[#This Row],[ACCOUNT NUMBER]],Movement!$J$4:$J$2136,Table11[[#This Row],[ENTITY]],Movement!$O$4:$O$2136,'Cash Balance'!$A$2)</f>
        <v>0</v>
      </c>
      <c r="S364" s="817">
        <f>SUMIFS(Movement!$G$4:$G$2136,Movement!$M$4:$M$2136,"USD",Movement!$C$4:$C$2136,Table11[[#This Row],[ACCOUNT NUMBER]],Movement!$J$4:$J$2136,Table11[[#This Row],[ENTITY]],Movement!$O$4:$O$2136,'Cash Balance'!$A$2)</f>
        <v>0</v>
      </c>
      <c r="T364" s="1087">
        <f t="shared" si="34"/>
        <v>0</v>
      </c>
      <c r="U364" s="817"/>
      <c r="V364" s="817">
        <f>Table11[[#This Row],[CLOSING BALANCE (USD)]]-Table11[[#This Row],[CB_BS (USD)]]</f>
        <v>0</v>
      </c>
      <c r="W364" s="1156" t="str">
        <f>VLOOKUP('Cash Balance'!$C364,Table2[#All],MATCH('Cash Balance'!W$3,Acc_Char!$B$1:$I$1,0),0)</f>
        <v>Subsidiaries</v>
      </c>
      <c r="X364" s="1156" t="str">
        <f>VLOOKUP(IFERROR(MID($Y364,1,FIND("-",$Y364)-2),$Y364),Table3[#All],2,0)</f>
        <v>VTB</v>
      </c>
      <c r="Y364" s="1156" t="str">
        <f>VLOOKUP($B364,Table4[#All],2,0)</f>
        <v>VIETINBANK - TIEN SON</v>
      </c>
      <c r="Z364" s="1151"/>
      <c r="AA364" s="49"/>
    </row>
    <row r="365" spans="1:34">
      <c r="A365" s="1153" t="str">
        <f>VLOOKUP('Cash Balance'!$C365,Table2[#All],MATCH('Cash Balance'!A$3,Acc_Char!$B$1:$I$1,0),0)</f>
        <v>PHO NOI A</v>
      </c>
      <c r="B365" s="1154" t="str">
        <f>VLOOKUP('Cash Balance'!$C365,Table2[#All],MATCH('Cash Balance'!B$3,Acc_Char!$B$1:$I$1,0),0)</f>
        <v>VIETINBANK - TIEN SON</v>
      </c>
      <c r="C365" s="1190" t="s">
        <v>961</v>
      </c>
      <c r="D365" s="1156" t="str">
        <f>VLOOKUP('Cash Balance'!$C365,Table2[#All],MATCH('Cash Balance'!D$3,Acc_Char!$B$1:$I$1,0),0)</f>
        <v>Current Account</v>
      </c>
      <c r="E365" s="384" t="str">
        <f>VLOOKUP('Cash Balance'!$C365,Table2[#All],MATCH('Cash Balance'!E$3,Acc_Char!$B$1:$I$1,0),0)</f>
        <v>USD</v>
      </c>
      <c r="F365" s="1094" t="e">
        <f>VLOOKUP(C365,'Cash balance (BS)'!A:C,3,)</f>
        <v>#N/A</v>
      </c>
      <c r="G365" s="1157" t="e">
        <f t="shared" si="36"/>
        <v>#N/A</v>
      </c>
      <c r="H365" s="1318">
        <f>SUMIFS('Cash balance (Prior period)'!F:F,'Cash balance (Prior period)'!C:C,Table11[[#This Row],[ACCOUNT NUMBER]],'Cash balance (Prior period)'!E:E,Table11[[#This Row],[CURRENCY]])</f>
        <v>0</v>
      </c>
      <c r="I365" s="1318">
        <f>SUMIFS(Movement!$F$4:$F$2136,Movement!$M$4:$M$2136,"VND",Movement!$C$4:$C$2136,Table11[[#This Row],[ACCOUNT NUMBER]],Movement!$J$4:$J$2136,Table11[[#This Row],[ENTITY]],Movement!$O$4:$O$2136,'Cash Balance'!$A$2)</f>
        <v>0</v>
      </c>
      <c r="J365" s="1318">
        <f>SUMIFS(Movement!$G$4:$G$2136,Movement!$M$4:$M$2136,"VND",Movement!$C$4:$C$2136,Table11[[#This Row],[ACCOUNT NUMBER]],Movement!$J$4:$J$2136,Table11[[#This Row],[ENTITY]],Movement!$O$4:$O$2136,'Cash Balance'!$A$2)</f>
        <v>0</v>
      </c>
      <c r="K365" s="1084">
        <f>Table11[[#This Row],[CASH IN - CREDIT (VND)]]-Table11[[#This Row],[CASH OUT - DEBIT (VND)]]</f>
        <v>0</v>
      </c>
      <c r="L365" s="1095">
        <f t="shared" si="32"/>
        <v>0</v>
      </c>
      <c r="M365" s="1184" t="e">
        <f>VLOOKUP(C365,'Cash balance (BS)'!A:D,4,)</f>
        <v>#N/A</v>
      </c>
      <c r="N365" s="1095" t="e">
        <f>Table11[[#This Row],[CLOSING BALANCE (VND)2]]-Table11[[#This Row],[CB_BS (VND)]]</f>
        <v>#N/A</v>
      </c>
      <c r="O365" s="1094">
        <v>0</v>
      </c>
      <c r="P365" s="1095">
        <f t="shared" si="33"/>
        <v>0</v>
      </c>
      <c r="Q365" s="817">
        <f>SUMIFS('Cash balance (Prior period)'!G:G,'Cash balance (Prior period)'!C:C,Table11[[#This Row],[ACCOUNT NUMBER]],'Cash balance (Prior period)'!E:E,Table11[[#This Row],[CURRENCY]])</f>
        <v>0</v>
      </c>
      <c r="R365" s="817">
        <f>SUMIFS(Movement!$F$4:$F$2136,Movement!$M$4:$M$2136,"USD",Movement!$C$4:$C$2136,Table11[[#This Row],[ACCOUNT NUMBER]],Movement!$J$4:$J$2136,Table11[[#This Row],[ENTITY]],Movement!$O$4:$O$2136,'Cash Balance'!$A$2)</f>
        <v>0</v>
      </c>
      <c r="S365" s="817">
        <f>SUMIFS(Movement!$G$4:$G$2136,Movement!$M$4:$M$2136,"USD",Movement!$C$4:$C$2136,Table11[[#This Row],[ACCOUNT NUMBER]],Movement!$J$4:$J$2136,Table11[[#This Row],[ENTITY]],Movement!$O$4:$O$2136,'Cash Balance'!$A$2)</f>
        <v>0</v>
      </c>
      <c r="T365" s="1087">
        <f t="shared" si="34"/>
        <v>0</v>
      </c>
      <c r="U365" s="817"/>
      <c r="V365" s="817">
        <f>Table11[[#This Row],[CLOSING BALANCE (USD)]]-Table11[[#This Row],[CB_BS (USD)]]</f>
        <v>0</v>
      </c>
      <c r="W365" s="1156" t="str">
        <f>VLOOKUP('Cash Balance'!$C365,Table2[#All],MATCH('Cash Balance'!W$3,Acc_Char!$B$1:$I$1,0),0)</f>
        <v>Subsidiaries</v>
      </c>
      <c r="X365" s="1156" t="str">
        <f>VLOOKUP(IFERROR(MID($Y365,1,FIND("-",$Y365)-2),$Y365),Table3[#All],2,0)</f>
        <v>VTB</v>
      </c>
      <c r="Y365" s="1156" t="str">
        <f>VLOOKUP($B365,Table4[#All],2,0)</f>
        <v>VIETINBANK - TIEN SON</v>
      </c>
      <c r="Z365" s="1151"/>
      <c r="AA365" s="49"/>
    </row>
    <row r="366" spans="1:34">
      <c r="A366" s="1153" t="str">
        <f>VLOOKUP('Cash Balance'!$C366,Table2[#All],MATCH('Cash Balance'!A$3,Acc_Char!$B$1:$I$1,0),0)</f>
        <v>BW SAI GON</v>
      </c>
      <c r="B366" s="1154" t="str">
        <f>VLOOKUP('Cash Balance'!$C366,Table2[#All],MATCH('Cash Balance'!B$3,Acc_Char!$B$1:$I$1,0),0)</f>
        <v>SINOPAC</v>
      </c>
      <c r="C366" s="1190" t="s">
        <v>962</v>
      </c>
      <c r="D366" s="1156" t="str">
        <f>VLOOKUP('Cash Balance'!$C366,Table2[#All],MATCH('Cash Balance'!D$3,Acc_Char!$B$1:$I$1,0),0)</f>
        <v>Saving Account</v>
      </c>
      <c r="E366" s="384" t="str">
        <f>VLOOKUP('Cash Balance'!$C366,Table2[#All],MATCH('Cash Balance'!E$3,Acc_Char!$B$1:$I$1,0),0)</f>
        <v>VND</v>
      </c>
      <c r="F366" s="1094" t="e">
        <f>VLOOKUP(C366,'Cash balance (BS)'!A:C,3,)</f>
        <v>#N/A</v>
      </c>
      <c r="G366" s="1157" t="e">
        <f t="shared" si="36"/>
        <v>#N/A</v>
      </c>
      <c r="H366" s="1318">
        <f>SUMIFS('Cash balance (Prior period)'!F:F,'Cash balance (Prior period)'!C:C,Table11[[#This Row],[ACCOUNT NUMBER]],'Cash balance (Prior period)'!E:E,Table11[[#This Row],[CURRENCY]])</f>
        <v>5633098111</v>
      </c>
      <c r="I366" s="1318">
        <f>SUMIFS(Movement!$F$4:$F$2136,Movement!$M$4:$M$2136,"VND",Movement!$C$4:$C$2136,Table11[[#This Row],[ACCOUNT NUMBER]],Movement!$J$4:$J$2136,Table11[[#This Row],[ENTITY]],Movement!$O$4:$O$2136,'Cash Balance'!$A$2)</f>
        <v>0</v>
      </c>
      <c r="J366" s="1318">
        <f>SUMIFS(Movement!$G$4:$G$2136,Movement!$M$4:$M$2136,"VND",Movement!$C$4:$C$2136,Table11[[#This Row],[ACCOUNT NUMBER]],Movement!$J$4:$J$2136,Table11[[#This Row],[ENTITY]],Movement!$O$4:$O$2136,'Cash Balance'!$A$2)</f>
        <v>0</v>
      </c>
      <c r="K366" s="1084">
        <f>Table11[[#This Row],[CASH IN - CREDIT (VND)]]-Table11[[#This Row],[CASH OUT - DEBIT (VND)]]</f>
        <v>0</v>
      </c>
      <c r="L366" s="1095">
        <f t="shared" si="32"/>
        <v>5633098111</v>
      </c>
      <c r="M366" s="1184" t="e">
        <f>VLOOKUP(C366,'Cash balance (BS)'!A:D,4,)</f>
        <v>#N/A</v>
      </c>
      <c r="N366" s="1095" t="e">
        <f>Table11[[#This Row],[CLOSING BALANCE (VND)2]]-Table11[[#This Row],[CB_BS (VND)]]</f>
        <v>#N/A</v>
      </c>
      <c r="O366" s="1094">
        <v>0</v>
      </c>
      <c r="P366" s="1095">
        <f t="shared" si="33"/>
        <v>0</v>
      </c>
      <c r="Q366" s="817">
        <f>SUMIFS('Cash balance (Prior period)'!G:G,'Cash balance (Prior period)'!C:C,Table11[[#This Row],[ACCOUNT NUMBER]],'Cash balance (Prior period)'!E:E,Table11[[#This Row],[CURRENCY]])</f>
        <v>0</v>
      </c>
      <c r="R366" s="817">
        <f>SUMIFS(Movement!$F$4:$F$2136,Movement!$M$4:$M$2136,"USD",Movement!$C$4:$C$2136,Table11[[#This Row],[ACCOUNT NUMBER]],Movement!$J$4:$J$2136,Table11[[#This Row],[ENTITY]],Movement!$O$4:$O$2136,'Cash Balance'!$A$2)</f>
        <v>0</v>
      </c>
      <c r="S366" s="817">
        <f>SUMIFS(Movement!$G$4:$G$2136,Movement!$M$4:$M$2136,"USD",Movement!$C$4:$C$2136,Table11[[#This Row],[ACCOUNT NUMBER]],Movement!$J$4:$J$2136,Table11[[#This Row],[ENTITY]],Movement!$O$4:$O$2136,'Cash Balance'!$A$2)</f>
        <v>0</v>
      </c>
      <c r="T366" s="1087">
        <f t="shared" si="34"/>
        <v>0</v>
      </c>
      <c r="U366" s="817"/>
      <c r="V366" s="817">
        <f>Table11[[#This Row],[CLOSING BALANCE (USD)]]-Table11[[#This Row],[CB_BS (USD)]]</f>
        <v>0</v>
      </c>
      <c r="W366" s="1156" t="str">
        <f>VLOOKUP('Cash Balance'!$C366,Table2[#All],MATCH('Cash Balance'!W$3,Acc_Char!$B$1:$I$1,0),0)</f>
        <v>Subsidiaries</v>
      </c>
      <c r="X366" s="1156" t="str">
        <f>VLOOKUP(IFERROR(MID($Y366,1,FIND("-",$Y366)-2),$Y366),Table3[#All],2,0)</f>
        <v>SNP</v>
      </c>
      <c r="Y366" s="1156" t="str">
        <f>VLOOKUP($B366,Table4[#All],2,0)</f>
        <v>SINOPAC</v>
      </c>
      <c r="Z366" s="1151"/>
      <c r="AA366" s="49"/>
    </row>
    <row r="367" spans="1:34">
      <c r="A367" s="1153" t="str">
        <f>VLOOKUP('Cash Balance'!$C367,Table2[#All],MATCH('Cash Balance'!A$3,Acc_Char!$B$1:$I$1,0),0)</f>
        <v>BWID BINH DUONG</v>
      </c>
      <c r="B367" s="1154" t="str">
        <f>VLOOKUP('Cash Balance'!$C367,Table2[#All],MATCH('Cash Balance'!B$3,Acc_Char!$B$1:$I$1,0),0)</f>
        <v>UOB - HCM</v>
      </c>
      <c r="C367" s="1190" t="s">
        <v>963</v>
      </c>
      <c r="D367" s="1156" t="str">
        <f>VLOOKUP('Cash Balance'!$C367,Table2[#All],MATCH('Cash Balance'!D$3,Acc_Char!$B$1:$I$1,0),0)</f>
        <v>Current Account</v>
      </c>
      <c r="E367" s="384" t="str">
        <f>VLOOKUP('Cash Balance'!$C367,Table2[#All],MATCH('Cash Balance'!E$3,Acc_Char!$B$1:$I$1,0),0)</f>
        <v>USD</v>
      </c>
      <c r="F367" s="1094" t="e">
        <f>VLOOKUP(C367,'Cash balance (BS)'!A:C,3,)</f>
        <v>#N/A</v>
      </c>
      <c r="G367" s="1157" t="e">
        <f t="shared" si="36"/>
        <v>#N/A</v>
      </c>
      <c r="H367" s="1318">
        <f>SUMIFS('Cash balance (Prior period)'!F:F,'Cash balance (Prior period)'!C:C,Table11[[#This Row],[ACCOUNT NUMBER]],'Cash balance (Prior period)'!E:E,Table11[[#This Row],[CURRENCY]])</f>
        <v>0</v>
      </c>
      <c r="I367" s="1318">
        <f>SUMIFS(Movement!$F$4:$F$2136,Movement!$M$4:$M$2136,"VND",Movement!$C$4:$C$2136,Table11[[#This Row],[ACCOUNT NUMBER]],Movement!$J$4:$J$2136,Table11[[#This Row],[ENTITY]],Movement!$O$4:$O$2136,'Cash Balance'!$A$2)</f>
        <v>0</v>
      </c>
      <c r="J367" s="1318">
        <f>SUMIFS(Movement!$G$4:$G$2136,Movement!$M$4:$M$2136,"VND",Movement!$C$4:$C$2136,Table11[[#This Row],[ACCOUNT NUMBER]],Movement!$J$4:$J$2136,Table11[[#This Row],[ENTITY]],Movement!$O$4:$O$2136,'Cash Balance'!$A$2)</f>
        <v>0</v>
      </c>
      <c r="K367" s="1084">
        <f>Table11[[#This Row],[CASH IN - CREDIT (VND)]]-Table11[[#This Row],[CASH OUT - DEBIT (VND)]]</f>
        <v>0</v>
      </c>
      <c r="L367" s="1095">
        <f t="shared" si="32"/>
        <v>0</v>
      </c>
      <c r="M367" s="1184" t="e">
        <f>VLOOKUP(C367,'Cash balance (BS)'!A:D,4,)</f>
        <v>#N/A</v>
      </c>
      <c r="N367" s="1095" t="e">
        <f>Table11[[#This Row],[CLOSING BALANCE (VND)2]]-Table11[[#This Row],[CB_BS (VND)]]</f>
        <v>#N/A</v>
      </c>
      <c r="O367" s="1094">
        <v>0</v>
      </c>
      <c r="P367" s="1095">
        <f t="shared" si="33"/>
        <v>-950</v>
      </c>
      <c r="Q367" s="817">
        <f>SUMIFS('Cash balance (Prior period)'!G:G,'Cash balance (Prior period)'!C:C,Table11[[#This Row],[ACCOUNT NUMBER]],'Cash balance (Prior period)'!E:E,Table11[[#This Row],[CURRENCY]])</f>
        <v>950</v>
      </c>
      <c r="R367" s="817">
        <f>SUMIFS(Movement!$F$4:$F$2136,Movement!$M$4:$M$2136,"USD",Movement!$C$4:$C$2136,Table11[[#This Row],[ACCOUNT NUMBER]],Movement!$J$4:$J$2136,Table11[[#This Row],[ENTITY]],Movement!$O$4:$O$2136,'Cash Balance'!$A$2)</f>
        <v>0</v>
      </c>
      <c r="S367" s="817">
        <f>SUMIFS(Movement!$G$4:$G$2136,Movement!$M$4:$M$2136,"USD",Movement!$C$4:$C$2136,Table11[[#This Row],[ACCOUNT NUMBER]],Movement!$J$4:$J$2136,Table11[[#This Row],[ENTITY]],Movement!$O$4:$O$2136,'Cash Balance'!$A$2)</f>
        <v>0</v>
      </c>
      <c r="T367" s="1087">
        <f t="shared" si="34"/>
        <v>950</v>
      </c>
      <c r="U367" s="817"/>
      <c r="V367" s="817">
        <f>Table11[[#This Row],[CLOSING BALANCE (USD)]]-Table11[[#This Row],[CB_BS (USD)]]</f>
        <v>950</v>
      </c>
      <c r="W367" s="1156" t="str">
        <f>VLOOKUP('Cash Balance'!$C367,Table2[#All],MATCH('Cash Balance'!W$3,Acc_Char!$B$1:$I$1,0),0)</f>
        <v>BWID JSC</v>
      </c>
      <c r="X367" s="1156" t="str">
        <f>VLOOKUP(IFERROR(MID($Y367,1,FIND("-",$Y367)-2),$Y367),Table3[#All],2,0)</f>
        <v>UOB</v>
      </c>
      <c r="Y367" s="1156" t="str">
        <f>VLOOKUP($B367,Table4[#All],2,0)</f>
        <v>UOB</v>
      </c>
      <c r="Z367" s="1151"/>
      <c r="AA367" s="49"/>
    </row>
    <row r="368" spans="1:34">
      <c r="A368" s="1153" t="str">
        <f>VLOOKUP('Cash Balance'!$C368,Table2[#All],MATCH('Cash Balance'!A$3,Acc_Char!$B$1:$I$1,0),0)</f>
        <v>PHUC DIEN</v>
      </c>
      <c r="B368" s="1154" t="str">
        <f>VLOOKUP('Cash Balance'!$C368,Table2[#All],MATCH('Cash Balance'!B$3,Acc_Char!$B$1:$I$1,0),0)</f>
        <v>BIDV - THANH XUAN</v>
      </c>
      <c r="C368" s="1190" t="s">
        <v>965</v>
      </c>
      <c r="D368" s="1156" t="str">
        <f>VLOOKUP('Cash Balance'!$C368,Table2[#All],MATCH('Cash Balance'!D$3,Acc_Char!$B$1:$I$1,0),0)</f>
        <v>Current Account</v>
      </c>
      <c r="E368" s="384" t="str">
        <f>VLOOKUP('Cash Balance'!$C368,Table2[#All],MATCH('Cash Balance'!E$3,Acc_Char!$B$1:$I$1,0),0)</f>
        <v>VND</v>
      </c>
      <c r="F368" s="1094" t="e">
        <f>VLOOKUP(C368,'Cash balance (BS)'!A:C,3,)</f>
        <v>#N/A</v>
      </c>
      <c r="G368" s="1157" t="e">
        <f t="shared" si="36"/>
        <v>#N/A</v>
      </c>
      <c r="H368" s="1318">
        <f>SUMIFS('Cash balance (Prior period)'!F:F,'Cash balance (Prior period)'!C:C,Table11[[#This Row],[ACCOUNT NUMBER]],'Cash balance (Prior period)'!E:E,Table11[[#This Row],[CURRENCY]])</f>
        <v>72720846</v>
      </c>
      <c r="I368" s="1318">
        <f>SUMIFS(Movement!$F$4:$F$2136,Movement!$M$4:$M$2136,"VND",Movement!$C$4:$C$2136,Table11[[#This Row],[ACCOUNT NUMBER]],Movement!$J$4:$J$2136,Table11[[#This Row],[ENTITY]],Movement!$O$4:$O$2136,'Cash Balance'!$A$2)</f>
        <v>0</v>
      </c>
      <c r="J368" s="1318">
        <f>SUMIFS(Movement!$G$4:$G$2136,Movement!$M$4:$M$2136,"VND",Movement!$C$4:$C$2136,Table11[[#This Row],[ACCOUNT NUMBER]],Movement!$J$4:$J$2136,Table11[[#This Row],[ENTITY]],Movement!$O$4:$O$2136,'Cash Balance'!$A$2)</f>
        <v>55000</v>
      </c>
      <c r="K368" s="1084">
        <f>Table11[[#This Row],[CASH IN - CREDIT (VND)]]-Table11[[#This Row],[CASH OUT - DEBIT (VND)]]</f>
        <v>-55000</v>
      </c>
      <c r="L368" s="1095">
        <f t="shared" si="32"/>
        <v>72665846</v>
      </c>
      <c r="M368" s="1184" t="e">
        <f>VLOOKUP(C368,'Cash balance (BS)'!A:D,4,)</f>
        <v>#N/A</v>
      </c>
      <c r="N368" s="1095" t="e">
        <f>Table11[[#This Row],[CLOSING BALANCE (VND)2]]-Table11[[#This Row],[CB_BS (VND)]]</f>
        <v>#N/A</v>
      </c>
      <c r="O368" s="1094">
        <v>0</v>
      </c>
      <c r="P368" s="1095">
        <f t="shared" si="33"/>
        <v>0</v>
      </c>
      <c r="Q368" s="817">
        <f>SUMIFS('Cash balance (Prior period)'!G:G,'Cash balance (Prior period)'!C:C,Table11[[#This Row],[ACCOUNT NUMBER]],'Cash balance (Prior period)'!E:E,Table11[[#This Row],[CURRENCY]])</f>
        <v>0</v>
      </c>
      <c r="R368" s="817">
        <f>SUMIFS(Movement!$F$4:$F$2136,Movement!$M$4:$M$2136,"USD",Movement!$C$4:$C$2136,Table11[[#This Row],[ACCOUNT NUMBER]],Movement!$J$4:$J$2136,Table11[[#This Row],[ENTITY]],Movement!$O$4:$O$2136,'Cash Balance'!$A$2)</f>
        <v>0</v>
      </c>
      <c r="S368" s="817">
        <f>SUMIFS(Movement!$G$4:$G$2136,Movement!$M$4:$M$2136,"USD",Movement!$C$4:$C$2136,Table11[[#This Row],[ACCOUNT NUMBER]],Movement!$J$4:$J$2136,Table11[[#This Row],[ENTITY]],Movement!$O$4:$O$2136,'Cash Balance'!$A$2)</f>
        <v>0</v>
      </c>
      <c r="T368" s="1087">
        <f t="shared" si="34"/>
        <v>0</v>
      </c>
      <c r="U368" s="817"/>
      <c r="V368" s="817">
        <f>Table11[[#This Row],[CLOSING BALANCE (USD)]]-Table11[[#This Row],[CB_BS (USD)]]</f>
        <v>0</v>
      </c>
      <c r="W368" s="1156" t="str">
        <f>VLOOKUP('Cash Balance'!$C368,Table2[#All],MATCH('Cash Balance'!W$3,Acc_Char!$B$1:$I$1,0),0)</f>
        <v>Subsidiaries</v>
      </c>
      <c r="X368" s="1156" t="str">
        <f>VLOOKUP(IFERROR(MID($Y368,1,FIND("-",$Y368)-2),$Y368),Table3[#All],2,0)</f>
        <v>BIDV</v>
      </c>
      <c r="Y368" s="1156" t="str">
        <f>VLOOKUP($B368,Table4[#All],2,0)</f>
        <v>BIDV - THANH XUAN</v>
      </c>
      <c r="Z368" s="1151"/>
      <c r="AA368" s="49"/>
      <c r="AH368" s="2" t="s">
        <v>466</v>
      </c>
    </row>
    <row r="369" spans="1:27">
      <c r="A369" s="1153" t="str">
        <f>VLOOKUP('Cash Balance'!$C369,Table2[#All],MATCH('Cash Balance'!A$3,Acc_Char!$B$1:$I$1,0),0)</f>
        <v>TAY NAM A</v>
      </c>
      <c r="B369" s="1154" t="str">
        <f>VLOOKUP('Cash Balance'!$C369,Table2[#All],MATCH('Cash Balance'!B$3,Acc_Char!$B$1:$I$1,0),0)</f>
        <v>VIETINBANK - TIEN SON</v>
      </c>
      <c r="C369" s="1190" t="s">
        <v>967</v>
      </c>
      <c r="D369" s="1156" t="str">
        <f>VLOOKUP('Cash Balance'!$C369,Table2[#All],MATCH('Cash Balance'!D$3,Acc_Char!$B$1:$I$1,0),0)</f>
        <v>Current Account</v>
      </c>
      <c r="E369" s="384" t="str">
        <f>VLOOKUP('Cash Balance'!$C369,Table2[#All],MATCH('Cash Balance'!E$3,Acc_Char!$B$1:$I$1,0),0)</f>
        <v>VND</v>
      </c>
      <c r="F369" s="1094" t="e">
        <f>VLOOKUP(C369,'Cash balance (BS)'!A:C,3,)</f>
        <v>#N/A</v>
      </c>
      <c r="G369" s="1157" t="e">
        <f t="shared" si="36"/>
        <v>#N/A</v>
      </c>
      <c r="H369" s="1318">
        <f>SUMIFS('Cash balance (Prior period)'!F:F,'Cash balance (Prior period)'!C:C,Table11[[#This Row],[ACCOUNT NUMBER]],'Cash balance (Prior period)'!E:E,Table11[[#This Row],[CURRENCY]])</f>
        <v>6547117</v>
      </c>
      <c r="I369" s="1318">
        <f>SUMIFS(Movement!$F$4:$F$2136,Movement!$M$4:$M$2136,"VND",Movement!$C$4:$C$2136,Table11[[#This Row],[ACCOUNT NUMBER]],Movement!$J$4:$J$2136,Table11[[#This Row],[ENTITY]],Movement!$O$4:$O$2136,'Cash Balance'!$A$2)</f>
        <v>0</v>
      </c>
      <c r="J369" s="1318">
        <f>SUMIFS(Movement!$G$4:$G$2136,Movement!$M$4:$M$2136,"VND",Movement!$C$4:$C$2136,Table11[[#This Row],[ACCOUNT NUMBER]],Movement!$J$4:$J$2136,Table11[[#This Row],[ENTITY]],Movement!$O$4:$O$2136,'Cash Balance'!$A$2)</f>
        <v>0</v>
      </c>
      <c r="K369" s="1084">
        <f>Table11[[#This Row],[CASH IN - CREDIT (VND)]]-Table11[[#This Row],[CASH OUT - DEBIT (VND)]]</f>
        <v>0</v>
      </c>
      <c r="L369" s="1095">
        <f t="shared" si="32"/>
        <v>6547117</v>
      </c>
      <c r="M369" s="1184" t="e">
        <f>VLOOKUP(C369,'Cash balance (BS)'!A:D,4,)</f>
        <v>#N/A</v>
      </c>
      <c r="N369" s="1095" t="e">
        <f>Table11[[#This Row],[CLOSING BALANCE (VND)2]]-Table11[[#This Row],[CB_BS (VND)]]</f>
        <v>#N/A</v>
      </c>
      <c r="O369" s="1094">
        <v>0</v>
      </c>
      <c r="P369" s="1095">
        <f t="shared" si="33"/>
        <v>0</v>
      </c>
      <c r="Q369" s="817">
        <f>SUMIFS('Cash balance (Prior period)'!G:G,'Cash balance (Prior period)'!C:C,Table11[[#This Row],[ACCOUNT NUMBER]],'Cash balance (Prior period)'!E:E,Table11[[#This Row],[CURRENCY]])</f>
        <v>0</v>
      </c>
      <c r="R369" s="817">
        <f>SUMIFS(Movement!$F$4:$F$2136,Movement!$M$4:$M$2136,"USD",Movement!$C$4:$C$2136,Table11[[#This Row],[ACCOUNT NUMBER]],Movement!$J$4:$J$2136,Table11[[#This Row],[ENTITY]],Movement!$O$4:$O$2136,'Cash Balance'!$A$2)</f>
        <v>0</v>
      </c>
      <c r="S369" s="817">
        <f>SUMIFS(Movement!$G$4:$G$2136,Movement!$M$4:$M$2136,"USD",Movement!$C$4:$C$2136,Table11[[#This Row],[ACCOUNT NUMBER]],Movement!$J$4:$J$2136,Table11[[#This Row],[ENTITY]],Movement!$O$4:$O$2136,'Cash Balance'!$A$2)</f>
        <v>0</v>
      </c>
      <c r="T369" s="1087">
        <f t="shared" si="34"/>
        <v>0</v>
      </c>
      <c r="U369" s="817"/>
      <c r="V369" s="817">
        <f>Table11[[#This Row],[CLOSING BALANCE (USD)]]-Table11[[#This Row],[CB_BS (USD)]]</f>
        <v>0</v>
      </c>
      <c r="W369" s="1156" t="str">
        <f>VLOOKUP('Cash Balance'!$C369,Table2[#All],MATCH('Cash Balance'!W$3,Acc_Char!$B$1:$I$1,0),0)</f>
        <v>Subsidiaries</v>
      </c>
      <c r="X369" s="1156" t="str">
        <f>VLOOKUP(IFERROR(MID($Y369,1,FIND("-",$Y369)-2),$Y369),Table3[#All],2,0)</f>
        <v>VTB</v>
      </c>
      <c r="Y369" s="1156" t="str">
        <f>VLOOKUP($B369,Table4[#All],2,0)</f>
        <v>VIETINBANK - TIEN SON</v>
      </c>
      <c r="Z369" s="1151"/>
      <c r="AA369" s="49"/>
    </row>
    <row r="370" spans="1:27">
      <c r="A370" s="1153" t="str">
        <f>VLOOKUP('Cash Balance'!$C370,Table2[#All],MATCH('Cash Balance'!A$3,Acc_Char!$B$1:$I$1,0),0)</f>
        <v>BWID HAI DUONG 2</v>
      </c>
      <c r="B370" s="1154" t="str">
        <f>VLOOKUP('Cash Balance'!$C370,Table2[#All],MATCH('Cash Balance'!B$3,Acc_Char!$B$1:$I$1,0),0)</f>
        <v>VIETINBANK - TIEN SON</v>
      </c>
      <c r="C370" s="1190" t="s">
        <v>968</v>
      </c>
      <c r="D370" s="1156" t="str">
        <f>VLOOKUP('Cash Balance'!$C370,Table2[#All],MATCH('Cash Balance'!D$3,Acc_Char!$B$1:$I$1,0),0)</f>
        <v>Saving Account</v>
      </c>
      <c r="E370" s="384" t="str">
        <f>VLOOKUP('Cash Balance'!$C370,Table2[#All],MATCH('Cash Balance'!E$3,Acc_Char!$B$1:$I$1,0),0)</f>
        <v>VND</v>
      </c>
      <c r="F370" s="1094" t="e">
        <f>VLOOKUP(C370,'Cash balance (BS)'!A:C,3,)</f>
        <v>#N/A</v>
      </c>
      <c r="G370" s="1157" t="e">
        <f t="shared" si="36"/>
        <v>#N/A</v>
      </c>
      <c r="H370" s="1318">
        <f>SUMIFS('Cash balance (Prior period)'!F:F,'Cash balance (Prior period)'!C:C,Table11[[#This Row],[ACCOUNT NUMBER]],'Cash balance (Prior period)'!E:E,Table11[[#This Row],[CURRENCY]])</f>
        <v>0</v>
      </c>
      <c r="I370" s="1318">
        <f>SUMIFS(Movement!$F$4:$F$2136,Movement!$M$4:$M$2136,"VND",Movement!$C$4:$C$2136,Table11[[#This Row],[ACCOUNT NUMBER]],Movement!$J$4:$J$2136,Table11[[#This Row],[ENTITY]],Movement!$O$4:$O$2136,'Cash Balance'!$A$2)</f>
        <v>0</v>
      </c>
      <c r="J370" s="1318">
        <f>SUMIFS(Movement!$G$4:$G$2136,Movement!$M$4:$M$2136,"VND",Movement!$C$4:$C$2136,Table11[[#This Row],[ACCOUNT NUMBER]],Movement!$J$4:$J$2136,Table11[[#This Row],[ENTITY]],Movement!$O$4:$O$2136,'Cash Balance'!$A$2)</f>
        <v>0</v>
      </c>
      <c r="K370" s="1084">
        <f>Table11[[#This Row],[CASH IN - CREDIT (VND)]]-Table11[[#This Row],[CASH OUT - DEBIT (VND)]]</f>
        <v>0</v>
      </c>
      <c r="L370" s="1095">
        <f t="shared" si="32"/>
        <v>0</v>
      </c>
      <c r="M370" s="1184" t="e">
        <f>VLOOKUP(C370,'Cash balance (BS)'!A:D,4,)</f>
        <v>#N/A</v>
      </c>
      <c r="N370" s="1095" t="e">
        <f>Table11[[#This Row],[CLOSING BALANCE (VND)2]]-Table11[[#This Row],[CB_BS (VND)]]</f>
        <v>#N/A</v>
      </c>
      <c r="O370" s="1094">
        <v>0</v>
      </c>
      <c r="P370" s="1095">
        <f t="shared" si="33"/>
        <v>0</v>
      </c>
      <c r="Q370" s="817">
        <f>SUMIFS('Cash balance (Prior period)'!G:G,'Cash balance (Prior period)'!C:C,Table11[[#This Row],[ACCOUNT NUMBER]],'Cash balance (Prior period)'!E:E,Table11[[#This Row],[CURRENCY]])</f>
        <v>0</v>
      </c>
      <c r="R370" s="817">
        <f>SUMIFS(Movement!$F$4:$F$2136,Movement!$M$4:$M$2136,"USD",Movement!$C$4:$C$2136,Table11[[#This Row],[ACCOUNT NUMBER]],Movement!$J$4:$J$2136,Table11[[#This Row],[ENTITY]],Movement!$O$4:$O$2136,'Cash Balance'!$A$2)</f>
        <v>0</v>
      </c>
      <c r="S370" s="817">
        <f>SUMIFS(Movement!$G$4:$G$2136,Movement!$M$4:$M$2136,"USD",Movement!$C$4:$C$2136,Table11[[#This Row],[ACCOUNT NUMBER]],Movement!$J$4:$J$2136,Table11[[#This Row],[ENTITY]],Movement!$O$4:$O$2136,'Cash Balance'!$A$2)</f>
        <v>0</v>
      </c>
      <c r="T370" s="1087">
        <f t="shared" si="34"/>
        <v>0</v>
      </c>
      <c r="U370" s="817"/>
      <c r="V370" s="817">
        <f>Table11[[#This Row],[CLOSING BALANCE (USD)]]-Table11[[#This Row],[CB_BS (USD)]]</f>
        <v>0</v>
      </c>
      <c r="W370" s="1156" t="str">
        <f>VLOOKUP('Cash Balance'!$C370,Table2[#All],MATCH('Cash Balance'!W$3,Acc_Char!$B$1:$I$1,0),0)</f>
        <v>Subsidiaries</v>
      </c>
      <c r="X370" s="1156" t="str">
        <f>VLOOKUP(IFERROR(MID($Y370,1,FIND("-",$Y370)-2),$Y370),Table3[#All],2,0)</f>
        <v>VTB</v>
      </c>
      <c r="Y370" s="1156" t="str">
        <f>VLOOKUP($B370,Table4[#All],2,0)</f>
        <v>VIETINBANK - TIEN SON</v>
      </c>
      <c r="Z370" s="1151"/>
      <c r="AA370" s="49"/>
    </row>
    <row r="371" spans="1:27">
      <c r="A371" s="1153" t="str">
        <f>VLOOKUP('Cash Balance'!$C371,Table2[#All],MATCH('Cash Balance'!A$3,Acc_Char!$B$1:$I$1,0),0)</f>
        <v>BW NAM HAI</v>
      </c>
      <c r="B371" s="1154" t="str">
        <f>VLOOKUP('Cash Balance'!$C371,Table2[#All],MATCH('Cash Balance'!B$3,Acc_Char!$B$1:$I$1,0),0)</f>
        <v>VIETCOMBANK - BA DINH</v>
      </c>
      <c r="C371" s="1190" t="s">
        <v>969</v>
      </c>
      <c r="D371" s="1156" t="str">
        <f>VLOOKUP('Cash Balance'!$C371,Table2[#All],MATCH('Cash Balance'!D$3,Acc_Char!$B$1:$I$1,0),0)</f>
        <v>Saving Account</v>
      </c>
      <c r="E371" s="384" t="str">
        <f>VLOOKUP('Cash Balance'!$C371,Table2[#All],MATCH('Cash Balance'!E$3,Acc_Char!$B$1:$I$1,0),0)</f>
        <v>VND</v>
      </c>
      <c r="F371" s="1094" t="e">
        <f>VLOOKUP(C371,'Cash balance (BS)'!A:C,3,)</f>
        <v>#N/A</v>
      </c>
      <c r="G371" s="1157" t="e">
        <f t="shared" si="36"/>
        <v>#N/A</v>
      </c>
      <c r="H371" s="1318">
        <f>SUMIFS('Cash balance (Prior period)'!F:F,'Cash balance (Prior period)'!C:C,Table11[[#This Row],[ACCOUNT NUMBER]],'Cash balance (Prior period)'!E:E,Table11[[#This Row],[CURRENCY]])</f>
        <v>0</v>
      </c>
      <c r="I371" s="1318">
        <f>SUMIFS(Movement!$F$4:$F$2136,Movement!$M$4:$M$2136,"VND",Movement!$C$4:$C$2136,Table11[[#This Row],[ACCOUNT NUMBER]],Movement!$J$4:$J$2136,Table11[[#This Row],[ENTITY]],Movement!$O$4:$O$2136,'Cash Balance'!$A$2)</f>
        <v>0</v>
      </c>
      <c r="J371" s="1318">
        <f>SUMIFS(Movement!$G$4:$G$2136,Movement!$M$4:$M$2136,"VND",Movement!$C$4:$C$2136,Table11[[#This Row],[ACCOUNT NUMBER]],Movement!$J$4:$J$2136,Table11[[#This Row],[ENTITY]],Movement!$O$4:$O$2136,'Cash Balance'!$A$2)</f>
        <v>0</v>
      </c>
      <c r="K371" s="1084">
        <f>Table11[[#This Row],[CASH IN - CREDIT (VND)]]-Table11[[#This Row],[CASH OUT - DEBIT (VND)]]</f>
        <v>0</v>
      </c>
      <c r="L371" s="1095">
        <f t="shared" si="32"/>
        <v>0</v>
      </c>
      <c r="M371" s="1184" t="e">
        <f>VLOOKUP(C371,'Cash balance (BS)'!A:D,4,)</f>
        <v>#N/A</v>
      </c>
      <c r="N371" s="1095" t="e">
        <f>Table11[[#This Row],[CLOSING BALANCE (VND)2]]-Table11[[#This Row],[CB_BS (VND)]]</f>
        <v>#N/A</v>
      </c>
      <c r="O371" s="1094">
        <v>0</v>
      </c>
      <c r="P371" s="1095">
        <f t="shared" si="33"/>
        <v>0</v>
      </c>
      <c r="Q371" s="817">
        <f>SUMIFS('Cash balance (Prior period)'!G:G,'Cash balance (Prior period)'!C:C,Table11[[#This Row],[ACCOUNT NUMBER]],'Cash balance (Prior period)'!E:E,Table11[[#This Row],[CURRENCY]])</f>
        <v>0</v>
      </c>
      <c r="R371" s="817">
        <f>SUMIFS(Movement!$F$4:$F$2136,Movement!$M$4:$M$2136,"USD",Movement!$C$4:$C$2136,Table11[[#This Row],[ACCOUNT NUMBER]],Movement!$J$4:$J$2136,Table11[[#This Row],[ENTITY]],Movement!$O$4:$O$2136,'Cash Balance'!$A$2)</f>
        <v>0</v>
      </c>
      <c r="S371" s="817">
        <f>SUMIFS(Movement!$G$4:$G$2136,Movement!$M$4:$M$2136,"USD",Movement!$C$4:$C$2136,Table11[[#This Row],[ACCOUNT NUMBER]],Movement!$J$4:$J$2136,Table11[[#This Row],[ENTITY]],Movement!$O$4:$O$2136,'Cash Balance'!$A$2)</f>
        <v>0</v>
      </c>
      <c r="T371" s="1087">
        <f t="shared" si="34"/>
        <v>0</v>
      </c>
      <c r="U371" s="817"/>
      <c r="V371" s="817">
        <f>Table11[[#This Row],[CLOSING BALANCE (USD)]]-Table11[[#This Row],[CB_BS (USD)]]</f>
        <v>0</v>
      </c>
      <c r="W371" s="1156" t="str">
        <f>VLOOKUP('Cash Balance'!$C371,Table2[#All],MATCH('Cash Balance'!W$3,Acc_Char!$B$1:$I$1,0),0)</f>
        <v>Subsidiaries</v>
      </c>
      <c r="X371" s="1156" t="str">
        <f>VLOOKUP(IFERROR(MID($Y371,1,FIND("-",$Y371)-2),$Y371),Table3[#All],2,0)</f>
        <v>VCB</v>
      </c>
      <c r="Y371" s="1156" t="str">
        <f>VLOOKUP($B371,Table4[#All],2,0)</f>
        <v>VIETCOMBANK - BA DINH</v>
      </c>
      <c r="Z371" s="1151"/>
      <c r="AA371" s="49"/>
    </row>
    <row r="372" spans="1:27">
      <c r="A372" s="1153" t="str">
        <f>VLOOKUP('Cash Balance'!$C372,Table2[#All],MATCH('Cash Balance'!A$3,Acc_Char!$B$1:$I$1,0),0)</f>
        <v>BIEN HOA</v>
      </c>
      <c r="B372" s="1154" t="str">
        <f>VLOOKUP('Cash Balance'!$C372,Table2[#All],MATCH('Cash Balance'!B$3,Acc_Char!$B$1:$I$1,0),0)</f>
        <v>KBank - HCM</v>
      </c>
      <c r="C372" s="1190" t="s">
        <v>972</v>
      </c>
      <c r="D372" s="1156" t="str">
        <f>VLOOKUP('Cash Balance'!$C372,Table2[#All],MATCH('Cash Balance'!D$3,Acc_Char!$B$1:$I$1,0),0)</f>
        <v>Current Account</v>
      </c>
      <c r="E372" s="384" t="str">
        <f>VLOOKUP('Cash Balance'!$C372,Table2[#All],MATCH('Cash Balance'!E$3,Acc_Char!$B$1:$I$1,0),0)</f>
        <v>VND</v>
      </c>
      <c r="F372" s="1094" t="e">
        <f>VLOOKUP(C372,'Cash balance (BS)'!A:C,3,)</f>
        <v>#N/A</v>
      </c>
      <c r="G372" s="1157" t="e">
        <f t="shared" si="36"/>
        <v>#N/A</v>
      </c>
      <c r="H372" s="1318">
        <f>SUMIFS('Cash balance (Prior period)'!F:F,'Cash balance (Prior period)'!C:C,Table11[[#This Row],[ACCOUNT NUMBER]],'Cash balance (Prior period)'!E:E,Table11[[#This Row],[CURRENCY]])</f>
        <v>1784661904</v>
      </c>
      <c r="I372" s="1318">
        <f>SUMIFS(Movement!$F$4:$F$2136,Movement!$M$4:$M$2136,"VND",Movement!$C$4:$C$2136,Table11[[#This Row],[ACCOUNT NUMBER]],Movement!$J$4:$J$2136,Table11[[#This Row],[ENTITY]],Movement!$O$4:$O$2136,'Cash Balance'!$A$2)</f>
        <v>54136986</v>
      </c>
      <c r="J372" s="1318">
        <f>SUMIFS(Movement!$G$4:$G$2136,Movement!$M$4:$M$2136,"VND",Movement!$C$4:$C$2136,Table11[[#This Row],[ACCOUNT NUMBER]],Movement!$J$4:$J$2136,Table11[[#This Row],[ENTITY]],Movement!$O$4:$O$2136,'Cash Balance'!$A$2)</f>
        <v>8745629</v>
      </c>
      <c r="K372" s="1084">
        <f>Table11[[#This Row],[CASH IN - CREDIT (VND)]]-Table11[[#This Row],[CASH OUT - DEBIT (VND)]]</f>
        <v>45391357</v>
      </c>
      <c r="L372" s="1095">
        <f t="shared" si="32"/>
        <v>1830053261</v>
      </c>
      <c r="M372" s="1184" t="e">
        <f>VLOOKUP(C372,'Cash balance (BS)'!A:D,4,)</f>
        <v>#N/A</v>
      </c>
      <c r="N372" s="1095" t="e">
        <f>Table11[[#This Row],[CLOSING BALANCE (VND)2]]-Table11[[#This Row],[CB_BS (VND)]]</f>
        <v>#N/A</v>
      </c>
      <c r="O372" s="1094">
        <v>0</v>
      </c>
      <c r="P372" s="1095">
        <f t="shared" si="33"/>
        <v>0</v>
      </c>
      <c r="Q372" s="817">
        <f>SUMIFS('Cash balance (Prior period)'!G:G,'Cash balance (Prior period)'!C:C,Table11[[#This Row],[ACCOUNT NUMBER]],'Cash balance (Prior period)'!E:E,Table11[[#This Row],[CURRENCY]])</f>
        <v>0</v>
      </c>
      <c r="R372" s="817">
        <f>SUMIFS(Movement!$F$4:$F$2136,Movement!$M$4:$M$2136,"USD",Movement!$C$4:$C$2136,Table11[[#This Row],[ACCOUNT NUMBER]],Movement!$J$4:$J$2136,Table11[[#This Row],[ENTITY]],Movement!$O$4:$O$2136,'Cash Balance'!$A$2)</f>
        <v>0</v>
      </c>
      <c r="S372" s="817">
        <f>SUMIFS(Movement!$G$4:$G$2136,Movement!$M$4:$M$2136,"USD",Movement!$C$4:$C$2136,Table11[[#This Row],[ACCOUNT NUMBER]],Movement!$J$4:$J$2136,Table11[[#This Row],[ENTITY]],Movement!$O$4:$O$2136,'Cash Balance'!$A$2)</f>
        <v>0</v>
      </c>
      <c r="T372" s="1087">
        <f t="shared" si="34"/>
        <v>0</v>
      </c>
      <c r="U372" s="817"/>
      <c r="V372" s="817">
        <f>Table11[[#This Row],[CLOSING BALANCE (USD)]]-Table11[[#This Row],[CB_BS (USD)]]</f>
        <v>0</v>
      </c>
      <c r="W372" s="1156" t="str">
        <f>VLOOKUP('Cash Balance'!$C372,Table2[#All],MATCH('Cash Balance'!W$3,Acc_Char!$B$1:$I$1,0),0)</f>
        <v>Subsidiaries</v>
      </c>
      <c r="X372" s="1156" t="str">
        <f>VLOOKUP(IFERROR(MID($Y372,1,FIND("-",$Y372)-2),$Y372),Table3[#All],2,0)</f>
        <v>Others</v>
      </c>
      <c r="Y372" s="1156" t="str">
        <f>VLOOKUP($B372,Table4[#All],2,0)</f>
        <v>OTHERS</v>
      </c>
      <c r="Z372" s="1151"/>
      <c r="AA372" s="49"/>
    </row>
    <row r="373" spans="1:27">
      <c r="A373" s="1153" t="str">
        <f>VLOOKUP('Cash Balance'!$C373,Table2[#All],MATCH('Cash Balance'!A$3,Acc_Char!$B$1:$I$1,0),0)</f>
        <v>SAO HOA</v>
      </c>
      <c r="B373" s="1154" t="str">
        <f>VLOOKUP('Cash Balance'!$C373,Table2[#All],MATCH('Cash Balance'!B$3,Acc_Char!$B$1:$I$1,0),0)</f>
        <v>TECHCOMBANK</v>
      </c>
      <c r="C373" s="1190" t="s">
        <v>973</v>
      </c>
      <c r="D373" s="1156" t="str">
        <f>VLOOKUP('Cash Balance'!$C373,Table2[#All],MATCH('Cash Balance'!D$3,Acc_Char!$B$1:$I$1,0),0)</f>
        <v>Current Account</v>
      </c>
      <c r="E373" s="384" t="str">
        <f>VLOOKUP('Cash Balance'!$C373,Table2[#All],MATCH('Cash Balance'!E$3,Acc_Char!$B$1:$I$1,0),0)</f>
        <v>VND</v>
      </c>
      <c r="F373" s="1094"/>
      <c r="G373" s="1157"/>
      <c r="H373" s="1318">
        <f>SUMIFS('Cash balance (Prior period)'!F:F,'Cash balance (Prior period)'!C:C,Table11[[#This Row],[ACCOUNT NUMBER]],'Cash balance (Prior period)'!E:E,Table11[[#This Row],[CURRENCY]])</f>
        <v>1560960116</v>
      </c>
      <c r="I373" s="1318">
        <f>SUMIFS(Movement!$F$4:$F$2136,Movement!$M$4:$M$2136,"VND",Movement!$C$4:$C$2136,Table11[[#This Row],[ACCOUNT NUMBER]],Movement!$J$4:$J$2136,Table11[[#This Row],[ENTITY]],Movement!$O$4:$O$2136,'Cash Balance'!$A$2)</f>
        <v>0</v>
      </c>
      <c r="J373" s="1318">
        <f>SUMIFS(Movement!$G$4:$G$2136,Movement!$M$4:$M$2136,"VND",Movement!$C$4:$C$2136,Table11[[#This Row],[ACCOUNT NUMBER]],Movement!$J$4:$J$2136,Table11[[#This Row],[ENTITY]],Movement!$O$4:$O$2136,'Cash Balance'!$A$2)</f>
        <v>0</v>
      </c>
      <c r="K373" s="1084">
        <f>Table11[[#This Row],[CASH IN - CREDIT (VND)]]-Table11[[#This Row],[CASH OUT - DEBIT (VND)]]</f>
        <v>0</v>
      </c>
      <c r="L373" s="1095">
        <f t="shared" si="32"/>
        <v>1560960116</v>
      </c>
      <c r="M373" s="1184" t="e">
        <f>VLOOKUP(C373,'Cash balance (BS)'!A:D,4,)</f>
        <v>#N/A</v>
      </c>
      <c r="N373" s="1095" t="e">
        <f>Table11[[#This Row],[CLOSING BALANCE (VND)2]]-Table11[[#This Row],[CB_BS (VND)]]</f>
        <v>#N/A</v>
      </c>
      <c r="O373" s="1094">
        <v>0</v>
      </c>
      <c r="P373" s="1095">
        <f t="shared" si="33"/>
        <v>0</v>
      </c>
      <c r="Q373" s="817">
        <f>SUMIFS('Cash balance (Prior period)'!G:G,'Cash balance (Prior period)'!C:C,Table11[[#This Row],[ACCOUNT NUMBER]],'Cash balance (Prior period)'!E:E,Table11[[#This Row],[CURRENCY]])</f>
        <v>0</v>
      </c>
      <c r="R373" s="817">
        <f>SUMIFS(Movement!$F$4:$F$2136,Movement!$M$4:$M$2136,"USD",Movement!$C$4:$C$2136,Table11[[#This Row],[ACCOUNT NUMBER]],Movement!$J$4:$J$2136,Table11[[#This Row],[ENTITY]],Movement!$O$4:$O$2136,'Cash Balance'!$A$2)</f>
        <v>0</v>
      </c>
      <c r="S373" s="817">
        <f>SUMIFS(Movement!$G$4:$G$2136,Movement!$M$4:$M$2136,"USD",Movement!$C$4:$C$2136,Table11[[#This Row],[ACCOUNT NUMBER]],Movement!$J$4:$J$2136,Table11[[#This Row],[ENTITY]],Movement!$O$4:$O$2136,'Cash Balance'!$A$2)</f>
        <v>0</v>
      </c>
      <c r="T373" s="1087">
        <f t="shared" si="34"/>
        <v>0</v>
      </c>
      <c r="U373" s="817" t="e">
        <f>VLOOKUP(C373,'Cash balance (BS)'!A:D,4,)</f>
        <v>#N/A</v>
      </c>
      <c r="V373" s="817" t="e">
        <f>Table11[[#This Row],[CLOSING BALANCE (USD)]]-Table11[[#This Row],[CB_BS (USD)]]</f>
        <v>#N/A</v>
      </c>
      <c r="W373" s="1156" t="str">
        <f>VLOOKUP('Cash Balance'!$C373,Table2[#All],MATCH('Cash Balance'!W$3,Acc_Char!$B$1:$I$1,0),0)</f>
        <v>VC3</v>
      </c>
      <c r="X373" s="1156" t="str">
        <f>VLOOKUP(IFERROR(MID($Y373,1,FIND("-",$Y373)-2),$Y373),Table3[#All],2,0)</f>
        <v>TCB</v>
      </c>
      <c r="Y373" s="1156" t="str">
        <f>VLOOKUP($B373,Table4[#All],2,0)</f>
        <v>TECHCOMBANK</v>
      </c>
      <c r="Z373" s="1151"/>
      <c r="AA373" s="49"/>
    </row>
    <row r="374" spans="1:27">
      <c r="A374" s="1153" t="str">
        <f>VLOOKUP('Cash Balance'!$C374,Table2[#All],MATCH('Cash Balance'!A$3,Acc_Char!$B$1:$I$1,0),0)</f>
        <v>SAO HOA</v>
      </c>
      <c r="B374" s="1154" t="str">
        <f>VLOOKUP('Cash Balance'!$C374,Table2[#All],MATCH('Cash Balance'!B$3,Acc_Char!$B$1:$I$1,0),0)</f>
        <v>UOB - HCM</v>
      </c>
      <c r="C374" s="1190" t="s">
        <v>974</v>
      </c>
      <c r="D374" s="1156" t="str">
        <f>VLOOKUP('Cash Balance'!$C374,Table2[#All],MATCH('Cash Balance'!D$3,Acc_Char!$B$1:$I$1,0),0)</f>
        <v>Current Account</v>
      </c>
      <c r="E374" s="384" t="str">
        <f>VLOOKUP('Cash Balance'!$C374,Table2[#All],MATCH('Cash Balance'!E$3,Acc_Char!$B$1:$I$1,0),0)</f>
        <v>VND</v>
      </c>
      <c r="F374" s="1094" t="e">
        <f>VLOOKUP(C374,'Cash balance (BS)'!A:C,3,)</f>
        <v>#N/A</v>
      </c>
      <c r="G374" s="1157" t="e">
        <f t="shared" ref="G374:G381" si="37">F374-H374</f>
        <v>#N/A</v>
      </c>
      <c r="H374" s="1318">
        <f>SUMIFS('Cash balance (Prior period)'!F:F,'Cash balance (Prior period)'!C:C,Table11[[#This Row],[ACCOUNT NUMBER]],'Cash balance (Prior period)'!E:E,Table11[[#This Row],[CURRENCY]])</f>
        <v>11873011683</v>
      </c>
      <c r="I374" s="1318">
        <f>SUMIFS(Movement!$F$4:$F$2136,Movement!$M$4:$M$2136,"VND",Movement!$C$4:$C$2136,Table11[[#This Row],[ACCOUNT NUMBER]],Movement!$J$4:$J$2136,Table11[[#This Row],[ENTITY]],Movement!$O$4:$O$2136,'Cash Balance'!$A$2)</f>
        <v>1427622718</v>
      </c>
      <c r="J374" s="1318">
        <f>SUMIFS(Movement!$G$4:$G$2136,Movement!$M$4:$M$2136,"VND",Movement!$C$4:$C$2136,Table11[[#This Row],[ACCOUNT NUMBER]],Movement!$J$4:$J$2136,Table11[[#This Row],[ENTITY]],Movement!$O$4:$O$2136,'Cash Balance'!$A$2)</f>
        <v>0</v>
      </c>
      <c r="K374" s="1084">
        <f>Table11[[#This Row],[CASH IN - CREDIT (VND)]]-Table11[[#This Row],[CASH OUT - DEBIT (VND)]]</f>
        <v>1427622718</v>
      </c>
      <c r="L374" s="1095">
        <f t="shared" si="32"/>
        <v>13300634401</v>
      </c>
      <c r="M374" s="1184" t="e">
        <f>VLOOKUP(C374,'Cash balance (BS)'!A:D,4,)</f>
        <v>#N/A</v>
      </c>
      <c r="N374" s="1095" t="e">
        <f>Table11[[#This Row],[CLOSING BALANCE (VND)2]]-Table11[[#This Row],[CB_BS (VND)]]</f>
        <v>#N/A</v>
      </c>
      <c r="O374" s="1094">
        <v>0</v>
      </c>
      <c r="P374" s="1095">
        <f t="shared" si="33"/>
        <v>0</v>
      </c>
      <c r="Q374" s="817">
        <f>SUMIFS('Cash balance (Prior period)'!G:G,'Cash balance (Prior period)'!C:C,Table11[[#This Row],[ACCOUNT NUMBER]],'Cash balance (Prior period)'!E:E,Table11[[#This Row],[CURRENCY]])</f>
        <v>0</v>
      </c>
      <c r="R374" s="817">
        <f>SUMIFS(Movement!$F$4:$F$2136,Movement!$M$4:$M$2136,"USD",Movement!$C$4:$C$2136,Table11[[#This Row],[ACCOUNT NUMBER]],Movement!$J$4:$J$2136,Table11[[#This Row],[ENTITY]],Movement!$O$4:$O$2136,'Cash Balance'!$A$2)</f>
        <v>0</v>
      </c>
      <c r="S374" s="817">
        <f>SUMIFS(Movement!$G$4:$G$2136,Movement!$M$4:$M$2136,"USD",Movement!$C$4:$C$2136,Table11[[#This Row],[ACCOUNT NUMBER]],Movement!$J$4:$J$2136,Table11[[#This Row],[ENTITY]],Movement!$O$4:$O$2136,'Cash Balance'!$A$2)</f>
        <v>0</v>
      </c>
      <c r="T374" s="1087">
        <f t="shared" si="34"/>
        <v>0</v>
      </c>
      <c r="U374" s="817"/>
      <c r="V374" s="817">
        <f>Table11[[#This Row],[CLOSING BALANCE (USD)]]-Table11[[#This Row],[CB_BS (USD)]]</f>
        <v>0</v>
      </c>
      <c r="W374" s="1156" t="str">
        <f>VLOOKUP('Cash Balance'!$C374,Table2[#All],MATCH('Cash Balance'!W$3,Acc_Char!$B$1:$I$1,0),0)</f>
        <v>VC3</v>
      </c>
      <c r="X374" s="1156" t="str">
        <f>VLOOKUP(IFERROR(MID($Y374,1,FIND("-",$Y374)-2),$Y374),Table3[#All],2,0)</f>
        <v>UOB</v>
      </c>
      <c r="Y374" s="1156" t="str">
        <f>VLOOKUP($B374,Table4[#All],2,0)</f>
        <v>UOB</v>
      </c>
      <c r="Z374" s="1151"/>
      <c r="AA374" s="49"/>
    </row>
    <row r="375" spans="1:27">
      <c r="A375" s="1153" t="str">
        <f>VLOOKUP('Cash Balance'!$C375,Table2[#All],MATCH('Cash Balance'!A$3,Acc_Char!$B$1:$I$1,0),0)</f>
        <v>SAO HOA</v>
      </c>
      <c r="B375" s="1154" t="str">
        <f>VLOOKUP('Cash Balance'!$C375,Table2[#All],MATCH('Cash Balance'!B$3,Acc_Char!$B$1:$I$1,0),0)</f>
        <v>UOB - HCM</v>
      </c>
      <c r="C375" s="1190" t="s">
        <v>975</v>
      </c>
      <c r="D375" s="1156" t="str">
        <f>VLOOKUP('Cash Balance'!$C375,Table2[#All],MATCH('Cash Balance'!D$3,Acc_Char!$B$1:$I$1,0),0)</f>
        <v>Current Account</v>
      </c>
      <c r="E375" s="384" t="str">
        <f>VLOOKUP('Cash Balance'!$C375,Table2[#All],MATCH('Cash Balance'!E$3,Acc_Char!$B$1:$I$1,0),0)</f>
        <v>USD</v>
      </c>
      <c r="F375" s="1094" t="e">
        <f>VLOOKUP(C375,'Cash balance (BS)'!A:C,3,)</f>
        <v>#N/A</v>
      </c>
      <c r="G375" s="1157" t="e">
        <f t="shared" si="37"/>
        <v>#N/A</v>
      </c>
      <c r="H375" s="1318">
        <f>SUMIFS('Cash balance (Prior period)'!F:F,'Cash balance (Prior period)'!C:C,Table11[[#This Row],[ACCOUNT NUMBER]],'Cash balance (Prior period)'!E:E,Table11[[#This Row],[CURRENCY]])</f>
        <v>0</v>
      </c>
      <c r="I375" s="1318">
        <f>SUMIFS(Movement!$F$4:$F$2136,Movement!$M$4:$M$2136,"VND",Movement!$C$4:$C$2136,Table11[[#This Row],[ACCOUNT NUMBER]],Movement!$J$4:$J$2136,Table11[[#This Row],[ENTITY]],Movement!$O$4:$O$2136,'Cash Balance'!$A$2)</f>
        <v>0</v>
      </c>
      <c r="J375" s="1318">
        <f>SUMIFS(Movement!$G$4:$G$2136,Movement!$M$4:$M$2136,"VND",Movement!$C$4:$C$2136,Table11[[#This Row],[ACCOUNT NUMBER]],Movement!$J$4:$J$2136,Table11[[#This Row],[ENTITY]],Movement!$O$4:$O$2136,'Cash Balance'!$A$2)</f>
        <v>0</v>
      </c>
      <c r="K375" s="1084">
        <f>Table11[[#This Row],[CASH IN - CREDIT (VND)]]-Table11[[#This Row],[CASH OUT - DEBIT (VND)]]</f>
        <v>0</v>
      </c>
      <c r="L375" s="1095">
        <f t="shared" si="32"/>
        <v>0</v>
      </c>
      <c r="M375" s="1184" t="e">
        <f>VLOOKUP(C375,'Cash balance (BS)'!A:D,4,)</f>
        <v>#N/A</v>
      </c>
      <c r="N375" s="1095" t="e">
        <f>Table11[[#This Row],[CLOSING BALANCE (VND)2]]-Table11[[#This Row],[CB_BS (VND)]]</f>
        <v>#N/A</v>
      </c>
      <c r="O375" s="1094">
        <v>0</v>
      </c>
      <c r="P375" s="1095">
        <f t="shared" si="33"/>
        <v>0</v>
      </c>
      <c r="Q375" s="817">
        <f>SUMIFS('Cash balance (Prior period)'!G:G,'Cash balance (Prior period)'!C:C,Table11[[#This Row],[ACCOUNT NUMBER]],'Cash balance (Prior period)'!E:E,Table11[[#This Row],[CURRENCY]])</f>
        <v>0</v>
      </c>
      <c r="R375" s="817">
        <f>SUMIFS(Movement!$F$4:$F$2136,Movement!$M$4:$M$2136,"USD",Movement!$C$4:$C$2136,Table11[[#This Row],[ACCOUNT NUMBER]],Movement!$J$4:$J$2136,Table11[[#This Row],[ENTITY]],Movement!$O$4:$O$2136,'Cash Balance'!$A$2)</f>
        <v>0</v>
      </c>
      <c r="S375" s="817">
        <f>SUMIFS(Movement!$G$4:$G$2136,Movement!$M$4:$M$2136,"USD",Movement!$C$4:$C$2136,Table11[[#This Row],[ACCOUNT NUMBER]],Movement!$J$4:$J$2136,Table11[[#This Row],[ENTITY]],Movement!$O$4:$O$2136,'Cash Balance'!$A$2)</f>
        <v>0</v>
      </c>
      <c r="T375" s="1087">
        <f t="shared" si="34"/>
        <v>0</v>
      </c>
      <c r="U375" s="817"/>
      <c r="V375" s="817">
        <f>Table11[[#This Row],[CLOSING BALANCE (USD)]]-Table11[[#This Row],[CB_BS (USD)]]</f>
        <v>0</v>
      </c>
      <c r="W375" s="1156" t="str">
        <f>VLOOKUP('Cash Balance'!$C375,Table2[#All],MATCH('Cash Balance'!W$3,Acc_Char!$B$1:$I$1,0),0)</f>
        <v>VC3</v>
      </c>
      <c r="X375" s="1156" t="str">
        <f>VLOOKUP(IFERROR(MID($Y375,1,FIND("-",$Y375)-2),$Y375),Table3[#All],2,0)</f>
        <v>UOB</v>
      </c>
      <c r="Y375" s="1156" t="str">
        <f>VLOOKUP($B375,Table4[#All],2,0)</f>
        <v>UOB</v>
      </c>
      <c r="Z375" s="1151"/>
      <c r="AA375" s="49"/>
    </row>
    <row r="376" spans="1:27">
      <c r="A376" s="1153" t="str">
        <f>VLOOKUP('Cash Balance'!$C376,Table2[#All],MATCH('Cash Balance'!A$3,Acc_Char!$B$1:$I$1,0),0)</f>
        <v>SAO HOA</v>
      </c>
      <c r="B376" s="1154" t="str">
        <f>VLOOKUP('Cash Balance'!$C376,Table2[#All],MATCH('Cash Balance'!B$3,Acc_Char!$B$1:$I$1,0),0)</f>
        <v>SINOPAC</v>
      </c>
      <c r="C376" s="1190" t="s">
        <v>976</v>
      </c>
      <c r="D376" s="1156" t="str">
        <f>VLOOKUP('Cash Balance'!$C376,Table2[#All],MATCH('Cash Balance'!D$3,Acc_Char!$B$1:$I$1,0),0)</f>
        <v>Current Account</v>
      </c>
      <c r="E376" s="384" t="str">
        <f>VLOOKUP('Cash Balance'!$C376,Table2[#All],MATCH('Cash Balance'!E$3,Acc_Char!$B$1:$I$1,0),0)</f>
        <v>VND</v>
      </c>
      <c r="F376" s="1094" t="e">
        <f>VLOOKUP(C376,'Cash balance (BS)'!A:C,3,)</f>
        <v>#N/A</v>
      </c>
      <c r="G376" s="1157" t="e">
        <f t="shared" si="37"/>
        <v>#N/A</v>
      </c>
      <c r="H376" s="1318">
        <f>SUMIFS('Cash balance (Prior period)'!F:F,'Cash balance (Prior period)'!C:C,Table11[[#This Row],[ACCOUNT NUMBER]],'Cash balance (Prior period)'!E:E,Table11[[#This Row],[CURRENCY]])</f>
        <v>74818921</v>
      </c>
      <c r="I376" s="1318">
        <f>SUMIFS(Movement!$F$4:$F$2136,Movement!$M$4:$M$2136,"VND",Movement!$C$4:$C$2136,Table11[[#This Row],[ACCOUNT NUMBER]],Movement!$J$4:$J$2136,Table11[[#This Row],[ENTITY]],Movement!$O$4:$O$2136,'Cash Balance'!$A$2)</f>
        <v>0</v>
      </c>
      <c r="J376" s="1318">
        <f>SUMIFS(Movement!$G$4:$G$2136,Movement!$M$4:$M$2136,"VND",Movement!$C$4:$C$2136,Table11[[#This Row],[ACCOUNT NUMBER]],Movement!$J$4:$J$2136,Table11[[#This Row],[ENTITY]],Movement!$O$4:$O$2136,'Cash Balance'!$A$2)</f>
        <v>0</v>
      </c>
      <c r="K376" s="1084">
        <f>Table11[[#This Row],[CASH IN - CREDIT (VND)]]-Table11[[#This Row],[CASH OUT - DEBIT (VND)]]</f>
        <v>0</v>
      </c>
      <c r="L376" s="1095">
        <f t="shared" si="32"/>
        <v>74818921</v>
      </c>
      <c r="M376" s="1184" t="e">
        <f>VLOOKUP(C376,'Cash balance (BS)'!A:D,4,)</f>
        <v>#N/A</v>
      </c>
      <c r="N376" s="1095" t="e">
        <f>Table11[[#This Row],[CLOSING BALANCE (VND)2]]-Table11[[#This Row],[CB_BS (VND)]]</f>
        <v>#N/A</v>
      </c>
      <c r="O376" s="1094">
        <v>0</v>
      </c>
      <c r="P376" s="1095">
        <f t="shared" si="33"/>
        <v>0</v>
      </c>
      <c r="Q376" s="817">
        <f>SUMIFS('Cash balance (Prior period)'!G:G,'Cash balance (Prior period)'!C:C,Table11[[#This Row],[ACCOUNT NUMBER]],'Cash balance (Prior period)'!E:E,Table11[[#This Row],[CURRENCY]])</f>
        <v>0</v>
      </c>
      <c r="R376" s="817">
        <f>SUMIFS(Movement!$F$4:$F$2136,Movement!$M$4:$M$2136,"USD",Movement!$C$4:$C$2136,Table11[[#This Row],[ACCOUNT NUMBER]],Movement!$J$4:$J$2136,Table11[[#This Row],[ENTITY]],Movement!$O$4:$O$2136,'Cash Balance'!$A$2)</f>
        <v>0</v>
      </c>
      <c r="S376" s="817">
        <f>SUMIFS(Movement!$G$4:$G$2136,Movement!$M$4:$M$2136,"USD",Movement!$C$4:$C$2136,Table11[[#This Row],[ACCOUNT NUMBER]],Movement!$J$4:$J$2136,Table11[[#This Row],[ENTITY]],Movement!$O$4:$O$2136,'Cash Balance'!$A$2)</f>
        <v>0</v>
      </c>
      <c r="T376" s="1087">
        <f t="shared" si="34"/>
        <v>0</v>
      </c>
      <c r="U376" s="817"/>
      <c r="V376" s="817">
        <f>Table11[[#This Row],[CLOSING BALANCE (USD)]]-Table11[[#This Row],[CB_BS (USD)]]</f>
        <v>0</v>
      </c>
      <c r="W376" s="1156" t="str">
        <f>VLOOKUP('Cash Balance'!$C376,Table2[#All],MATCH('Cash Balance'!W$3,Acc_Char!$B$1:$I$1,0),0)</f>
        <v>VC3</v>
      </c>
      <c r="X376" s="1156" t="str">
        <f>VLOOKUP(IFERROR(MID($Y376,1,FIND("-",$Y376)-2),$Y376),Table3[#All],2,0)</f>
        <v>SNP</v>
      </c>
      <c r="Y376" s="1156" t="str">
        <f>VLOOKUP($B376,Table4[#All],2,0)</f>
        <v>SINOPAC</v>
      </c>
      <c r="Z376" s="1151"/>
      <c r="AA376" s="49"/>
    </row>
    <row r="377" spans="1:27">
      <c r="A377" s="1153" t="str">
        <f>VLOOKUP('Cash Balance'!$C377,Table2[#All],MATCH('Cash Balance'!A$3,Acc_Char!$B$1:$I$1,0),0)</f>
        <v>BW NEW CITY</v>
      </c>
      <c r="B377" s="1154" t="str">
        <f>VLOOKUP('Cash Balance'!$C377,Table2[#All],MATCH('Cash Balance'!B$3,Acc_Char!$B$1:$I$1,0),0)</f>
        <v>VIB - HOI SO</v>
      </c>
      <c r="C377" s="1190" t="s">
        <v>977</v>
      </c>
      <c r="D377" s="1156" t="str">
        <f>VLOOKUP('Cash Balance'!$C377,Table2[#All],MATCH('Cash Balance'!D$3,Acc_Char!$B$1:$I$1,0),0)</f>
        <v>Current Account</v>
      </c>
      <c r="E377" s="384" t="str">
        <f>VLOOKUP('Cash Balance'!$C377,Table2[#All],MATCH('Cash Balance'!E$3,Acc_Char!$B$1:$I$1,0),0)</f>
        <v>VND</v>
      </c>
      <c r="F377" s="1094" t="e">
        <f>VLOOKUP(C377,'Cash balance (BS)'!A:C,3,)</f>
        <v>#N/A</v>
      </c>
      <c r="G377" s="1157" t="e">
        <f t="shared" si="37"/>
        <v>#N/A</v>
      </c>
      <c r="H377" s="1318">
        <f>SUMIFS('Cash balance (Prior period)'!F:F,'Cash balance (Prior period)'!C:C,Table11[[#This Row],[ACCOUNT NUMBER]],'Cash balance (Prior period)'!E:E,Table11[[#This Row],[CURRENCY]])</f>
        <v>2957197</v>
      </c>
      <c r="I377" s="1318">
        <f>SUMIFS(Movement!$F$4:$F$2136,Movement!$M$4:$M$2136,"VND",Movement!$C$4:$C$2136,Table11[[#This Row],[ACCOUNT NUMBER]],Movement!$J$4:$J$2136,Table11[[#This Row],[ENTITY]],Movement!$O$4:$O$2136,'Cash Balance'!$A$2)</f>
        <v>0</v>
      </c>
      <c r="J377" s="1318">
        <f>SUMIFS(Movement!$G$4:$G$2136,Movement!$M$4:$M$2136,"VND",Movement!$C$4:$C$2136,Table11[[#This Row],[ACCOUNT NUMBER]],Movement!$J$4:$J$2136,Table11[[#This Row],[ENTITY]],Movement!$O$4:$O$2136,'Cash Balance'!$A$2)</f>
        <v>0</v>
      </c>
      <c r="K377" s="1084">
        <f>Table11[[#This Row],[CASH IN - CREDIT (VND)]]-Table11[[#This Row],[CASH OUT - DEBIT (VND)]]</f>
        <v>0</v>
      </c>
      <c r="L377" s="1095">
        <f t="shared" si="32"/>
        <v>2957197</v>
      </c>
      <c r="M377" s="1184" t="e">
        <f>VLOOKUP(C377,'Cash balance (BS)'!A:D,4,)</f>
        <v>#N/A</v>
      </c>
      <c r="N377" s="1095" t="e">
        <f>Table11[[#This Row],[CLOSING BALANCE (VND)2]]-Table11[[#This Row],[CB_BS (VND)]]</f>
        <v>#N/A</v>
      </c>
      <c r="O377" s="1094">
        <v>0</v>
      </c>
      <c r="P377" s="1095">
        <f t="shared" si="33"/>
        <v>0</v>
      </c>
      <c r="Q377" s="817">
        <f>SUMIFS('Cash balance (Prior period)'!G:G,'Cash balance (Prior period)'!C:C,Table11[[#This Row],[ACCOUNT NUMBER]],'Cash balance (Prior period)'!E:E,Table11[[#This Row],[CURRENCY]])</f>
        <v>0</v>
      </c>
      <c r="R377" s="817">
        <f>SUMIFS(Movement!$F$4:$F$2136,Movement!$M$4:$M$2136,"USD",Movement!$C$4:$C$2136,Table11[[#This Row],[ACCOUNT NUMBER]],Movement!$J$4:$J$2136,Table11[[#This Row],[ENTITY]],Movement!$O$4:$O$2136,'Cash Balance'!$A$2)</f>
        <v>0</v>
      </c>
      <c r="S377" s="817">
        <f>SUMIFS(Movement!$G$4:$G$2136,Movement!$M$4:$M$2136,"USD",Movement!$C$4:$C$2136,Table11[[#This Row],[ACCOUNT NUMBER]],Movement!$J$4:$J$2136,Table11[[#This Row],[ENTITY]],Movement!$O$4:$O$2136,'Cash Balance'!$A$2)</f>
        <v>0</v>
      </c>
      <c r="T377" s="1087">
        <f t="shared" si="34"/>
        <v>0</v>
      </c>
      <c r="U377" s="817"/>
      <c r="V377" s="817">
        <f>Table11[[#This Row],[CLOSING BALANCE (USD)]]-Table11[[#This Row],[CB_BS (USD)]]</f>
        <v>0</v>
      </c>
      <c r="W377" s="1156" t="str">
        <f>VLOOKUP('Cash Balance'!$C377,Table2[#All],MATCH('Cash Balance'!W$3,Acc_Char!$B$1:$I$1,0),0)</f>
        <v>Subsidiaries</v>
      </c>
      <c r="X377" s="1156" t="str">
        <f>VLOOKUP(IFERROR(MID($Y377,1,FIND("-",$Y377)-2),$Y377),Table3[#All],2,0)</f>
        <v>VIB</v>
      </c>
      <c r="Y377" s="1156" t="str">
        <f>VLOOKUP($B377,Table4[#All],2,0)</f>
        <v>VIB - HOI SO</v>
      </c>
      <c r="Z377" s="1151"/>
      <c r="AA377" s="49"/>
    </row>
    <row r="378" spans="1:27">
      <c r="A378" s="1153" t="str">
        <f>VLOOKUP('Cash Balance'!$C378,Table2[#All],MATCH('Cash Balance'!A$3,Acc_Char!$B$1:$I$1,0),0)</f>
        <v>SAO HOA</v>
      </c>
      <c r="B378" s="1154" t="str">
        <f>VLOOKUP('Cash Balance'!$C378,Table2[#All],MATCH('Cash Balance'!B$3,Acc_Char!$B$1:$I$1,0),0)</f>
        <v>UOB - HCM</v>
      </c>
      <c r="C378" s="1190" t="s">
        <v>978</v>
      </c>
      <c r="D378" s="1156" t="str">
        <f>VLOOKUP('Cash Balance'!$C378,Table2[#All],MATCH('Cash Balance'!D$3,Acc_Char!$B$1:$I$1,0),0)</f>
        <v>Current Account</v>
      </c>
      <c r="E378" s="384" t="str">
        <f>VLOOKUP('Cash Balance'!$C378,Table2[#All],MATCH('Cash Balance'!E$3,Acc_Char!$B$1:$I$1,0),0)</f>
        <v>USD</v>
      </c>
      <c r="F378" s="1094" t="e">
        <f>VLOOKUP(C378,'Cash balance (BS)'!A:C,3,)</f>
        <v>#N/A</v>
      </c>
      <c r="G378" s="1157" t="e">
        <f t="shared" si="37"/>
        <v>#N/A</v>
      </c>
      <c r="H378" s="1318">
        <f>SUMIFS('Cash balance (Prior period)'!F:F,'Cash balance (Prior period)'!C:C,Table11[[#This Row],[ACCOUNT NUMBER]],'Cash balance (Prior period)'!E:E,Table11[[#This Row],[CURRENCY]])</f>
        <v>0</v>
      </c>
      <c r="I378" s="1318">
        <f>SUMIFS(Movement!$F$4:$F$2136,Movement!$M$4:$M$2136,"VND",Movement!$C$4:$C$2136,Table11[[#This Row],[ACCOUNT NUMBER]],Movement!$J$4:$J$2136,Table11[[#This Row],[ENTITY]],Movement!$O$4:$O$2136,'Cash Balance'!$A$2)</f>
        <v>0</v>
      </c>
      <c r="J378" s="1318">
        <f>SUMIFS(Movement!$G$4:$G$2136,Movement!$M$4:$M$2136,"VND",Movement!$C$4:$C$2136,Table11[[#This Row],[ACCOUNT NUMBER]],Movement!$J$4:$J$2136,Table11[[#This Row],[ENTITY]],Movement!$O$4:$O$2136,'Cash Balance'!$A$2)</f>
        <v>0</v>
      </c>
      <c r="K378" s="1084">
        <f>Table11[[#This Row],[CASH IN - CREDIT (VND)]]-Table11[[#This Row],[CASH OUT - DEBIT (VND)]]</f>
        <v>0</v>
      </c>
      <c r="L378" s="1095">
        <f t="shared" si="32"/>
        <v>0</v>
      </c>
      <c r="M378" s="1184" t="e">
        <f>VLOOKUP(C378,'Cash balance (BS)'!A:D,4,)</f>
        <v>#N/A</v>
      </c>
      <c r="N378" s="1095" t="e">
        <f>Table11[[#This Row],[CLOSING BALANCE (VND)2]]-Table11[[#This Row],[CB_BS (VND)]]</f>
        <v>#N/A</v>
      </c>
      <c r="O378" s="1094">
        <v>0</v>
      </c>
      <c r="P378" s="1095">
        <f t="shared" si="33"/>
        <v>-2118.7299999999814</v>
      </c>
      <c r="Q378" s="817">
        <f>SUMIFS('Cash balance (Prior period)'!G:G,'Cash balance (Prior period)'!C:C,Table11[[#This Row],[ACCOUNT NUMBER]],'Cash balance (Prior period)'!E:E,Table11[[#This Row],[CURRENCY]])</f>
        <v>2118.7299999999814</v>
      </c>
      <c r="R378" s="817">
        <f>SUMIFS(Movement!$F$4:$F$2136,Movement!$M$4:$M$2136,"USD",Movement!$C$4:$C$2136,Table11[[#This Row],[ACCOUNT NUMBER]],Movement!$J$4:$J$2136,Table11[[#This Row],[ENTITY]],Movement!$O$4:$O$2136,'Cash Balance'!$A$2)</f>
        <v>0</v>
      </c>
      <c r="S378" s="817">
        <f>SUMIFS(Movement!$G$4:$G$2136,Movement!$M$4:$M$2136,"USD",Movement!$C$4:$C$2136,Table11[[#This Row],[ACCOUNT NUMBER]],Movement!$J$4:$J$2136,Table11[[#This Row],[ENTITY]],Movement!$O$4:$O$2136,'Cash Balance'!$A$2)</f>
        <v>0</v>
      </c>
      <c r="T378" s="1087">
        <f t="shared" si="34"/>
        <v>2118.7299999999814</v>
      </c>
      <c r="U378" s="817"/>
      <c r="V378" s="817">
        <f>Table11[[#This Row],[CLOSING BALANCE (USD)]]-Table11[[#This Row],[CB_BS (USD)]]</f>
        <v>2118.7299999999814</v>
      </c>
      <c r="W378" s="1156" t="str">
        <f>VLOOKUP('Cash Balance'!$C378,Table2[#All],MATCH('Cash Balance'!W$3,Acc_Char!$B$1:$I$1,0),0)</f>
        <v>VC3</v>
      </c>
      <c r="X378" s="1156" t="str">
        <f>VLOOKUP(IFERROR(MID($Y378,1,FIND("-",$Y378)-2),$Y378),Table3[#All],2,0)</f>
        <v>UOB</v>
      </c>
      <c r="Y378" s="1156" t="str">
        <f>VLOOKUP($B378,Table4[#All],2,0)</f>
        <v>UOB</v>
      </c>
      <c r="Z378" s="1151"/>
      <c r="AA378" s="49"/>
    </row>
    <row r="379" spans="1:27">
      <c r="A379" s="1153" t="str">
        <f>VLOOKUP('Cash Balance'!$C379,Table2[#All],MATCH('Cash Balance'!A$3,Acc_Char!$B$1:$I$1,0),0)</f>
        <v>HOLDCO N4A</v>
      </c>
      <c r="B379" s="1154" t="str">
        <f>VLOOKUP('Cash Balance'!$C379,Table2[#All],MATCH('Cash Balance'!B$3,Acc_Char!$B$1:$I$1,0),0)</f>
        <v>VIETINBANK - TIEN SON</v>
      </c>
      <c r="C379" s="1190" t="s">
        <v>980</v>
      </c>
      <c r="D379" s="1156" t="str">
        <f>VLOOKUP('Cash Balance'!$C379,Table2[#All],MATCH('Cash Balance'!D$3,Acc_Char!$B$1:$I$1,0),0)</f>
        <v>Current Account</v>
      </c>
      <c r="E379" s="384" t="str">
        <f>VLOOKUP('Cash Balance'!$C379,Table2[#All],MATCH('Cash Balance'!E$3,Acc_Char!$B$1:$I$1,0),0)</f>
        <v>VND</v>
      </c>
      <c r="F379" s="1094" t="e">
        <f>VLOOKUP(C379,'Cash balance (BS)'!A:C,3,)</f>
        <v>#N/A</v>
      </c>
      <c r="G379" s="1157" t="e">
        <f t="shared" si="37"/>
        <v>#N/A</v>
      </c>
      <c r="H379" s="1318">
        <f>SUMIFS('Cash balance (Prior period)'!F:F,'Cash balance (Prior period)'!C:C,Table11[[#This Row],[ACCOUNT NUMBER]],'Cash balance (Prior period)'!E:E,Table11[[#This Row],[CURRENCY]])</f>
        <v>49010944</v>
      </c>
      <c r="I379" s="1318">
        <f>SUMIFS(Movement!$F$4:$F$2136,Movement!$M$4:$M$2136,"VND",Movement!$C$4:$C$2136,Table11[[#This Row],[ACCOUNT NUMBER]],Movement!$J$4:$J$2136,Table11[[#This Row],[ENTITY]],Movement!$O$4:$O$2136,'Cash Balance'!$A$2)</f>
        <v>2268493</v>
      </c>
      <c r="J379" s="1318">
        <f>SUMIFS(Movement!$G$4:$G$2136,Movement!$M$4:$M$2136,"VND",Movement!$C$4:$C$2136,Table11[[#This Row],[ACCOUNT NUMBER]],Movement!$J$4:$J$2136,Table11[[#This Row],[ENTITY]],Movement!$O$4:$O$2136,'Cash Balance'!$A$2)</f>
        <v>0</v>
      </c>
      <c r="K379" s="1084">
        <f>Table11[[#This Row],[CASH IN - CREDIT (VND)]]-Table11[[#This Row],[CASH OUT - DEBIT (VND)]]</f>
        <v>2268493</v>
      </c>
      <c r="L379" s="1095">
        <f t="shared" si="32"/>
        <v>51279437</v>
      </c>
      <c r="M379" s="1184" t="e">
        <f>VLOOKUP(C379,'Cash balance (BS)'!A:D,4,)</f>
        <v>#N/A</v>
      </c>
      <c r="N379" s="1095" t="e">
        <f>Table11[[#This Row],[CLOSING BALANCE (VND)2]]-Table11[[#This Row],[CB_BS (VND)]]</f>
        <v>#N/A</v>
      </c>
      <c r="O379" s="1094">
        <v>0</v>
      </c>
      <c r="P379" s="1095">
        <f t="shared" si="33"/>
        <v>0</v>
      </c>
      <c r="Q379" s="817">
        <f>SUMIFS('Cash balance (Prior period)'!G:G,'Cash balance (Prior period)'!C:C,Table11[[#This Row],[ACCOUNT NUMBER]],'Cash balance (Prior period)'!E:E,Table11[[#This Row],[CURRENCY]])</f>
        <v>0</v>
      </c>
      <c r="R379" s="817">
        <f>SUMIFS(Movement!$F$4:$F$2136,Movement!$M$4:$M$2136,"USD",Movement!$C$4:$C$2136,Table11[[#This Row],[ACCOUNT NUMBER]],Movement!$J$4:$J$2136,Table11[[#This Row],[ENTITY]],Movement!$O$4:$O$2136,'Cash Balance'!$A$2)</f>
        <v>0</v>
      </c>
      <c r="S379" s="817">
        <f>SUMIFS(Movement!$G$4:$G$2136,Movement!$M$4:$M$2136,"USD",Movement!$C$4:$C$2136,Table11[[#This Row],[ACCOUNT NUMBER]],Movement!$J$4:$J$2136,Table11[[#This Row],[ENTITY]],Movement!$O$4:$O$2136,'Cash Balance'!$A$2)</f>
        <v>0</v>
      </c>
      <c r="T379" s="1087">
        <f t="shared" si="34"/>
        <v>0</v>
      </c>
      <c r="U379" s="817"/>
      <c r="V379" s="817">
        <f>Table11[[#This Row],[CLOSING BALANCE (USD)]]-Table11[[#This Row],[CB_BS (USD)]]</f>
        <v>0</v>
      </c>
      <c r="W379" s="1156" t="str">
        <f>VLOOKUP('Cash Balance'!$C379,Table2[#All],MATCH('Cash Balance'!W$3,Acc_Char!$B$1:$I$1,0),0)</f>
        <v>Subsidiaries</v>
      </c>
      <c r="X379" s="1156" t="str">
        <f>VLOOKUP(IFERROR(MID($Y379,1,FIND("-",$Y379)-2),$Y379),Table3[#All],2,0)</f>
        <v>VTB</v>
      </c>
      <c r="Y379" s="1156" t="str">
        <f>VLOOKUP($B379,Table4[#All],2,0)</f>
        <v>VIETINBANK - TIEN SON</v>
      </c>
      <c r="Z379" s="1151"/>
      <c r="AA379" s="49"/>
    </row>
    <row r="380" spans="1:27">
      <c r="A380" s="1153" t="str">
        <f>VLOOKUP('Cash Balance'!$C380,Table2[#All],MATCH('Cash Balance'!A$3,Acc_Char!$B$1:$I$1,0),0)</f>
        <v>HOLDCO N4B</v>
      </c>
      <c r="B380" s="1154" t="str">
        <f>VLOOKUP('Cash Balance'!$C380,Table2[#All],MATCH('Cash Balance'!B$3,Acc_Char!$B$1:$I$1,0),0)</f>
        <v>VIETINBANK - TIEN SON</v>
      </c>
      <c r="C380" s="1190" t="s">
        <v>982</v>
      </c>
      <c r="D380" s="1156" t="str">
        <f>VLOOKUP('Cash Balance'!$C380,Table2[#All],MATCH('Cash Balance'!D$3,Acc_Char!$B$1:$I$1,0),0)</f>
        <v>Current Account</v>
      </c>
      <c r="E380" s="384" t="str">
        <f>VLOOKUP('Cash Balance'!$C380,Table2[#All],MATCH('Cash Balance'!E$3,Acc_Char!$B$1:$I$1,0),0)</f>
        <v>VND</v>
      </c>
      <c r="F380" s="1094" t="e">
        <f>VLOOKUP(C380,'Cash balance (BS)'!A:C,3,)</f>
        <v>#N/A</v>
      </c>
      <c r="G380" s="1157" t="e">
        <f t="shared" si="37"/>
        <v>#N/A</v>
      </c>
      <c r="H380" s="1318">
        <f>SUMIFS('Cash balance (Prior period)'!F:F,'Cash balance (Prior period)'!C:C,Table11[[#This Row],[ACCOUNT NUMBER]],'Cash balance (Prior period)'!E:E,Table11[[#This Row],[CURRENCY]])</f>
        <v>50313656</v>
      </c>
      <c r="I380" s="1318">
        <f>SUMIFS(Movement!$F$4:$F$2136,Movement!$M$4:$M$2136,"VND",Movement!$C$4:$C$2136,Table11[[#This Row],[ACCOUNT NUMBER]],Movement!$J$4:$J$2136,Table11[[#This Row],[ENTITY]],Movement!$O$4:$O$2136,'Cash Balance'!$A$2)</f>
        <v>2268493</v>
      </c>
      <c r="J380" s="1318">
        <f>SUMIFS(Movement!$G$4:$G$2136,Movement!$M$4:$M$2136,"VND",Movement!$C$4:$C$2136,Table11[[#This Row],[ACCOUNT NUMBER]],Movement!$J$4:$J$2136,Table11[[#This Row],[ENTITY]],Movement!$O$4:$O$2136,'Cash Balance'!$A$2)</f>
        <v>0</v>
      </c>
      <c r="K380" s="1084">
        <f>Table11[[#This Row],[CASH IN - CREDIT (VND)]]-Table11[[#This Row],[CASH OUT - DEBIT (VND)]]</f>
        <v>2268493</v>
      </c>
      <c r="L380" s="1095">
        <f t="shared" si="32"/>
        <v>52582149</v>
      </c>
      <c r="M380" s="1184" t="e">
        <f>VLOOKUP(C380,'Cash balance (BS)'!A:D,4,)</f>
        <v>#N/A</v>
      </c>
      <c r="N380" s="1095" t="e">
        <f>Table11[[#This Row],[CLOSING BALANCE (VND)2]]-Table11[[#This Row],[CB_BS (VND)]]</f>
        <v>#N/A</v>
      </c>
      <c r="O380" s="1094">
        <v>0</v>
      </c>
      <c r="P380" s="1095">
        <f t="shared" si="33"/>
        <v>0</v>
      </c>
      <c r="Q380" s="817">
        <f>SUMIFS('Cash balance (Prior period)'!G:G,'Cash balance (Prior period)'!C:C,Table11[[#This Row],[ACCOUNT NUMBER]],'Cash balance (Prior period)'!E:E,Table11[[#This Row],[CURRENCY]])</f>
        <v>0</v>
      </c>
      <c r="R380" s="817">
        <f>SUMIFS(Movement!$F$4:$F$2136,Movement!$M$4:$M$2136,"USD",Movement!$C$4:$C$2136,Table11[[#This Row],[ACCOUNT NUMBER]],Movement!$J$4:$J$2136,Table11[[#This Row],[ENTITY]],Movement!$O$4:$O$2136,'Cash Balance'!$A$2)</f>
        <v>0</v>
      </c>
      <c r="S380" s="817">
        <f>SUMIFS(Movement!$G$4:$G$2136,Movement!$M$4:$M$2136,"USD",Movement!$C$4:$C$2136,Table11[[#This Row],[ACCOUNT NUMBER]],Movement!$J$4:$J$2136,Table11[[#This Row],[ENTITY]],Movement!$O$4:$O$2136,'Cash Balance'!$A$2)</f>
        <v>0</v>
      </c>
      <c r="T380" s="1087">
        <f t="shared" si="34"/>
        <v>0</v>
      </c>
      <c r="U380" s="817"/>
      <c r="V380" s="817">
        <f>Table11[[#This Row],[CLOSING BALANCE (USD)]]-Table11[[#This Row],[CB_BS (USD)]]</f>
        <v>0</v>
      </c>
      <c r="W380" s="1156" t="str">
        <f>VLOOKUP('Cash Balance'!$C380,Table2[#All],MATCH('Cash Balance'!W$3,Acc_Char!$B$1:$I$1,0),0)</f>
        <v>Subsidiaries</v>
      </c>
      <c r="X380" s="1156" t="str">
        <f>VLOOKUP(IFERROR(MID($Y380,1,FIND("-",$Y380)-2),$Y380),Table3[#All],2,0)</f>
        <v>VTB</v>
      </c>
      <c r="Y380" s="1156" t="str">
        <f>VLOOKUP($B380,Table4[#All],2,0)</f>
        <v>VIETINBANK - TIEN SON</v>
      </c>
      <c r="Z380" s="1151"/>
      <c r="AA380" s="49"/>
    </row>
    <row r="381" spans="1:27">
      <c r="A381" s="1153" t="str">
        <f>VLOOKUP('Cash Balance'!$C381,Table2[#All],MATCH('Cash Balance'!A$3,Acc_Char!$B$1:$I$1,0),0)</f>
        <v>HOLDCO N4C</v>
      </c>
      <c r="B381" s="1154" t="str">
        <f>VLOOKUP('Cash Balance'!$C381,Table2[#All],MATCH('Cash Balance'!B$3,Acc_Char!$B$1:$I$1,0),0)</f>
        <v>VIETINBANK - TIEN SON</v>
      </c>
      <c r="C381" s="1190" t="s">
        <v>984</v>
      </c>
      <c r="D381" s="1156" t="str">
        <f>VLOOKUP('Cash Balance'!$C381,Table2[#All],MATCH('Cash Balance'!D$3,Acc_Char!$B$1:$I$1,0),0)</f>
        <v>Current Account</v>
      </c>
      <c r="E381" s="384" t="str">
        <f>VLOOKUP('Cash Balance'!$C381,Table2[#All],MATCH('Cash Balance'!E$3,Acc_Char!$B$1:$I$1,0),0)</f>
        <v>VND</v>
      </c>
      <c r="F381" s="1094" t="e">
        <f>VLOOKUP(C381,'Cash balance (BS)'!A:C,3,)</f>
        <v>#N/A</v>
      </c>
      <c r="G381" s="1157" t="e">
        <f t="shared" si="37"/>
        <v>#N/A</v>
      </c>
      <c r="H381" s="1318">
        <f>SUMIFS('Cash balance (Prior period)'!F:F,'Cash balance (Prior period)'!C:C,Table11[[#This Row],[ACCOUNT NUMBER]],'Cash balance (Prior period)'!E:E,Table11[[#This Row],[CURRENCY]])</f>
        <v>56840567</v>
      </c>
      <c r="I381" s="1318">
        <f>SUMIFS(Movement!$F$4:$F$2136,Movement!$M$4:$M$2136,"VND",Movement!$C$4:$C$2136,Table11[[#This Row],[ACCOUNT NUMBER]],Movement!$J$4:$J$2136,Table11[[#This Row],[ENTITY]],Movement!$O$4:$O$2136,'Cash Balance'!$A$2)</f>
        <v>0</v>
      </c>
      <c r="J381" s="1318">
        <f>SUMIFS(Movement!$G$4:$G$2136,Movement!$M$4:$M$2136,"VND",Movement!$C$4:$C$2136,Table11[[#This Row],[ACCOUNT NUMBER]],Movement!$J$4:$J$2136,Table11[[#This Row],[ENTITY]],Movement!$O$4:$O$2136,'Cash Balance'!$A$2)</f>
        <v>0</v>
      </c>
      <c r="K381" s="1084">
        <f>Table11[[#This Row],[CASH IN - CREDIT (VND)]]-Table11[[#This Row],[CASH OUT - DEBIT (VND)]]</f>
        <v>0</v>
      </c>
      <c r="L381" s="1095">
        <f t="shared" si="32"/>
        <v>56840567</v>
      </c>
      <c r="M381" s="1184" t="e">
        <f>VLOOKUP(C381,'Cash balance (BS)'!A:D,4,)</f>
        <v>#N/A</v>
      </c>
      <c r="N381" s="1095" t="e">
        <f>Table11[[#This Row],[CLOSING BALANCE (VND)2]]-Table11[[#This Row],[CB_BS (VND)]]</f>
        <v>#N/A</v>
      </c>
      <c r="O381" s="1094">
        <v>0</v>
      </c>
      <c r="P381" s="1095">
        <f t="shared" si="33"/>
        <v>0</v>
      </c>
      <c r="Q381" s="817">
        <f>SUMIFS('Cash balance (Prior period)'!G:G,'Cash balance (Prior period)'!C:C,Table11[[#This Row],[ACCOUNT NUMBER]],'Cash balance (Prior period)'!E:E,Table11[[#This Row],[CURRENCY]])</f>
        <v>0</v>
      </c>
      <c r="R381" s="817">
        <f>SUMIFS(Movement!$F$4:$F$2136,Movement!$M$4:$M$2136,"USD",Movement!$C$4:$C$2136,Table11[[#This Row],[ACCOUNT NUMBER]],Movement!$J$4:$J$2136,Table11[[#This Row],[ENTITY]],Movement!$O$4:$O$2136,'Cash Balance'!$A$2)</f>
        <v>0</v>
      </c>
      <c r="S381" s="817">
        <f>SUMIFS(Movement!$G$4:$G$2136,Movement!$M$4:$M$2136,"USD",Movement!$C$4:$C$2136,Table11[[#This Row],[ACCOUNT NUMBER]],Movement!$J$4:$J$2136,Table11[[#This Row],[ENTITY]],Movement!$O$4:$O$2136,'Cash Balance'!$A$2)</f>
        <v>0</v>
      </c>
      <c r="T381" s="1087">
        <f t="shared" si="34"/>
        <v>0</v>
      </c>
      <c r="U381" s="817"/>
      <c r="V381" s="817">
        <f>Table11[[#This Row],[CLOSING BALANCE (USD)]]-Table11[[#This Row],[CB_BS (USD)]]</f>
        <v>0</v>
      </c>
      <c r="W381" s="1156" t="str">
        <f>VLOOKUP('Cash Balance'!$C381,Table2[#All],MATCH('Cash Balance'!W$3,Acc_Char!$B$1:$I$1,0),0)</f>
        <v>Subsidiaries</v>
      </c>
      <c r="X381" s="1156" t="str">
        <f>VLOOKUP(IFERROR(MID($Y381,1,FIND("-",$Y381)-2),$Y381),Table3[#All],2,0)</f>
        <v>VTB</v>
      </c>
      <c r="Y381" s="1156" t="str">
        <f>VLOOKUP($B381,Table4[#All],2,0)</f>
        <v>VIETINBANK - TIEN SON</v>
      </c>
      <c r="Z381" s="1151"/>
      <c r="AA381" s="49"/>
    </row>
    <row r="382" spans="1:27">
      <c r="A382" s="1153" t="str">
        <f>VLOOKUP('Cash Balance'!$C382,Table2[#All],MATCH('Cash Balance'!A$3,Acc_Char!$B$1:$I$1,0),0)</f>
        <v>HOLDCO N4D</v>
      </c>
      <c r="B382" s="1154" t="str">
        <f>VLOOKUP('Cash Balance'!$C382,Table2[#All],MATCH('Cash Balance'!B$3,Acc_Char!$B$1:$I$1,0),0)</f>
        <v>VIETINBANK - TIEN SON</v>
      </c>
      <c r="C382" s="1190" t="s">
        <v>986</v>
      </c>
      <c r="D382" s="1156" t="str">
        <f>VLOOKUP('Cash Balance'!$C382,Table2[#All],MATCH('Cash Balance'!D$3,Acc_Char!$B$1:$I$1,0),0)</f>
        <v>Current Account</v>
      </c>
      <c r="E382" s="384" t="str">
        <f>VLOOKUP('Cash Balance'!$C382,Table2[#All],MATCH('Cash Balance'!E$3,Acc_Char!$B$1:$I$1,0),0)</f>
        <v>VND</v>
      </c>
      <c r="F382" s="1094"/>
      <c r="G382" s="1157"/>
      <c r="H382" s="1318">
        <f>SUMIFS('Cash balance (Prior period)'!F:F,'Cash balance (Prior period)'!C:C,Table11[[#This Row],[ACCOUNT NUMBER]],'Cash balance (Prior period)'!E:E,Table11[[#This Row],[CURRENCY]])</f>
        <v>46900683</v>
      </c>
      <c r="I382" s="1318">
        <f>SUMIFS(Movement!$F$4:$F$2136,Movement!$M$4:$M$2136,"VND",Movement!$C$4:$C$2136,Table11[[#This Row],[ACCOUNT NUMBER]],Movement!$J$4:$J$2136,Table11[[#This Row],[ENTITY]],Movement!$O$4:$O$2136,'Cash Balance'!$A$2)</f>
        <v>2268493</v>
      </c>
      <c r="J382" s="1318">
        <f>SUMIFS(Movement!$G$4:$G$2136,Movement!$M$4:$M$2136,"VND",Movement!$C$4:$C$2136,Table11[[#This Row],[ACCOUNT NUMBER]],Movement!$J$4:$J$2136,Table11[[#This Row],[ENTITY]],Movement!$O$4:$O$2136,'Cash Balance'!$A$2)</f>
        <v>0</v>
      </c>
      <c r="K382" s="1084">
        <f>Table11[[#This Row],[CASH IN - CREDIT (VND)]]-Table11[[#This Row],[CASH OUT - DEBIT (VND)]]</f>
        <v>2268493</v>
      </c>
      <c r="L382" s="1095">
        <f t="shared" si="32"/>
        <v>49169176</v>
      </c>
      <c r="M382" s="1184" t="e">
        <f>VLOOKUP(C382,'Cash balance (BS)'!A:D,4,)</f>
        <v>#N/A</v>
      </c>
      <c r="N382" s="1095" t="e">
        <f>Table11[[#This Row],[CLOSING BALANCE (VND)2]]-Table11[[#This Row],[CB_BS (VND)]]</f>
        <v>#N/A</v>
      </c>
      <c r="O382" s="1094">
        <v>0</v>
      </c>
      <c r="P382" s="1095">
        <f t="shared" si="33"/>
        <v>0</v>
      </c>
      <c r="Q382" s="817">
        <f>SUMIFS('Cash balance (Prior period)'!G:G,'Cash balance (Prior period)'!C:C,Table11[[#This Row],[ACCOUNT NUMBER]],'Cash balance (Prior period)'!E:E,Table11[[#This Row],[CURRENCY]])</f>
        <v>0</v>
      </c>
      <c r="R382" s="817">
        <f>SUMIFS(Movement!$F$4:$F$2136,Movement!$M$4:$M$2136,"USD",Movement!$C$4:$C$2136,Table11[[#This Row],[ACCOUNT NUMBER]],Movement!$J$4:$J$2136,Table11[[#This Row],[ENTITY]],Movement!$O$4:$O$2136,'Cash Balance'!$A$2)</f>
        <v>0</v>
      </c>
      <c r="S382" s="817">
        <f>SUMIFS(Movement!$G$4:$G$2136,Movement!$M$4:$M$2136,"USD",Movement!$C$4:$C$2136,Table11[[#This Row],[ACCOUNT NUMBER]],Movement!$J$4:$J$2136,Table11[[#This Row],[ENTITY]],Movement!$O$4:$O$2136,'Cash Balance'!$A$2)</f>
        <v>0</v>
      </c>
      <c r="T382" s="1087">
        <f t="shared" si="34"/>
        <v>0</v>
      </c>
      <c r="U382" s="817" t="e">
        <f>VLOOKUP(C382,'Cash balance (BS)'!A:D,4,)</f>
        <v>#N/A</v>
      </c>
      <c r="V382" s="817" t="e">
        <f>Table11[[#This Row],[CLOSING BALANCE (USD)]]-Table11[[#This Row],[CB_BS (USD)]]</f>
        <v>#N/A</v>
      </c>
      <c r="W382" s="1156" t="str">
        <f>VLOOKUP('Cash Balance'!$C382,Table2[#All],MATCH('Cash Balance'!W$3,Acc_Char!$B$1:$I$1,0),0)</f>
        <v>Subsidiaries</v>
      </c>
      <c r="X382" s="1156" t="str">
        <f>VLOOKUP(IFERROR(MID($Y382,1,FIND("-",$Y382)-2),$Y382),Table3[#All],2,0)</f>
        <v>VTB</v>
      </c>
      <c r="Y382" s="1156" t="str">
        <f>VLOOKUP($B382,Table4[#All],2,0)</f>
        <v>VIETINBANK - TIEN SON</v>
      </c>
      <c r="Z382" s="1151"/>
      <c r="AA382" s="49"/>
    </row>
    <row r="383" spans="1:27">
      <c r="A383" s="1153" t="str">
        <f>VLOOKUP('Cash Balance'!$C383,Table2[#All],MATCH('Cash Balance'!A$3,Acc_Char!$B$1:$I$1,0),0)</f>
        <v>HOLDCO N4E</v>
      </c>
      <c r="B383" s="1154" t="str">
        <f>VLOOKUP('Cash Balance'!$C383,Table2[#All],MATCH('Cash Balance'!B$3,Acc_Char!$B$1:$I$1,0),0)</f>
        <v>VIETINBANK - TIEN SON</v>
      </c>
      <c r="C383" s="1190" t="s">
        <v>988</v>
      </c>
      <c r="D383" s="1156" t="str">
        <f>VLOOKUP('Cash Balance'!$C383,Table2[#All],MATCH('Cash Balance'!D$3,Acc_Char!$B$1:$I$1,0),0)</f>
        <v>Current Account</v>
      </c>
      <c r="E383" s="384" t="str">
        <f>VLOOKUP('Cash Balance'!$C383,Table2[#All],MATCH('Cash Balance'!E$3,Acc_Char!$B$1:$I$1,0),0)</f>
        <v>VND</v>
      </c>
      <c r="F383" s="1094" t="e">
        <f>VLOOKUP(C383,'Cash balance (BS)'!A:C,3,)</f>
        <v>#N/A</v>
      </c>
      <c r="G383" s="1157" t="e">
        <f t="shared" ref="G383:G409" si="38">F383-H383</f>
        <v>#N/A</v>
      </c>
      <c r="H383" s="1318">
        <f>SUMIFS('Cash balance (Prior period)'!F:F,'Cash balance (Prior period)'!C:C,Table11[[#This Row],[ACCOUNT NUMBER]],'Cash balance (Prior period)'!E:E,Table11[[#This Row],[CURRENCY]])</f>
        <v>46900683</v>
      </c>
      <c r="I383" s="1318">
        <f>SUMIFS(Movement!$F$4:$F$2136,Movement!$M$4:$M$2136,"VND",Movement!$C$4:$C$2136,Table11[[#This Row],[ACCOUNT NUMBER]],Movement!$J$4:$J$2136,Table11[[#This Row],[ENTITY]],Movement!$O$4:$O$2136,'Cash Balance'!$A$2)</f>
        <v>2268493</v>
      </c>
      <c r="J383" s="1318">
        <f>SUMIFS(Movement!$G$4:$G$2136,Movement!$M$4:$M$2136,"VND",Movement!$C$4:$C$2136,Table11[[#This Row],[ACCOUNT NUMBER]],Movement!$J$4:$J$2136,Table11[[#This Row],[ENTITY]],Movement!$O$4:$O$2136,'Cash Balance'!$A$2)</f>
        <v>0</v>
      </c>
      <c r="K383" s="1084">
        <f>Table11[[#This Row],[CASH IN - CREDIT (VND)]]-Table11[[#This Row],[CASH OUT - DEBIT (VND)]]</f>
        <v>2268493</v>
      </c>
      <c r="L383" s="1095">
        <f t="shared" si="32"/>
        <v>49169176</v>
      </c>
      <c r="M383" s="1184" t="e">
        <f>VLOOKUP(C383,'Cash balance (BS)'!A:D,4,)</f>
        <v>#N/A</v>
      </c>
      <c r="N383" s="1095" t="e">
        <f>Table11[[#This Row],[CLOSING BALANCE (VND)2]]-Table11[[#This Row],[CB_BS (VND)]]</f>
        <v>#N/A</v>
      </c>
      <c r="O383" s="1094">
        <v>0</v>
      </c>
      <c r="P383" s="1095">
        <f t="shared" si="33"/>
        <v>0</v>
      </c>
      <c r="Q383" s="817">
        <f>SUMIFS('Cash balance (Prior period)'!G:G,'Cash balance (Prior period)'!C:C,Table11[[#This Row],[ACCOUNT NUMBER]],'Cash balance (Prior period)'!E:E,Table11[[#This Row],[CURRENCY]])</f>
        <v>0</v>
      </c>
      <c r="R383" s="817">
        <f>SUMIFS(Movement!$F$4:$F$2136,Movement!$M$4:$M$2136,"USD",Movement!$C$4:$C$2136,Table11[[#This Row],[ACCOUNT NUMBER]],Movement!$J$4:$J$2136,Table11[[#This Row],[ENTITY]],Movement!$O$4:$O$2136,'Cash Balance'!$A$2)</f>
        <v>0</v>
      </c>
      <c r="S383" s="817">
        <f>SUMIFS(Movement!$G$4:$G$2136,Movement!$M$4:$M$2136,"USD",Movement!$C$4:$C$2136,Table11[[#This Row],[ACCOUNT NUMBER]],Movement!$J$4:$J$2136,Table11[[#This Row],[ENTITY]],Movement!$O$4:$O$2136,'Cash Balance'!$A$2)</f>
        <v>0</v>
      </c>
      <c r="T383" s="1087">
        <f t="shared" si="34"/>
        <v>0</v>
      </c>
      <c r="U383" s="817"/>
      <c r="V383" s="817">
        <f>Table11[[#This Row],[CLOSING BALANCE (USD)]]-Table11[[#This Row],[CB_BS (USD)]]</f>
        <v>0</v>
      </c>
      <c r="W383" s="1156" t="str">
        <f>VLOOKUP('Cash Balance'!$C383,Table2[#All],MATCH('Cash Balance'!W$3,Acc_Char!$B$1:$I$1,0),0)</f>
        <v>Subsidiaries</v>
      </c>
      <c r="X383" s="1156" t="str">
        <f>VLOOKUP(IFERROR(MID($Y383,1,FIND("-",$Y383)-2),$Y383),Table3[#All],2,0)</f>
        <v>VTB</v>
      </c>
      <c r="Y383" s="1156" t="str">
        <f>VLOOKUP($B383,Table4[#All],2,0)</f>
        <v>VIETINBANK - TIEN SON</v>
      </c>
      <c r="Z383" s="1151"/>
      <c r="AA383" s="49"/>
    </row>
    <row r="384" spans="1:27">
      <c r="A384" s="1153" t="str">
        <f>VLOOKUP('Cash Balance'!$C384,Table2[#All],MATCH('Cash Balance'!A$3,Acc_Char!$B$1:$I$1,0),0)</f>
        <v>BAC TIEN PHONG</v>
      </c>
      <c r="B384" s="1154" t="str">
        <f>VLOOKUP('Cash Balance'!$C384,Table2[#All],MATCH('Cash Balance'!B$3,Acc_Char!$B$1:$I$1,0),0)</f>
        <v>BIDV - THANH XUAN</v>
      </c>
      <c r="C384" s="1190" t="s">
        <v>989</v>
      </c>
      <c r="D384" s="1156" t="str">
        <f>VLOOKUP('Cash Balance'!$C384,Table2[#All],MATCH('Cash Balance'!D$3,Acc_Char!$B$1:$I$1,0),0)</f>
        <v>Saving Account</v>
      </c>
      <c r="E384" s="384" t="str">
        <f>VLOOKUP('Cash Balance'!$C384,Table2[#All],MATCH('Cash Balance'!E$3,Acc_Char!$B$1:$I$1,0),0)</f>
        <v>VND</v>
      </c>
      <c r="F384" s="1094" t="e">
        <f>VLOOKUP(C384,'Cash balance (BS)'!A:C,3,)</f>
        <v>#N/A</v>
      </c>
      <c r="G384" s="1157" t="e">
        <f t="shared" si="38"/>
        <v>#N/A</v>
      </c>
      <c r="H384" s="1318">
        <f>SUMIFS('Cash balance (Prior period)'!F:F,'Cash balance (Prior period)'!C:C,Table11[[#This Row],[ACCOUNT NUMBER]],'Cash balance (Prior period)'!E:E,Table11[[#This Row],[CURRENCY]])</f>
        <v>6000000000</v>
      </c>
      <c r="I384" s="1318">
        <f>SUMIFS(Movement!$F$4:$F$2136,Movement!$M$4:$M$2136,"VND",Movement!$C$4:$C$2136,Table11[[#This Row],[ACCOUNT NUMBER]],Movement!$J$4:$J$2136,Table11[[#This Row],[ENTITY]],Movement!$O$4:$O$2136,'Cash Balance'!$A$2)</f>
        <v>0</v>
      </c>
      <c r="J384" s="1318">
        <f>SUMIFS(Movement!$G$4:$G$2136,Movement!$M$4:$M$2136,"VND",Movement!$C$4:$C$2136,Table11[[#This Row],[ACCOUNT NUMBER]],Movement!$J$4:$J$2136,Table11[[#This Row],[ENTITY]],Movement!$O$4:$O$2136,'Cash Balance'!$A$2)</f>
        <v>0</v>
      </c>
      <c r="K384" s="1084">
        <f>Table11[[#This Row],[CASH IN - CREDIT (VND)]]-Table11[[#This Row],[CASH OUT - DEBIT (VND)]]</f>
        <v>0</v>
      </c>
      <c r="L384" s="1095">
        <f t="shared" si="32"/>
        <v>6000000000</v>
      </c>
      <c r="M384" s="1184" t="e">
        <f>VLOOKUP(C384,'Cash balance (BS)'!A:D,4,)</f>
        <v>#N/A</v>
      </c>
      <c r="N384" s="1095" t="e">
        <f>Table11[[#This Row],[CLOSING BALANCE (VND)2]]-Table11[[#This Row],[CB_BS (VND)]]</f>
        <v>#N/A</v>
      </c>
      <c r="O384" s="1094">
        <v>0</v>
      </c>
      <c r="P384" s="1095">
        <f t="shared" si="33"/>
        <v>0</v>
      </c>
      <c r="Q384" s="817">
        <f>SUMIFS('Cash balance (Prior period)'!G:G,'Cash balance (Prior period)'!C:C,Table11[[#This Row],[ACCOUNT NUMBER]],'Cash balance (Prior period)'!E:E,Table11[[#This Row],[CURRENCY]])</f>
        <v>0</v>
      </c>
      <c r="R384" s="817">
        <f>SUMIFS(Movement!$F$4:$F$2136,Movement!$M$4:$M$2136,"USD",Movement!$C$4:$C$2136,Table11[[#This Row],[ACCOUNT NUMBER]],Movement!$J$4:$J$2136,Table11[[#This Row],[ENTITY]],Movement!$O$4:$O$2136,'Cash Balance'!$A$2)</f>
        <v>0</v>
      </c>
      <c r="S384" s="817">
        <f>SUMIFS(Movement!$G$4:$G$2136,Movement!$M$4:$M$2136,"USD",Movement!$C$4:$C$2136,Table11[[#This Row],[ACCOUNT NUMBER]],Movement!$J$4:$J$2136,Table11[[#This Row],[ENTITY]],Movement!$O$4:$O$2136,'Cash Balance'!$A$2)</f>
        <v>0</v>
      </c>
      <c r="T384" s="1087">
        <f t="shared" si="34"/>
        <v>0</v>
      </c>
      <c r="U384" s="817"/>
      <c r="V384" s="817">
        <f>Table11[[#This Row],[CLOSING BALANCE (USD)]]-Table11[[#This Row],[CB_BS (USD)]]</f>
        <v>0</v>
      </c>
      <c r="W384" s="1156" t="str">
        <f>VLOOKUP('Cash Balance'!$C384,Table2[#All],MATCH('Cash Balance'!W$3,Acc_Char!$B$1:$I$1,0),0)</f>
        <v>Subsidiaries</v>
      </c>
      <c r="X384" s="1156" t="str">
        <f>VLOOKUP(IFERROR(MID($Y384,1,FIND("-",$Y384)-2),$Y384),Table3[#All],2,0)</f>
        <v>BIDV</v>
      </c>
      <c r="Y384" s="1156" t="str">
        <f>VLOOKUP($B384,Table4[#All],2,0)</f>
        <v>BIDV - THANH XUAN</v>
      </c>
      <c r="Z384" s="1151"/>
      <c r="AA384" s="49"/>
    </row>
    <row r="385" spans="1:27">
      <c r="A385" s="1153" t="str">
        <f>VLOOKUP('Cash Balance'!$C385,Table2[#All],MATCH('Cash Balance'!A$3,Acc_Char!$B$1:$I$1,0),0)</f>
        <v>BWID HAI DUONG 2</v>
      </c>
      <c r="B385" s="1154" t="str">
        <f>VLOOKUP('Cash Balance'!$C385,Table2[#All],MATCH('Cash Balance'!B$3,Acc_Char!$B$1:$I$1,0),0)</f>
        <v>VIETINBANK - TIEN SON</v>
      </c>
      <c r="C385" s="1190" t="s">
        <v>990</v>
      </c>
      <c r="D385" s="1156" t="str">
        <f>VLOOKUP('Cash Balance'!$C385,Table2[#All],MATCH('Cash Balance'!D$3,Acc_Char!$B$1:$I$1,0),0)</f>
        <v>Saving Account</v>
      </c>
      <c r="E385" s="384" t="str">
        <f>VLOOKUP('Cash Balance'!$C385,Table2[#All],MATCH('Cash Balance'!E$3,Acc_Char!$B$1:$I$1,0),0)</f>
        <v>VND</v>
      </c>
      <c r="F385" s="1094" t="e">
        <f>VLOOKUP(C385,'Cash balance (BS)'!A:C,3,)</f>
        <v>#N/A</v>
      </c>
      <c r="G385" s="1157" t="e">
        <f t="shared" si="38"/>
        <v>#N/A</v>
      </c>
      <c r="H385" s="1318">
        <f>SUMIFS('Cash balance (Prior period)'!F:F,'Cash balance (Prior period)'!C:C,Table11[[#This Row],[ACCOUNT NUMBER]],'Cash balance (Prior period)'!E:E,Table11[[#This Row],[CURRENCY]])</f>
        <v>7000000000</v>
      </c>
      <c r="I385" s="1318">
        <f>SUMIFS(Movement!$F$4:$F$2136,Movement!$M$4:$M$2136,"VND",Movement!$C$4:$C$2136,Table11[[#This Row],[ACCOUNT NUMBER]],Movement!$J$4:$J$2136,Table11[[#This Row],[ENTITY]],Movement!$O$4:$O$2136,'Cash Balance'!$A$2)</f>
        <v>0</v>
      </c>
      <c r="J385" s="1318">
        <f>SUMIFS(Movement!$G$4:$G$2136,Movement!$M$4:$M$2136,"VND",Movement!$C$4:$C$2136,Table11[[#This Row],[ACCOUNT NUMBER]],Movement!$J$4:$J$2136,Table11[[#This Row],[ENTITY]],Movement!$O$4:$O$2136,'Cash Balance'!$A$2)</f>
        <v>0</v>
      </c>
      <c r="K385" s="1084">
        <f>Table11[[#This Row],[CASH IN - CREDIT (VND)]]-Table11[[#This Row],[CASH OUT - DEBIT (VND)]]</f>
        <v>0</v>
      </c>
      <c r="L385" s="1095">
        <f t="shared" si="32"/>
        <v>7000000000</v>
      </c>
      <c r="M385" s="1184" t="e">
        <f>VLOOKUP(C385,'Cash balance (BS)'!A:D,4,)</f>
        <v>#N/A</v>
      </c>
      <c r="N385" s="1095" t="e">
        <f>Table11[[#This Row],[CLOSING BALANCE (VND)2]]-Table11[[#This Row],[CB_BS (VND)]]</f>
        <v>#N/A</v>
      </c>
      <c r="O385" s="1094">
        <v>0</v>
      </c>
      <c r="P385" s="1095">
        <f t="shared" si="33"/>
        <v>0</v>
      </c>
      <c r="Q385" s="817">
        <f>SUMIFS('Cash balance (Prior period)'!G:G,'Cash balance (Prior period)'!C:C,Table11[[#This Row],[ACCOUNT NUMBER]],'Cash balance (Prior period)'!E:E,Table11[[#This Row],[CURRENCY]])</f>
        <v>0</v>
      </c>
      <c r="R385" s="817">
        <f>SUMIFS(Movement!$F$4:$F$2136,Movement!$M$4:$M$2136,"USD",Movement!$C$4:$C$2136,Table11[[#This Row],[ACCOUNT NUMBER]],Movement!$J$4:$J$2136,Table11[[#This Row],[ENTITY]],Movement!$O$4:$O$2136,'Cash Balance'!$A$2)</f>
        <v>0</v>
      </c>
      <c r="S385" s="817">
        <f>SUMIFS(Movement!$G$4:$G$2136,Movement!$M$4:$M$2136,"USD",Movement!$C$4:$C$2136,Table11[[#This Row],[ACCOUNT NUMBER]],Movement!$J$4:$J$2136,Table11[[#This Row],[ENTITY]],Movement!$O$4:$O$2136,'Cash Balance'!$A$2)</f>
        <v>0</v>
      </c>
      <c r="T385" s="1087">
        <f t="shared" si="34"/>
        <v>0</v>
      </c>
      <c r="U385" s="817"/>
      <c r="V385" s="817">
        <f>Table11[[#This Row],[CLOSING BALANCE (USD)]]-Table11[[#This Row],[CB_BS (USD)]]</f>
        <v>0</v>
      </c>
      <c r="W385" s="1156" t="str">
        <f>VLOOKUP('Cash Balance'!$C385,Table2[#All],MATCH('Cash Balance'!W$3,Acc_Char!$B$1:$I$1,0),0)</f>
        <v>Subsidiaries</v>
      </c>
      <c r="X385" s="1156" t="str">
        <f>VLOOKUP(IFERROR(MID($Y385,1,FIND("-",$Y385)-2),$Y385),Table3[#All],2,0)</f>
        <v>VTB</v>
      </c>
      <c r="Y385" s="1156" t="str">
        <f>VLOOKUP($B385,Table4[#All],2,0)</f>
        <v>VIETINBANK - TIEN SON</v>
      </c>
      <c r="Z385" s="1151"/>
      <c r="AA385" s="49"/>
    </row>
    <row r="386" spans="1:27">
      <c r="A386" s="1153" t="str">
        <f>VLOOKUP('Cash Balance'!$C386,Table2[#All],MATCH('Cash Balance'!A$3,Acc_Char!$B$1:$I$1,0),0)</f>
        <v>BWID HAI DUONG 2</v>
      </c>
      <c r="B386" s="1154" t="str">
        <f>VLOOKUP('Cash Balance'!$C386,Table2[#All],MATCH('Cash Balance'!B$3,Acc_Char!$B$1:$I$1,0),0)</f>
        <v>VIETINBANK - TIEN SON</v>
      </c>
      <c r="C386" s="1190" t="s">
        <v>991</v>
      </c>
      <c r="D386" s="1156" t="str">
        <f>VLOOKUP('Cash Balance'!$C386,Table2[#All],MATCH('Cash Balance'!D$3,Acc_Char!$B$1:$I$1,0),0)</f>
        <v>Saving Account</v>
      </c>
      <c r="E386" s="384" t="str">
        <f>VLOOKUP('Cash Balance'!$C386,Table2[#All],MATCH('Cash Balance'!E$3,Acc_Char!$B$1:$I$1,0),0)</f>
        <v>VND</v>
      </c>
      <c r="F386" s="1094" t="e">
        <f>VLOOKUP(C386,'Cash balance (BS)'!A:C,3,)</f>
        <v>#N/A</v>
      </c>
      <c r="G386" s="1157" t="e">
        <f t="shared" si="38"/>
        <v>#N/A</v>
      </c>
      <c r="H386" s="1318">
        <f>SUMIFS('Cash balance (Prior period)'!F:F,'Cash balance (Prior period)'!C:C,Table11[[#This Row],[ACCOUNT NUMBER]],'Cash balance (Prior period)'!E:E,Table11[[#This Row],[CURRENCY]])</f>
        <v>0</v>
      </c>
      <c r="I386" s="1318">
        <f>SUMIFS(Movement!$F$4:$F$2136,Movement!$M$4:$M$2136,"VND",Movement!$C$4:$C$2136,Table11[[#This Row],[ACCOUNT NUMBER]],Movement!$J$4:$J$2136,Table11[[#This Row],[ENTITY]],Movement!$O$4:$O$2136,'Cash Balance'!$A$2)</f>
        <v>0</v>
      </c>
      <c r="J386" s="1318">
        <f>SUMIFS(Movement!$G$4:$G$2136,Movement!$M$4:$M$2136,"VND",Movement!$C$4:$C$2136,Table11[[#This Row],[ACCOUNT NUMBER]],Movement!$J$4:$J$2136,Table11[[#This Row],[ENTITY]],Movement!$O$4:$O$2136,'Cash Balance'!$A$2)</f>
        <v>0</v>
      </c>
      <c r="K386" s="1084">
        <f>Table11[[#This Row],[CASH IN - CREDIT (VND)]]-Table11[[#This Row],[CASH OUT - DEBIT (VND)]]</f>
        <v>0</v>
      </c>
      <c r="L386" s="1095">
        <f t="shared" si="32"/>
        <v>0</v>
      </c>
      <c r="M386" s="1184" t="e">
        <f>VLOOKUP(C386,'Cash balance (BS)'!A:D,4,)</f>
        <v>#N/A</v>
      </c>
      <c r="N386" s="1095" t="e">
        <f>Table11[[#This Row],[CLOSING BALANCE (VND)2]]-Table11[[#This Row],[CB_BS (VND)]]</f>
        <v>#N/A</v>
      </c>
      <c r="O386" s="1094">
        <v>0</v>
      </c>
      <c r="P386" s="1095">
        <f t="shared" si="33"/>
        <v>0</v>
      </c>
      <c r="Q386" s="817">
        <f>SUMIFS('Cash balance (Prior period)'!G:G,'Cash balance (Prior period)'!C:C,Table11[[#This Row],[ACCOUNT NUMBER]],'Cash balance (Prior period)'!E:E,Table11[[#This Row],[CURRENCY]])</f>
        <v>0</v>
      </c>
      <c r="R386" s="817">
        <f>SUMIFS(Movement!$F$4:$F$2136,Movement!$M$4:$M$2136,"USD",Movement!$C$4:$C$2136,Table11[[#This Row],[ACCOUNT NUMBER]],Movement!$J$4:$J$2136,Table11[[#This Row],[ENTITY]],Movement!$O$4:$O$2136,'Cash Balance'!$A$2)</f>
        <v>0</v>
      </c>
      <c r="S386" s="817">
        <f>SUMIFS(Movement!$G$4:$G$2136,Movement!$M$4:$M$2136,"USD",Movement!$C$4:$C$2136,Table11[[#This Row],[ACCOUNT NUMBER]],Movement!$J$4:$J$2136,Table11[[#This Row],[ENTITY]],Movement!$O$4:$O$2136,'Cash Balance'!$A$2)</f>
        <v>0</v>
      </c>
      <c r="T386" s="1087">
        <f t="shared" si="34"/>
        <v>0</v>
      </c>
      <c r="U386" s="817"/>
      <c r="V386" s="817">
        <f>Table11[[#This Row],[CLOSING BALANCE (USD)]]-Table11[[#This Row],[CB_BS (USD)]]</f>
        <v>0</v>
      </c>
      <c r="W386" s="1156" t="str">
        <f>VLOOKUP('Cash Balance'!$C386,Table2[#All],MATCH('Cash Balance'!W$3,Acc_Char!$B$1:$I$1,0),0)</f>
        <v>Subsidiaries</v>
      </c>
      <c r="X386" s="1156" t="str">
        <f>VLOOKUP(IFERROR(MID($Y386,1,FIND("-",$Y386)-2),$Y386),Table3[#All],2,0)</f>
        <v>VTB</v>
      </c>
      <c r="Y386" s="1156" t="str">
        <f>VLOOKUP($B386,Table4[#All],2,0)</f>
        <v>VIETINBANK - TIEN SON</v>
      </c>
      <c r="Z386" s="1151"/>
      <c r="AA386" s="49"/>
    </row>
    <row r="387" spans="1:27">
      <c r="A387" s="1153" t="str">
        <f>VLOOKUP('Cash Balance'!$C387,Table2[#All],MATCH('Cash Balance'!A$3,Acc_Char!$B$1:$I$1,0),0)</f>
        <v>TAY HAI</v>
      </c>
      <c r="B387" s="1154" t="str">
        <f>VLOOKUP('Cash Balance'!$C387,Table2[#All],MATCH('Cash Balance'!B$3,Acc_Char!$B$1:$I$1,0),0)</f>
        <v>VIETINBANK - QUANG MINH</v>
      </c>
      <c r="C387" s="1190" t="s">
        <v>992</v>
      </c>
      <c r="D387" s="1156" t="str">
        <f>VLOOKUP('Cash Balance'!$C387,Table2[#All],MATCH('Cash Balance'!D$3,Acc_Char!$B$1:$I$1,0),0)</f>
        <v>Current Account</v>
      </c>
      <c r="E387" s="384" t="str">
        <f>VLOOKUP('Cash Balance'!$C387,Table2[#All],MATCH('Cash Balance'!E$3,Acc_Char!$B$1:$I$1,0),0)</f>
        <v>VND</v>
      </c>
      <c r="F387" s="1094" t="e">
        <f>VLOOKUP(C387,'Cash balance (BS)'!A:C,3,)</f>
        <v>#N/A</v>
      </c>
      <c r="G387" s="1157" t="e">
        <f t="shared" si="38"/>
        <v>#N/A</v>
      </c>
      <c r="H387" s="1318">
        <f>SUMIFS('Cash balance (Prior period)'!F:F,'Cash balance (Prior period)'!C:C,Table11[[#This Row],[ACCOUNT NUMBER]],'Cash balance (Prior period)'!E:E,Table11[[#This Row],[CURRENCY]])</f>
        <v>1545130659</v>
      </c>
      <c r="I387" s="1318">
        <f>SUMIFS(Movement!$F$4:$F$2136,Movement!$M$4:$M$2136,"VND",Movement!$C$4:$C$2136,Table11[[#This Row],[ACCOUNT NUMBER]],Movement!$J$4:$J$2136,Table11[[#This Row],[ENTITY]],Movement!$O$4:$O$2136,'Cash Balance'!$A$2)</f>
        <v>0</v>
      </c>
      <c r="J387" s="1318">
        <f>SUMIFS(Movement!$G$4:$G$2136,Movement!$M$4:$M$2136,"VND",Movement!$C$4:$C$2136,Table11[[#This Row],[ACCOUNT NUMBER]],Movement!$J$4:$J$2136,Table11[[#This Row],[ENTITY]],Movement!$O$4:$O$2136,'Cash Balance'!$A$2)</f>
        <v>26189344</v>
      </c>
      <c r="K387" s="1084">
        <f>Table11[[#This Row],[CASH IN - CREDIT (VND)]]-Table11[[#This Row],[CASH OUT - DEBIT (VND)]]</f>
        <v>-26189344</v>
      </c>
      <c r="L387" s="1095">
        <f t="shared" si="32"/>
        <v>1518941315</v>
      </c>
      <c r="M387" s="1184" t="e">
        <f>VLOOKUP(C387,'Cash balance (BS)'!A:D,4,)</f>
        <v>#N/A</v>
      </c>
      <c r="N387" s="1095" t="e">
        <f>Table11[[#This Row],[CLOSING BALANCE (VND)2]]-Table11[[#This Row],[CB_BS (VND)]]</f>
        <v>#N/A</v>
      </c>
      <c r="O387" s="1094">
        <v>0</v>
      </c>
      <c r="P387" s="1095">
        <f t="shared" si="33"/>
        <v>0</v>
      </c>
      <c r="Q387" s="817">
        <f>SUMIFS('Cash balance (Prior period)'!G:G,'Cash balance (Prior period)'!C:C,Table11[[#This Row],[ACCOUNT NUMBER]],'Cash balance (Prior period)'!E:E,Table11[[#This Row],[CURRENCY]])</f>
        <v>0</v>
      </c>
      <c r="R387" s="817">
        <f>SUMIFS(Movement!$F$4:$F$2136,Movement!$M$4:$M$2136,"USD",Movement!$C$4:$C$2136,Table11[[#This Row],[ACCOUNT NUMBER]],Movement!$J$4:$J$2136,Table11[[#This Row],[ENTITY]],Movement!$O$4:$O$2136,'Cash Balance'!$A$2)</f>
        <v>0</v>
      </c>
      <c r="S387" s="817">
        <f>SUMIFS(Movement!$G$4:$G$2136,Movement!$M$4:$M$2136,"USD",Movement!$C$4:$C$2136,Table11[[#This Row],[ACCOUNT NUMBER]],Movement!$J$4:$J$2136,Table11[[#This Row],[ENTITY]],Movement!$O$4:$O$2136,'Cash Balance'!$A$2)</f>
        <v>0</v>
      </c>
      <c r="T387" s="1087">
        <f t="shared" si="34"/>
        <v>0</v>
      </c>
      <c r="U387" s="817"/>
      <c r="V387" s="817">
        <f>Table11[[#This Row],[CLOSING BALANCE (USD)]]-Table11[[#This Row],[CB_BS (USD)]]</f>
        <v>0</v>
      </c>
      <c r="W387" s="1156" t="str">
        <f>VLOOKUP('Cash Balance'!$C387,Table2[#All],MATCH('Cash Balance'!W$3,Acc_Char!$B$1:$I$1,0),0)</f>
        <v>Subsidiaries</v>
      </c>
      <c r="X387" s="1156" t="str">
        <f>VLOOKUP(IFERROR(MID($Y387,1,FIND("-",$Y387)-2),$Y387),Table3[#All],2,0)</f>
        <v>VTB</v>
      </c>
      <c r="Y387" s="1156" t="str">
        <f>VLOOKUP($B387,Table4[#All],2,0)</f>
        <v>VIETINBANK - BINH DUONG + QM</v>
      </c>
      <c r="Z387" s="1151"/>
      <c r="AA387" s="49"/>
    </row>
    <row r="388" spans="1:27">
      <c r="A388" s="1153" t="str">
        <f>VLOOKUP('Cash Balance'!$C388,Table2[#All],MATCH('Cash Balance'!A$3,Acc_Char!$B$1:$I$1,0),0)</f>
        <v>LE MINH XUAN 3</v>
      </c>
      <c r="B388" s="1154" t="str">
        <f>VLOOKUP('Cash Balance'!$C388,Table2[#All],MATCH('Cash Balance'!B$3,Acc_Char!$B$1:$I$1,0),0)</f>
        <v>STANDARD CHARTERED</v>
      </c>
      <c r="C388" s="1190" t="s">
        <v>994</v>
      </c>
      <c r="D388" s="1156" t="str">
        <f>VLOOKUP('Cash Balance'!$C388,Table2[#All],MATCH('Cash Balance'!D$3,Acc_Char!$B$1:$I$1,0),0)</f>
        <v>Current Account</v>
      </c>
      <c r="E388" s="384" t="str">
        <f>VLOOKUP('Cash Balance'!$C388,Table2[#All],MATCH('Cash Balance'!E$3,Acc_Char!$B$1:$I$1,0),0)</f>
        <v>VND</v>
      </c>
      <c r="F388" s="1094" t="e">
        <f>VLOOKUP(C388,'Cash balance (BS)'!A:C,3,)</f>
        <v>#N/A</v>
      </c>
      <c r="G388" s="1157" t="e">
        <f t="shared" si="38"/>
        <v>#N/A</v>
      </c>
      <c r="H388" s="1318">
        <f>SUMIFS('Cash balance (Prior period)'!F:F,'Cash balance (Prior period)'!C:C,Table11[[#This Row],[ACCOUNT NUMBER]],'Cash balance (Prior period)'!E:E,Table11[[#This Row],[CURRENCY]])</f>
        <v>260732649</v>
      </c>
      <c r="I388" s="1318">
        <f>SUMIFS(Movement!$F$4:$F$2136,Movement!$M$4:$M$2136,"VND",Movement!$C$4:$C$2136,Table11[[#This Row],[ACCOUNT NUMBER]],Movement!$J$4:$J$2136,Table11[[#This Row],[ENTITY]],Movement!$O$4:$O$2136,'Cash Balance'!$A$2)</f>
        <v>0</v>
      </c>
      <c r="J388" s="1318">
        <f>SUMIFS(Movement!$G$4:$G$2136,Movement!$M$4:$M$2136,"VND",Movement!$C$4:$C$2136,Table11[[#This Row],[ACCOUNT NUMBER]],Movement!$J$4:$J$2136,Table11[[#This Row],[ENTITY]],Movement!$O$4:$O$2136,'Cash Balance'!$A$2)</f>
        <v>0</v>
      </c>
      <c r="K388" s="1084">
        <f>Table11[[#This Row],[CASH IN - CREDIT (VND)]]-Table11[[#This Row],[CASH OUT - DEBIT (VND)]]</f>
        <v>0</v>
      </c>
      <c r="L388" s="1095">
        <f t="shared" si="32"/>
        <v>260732649</v>
      </c>
      <c r="M388" s="1184" t="e">
        <f>VLOOKUP(C388,'Cash balance (BS)'!A:D,4,)</f>
        <v>#N/A</v>
      </c>
      <c r="N388" s="1095" t="e">
        <f>Table11[[#This Row],[CLOSING BALANCE (VND)2]]-Table11[[#This Row],[CB_BS (VND)]]</f>
        <v>#N/A</v>
      </c>
      <c r="O388" s="1094">
        <v>0</v>
      </c>
      <c r="P388" s="1095">
        <f t="shared" si="33"/>
        <v>0</v>
      </c>
      <c r="Q388" s="817">
        <f>SUMIFS('Cash balance (Prior period)'!G:G,'Cash balance (Prior period)'!C:C,Table11[[#This Row],[ACCOUNT NUMBER]],'Cash balance (Prior period)'!E:E,Table11[[#This Row],[CURRENCY]])</f>
        <v>0</v>
      </c>
      <c r="R388" s="817">
        <f>SUMIFS(Movement!$F$4:$F$2136,Movement!$M$4:$M$2136,"USD",Movement!$C$4:$C$2136,Table11[[#This Row],[ACCOUNT NUMBER]],Movement!$J$4:$J$2136,Table11[[#This Row],[ENTITY]],Movement!$O$4:$O$2136,'Cash Balance'!$A$2)</f>
        <v>0</v>
      </c>
      <c r="S388" s="817">
        <f>SUMIFS(Movement!$G$4:$G$2136,Movement!$M$4:$M$2136,"USD",Movement!$C$4:$C$2136,Table11[[#This Row],[ACCOUNT NUMBER]],Movement!$J$4:$J$2136,Table11[[#This Row],[ENTITY]],Movement!$O$4:$O$2136,'Cash Balance'!$A$2)</f>
        <v>0</v>
      </c>
      <c r="T388" s="1087">
        <f t="shared" si="34"/>
        <v>0</v>
      </c>
      <c r="U388" s="817"/>
      <c r="V388" s="817">
        <f>Table11[[#This Row],[CLOSING BALANCE (USD)]]-Table11[[#This Row],[CB_BS (USD)]]</f>
        <v>0</v>
      </c>
      <c r="W388" s="1156" t="str">
        <f>VLOOKUP('Cash Balance'!$C388,Table2[#All],MATCH('Cash Balance'!W$3,Acc_Char!$B$1:$I$1,0),0)</f>
        <v>Subsidiaries</v>
      </c>
      <c r="X388" s="1156" t="str">
        <f>VLOOKUP(IFERROR(MID($Y388,1,FIND("-",$Y388)-2),$Y388),Table3[#All],2,0)</f>
        <v>Standard Chartered</v>
      </c>
      <c r="Y388" s="1156" t="str">
        <f>VLOOKUP($B388,Table4[#All],2,0)</f>
        <v>STANDARD CHARTERED</v>
      </c>
      <c r="Z388" s="1151"/>
      <c r="AA388" s="49"/>
    </row>
    <row r="389" spans="1:27" s="1368" customFormat="1">
      <c r="A389" s="1153" t="str">
        <f>VLOOKUP('Cash Balance'!$C389,Table2[#All],MATCH('Cash Balance'!A$3,Acc_Char!$B$1:$I$1,0),0)</f>
        <v>BWID HAI DUONG</v>
      </c>
      <c r="B389" s="1154" t="str">
        <f>VLOOKUP('Cash Balance'!$C389,Table2[#All],MATCH('Cash Balance'!B$3,Acc_Char!$B$1:$I$1,0),0)</f>
        <v>VIETINBANK - TIEN SON</v>
      </c>
      <c r="C389" s="1190" t="s">
        <v>995</v>
      </c>
      <c r="D389" s="1156" t="str">
        <f>VLOOKUP('Cash Balance'!$C389,Table2[#All],MATCH('Cash Balance'!D$3,Acc_Char!$B$1:$I$1,0),0)</f>
        <v>Saving Account</v>
      </c>
      <c r="E389" s="384" t="str">
        <f>VLOOKUP('Cash Balance'!$C389,Table2[#All],MATCH('Cash Balance'!E$3,Acc_Char!$B$1:$I$1,0),0)</f>
        <v>VND</v>
      </c>
      <c r="F389" s="1230" t="e">
        <f>VLOOKUP(C389,'Cash balance (BS)'!A:C,3,)</f>
        <v>#N/A</v>
      </c>
      <c r="G389" s="1157" t="e">
        <f>F389-H389</f>
        <v>#N/A</v>
      </c>
      <c r="H389" s="1319">
        <f>SUMIFS('Cash balance (Prior period)'!F:F,'Cash balance (Prior period)'!C:C,Table11[[#This Row],[ACCOUNT NUMBER]],'Cash balance (Prior period)'!E:E,Table11[[#This Row],[CURRENCY]])</f>
        <v>0</v>
      </c>
      <c r="I389" s="1319">
        <f>SUMIFS(Movement!$F$4:$F$2136,Movement!$M$4:$M$2136,"VND",Movement!$C$4:$C$2136,Table11[[#This Row],[ACCOUNT NUMBER]],Movement!$J$4:$J$2136,Table11[[#This Row],[ENTITY]],Movement!$O$4:$O$2136,'Cash Balance'!$A$2)</f>
        <v>0</v>
      </c>
      <c r="J389" s="1319">
        <f>SUMIFS(Movement!$G$4:$G$2136,Movement!$M$4:$M$2136,"VND",Movement!$C$4:$C$2136,Table11[[#This Row],[ACCOUNT NUMBER]],Movement!$J$4:$J$2136,Table11[[#This Row],[ENTITY]],Movement!$O$4:$O$2136,'Cash Balance'!$A$2)</f>
        <v>0</v>
      </c>
      <c r="K389" s="1224">
        <f>Table11[[#This Row],[CASH IN - CREDIT (VND)]]-Table11[[#This Row],[CASH OUT - DEBIT (VND)]]</f>
        <v>0</v>
      </c>
      <c r="L389" s="1225">
        <f>H389+I389-J389</f>
        <v>0</v>
      </c>
      <c r="M389" s="1184" t="e">
        <f>VLOOKUP(C389,'Cash balance (BS)'!A:D,4,)</f>
        <v>#N/A</v>
      </c>
      <c r="N389" s="1225" t="e">
        <f>Table11[[#This Row],[CLOSING BALANCE (VND)2]]-Table11[[#This Row],[CB_BS (VND)]]</f>
        <v>#N/A</v>
      </c>
      <c r="O389" s="1230">
        <v>0</v>
      </c>
      <c r="P389" s="1225">
        <f>O389-Q389</f>
        <v>0</v>
      </c>
      <c r="Q389" s="1285">
        <f>SUMIFS('Cash balance (Prior period)'!G:G,'Cash balance (Prior period)'!C:C,Table11[[#This Row],[ACCOUNT NUMBER]],'Cash balance (Prior period)'!E:E,Table11[[#This Row],[CURRENCY]])</f>
        <v>0</v>
      </c>
      <c r="R389" s="1285">
        <f>SUMIFS(Movement!$F$4:$F$2136,Movement!$M$4:$M$2136,"USD",Movement!$C$4:$C$2136,Table11[[#This Row],[ACCOUNT NUMBER]],Movement!$J$4:$J$2136,Table11[[#This Row],[ENTITY]],Movement!$O$4:$O$2136,'Cash Balance'!$A$2)</f>
        <v>0</v>
      </c>
      <c r="S389" s="1285">
        <f>SUMIFS(Movement!$G$4:$G$2136,Movement!$M$4:$M$2136,"USD",Movement!$C$4:$C$2136,Table11[[#This Row],[ACCOUNT NUMBER]],Movement!$J$4:$J$2136,Table11[[#This Row],[ENTITY]],Movement!$O$4:$O$2136,'Cash Balance'!$A$2)</f>
        <v>0</v>
      </c>
      <c r="T389" s="1236">
        <f>Q389+R389-S389</f>
        <v>0</v>
      </c>
      <c r="U389" s="1285"/>
      <c r="V389" s="1285">
        <f>Table11[[#This Row],[CLOSING BALANCE (USD)]]-Table11[[#This Row],[CB_BS (USD)]]</f>
        <v>0</v>
      </c>
      <c r="W389" s="1156" t="str">
        <f>VLOOKUP('Cash Balance'!$C389,Table2[#All],MATCH('Cash Balance'!W$3,Acc_Char!$B$1:$I$1,0),0)</f>
        <v>Subsidiaries</v>
      </c>
      <c r="X389" s="1156" t="str">
        <f>VLOOKUP(IFERROR(MID($Y389,1,FIND("-",$Y389)-2),$Y389),Table3[#All],2,0)</f>
        <v>VTB</v>
      </c>
      <c r="Y389" s="1156" t="str">
        <f>VLOOKUP($B389,Table4[#All],2,0)</f>
        <v>VIETINBANK - TIEN SON</v>
      </c>
      <c r="Z389" s="1151"/>
      <c r="AA389" s="49"/>
    </row>
    <row r="390" spans="1:27" s="1368" customFormat="1">
      <c r="A390" s="1153" t="str">
        <f>VLOOKUP('Cash Balance'!$C390,Table2[#All],MATCH('Cash Balance'!A$3,Acc_Char!$B$1:$I$1,0),0)</f>
        <v>BWID HAI DUONG</v>
      </c>
      <c r="B390" s="1154" t="str">
        <f>VLOOKUP('Cash Balance'!$C390,Table2[#All],MATCH('Cash Balance'!B$3,Acc_Char!$B$1:$I$1,0),0)</f>
        <v>VIETINBANK - TIEN SON</v>
      </c>
      <c r="C390" s="1190" t="s">
        <v>996</v>
      </c>
      <c r="D390" s="1156" t="str">
        <f>VLOOKUP('Cash Balance'!$C390,Table2[#All],MATCH('Cash Balance'!D$3,Acc_Char!$B$1:$I$1,0),0)</f>
        <v>Saving Account</v>
      </c>
      <c r="E390" s="384" t="str">
        <f>VLOOKUP('Cash Balance'!$C390,Table2[#All],MATCH('Cash Balance'!E$3,Acc_Char!$B$1:$I$1,0),0)</f>
        <v>VND</v>
      </c>
      <c r="F390" s="1230" t="e">
        <f>VLOOKUP(C390,'Cash balance (BS)'!A:C,3,)</f>
        <v>#N/A</v>
      </c>
      <c r="G390" s="1157" t="e">
        <f>F390-H390</f>
        <v>#N/A</v>
      </c>
      <c r="H390" s="1319">
        <f>SUMIFS('Cash balance (Prior period)'!F:F,'Cash balance (Prior period)'!C:C,Table11[[#This Row],[ACCOUNT NUMBER]],'Cash balance (Prior period)'!E:E,Table11[[#This Row],[CURRENCY]])</f>
        <v>0</v>
      </c>
      <c r="I390" s="1319">
        <f>SUMIFS(Movement!$F$4:$F$2136,Movement!$M$4:$M$2136,"VND",Movement!$C$4:$C$2136,Table11[[#This Row],[ACCOUNT NUMBER]],Movement!$J$4:$J$2136,Table11[[#This Row],[ENTITY]],Movement!$O$4:$O$2136,'Cash Balance'!$A$2)</f>
        <v>0</v>
      </c>
      <c r="J390" s="1319">
        <f>SUMIFS(Movement!$G$4:$G$2136,Movement!$M$4:$M$2136,"VND",Movement!$C$4:$C$2136,Table11[[#This Row],[ACCOUNT NUMBER]],Movement!$J$4:$J$2136,Table11[[#This Row],[ENTITY]],Movement!$O$4:$O$2136,'Cash Balance'!$A$2)</f>
        <v>0</v>
      </c>
      <c r="K390" s="1224">
        <f>Table11[[#This Row],[CASH IN - CREDIT (VND)]]-Table11[[#This Row],[CASH OUT - DEBIT (VND)]]</f>
        <v>0</v>
      </c>
      <c r="L390" s="1225">
        <f>H390+I390-J390</f>
        <v>0</v>
      </c>
      <c r="M390" s="1184" t="e">
        <f>VLOOKUP(C390,'Cash balance (BS)'!A:D,4,)</f>
        <v>#N/A</v>
      </c>
      <c r="N390" s="1225" t="e">
        <f>Table11[[#This Row],[CLOSING BALANCE (VND)2]]-Table11[[#This Row],[CB_BS (VND)]]</f>
        <v>#N/A</v>
      </c>
      <c r="O390" s="1230">
        <v>0</v>
      </c>
      <c r="P390" s="1225">
        <f>O390-Q390</f>
        <v>0</v>
      </c>
      <c r="Q390" s="1285">
        <f>SUMIFS('Cash balance (Prior period)'!G:G,'Cash balance (Prior period)'!C:C,Table11[[#This Row],[ACCOUNT NUMBER]],'Cash balance (Prior period)'!E:E,Table11[[#This Row],[CURRENCY]])</f>
        <v>0</v>
      </c>
      <c r="R390" s="1285">
        <f>SUMIFS(Movement!$F$4:$F$2136,Movement!$M$4:$M$2136,"USD",Movement!$C$4:$C$2136,Table11[[#This Row],[ACCOUNT NUMBER]],Movement!$J$4:$J$2136,Table11[[#This Row],[ENTITY]],Movement!$O$4:$O$2136,'Cash Balance'!$A$2)</f>
        <v>0</v>
      </c>
      <c r="S390" s="1285">
        <f>SUMIFS(Movement!$G$4:$G$2136,Movement!$M$4:$M$2136,"USD",Movement!$C$4:$C$2136,Table11[[#This Row],[ACCOUNT NUMBER]],Movement!$J$4:$J$2136,Table11[[#This Row],[ENTITY]],Movement!$O$4:$O$2136,'Cash Balance'!$A$2)</f>
        <v>0</v>
      </c>
      <c r="T390" s="1236">
        <f>Q390+R390-S390</f>
        <v>0</v>
      </c>
      <c r="U390" s="1285"/>
      <c r="V390" s="1285">
        <f>Table11[[#This Row],[CLOSING BALANCE (USD)]]-Table11[[#This Row],[CB_BS (USD)]]</f>
        <v>0</v>
      </c>
      <c r="W390" s="1156" t="str">
        <f>VLOOKUP('Cash Balance'!$C390,Table2[#All],MATCH('Cash Balance'!W$3,Acc_Char!$B$1:$I$1,0),0)</f>
        <v>Subsidiaries</v>
      </c>
      <c r="X390" s="1156" t="str">
        <f>VLOOKUP(IFERROR(MID($Y390,1,FIND("-",$Y390)-2),$Y390),Table3[#All],2,0)</f>
        <v>VTB</v>
      </c>
      <c r="Y390" s="1156" t="str">
        <f>VLOOKUP($B390,Table4[#All],2,0)</f>
        <v>VIETINBANK - TIEN SON</v>
      </c>
      <c r="Z390" s="1151"/>
      <c r="AA390" s="49"/>
    </row>
    <row r="391" spans="1:27">
      <c r="A391" s="1153" t="str">
        <f>VLOOKUP('Cash Balance'!$C391,Table2[#All],MATCH('Cash Balance'!A$3,Acc_Char!$B$1:$I$1,0),0)</f>
        <v>BAC TIEN PHONG</v>
      </c>
      <c r="B391" s="1154" t="str">
        <f>VLOOKUP('Cash Balance'!$C391,Table2[#All],MATCH('Cash Balance'!B$3,Acc_Char!$B$1:$I$1,0),0)</f>
        <v>BIDV - THANH XUAN</v>
      </c>
      <c r="C391" s="1190" t="s">
        <v>997</v>
      </c>
      <c r="D391" s="1156" t="str">
        <f>VLOOKUP('Cash Balance'!$C391,Table2[#All],MATCH('Cash Balance'!D$3,Acc_Char!$B$1:$I$1,0),0)</f>
        <v>Saving Account</v>
      </c>
      <c r="E391" s="384" t="str">
        <f>VLOOKUP('Cash Balance'!$C391,Table2[#All],MATCH('Cash Balance'!E$3,Acc_Char!$B$1:$I$1,0),0)</f>
        <v>VND</v>
      </c>
      <c r="F391" s="1094" t="e">
        <f>VLOOKUP(C391,'Cash balance (BS)'!A:C,3,)</f>
        <v>#N/A</v>
      </c>
      <c r="G391" s="1157" t="e">
        <f t="shared" si="38"/>
        <v>#N/A</v>
      </c>
      <c r="H391" s="1318">
        <f>SUMIFS('Cash balance (Prior period)'!F:F,'Cash balance (Prior period)'!C:C,Table11[[#This Row],[ACCOUNT NUMBER]],'Cash balance (Prior period)'!E:E,Table11[[#This Row],[CURRENCY]])</f>
        <v>5000000000</v>
      </c>
      <c r="I391" s="1318">
        <f>SUMIFS(Movement!$F$4:$F$2136,Movement!$M$4:$M$2136,"VND",Movement!$C$4:$C$2136,Table11[[#This Row],[ACCOUNT NUMBER]],Movement!$J$4:$J$2136,Table11[[#This Row],[ENTITY]],Movement!$O$4:$O$2136,'Cash Balance'!$A$2)</f>
        <v>0</v>
      </c>
      <c r="J391" s="1318">
        <f>SUMIFS(Movement!$G$4:$G$2136,Movement!$M$4:$M$2136,"VND",Movement!$C$4:$C$2136,Table11[[#This Row],[ACCOUNT NUMBER]],Movement!$J$4:$J$2136,Table11[[#This Row],[ENTITY]],Movement!$O$4:$O$2136,'Cash Balance'!$A$2)</f>
        <v>0</v>
      </c>
      <c r="K391" s="1084">
        <f>Table11[[#This Row],[CASH IN - CREDIT (VND)]]-Table11[[#This Row],[CASH OUT - DEBIT (VND)]]</f>
        <v>0</v>
      </c>
      <c r="L391" s="1095">
        <f t="shared" si="32"/>
        <v>5000000000</v>
      </c>
      <c r="M391" s="1184" t="e">
        <f>VLOOKUP(C391,'Cash balance (BS)'!A:D,4,)</f>
        <v>#N/A</v>
      </c>
      <c r="N391" s="1095" t="e">
        <f>Table11[[#This Row],[CLOSING BALANCE (VND)2]]-Table11[[#This Row],[CB_BS (VND)]]</f>
        <v>#N/A</v>
      </c>
      <c r="O391" s="1094">
        <v>0</v>
      </c>
      <c r="P391" s="1095">
        <f t="shared" si="33"/>
        <v>0</v>
      </c>
      <c r="Q391" s="817">
        <f>SUMIFS('Cash balance (Prior period)'!G:G,'Cash balance (Prior period)'!C:C,Table11[[#This Row],[ACCOUNT NUMBER]],'Cash balance (Prior period)'!E:E,Table11[[#This Row],[CURRENCY]])</f>
        <v>0</v>
      </c>
      <c r="R391" s="817">
        <f>SUMIFS(Movement!$F$4:$F$2136,Movement!$M$4:$M$2136,"USD",Movement!$C$4:$C$2136,Table11[[#This Row],[ACCOUNT NUMBER]],Movement!$J$4:$J$2136,Table11[[#This Row],[ENTITY]],Movement!$O$4:$O$2136,'Cash Balance'!$A$2)</f>
        <v>0</v>
      </c>
      <c r="S391" s="817">
        <f>SUMIFS(Movement!$G$4:$G$2136,Movement!$M$4:$M$2136,"USD",Movement!$C$4:$C$2136,Table11[[#This Row],[ACCOUNT NUMBER]],Movement!$J$4:$J$2136,Table11[[#This Row],[ENTITY]],Movement!$O$4:$O$2136,'Cash Balance'!$A$2)</f>
        <v>0</v>
      </c>
      <c r="T391" s="1087">
        <f t="shared" si="34"/>
        <v>0</v>
      </c>
      <c r="U391" s="817"/>
      <c r="V391" s="817">
        <f>Table11[[#This Row],[CLOSING BALANCE (USD)]]-Table11[[#This Row],[CB_BS (USD)]]</f>
        <v>0</v>
      </c>
      <c r="W391" s="1156" t="str">
        <f>VLOOKUP('Cash Balance'!$C391,Table2[#All],MATCH('Cash Balance'!W$3,Acc_Char!$B$1:$I$1,0),0)</f>
        <v>Subsidiaries</v>
      </c>
      <c r="X391" s="1156" t="str">
        <f>VLOOKUP(IFERROR(MID($Y391,1,FIND("-",$Y391)-2),$Y391),Table3[#All],2,0)</f>
        <v>BIDV</v>
      </c>
      <c r="Y391" s="1156" t="str">
        <f>VLOOKUP($B391,Table4[#All],2,0)</f>
        <v>BIDV - THANH XUAN</v>
      </c>
      <c r="Z391" s="1151"/>
      <c r="AA391" s="49"/>
    </row>
    <row r="392" spans="1:27">
      <c r="A392" s="1153" t="str">
        <f>VLOOKUP('Cash Balance'!$C392,Table2[#All],MATCH('Cash Balance'!A$3,Acc_Char!$B$1:$I$1,0),0)</f>
        <v>HOLDCO4K</v>
      </c>
      <c r="B392" s="1154" t="str">
        <f>VLOOKUP('Cash Balance'!$C392,Table2[#All],MATCH('Cash Balance'!B$3,Acc_Char!$B$1:$I$1,0),0)</f>
        <v>VIETINBANK - QUANG MINH</v>
      </c>
      <c r="C392" s="1190" t="s">
        <v>998</v>
      </c>
      <c r="D392" s="1156" t="str">
        <f>VLOOKUP('Cash Balance'!$C392,Table2[#All],MATCH('Cash Balance'!D$3,Acc_Char!$B$1:$I$1,0),0)</f>
        <v>Current Account</v>
      </c>
      <c r="E392" s="384" t="str">
        <f>VLOOKUP('Cash Balance'!$C392,Table2[#All],MATCH('Cash Balance'!E$3,Acc_Char!$B$1:$I$1,0),0)</f>
        <v>VND</v>
      </c>
      <c r="F392" s="1094" t="e">
        <f>VLOOKUP(C392,'Cash balance (BS)'!A:C,3,)</f>
        <v>#N/A</v>
      </c>
      <c r="G392" s="1157" t="e">
        <f t="shared" si="38"/>
        <v>#N/A</v>
      </c>
      <c r="H392" s="1318">
        <f>SUMIFS('Cash balance (Prior period)'!F:F,'Cash balance (Prior period)'!C:C,Table11[[#This Row],[ACCOUNT NUMBER]],'Cash balance (Prior period)'!E:E,Table11[[#This Row],[CURRENCY]])</f>
        <v>38318151</v>
      </c>
      <c r="I392" s="1318">
        <f>SUMIFS(Movement!$F$4:$F$2136,Movement!$M$4:$M$2136,"VND",Movement!$C$4:$C$2136,Table11[[#This Row],[ACCOUNT NUMBER]],Movement!$J$4:$J$2136,Table11[[#This Row],[ENTITY]],Movement!$O$4:$O$2136,'Cash Balance'!$A$2)</f>
        <v>0</v>
      </c>
      <c r="J392" s="1318">
        <f>SUMIFS(Movement!$G$4:$G$2136,Movement!$M$4:$M$2136,"VND",Movement!$C$4:$C$2136,Table11[[#This Row],[ACCOUNT NUMBER]],Movement!$J$4:$J$2136,Table11[[#This Row],[ENTITY]],Movement!$O$4:$O$2136,'Cash Balance'!$A$2)</f>
        <v>0</v>
      </c>
      <c r="K392" s="1084">
        <f>Table11[[#This Row],[CASH IN - CREDIT (VND)]]-Table11[[#This Row],[CASH OUT - DEBIT (VND)]]</f>
        <v>0</v>
      </c>
      <c r="L392" s="1095">
        <f t="shared" ref="L392:L455" si="39">H392+I392-J392</f>
        <v>38318151</v>
      </c>
      <c r="M392" s="1184" t="e">
        <f>VLOOKUP(C392,'Cash balance (BS)'!A:D,4,)</f>
        <v>#N/A</v>
      </c>
      <c r="N392" s="1095" t="e">
        <f>Table11[[#This Row],[CLOSING BALANCE (VND)2]]-Table11[[#This Row],[CB_BS (VND)]]</f>
        <v>#N/A</v>
      </c>
      <c r="O392" s="1094">
        <v>0</v>
      </c>
      <c r="P392" s="1095">
        <f t="shared" ref="P392:P455" si="40">O392-Q392</f>
        <v>0</v>
      </c>
      <c r="Q392" s="817">
        <f>SUMIFS('Cash balance (Prior period)'!G:G,'Cash balance (Prior period)'!C:C,Table11[[#This Row],[ACCOUNT NUMBER]],'Cash balance (Prior period)'!E:E,Table11[[#This Row],[CURRENCY]])</f>
        <v>0</v>
      </c>
      <c r="R392" s="817">
        <f>SUMIFS(Movement!$F$4:$F$2136,Movement!$M$4:$M$2136,"USD",Movement!$C$4:$C$2136,Table11[[#This Row],[ACCOUNT NUMBER]],Movement!$J$4:$J$2136,Table11[[#This Row],[ENTITY]],Movement!$O$4:$O$2136,'Cash Balance'!$A$2)</f>
        <v>0</v>
      </c>
      <c r="S392" s="817">
        <f>SUMIFS(Movement!$G$4:$G$2136,Movement!$M$4:$M$2136,"USD",Movement!$C$4:$C$2136,Table11[[#This Row],[ACCOUNT NUMBER]],Movement!$J$4:$J$2136,Table11[[#This Row],[ENTITY]],Movement!$O$4:$O$2136,'Cash Balance'!$A$2)</f>
        <v>0</v>
      </c>
      <c r="T392" s="1087">
        <f t="shared" ref="T392:T455" si="41">Q392+R392-S392</f>
        <v>0</v>
      </c>
      <c r="U392" s="817"/>
      <c r="V392" s="817">
        <f>Table11[[#This Row],[CLOSING BALANCE (USD)]]-Table11[[#This Row],[CB_BS (USD)]]</f>
        <v>0</v>
      </c>
      <c r="W392" s="1156" t="str">
        <f>VLOOKUP('Cash Balance'!$C392,Table2[#All],MATCH('Cash Balance'!W$3,Acc_Char!$B$1:$I$1,0),0)</f>
        <v>Subsidiaries</v>
      </c>
      <c r="X392" s="1156" t="str">
        <f>VLOOKUP(IFERROR(MID($Y392,1,FIND("-",$Y392)-2),$Y392),Table3[#All],2,0)</f>
        <v>VTB</v>
      </c>
      <c r="Y392" s="1156" t="str">
        <f>VLOOKUP($B392,Table4[#All],2,0)</f>
        <v>VIETINBANK - BINH DUONG + QM</v>
      </c>
      <c r="Z392" s="1151"/>
      <c r="AA392" s="49"/>
    </row>
    <row r="393" spans="1:27">
      <c r="A393" s="1153" t="str">
        <f>VLOOKUP('Cash Balance'!$C393,Table2[#All],MATCH('Cash Balance'!A$3,Acc_Char!$B$1:$I$1,0),0)</f>
        <v>HOLDCO5K</v>
      </c>
      <c r="B393" s="1154" t="str">
        <f>VLOOKUP('Cash Balance'!$C393,Table2[#All],MATCH('Cash Balance'!B$3,Acc_Char!$B$1:$I$1,0),0)</f>
        <v>VIETINBANK - QUANG MINH</v>
      </c>
      <c r="C393" s="1190" t="s">
        <v>999</v>
      </c>
      <c r="D393" s="1156" t="str">
        <f>VLOOKUP('Cash Balance'!$C393,Table2[#All],MATCH('Cash Balance'!D$3,Acc_Char!$B$1:$I$1,0),0)</f>
        <v>Current Account</v>
      </c>
      <c r="E393" s="384" t="str">
        <f>VLOOKUP('Cash Balance'!$C393,Table2[#All],MATCH('Cash Balance'!E$3,Acc_Char!$B$1:$I$1,0),0)</f>
        <v>VND</v>
      </c>
      <c r="F393" s="1094" t="e">
        <f>VLOOKUP(C393,'Cash balance (BS)'!A:C,3,)</f>
        <v>#N/A</v>
      </c>
      <c r="G393" s="1157" t="e">
        <f t="shared" si="38"/>
        <v>#N/A</v>
      </c>
      <c r="H393" s="1318">
        <f>SUMIFS('Cash balance (Prior period)'!F:F,'Cash balance (Prior period)'!C:C,Table11[[#This Row],[ACCOUNT NUMBER]],'Cash balance (Prior period)'!E:E,Table11[[#This Row],[CURRENCY]])</f>
        <v>41600730</v>
      </c>
      <c r="I393" s="1318">
        <f>SUMIFS(Movement!$F$4:$F$2136,Movement!$M$4:$M$2136,"VND",Movement!$C$4:$C$2136,Table11[[#This Row],[ACCOUNT NUMBER]],Movement!$J$4:$J$2136,Table11[[#This Row],[ENTITY]],Movement!$O$4:$O$2136,'Cash Balance'!$A$2)</f>
        <v>0</v>
      </c>
      <c r="J393" s="1318">
        <f>SUMIFS(Movement!$G$4:$G$2136,Movement!$M$4:$M$2136,"VND",Movement!$C$4:$C$2136,Table11[[#This Row],[ACCOUNT NUMBER]],Movement!$J$4:$J$2136,Table11[[#This Row],[ENTITY]],Movement!$O$4:$O$2136,'Cash Balance'!$A$2)</f>
        <v>0</v>
      </c>
      <c r="K393" s="1084">
        <f>Table11[[#This Row],[CASH IN - CREDIT (VND)]]-Table11[[#This Row],[CASH OUT - DEBIT (VND)]]</f>
        <v>0</v>
      </c>
      <c r="L393" s="1095">
        <f t="shared" si="39"/>
        <v>41600730</v>
      </c>
      <c r="M393" s="1184" t="e">
        <f>VLOOKUP(C393,'Cash balance (BS)'!A:D,4,)</f>
        <v>#N/A</v>
      </c>
      <c r="N393" s="1095" t="e">
        <f>Table11[[#This Row],[CLOSING BALANCE (VND)2]]-Table11[[#This Row],[CB_BS (VND)]]</f>
        <v>#N/A</v>
      </c>
      <c r="O393" s="1094">
        <v>0</v>
      </c>
      <c r="P393" s="1095">
        <f t="shared" si="40"/>
        <v>0</v>
      </c>
      <c r="Q393" s="817">
        <f>SUMIFS('Cash balance (Prior period)'!G:G,'Cash balance (Prior period)'!C:C,Table11[[#This Row],[ACCOUNT NUMBER]],'Cash balance (Prior period)'!E:E,Table11[[#This Row],[CURRENCY]])</f>
        <v>0</v>
      </c>
      <c r="R393" s="817">
        <f>SUMIFS(Movement!$F$4:$F$2136,Movement!$M$4:$M$2136,"USD",Movement!$C$4:$C$2136,Table11[[#This Row],[ACCOUNT NUMBER]],Movement!$J$4:$J$2136,Table11[[#This Row],[ENTITY]],Movement!$O$4:$O$2136,'Cash Balance'!$A$2)</f>
        <v>0</v>
      </c>
      <c r="S393" s="817">
        <f>SUMIFS(Movement!$G$4:$G$2136,Movement!$M$4:$M$2136,"USD",Movement!$C$4:$C$2136,Table11[[#This Row],[ACCOUNT NUMBER]],Movement!$J$4:$J$2136,Table11[[#This Row],[ENTITY]],Movement!$O$4:$O$2136,'Cash Balance'!$A$2)</f>
        <v>0</v>
      </c>
      <c r="T393" s="1087">
        <f t="shared" si="41"/>
        <v>0</v>
      </c>
      <c r="U393" s="817"/>
      <c r="V393" s="817">
        <f>Table11[[#This Row],[CLOSING BALANCE (USD)]]-Table11[[#This Row],[CB_BS (USD)]]</f>
        <v>0</v>
      </c>
      <c r="W393" s="1156" t="str">
        <f>VLOOKUP('Cash Balance'!$C393,Table2[#All],MATCH('Cash Balance'!W$3,Acc_Char!$B$1:$I$1,0),0)</f>
        <v>Subsidiaries</v>
      </c>
      <c r="X393" s="1156" t="str">
        <f>VLOOKUP(IFERROR(MID($Y393,1,FIND("-",$Y393)-2),$Y393),Table3[#All],2,0)</f>
        <v>VTB</v>
      </c>
      <c r="Y393" s="1156" t="str">
        <f>VLOOKUP($B393,Table4[#All],2,0)</f>
        <v>VIETINBANK - BINH DUONG + QM</v>
      </c>
      <c r="Z393" s="1151"/>
      <c r="AA393" s="49"/>
    </row>
    <row r="394" spans="1:27">
      <c r="A394" s="1153" t="str">
        <f>VLOOKUP('Cash Balance'!$C394,Table2[#All],MATCH('Cash Balance'!A$3,Acc_Char!$B$1:$I$1,0),0)</f>
        <v>THUAN THANH 3B</v>
      </c>
      <c r="B394" s="1154" t="str">
        <f>VLOOKUP('Cash Balance'!$C394,Table2[#All],MATCH('Cash Balance'!B$3,Acc_Char!$B$1:$I$1,0),0)</f>
        <v>VIETCOMBANK - BA DINH</v>
      </c>
      <c r="C394" s="1190" t="s">
        <v>1000</v>
      </c>
      <c r="D394" s="1156" t="str">
        <f>VLOOKUP('Cash Balance'!$C394,Table2[#All],MATCH('Cash Balance'!D$3,Acc_Char!$B$1:$I$1,0),0)</f>
        <v>Current Account</v>
      </c>
      <c r="E394" s="384" t="str">
        <f>VLOOKUP('Cash Balance'!$C394,Table2[#All],MATCH('Cash Balance'!E$3,Acc_Char!$B$1:$I$1,0),0)</f>
        <v>VND</v>
      </c>
      <c r="F394" s="1094" t="e">
        <f>VLOOKUP(C394,'Cash balance (BS)'!A:C,3,)</f>
        <v>#N/A</v>
      </c>
      <c r="G394" s="1157" t="e">
        <f t="shared" si="38"/>
        <v>#N/A</v>
      </c>
      <c r="H394" s="1318">
        <f>SUMIFS('Cash balance (Prior period)'!F:F,'Cash balance (Prior period)'!C:C,Table11[[#This Row],[ACCOUNT NUMBER]],'Cash balance (Prior period)'!E:E,Table11[[#This Row],[CURRENCY]])</f>
        <v>8783674159</v>
      </c>
      <c r="I394" s="1318">
        <f>SUMIFS(Movement!$F$4:$F$2136,Movement!$M$4:$M$2136,"VND",Movement!$C$4:$C$2136,Table11[[#This Row],[ACCOUNT NUMBER]],Movement!$J$4:$J$2136,Table11[[#This Row],[ENTITY]],Movement!$O$4:$O$2136,'Cash Balance'!$A$2)</f>
        <v>4088814951</v>
      </c>
      <c r="J394" s="1318">
        <f>SUMIFS(Movement!$G$4:$G$2136,Movement!$M$4:$M$2136,"VND",Movement!$C$4:$C$2136,Table11[[#This Row],[ACCOUNT NUMBER]],Movement!$J$4:$J$2136,Table11[[#This Row],[ENTITY]],Movement!$O$4:$O$2136,'Cash Balance'!$A$2)</f>
        <v>257494002</v>
      </c>
      <c r="K394" s="1084">
        <f>Table11[[#This Row],[CASH IN - CREDIT (VND)]]-Table11[[#This Row],[CASH OUT - DEBIT (VND)]]</f>
        <v>3831320949</v>
      </c>
      <c r="L394" s="1095">
        <f t="shared" si="39"/>
        <v>12614995108</v>
      </c>
      <c r="M394" s="1184" t="e">
        <f>VLOOKUP(C394,'Cash balance (BS)'!A:D,4,)</f>
        <v>#N/A</v>
      </c>
      <c r="N394" s="1095" t="e">
        <f>Table11[[#This Row],[CLOSING BALANCE (VND)2]]-Table11[[#This Row],[CB_BS (VND)]]</f>
        <v>#N/A</v>
      </c>
      <c r="O394" s="1094">
        <v>0</v>
      </c>
      <c r="P394" s="1095">
        <f t="shared" si="40"/>
        <v>0</v>
      </c>
      <c r="Q394" s="817">
        <f>SUMIFS('Cash balance (Prior period)'!G:G,'Cash balance (Prior period)'!C:C,Table11[[#This Row],[ACCOUNT NUMBER]],'Cash balance (Prior period)'!E:E,Table11[[#This Row],[CURRENCY]])</f>
        <v>0</v>
      </c>
      <c r="R394" s="817">
        <f>SUMIFS(Movement!$F$4:$F$2136,Movement!$M$4:$M$2136,"USD",Movement!$C$4:$C$2136,Table11[[#This Row],[ACCOUNT NUMBER]],Movement!$J$4:$J$2136,Table11[[#This Row],[ENTITY]],Movement!$O$4:$O$2136,'Cash Balance'!$A$2)</f>
        <v>0</v>
      </c>
      <c r="S394" s="817">
        <f>SUMIFS(Movement!$G$4:$G$2136,Movement!$M$4:$M$2136,"USD",Movement!$C$4:$C$2136,Table11[[#This Row],[ACCOUNT NUMBER]],Movement!$J$4:$J$2136,Table11[[#This Row],[ENTITY]],Movement!$O$4:$O$2136,'Cash Balance'!$A$2)</f>
        <v>0</v>
      </c>
      <c r="T394" s="1087">
        <f t="shared" si="41"/>
        <v>0</v>
      </c>
      <c r="U394" s="817"/>
      <c r="V394" s="817">
        <f>Table11[[#This Row],[CLOSING BALANCE (USD)]]-Table11[[#This Row],[CB_BS (USD)]]</f>
        <v>0</v>
      </c>
      <c r="W394" s="1156" t="str">
        <f>VLOOKUP('Cash Balance'!$C394,Table2[#All],MATCH('Cash Balance'!W$3,Acc_Char!$B$1:$I$1,0),0)</f>
        <v>Subsidiaries</v>
      </c>
      <c r="X394" s="1156" t="str">
        <f>VLOOKUP(IFERROR(MID($Y394,1,FIND("-",$Y394)-2),$Y394),Table3[#All],2,0)</f>
        <v>VCB</v>
      </c>
      <c r="Y394" s="1156" t="str">
        <f>VLOOKUP($B394,Table4[#All],2,0)</f>
        <v>VIETCOMBANK - BA DINH</v>
      </c>
      <c r="Z394" s="1151"/>
      <c r="AA394" s="49"/>
    </row>
    <row r="395" spans="1:27" s="1368" customFormat="1">
      <c r="A395" s="1153" t="str">
        <f>VLOOKUP('Cash Balance'!$C395,Table2[#All],MATCH('Cash Balance'!A$3,Acc_Char!$B$1:$I$1,0),0)</f>
        <v>BWID HAI DUONG</v>
      </c>
      <c r="B395" s="1154" t="str">
        <f>VLOOKUP('Cash Balance'!$C395,Table2[#All],MATCH('Cash Balance'!B$3,Acc_Char!$B$1:$I$1,0),0)</f>
        <v>VIETINBANK - TIEN SON</v>
      </c>
      <c r="C395" s="1190" t="s">
        <v>1001</v>
      </c>
      <c r="D395" s="1156" t="str">
        <f>VLOOKUP('Cash Balance'!$C395,Table2[#All],MATCH('Cash Balance'!D$3,Acc_Char!$B$1:$I$1,0),0)</f>
        <v>Saving Account</v>
      </c>
      <c r="E395" s="384" t="str">
        <f>VLOOKUP('Cash Balance'!$C395,Table2[#All],MATCH('Cash Balance'!E$3,Acc_Char!$B$1:$I$1,0),0)</f>
        <v>VND</v>
      </c>
      <c r="F395" s="1230" t="e">
        <f>VLOOKUP(C395,'Cash balance (BS)'!A:C,3,)</f>
        <v>#N/A</v>
      </c>
      <c r="G395" s="1157" t="e">
        <f>F395-H395</f>
        <v>#N/A</v>
      </c>
      <c r="H395" s="1319">
        <f>SUMIFS('Cash balance (Prior period)'!F:F,'Cash balance (Prior period)'!C:C,Table11[[#This Row],[ACCOUNT NUMBER]],'Cash balance (Prior period)'!E:E,Table11[[#This Row],[CURRENCY]])</f>
        <v>0</v>
      </c>
      <c r="I395" s="1319">
        <f>SUMIFS(Movement!$F$4:$F$2136,Movement!$M$4:$M$2136,"VND",Movement!$C$4:$C$2136,Table11[[#This Row],[ACCOUNT NUMBER]],Movement!$J$4:$J$2136,Table11[[#This Row],[ENTITY]],Movement!$O$4:$O$2136,'Cash Balance'!$A$2)</f>
        <v>0</v>
      </c>
      <c r="J395" s="1319">
        <f>SUMIFS(Movement!$G$4:$G$2136,Movement!$M$4:$M$2136,"VND",Movement!$C$4:$C$2136,Table11[[#This Row],[ACCOUNT NUMBER]],Movement!$J$4:$J$2136,Table11[[#This Row],[ENTITY]],Movement!$O$4:$O$2136,'Cash Balance'!$A$2)</f>
        <v>0</v>
      </c>
      <c r="K395" s="1224">
        <f>Table11[[#This Row],[CASH IN - CREDIT (VND)]]-Table11[[#This Row],[CASH OUT - DEBIT (VND)]]</f>
        <v>0</v>
      </c>
      <c r="L395" s="1225">
        <f>H395+I395-J395</f>
        <v>0</v>
      </c>
      <c r="M395" s="1184" t="e">
        <f>VLOOKUP(C395,'Cash balance (BS)'!A:D,4,)</f>
        <v>#N/A</v>
      </c>
      <c r="N395" s="1225" t="e">
        <f>Table11[[#This Row],[CLOSING BALANCE (VND)2]]-Table11[[#This Row],[CB_BS (VND)]]</f>
        <v>#N/A</v>
      </c>
      <c r="O395" s="1230">
        <v>0</v>
      </c>
      <c r="P395" s="1225">
        <f>O395-Q395</f>
        <v>0</v>
      </c>
      <c r="Q395" s="1285">
        <f>SUMIFS('Cash balance (Prior period)'!G:G,'Cash balance (Prior period)'!C:C,Table11[[#This Row],[ACCOUNT NUMBER]],'Cash balance (Prior period)'!E:E,Table11[[#This Row],[CURRENCY]])</f>
        <v>0</v>
      </c>
      <c r="R395" s="1285">
        <f>SUMIFS(Movement!$F$4:$F$2136,Movement!$M$4:$M$2136,"USD",Movement!$C$4:$C$2136,Table11[[#This Row],[ACCOUNT NUMBER]],Movement!$J$4:$J$2136,Table11[[#This Row],[ENTITY]],Movement!$O$4:$O$2136,'Cash Balance'!$A$2)</f>
        <v>0</v>
      </c>
      <c r="S395" s="1285">
        <f>SUMIFS(Movement!$G$4:$G$2136,Movement!$M$4:$M$2136,"USD",Movement!$C$4:$C$2136,Table11[[#This Row],[ACCOUNT NUMBER]],Movement!$J$4:$J$2136,Table11[[#This Row],[ENTITY]],Movement!$O$4:$O$2136,'Cash Balance'!$A$2)</f>
        <v>0</v>
      </c>
      <c r="T395" s="1236">
        <f>Q395+R395-S395</f>
        <v>0</v>
      </c>
      <c r="U395" s="1285"/>
      <c r="V395" s="1285">
        <f>Table11[[#This Row],[CLOSING BALANCE (USD)]]-Table11[[#This Row],[CB_BS (USD)]]</f>
        <v>0</v>
      </c>
      <c r="W395" s="1156" t="str">
        <f>VLOOKUP('Cash Balance'!$C395,Table2[#All],MATCH('Cash Balance'!W$3,Acc_Char!$B$1:$I$1,0),0)</f>
        <v>Subsidiaries</v>
      </c>
      <c r="X395" s="1156" t="str">
        <f>VLOOKUP(IFERROR(MID($Y395,1,FIND("-",$Y395)-2),$Y395),Table3[#All],2,0)</f>
        <v>VTB</v>
      </c>
      <c r="Y395" s="1156" t="str">
        <f>VLOOKUP($B395,Table4[#All],2,0)</f>
        <v>VIETINBANK - TIEN SON</v>
      </c>
      <c r="Z395" s="1151"/>
      <c r="AA395" s="49"/>
    </row>
    <row r="396" spans="1:27">
      <c r="A396" s="1153" t="str">
        <f>VLOOKUP('Cash Balance'!$C396,Table2[#All],MATCH('Cash Balance'!A$3,Acc_Char!$B$1:$I$1,0),0)</f>
        <v>BWID HAI PHONG</v>
      </c>
      <c r="B396" s="1154" t="str">
        <f>VLOOKUP('Cash Balance'!$C396,Table2[#All],MATCH('Cash Balance'!B$3,Acc_Char!$B$1:$I$1,0),0)</f>
        <v>VIETINBANK - TIEN SON</v>
      </c>
      <c r="C396" s="1190" t="s">
        <v>1002</v>
      </c>
      <c r="D396" s="1156" t="str">
        <f>VLOOKUP('Cash Balance'!$C396,Table2[#All],MATCH('Cash Balance'!D$3,Acc_Char!$B$1:$I$1,0),0)</f>
        <v>Saving Account</v>
      </c>
      <c r="E396" s="384" t="str">
        <f>VLOOKUP('Cash Balance'!$C396,Table2[#All],MATCH('Cash Balance'!E$3,Acc_Char!$B$1:$I$1,0),0)</f>
        <v>VND</v>
      </c>
      <c r="F396" s="1094" t="e">
        <f>VLOOKUP(C396,'Cash balance (BS)'!A:C,3,)</f>
        <v>#N/A</v>
      </c>
      <c r="G396" s="1157" t="e">
        <f t="shared" si="38"/>
        <v>#N/A</v>
      </c>
      <c r="H396" s="1318">
        <f>SUMIFS('Cash balance (Prior period)'!F:F,'Cash balance (Prior period)'!C:C,Table11[[#This Row],[ACCOUNT NUMBER]],'Cash balance (Prior period)'!E:E,Table11[[#This Row],[CURRENCY]])</f>
        <v>0</v>
      </c>
      <c r="I396" s="1318">
        <f>SUMIFS(Movement!$F$4:$F$2136,Movement!$M$4:$M$2136,"VND",Movement!$C$4:$C$2136,Table11[[#This Row],[ACCOUNT NUMBER]],Movement!$J$4:$J$2136,Table11[[#This Row],[ENTITY]],Movement!$O$4:$O$2136,'Cash Balance'!$A$2)</f>
        <v>0</v>
      </c>
      <c r="J396" s="1318">
        <f>SUMIFS(Movement!$G$4:$G$2136,Movement!$M$4:$M$2136,"VND",Movement!$C$4:$C$2136,Table11[[#This Row],[ACCOUNT NUMBER]],Movement!$J$4:$J$2136,Table11[[#This Row],[ENTITY]],Movement!$O$4:$O$2136,'Cash Balance'!$A$2)</f>
        <v>0</v>
      </c>
      <c r="K396" s="1084">
        <f>Table11[[#This Row],[CASH IN - CREDIT (VND)]]-Table11[[#This Row],[CASH OUT - DEBIT (VND)]]</f>
        <v>0</v>
      </c>
      <c r="L396" s="1095">
        <f t="shared" si="39"/>
        <v>0</v>
      </c>
      <c r="M396" s="1184" t="e">
        <f>VLOOKUP(C396,'Cash balance (BS)'!A:D,4,)</f>
        <v>#N/A</v>
      </c>
      <c r="N396" s="1095" t="e">
        <f>Table11[[#This Row],[CLOSING BALANCE (VND)2]]-Table11[[#This Row],[CB_BS (VND)]]</f>
        <v>#N/A</v>
      </c>
      <c r="O396" s="1094">
        <v>0</v>
      </c>
      <c r="P396" s="1095">
        <f t="shared" si="40"/>
        <v>0</v>
      </c>
      <c r="Q396" s="817">
        <f>SUMIFS('Cash balance (Prior period)'!G:G,'Cash balance (Prior period)'!C:C,Table11[[#This Row],[ACCOUNT NUMBER]],'Cash balance (Prior period)'!E:E,Table11[[#This Row],[CURRENCY]])</f>
        <v>0</v>
      </c>
      <c r="R396" s="817">
        <f>SUMIFS(Movement!$F$4:$F$2136,Movement!$M$4:$M$2136,"USD",Movement!$C$4:$C$2136,Table11[[#This Row],[ACCOUNT NUMBER]],Movement!$J$4:$J$2136,Table11[[#This Row],[ENTITY]],Movement!$O$4:$O$2136,'Cash Balance'!$A$2)</f>
        <v>0</v>
      </c>
      <c r="S396" s="817">
        <f>SUMIFS(Movement!$G$4:$G$2136,Movement!$M$4:$M$2136,"USD",Movement!$C$4:$C$2136,Table11[[#This Row],[ACCOUNT NUMBER]],Movement!$J$4:$J$2136,Table11[[#This Row],[ENTITY]],Movement!$O$4:$O$2136,'Cash Balance'!$A$2)</f>
        <v>0</v>
      </c>
      <c r="T396" s="1087">
        <f t="shared" si="41"/>
        <v>0</v>
      </c>
      <c r="U396" s="817"/>
      <c r="V396" s="817">
        <f>Table11[[#This Row],[CLOSING BALANCE (USD)]]-Table11[[#This Row],[CB_BS (USD)]]</f>
        <v>0</v>
      </c>
      <c r="W396" s="1156" t="str">
        <f>VLOOKUP('Cash Balance'!$C396,Table2[#All],MATCH('Cash Balance'!W$3,Acc_Char!$B$1:$I$1,0),0)</f>
        <v>Subsidiaries</v>
      </c>
      <c r="X396" s="1156" t="str">
        <f>VLOOKUP(IFERROR(MID($Y396,1,FIND("-",$Y396)-2),$Y396),Table3[#All],2,0)</f>
        <v>VTB</v>
      </c>
      <c r="Y396" s="1156" t="str">
        <f>VLOOKUP($B396,Table4[#All],2,0)</f>
        <v>VIETINBANK - TIEN SON</v>
      </c>
      <c r="Z396" s="1151"/>
      <c r="AA396" s="49"/>
    </row>
    <row r="397" spans="1:27">
      <c r="A397" s="1153" t="str">
        <f>VLOOKUP('Cash Balance'!$C397,Table2[#All],MATCH('Cash Balance'!A$3,Acc_Char!$B$1:$I$1,0),0)</f>
        <v>HOLDCO N4D</v>
      </c>
      <c r="B397" s="1154" t="str">
        <f>VLOOKUP('Cash Balance'!$C397,Table2[#All],MATCH('Cash Balance'!B$3,Acc_Char!$B$1:$I$1,0),0)</f>
        <v>VIETINBANK - TIEN SON</v>
      </c>
      <c r="C397" s="1190" t="s">
        <v>1003</v>
      </c>
      <c r="D397" s="1156" t="str">
        <f>VLOOKUP('Cash Balance'!$C397,Table2[#All],MATCH('Cash Balance'!D$3,Acc_Char!$B$1:$I$1,0),0)</f>
        <v>Saving Account</v>
      </c>
      <c r="E397" s="384" t="str">
        <f>VLOOKUP('Cash Balance'!$C397,Table2[#All],MATCH('Cash Balance'!E$3,Acc_Char!$B$1:$I$1,0),0)</f>
        <v>VND</v>
      </c>
      <c r="F397" s="1094" t="e">
        <f>VLOOKUP(C397,'Cash balance (BS)'!A:C,3,)</f>
        <v>#N/A</v>
      </c>
      <c r="G397" s="1157" t="e">
        <f t="shared" si="38"/>
        <v>#N/A</v>
      </c>
      <c r="H397" s="1318">
        <f>SUMIFS('Cash balance (Prior period)'!F:F,'Cash balance (Prior period)'!C:C,Table11[[#This Row],[ACCOUNT NUMBER]],'Cash balance (Prior period)'!E:E,Table11[[#This Row],[CURRENCY]])</f>
        <v>900000000</v>
      </c>
      <c r="I397" s="1318">
        <f>SUMIFS(Movement!$F$4:$F$2136,Movement!$M$4:$M$2136,"VND",Movement!$C$4:$C$2136,Table11[[#This Row],[ACCOUNT NUMBER]],Movement!$J$4:$J$2136,Table11[[#This Row],[ENTITY]],Movement!$O$4:$O$2136,'Cash Balance'!$A$2)</f>
        <v>0</v>
      </c>
      <c r="J397" s="1318">
        <f>SUMIFS(Movement!$G$4:$G$2136,Movement!$M$4:$M$2136,"VND",Movement!$C$4:$C$2136,Table11[[#This Row],[ACCOUNT NUMBER]],Movement!$J$4:$J$2136,Table11[[#This Row],[ENTITY]],Movement!$O$4:$O$2136,'Cash Balance'!$A$2)</f>
        <v>0</v>
      </c>
      <c r="K397" s="1084">
        <f>Table11[[#This Row],[CASH IN - CREDIT (VND)]]-Table11[[#This Row],[CASH OUT - DEBIT (VND)]]</f>
        <v>0</v>
      </c>
      <c r="L397" s="1095">
        <f t="shared" si="39"/>
        <v>900000000</v>
      </c>
      <c r="M397" s="1184" t="e">
        <f>VLOOKUP(C397,'Cash balance (BS)'!A:D,4,)</f>
        <v>#N/A</v>
      </c>
      <c r="N397" s="1095" t="e">
        <f>Table11[[#This Row],[CLOSING BALANCE (VND)2]]-Table11[[#This Row],[CB_BS (VND)]]</f>
        <v>#N/A</v>
      </c>
      <c r="O397" s="1094">
        <v>0</v>
      </c>
      <c r="P397" s="1095">
        <f t="shared" si="40"/>
        <v>0</v>
      </c>
      <c r="Q397" s="817">
        <f>SUMIFS('Cash balance (Prior period)'!G:G,'Cash balance (Prior period)'!C:C,Table11[[#This Row],[ACCOUNT NUMBER]],'Cash balance (Prior period)'!E:E,Table11[[#This Row],[CURRENCY]])</f>
        <v>0</v>
      </c>
      <c r="R397" s="817">
        <f>SUMIFS(Movement!$F$4:$F$2136,Movement!$M$4:$M$2136,"USD",Movement!$C$4:$C$2136,Table11[[#This Row],[ACCOUNT NUMBER]],Movement!$J$4:$J$2136,Table11[[#This Row],[ENTITY]],Movement!$O$4:$O$2136,'Cash Balance'!$A$2)</f>
        <v>0</v>
      </c>
      <c r="S397" s="817">
        <f>SUMIFS(Movement!$G$4:$G$2136,Movement!$M$4:$M$2136,"USD",Movement!$C$4:$C$2136,Table11[[#This Row],[ACCOUNT NUMBER]],Movement!$J$4:$J$2136,Table11[[#This Row],[ENTITY]],Movement!$O$4:$O$2136,'Cash Balance'!$A$2)</f>
        <v>0</v>
      </c>
      <c r="T397" s="1087">
        <f t="shared" si="41"/>
        <v>0</v>
      </c>
      <c r="U397" s="817"/>
      <c r="V397" s="817">
        <f>Table11[[#This Row],[CLOSING BALANCE (USD)]]-Table11[[#This Row],[CB_BS (USD)]]</f>
        <v>0</v>
      </c>
      <c r="W397" s="1156" t="str">
        <f>VLOOKUP('Cash Balance'!$C397,Table2[#All],MATCH('Cash Balance'!W$3,Acc_Char!$B$1:$I$1,0),0)</f>
        <v>Subsidiaries</v>
      </c>
      <c r="X397" s="1156" t="str">
        <f>VLOOKUP(IFERROR(MID($Y397,1,FIND("-",$Y397)-2),$Y397),Table3[#All],2,0)</f>
        <v>VTB</v>
      </c>
      <c r="Y397" s="1156" t="str">
        <f>VLOOKUP($B397,Table4[#All],2,0)</f>
        <v>VIETINBANK - TIEN SON</v>
      </c>
      <c r="Z397" s="1151"/>
      <c r="AA397" s="49"/>
    </row>
    <row r="398" spans="1:27">
      <c r="A398" s="1153" t="str">
        <f>VLOOKUP('Cash Balance'!$C398,Table2[#All],MATCH('Cash Balance'!A$3,Acc_Char!$B$1:$I$1,0),0)</f>
        <v>HOLDCO N4E</v>
      </c>
      <c r="B398" s="1154" t="str">
        <f>VLOOKUP('Cash Balance'!$C398,Table2[#All],MATCH('Cash Balance'!B$3,Acc_Char!$B$1:$I$1,0),0)</f>
        <v>VIETINBANK - TIEN SON</v>
      </c>
      <c r="C398" s="1190" t="s">
        <v>1004</v>
      </c>
      <c r="D398" s="1156" t="str">
        <f>VLOOKUP('Cash Balance'!$C398,Table2[#All],MATCH('Cash Balance'!D$3,Acc_Char!$B$1:$I$1,0),0)</f>
        <v>Saving Account</v>
      </c>
      <c r="E398" s="384" t="str">
        <f>VLOOKUP('Cash Balance'!$C398,Table2[#All],MATCH('Cash Balance'!E$3,Acc_Char!$B$1:$I$1,0),0)</f>
        <v>VND</v>
      </c>
      <c r="F398" s="1094" t="e">
        <f>VLOOKUP(C398,'Cash balance (BS)'!A:C,3,)</f>
        <v>#N/A</v>
      </c>
      <c r="G398" s="1157" t="e">
        <f t="shared" si="38"/>
        <v>#N/A</v>
      </c>
      <c r="H398" s="1318">
        <f>SUMIFS('Cash balance (Prior period)'!F:F,'Cash balance (Prior period)'!C:C,Table11[[#This Row],[ACCOUNT NUMBER]],'Cash balance (Prior period)'!E:E,Table11[[#This Row],[CURRENCY]])</f>
        <v>900000000</v>
      </c>
      <c r="I398" s="1318">
        <f>SUMIFS(Movement!$F$4:$F$2136,Movement!$M$4:$M$2136,"VND",Movement!$C$4:$C$2136,Table11[[#This Row],[ACCOUNT NUMBER]],Movement!$J$4:$J$2136,Table11[[#This Row],[ENTITY]],Movement!$O$4:$O$2136,'Cash Balance'!$A$2)</f>
        <v>0</v>
      </c>
      <c r="J398" s="1318">
        <f>SUMIFS(Movement!$G$4:$G$2136,Movement!$M$4:$M$2136,"VND",Movement!$C$4:$C$2136,Table11[[#This Row],[ACCOUNT NUMBER]],Movement!$J$4:$J$2136,Table11[[#This Row],[ENTITY]],Movement!$O$4:$O$2136,'Cash Balance'!$A$2)</f>
        <v>0</v>
      </c>
      <c r="K398" s="1084">
        <f>Table11[[#This Row],[CASH IN - CREDIT (VND)]]-Table11[[#This Row],[CASH OUT - DEBIT (VND)]]</f>
        <v>0</v>
      </c>
      <c r="L398" s="1095">
        <f t="shared" si="39"/>
        <v>900000000</v>
      </c>
      <c r="M398" s="1184" t="e">
        <f>VLOOKUP(C398,'Cash balance (BS)'!A:D,4,)</f>
        <v>#N/A</v>
      </c>
      <c r="N398" s="1095" t="e">
        <f>Table11[[#This Row],[CLOSING BALANCE (VND)2]]-Table11[[#This Row],[CB_BS (VND)]]</f>
        <v>#N/A</v>
      </c>
      <c r="O398" s="1094">
        <v>0</v>
      </c>
      <c r="P398" s="1095">
        <f t="shared" si="40"/>
        <v>0</v>
      </c>
      <c r="Q398" s="817">
        <f>SUMIFS('Cash balance (Prior period)'!G:G,'Cash balance (Prior period)'!C:C,Table11[[#This Row],[ACCOUNT NUMBER]],'Cash balance (Prior period)'!E:E,Table11[[#This Row],[CURRENCY]])</f>
        <v>0</v>
      </c>
      <c r="R398" s="817">
        <f>SUMIFS(Movement!$F$4:$F$2136,Movement!$M$4:$M$2136,"USD",Movement!$C$4:$C$2136,Table11[[#This Row],[ACCOUNT NUMBER]],Movement!$J$4:$J$2136,Table11[[#This Row],[ENTITY]],Movement!$O$4:$O$2136,'Cash Balance'!$A$2)</f>
        <v>0</v>
      </c>
      <c r="S398" s="817">
        <f>SUMIFS(Movement!$G$4:$G$2136,Movement!$M$4:$M$2136,"USD",Movement!$C$4:$C$2136,Table11[[#This Row],[ACCOUNT NUMBER]],Movement!$J$4:$J$2136,Table11[[#This Row],[ENTITY]],Movement!$O$4:$O$2136,'Cash Balance'!$A$2)</f>
        <v>0</v>
      </c>
      <c r="T398" s="1087">
        <f t="shared" si="41"/>
        <v>0</v>
      </c>
      <c r="U398" s="817"/>
      <c r="V398" s="817">
        <f>Table11[[#This Row],[CLOSING BALANCE (USD)]]-Table11[[#This Row],[CB_BS (USD)]]</f>
        <v>0</v>
      </c>
      <c r="W398" s="1156" t="str">
        <f>VLOOKUP('Cash Balance'!$C398,Table2[#All],MATCH('Cash Balance'!W$3,Acc_Char!$B$1:$I$1,0),0)</f>
        <v>Subsidiaries</v>
      </c>
      <c r="X398" s="1156" t="str">
        <f>VLOOKUP(IFERROR(MID($Y398,1,FIND("-",$Y398)-2),$Y398),Table3[#All],2,0)</f>
        <v>VTB</v>
      </c>
      <c r="Y398" s="1156" t="str">
        <f>VLOOKUP($B398,Table4[#All],2,0)</f>
        <v>VIETINBANK - TIEN SON</v>
      </c>
      <c r="Z398" s="1151"/>
      <c r="AA398" s="49"/>
    </row>
    <row r="399" spans="1:27">
      <c r="A399" s="1153" t="str">
        <f>VLOOKUP('Cash Balance'!$C399,Table2[#All],MATCH('Cash Balance'!A$3,Acc_Char!$B$1:$I$1,0),0)</f>
        <v>HOLDCO N4A</v>
      </c>
      <c r="B399" s="1154" t="str">
        <f>VLOOKUP('Cash Balance'!$C399,Table2[#All],MATCH('Cash Balance'!B$3,Acc_Char!$B$1:$I$1,0),0)</f>
        <v>VIETINBANK - TIEN SON</v>
      </c>
      <c r="C399" s="1190" t="s">
        <v>1005</v>
      </c>
      <c r="D399" s="1156" t="str">
        <f>VLOOKUP('Cash Balance'!$C399,Table2[#All],MATCH('Cash Balance'!D$3,Acc_Char!$B$1:$I$1,0),0)</f>
        <v>Saving Account</v>
      </c>
      <c r="E399" s="384" t="str">
        <f>VLOOKUP('Cash Balance'!$C399,Table2[#All],MATCH('Cash Balance'!E$3,Acc_Char!$B$1:$I$1,0),0)</f>
        <v>VND</v>
      </c>
      <c r="F399" s="1094" t="e">
        <f>VLOOKUP(C399,'Cash balance (BS)'!A:C,3,)</f>
        <v>#N/A</v>
      </c>
      <c r="G399" s="1157" t="e">
        <f t="shared" si="38"/>
        <v>#N/A</v>
      </c>
      <c r="H399" s="1318">
        <f>SUMIFS('Cash balance (Prior period)'!F:F,'Cash balance (Prior period)'!C:C,Table11[[#This Row],[ACCOUNT NUMBER]],'Cash balance (Prior period)'!E:E,Table11[[#This Row],[CURRENCY]])</f>
        <v>900000000</v>
      </c>
      <c r="I399" s="1318">
        <f>SUMIFS(Movement!$F$4:$F$2136,Movement!$M$4:$M$2136,"VND",Movement!$C$4:$C$2136,Table11[[#This Row],[ACCOUNT NUMBER]],Movement!$J$4:$J$2136,Table11[[#This Row],[ENTITY]],Movement!$O$4:$O$2136,'Cash Balance'!$A$2)</f>
        <v>0</v>
      </c>
      <c r="J399" s="1318">
        <f>SUMIFS(Movement!$G$4:$G$2136,Movement!$M$4:$M$2136,"VND",Movement!$C$4:$C$2136,Table11[[#This Row],[ACCOUNT NUMBER]],Movement!$J$4:$J$2136,Table11[[#This Row],[ENTITY]],Movement!$O$4:$O$2136,'Cash Balance'!$A$2)</f>
        <v>0</v>
      </c>
      <c r="K399" s="1084">
        <f>Table11[[#This Row],[CASH IN - CREDIT (VND)]]-Table11[[#This Row],[CASH OUT - DEBIT (VND)]]</f>
        <v>0</v>
      </c>
      <c r="L399" s="1095">
        <f t="shared" si="39"/>
        <v>900000000</v>
      </c>
      <c r="M399" s="1184" t="e">
        <f>VLOOKUP(C399,'Cash balance (BS)'!A:D,4,)</f>
        <v>#N/A</v>
      </c>
      <c r="N399" s="1095" t="e">
        <f>Table11[[#This Row],[CLOSING BALANCE (VND)2]]-Table11[[#This Row],[CB_BS (VND)]]</f>
        <v>#N/A</v>
      </c>
      <c r="O399" s="1094">
        <v>0</v>
      </c>
      <c r="P399" s="1095">
        <f t="shared" si="40"/>
        <v>0</v>
      </c>
      <c r="Q399" s="817">
        <f>SUMIFS('Cash balance (Prior period)'!G:G,'Cash balance (Prior period)'!C:C,Table11[[#This Row],[ACCOUNT NUMBER]],'Cash balance (Prior period)'!E:E,Table11[[#This Row],[CURRENCY]])</f>
        <v>0</v>
      </c>
      <c r="R399" s="817">
        <f>SUMIFS(Movement!$F$4:$F$2136,Movement!$M$4:$M$2136,"USD",Movement!$C$4:$C$2136,Table11[[#This Row],[ACCOUNT NUMBER]],Movement!$J$4:$J$2136,Table11[[#This Row],[ENTITY]],Movement!$O$4:$O$2136,'Cash Balance'!$A$2)</f>
        <v>0</v>
      </c>
      <c r="S399" s="817">
        <f>SUMIFS(Movement!$G$4:$G$2136,Movement!$M$4:$M$2136,"USD",Movement!$C$4:$C$2136,Table11[[#This Row],[ACCOUNT NUMBER]],Movement!$J$4:$J$2136,Table11[[#This Row],[ENTITY]],Movement!$O$4:$O$2136,'Cash Balance'!$A$2)</f>
        <v>0</v>
      </c>
      <c r="T399" s="1087">
        <f t="shared" si="41"/>
        <v>0</v>
      </c>
      <c r="U399" s="817"/>
      <c r="V399" s="817">
        <f>Table11[[#This Row],[CLOSING BALANCE (USD)]]-Table11[[#This Row],[CB_BS (USD)]]</f>
        <v>0</v>
      </c>
      <c r="W399" s="1156" t="str">
        <f>VLOOKUP('Cash Balance'!$C399,Table2[#All],MATCH('Cash Balance'!W$3,Acc_Char!$B$1:$I$1,0),0)</f>
        <v>Subsidiaries</v>
      </c>
      <c r="X399" s="1156" t="str">
        <f>VLOOKUP(IFERROR(MID($Y399,1,FIND("-",$Y399)-2),$Y399),Table3[#All],2,0)</f>
        <v>VTB</v>
      </c>
      <c r="Y399" s="1156" t="str">
        <f>VLOOKUP($B399,Table4[#All],2,0)</f>
        <v>VIETINBANK - TIEN SON</v>
      </c>
      <c r="Z399" s="1151"/>
      <c r="AA399" s="49"/>
    </row>
    <row r="400" spans="1:27">
      <c r="A400" s="1153" t="str">
        <f>VLOOKUP('Cash Balance'!$C400,Table2[#All],MATCH('Cash Balance'!A$3,Acc_Char!$B$1:$I$1,0),0)</f>
        <v>HOLDCO N4C</v>
      </c>
      <c r="B400" s="1154" t="str">
        <f>VLOOKUP('Cash Balance'!$C400,Table2[#All],MATCH('Cash Balance'!B$3,Acc_Char!$B$1:$I$1,0),0)</f>
        <v>VIETINBANK - TIEN SON</v>
      </c>
      <c r="C400" s="1190" t="s">
        <v>1006</v>
      </c>
      <c r="D400" s="1156" t="str">
        <f>VLOOKUP('Cash Balance'!$C400,Table2[#All],MATCH('Cash Balance'!D$3,Acc_Char!$B$1:$I$1,0),0)</f>
        <v>Saving Account</v>
      </c>
      <c r="E400" s="384" t="str">
        <f>VLOOKUP('Cash Balance'!$C400,Table2[#All],MATCH('Cash Balance'!E$3,Acc_Char!$B$1:$I$1,0),0)</f>
        <v>VND</v>
      </c>
      <c r="F400" s="1094" t="e">
        <f>VLOOKUP(C400,'Cash balance (BS)'!A:C,3,)</f>
        <v>#N/A</v>
      </c>
      <c r="G400" s="1157" t="e">
        <f t="shared" si="38"/>
        <v>#N/A</v>
      </c>
      <c r="H400" s="1318">
        <f>SUMIFS('Cash balance (Prior period)'!F:F,'Cash balance (Prior period)'!C:C,Table11[[#This Row],[ACCOUNT NUMBER]],'Cash balance (Prior period)'!E:E,Table11[[#This Row],[CURRENCY]])</f>
        <v>900000000</v>
      </c>
      <c r="I400" s="1318">
        <f>SUMIFS(Movement!$F$4:$F$2136,Movement!$M$4:$M$2136,"VND",Movement!$C$4:$C$2136,Table11[[#This Row],[ACCOUNT NUMBER]],Movement!$J$4:$J$2136,Table11[[#This Row],[ENTITY]],Movement!$O$4:$O$2136,'Cash Balance'!$A$2)</f>
        <v>0</v>
      </c>
      <c r="J400" s="1318">
        <f>SUMIFS(Movement!$G$4:$G$2136,Movement!$M$4:$M$2136,"VND",Movement!$C$4:$C$2136,Table11[[#This Row],[ACCOUNT NUMBER]],Movement!$J$4:$J$2136,Table11[[#This Row],[ENTITY]],Movement!$O$4:$O$2136,'Cash Balance'!$A$2)</f>
        <v>0</v>
      </c>
      <c r="K400" s="1084">
        <f>Table11[[#This Row],[CASH IN - CREDIT (VND)]]-Table11[[#This Row],[CASH OUT - DEBIT (VND)]]</f>
        <v>0</v>
      </c>
      <c r="L400" s="1095">
        <f t="shared" si="39"/>
        <v>900000000</v>
      </c>
      <c r="M400" s="1184" t="e">
        <f>VLOOKUP(C400,'Cash balance (BS)'!A:D,4,)</f>
        <v>#N/A</v>
      </c>
      <c r="N400" s="1095" t="e">
        <f>Table11[[#This Row],[CLOSING BALANCE (VND)2]]-Table11[[#This Row],[CB_BS (VND)]]</f>
        <v>#N/A</v>
      </c>
      <c r="O400" s="1094">
        <v>0</v>
      </c>
      <c r="P400" s="1095">
        <f t="shared" si="40"/>
        <v>0</v>
      </c>
      <c r="Q400" s="817">
        <f>SUMIFS('Cash balance (Prior period)'!G:G,'Cash balance (Prior period)'!C:C,Table11[[#This Row],[ACCOUNT NUMBER]],'Cash balance (Prior period)'!E:E,Table11[[#This Row],[CURRENCY]])</f>
        <v>0</v>
      </c>
      <c r="R400" s="817">
        <f>SUMIFS(Movement!$F$4:$F$2136,Movement!$M$4:$M$2136,"USD",Movement!$C$4:$C$2136,Table11[[#This Row],[ACCOUNT NUMBER]],Movement!$J$4:$J$2136,Table11[[#This Row],[ENTITY]],Movement!$O$4:$O$2136,'Cash Balance'!$A$2)</f>
        <v>0</v>
      </c>
      <c r="S400" s="817">
        <f>SUMIFS(Movement!$G$4:$G$2136,Movement!$M$4:$M$2136,"USD",Movement!$C$4:$C$2136,Table11[[#This Row],[ACCOUNT NUMBER]],Movement!$J$4:$J$2136,Table11[[#This Row],[ENTITY]],Movement!$O$4:$O$2136,'Cash Balance'!$A$2)</f>
        <v>0</v>
      </c>
      <c r="T400" s="1087">
        <f t="shared" si="41"/>
        <v>0</v>
      </c>
      <c r="U400" s="817"/>
      <c r="V400" s="817">
        <f>Table11[[#This Row],[CLOSING BALANCE (USD)]]-Table11[[#This Row],[CB_BS (USD)]]</f>
        <v>0</v>
      </c>
      <c r="W400" s="1156" t="str">
        <f>VLOOKUP('Cash Balance'!$C400,Table2[#All],MATCH('Cash Balance'!W$3,Acc_Char!$B$1:$I$1,0),0)</f>
        <v>Subsidiaries</v>
      </c>
      <c r="X400" s="1156" t="str">
        <f>VLOOKUP(IFERROR(MID($Y400,1,FIND("-",$Y400)-2),$Y400),Table3[#All],2,0)</f>
        <v>VTB</v>
      </c>
      <c r="Y400" s="1156" t="str">
        <f>VLOOKUP($B400,Table4[#All],2,0)</f>
        <v>VIETINBANK - TIEN SON</v>
      </c>
      <c r="Z400" s="1151"/>
      <c r="AA400" s="49"/>
    </row>
    <row r="401" spans="1:27">
      <c r="A401" s="1153" t="str">
        <f>VLOOKUP('Cash Balance'!$C401,Table2[#All],MATCH('Cash Balance'!A$3,Acc_Char!$B$1:$I$1,0),0)</f>
        <v>HOLDCO N4B</v>
      </c>
      <c r="B401" s="1154" t="str">
        <f>VLOOKUP('Cash Balance'!$C401,Table2[#All],MATCH('Cash Balance'!B$3,Acc_Char!$B$1:$I$1,0),0)</f>
        <v>VIETINBANK - TIEN SON</v>
      </c>
      <c r="C401" s="1190" t="s">
        <v>1007</v>
      </c>
      <c r="D401" s="1156" t="str">
        <f>VLOOKUP('Cash Balance'!$C401,Table2[#All],MATCH('Cash Balance'!D$3,Acc_Char!$B$1:$I$1,0),0)</f>
        <v>Saving Account</v>
      </c>
      <c r="E401" s="384" t="str">
        <f>VLOOKUP('Cash Balance'!$C401,Table2[#All],MATCH('Cash Balance'!E$3,Acc_Char!$B$1:$I$1,0),0)</f>
        <v>VND</v>
      </c>
      <c r="F401" s="1094" t="e">
        <f>VLOOKUP(C401,'Cash balance (BS)'!A:C,3,)</f>
        <v>#N/A</v>
      </c>
      <c r="G401" s="1157" t="e">
        <f t="shared" si="38"/>
        <v>#N/A</v>
      </c>
      <c r="H401" s="1318">
        <f>SUMIFS('Cash balance (Prior period)'!F:F,'Cash balance (Prior period)'!C:C,Table11[[#This Row],[ACCOUNT NUMBER]],'Cash balance (Prior period)'!E:E,Table11[[#This Row],[CURRENCY]])</f>
        <v>900000000</v>
      </c>
      <c r="I401" s="1318">
        <f>SUMIFS(Movement!$F$4:$F$2136,Movement!$M$4:$M$2136,"VND",Movement!$C$4:$C$2136,Table11[[#This Row],[ACCOUNT NUMBER]],Movement!$J$4:$J$2136,Table11[[#This Row],[ENTITY]],Movement!$O$4:$O$2136,'Cash Balance'!$A$2)</f>
        <v>0</v>
      </c>
      <c r="J401" s="1318">
        <f>SUMIFS(Movement!$G$4:$G$2136,Movement!$M$4:$M$2136,"VND",Movement!$C$4:$C$2136,Table11[[#This Row],[ACCOUNT NUMBER]],Movement!$J$4:$J$2136,Table11[[#This Row],[ENTITY]],Movement!$O$4:$O$2136,'Cash Balance'!$A$2)</f>
        <v>0</v>
      </c>
      <c r="K401" s="1084">
        <f>Table11[[#This Row],[CASH IN - CREDIT (VND)]]-Table11[[#This Row],[CASH OUT - DEBIT (VND)]]</f>
        <v>0</v>
      </c>
      <c r="L401" s="1095">
        <f t="shared" si="39"/>
        <v>900000000</v>
      </c>
      <c r="M401" s="1184" t="e">
        <f>VLOOKUP(C401,'Cash balance (BS)'!A:D,4,)</f>
        <v>#N/A</v>
      </c>
      <c r="N401" s="1095" t="e">
        <f>Table11[[#This Row],[CLOSING BALANCE (VND)2]]-Table11[[#This Row],[CB_BS (VND)]]</f>
        <v>#N/A</v>
      </c>
      <c r="O401" s="1094">
        <v>0</v>
      </c>
      <c r="P401" s="1095">
        <f t="shared" si="40"/>
        <v>0</v>
      </c>
      <c r="Q401" s="817">
        <f>SUMIFS('Cash balance (Prior period)'!G:G,'Cash balance (Prior period)'!C:C,Table11[[#This Row],[ACCOUNT NUMBER]],'Cash balance (Prior period)'!E:E,Table11[[#This Row],[CURRENCY]])</f>
        <v>0</v>
      </c>
      <c r="R401" s="817">
        <f>SUMIFS(Movement!$F$4:$F$2136,Movement!$M$4:$M$2136,"USD",Movement!$C$4:$C$2136,Table11[[#This Row],[ACCOUNT NUMBER]],Movement!$J$4:$J$2136,Table11[[#This Row],[ENTITY]],Movement!$O$4:$O$2136,'Cash Balance'!$A$2)</f>
        <v>0</v>
      </c>
      <c r="S401" s="817">
        <f>SUMIFS(Movement!$G$4:$G$2136,Movement!$M$4:$M$2136,"USD",Movement!$C$4:$C$2136,Table11[[#This Row],[ACCOUNT NUMBER]],Movement!$J$4:$J$2136,Table11[[#This Row],[ENTITY]],Movement!$O$4:$O$2136,'Cash Balance'!$A$2)</f>
        <v>0</v>
      </c>
      <c r="T401" s="1087">
        <f t="shared" si="41"/>
        <v>0</v>
      </c>
      <c r="U401" s="817"/>
      <c r="V401" s="817">
        <f>Table11[[#This Row],[CLOSING BALANCE (USD)]]-Table11[[#This Row],[CB_BS (USD)]]</f>
        <v>0</v>
      </c>
      <c r="W401" s="1156" t="str">
        <f>VLOOKUP('Cash Balance'!$C401,Table2[#All],MATCH('Cash Balance'!W$3,Acc_Char!$B$1:$I$1,0),0)</f>
        <v>Subsidiaries</v>
      </c>
      <c r="X401" s="1156" t="str">
        <f>VLOOKUP(IFERROR(MID($Y401,1,FIND("-",$Y401)-2),$Y401),Table3[#All],2,0)</f>
        <v>VTB</v>
      </c>
      <c r="Y401" s="1156" t="str">
        <f>VLOOKUP($B401,Table4[#All],2,0)</f>
        <v>VIETINBANK - TIEN SON</v>
      </c>
      <c r="Z401" s="1151"/>
      <c r="AA401" s="49"/>
    </row>
    <row r="402" spans="1:27">
      <c r="A402" s="1153" t="str">
        <f>VLOOKUP('Cash Balance'!$C402,Table2[#All],MATCH('Cash Balance'!A$3,Acc_Char!$B$1:$I$1,0),0)</f>
        <v>BW NAM DINH VU</v>
      </c>
      <c r="B402" s="1154" t="str">
        <f>VLOOKUP('Cash Balance'!$C402,Table2[#All],MATCH('Cash Balance'!B$3,Acc_Char!$B$1:$I$1,0),0)</f>
        <v>BIDV - LONG BIEN</v>
      </c>
      <c r="C402" s="1190" t="s">
        <v>1008</v>
      </c>
      <c r="D402" s="1156" t="str">
        <f>VLOOKUP('Cash Balance'!$C402,Table2[#All],MATCH('Cash Balance'!D$3,Acc_Char!$B$1:$I$1,0),0)</f>
        <v>Saving Account</v>
      </c>
      <c r="E402" s="384" t="str">
        <f>VLOOKUP('Cash Balance'!$C402,Table2[#All],MATCH('Cash Balance'!E$3,Acc_Char!$B$1:$I$1,0),0)</f>
        <v>VND</v>
      </c>
      <c r="F402" s="1094" t="e">
        <f>VLOOKUP(C402,'Cash balance (BS)'!A:C,3,)</f>
        <v>#N/A</v>
      </c>
      <c r="G402" s="1157" t="e">
        <f t="shared" si="38"/>
        <v>#N/A</v>
      </c>
      <c r="H402" s="1318">
        <f>SUMIFS('Cash balance (Prior period)'!F:F,'Cash balance (Prior period)'!C:C,Table11[[#This Row],[ACCOUNT NUMBER]],'Cash balance (Prior period)'!E:E,Table11[[#This Row],[CURRENCY]])</f>
        <v>0</v>
      </c>
      <c r="I402" s="1318">
        <f>SUMIFS(Movement!$F$4:$F$2136,Movement!$M$4:$M$2136,"VND",Movement!$C$4:$C$2136,Table11[[#This Row],[ACCOUNT NUMBER]],Movement!$J$4:$J$2136,Table11[[#This Row],[ENTITY]],Movement!$O$4:$O$2136,'Cash Balance'!$A$2)</f>
        <v>0</v>
      </c>
      <c r="J402" s="1318">
        <f>SUMIFS(Movement!$G$4:$G$2136,Movement!$M$4:$M$2136,"VND",Movement!$C$4:$C$2136,Table11[[#This Row],[ACCOUNT NUMBER]],Movement!$J$4:$J$2136,Table11[[#This Row],[ENTITY]],Movement!$O$4:$O$2136,'Cash Balance'!$A$2)</f>
        <v>0</v>
      </c>
      <c r="K402" s="1084">
        <f>Table11[[#This Row],[CASH IN - CREDIT (VND)]]-Table11[[#This Row],[CASH OUT - DEBIT (VND)]]</f>
        <v>0</v>
      </c>
      <c r="L402" s="1095">
        <f t="shared" si="39"/>
        <v>0</v>
      </c>
      <c r="M402" s="1184" t="e">
        <f>VLOOKUP(C402,'Cash balance (BS)'!A:D,4,)</f>
        <v>#N/A</v>
      </c>
      <c r="N402" s="1095" t="e">
        <f>Table11[[#This Row],[CLOSING BALANCE (VND)2]]-Table11[[#This Row],[CB_BS (VND)]]</f>
        <v>#N/A</v>
      </c>
      <c r="O402" s="1094">
        <v>0</v>
      </c>
      <c r="P402" s="1095">
        <f t="shared" si="40"/>
        <v>0</v>
      </c>
      <c r="Q402" s="817">
        <f>SUMIFS('Cash balance (Prior period)'!G:G,'Cash balance (Prior period)'!C:C,Table11[[#This Row],[ACCOUNT NUMBER]],'Cash balance (Prior period)'!E:E,Table11[[#This Row],[CURRENCY]])</f>
        <v>0</v>
      </c>
      <c r="R402" s="817">
        <f>SUMIFS(Movement!$F$4:$F$2136,Movement!$M$4:$M$2136,"USD",Movement!$C$4:$C$2136,Table11[[#This Row],[ACCOUNT NUMBER]],Movement!$J$4:$J$2136,Table11[[#This Row],[ENTITY]],Movement!$O$4:$O$2136,'Cash Balance'!$A$2)</f>
        <v>0</v>
      </c>
      <c r="S402" s="817">
        <f>SUMIFS(Movement!$G$4:$G$2136,Movement!$M$4:$M$2136,"USD",Movement!$C$4:$C$2136,Table11[[#This Row],[ACCOUNT NUMBER]],Movement!$J$4:$J$2136,Table11[[#This Row],[ENTITY]],Movement!$O$4:$O$2136,'Cash Balance'!$A$2)</f>
        <v>0</v>
      </c>
      <c r="T402" s="1087">
        <f t="shared" si="41"/>
        <v>0</v>
      </c>
      <c r="U402" s="817"/>
      <c r="V402" s="817">
        <f>Table11[[#This Row],[CLOSING BALANCE (USD)]]-Table11[[#This Row],[CB_BS (USD)]]</f>
        <v>0</v>
      </c>
      <c r="W402" s="1156" t="str">
        <f>VLOOKUP('Cash Balance'!$C402,Table2[#All],MATCH('Cash Balance'!W$3,Acc_Char!$B$1:$I$1,0),0)</f>
        <v>Subsidiaries</v>
      </c>
      <c r="X402" s="1156" t="str">
        <f>VLOOKUP(IFERROR(MID($Y402,1,FIND("-",$Y402)-2),$Y402),Table3[#All],2,0)</f>
        <v>BIDV</v>
      </c>
      <c r="Y402" s="1156" t="str">
        <f>VLOOKUP($B402,Table4[#All],2,0)</f>
        <v>BIDV - LONG BIEN</v>
      </c>
      <c r="Z402" s="1151"/>
      <c r="AA402" s="49"/>
    </row>
    <row r="403" spans="1:27">
      <c r="A403" s="1153" t="str">
        <f>VLOOKUP('Cash Balance'!$C403,Table2[#All],MATCH('Cash Balance'!A$3,Acc_Char!$B$1:$I$1,0),0)</f>
        <v>BWID BINH DUONG</v>
      </c>
      <c r="B403" s="1154" t="str">
        <f>VLOOKUP('Cash Balance'!$C403,Table2[#All],MATCH('Cash Balance'!B$3,Acc_Char!$B$1:$I$1,0),0)</f>
        <v>SINOPAC</v>
      </c>
      <c r="C403" s="1190" t="s">
        <v>1009</v>
      </c>
      <c r="D403" s="1156" t="str">
        <f>VLOOKUP('Cash Balance'!$C403,Table2[#All],MATCH('Cash Balance'!D$3,Acc_Char!$B$1:$I$1,0),0)</f>
        <v>Current Account</v>
      </c>
      <c r="E403" s="384" t="str">
        <f>VLOOKUP('Cash Balance'!$C403,Table2[#All],MATCH('Cash Balance'!E$3,Acc_Char!$B$1:$I$1,0),0)</f>
        <v>USD</v>
      </c>
      <c r="F403" s="1094" t="e">
        <f>VLOOKUP(C403,'Cash balance (BS)'!A:C,3,)</f>
        <v>#N/A</v>
      </c>
      <c r="G403" s="1157" t="e">
        <f t="shared" si="38"/>
        <v>#N/A</v>
      </c>
      <c r="H403" s="1318">
        <f>SUMIFS('Cash balance (Prior period)'!F:F,'Cash balance (Prior period)'!C:C,Table11[[#This Row],[ACCOUNT NUMBER]],'Cash balance (Prior period)'!E:E,Table11[[#This Row],[CURRENCY]])</f>
        <v>0</v>
      </c>
      <c r="I403" s="1318">
        <f>SUMIFS(Movement!$F$4:$F$2136,Movement!$M$4:$M$2136,"VND",Movement!$C$4:$C$2136,Table11[[#This Row],[ACCOUNT NUMBER]],Movement!$J$4:$J$2136,Table11[[#This Row],[ENTITY]],Movement!$O$4:$O$2136,'Cash Balance'!$A$2)</f>
        <v>0</v>
      </c>
      <c r="J403" s="1318">
        <f>SUMIFS(Movement!$G$4:$G$2136,Movement!$M$4:$M$2136,"VND",Movement!$C$4:$C$2136,Table11[[#This Row],[ACCOUNT NUMBER]],Movement!$J$4:$J$2136,Table11[[#This Row],[ENTITY]],Movement!$O$4:$O$2136,'Cash Balance'!$A$2)</f>
        <v>0</v>
      </c>
      <c r="K403" s="1084">
        <f>Table11[[#This Row],[CASH IN - CREDIT (VND)]]-Table11[[#This Row],[CASH OUT - DEBIT (VND)]]</f>
        <v>0</v>
      </c>
      <c r="L403" s="1095">
        <f t="shared" si="39"/>
        <v>0</v>
      </c>
      <c r="M403" s="1184" t="e">
        <f>VLOOKUP(C403,'Cash balance (BS)'!A:D,4,)</f>
        <v>#N/A</v>
      </c>
      <c r="N403" s="1095" t="e">
        <f>Table11[[#This Row],[CLOSING BALANCE (VND)2]]-Table11[[#This Row],[CB_BS (VND)]]</f>
        <v>#N/A</v>
      </c>
      <c r="O403" s="1094">
        <v>0</v>
      </c>
      <c r="P403" s="1095">
        <f t="shared" si="40"/>
        <v>-38177.74</v>
      </c>
      <c r="Q403" s="817">
        <f>SUMIFS('Cash balance (Prior period)'!G:G,'Cash balance (Prior period)'!C:C,Table11[[#This Row],[ACCOUNT NUMBER]],'Cash balance (Prior period)'!E:E,Table11[[#This Row],[CURRENCY]])</f>
        <v>38177.74</v>
      </c>
      <c r="R403" s="817">
        <f>SUMIFS(Movement!$F$4:$F$2136,Movement!$M$4:$M$2136,"USD",Movement!$C$4:$C$2136,Table11[[#This Row],[ACCOUNT NUMBER]],Movement!$J$4:$J$2136,Table11[[#This Row],[ENTITY]],Movement!$O$4:$O$2136,'Cash Balance'!$A$2)</f>
        <v>0</v>
      </c>
      <c r="S403" s="817">
        <f>SUMIFS(Movement!$G$4:$G$2136,Movement!$M$4:$M$2136,"USD",Movement!$C$4:$C$2136,Table11[[#This Row],[ACCOUNT NUMBER]],Movement!$J$4:$J$2136,Table11[[#This Row],[ENTITY]],Movement!$O$4:$O$2136,'Cash Balance'!$A$2)</f>
        <v>25058</v>
      </c>
      <c r="T403" s="1087">
        <f t="shared" si="41"/>
        <v>13119.739999999998</v>
      </c>
      <c r="U403" s="817"/>
      <c r="V403" s="817">
        <f>Table11[[#This Row],[CLOSING BALANCE (USD)]]-Table11[[#This Row],[CB_BS (USD)]]</f>
        <v>13119.739999999998</v>
      </c>
      <c r="W403" s="1156" t="str">
        <f>VLOOKUP('Cash Balance'!$C403,Table2[#All],MATCH('Cash Balance'!W$3,Acc_Char!$B$1:$I$1,0),0)</f>
        <v>BWID JSC</v>
      </c>
      <c r="X403" s="1156" t="str">
        <f>VLOOKUP(IFERROR(MID($Y403,1,FIND("-",$Y403)-2),$Y403),Table3[#All],2,0)</f>
        <v>SNP</v>
      </c>
      <c r="Y403" s="1156" t="str">
        <f>VLOOKUP($B403,Table4[#All],2,0)</f>
        <v>SINOPAC</v>
      </c>
      <c r="Z403" s="1151"/>
      <c r="AA403" s="49"/>
    </row>
    <row r="404" spans="1:27">
      <c r="A404" s="1153" t="str">
        <f>VLOOKUP('Cash Balance'!$C404,Table2[#All],MATCH('Cash Balance'!A$3,Acc_Char!$B$1:$I$1,0),0)</f>
        <v>DEEP C 2B</v>
      </c>
      <c r="B404" s="1154" t="str">
        <f>VLOOKUP('Cash Balance'!$C404,Table2[#All],MATCH('Cash Balance'!B$3,Acc_Char!$B$1:$I$1,0),0)</f>
        <v>STANDARD CHARTERED</v>
      </c>
      <c r="C404" s="1190" t="s">
        <v>1011</v>
      </c>
      <c r="D404" s="1156" t="str">
        <f>VLOOKUP('Cash Balance'!$C404,Table2[#All],MATCH('Cash Balance'!D$3,Acc_Char!$B$1:$I$1,0),0)</f>
        <v>Capital Account</v>
      </c>
      <c r="E404" s="384" t="str">
        <f>VLOOKUP('Cash Balance'!$C404,Table2[#All],MATCH('Cash Balance'!E$3,Acc_Char!$B$1:$I$1,0),0)</f>
        <v>VND</v>
      </c>
      <c r="F404" s="1094" t="e">
        <f>VLOOKUP(C404,'Cash balance (BS)'!A:C,3,)</f>
        <v>#N/A</v>
      </c>
      <c r="G404" s="1191" t="e">
        <f t="shared" si="38"/>
        <v>#N/A</v>
      </c>
      <c r="H404" s="1318">
        <f>SUMIFS('Cash balance (Prior period)'!F:F,'Cash balance (Prior period)'!C:C,Table11[[#This Row],[ACCOUNT NUMBER]],'Cash balance (Prior period)'!E:E,Table11[[#This Row],[CURRENCY]])</f>
        <v>0</v>
      </c>
      <c r="I404" s="1318">
        <f>SUMIFS(Movement!$F$4:$F$2136,Movement!$M$4:$M$2136,"VND",Movement!$C$4:$C$2136,Table11[[#This Row],[ACCOUNT NUMBER]],Movement!$J$4:$J$2136,Table11[[#This Row],[ENTITY]],Movement!$O$4:$O$2136,'Cash Balance'!$A$2)</f>
        <v>0</v>
      </c>
      <c r="J404" s="1318">
        <f>SUMIFS(Movement!$G$4:$G$2136,Movement!$M$4:$M$2136,"VND",Movement!$C$4:$C$2136,Table11[[#This Row],[ACCOUNT NUMBER]],Movement!$J$4:$J$2136,Table11[[#This Row],[ENTITY]],Movement!$O$4:$O$2136,'Cash Balance'!$A$2)</f>
        <v>0</v>
      </c>
      <c r="K404" s="1084">
        <f>Table11[[#This Row],[CASH IN - CREDIT (VND)]]-Table11[[#This Row],[CASH OUT - DEBIT (VND)]]</f>
        <v>0</v>
      </c>
      <c r="L404" s="1095">
        <f t="shared" si="39"/>
        <v>0</v>
      </c>
      <c r="M404" s="1184" t="e">
        <f>VLOOKUP(C404,'Cash balance (BS)'!A:D,4,)</f>
        <v>#N/A</v>
      </c>
      <c r="N404" s="1095" t="e">
        <f>Table11[[#This Row],[CLOSING BALANCE (VND)2]]-Table11[[#This Row],[CB_BS (VND)]]</f>
        <v>#N/A</v>
      </c>
      <c r="O404" s="1094">
        <v>0</v>
      </c>
      <c r="P404" s="1095">
        <f t="shared" si="40"/>
        <v>0</v>
      </c>
      <c r="Q404" s="817">
        <f>SUMIFS('Cash balance (Prior period)'!G:G,'Cash balance (Prior period)'!C:C,Table11[[#This Row],[ACCOUNT NUMBER]],'Cash balance (Prior period)'!E:E,Table11[[#This Row],[CURRENCY]])</f>
        <v>0</v>
      </c>
      <c r="R404" s="817">
        <f>SUMIFS(Movement!$F$4:$F$2136,Movement!$M$4:$M$2136,"USD",Movement!$C$4:$C$2136,Table11[[#This Row],[ACCOUNT NUMBER]],Movement!$J$4:$J$2136,Table11[[#This Row],[ENTITY]],Movement!$O$4:$O$2136,'Cash Balance'!$A$2)</f>
        <v>0</v>
      </c>
      <c r="S404" s="817">
        <f>SUMIFS(Movement!$G$4:$G$2136,Movement!$M$4:$M$2136,"USD",Movement!$C$4:$C$2136,Table11[[#This Row],[ACCOUNT NUMBER]],Movement!$J$4:$J$2136,Table11[[#This Row],[ENTITY]],Movement!$O$4:$O$2136,'Cash Balance'!$A$2)</f>
        <v>0</v>
      </c>
      <c r="T404" s="1087">
        <f t="shared" si="41"/>
        <v>0</v>
      </c>
      <c r="U404" s="817">
        <v>0</v>
      </c>
      <c r="V404" s="817">
        <f>Table11[[#This Row],[CLOSING BALANCE (USD)]]-Table11[[#This Row],[CB_BS (USD)]]</f>
        <v>0</v>
      </c>
      <c r="W404" s="1156" t="str">
        <f>VLOOKUP('Cash Balance'!$C404,Table2[#All],MATCH('Cash Balance'!W$3,Acc_Char!$B$1:$I$1,0),0)</f>
        <v>Subsidiaries</v>
      </c>
      <c r="X404" s="1156" t="str">
        <f>VLOOKUP(IFERROR(MID($Y404,1,FIND("-",$Y404)-2),$Y404),Table3[#All],2,0)</f>
        <v>Standard Chartered</v>
      </c>
      <c r="Y404" s="1156" t="str">
        <f>VLOOKUP($B404,Table4[#All],2,0)</f>
        <v>STANDARD CHARTERED</v>
      </c>
      <c r="Z404" s="1151"/>
      <c r="AA404" s="49"/>
    </row>
    <row r="405" spans="1:27">
      <c r="A405" s="1153" t="str">
        <f>VLOOKUP('Cash Balance'!$C405,Table2[#All],MATCH('Cash Balance'!A$3,Acc_Char!$B$1:$I$1,0),0)</f>
        <v>DEEP C 2B</v>
      </c>
      <c r="B405" s="1154" t="str">
        <f>VLOOKUP('Cash Balance'!$C405,Table2[#All],MATCH('Cash Balance'!B$3,Acc_Char!$B$1:$I$1,0),0)</f>
        <v>STANDARD CHARTERED</v>
      </c>
      <c r="C405" s="1190" t="s">
        <v>1012</v>
      </c>
      <c r="D405" s="1156" t="str">
        <f>VLOOKUP('Cash Balance'!$C405,Table2[#All],MATCH('Cash Balance'!D$3,Acc_Char!$B$1:$I$1,0),0)</f>
        <v>Capital Account</v>
      </c>
      <c r="E405" s="384" t="str">
        <f>VLOOKUP('Cash Balance'!$C405,Table2[#All],MATCH('Cash Balance'!E$3,Acc_Char!$B$1:$I$1,0),0)</f>
        <v>USD</v>
      </c>
      <c r="F405" s="1094"/>
      <c r="G405" s="1191">
        <f t="shared" si="38"/>
        <v>0</v>
      </c>
      <c r="H405" s="1318">
        <f>SUMIFS('Cash balance (Prior period)'!F:F,'Cash balance (Prior period)'!C:C,Table11[[#This Row],[ACCOUNT NUMBER]],'Cash balance (Prior period)'!E:E,Table11[[#This Row],[CURRENCY]])</f>
        <v>0</v>
      </c>
      <c r="I405" s="1318">
        <f>SUMIFS(Movement!$F$4:$F$2136,Movement!$M$4:$M$2136,"VND",Movement!$C$4:$C$2136,Table11[[#This Row],[ACCOUNT NUMBER]],Movement!$J$4:$J$2136,Table11[[#This Row],[ENTITY]],Movement!$O$4:$O$2136,'Cash Balance'!$A$2)</f>
        <v>0</v>
      </c>
      <c r="J405" s="1318">
        <f>SUMIFS(Movement!$G$4:$G$2136,Movement!$M$4:$M$2136,"VND",Movement!$C$4:$C$2136,Table11[[#This Row],[ACCOUNT NUMBER]],Movement!$J$4:$J$2136,Table11[[#This Row],[ENTITY]],Movement!$O$4:$O$2136,'Cash Balance'!$A$2)</f>
        <v>0</v>
      </c>
      <c r="K405" s="1084">
        <f>Table11[[#This Row],[CASH IN - CREDIT (VND)]]-Table11[[#This Row],[CASH OUT - DEBIT (VND)]]</f>
        <v>0</v>
      </c>
      <c r="L405" s="1095">
        <f t="shared" si="39"/>
        <v>0</v>
      </c>
      <c r="M405" s="1184" t="e">
        <f>VLOOKUP(C405,'Cash balance (BS)'!A:D,4,)</f>
        <v>#N/A</v>
      </c>
      <c r="N405" s="1095" t="e">
        <f>Table11[[#This Row],[CLOSING BALANCE (VND)2]]-Table11[[#This Row],[CB_BS (VND)]]</f>
        <v>#N/A</v>
      </c>
      <c r="O405" s="1094">
        <v>0</v>
      </c>
      <c r="P405" s="1095">
        <f t="shared" si="40"/>
        <v>0</v>
      </c>
      <c r="Q405" s="817">
        <f>SUMIFS('Cash balance (Prior period)'!G:G,'Cash balance (Prior period)'!C:C,Table11[[#This Row],[ACCOUNT NUMBER]],'Cash balance (Prior period)'!E:E,Table11[[#This Row],[CURRENCY]])</f>
        <v>0</v>
      </c>
      <c r="R405" s="817">
        <f>SUMIFS(Movement!$F$4:$F$2136,Movement!$M$4:$M$2136,"USD",Movement!$C$4:$C$2136,Table11[[#This Row],[ACCOUNT NUMBER]],Movement!$J$4:$J$2136,Table11[[#This Row],[ENTITY]],Movement!$O$4:$O$2136,'Cash Balance'!$A$2)</f>
        <v>0</v>
      </c>
      <c r="S405" s="817">
        <f>SUMIFS(Movement!$G$4:$G$2136,Movement!$M$4:$M$2136,"USD",Movement!$C$4:$C$2136,Table11[[#This Row],[ACCOUNT NUMBER]],Movement!$J$4:$J$2136,Table11[[#This Row],[ENTITY]],Movement!$O$4:$O$2136,'Cash Balance'!$A$2)</f>
        <v>0</v>
      </c>
      <c r="T405" s="1087">
        <f t="shared" si="41"/>
        <v>0</v>
      </c>
      <c r="U405" s="817" t="e">
        <f>VLOOKUP(C405,'Cash balance (BS)'!A:D,4,)</f>
        <v>#N/A</v>
      </c>
      <c r="V405" s="817" t="e">
        <f>Table11[[#This Row],[CLOSING BALANCE (USD)]]-Table11[[#This Row],[CB_BS (USD)]]</f>
        <v>#N/A</v>
      </c>
      <c r="W405" s="1156" t="str">
        <f>VLOOKUP('Cash Balance'!$C405,Table2[#All],MATCH('Cash Balance'!W$3,Acc_Char!$B$1:$I$1,0),0)</f>
        <v>Subsidiaries</v>
      </c>
      <c r="X405" s="1156" t="str">
        <f>VLOOKUP(IFERROR(MID($Y405,1,FIND("-",$Y405)-2),$Y405),Table3[#All],2,0)</f>
        <v>Standard Chartered</v>
      </c>
      <c r="Y405" s="1156" t="str">
        <f>VLOOKUP($B405,Table4[#All],2,0)</f>
        <v>STANDARD CHARTERED</v>
      </c>
      <c r="Z405" s="1151"/>
      <c r="AA405" s="49"/>
    </row>
    <row r="406" spans="1:27">
      <c r="A406" s="1153" t="str">
        <f>VLOOKUP('Cash Balance'!$C406,Table2[#All],MATCH('Cash Balance'!A$3,Acc_Char!$B$1:$I$1,0),0)</f>
        <v>DEEP C 2B</v>
      </c>
      <c r="B406" s="1154" t="str">
        <f>VLOOKUP('Cash Balance'!$C406,Table2[#All],MATCH('Cash Balance'!B$3,Acc_Char!$B$1:$I$1,0),0)</f>
        <v>STANDARD CHARTERED</v>
      </c>
      <c r="C406" s="1190" t="s">
        <v>1013</v>
      </c>
      <c r="D406" s="1156" t="str">
        <f>VLOOKUP('Cash Balance'!$C406,Table2[#All],MATCH('Cash Balance'!D$3,Acc_Char!$B$1:$I$1,0),0)</f>
        <v>Current Account</v>
      </c>
      <c r="E406" s="384" t="str">
        <f>VLOOKUP('Cash Balance'!$C406,Table2[#All],MATCH('Cash Balance'!E$3,Acc_Char!$B$1:$I$1,0),0)</f>
        <v>VND</v>
      </c>
      <c r="F406" s="1094" t="e">
        <f>VLOOKUP(C406,'Cash balance (BS)'!A:C,3,)</f>
        <v>#N/A</v>
      </c>
      <c r="G406" s="1191" t="e">
        <f t="shared" si="38"/>
        <v>#N/A</v>
      </c>
      <c r="H406" s="1318">
        <f>SUMIFS('Cash balance (Prior period)'!F:F,'Cash balance (Prior period)'!C:C,Table11[[#This Row],[ACCOUNT NUMBER]],'Cash balance (Prior period)'!E:E,Table11[[#This Row],[CURRENCY]])</f>
        <v>202560489</v>
      </c>
      <c r="I406" s="1318">
        <f>SUMIFS(Movement!$F$4:$F$2136,Movement!$M$4:$M$2136,"VND",Movement!$C$4:$C$2136,Table11[[#This Row],[ACCOUNT NUMBER]],Movement!$J$4:$J$2136,Table11[[#This Row],[ENTITY]],Movement!$O$4:$O$2136,'Cash Balance'!$A$2)</f>
        <v>0</v>
      </c>
      <c r="J406" s="1318">
        <f>SUMIFS(Movement!$G$4:$G$2136,Movement!$M$4:$M$2136,"VND",Movement!$C$4:$C$2136,Table11[[#This Row],[ACCOUNT NUMBER]],Movement!$J$4:$J$2136,Table11[[#This Row],[ENTITY]],Movement!$O$4:$O$2136,'Cash Balance'!$A$2)</f>
        <v>0</v>
      </c>
      <c r="K406" s="1084">
        <f>Table11[[#This Row],[CASH IN - CREDIT (VND)]]-Table11[[#This Row],[CASH OUT - DEBIT (VND)]]</f>
        <v>0</v>
      </c>
      <c r="L406" s="1095">
        <f t="shared" si="39"/>
        <v>202560489</v>
      </c>
      <c r="M406" s="1184" t="e">
        <f>VLOOKUP(C406,'Cash balance (BS)'!A:D,4,)</f>
        <v>#N/A</v>
      </c>
      <c r="N406" s="1095" t="e">
        <f>Table11[[#This Row],[CLOSING BALANCE (VND)2]]-Table11[[#This Row],[CB_BS (VND)]]</f>
        <v>#N/A</v>
      </c>
      <c r="O406" s="1094">
        <v>0</v>
      </c>
      <c r="P406" s="1095">
        <f t="shared" si="40"/>
        <v>0</v>
      </c>
      <c r="Q406" s="817">
        <f>SUMIFS('Cash balance (Prior period)'!G:G,'Cash balance (Prior period)'!C:C,Table11[[#This Row],[ACCOUNT NUMBER]],'Cash balance (Prior period)'!E:E,Table11[[#This Row],[CURRENCY]])</f>
        <v>0</v>
      </c>
      <c r="R406" s="817">
        <f>SUMIFS(Movement!$F$4:$F$2136,Movement!$M$4:$M$2136,"USD",Movement!$C$4:$C$2136,Table11[[#This Row],[ACCOUNT NUMBER]],Movement!$J$4:$J$2136,Table11[[#This Row],[ENTITY]],Movement!$O$4:$O$2136,'Cash Balance'!$A$2)</f>
        <v>0</v>
      </c>
      <c r="S406" s="817">
        <f>SUMIFS(Movement!$G$4:$G$2136,Movement!$M$4:$M$2136,"USD",Movement!$C$4:$C$2136,Table11[[#This Row],[ACCOUNT NUMBER]],Movement!$J$4:$J$2136,Table11[[#This Row],[ENTITY]],Movement!$O$4:$O$2136,'Cash Balance'!$A$2)</f>
        <v>0</v>
      </c>
      <c r="T406" s="1087">
        <f t="shared" si="41"/>
        <v>0</v>
      </c>
      <c r="U406" s="817"/>
      <c r="V406" s="817">
        <f>Table11[[#This Row],[CLOSING BALANCE (USD)]]-Table11[[#This Row],[CB_BS (USD)]]</f>
        <v>0</v>
      </c>
      <c r="W406" s="1156" t="str">
        <f>VLOOKUP('Cash Balance'!$C406,Table2[#All],MATCH('Cash Balance'!W$3,Acc_Char!$B$1:$I$1,0),0)</f>
        <v>Subsidiaries</v>
      </c>
      <c r="X406" s="1156" t="str">
        <f>VLOOKUP(IFERROR(MID($Y406,1,FIND("-",$Y406)-2),$Y406),Table3[#All],2,0)</f>
        <v>Standard Chartered</v>
      </c>
      <c r="Y406" s="1156" t="str">
        <f>VLOOKUP($B406,Table4[#All],2,0)</f>
        <v>STANDARD CHARTERED</v>
      </c>
      <c r="Z406" s="1151"/>
      <c r="AA406" s="49"/>
    </row>
    <row r="407" spans="1:27">
      <c r="A407" s="1153" t="str">
        <f>VLOOKUP('Cash Balance'!$C407,Table2[#All],MATCH('Cash Balance'!A$3,Acc_Char!$B$1:$I$1,0),0)</f>
        <v>DEEP C 2B</v>
      </c>
      <c r="B407" s="1154" t="str">
        <f>VLOOKUP('Cash Balance'!$C407,Table2[#All],MATCH('Cash Balance'!B$3,Acc_Char!$B$1:$I$1,0),0)</f>
        <v>STANDARD CHARTERED</v>
      </c>
      <c r="C407" s="1190" t="s">
        <v>1014</v>
      </c>
      <c r="D407" s="1156" t="str">
        <f>VLOOKUP('Cash Balance'!$C407,Table2[#All],MATCH('Cash Balance'!D$3,Acc_Char!$B$1:$I$1,0),0)</f>
        <v>Current Account</v>
      </c>
      <c r="E407" s="384" t="str">
        <f>VLOOKUP('Cash Balance'!$C407,Table2[#All],MATCH('Cash Balance'!E$3,Acc_Char!$B$1:$I$1,0),0)</f>
        <v>USD</v>
      </c>
      <c r="F407" s="1094" t="e">
        <f>VLOOKUP(C407,'Cash balance (BS)'!A:C,3,)</f>
        <v>#N/A</v>
      </c>
      <c r="G407" s="1191" t="e">
        <f t="shared" si="38"/>
        <v>#N/A</v>
      </c>
      <c r="H407" s="1318">
        <f>SUMIFS('Cash balance (Prior period)'!F:F,'Cash balance (Prior period)'!C:C,Table11[[#This Row],[ACCOUNT NUMBER]],'Cash balance (Prior period)'!E:E,Table11[[#This Row],[CURRENCY]])</f>
        <v>0</v>
      </c>
      <c r="I407" s="1318">
        <f>SUMIFS(Movement!$F$4:$F$2136,Movement!$M$4:$M$2136,"VND",Movement!$C$4:$C$2136,Table11[[#This Row],[ACCOUNT NUMBER]],Movement!$J$4:$J$2136,Table11[[#This Row],[ENTITY]],Movement!$O$4:$O$2136,'Cash Balance'!$A$2)</f>
        <v>0</v>
      </c>
      <c r="J407" s="1318">
        <f>SUMIFS(Movement!$G$4:$G$2136,Movement!$M$4:$M$2136,"VND",Movement!$C$4:$C$2136,Table11[[#This Row],[ACCOUNT NUMBER]],Movement!$J$4:$J$2136,Table11[[#This Row],[ENTITY]],Movement!$O$4:$O$2136,'Cash Balance'!$A$2)</f>
        <v>0</v>
      </c>
      <c r="K407" s="1084">
        <f>Table11[[#This Row],[CASH IN - CREDIT (VND)]]-Table11[[#This Row],[CASH OUT - DEBIT (VND)]]</f>
        <v>0</v>
      </c>
      <c r="L407" s="1095">
        <f t="shared" si="39"/>
        <v>0</v>
      </c>
      <c r="M407" s="1184" t="e">
        <f>VLOOKUP(C407,'Cash balance (BS)'!A:D,4,)</f>
        <v>#N/A</v>
      </c>
      <c r="N407" s="1095" t="e">
        <f>Table11[[#This Row],[CLOSING BALANCE (VND)2]]-Table11[[#This Row],[CB_BS (VND)]]</f>
        <v>#N/A</v>
      </c>
      <c r="O407" s="1094">
        <v>0</v>
      </c>
      <c r="P407" s="1095">
        <f t="shared" si="40"/>
        <v>0</v>
      </c>
      <c r="Q407" s="817">
        <f>SUMIFS('Cash balance (Prior period)'!G:G,'Cash balance (Prior period)'!C:C,Table11[[#This Row],[ACCOUNT NUMBER]],'Cash balance (Prior period)'!E:E,Table11[[#This Row],[CURRENCY]])</f>
        <v>0</v>
      </c>
      <c r="R407" s="817">
        <f>SUMIFS(Movement!$F$4:$F$2136,Movement!$M$4:$M$2136,"USD",Movement!$C$4:$C$2136,Table11[[#This Row],[ACCOUNT NUMBER]],Movement!$J$4:$J$2136,Table11[[#This Row],[ENTITY]],Movement!$O$4:$O$2136,'Cash Balance'!$A$2)</f>
        <v>0</v>
      </c>
      <c r="S407" s="817">
        <f>SUMIFS(Movement!$G$4:$G$2136,Movement!$M$4:$M$2136,"USD",Movement!$C$4:$C$2136,Table11[[#This Row],[ACCOUNT NUMBER]],Movement!$J$4:$J$2136,Table11[[#This Row],[ENTITY]],Movement!$O$4:$O$2136,'Cash Balance'!$A$2)</f>
        <v>0</v>
      </c>
      <c r="T407" s="1087">
        <f t="shared" si="41"/>
        <v>0</v>
      </c>
      <c r="U407" s="817"/>
      <c r="V407" s="817">
        <f>Table11[[#This Row],[CLOSING BALANCE (USD)]]-Table11[[#This Row],[CB_BS (USD)]]</f>
        <v>0</v>
      </c>
      <c r="W407" s="1156" t="str">
        <f>VLOOKUP('Cash Balance'!$C407,Table2[#All],MATCH('Cash Balance'!W$3,Acc_Char!$B$1:$I$1,0),0)</f>
        <v>Subsidiaries</v>
      </c>
      <c r="X407" s="1156" t="str">
        <f>VLOOKUP(IFERROR(MID($Y407,1,FIND("-",$Y407)-2),$Y407),Table3[#All],2,0)</f>
        <v>Standard Chartered</v>
      </c>
      <c r="Y407" s="1156" t="str">
        <f>VLOOKUP($B407,Table4[#All],2,0)</f>
        <v>STANDARD CHARTERED</v>
      </c>
      <c r="Z407" s="1151"/>
      <c r="AA407" s="49"/>
    </row>
    <row r="408" spans="1:27">
      <c r="A408" s="1153" t="str">
        <f>VLOOKUP('Cash Balance'!$C408,Table2[#All],MATCH('Cash Balance'!A$3,Acc_Char!$B$1:$I$1,0),0)</f>
        <v>PHU AN THANH</v>
      </c>
      <c r="B408" s="1154" t="str">
        <f>VLOOKUP('Cash Balance'!$C408,Table2[#All],MATCH('Cash Balance'!B$3,Acc_Char!$B$1:$I$1,0),0)</f>
        <v>STANDARD CHARTERED</v>
      </c>
      <c r="C408" s="1190" t="s">
        <v>1016</v>
      </c>
      <c r="D408" s="1156" t="str">
        <f>VLOOKUP('Cash Balance'!$C408,Table2[#All],MATCH('Cash Balance'!D$3,Acc_Char!$B$1:$I$1,0),0)</f>
        <v>Capital Account</v>
      </c>
      <c r="E408" s="384" t="str">
        <f>VLOOKUP('Cash Balance'!$C408,Table2[#All],MATCH('Cash Balance'!E$3,Acc_Char!$B$1:$I$1,0),0)</f>
        <v>VND</v>
      </c>
      <c r="F408" s="1094" t="e">
        <f>VLOOKUP(C408,'Cash balance (BS)'!A:C,3,)</f>
        <v>#N/A</v>
      </c>
      <c r="G408" s="1191" t="e">
        <f t="shared" si="38"/>
        <v>#N/A</v>
      </c>
      <c r="H408" s="1318">
        <f>SUMIFS('Cash balance (Prior period)'!F:F,'Cash balance (Prior period)'!C:C,Table11[[#This Row],[ACCOUNT NUMBER]],'Cash balance (Prior period)'!E:E,Table11[[#This Row],[CURRENCY]])</f>
        <v>0</v>
      </c>
      <c r="I408" s="1318">
        <f>SUMIFS(Movement!$F$4:$F$2136,Movement!$M$4:$M$2136,"VND",Movement!$C$4:$C$2136,Table11[[#This Row],[ACCOUNT NUMBER]],Movement!$J$4:$J$2136,Table11[[#This Row],[ENTITY]],Movement!$O$4:$O$2136,'Cash Balance'!$A$2)</f>
        <v>0</v>
      </c>
      <c r="J408" s="1318">
        <f>SUMIFS(Movement!$G$4:$G$2136,Movement!$M$4:$M$2136,"VND",Movement!$C$4:$C$2136,Table11[[#This Row],[ACCOUNT NUMBER]],Movement!$J$4:$J$2136,Table11[[#This Row],[ENTITY]],Movement!$O$4:$O$2136,'Cash Balance'!$A$2)</f>
        <v>0</v>
      </c>
      <c r="K408" s="1084">
        <f>Table11[[#This Row],[CASH IN - CREDIT (VND)]]-Table11[[#This Row],[CASH OUT - DEBIT (VND)]]</f>
        <v>0</v>
      </c>
      <c r="L408" s="1095">
        <f t="shared" si="39"/>
        <v>0</v>
      </c>
      <c r="M408" s="1184" t="e">
        <f>VLOOKUP(C408,'Cash balance (BS)'!A:D,4,)</f>
        <v>#N/A</v>
      </c>
      <c r="N408" s="1095" t="e">
        <f>Table11[[#This Row],[CLOSING BALANCE (VND)2]]-Table11[[#This Row],[CB_BS (VND)]]</f>
        <v>#N/A</v>
      </c>
      <c r="O408" s="1094">
        <v>0</v>
      </c>
      <c r="P408" s="1095">
        <f t="shared" si="40"/>
        <v>0</v>
      </c>
      <c r="Q408" s="817">
        <f>SUMIFS('Cash balance (Prior period)'!G:G,'Cash balance (Prior period)'!C:C,Table11[[#This Row],[ACCOUNT NUMBER]],'Cash balance (Prior period)'!E:E,Table11[[#This Row],[CURRENCY]])</f>
        <v>0</v>
      </c>
      <c r="R408" s="817">
        <f>SUMIFS(Movement!$F$4:$F$2136,Movement!$M$4:$M$2136,"USD",Movement!$C$4:$C$2136,Table11[[#This Row],[ACCOUNT NUMBER]],Movement!$J$4:$J$2136,Table11[[#This Row],[ENTITY]],Movement!$O$4:$O$2136,'Cash Balance'!$A$2)</f>
        <v>0</v>
      </c>
      <c r="S408" s="817">
        <f>SUMIFS(Movement!$G$4:$G$2136,Movement!$M$4:$M$2136,"USD",Movement!$C$4:$C$2136,Table11[[#This Row],[ACCOUNT NUMBER]],Movement!$J$4:$J$2136,Table11[[#This Row],[ENTITY]],Movement!$O$4:$O$2136,'Cash Balance'!$A$2)</f>
        <v>0</v>
      </c>
      <c r="T408" s="1087">
        <f t="shared" si="41"/>
        <v>0</v>
      </c>
      <c r="U408" s="817">
        <v>0</v>
      </c>
      <c r="V408" s="817">
        <f>Table11[[#This Row],[CLOSING BALANCE (USD)]]-Table11[[#This Row],[CB_BS (USD)]]</f>
        <v>0</v>
      </c>
      <c r="W408" s="1156" t="str">
        <f>VLOOKUP('Cash Balance'!$C408,Table2[#All],MATCH('Cash Balance'!W$3,Acc_Char!$B$1:$I$1,0),0)</f>
        <v>Subsidiaries</v>
      </c>
      <c r="X408" s="1156" t="str">
        <f>VLOOKUP(IFERROR(MID($Y408,1,FIND("-",$Y408)-2),$Y408),Table3[#All],2,0)</f>
        <v>Standard Chartered</v>
      </c>
      <c r="Y408" s="1156" t="str">
        <f>VLOOKUP($B408,Table4[#All],2,0)</f>
        <v>STANDARD CHARTERED</v>
      </c>
      <c r="Z408" s="1151"/>
      <c r="AA408" s="49"/>
    </row>
    <row r="409" spans="1:27">
      <c r="A409" s="1153" t="str">
        <f>VLOOKUP('Cash Balance'!$C409,Table2[#All],MATCH('Cash Balance'!A$3,Acc_Char!$B$1:$I$1,0),0)</f>
        <v>PHU AN THANH</v>
      </c>
      <c r="B409" s="1154" t="str">
        <f>VLOOKUP('Cash Balance'!$C409,Table2[#All],MATCH('Cash Balance'!B$3,Acc_Char!$B$1:$I$1,0),0)</f>
        <v>STANDARD CHARTERED</v>
      </c>
      <c r="C409" s="1190" t="s">
        <v>1017</v>
      </c>
      <c r="D409" s="1156" t="str">
        <f>VLOOKUP('Cash Balance'!$C409,Table2[#All],MATCH('Cash Balance'!D$3,Acc_Char!$B$1:$I$1,0),0)</f>
        <v>Capital Account</v>
      </c>
      <c r="E409" s="384" t="str">
        <f>VLOOKUP('Cash Balance'!$C409,Table2[#All],MATCH('Cash Balance'!E$3,Acc_Char!$B$1:$I$1,0),0)</f>
        <v>USD</v>
      </c>
      <c r="F409" s="1094"/>
      <c r="G409" s="1191">
        <f t="shared" si="38"/>
        <v>0</v>
      </c>
      <c r="H409" s="1318">
        <f>SUMIFS('Cash balance (Prior period)'!F:F,'Cash balance (Prior period)'!C:C,Table11[[#This Row],[ACCOUNT NUMBER]],'Cash balance (Prior period)'!E:E,Table11[[#This Row],[CURRENCY]])</f>
        <v>0</v>
      </c>
      <c r="I409" s="1318">
        <f>SUMIFS(Movement!$F$4:$F$2136,Movement!$M$4:$M$2136,"VND",Movement!$C$4:$C$2136,Table11[[#This Row],[ACCOUNT NUMBER]],Movement!$J$4:$J$2136,Table11[[#This Row],[ENTITY]],Movement!$O$4:$O$2136,'Cash Balance'!$A$2)</f>
        <v>0</v>
      </c>
      <c r="J409" s="1318">
        <f>SUMIFS(Movement!$G$4:$G$2136,Movement!$M$4:$M$2136,"VND",Movement!$C$4:$C$2136,Table11[[#This Row],[ACCOUNT NUMBER]],Movement!$J$4:$J$2136,Table11[[#This Row],[ENTITY]],Movement!$O$4:$O$2136,'Cash Balance'!$A$2)</f>
        <v>0</v>
      </c>
      <c r="K409" s="1084">
        <f>Table11[[#This Row],[CASH IN - CREDIT (VND)]]-Table11[[#This Row],[CASH OUT - DEBIT (VND)]]</f>
        <v>0</v>
      </c>
      <c r="L409" s="1095">
        <f t="shared" si="39"/>
        <v>0</v>
      </c>
      <c r="M409" s="1184" t="e">
        <f>VLOOKUP(C409,'Cash balance (BS)'!A:D,4,)</f>
        <v>#N/A</v>
      </c>
      <c r="N409" s="1095" t="e">
        <f>Table11[[#This Row],[CLOSING BALANCE (VND)2]]-Table11[[#This Row],[CB_BS (VND)]]</f>
        <v>#N/A</v>
      </c>
      <c r="O409" s="1094">
        <v>0</v>
      </c>
      <c r="P409" s="1095">
        <f t="shared" si="40"/>
        <v>-4.74</v>
      </c>
      <c r="Q409" s="817">
        <f>SUMIFS('Cash balance (Prior period)'!G:G,'Cash balance (Prior period)'!C:C,Table11[[#This Row],[ACCOUNT NUMBER]],'Cash balance (Prior period)'!E:E,Table11[[#This Row],[CURRENCY]])</f>
        <v>4.74</v>
      </c>
      <c r="R409" s="817">
        <f>SUMIFS(Movement!$F$4:$F$2136,Movement!$M$4:$M$2136,"USD",Movement!$C$4:$C$2136,Table11[[#This Row],[ACCOUNT NUMBER]],Movement!$J$4:$J$2136,Table11[[#This Row],[ENTITY]],Movement!$O$4:$O$2136,'Cash Balance'!$A$2)</f>
        <v>0</v>
      </c>
      <c r="S409" s="817">
        <f>SUMIFS(Movement!$G$4:$G$2136,Movement!$M$4:$M$2136,"USD",Movement!$C$4:$C$2136,Table11[[#This Row],[ACCOUNT NUMBER]],Movement!$J$4:$J$2136,Table11[[#This Row],[ENTITY]],Movement!$O$4:$O$2136,'Cash Balance'!$A$2)</f>
        <v>0</v>
      </c>
      <c r="T409" s="1087">
        <f t="shared" si="41"/>
        <v>4.74</v>
      </c>
      <c r="U409" s="817" t="e">
        <f>VLOOKUP(C409,'Cash balance (BS)'!A:D,4,)</f>
        <v>#N/A</v>
      </c>
      <c r="V409" s="817" t="e">
        <f>Table11[[#This Row],[CLOSING BALANCE (USD)]]-Table11[[#This Row],[CB_BS (USD)]]</f>
        <v>#N/A</v>
      </c>
      <c r="W409" s="1156" t="str">
        <f>VLOOKUP('Cash Balance'!$C409,Table2[#All],MATCH('Cash Balance'!W$3,Acc_Char!$B$1:$I$1,0),0)</f>
        <v>Subsidiaries</v>
      </c>
      <c r="X409" s="1156" t="str">
        <f>VLOOKUP(IFERROR(MID($Y409,1,FIND("-",$Y409)-2),$Y409),Table3[#All],2,0)</f>
        <v>Standard Chartered</v>
      </c>
      <c r="Y409" s="1156" t="str">
        <f>VLOOKUP($B409,Table4[#All],2,0)</f>
        <v>STANDARD CHARTERED</v>
      </c>
      <c r="Z409" s="1151"/>
      <c r="AA409" s="49"/>
    </row>
    <row r="410" spans="1:27">
      <c r="A410" s="1153" t="str">
        <f>VLOOKUP('Cash Balance'!$C410,Table2[#All],MATCH('Cash Balance'!A$3,Acc_Char!$B$1:$I$1,0),0)</f>
        <v>PHU AN THANH</v>
      </c>
      <c r="B410" s="1154" t="str">
        <f>VLOOKUP('Cash Balance'!$C410,Table2[#All],MATCH('Cash Balance'!B$3,Acc_Char!$B$1:$I$1,0),0)</f>
        <v>STANDARD CHARTERED</v>
      </c>
      <c r="C410" s="1190" t="s">
        <v>1018</v>
      </c>
      <c r="D410" s="1156" t="str">
        <f>VLOOKUP('Cash Balance'!$C410,Table2[#All],MATCH('Cash Balance'!D$3,Acc_Char!$B$1:$I$1,0),0)</f>
        <v>Current Account</v>
      </c>
      <c r="E410" s="384" t="str">
        <f>VLOOKUP('Cash Balance'!$C410,Table2[#All],MATCH('Cash Balance'!E$3,Acc_Char!$B$1:$I$1,0),0)</f>
        <v>VND</v>
      </c>
      <c r="F410" s="1094"/>
      <c r="G410" s="1191"/>
      <c r="H410" s="1318">
        <f>SUMIFS('Cash balance (Prior period)'!F:F,'Cash balance (Prior period)'!C:C,Table11[[#This Row],[ACCOUNT NUMBER]],'Cash balance (Prior period)'!E:E,Table11[[#This Row],[CURRENCY]])</f>
        <v>184128459</v>
      </c>
      <c r="I410" s="1318">
        <f>SUMIFS(Movement!$F$4:$F$2136,Movement!$M$4:$M$2136,"VND",Movement!$C$4:$C$2136,Table11[[#This Row],[ACCOUNT NUMBER]],Movement!$J$4:$J$2136,Table11[[#This Row],[ENTITY]],Movement!$O$4:$O$2136,'Cash Balance'!$A$2)</f>
        <v>0</v>
      </c>
      <c r="J410" s="1318">
        <f>SUMIFS(Movement!$G$4:$G$2136,Movement!$M$4:$M$2136,"VND",Movement!$C$4:$C$2136,Table11[[#This Row],[ACCOUNT NUMBER]],Movement!$J$4:$J$2136,Table11[[#This Row],[ENTITY]],Movement!$O$4:$O$2136,'Cash Balance'!$A$2)</f>
        <v>0</v>
      </c>
      <c r="K410" s="1084">
        <f>Table11[[#This Row],[CASH IN - CREDIT (VND)]]-Table11[[#This Row],[CASH OUT - DEBIT (VND)]]</f>
        <v>0</v>
      </c>
      <c r="L410" s="1095">
        <f t="shared" si="39"/>
        <v>184128459</v>
      </c>
      <c r="M410" s="1184" t="e">
        <f>VLOOKUP(C410,'Cash balance (BS)'!A:D,4,)</f>
        <v>#N/A</v>
      </c>
      <c r="N410" s="1095" t="e">
        <f>Table11[[#This Row],[CLOSING BALANCE (VND)2]]-Table11[[#This Row],[CB_BS (VND)]]</f>
        <v>#N/A</v>
      </c>
      <c r="O410" s="1094">
        <v>0</v>
      </c>
      <c r="P410" s="1095">
        <f t="shared" si="40"/>
        <v>0</v>
      </c>
      <c r="Q410" s="817">
        <f>SUMIFS('Cash balance (Prior period)'!G:G,'Cash balance (Prior period)'!C:C,Table11[[#This Row],[ACCOUNT NUMBER]],'Cash balance (Prior period)'!E:E,Table11[[#This Row],[CURRENCY]])</f>
        <v>0</v>
      </c>
      <c r="R410" s="817">
        <f>SUMIFS(Movement!$F$4:$F$2136,Movement!$M$4:$M$2136,"USD",Movement!$C$4:$C$2136,Table11[[#This Row],[ACCOUNT NUMBER]],Movement!$J$4:$J$2136,Table11[[#This Row],[ENTITY]],Movement!$O$4:$O$2136,'Cash Balance'!$A$2)</f>
        <v>0</v>
      </c>
      <c r="S410" s="817">
        <f>SUMIFS(Movement!$G$4:$G$2136,Movement!$M$4:$M$2136,"USD",Movement!$C$4:$C$2136,Table11[[#This Row],[ACCOUNT NUMBER]],Movement!$J$4:$J$2136,Table11[[#This Row],[ENTITY]],Movement!$O$4:$O$2136,'Cash Balance'!$A$2)</f>
        <v>0</v>
      </c>
      <c r="T410" s="1087">
        <f t="shared" si="41"/>
        <v>0</v>
      </c>
      <c r="U410" s="817" t="e">
        <f>VLOOKUP(C410,'Cash balance (BS)'!A:D,4,)</f>
        <v>#N/A</v>
      </c>
      <c r="V410" s="817" t="e">
        <f>Table11[[#This Row],[CLOSING BALANCE (USD)]]-Table11[[#This Row],[CB_BS (USD)]]</f>
        <v>#N/A</v>
      </c>
      <c r="W410" s="1156" t="str">
        <f>VLOOKUP('Cash Balance'!$C410,Table2[#All],MATCH('Cash Balance'!W$3,Acc_Char!$B$1:$I$1,0),0)</f>
        <v>Subsidiaries</v>
      </c>
      <c r="X410" s="1156" t="str">
        <f>VLOOKUP(IFERROR(MID($Y410,1,FIND("-",$Y410)-2),$Y410),Table3[#All],2,0)</f>
        <v>Standard Chartered</v>
      </c>
      <c r="Y410" s="1156" t="str">
        <f>VLOOKUP($B410,Table4[#All],2,0)</f>
        <v>STANDARD CHARTERED</v>
      </c>
      <c r="Z410" s="1151"/>
      <c r="AA410" s="49"/>
    </row>
    <row r="411" spans="1:27">
      <c r="A411" s="1153" t="str">
        <f>VLOOKUP('Cash Balance'!$C411,Table2[#All],MATCH('Cash Balance'!A$3,Acc_Char!$B$1:$I$1,0),0)</f>
        <v>PHU AN THANH</v>
      </c>
      <c r="B411" s="1154" t="str">
        <f>VLOOKUP('Cash Balance'!$C411,Table2[#All],MATCH('Cash Balance'!B$3,Acc_Char!$B$1:$I$1,0),0)</f>
        <v>STANDARD CHARTERED</v>
      </c>
      <c r="C411" s="1190" t="s">
        <v>1019</v>
      </c>
      <c r="D411" s="1156" t="str">
        <f>VLOOKUP('Cash Balance'!$C411,Table2[#All],MATCH('Cash Balance'!D$3,Acc_Char!$B$1:$I$1,0),0)</f>
        <v>Current Account</v>
      </c>
      <c r="E411" s="384" t="str">
        <f>VLOOKUP('Cash Balance'!$C411,Table2[#All],MATCH('Cash Balance'!E$3,Acc_Char!$B$1:$I$1,0),0)</f>
        <v>USD</v>
      </c>
      <c r="F411" s="1094" t="e">
        <f>VLOOKUP(C411,'Cash balance (BS)'!A:C,3,)</f>
        <v>#N/A</v>
      </c>
      <c r="G411" s="1191" t="e">
        <f>F411-H411</f>
        <v>#N/A</v>
      </c>
      <c r="H411" s="1318">
        <f>SUMIFS('Cash balance (Prior period)'!F:F,'Cash balance (Prior period)'!C:C,Table11[[#This Row],[ACCOUNT NUMBER]],'Cash balance (Prior period)'!E:E,Table11[[#This Row],[CURRENCY]])</f>
        <v>0</v>
      </c>
      <c r="I411" s="1318">
        <f>SUMIFS(Movement!$F$4:$F$2136,Movement!$M$4:$M$2136,"VND",Movement!$C$4:$C$2136,Table11[[#This Row],[ACCOUNT NUMBER]],Movement!$J$4:$J$2136,Table11[[#This Row],[ENTITY]],Movement!$O$4:$O$2136,'Cash Balance'!$A$2)</f>
        <v>0</v>
      </c>
      <c r="J411" s="1318">
        <f>SUMIFS(Movement!$G$4:$G$2136,Movement!$M$4:$M$2136,"VND",Movement!$C$4:$C$2136,Table11[[#This Row],[ACCOUNT NUMBER]],Movement!$J$4:$J$2136,Table11[[#This Row],[ENTITY]],Movement!$O$4:$O$2136,'Cash Balance'!$A$2)</f>
        <v>0</v>
      </c>
      <c r="K411" s="1084">
        <f>Table11[[#This Row],[CASH IN - CREDIT (VND)]]-Table11[[#This Row],[CASH OUT - DEBIT (VND)]]</f>
        <v>0</v>
      </c>
      <c r="L411" s="1095">
        <f t="shared" si="39"/>
        <v>0</v>
      </c>
      <c r="M411" s="1184" t="e">
        <f>VLOOKUP(C411,'Cash balance (BS)'!A:D,4,)</f>
        <v>#N/A</v>
      </c>
      <c r="N411" s="1095" t="e">
        <f>Table11[[#This Row],[CLOSING BALANCE (VND)2]]-Table11[[#This Row],[CB_BS (VND)]]</f>
        <v>#N/A</v>
      </c>
      <c r="O411" s="1094">
        <v>0</v>
      </c>
      <c r="P411" s="1095">
        <f t="shared" si="40"/>
        <v>0</v>
      </c>
      <c r="Q411" s="817">
        <f>SUMIFS('Cash balance (Prior period)'!G:G,'Cash balance (Prior period)'!C:C,Table11[[#This Row],[ACCOUNT NUMBER]],'Cash balance (Prior period)'!E:E,Table11[[#This Row],[CURRENCY]])</f>
        <v>0</v>
      </c>
      <c r="R411" s="817">
        <f>SUMIFS(Movement!$F$4:$F$2136,Movement!$M$4:$M$2136,"USD",Movement!$C$4:$C$2136,Table11[[#This Row],[ACCOUNT NUMBER]],Movement!$J$4:$J$2136,Table11[[#This Row],[ENTITY]],Movement!$O$4:$O$2136,'Cash Balance'!$A$2)</f>
        <v>0</v>
      </c>
      <c r="S411" s="817">
        <f>SUMIFS(Movement!$G$4:$G$2136,Movement!$M$4:$M$2136,"USD",Movement!$C$4:$C$2136,Table11[[#This Row],[ACCOUNT NUMBER]],Movement!$J$4:$J$2136,Table11[[#This Row],[ENTITY]],Movement!$O$4:$O$2136,'Cash Balance'!$A$2)</f>
        <v>0</v>
      </c>
      <c r="T411" s="1087">
        <f t="shared" si="41"/>
        <v>0</v>
      </c>
      <c r="U411" s="817"/>
      <c r="V411" s="817">
        <f>Table11[[#This Row],[CLOSING BALANCE (USD)]]-Table11[[#This Row],[CB_BS (USD)]]</f>
        <v>0</v>
      </c>
      <c r="W411" s="1156" t="str">
        <f>VLOOKUP('Cash Balance'!$C411,Table2[#All],MATCH('Cash Balance'!W$3,Acc_Char!$B$1:$I$1,0),0)</f>
        <v>Subsidiaries</v>
      </c>
      <c r="X411" s="1156" t="str">
        <f>VLOOKUP(IFERROR(MID($Y411,1,FIND("-",$Y411)-2),$Y411),Table3[#All],2,0)</f>
        <v>Standard Chartered</v>
      </c>
      <c r="Y411" s="1156" t="str">
        <f>VLOOKUP($B411,Table4[#All],2,0)</f>
        <v>STANDARD CHARTERED</v>
      </c>
      <c r="Z411" s="1151"/>
      <c r="AA411" s="49"/>
    </row>
    <row r="412" spans="1:27">
      <c r="A412" s="1153" t="str">
        <f>VLOOKUP('Cash Balance'!$C412,Table2[#All],MATCH('Cash Balance'!A$3,Acc_Char!$B$1:$I$1,0),0)</f>
        <v>SONG THAN 2</v>
      </c>
      <c r="B412" s="1154" t="str">
        <f>VLOOKUP('Cash Balance'!$C412,Table2[#All],MATCH('Cash Balance'!B$3,Acc_Char!$B$1:$I$1,0),0)</f>
        <v>STANDARD CHARTERED</v>
      </c>
      <c r="C412" s="1190" t="s">
        <v>1021</v>
      </c>
      <c r="D412" s="1156" t="str">
        <f>VLOOKUP('Cash Balance'!$C412,Table2[#All],MATCH('Cash Balance'!D$3,Acc_Char!$B$1:$I$1,0),0)</f>
        <v>Capital Account</v>
      </c>
      <c r="E412" s="384" t="str">
        <f>VLOOKUP('Cash Balance'!$C412,Table2[#All],MATCH('Cash Balance'!E$3,Acc_Char!$B$1:$I$1,0),0)</f>
        <v>VND</v>
      </c>
      <c r="F412" s="1094" t="e">
        <f>VLOOKUP(C412,'Cash balance (BS)'!A:C,3,)</f>
        <v>#N/A</v>
      </c>
      <c r="G412" s="1191" t="e">
        <f>F412-H412</f>
        <v>#N/A</v>
      </c>
      <c r="H412" s="1318">
        <f>SUMIFS('Cash balance (Prior period)'!F:F,'Cash balance (Prior period)'!C:C,Table11[[#This Row],[ACCOUNT NUMBER]],'Cash balance (Prior period)'!E:E,Table11[[#This Row],[CURRENCY]])</f>
        <v>0</v>
      </c>
      <c r="I412" s="1318">
        <f>SUMIFS(Movement!$F$4:$F$2136,Movement!$M$4:$M$2136,"VND",Movement!$C$4:$C$2136,Table11[[#This Row],[ACCOUNT NUMBER]],Movement!$J$4:$J$2136,Table11[[#This Row],[ENTITY]],Movement!$O$4:$O$2136,'Cash Balance'!$A$2)</f>
        <v>0</v>
      </c>
      <c r="J412" s="1318">
        <f>SUMIFS(Movement!$G$4:$G$2136,Movement!$M$4:$M$2136,"VND",Movement!$C$4:$C$2136,Table11[[#This Row],[ACCOUNT NUMBER]],Movement!$J$4:$J$2136,Table11[[#This Row],[ENTITY]],Movement!$O$4:$O$2136,'Cash Balance'!$A$2)</f>
        <v>0</v>
      </c>
      <c r="K412" s="1084">
        <f>Table11[[#This Row],[CASH IN - CREDIT (VND)]]-Table11[[#This Row],[CASH OUT - DEBIT (VND)]]</f>
        <v>0</v>
      </c>
      <c r="L412" s="1095">
        <f t="shared" si="39"/>
        <v>0</v>
      </c>
      <c r="M412" s="1184" t="e">
        <f>VLOOKUP(C412,'Cash balance (BS)'!A:D,4,)</f>
        <v>#N/A</v>
      </c>
      <c r="N412" s="1095" t="e">
        <f>Table11[[#This Row],[CLOSING BALANCE (VND)2]]-Table11[[#This Row],[CB_BS (VND)]]</f>
        <v>#N/A</v>
      </c>
      <c r="O412" s="1094">
        <v>0</v>
      </c>
      <c r="P412" s="1095">
        <f t="shared" si="40"/>
        <v>0</v>
      </c>
      <c r="Q412" s="817">
        <f>SUMIFS('Cash balance (Prior period)'!G:G,'Cash balance (Prior period)'!C:C,Table11[[#This Row],[ACCOUNT NUMBER]],'Cash balance (Prior period)'!E:E,Table11[[#This Row],[CURRENCY]])</f>
        <v>0</v>
      </c>
      <c r="R412" s="817">
        <f>SUMIFS(Movement!$F$4:$F$2136,Movement!$M$4:$M$2136,"USD",Movement!$C$4:$C$2136,Table11[[#This Row],[ACCOUNT NUMBER]],Movement!$J$4:$J$2136,Table11[[#This Row],[ENTITY]],Movement!$O$4:$O$2136,'Cash Balance'!$A$2)</f>
        <v>0</v>
      </c>
      <c r="S412" s="817">
        <f>SUMIFS(Movement!$G$4:$G$2136,Movement!$M$4:$M$2136,"USD",Movement!$C$4:$C$2136,Table11[[#This Row],[ACCOUNT NUMBER]],Movement!$J$4:$J$2136,Table11[[#This Row],[ENTITY]],Movement!$O$4:$O$2136,'Cash Balance'!$A$2)</f>
        <v>0</v>
      </c>
      <c r="T412" s="1087">
        <f t="shared" si="41"/>
        <v>0</v>
      </c>
      <c r="U412" s="817">
        <v>0</v>
      </c>
      <c r="V412" s="817">
        <f>Table11[[#This Row],[CLOSING BALANCE (USD)]]-Table11[[#This Row],[CB_BS (USD)]]</f>
        <v>0</v>
      </c>
      <c r="W412" s="1156" t="str">
        <f>VLOOKUP('Cash Balance'!$C412,Table2[#All],MATCH('Cash Balance'!W$3,Acc_Char!$B$1:$I$1,0),0)</f>
        <v>Subsidiaries</v>
      </c>
      <c r="X412" s="1156" t="str">
        <f>VLOOKUP(IFERROR(MID($Y412,1,FIND("-",$Y412)-2),$Y412),Table3[#All],2,0)</f>
        <v>Standard Chartered</v>
      </c>
      <c r="Y412" s="1156" t="str">
        <f>VLOOKUP($B412,Table4[#All],2,0)</f>
        <v>STANDARD CHARTERED</v>
      </c>
      <c r="Z412" s="1151"/>
      <c r="AA412" s="49"/>
    </row>
    <row r="413" spans="1:27">
      <c r="A413" s="1153" t="str">
        <f>VLOOKUP('Cash Balance'!$C413,Table2[#All],MATCH('Cash Balance'!A$3,Acc_Char!$B$1:$I$1,0),0)</f>
        <v>SONG THAN 2</v>
      </c>
      <c r="B413" s="1154" t="str">
        <f>VLOOKUP('Cash Balance'!$C413,Table2[#All],MATCH('Cash Balance'!B$3,Acc_Char!$B$1:$I$1,0),0)</f>
        <v>STANDARD CHARTERED</v>
      </c>
      <c r="C413" s="1190" t="s">
        <v>1022</v>
      </c>
      <c r="D413" s="1156" t="str">
        <f>VLOOKUP('Cash Balance'!$C413,Table2[#All],MATCH('Cash Balance'!D$3,Acc_Char!$B$1:$I$1,0),0)</f>
        <v>Capital Account</v>
      </c>
      <c r="E413" s="384" t="str">
        <f>VLOOKUP('Cash Balance'!$C413,Table2[#All],MATCH('Cash Balance'!E$3,Acc_Char!$B$1:$I$1,0),0)</f>
        <v>USD</v>
      </c>
      <c r="F413" s="1094"/>
      <c r="G413" s="1191">
        <f>F413-H413</f>
        <v>0</v>
      </c>
      <c r="H413" s="1318">
        <f>SUMIFS('Cash balance (Prior period)'!F:F,'Cash balance (Prior period)'!C:C,Table11[[#This Row],[ACCOUNT NUMBER]],'Cash balance (Prior period)'!E:E,Table11[[#This Row],[CURRENCY]])</f>
        <v>0</v>
      </c>
      <c r="I413" s="1318">
        <f>SUMIFS(Movement!$F$4:$F$2136,Movement!$M$4:$M$2136,"VND",Movement!$C$4:$C$2136,Table11[[#This Row],[ACCOUNT NUMBER]],Movement!$J$4:$J$2136,Table11[[#This Row],[ENTITY]],Movement!$O$4:$O$2136,'Cash Balance'!$A$2)</f>
        <v>0</v>
      </c>
      <c r="J413" s="1318">
        <f>SUMIFS(Movement!$G$4:$G$2136,Movement!$M$4:$M$2136,"VND",Movement!$C$4:$C$2136,Table11[[#This Row],[ACCOUNT NUMBER]],Movement!$J$4:$J$2136,Table11[[#This Row],[ENTITY]],Movement!$O$4:$O$2136,'Cash Balance'!$A$2)</f>
        <v>0</v>
      </c>
      <c r="K413" s="1084">
        <f>Table11[[#This Row],[CASH IN - CREDIT (VND)]]-Table11[[#This Row],[CASH OUT - DEBIT (VND)]]</f>
        <v>0</v>
      </c>
      <c r="L413" s="1095">
        <f t="shared" si="39"/>
        <v>0</v>
      </c>
      <c r="M413" s="1184" t="e">
        <f>VLOOKUP(C413,'Cash balance (BS)'!A:D,4,)</f>
        <v>#N/A</v>
      </c>
      <c r="N413" s="1095" t="e">
        <f>Table11[[#This Row],[CLOSING BALANCE (VND)2]]-Table11[[#This Row],[CB_BS (VND)]]</f>
        <v>#N/A</v>
      </c>
      <c r="O413" s="1094">
        <v>0</v>
      </c>
      <c r="P413" s="1095">
        <f t="shared" si="40"/>
        <v>0</v>
      </c>
      <c r="Q413" s="817">
        <f>SUMIFS('Cash balance (Prior period)'!G:G,'Cash balance (Prior period)'!C:C,Table11[[#This Row],[ACCOUNT NUMBER]],'Cash balance (Prior period)'!E:E,Table11[[#This Row],[CURRENCY]])</f>
        <v>0</v>
      </c>
      <c r="R413" s="817">
        <f>SUMIFS(Movement!$F$4:$F$2136,Movement!$M$4:$M$2136,"USD",Movement!$C$4:$C$2136,Table11[[#This Row],[ACCOUNT NUMBER]],Movement!$J$4:$J$2136,Table11[[#This Row],[ENTITY]],Movement!$O$4:$O$2136,'Cash Balance'!$A$2)</f>
        <v>0</v>
      </c>
      <c r="S413" s="817">
        <f>SUMIFS(Movement!$G$4:$G$2136,Movement!$M$4:$M$2136,"USD",Movement!$C$4:$C$2136,Table11[[#This Row],[ACCOUNT NUMBER]],Movement!$J$4:$J$2136,Table11[[#This Row],[ENTITY]],Movement!$O$4:$O$2136,'Cash Balance'!$A$2)</f>
        <v>0</v>
      </c>
      <c r="T413" s="1087">
        <f t="shared" si="41"/>
        <v>0</v>
      </c>
      <c r="U413" s="817" t="e">
        <f>VLOOKUP(C413,'Cash balance (BS)'!A:D,4,)</f>
        <v>#N/A</v>
      </c>
      <c r="V413" s="817" t="e">
        <f>Table11[[#This Row],[CLOSING BALANCE (USD)]]-Table11[[#This Row],[CB_BS (USD)]]</f>
        <v>#N/A</v>
      </c>
      <c r="W413" s="1156" t="str">
        <f>VLOOKUP('Cash Balance'!$C413,Table2[#All],MATCH('Cash Balance'!W$3,Acc_Char!$B$1:$I$1,0),0)</f>
        <v>Subsidiaries</v>
      </c>
      <c r="X413" s="1156" t="str">
        <f>VLOOKUP(IFERROR(MID($Y413,1,FIND("-",$Y413)-2),$Y413),Table3[#All],2,0)</f>
        <v>Standard Chartered</v>
      </c>
      <c r="Y413" s="1156" t="str">
        <f>VLOOKUP($B413,Table4[#All],2,0)</f>
        <v>STANDARD CHARTERED</v>
      </c>
      <c r="Z413" s="1151"/>
      <c r="AA413" s="49"/>
    </row>
    <row r="414" spans="1:27">
      <c r="A414" s="1153" t="str">
        <f>VLOOKUP('Cash Balance'!$C414,Table2[#All],MATCH('Cash Balance'!A$3,Acc_Char!$B$1:$I$1,0),0)</f>
        <v>SONG THAN 2</v>
      </c>
      <c r="B414" s="1154" t="str">
        <f>VLOOKUP('Cash Balance'!$C414,Table2[#All],MATCH('Cash Balance'!B$3,Acc_Char!$B$1:$I$1,0),0)</f>
        <v>STANDARD CHARTERED</v>
      </c>
      <c r="C414" s="1190" t="s">
        <v>1023</v>
      </c>
      <c r="D414" s="1156" t="str">
        <f>VLOOKUP('Cash Balance'!$C414,Table2[#All],MATCH('Cash Balance'!D$3,Acc_Char!$B$1:$I$1,0),0)</f>
        <v>Current Account</v>
      </c>
      <c r="E414" s="384" t="str">
        <f>VLOOKUP('Cash Balance'!$C414,Table2[#All],MATCH('Cash Balance'!E$3,Acc_Char!$B$1:$I$1,0),0)</f>
        <v>VND</v>
      </c>
      <c r="F414" s="1094"/>
      <c r="G414" s="1191"/>
      <c r="H414" s="1318">
        <f>SUMIFS('Cash balance (Prior period)'!F:F,'Cash balance (Prior period)'!C:C,Table11[[#This Row],[ACCOUNT NUMBER]],'Cash balance (Prior period)'!E:E,Table11[[#This Row],[CURRENCY]])</f>
        <v>97295675</v>
      </c>
      <c r="I414" s="1318">
        <f>SUMIFS(Movement!$F$4:$F$2136,Movement!$M$4:$M$2136,"VND",Movement!$C$4:$C$2136,Table11[[#This Row],[ACCOUNT NUMBER]],Movement!$J$4:$J$2136,Table11[[#This Row],[ENTITY]],Movement!$O$4:$O$2136,'Cash Balance'!$A$2)</f>
        <v>0</v>
      </c>
      <c r="J414" s="1318">
        <f>SUMIFS(Movement!$G$4:$G$2136,Movement!$M$4:$M$2136,"VND",Movement!$C$4:$C$2136,Table11[[#This Row],[ACCOUNT NUMBER]],Movement!$J$4:$J$2136,Table11[[#This Row],[ENTITY]],Movement!$O$4:$O$2136,'Cash Balance'!$A$2)</f>
        <v>0</v>
      </c>
      <c r="K414" s="1084">
        <f>Table11[[#This Row],[CASH IN - CREDIT (VND)]]-Table11[[#This Row],[CASH OUT - DEBIT (VND)]]</f>
        <v>0</v>
      </c>
      <c r="L414" s="1095">
        <f t="shared" si="39"/>
        <v>97295675</v>
      </c>
      <c r="M414" s="1184" t="e">
        <f>VLOOKUP(C414,'Cash balance (BS)'!A:D,4,)</f>
        <v>#N/A</v>
      </c>
      <c r="N414" s="1095" t="e">
        <f>Table11[[#This Row],[CLOSING BALANCE (VND)2]]-Table11[[#This Row],[CB_BS (VND)]]</f>
        <v>#N/A</v>
      </c>
      <c r="O414" s="1094">
        <v>0</v>
      </c>
      <c r="P414" s="1095">
        <f t="shared" si="40"/>
        <v>0</v>
      </c>
      <c r="Q414" s="817">
        <f>SUMIFS('Cash balance (Prior period)'!G:G,'Cash balance (Prior period)'!C:C,Table11[[#This Row],[ACCOUNT NUMBER]],'Cash balance (Prior period)'!E:E,Table11[[#This Row],[CURRENCY]])</f>
        <v>0</v>
      </c>
      <c r="R414" s="817">
        <f>SUMIFS(Movement!$F$4:$F$2136,Movement!$M$4:$M$2136,"USD",Movement!$C$4:$C$2136,Table11[[#This Row],[ACCOUNT NUMBER]],Movement!$J$4:$J$2136,Table11[[#This Row],[ENTITY]],Movement!$O$4:$O$2136,'Cash Balance'!$A$2)</f>
        <v>0</v>
      </c>
      <c r="S414" s="817">
        <f>SUMIFS(Movement!$G$4:$G$2136,Movement!$M$4:$M$2136,"USD",Movement!$C$4:$C$2136,Table11[[#This Row],[ACCOUNT NUMBER]],Movement!$J$4:$J$2136,Table11[[#This Row],[ENTITY]],Movement!$O$4:$O$2136,'Cash Balance'!$A$2)</f>
        <v>0</v>
      </c>
      <c r="T414" s="1087">
        <f t="shared" si="41"/>
        <v>0</v>
      </c>
      <c r="U414" s="817" t="e">
        <f>VLOOKUP(C414,'Cash balance (BS)'!A:D,4,)</f>
        <v>#N/A</v>
      </c>
      <c r="V414" s="817" t="e">
        <f>Table11[[#This Row],[CLOSING BALANCE (USD)]]-Table11[[#This Row],[CB_BS (USD)]]</f>
        <v>#N/A</v>
      </c>
      <c r="W414" s="1156" t="str">
        <f>VLOOKUP('Cash Balance'!$C414,Table2[#All],MATCH('Cash Balance'!W$3,Acc_Char!$B$1:$I$1,0),0)</f>
        <v>Subsidiaries</v>
      </c>
      <c r="X414" s="1156" t="str">
        <f>VLOOKUP(IFERROR(MID($Y414,1,FIND("-",$Y414)-2),$Y414),Table3[#All],2,0)</f>
        <v>Standard Chartered</v>
      </c>
      <c r="Y414" s="1156" t="str">
        <f>VLOOKUP($B414,Table4[#All],2,0)</f>
        <v>STANDARD CHARTERED</v>
      </c>
      <c r="Z414" s="1151"/>
      <c r="AA414" s="49"/>
    </row>
    <row r="415" spans="1:27">
      <c r="A415" s="1153" t="str">
        <f>VLOOKUP('Cash Balance'!$C415,Table2[#All],MATCH('Cash Balance'!A$3,Acc_Char!$B$1:$I$1,0),0)</f>
        <v>SONG THAN 2</v>
      </c>
      <c r="B415" s="1154" t="str">
        <f>VLOOKUP('Cash Balance'!$C415,Table2[#All],MATCH('Cash Balance'!B$3,Acc_Char!$B$1:$I$1,0),0)</f>
        <v>STANDARD CHARTERED</v>
      </c>
      <c r="C415" s="1190" t="s">
        <v>1024</v>
      </c>
      <c r="D415" s="1156" t="str">
        <f>VLOOKUP('Cash Balance'!$C415,Table2[#All],MATCH('Cash Balance'!D$3,Acc_Char!$B$1:$I$1,0),0)</f>
        <v>Current Account</v>
      </c>
      <c r="E415" s="384" t="str">
        <f>VLOOKUP('Cash Balance'!$C415,Table2[#All],MATCH('Cash Balance'!E$3,Acc_Char!$B$1:$I$1,0),0)</f>
        <v>USD</v>
      </c>
      <c r="F415" s="1094" t="e">
        <f>VLOOKUP(C415,'Cash balance (BS)'!A:C,3,)</f>
        <v>#N/A</v>
      </c>
      <c r="G415" s="1191" t="e">
        <f>F415-H415</f>
        <v>#N/A</v>
      </c>
      <c r="H415" s="1318">
        <f>SUMIFS('Cash balance (Prior period)'!F:F,'Cash balance (Prior period)'!C:C,Table11[[#This Row],[ACCOUNT NUMBER]],'Cash balance (Prior period)'!E:E,Table11[[#This Row],[CURRENCY]])</f>
        <v>0</v>
      </c>
      <c r="I415" s="1318">
        <f>SUMIFS(Movement!$F$4:$F$2136,Movement!$M$4:$M$2136,"VND",Movement!$C$4:$C$2136,Table11[[#This Row],[ACCOUNT NUMBER]],Movement!$J$4:$J$2136,Table11[[#This Row],[ENTITY]],Movement!$O$4:$O$2136,'Cash Balance'!$A$2)</f>
        <v>0</v>
      </c>
      <c r="J415" s="1318">
        <f>SUMIFS(Movement!$G$4:$G$2136,Movement!$M$4:$M$2136,"VND",Movement!$C$4:$C$2136,Table11[[#This Row],[ACCOUNT NUMBER]],Movement!$J$4:$J$2136,Table11[[#This Row],[ENTITY]],Movement!$O$4:$O$2136,'Cash Balance'!$A$2)</f>
        <v>0</v>
      </c>
      <c r="K415" s="1084">
        <f>Table11[[#This Row],[CASH IN - CREDIT (VND)]]-Table11[[#This Row],[CASH OUT - DEBIT (VND)]]</f>
        <v>0</v>
      </c>
      <c r="L415" s="1095">
        <f t="shared" si="39"/>
        <v>0</v>
      </c>
      <c r="M415" s="1184" t="e">
        <f>VLOOKUP(C415,'Cash balance (BS)'!A:D,4,)</f>
        <v>#N/A</v>
      </c>
      <c r="N415" s="1095" t="e">
        <f>Table11[[#This Row],[CLOSING BALANCE (VND)2]]-Table11[[#This Row],[CB_BS (VND)]]</f>
        <v>#N/A</v>
      </c>
      <c r="O415" s="1094">
        <v>0</v>
      </c>
      <c r="P415" s="1095">
        <f t="shared" si="40"/>
        <v>0</v>
      </c>
      <c r="Q415" s="817">
        <f>SUMIFS('Cash balance (Prior period)'!G:G,'Cash balance (Prior period)'!C:C,Table11[[#This Row],[ACCOUNT NUMBER]],'Cash balance (Prior period)'!E:E,Table11[[#This Row],[CURRENCY]])</f>
        <v>0</v>
      </c>
      <c r="R415" s="817">
        <f>SUMIFS(Movement!$F$4:$F$2136,Movement!$M$4:$M$2136,"USD",Movement!$C$4:$C$2136,Table11[[#This Row],[ACCOUNT NUMBER]],Movement!$J$4:$J$2136,Table11[[#This Row],[ENTITY]],Movement!$O$4:$O$2136,'Cash Balance'!$A$2)</f>
        <v>0</v>
      </c>
      <c r="S415" s="817">
        <f>SUMIFS(Movement!$G$4:$G$2136,Movement!$M$4:$M$2136,"USD",Movement!$C$4:$C$2136,Table11[[#This Row],[ACCOUNT NUMBER]],Movement!$J$4:$J$2136,Table11[[#This Row],[ENTITY]],Movement!$O$4:$O$2136,'Cash Balance'!$A$2)</f>
        <v>0</v>
      </c>
      <c r="T415" s="1087">
        <f t="shared" si="41"/>
        <v>0</v>
      </c>
      <c r="U415" s="817"/>
      <c r="V415" s="817">
        <f>Table11[[#This Row],[CLOSING BALANCE (USD)]]-Table11[[#This Row],[CB_BS (USD)]]</f>
        <v>0</v>
      </c>
      <c r="W415" s="1156" t="str">
        <f>VLOOKUP('Cash Balance'!$C415,Table2[#All],MATCH('Cash Balance'!W$3,Acc_Char!$B$1:$I$1,0),0)</f>
        <v>Subsidiaries</v>
      </c>
      <c r="X415" s="1156" t="str">
        <f>VLOOKUP(IFERROR(MID($Y415,1,FIND("-",$Y415)-2),$Y415),Table3[#All],2,0)</f>
        <v>Standard Chartered</v>
      </c>
      <c r="Y415" s="1156" t="str">
        <f>VLOOKUP($B415,Table4[#All],2,0)</f>
        <v>STANDARD CHARTERED</v>
      </c>
      <c r="Z415" s="1151"/>
      <c r="AA415" s="49"/>
    </row>
    <row r="416" spans="1:27">
      <c r="A416" s="1153" t="str">
        <f>VLOOKUP('Cash Balance'!$C416,Table2[#All],MATCH('Cash Balance'!A$3,Acc_Char!$B$1:$I$1,0),0)</f>
        <v>LE MINH XUAN 3</v>
      </c>
      <c r="B416" s="1154" t="str">
        <f>VLOOKUP('Cash Balance'!$C416,Table2[#All],MATCH('Cash Balance'!B$3,Acc_Char!$B$1:$I$1,0),0)</f>
        <v>STANDARD CHARTERED</v>
      </c>
      <c r="C416" s="1190" t="s">
        <v>1025</v>
      </c>
      <c r="D416" s="1156" t="str">
        <f>VLOOKUP('Cash Balance'!$C416,Table2[#All],MATCH('Cash Balance'!D$3,Acc_Char!$B$1:$I$1,0),0)</f>
        <v>Capital Account</v>
      </c>
      <c r="E416" s="384" t="str">
        <f>VLOOKUP('Cash Balance'!$C416,Table2[#All],MATCH('Cash Balance'!E$3,Acc_Char!$B$1:$I$1,0),0)</f>
        <v>VND</v>
      </c>
      <c r="F416" s="1094" t="e">
        <f>VLOOKUP(C416,'Cash balance (BS)'!A:C,3,)</f>
        <v>#N/A</v>
      </c>
      <c r="G416" s="1191" t="e">
        <f>F416-H416</f>
        <v>#N/A</v>
      </c>
      <c r="H416" s="1318">
        <f>SUMIFS('Cash balance (Prior period)'!F:F,'Cash balance (Prior period)'!C:C,Table11[[#This Row],[ACCOUNT NUMBER]],'Cash balance (Prior period)'!E:E,Table11[[#This Row],[CURRENCY]])</f>
        <v>0</v>
      </c>
      <c r="I416" s="1318">
        <f>SUMIFS(Movement!$F$4:$F$2136,Movement!$M$4:$M$2136,"VND",Movement!$C$4:$C$2136,Table11[[#This Row],[ACCOUNT NUMBER]],Movement!$J$4:$J$2136,Table11[[#This Row],[ENTITY]],Movement!$O$4:$O$2136,'Cash Balance'!$A$2)</f>
        <v>0</v>
      </c>
      <c r="J416" s="1318">
        <f>SUMIFS(Movement!$G$4:$G$2136,Movement!$M$4:$M$2136,"VND",Movement!$C$4:$C$2136,Table11[[#This Row],[ACCOUNT NUMBER]],Movement!$J$4:$J$2136,Table11[[#This Row],[ENTITY]],Movement!$O$4:$O$2136,'Cash Balance'!$A$2)</f>
        <v>0</v>
      </c>
      <c r="K416" s="1084">
        <f>Table11[[#This Row],[CASH IN - CREDIT (VND)]]-Table11[[#This Row],[CASH OUT - DEBIT (VND)]]</f>
        <v>0</v>
      </c>
      <c r="L416" s="1095">
        <f t="shared" si="39"/>
        <v>0</v>
      </c>
      <c r="M416" s="1184" t="e">
        <f>VLOOKUP(C416,'Cash balance (BS)'!A:D,4,)</f>
        <v>#N/A</v>
      </c>
      <c r="N416" s="1095" t="e">
        <f>Table11[[#This Row],[CLOSING BALANCE (VND)2]]-Table11[[#This Row],[CB_BS (VND)]]</f>
        <v>#N/A</v>
      </c>
      <c r="O416" s="1094">
        <v>0</v>
      </c>
      <c r="P416" s="1095">
        <f t="shared" si="40"/>
        <v>0</v>
      </c>
      <c r="Q416" s="817">
        <f>SUMIFS('Cash balance (Prior period)'!G:G,'Cash balance (Prior period)'!C:C,Table11[[#This Row],[ACCOUNT NUMBER]],'Cash balance (Prior period)'!E:E,Table11[[#This Row],[CURRENCY]])</f>
        <v>0</v>
      </c>
      <c r="R416" s="817">
        <f>SUMIFS(Movement!$F$4:$F$2136,Movement!$M$4:$M$2136,"USD",Movement!$C$4:$C$2136,Table11[[#This Row],[ACCOUNT NUMBER]],Movement!$J$4:$J$2136,Table11[[#This Row],[ENTITY]],Movement!$O$4:$O$2136,'Cash Balance'!$A$2)</f>
        <v>0</v>
      </c>
      <c r="S416" s="817">
        <f>SUMIFS(Movement!$G$4:$G$2136,Movement!$M$4:$M$2136,"USD",Movement!$C$4:$C$2136,Table11[[#This Row],[ACCOUNT NUMBER]],Movement!$J$4:$J$2136,Table11[[#This Row],[ENTITY]],Movement!$O$4:$O$2136,'Cash Balance'!$A$2)</f>
        <v>0</v>
      </c>
      <c r="T416" s="1087">
        <f t="shared" si="41"/>
        <v>0</v>
      </c>
      <c r="U416" s="817">
        <v>0</v>
      </c>
      <c r="V416" s="817">
        <f>Table11[[#This Row],[CLOSING BALANCE (USD)]]-Table11[[#This Row],[CB_BS (USD)]]</f>
        <v>0</v>
      </c>
      <c r="W416" s="1156" t="str">
        <f>VLOOKUP('Cash Balance'!$C416,Table2[#All],MATCH('Cash Balance'!W$3,Acc_Char!$B$1:$I$1,0),0)</f>
        <v>Subsidiaries</v>
      </c>
      <c r="X416" s="1156" t="str">
        <f>VLOOKUP(IFERROR(MID($Y416,1,FIND("-",$Y416)-2),$Y416),Table3[#All],2,0)</f>
        <v>Standard Chartered</v>
      </c>
      <c r="Y416" s="1156" t="str">
        <f>VLOOKUP($B416,Table4[#All],2,0)</f>
        <v>STANDARD CHARTERED</v>
      </c>
      <c r="Z416" s="1151"/>
      <c r="AA416" s="49"/>
    </row>
    <row r="417" spans="1:27">
      <c r="A417" s="1153" t="str">
        <f>VLOOKUP('Cash Balance'!$C417,Table2[#All],MATCH('Cash Balance'!A$3,Acc_Char!$B$1:$I$1,0),0)</f>
        <v>LE MINH XUAN 3</v>
      </c>
      <c r="B417" s="1154" t="str">
        <f>VLOOKUP('Cash Balance'!$C417,Table2[#All],MATCH('Cash Balance'!B$3,Acc_Char!$B$1:$I$1,0),0)</f>
        <v>STANDARD CHARTERED</v>
      </c>
      <c r="C417" s="1190" t="s">
        <v>1026</v>
      </c>
      <c r="D417" s="1156" t="str">
        <f>VLOOKUP('Cash Balance'!$C417,Table2[#All],MATCH('Cash Balance'!D$3,Acc_Char!$B$1:$I$1,0),0)</f>
        <v>Capital Account</v>
      </c>
      <c r="E417" s="384" t="str">
        <f>VLOOKUP('Cash Balance'!$C417,Table2[#All],MATCH('Cash Balance'!E$3,Acc_Char!$B$1:$I$1,0),0)</f>
        <v>USD</v>
      </c>
      <c r="F417" s="1094"/>
      <c r="G417" s="1191">
        <f>F417-H417</f>
        <v>0</v>
      </c>
      <c r="H417" s="1318">
        <f>SUMIFS('Cash balance (Prior period)'!F:F,'Cash balance (Prior period)'!C:C,Table11[[#This Row],[ACCOUNT NUMBER]],'Cash balance (Prior period)'!E:E,Table11[[#This Row],[CURRENCY]])</f>
        <v>0</v>
      </c>
      <c r="I417" s="1318">
        <f>SUMIFS(Movement!$F$4:$F$2136,Movement!$M$4:$M$2136,"VND",Movement!$C$4:$C$2136,Table11[[#This Row],[ACCOUNT NUMBER]],Movement!$J$4:$J$2136,Table11[[#This Row],[ENTITY]],Movement!$O$4:$O$2136,'Cash Balance'!$A$2)</f>
        <v>0</v>
      </c>
      <c r="J417" s="1318">
        <f>SUMIFS(Movement!$G$4:$G$2136,Movement!$M$4:$M$2136,"VND",Movement!$C$4:$C$2136,Table11[[#This Row],[ACCOUNT NUMBER]],Movement!$J$4:$J$2136,Table11[[#This Row],[ENTITY]],Movement!$O$4:$O$2136,'Cash Balance'!$A$2)</f>
        <v>0</v>
      </c>
      <c r="K417" s="1084">
        <f>Table11[[#This Row],[CASH IN - CREDIT (VND)]]-Table11[[#This Row],[CASH OUT - DEBIT (VND)]]</f>
        <v>0</v>
      </c>
      <c r="L417" s="1095">
        <f t="shared" si="39"/>
        <v>0</v>
      </c>
      <c r="M417" s="1184" t="e">
        <f>VLOOKUP(C417,'Cash balance (BS)'!A:D,4,)</f>
        <v>#N/A</v>
      </c>
      <c r="N417" s="1095" t="e">
        <f>Table11[[#This Row],[CLOSING BALANCE (VND)2]]-Table11[[#This Row],[CB_BS (VND)]]</f>
        <v>#N/A</v>
      </c>
      <c r="O417" s="1094">
        <v>0</v>
      </c>
      <c r="P417" s="1095">
        <f t="shared" si="40"/>
        <v>0</v>
      </c>
      <c r="Q417" s="817">
        <f>SUMIFS('Cash balance (Prior period)'!G:G,'Cash balance (Prior period)'!C:C,Table11[[#This Row],[ACCOUNT NUMBER]],'Cash balance (Prior period)'!E:E,Table11[[#This Row],[CURRENCY]])</f>
        <v>0</v>
      </c>
      <c r="R417" s="817">
        <f>SUMIFS(Movement!$F$4:$F$2136,Movement!$M$4:$M$2136,"USD",Movement!$C$4:$C$2136,Table11[[#This Row],[ACCOUNT NUMBER]],Movement!$J$4:$J$2136,Table11[[#This Row],[ENTITY]],Movement!$O$4:$O$2136,'Cash Balance'!$A$2)</f>
        <v>0</v>
      </c>
      <c r="S417" s="817">
        <f>SUMIFS(Movement!$G$4:$G$2136,Movement!$M$4:$M$2136,"USD",Movement!$C$4:$C$2136,Table11[[#This Row],[ACCOUNT NUMBER]],Movement!$J$4:$J$2136,Table11[[#This Row],[ENTITY]],Movement!$O$4:$O$2136,'Cash Balance'!$A$2)</f>
        <v>0</v>
      </c>
      <c r="T417" s="1087">
        <f t="shared" si="41"/>
        <v>0</v>
      </c>
      <c r="U417" s="817" t="e">
        <f>VLOOKUP(C417,'Cash balance (BS)'!A:D,4,)</f>
        <v>#N/A</v>
      </c>
      <c r="V417" s="817" t="e">
        <f>Table11[[#This Row],[CLOSING BALANCE (USD)]]-Table11[[#This Row],[CB_BS (USD)]]</f>
        <v>#N/A</v>
      </c>
      <c r="W417" s="1156" t="str">
        <f>VLOOKUP('Cash Balance'!$C417,Table2[#All],MATCH('Cash Balance'!W$3,Acc_Char!$B$1:$I$1,0),0)</f>
        <v>Subsidiaries</v>
      </c>
      <c r="X417" s="1156" t="str">
        <f>VLOOKUP(IFERROR(MID($Y417,1,FIND("-",$Y417)-2),$Y417),Table3[#All],2,0)</f>
        <v>Standard Chartered</v>
      </c>
      <c r="Y417" s="1156" t="str">
        <f>VLOOKUP($B417,Table4[#All],2,0)</f>
        <v>STANDARD CHARTERED</v>
      </c>
      <c r="Z417" s="1151"/>
      <c r="AA417" s="49"/>
    </row>
    <row r="418" spans="1:27">
      <c r="A418" s="1153" t="str">
        <f>VLOOKUP('Cash Balance'!$C418,Table2[#All],MATCH('Cash Balance'!A$3,Acc_Char!$B$1:$I$1,0),0)</f>
        <v>LE MINH XUAN 3</v>
      </c>
      <c r="B418" s="1154" t="str">
        <f>VLOOKUP('Cash Balance'!$C418,Table2[#All],MATCH('Cash Balance'!B$3,Acc_Char!$B$1:$I$1,0),0)</f>
        <v>STANDARD CHARTERED</v>
      </c>
      <c r="C418" s="1190" t="s">
        <v>1027</v>
      </c>
      <c r="D418" s="1156" t="str">
        <f>VLOOKUP('Cash Balance'!$C418,Table2[#All],MATCH('Cash Balance'!D$3,Acc_Char!$B$1:$I$1,0),0)</f>
        <v>Current Account</v>
      </c>
      <c r="E418" s="384" t="str">
        <f>VLOOKUP('Cash Balance'!$C418,Table2[#All],MATCH('Cash Balance'!E$3,Acc_Char!$B$1:$I$1,0),0)</f>
        <v>USD</v>
      </c>
      <c r="F418" s="1094"/>
      <c r="G418" s="1191"/>
      <c r="H418" s="1318">
        <f>SUMIFS('Cash balance (Prior period)'!F:F,'Cash balance (Prior period)'!C:C,Table11[[#This Row],[ACCOUNT NUMBER]],'Cash balance (Prior period)'!E:E,Table11[[#This Row],[CURRENCY]])</f>
        <v>0</v>
      </c>
      <c r="I418" s="1318">
        <f>SUMIFS(Movement!$F$4:$F$2136,Movement!$M$4:$M$2136,"VND",Movement!$C$4:$C$2136,Table11[[#This Row],[ACCOUNT NUMBER]],Movement!$J$4:$J$2136,Table11[[#This Row],[ENTITY]],Movement!$O$4:$O$2136,'Cash Balance'!$A$2)</f>
        <v>0</v>
      </c>
      <c r="J418" s="1318">
        <f>SUMIFS(Movement!$G$4:$G$2136,Movement!$M$4:$M$2136,"VND",Movement!$C$4:$C$2136,Table11[[#This Row],[ACCOUNT NUMBER]],Movement!$J$4:$J$2136,Table11[[#This Row],[ENTITY]],Movement!$O$4:$O$2136,'Cash Balance'!$A$2)</f>
        <v>0</v>
      </c>
      <c r="K418" s="1084">
        <f>Table11[[#This Row],[CASH IN - CREDIT (VND)]]-Table11[[#This Row],[CASH OUT - DEBIT (VND)]]</f>
        <v>0</v>
      </c>
      <c r="L418" s="1095">
        <f t="shared" si="39"/>
        <v>0</v>
      </c>
      <c r="M418" s="1184" t="e">
        <f>VLOOKUP(C418,'Cash balance (BS)'!A:D,4,)</f>
        <v>#N/A</v>
      </c>
      <c r="N418" s="1095" t="e">
        <f>Table11[[#This Row],[CLOSING BALANCE (VND)2]]-Table11[[#This Row],[CB_BS (VND)]]</f>
        <v>#N/A</v>
      </c>
      <c r="O418" s="1094">
        <v>0</v>
      </c>
      <c r="P418" s="1095">
        <f t="shared" si="40"/>
        <v>0</v>
      </c>
      <c r="Q418" s="817">
        <f>SUMIFS('Cash balance (Prior period)'!G:G,'Cash balance (Prior period)'!C:C,Table11[[#This Row],[ACCOUNT NUMBER]],'Cash balance (Prior period)'!E:E,Table11[[#This Row],[CURRENCY]])</f>
        <v>0</v>
      </c>
      <c r="R418" s="817">
        <f>SUMIFS(Movement!$F$4:$F$2136,Movement!$M$4:$M$2136,"USD",Movement!$C$4:$C$2136,Table11[[#This Row],[ACCOUNT NUMBER]],Movement!$J$4:$J$2136,Table11[[#This Row],[ENTITY]],Movement!$O$4:$O$2136,'Cash Balance'!$A$2)</f>
        <v>0</v>
      </c>
      <c r="S418" s="817">
        <f>SUMIFS(Movement!$G$4:$G$2136,Movement!$M$4:$M$2136,"USD",Movement!$C$4:$C$2136,Table11[[#This Row],[ACCOUNT NUMBER]],Movement!$J$4:$J$2136,Table11[[#This Row],[ENTITY]],Movement!$O$4:$O$2136,'Cash Balance'!$A$2)</f>
        <v>0</v>
      </c>
      <c r="T418" s="1087">
        <f t="shared" si="41"/>
        <v>0</v>
      </c>
      <c r="U418" s="817" t="e">
        <f>VLOOKUP(C418,'Cash balance (BS)'!A:D,4,)</f>
        <v>#N/A</v>
      </c>
      <c r="V418" s="817" t="e">
        <f>Table11[[#This Row],[CLOSING BALANCE (USD)]]-Table11[[#This Row],[CB_BS (USD)]]</f>
        <v>#N/A</v>
      </c>
      <c r="W418" s="1156" t="str">
        <f>VLOOKUP('Cash Balance'!$C418,Table2[#All],MATCH('Cash Balance'!W$3,Acc_Char!$B$1:$I$1,0),0)</f>
        <v>Subsidiaries</v>
      </c>
      <c r="X418" s="1156" t="str">
        <f>VLOOKUP(IFERROR(MID($Y418,1,FIND("-",$Y418)-2),$Y418),Table3[#All],2,0)</f>
        <v>Standard Chartered</v>
      </c>
      <c r="Y418" s="1156" t="str">
        <f>VLOOKUP($B418,Table4[#All],2,0)</f>
        <v>STANDARD CHARTERED</v>
      </c>
      <c r="Z418" s="1151"/>
      <c r="AA418" s="49"/>
    </row>
    <row r="419" spans="1:27">
      <c r="A419" s="1153" t="str">
        <f>VLOOKUP('Cash Balance'!$C419,Table2[#All],MATCH('Cash Balance'!A$3,Acc_Char!$B$1:$I$1,0),0)</f>
        <v>TAN DONG HIEP B ELECTRON</v>
      </c>
      <c r="B419" s="1154" t="str">
        <f>VLOOKUP('Cash Balance'!$C419,Table2[#All],MATCH('Cash Balance'!B$3,Acc_Char!$B$1:$I$1,0),0)</f>
        <v>STANDARD CHARTERED</v>
      </c>
      <c r="C419" s="1190" t="s">
        <v>1029</v>
      </c>
      <c r="D419" s="1156" t="str">
        <f>VLOOKUP('Cash Balance'!$C419,Table2[#All],MATCH('Cash Balance'!D$3,Acc_Char!$B$1:$I$1,0),0)</f>
        <v>Capital Account</v>
      </c>
      <c r="E419" s="384" t="str">
        <f>VLOOKUP('Cash Balance'!$C419,Table2[#All],MATCH('Cash Balance'!E$3,Acc_Char!$B$1:$I$1,0),0)</f>
        <v>VND</v>
      </c>
      <c r="F419" s="1094" t="e">
        <f>VLOOKUP(C419,'Cash balance (BS)'!A:C,3,)</f>
        <v>#N/A</v>
      </c>
      <c r="G419" s="1191" t="e">
        <f>F419-H419</f>
        <v>#N/A</v>
      </c>
      <c r="H419" s="1318">
        <f>SUMIFS('Cash balance (Prior period)'!F:F,'Cash balance (Prior period)'!C:C,Table11[[#This Row],[ACCOUNT NUMBER]],'Cash balance (Prior period)'!E:E,Table11[[#This Row],[CURRENCY]])</f>
        <v>0</v>
      </c>
      <c r="I419" s="1318">
        <f>SUMIFS(Movement!$F$4:$F$2136,Movement!$M$4:$M$2136,"VND",Movement!$C$4:$C$2136,Table11[[#This Row],[ACCOUNT NUMBER]],Movement!$J$4:$J$2136,Table11[[#This Row],[ENTITY]],Movement!$O$4:$O$2136,'Cash Balance'!$A$2)</f>
        <v>0</v>
      </c>
      <c r="J419" s="1318">
        <f>SUMIFS(Movement!$G$4:$G$2136,Movement!$M$4:$M$2136,"VND",Movement!$C$4:$C$2136,Table11[[#This Row],[ACCOUNT NUMBER]],Movement!$J$4:$J$2136,Table11[[#This Row],[ENTITY]],Movement!$O$4:$O$2136,'Cash Balance'!$A$2)</f>
        <v>0</v>
      </c>
      <c r="K419" s="1084">
        <f>Table11[[#This Row],[CASH IN - CREDIT (VND)]]-Table11[[#This Row],[CASH OUT - DEBIT (VND)]]</f>
        <v>0</v>
      </c>
      <c r="L419" s="1095">
        <f t="shared" si="39"/>
        <v>0</v>
      </c>
      <c r="M419" s="1184" t="e">
        <f>VLOOKUP(C419,'Cash balance (BS)'!A:D,4,)</f>
        <v>#N/A</v>
      </c>
      <c r="N419" s="1095" t="e">
        <f>Table11[[#This Row],[CLOSING BALANCE (VND)2]]-Table11[[#This Row],[CB_BS (VND)]]</f>
        <v>#N/A</v>
      </c>
      <c r="O419" s="1094">
        <v>0</v>
      </c>
      <c r="P419" s="1095">
        <f t="shared" si="40"/>
        <v>0</v>
      </c>
      <c r="Q419" s="817">
        <f>SUMIFS('Cash balance (Prior period)'!G:G,'Cash balance (Prior period)'!C:C,Table11[[#This Row],[ACCOUNT NUMBER]],'Cash balance (Prior period)'!E:E,Table11[[#This Row],[CURRENCY]])</f>
        <v>0</v>
      </c>
      <c r="R419" s="817">
        <f>SUMIFS(Movement!$F$4:$F$2136,Movement!$M$4:$M$2136,"USD",Movement!$C$4:$C$2136,Table11[[#This Row],[ACCOUNT NUMBER]],Movement!$J$4:$J$2136,Table11[[#This Row],[ENTITY]],Movement!$O$4:$O$2136,'Cash Balance'!$A$2)</f>
        <v>0</v>
      </c>
      <c r="S419" s="817">
        <f>SUMIFS(Movement!$G$4:$G$2136,Movement!$M$4:$M$2136,"USD",Movement!$C$4:$C$2136,Table11[[#This Row],[ACCOUNT NUMBER]],Movement!$J$4:$J$2136,Table11[[#This Row],[ENTITY]],Movement!$O$4:$O$2136,'Cash Balance'!$A$2)</f>
        <v>0</v>
      </c>
      <c r="T419" s="1087">
        <f t="shared" si="41"/>
        <v>0</v>
      </c>
      <c r="U419" s="817">
        <v>0</v>
      </c>
      <c r="V419" s="817">
        <f>Table11[[#This Row],[CLOSING BALANCE (USD)]]-Table11[[#This Row],[CB_BS (USD)]]</f>
        <v>0</v>
      </c>
      <c r="W419" s="1156" t="str">
        <f>VLOOKUP('Cash Balance'!$C419,Table2[#All],MATCH('Cash Balance'!W$3,Acc_Char!$B$1:$I$1,0),0)</f>
        <v>Subsidiaries</v>
      </c>
      <c r="X419" s="1156" t="str">
        <f>VLOOKUP(IFERROR(MID($Y419,1,FIND("-",$Y419)-2),$Y419),Table3[#All],2,0)</f>
        <v>Standard Chartered</v>
      </c>
      <c r="Y419" s="1156" t="str">
        <f>VLOOKUP($B419,Table4[#All],2,0)</f>
        <v>STANDARD CHARTERED</v>
      </c>
      <c r="Z419" s="1151"/>
      <c r="AA419" s="49"/>
    </row>
    <row r="420" spans="1:27">
      <c r="A420" s="1153" t="str">
        <f>VLOOKUP('Cash Balance'!$C420,Table2[#All],MATCH('Cash Balance'!A$3,Acc_Char!$B$1:$I$1,0),0)</f>
        <v>TAN DONG HIEP B ELECTRON</v>
      </c>
      <c r="B420" s="1154" t="str">
        <f>VLOOKUP('Cash Balance'!$C420,Table2[#All],MATCH('Cash Balance'!B$3,Acc_Char!$B$1:$I$1,0),0)</f>
        <v>STANDARD CHARTERED</v>
      </c>
      <c r="C420" s="1190" t="s">
        <v>1030</v>
      </c>
      <c r="D420" s="1156" t="str">
        <f>VLOOKUP('Cash Balance'!$C420,Table2[#All],MATCH('Cash Balance'!D$3,Acc_Char!$B$1:$I$1,0),0)</f>
        <v>Capital Account</v>
      </c>
      <c r="E420" s="384" t="str">
        <f>VLOOKUP('Cash Balance'!$C420,Table2[#All],MATCH('Cash Balance'!E$3,Acc_Char!$B$1:$I$1,0),0)</f>
        <v>USD</v>
      </c>
      <c r="F420" s="1094"/>
      <c r="G420" s="1191">
        <f>F420-H420</f>
        <v>0</v>
      </c>
      <c r="H420" s="1318">
        <f>SUMIFS('Cash balance (Prior period)'!F:F,'Cash balance (Prior period)'!C:C,Table11[[#This Row],[ACCOUNT NUMBER]],'Cash balance (Prior period)'!E:E,Table11[[#This Row],[CURRENCY]])</f>
        <v>0</v>
      </c>
      <c r="I420" s="1318">
        <f>SUMIFS(Movement!$F$4:$F$2136,Movement!$M$4:$M$2136,"VND",Movement!$C$4:$C$2136,Table11[[#This Row],[ACCOUNT NUMBER]],Movement!$J$4:$J$2136,Table11[[#This Row],[ENTITY]],Movement!$O$4:$O$2136,'Cash Balance'!$A$2)</f>
        <v>0</v>
      </c>
      <c r="J420" s="1318">
        <f>SUMIFS(Movement!$G$4:$G$2136,Movement!$M$4:$M$2136,"VND",Movement!$C$4:$C$2136,Table11[[#This Row],[ACCOUNT NUMBER]],Movement!$J$4:$J$2136,Table11[[#This Row],[ENTITY]],Movement!$O$4:$O$2136,'Cash Balance'!$A$2)</f>
        <v>0</v>
      </c>
      <c r="K420" s="1084">
        <f>Table11[[#This Row],[CASH IN - CREDIT (VND)]]-Table11[[#This Row],[CASH OUT - DEBIT (VND)]]</f>
        <v>0</v>
      </c>
      <c r="L420" s="1095">
        <f t="shared" si="39"/>
        <v>0</v>
      </c>
      <c r="M420" s="1184" t="e">
        <f>VLOOKUP(C420,'Cash balance (BS)'!A:D,4,)</f>
        <v>#N/A</v>
      </c>
      <c r="N420" s="1095" t="e">
        <f>Table11[[#This Row],[CLOSING BALANCE (VND)2]]-Table11[[#This Row],[CB_BS (VND)]]</f>
        <v>#N/A</v>
      </c>
      <c r="O420" s="1094">
        <v>0</v>
      </c>
      <c r="P420" s="1095">
        <f t="shared" si="40"/>
        <v>0</v>
      </c>
      <c r="Q420" s="817">
        <f>SUMIFS('Cash balance (Prior period)'!G:G,'Cash balance (Prior period)'!C:C,Table11[[#This Row],[ACCOUNT NUMBER]],'Cash balance (Prior period)'!E:E,Table11[[#This Row],[CURRENCY]])</f>
        <v>0</v>
      </c>
      <c r="R420" s="817">
        <f>SUMIFS(Movement!$F$4:$F$2136,Movement!$M$4:$M$2136,"USD",Movement!$C$4:$C$2136,Table11[[#This Row],[ACCOUNT NUMBER]],Movement!$J$4:$J$2136,Table11[[#This Row],[ENTITY]],Movement!$O$4:$O$2136,'Cash Balance'!$A$2)</f>
        <v>0</v>
      </c>
      <c r="S420" s="817">
        <f>SUMIFS(Movement!$G$4:$G$2136,Movement!$M$4:$M$2136,"USD",Movement!$C$4:$C$2136,Table11[[#This Row],[ACCOUNT NUMBER]],Movement!$J$4:$J$2136,Table11[[#This Row],[ENTITY]],Movement!$O$4:$O$2136,'Cash Balance'!$A$2)</f>
        <v>0</v>
      </c>
      <c r="T420" s="1087">
        <f t="shared" si="41"/>
        <v>0</v>
      </c>
      <c r="U420" s="817" t="e">
        <f>VLOOKUP(C420,'Cash balance (BS)'!A:D,4,)</f>
        <v>#N/A</v>
      </c>
      <c r="V420" s="817" t="e">
        <f>Table11[[#This Row],[CLOSING BALANCE (USD)]]-Table11[[#This Row],[CB_BS (USD)]]</f>
        <v>#N/A</v>
      </c>
      <c r="W420" s="1156" t="str">
        <f>VLOOKUP('Cash Balance'!$C420,Table2[#All],MATCH('Cash Balance'!W$3,Acc_Char!$B$1:$I$1,0),0)</f>
        <v>Subsidiaries</v>
      </c>
      <c r="X420" s="1156" t="str">
        <f>VLOOKUP(IFERROR(MID($Y420,1,FIND("-",$Y420)-2),$Y420),Table3[#All],2,0)</f>
        <v>Standard Chartered</v>
      </c>
      <c r="Y420" s="1156" t="str">
        <f>VLOOKUP($B420,Table4[#All],2,0)</f>
        <v>STANDARD CHARTERED</v>
      </c>
      <c r="Z420" s="1151"/>
      <c r="AA420" s="49"/>
    </row>
    <row r="421" spans="1:27">
      <c r="A421" s="1153" t="str">
        <f>VLOOKUP('Cash Balance'!$C421,Table2[#All],MATCH('Cash Balance'!A$3,Acc_Char!$B$1:$I$1,0),0)</f>
        <v>TAN DONG HIEP B ELECTRON</v>
      </c>
      <c r="B421" s="1154" t="str">
        <f>VLOOKUP('Cash Balance'!$C421,Table2[#All],MATCH('Cash Balance'!B$3,Acc_Char!$B$1:$I$1,0),0)</f>
        <v>STANDARD CHARTERED</v>
      </c>
      <c r="C421" s="1190" t="s">
        <v>1031</v>
      </c>
      <c r="D421" s="1156" t="str">
        <f>VLOOKUP('Cash Balance'!$C421,Table2[#All],MATCH('Cash Balance'!D$3,Acc_Char!$B$1:$I$1,0),0)</f>
        <v>Current Account</v>
      </c>
      <c r="E421" s="384" t="str">
        <f>VLOOKUP('Cash Balance'!$C421,Table2[#All],MATCH('Cash Balance'!E$3,Acc_Char!$B$1:$I$1,0),0)</f>
        <v>VND</v>
      </c>
      <c r="F421" s="1094"/>
      <c r="G421" s="1191"/>
      <c r="H421" s="1318">
        <f>SUMIFS('Cash balance (Prior period)'!F:F,'Cash balance (Prior period)'!C:C,Table11[[#This Row],[ACCOUNT NUMBER]],'Cash balance (Prior period)'!E:E,Table11[[#This Row],[CURRENCY]])</f>
        <v>190285499</v>
      </c>
      <c r="I421" s="1318">
        <f>SUMIFS(Movement!$F$4:$F$2136,Movement!$M$4:$M$2136,"VND",Movement!$C$4:$C$2136,Table11[[#This Row],[ACCOUNT NUMBER]],Movement!$J$4:$J$2136,Table11[[#This Row],[ENTITY]],Movement!$O$4:$O$2136,'Cash Balance'!$A$2)</f>
        <v>0</v>
      </c>
      <c r="J421" s="1318">
        <f>SUMIFS(Movement!$G$4:$G$2136,Movement!$M$4:$M$2136,"VND",Movement!$C$4:$C$2136,Table11[[#This Row],[ACCOUNT NUMBER]],Movement!$J$4:$J$2136,Table11[[#This Row],[ENTITY]],Movement!$O$4:$O$2136,'Cash Balance'!$A$2)</f>
        <v>0</v>
      </c>
      <c r="K421" s="1084">
        <f>Table11[[#This Row],[CASH IN - CREDIT (VND)]]-Table11[[#This Row],[CASH OUT - DEBIT (VND)]]</f>
        <v>0</v>
      </c>
      <c r="L421" s="1095">
        <f t="shared" si="39"/>
        <v>190285499</v>
      </c>
      <c r="M421" s="1184" t="e">
        <f>VLOOKUP(C421,'Cash balance (BS)'!A:D,4,)</f>
        <v>#N/A</v>
      </c>
      <c r="N421" s="1095" t="e">
        <f>Table11[[#This Row],[CLOSING BALANCE (VND)2]]-Table11[[#This Row],[CB_BS (VND)]]</f>
        <v>#N/A</v>
      </c>
      <c r="O421" s="1094">
        <v>0</v>
      </c>
      <c r="P421" s="1095">
        <f t="shared" si="40"/>
        <v>0</v>
      </c>
      <c r="Q421" s="817">
        <f>SUMIFS('Cash balance (Prior period)'!G:G,'Cash balance (Prior period)'!C:C,Table11[[#This Row],[ACCOUNT NUMBER]],'Cash balance (Prior period)'!E:E,Table11[[#This Row],[CURRENCY]])</f>
        <v>0</v>
      </c>
      <c r="R421" s="817">
        <f>SUMIFS(Movement!$F$4:$F$2136,Movement!$M$4:$M$2136,"USD",Movement!$C$4:$C$2136,Table11[[#This Row],[ACCOUNT NUMBER]],Movement!$J$4:$J$2136,Table11[[#This Row],[ENTITY]],Movement!$O$4:$O$2136,'Cash Balance'!$A$2)</f>
        <v>0</v>
      </c>
      <c r="S421" s="817">
        <f>SUMIFS(Movement!$G$4:$G$2136,Movement!$M$4:$M$2136,"USD",Movement!$C$4:$C$2136,Table11[[#This Row],[ACCOUNT NUMBER]],Movement!$J$4:$J$2136,Table11[[#This Row],[ENTITY]],Movement!$O$4:$O$2136,'Cash Balance'!$A$2)</f>
        <v>0</v>
      </c>
      <c r="T421" s="1087">
        <f t="shared" si="41"/>
        <v>0</v>
      </c>
      <c r="U421" s="817" t="e">
        <f>VLOOKUP(C421,'Cash balance (BS)'!A:D,4,)</f>
        <v>#N/A</v>
      </c>
      <c r="V421" s="817" t="e">
        <f>Table11[[#This Row],[CLOSING BALANCE (USD)]]-Table11[[#This Row],[CB_BS (USD)]]</f>
        <v>#N/A</v>
      </c>
      <c r="W421" s="1156" t="str">
        <f>VLOOKUP('Cash Balance'!$C421,Table2[#All],MATCH('Cash Balance'!W$3,Acc_Char!$B$1:$I$1,0),0)</f>
        <v>Subsidiaries</v>
      </c>
      <c r="X421" s="1156" t="str">
        <f>VLOOKUP(IFERROR(MID($Y421,1,FIND("-",$Y421)-2),$Y421),Table3[#All],2,0)</f>
        <v>Standard Chartered</v>
      </c>
      <c r="Y421" s="1156" t="str">
        <f>VLOOKUP($B421,Table4[#All],2,0)</f>
        <v>STANDARD CHARTERED</v>
      </c>
      <c r="Z421" s="1151"/>
      <c r="AA421" s="49"/>
    </row>
    <row r="422" spans="1:27">
      <c r="A422" s="1153" t="str">
        <f>VLOOKUP('Cash Balance'!$C422,Table2[#All],MATCH('Cash Balance'!A$3,Acc_Char!$B$1:$I$1,0),0)</f>
        <v>TAN DONG HIEP B ELECTRON</v>
      </c>
      <c r="B422" s="1154" t="str">
        <f>VLOOKUP('Cash Balance'!$C422,Table2[#All],MATCH('Cash Balance'!B$3,Acc_Char!$B$1:$I$1,0),0)</f>
        <v>STANDARD CHARTERED</v>
      </c>
      <c r="C422" s="1190" t="s">
        <v>1032</v>
      </c>
      <c r="D422" s="1156" t="str">
        <f>VLOOKUP('Cash Balance'!$C422,Table2[#All],MATCH('Cash Balance'!D$3,Acc_Char!$B$1:$I$1,0),0)</f>
        <v>Current Account</v>
      </c>
      <c r="E422" s="384" t="str">
        <f>VLOOKUP('Cash Balance'!$C422,Table2[#All],MATCH('Cash Balance'!E$3,Acc_Char!$B$1:$I$1,0),0)</f>
        <v>USD</v>
      </c>
      <c r="F422" s="1094"/>
      <c r="G422" s="1191"/>
      <c r="H422" s="1318">
        <f>SUMIFS('Cash balance (Prior period)'!F:F,'Cash balance (Prior period)'!C:C,Table11[[#This Row],[ACCOUNT NUMBER]],'Cash balance (Prior period)'!E:E,Table11[[#This Row],[CURRENCY]])</f>
        <v>0</v>
      </c>
      <c r="I422" s="1318">
        <f>SUMIFS(Movement!$F$4:$F$2136,Movement!$M$4:$M$2136,"VND",Movement!$C$4:$C$2136,Table11[[#This Row],[ACCOUNT NUMBER]],Movement!$J$4:$J$2136,Table11[[#This Row],[ENTITY]],Movement!$O$4:$O$2136,'Cash Balance'!$A$2)</f>
        <v>0</v>
      </c>
      <c r="J422" s="1318">
        <f>SUMIFS(Movement!$G$4:$G$2136,Movement!$M$4:$M$2136,"VND",Movement!$C$4:$C$2136,Table11[[#This Row],[ACCOUNT NUMBER]],Movement!$J$4:$J$2136,Table11[[#This Row],[ENTITY]],Movement!$O$4:$O$2136,'Cash Balance'!$A$2)</f>
        <v>0</v>
      </c>
      <c r="K422" s="1084">
        <f>Table11[[#This Row],[CASH IN - CREDIT (VND)]]-Table11[[#This Row],[CASH OUT - DEBIT (VND)]]</f>
        <v>0</v>
      </c>
      <c r="L422" s="1095">
        <f t="shared" si="39"/>
        <v>0</v>
      </c>
      <c r="M422" s="1184" t="e">
        <f>VLOOKUP(C422,'Cash balance (BS)'!A:D,4,)</f>
        <v>#N/A</v>
      </c>
      <c r="N422" s="1095" t="e">
        <f>Table11[[#This Row],[CLOSING BALANCE (VND)2]]-Table11[[#This Row],[CB_BS (VND)]]</f>
        <v>#N/A</v>
      </c>
      <c r="O422" s="1094">
        <v>0</v>
      </c>
      <c r="P422" s="1095">
        <f t="shared" si="40"/>
        <v>0</v>
      </c>
      <c r="Q422" s="817">
        <f>SUMIFS('Cash balance (Prior period)'!G:G,'Cash balance (Prior period)'!C:C,Table11[[#This Row],[ACCOUNT NUMBER]],'Cash balance (Prior period)'!E:E,Table11[[#This Row],[CURRENCY]])</f>
        <v>0</v>
      </c>
      <c r="R422" s="817">
        <f>SUMIFS(Movement!$F$4:$F$2136,Movement!$M$4:$M$2136,"USD",Movement!$C$4:$C$2136,Table11[[#This Row],[ACCOUNT NUMBER]],Movement!$J$4:$J$2136,Table11[[#This Row],[ENTITY]],Movement!$O$4:$O$2136,'Cash Balance'!$A$2)</f>
        <v>0</v>
      </c>
      <c r="S422" s="817">
        <f>SUMIFS(Movement!$G$4:$G$2136,Movement!$M$4:$M$2136,"USD",Movement!$C$4:$C$2136,Table11[[#This Row],[ACCOUNT NUMBER]],Movement!$J$4:$J$2136,Table11[[#This Row],[ENTITY]],Movement!$O$4:$O$2136,'Cash Balance'!$A$2)</f>
        <v>0</v>
      </c>
      <c r="T422" s="1087">
        <f t="shared" si="41"/>
        <v>0</v>
      </c>
      <c r="U422" s="817" t="e">
        <f>VLOOKUP(C422,'Cash balance (BS)'!A:D,4,)</f>
        <v>#N/A</v>
      </c>
      <c r="V422" s="817" t="e">
        <f>Table11[[#This Row],[CLOSING BALANCE (USD)]]-Table11[[#This Row],[CB_BS (USD)]]</f>
        <v>#N/A</v>
      </c>
      <c r="W422" s="1156" t="str">
        <f>VLOOKUP('Cash Balance'!$C422,Table2[#All],MATCH('Cash Balance'!W$3,Acc_Char!$B$1:$I$1,0),0)</f>
        <v>Subsidiaries</v>
      </c>
      <c r="X422" s="1156" t="str">
        <f>VLOOKUP(IFERROR(MID($Y422,1,FIND("-",$Y422)-2),$Y422),Table3[#All],2,0)</f>
        <v>Standard Chartered</v>
      </c>
      <c r="Y422" s="1156" t="str">
        <f>VLOOKUP($B422,Table4[#All],2,0)</f>
        <v>STANDARD CHARTERED</v>
      </c>
      <c r="Z422" s="1151"/>
      <c r="AA422" s="49"/>
    </row>
    <row r="423" spans="1:27">
      <c r="A423" s="1153" t="str">
        <f>VLOOKUP('Cash Balance'!$C423,Table2[#All],MATCH('Cash Balance'!A$3,Acc_Char!$B$1:$I$1,0),0)</f>
        <v>PHU AN THANH</v>
      </c>
      <c r="B423" s="1154" t="str">
        <f>VLOOKUP('Cash Balance'!$C423,Table2[#All],MATCH('Cash Balance'!B$3,Acc_Char!$B$1:$I$1,0),0)</f>
        <v>VIETINBANK - TPHCM</v>
      </c>
      <c r="C423" s="1190" t="s">
        <v>1033</v>
      </c>
      <c r="D423" s="1156" t="str">
        <f>VLOOKUP('Cash Balance'!$C423,Table2[#All],MATCH('Cash Balance'!D$3,Acc_Char!$B$1:$I$1,0),0)</f>
        <v>Current Account</v>
      </c>
      <c r="E423" s="384" t="str">
        <f>VLOOKUP('Cash Balance'!$C423,Table2[#All],MATCH('Cash Balance'!E$3,Acc_Char!$B$1:$I$1,0),0)</f>
        <v>VND</v>
      </c>
      <c r="F423" s="1094" t="e">
        <f>VLOOKUP(C423,'Cash balance (BS)'!A:C,3,)</f>
        <v>#N/A</v>
      </c>
      <c r="G423" s="1191" t="e">
        <f>F423-H423</f>
        <v>#N/A</v>
      </c>
      <c r="H423" s="1318">
        <f>SUMIFS('Cash balance (Prior period)'!F:F,'Cash balance (Prior period)'!C:C,Table11[[#This Row],[ACCOUNT NUMBER]],'Cash balance (Prior period)'!E:E,Table11[[#This Row],[CURRENCY]])</f>
        <v>424231430</v>
      </c>
      <c r="I423" s="1318">
        <f>SUMIFS(Movement!$F$4:$F$2136,Movement!$M$4:$M$2136,"VND",Movement!$C$4:$C$2136,Table11[[#This Row],[ACCOUNT NUMBER]],Movement!$J$4:$J$2136,Table11[[#This Row],[ENTITY]],Movement!$O$4:$O$2136,'Cash Balance'!$A$2)</f>
        <v>0</v>
      </c>
      <c r="J423" s="1318">
        <f>SUMIFS(Movement!$G$4:$G$2136,Movement!$M$4:$M$2136,"VND",Movement!$C$4:$C$2136,Table11[[#This Row],[ACCOUNT NUMBER]],Movement!$J$4:$J$2136,Table11[[#This Row],[ENTITY]],Movement!$O$4:$O$2136,'Cash Balance'!$A$2)</f>
        <v>218310781</v>
      </c>
      <c r="K423" s="1084">
        <f>Table11[[#This Row],[CASH IN - CREDIT (VND)]]-Table11[[#This Row],[CASH OUT - DEBIT (VND)]]</f>
        <v>-218310781</v>
      </c>
      <c r="L423" s="1095">
        <f t="shared" si="39"/>
        <v>205920649</v>
      </c>
      <c r="M423" s="1184" t="e">
        <f>VLOOKUP(C423,'Cash balance (BS)'!A:D,4,)</f>
        <v>#N/A</v>
      </c>
      <c r="N423" s="1095" t="e">
        <f>Table11[[#This Row],[CLOSING BALANCE (VND)2]]-Table11[[#This Row],[CB_BS (VND)]]</f>
        <v>#N/A</v>
      </c>
      <c r="O423" s="1094">
        <v>0</v>
      </c>
      <c r="P423" s="1095">
        <f t="shared" si="40"/>
        <v>0</v>
      </c>
      <c r="Q423" s="817">
        <f>SUMIFS('Cash balance (Prior period)'!G:G,'Cash balance (Prior period)'!C:C,Table11[[#This Row],[ACCOUNT NUMBER]],'Cash balance (Prior period)'!E:E,Table11[[#This Row],[CURRENCY]])</f>
        <v>0</v>
      </c>
      <c r="R423" s="817">
        <f>SUMIFS(Movement!$F$4:$F$2136,Movement!$M$4:$M$2136,"USD",Movement!$C$4:$C$2136,Table11[[#This Row],[ACCOUNT NUMBER]],Movement!$J$4:$J$2136,Table11[[#This Row],[ENTITY]],Movement!$O$4:$O$2136,'Cash Balance'!$A$2)</f>
        <v>0</v>
      </c>
      <c r="S423" s="817">
        <f>SUMIFS(Movement!$G$4:$G$2136,Movement!$M$4:$M$2136,"USD",Movement!$C$4:$C$2136,Table11[[#This Row],[ACCOUNT NUMBER]],Movement!$J$4:$J$2136,Table11[[#This Row],[ENTITY]],Movement!$O$4:$O$2136,'Cash Balance'!$A$2)</f>
        <v>0</v>
      </c>
      <c r="T423" s="1087">
        <f t="shared" si="41"/>
        <v>0</v>
      </c>
      <c r="U423" s="817"/>
      <c r="V423" s="817">
        <f>Table11[[#This Row],[CLOSING BALANCE (USD)]]-Table11[[#This Row],[CB_BS (USD)]]</f>
        <v>0</v>
      </c>
      <c r="W423" s="1156" t="str">
        <f>VLOOKUP('Cash Balance'!$C423,Table2[#All],MATCH('Cash Balance'!W$3,Acc_Char!$B$1:$I$1,0),0)</f>
        <v>Subsidiaries</v>
      </c>
      <c r="X423" s="1156" t="str">
        <f>VLOOKUP(IFERROR(MID($Y423,1,FIND("-",$Y423)-2),$Y423),Table3[#All],2,0)</f>
        <v>VTB</v>
      </c>
      <c r="Y423" s="1156" t="str">
        <f>VLOOKUP($B423,Table4[#All],2,0)</f>
        <v>VIETINBANK - TPHCM</v>
      </c>
      <c r="Z423" s="1151"/>
      <c r="AA423" s="49"/>
    </row>
    <row r="424" spans="1:27">
      <c r="A424" s="1153" t="str">
        <f>VLOOKUP('Cash Balance'!$C424,Table2[#All],MATCH('Cash Balance'!A$3,Acc_Char!$B$1:$I$1,0),0)</f>
        <v>THUAN THANH 3B</v>
      </c>
      <c r="B424" s="1154" t="str">
        <f>VLOOKUP('Cash Balance'!$C424,Table2[#All],MATCH('Cash Balance'!B$3,Acc_Char!$B$1:$I$1,0),0)</f>
        <v>VIETCOMBANK - BA DINH</v>
      </c>
      <c r="C424" s="1190" t="s">
        <v>1034</v>
      </c>
      <c r="D424" s="1156" t="str">
        <f>VLOOKUP('Cash Balance'!$C424,Table2[#All],MATCH('Cash Balance'!D$3,Acc_Char!$B$1:$I$1,0),0)</f>
        <v>Current Account</v>
      </c>
      <c r="E424" s="384" t="str">
        <f>VLOOKUP('Cash Balance'!$C424,Table2[#All],MATCH('Cash Balance'!E$3,Acc_Char!$B$1:$I$1,0),0)</f>
        <v>VND</v>
      </c>
      <c r="F424" s="1094" t="e">
        <f>VLOOKUP(C424,'Cash balance (BS)'!A:C,3,)</f>
        <v>#N/A</v>
      </c>
      <c r="G424" s="1191" t="e">
        <f>F424-H424</f>
        <v>#N/A</v>
      </c>
      <c r="H424" s="1318">
        <f>SUMIFS('Cash balance (Prior period)'!F:F,'Cash balance (Prior period)'!C:C,Table11[[#This Row],[ACCOUNT NUMBER]],'Cash balance (Prior period)'!E:E,Table11[[#This Row],[CURRENCY]])</f>
        <v>424180561</v>
      </c>
      <c r="I424" s="1318">
        <f>SUMIFS(Movement!$F$4:$F$2136,Movement!$M$4:$M$2136,"VND",Movement!$C$4:$C$2136,Table11[[#This Row],[ACCOUNT NUMBER]],Movement!$J$4:$J$2136,Table11[[#This Row],[ENTITY]],Movement!$O$4:$O$2136,'Cash Balance'!$A$2)</f>
        <v>0</v>
      </c>
      <c r="J424" s="1318">
        <f>SUMIFS(Movement!$G$4:$G$2136,Movement!$M$4:$M$2136,"VND",Movement!$C$4:$C$2136,Table11[[#This Row],[ACCOUNT NUMBER]],Movement!$J$4:$J$2136,Table11[[#This Row],[ENTITY]],Movement!$O$4:$O$2136,'Cash Balance'!$A$2)</f>
        <v>0</v>
      </c>
      <c r="K424" s="1084">
        <f>Table11[[#This Row],[CASH IN - CREDIT (VND)]]-Table11[[#This Row],[CASH OUT - DEBIT (VND)]]</f>
        <v>0</v>
      </c>
      <c r="L424" s="1095">
        <f t="shared" si="39"/>
        <v>424180561</v>
      </c>
      <c r="M424" s="1184" t="e">
        <f>VLOOKUP(C424,'Cash balance (BS)'!A:D,4,)</f>
        <v>#N/A</v>
      </c>
      <c r="N424" s="1095" t="e">
        <f>Table11[[#This Row],[CLOSING BALANCE (VND)2]]-Table11[[#This Row],[CB_BS (VND)]]</f>
        <v>#N/A</v>
      </c>
      <c r="O424" s="1094">
        <v>0</v>
      </c>
      <c r="P424" s="1095">
        <f t="shared" si="40"/>
        <v>0</v>
      </c>
      <c r="Q424" s="817">
        <f>SUMIFS('Cash balance (Prior period)'!G:G,'Cash balance (Prior period)'!C:C,Table11[[#This Row],[ACCOUNT NUMBER]],'Cash balance (Prior period)'!E:E,Table11[[#This Row],[CURRENCY]])</f>
        <v>0</v>
      </c>
      <c r="R424" s="817">
        <f>SUMIFS(Movement!$F$4:$F$2136,Movement!$M$4:$M$2136,"USD",Movement!$C$4:$C$2136,Table11[[#This Row],[ACCOUNT NUMBER]],Movement!$J$4:$J$2136,Table11[[#This Row],[ENTITY]],Movement!$O$4:$O$2136,'Cash Balance'!$A$2)</f>
        <v>0</v>
      </c>
      <c r="S424" s="817">
        <f>SUMIFS(Movement!$G$4:$G$2136,Movement!$M$4:$M$2136,"USD",Movement!$C$4:$C$2136,Table11[[#This Row],[ACCOUNT NUMBER]],Movement!$J$4:$J$2136,Table11[[#This Row],[ENTITY]],Movement!$O$4:$O$2136,'Cash Balance'!$A$2)</f>
        <v>0</v>
      </c>
      <c r="T424" s="1087">
        <f t="shared" si="41"/>
        <v>0</v>
      </c>
      <c r="U424" s="817"/>
      <c r="V424" s="817">
        <f>Table11[[#This Row],[CLOSING BALANCE (USD)]]-Table11[[#This Row],[CB_BS (USD)]]</f>
        <v>0</v>
      </c>
      <c r="W424" s="1156" t="str">
        <f>VLOOKUP('Cash Balance'!$C424,Table2[#All],MATCH('Cash Balance'!W$3,Acc_Char!$B$1:$I$1,0),0)</f>
        <v>Subsidiaries</v>
      </c>
      <c r="X424" s="1156" t="str">
        <f>VLOOKUP(IFERROR(MID($Y424,1,FIND("-",$Y424)-2),$Y424),Table3[#All],2,0)</f>
        <v>VCB</v>
      </c>
      <c r="Y424" s="1156" t="str">
        <f>VLOOKUP($B424,Table4[#All],2,0)</f>
        <v>VIETCOMBANK - BA DINH</v>
      </c>
      <c r="Z424" s="1151"/>
      <c r="AA424" s="49"/>
    </row>
    <row r="425" spans="1:27">
      <c r="A425" s="1153" t="str">
        <f>VLOOKUP('Cash Balance'!$C425,Table2[#All],MATCH('Cash Balance'!A$3,Acc_Char!$B$1:$I$1,0),0)</f>
        <v>BW SUPLLY CHAIN CITY</v>
      </c>
      <c r="B425" s="1154" t="str">
        <f>VLOOKUP('Cash Balance'!$C425,Table2[#All],MATCH('Cash Balance'!B$3,Acc_Char!$B$1:$I$1,0),0)</f>
        <v>TECHCOMBANK</v>
      </c>
      <c r="C425" s="1190" t="s">
        <v>1035</v>
      </c>
      <c r="D425" s="1156" t="str">
        <f>VLOOKUP('Cash Balance'!$C425,Table2[#All],MATCH('Cash Balance'!D$3,Acc_Char!$B$1:$I$1,0),0)</f>
        <v>Current Account</v>
      </c>
      <c r="E425" s="384" t="str">
        <f>VLOOKUP('Cash Balance'!$C425,Table2[#All],MATCH('Cash Balance'!E$3,Acc_Char!$B$1:$I$1,0),0)</f>
        <v>VND</v>
      </c>
      <c r="F425" s="1230" t="e">
        <f>VLOOKUP(C425,'Cash balance (BS)'!A:C,3,)</f>
        <v>#N/A</v>
      </c>
      <c r="G425" s="1191" t="e">
        <f>F425-H425</f>
        <v>#N/A</v>
      </c>
      <c r="H425" s="1319">
        <f>SUMIFS('Cash balance (Prior period)'!F:F,'Cash balance (Prior period)'!C:C,Table11[[#This Row],[ACCOUNT NUMBER]],'Cash balance (Prior period)'!E:E,Table11[[#This Row],[CURRENCY]])</f>
        <v>1150417598</v>
      </c>
      <c r="I425" s="1319">
        <f>SUMIFS(Movement!$F$4:$F$2136,Movement!$M$4:$M$2136,"VND",Movement!$C$4:$C$2136,Table11[[#This Row],[ACCOUNT NUMBER]],Movement!$J$4:$J$2136,Table11[[#This Row],[ENTITY]],Movement!$O$4:$O$2136,'Cash Balance'!$A$2)</f>
        <v>12647605376</v>
      </c>
      <c r="J425" s="1319">
        <f>SUMIFS(Movement!$G$4:$G$2136,Movement!$M$4:$M$2136,"VND",Movement!$C$4:$C$2136,Table11[[#This Row],[ACCOUNT NUMBER]],Movement!$J$4:$J$2136,Table11[[#This Row],[ENTITY]],Movement!$O$4:$O$2136,'Cash Balance'!$A$2)</f>
        <v>0</v>
      </c>
      <c r="K425" s="1224">
        <f>Table11[[#This Row],[CASH IN - CREDIT (VND)]]-Table11[[#This Row],[CASH OUT - DEBIT (VND)]]</f>
        <v>12647605376</v>
      </c>
      <c r="L425" s="1225">
        <f>H425+I425-J425</f>
        <v>13798022974</v>
      </c>
      <c r="M425" s="1184" t="e">
        <f>VLOOKUP(C425,'Cash balance (BS)'!A:D,4,)</f>
        <v>#N/A</v>
      </c>
      <c r="N425" s="1225" t="e">
        <f>Table11[[#This Row],[CLOSING BALANCE (VND)2]]-Table11[[#This Row],[CB_BS (VND)]]</f>
        <v>#N/A</v>
      </c>
      <c r="O425" s="1094">
        <v>0</v>
      </c>
      <c r="P425" s="1225">
        <f>O425-Q425</f>
        <v>0</v>
      </c>
      <c r="Q425" s="1285">
        <f>SUMIFS('Cash balance (Prior period)'!G:G,'Cash balance (Prior period)'!C:C,Table11[[#This Row],[ACCOUNT NUMBER]],'Cash balance (Prior period)'!E:E,Table11[[#This Row],[CURRENCY]])</f>
        <v>0</v>
      </c>
      <c r="R425" s="1285">
        <f>SUMIFS(Movement!$F$4:$F$2136,Movement!$M$4:$M$2136,"USD",Movement!$C$4:$C$2136,Table11[[#This Row],[ACCOUNT NUMBER]],Movement!$J$4:$J$2136,Table11[[#This Row],[ENTITY]],Movement!$O$4:$O$2136,'Cash Balance'!$A$2)</f>
        <v>0</v>
      </c>
      <c r="S425" s="1285">
        <f>SUMIFS(Movement!$G$4:$G$2136,Movement!$M$4:$M$2136,"USD",Movement!$C$4:$C$2136,Table11[[#This Row],[ACCOUNT NUMBER]],Movement!$J$4:$J$2136,Table11[[#This Row],[ENTITY]],Movement!$O$4:$O$2136,'Cash Balance'!$A$2)</f>
        <v>0</v>
      </c>
      <c r="T425" s="1236">
        <f>Q425+R425-S425</f>
        <v>0</v>
      </c>
      <c r="U425" s="1285"/>
      <c r="V425" s="817">
        <f>Table11[[#This Row],[CLOSING BALANCE (USD)]]-Table11[[#This Row],[CB_BS (USD)]]</f>
        <v>0</v>
      </c>
      <c r="W425" s="1156" t="str">
        <f>VLOOKUP('Cash Balance'!$C425,Table2[#All],MATCH('Cash Balance'!W$3,Acc_Char!$B$1:$I$1,0),0)</f>
        <v>Subsidiaries</v>
      </c>
      <c r="X425" s="1156" t="str">
        <f>VLOOKUP(IFERROR(MID($Y425,1,FIND("-",$Y425)-2),$Y425),Table3[#All],2,0)</f>
        <v>TCB</v>
      </c>
      <c r="Y425" s="1156" t="str">
        <f>VLOOKUP($B425,Table4[#All],2,0)</f>
        <v>TECHCOMBANK</v>
      </c>
      <c r="Z425" s="1151"/>
      <c r="AA425" s="49"/>
    </row>
    <row r="426" spans="1:27">
      <c r="A426" s="1153" t="str">
        <f>VLOOKUP('Cash Balance'!$C426,Table2[#All],MATCH('Cash Balance'!A$3,Acc_Char!$B$1:$I$1,0),0)</f>
        <v>BW SUPLLY CHAIN CITY</v>
      </c>
      <c r="B426" s="1154" t="str">
        <f>VLOOKUP('Cash Balance'!$C426,Table2[#All],MATCH('Cash Balance'!B$3,Acc_Char!$B$1:$I$1,0),0)</f>
        <v>TECHCOMBANK</v>
      </c>
      <c r="C426" s="1189" t="s">
        <v>1036</v>
      </c>
      <c r="D426" s="1156" t="str">
        <f>VLOOKUP('Cash Balance'!$C426,Table2[#All],MATCH('Cash Balance'!D$3,Acc_Char!$B$1:$I$1,0),0)</f>
        <v>Current Account</v>
      </c>
      <c r="E426" s="384" t="str">
        <f>VLOOKUP('Cash Balance'!$C426,Table2[#All],MATCH('Cash Balance'!E$3,Acc_Char!$B$1:$I$1,0),0)</f>
        <v>USD</v>
      </c>
      <c r="F426" s="1230" t="e">
        <f>VLOOKUP(C426,'Cash balance (BS)'!A:C,3,)</f>
        <v>#N/A</v>
      </c>
      <c r="G426" s="1191" t="e">
        <f>F426-H426</f>
        <v>#N/A</v>
      </c>
      <c r="H426" s="1319">
        <f>SUMIFS('Cash balance (Prior period)'!F:F,'Cash balance (Prior period)'!C:C,Table11[[#This Row],[ACCOUNT NUMBER]],'Cash balance (Prior period)'!E:E,Table11[[#This Row],[CURRENCY]])</f>
        <v>0</v>
      </c>
      <c r="I426" s="1319">
        <f>SUMIFS(Movement!$F$4:$F$2136,Movement!$M$4:$M$2136,"VND",Movement!$C$4:$C$2136,Table11[[#This Row],[ACCOUNT NUMBER]],Movement!$J$4:$J$2136,Table11[[#This Row],[ENTITY]],Movement!$O$4:$O$2136,'Cash Balance'!$A$2)</f>
        <v>0</v>
      </c>
      <c r="J426" s="1319">
        <f>SUMIFS(Movement!$G$4:$G$2136,Movement!$M$4:$M$2136,"VND",Movement!$C$4:$C$2136,Table11[[#This Row],[ACCOUNT NUMBER]],Movement!$J$4:$J$2136,Table11[[#This Row],[ENTITY]],Movement!$O$4:$O$2136,'Cash Balance'!$A$2)</f>
        <v>0</v>
      </c>
      <c r="K426" s="1224">
        <f>Table11[[#This Row],[CASH IN - CREDIT (VND)]]-Table11[[#This Row],[CASH OUT - DEBIT (VND)]]</f>
        <v>0</v>
      </c>
      <c r="L426" s="1225">
        <f>H426+I426-J426</f>
        <v>0</v>
      </c>
      <c r="M426" s="1184" t="e">
        <f>VLOOKUP(C426,'Cash balance (BS)'!A:D,4,)</f>
        <v>#N/A</v>
      </c>
      <c r="N426" s="1225" t="e">
        <f>Table11[[#This Row],[CLOSING BALANCE (VND)2]]-Table11[[#This Row],[CB_BS (VND)]]</f>
        <v>#N/A</v>
      </c>
      <c r="O426" s="1094">
        <v>0</v>
      </c>
      <c r="P426" s="1225">
        <f>O426-Q426</f>
        <v>0</v>
      </c>
      <c r="Q426" s="1285">
        <f>SUMIFS('Cash balance (Prior period)'!G:G,'Cash balance (Prior period)'!C:C,Table11[[#This Row],[ACCOUNT NUMBER]],'Cash balance (Prior period)'!E:E,Table11[[#This Row],[CURRENCY]])</f>
        <v>0</v>
      </c>
      <c r="R426" s="1285">
        <f>SUMIFS(Movement!$F$4:$F$2136,Movement!$M$4:$M$2136,"USD",Movement!$C$4:$C$2136,Table11[[#This Row],[ACCOUNT NUMBER]],Movement!$J$4:$J$2136,Table11[[#This Row],[ENTITY]],Movement!$O$4:$O$2136,'Cash Balance'!$A$2)</f>
        <v>0</v>
      </c>
      <c r="S426" s="1285">
        <f>SUMIFS(Movement!$G$4:$G$2136,Movement!$M$4:$M$2136,"USD",Movement!$C$4:$C$2136,Table11[[#This Row],[ACCOUNT NUMBER]],Movement!$J$4:$J$2136,Table11[[#This Row],[ENTITY]],Movement!$O$4:$O$2136,'Cash Balance'!$A$2)</f>
        <v>0</v>
      </c>
      <c r="T426" s="1236">
        <f>Q426+R426-S426</f>
        <v>0</v>
      </c>
      <c r="U426" s="1285"/>
      <c r="V426" s="817">
        <f>Table11[[#This Row],[CLOSING BALANCE (USD)]]-Table11[[#This Row],[CB_BS (USD)]]</f>
        <v>0</v>
      </c>
      <c r="W426" s="1156" t="str">
        <f>VLOOKUP('Cash Balance'!$C426,Table2[#All],MATCH('Cash Balance'!W$3,Acc_Char!$B$1:$I$1,0),0)</f>
        <v>Subsidiaries</v>
      </c>
      <c r="X426" s="1156" t="str">
        <f>VLOOKUP(IFERROR(MID($Y426,1,FIND("-",$Y426)-2),$Y426),Table3[#All],2,0)</f>
        <v>TCB</v>
      </c>
      <c r="Y426" s="1156" t="str">
        <f>VLOOKUP($B426,Table4[#All],2,0)</f>
        <v>TECHCOMBANK</v>
      </c>
      <c r="Z426" s="1151"/>
      <c r="AA426" s="49"/>
    </row>
    <row r="427" spans="1:27">
      <c r="A427" s="1153" t="str">
        <f>VLOOKUP('Cash Balance'!$C427,Table2[#All],MATCH('Cash Balance'!A$3,Acc_Char!$B$1:$I$1,0),0)</f>
        <v>SONGTHAN LID</v>
      </c>
      <c r="B427" s="1154" t="str">
        <f>VLOOKUP('Cash Balance'!$C427,Table2[#All],MATCH('Cash Balance'!B$3,Acc_Char!$B$1:$I$1,0),0)</f>
        <v>OCB - BINH DUONG</v>
      </c>
      <c r="C427" s="1190" t="s">
        <v>1037</v>
      </c>
      <c r="D427" s="1156" t="str">
        <f>VLOOKUP('Cash Balance'!$C427,Table2[#All],MATCH('Cash Balance'!D$3,Acc_Char!$B$1:$I$1,0),0)</f>
        <v>Current Account</v>
      </c>
      <c r="E427" s="384" t="str">
        <f>VLOOKUP('Cash Balance'!$C427,Table2[#All],MATCH('Cash Balance'!E$3,Acc_Char!$B$1:$I$1,0),0)</f>
        <v>VND</v>
      </c>
      <c r="F427" s="1094"/>
      <c r="G427" s="1191"/>
      <c r="H427" s="1318">
        <f>SUMIFS('Cash balance (Prior period)'!F:F,'Cash balance (Prior period)'!C:C,Table11[[#This Row],[ACCOUNT NUMBER]],'Cash balance (Prior period)'!E:E,Table11[[#This Row],[CURRENCY]])</f>
        <v>11202016</v>
      </c>
      <c r="I427" s="1318">
        <f>SUMIFS(Movement!$F$4:$F$2136,Movement!$M$4:$M$2136,"VND",Movement!$C$4:$C$2136,Table11[[#This Row],[ACCOUNT NUMBER]],Movement!$J$4:$J$2136,Table11[[#This Row],[ENTITY]],Movement!$O$4:$O$2136,'Cash Balance'!$A$2)</f>
        <v>0</v>
      </c>
      <c r="J427" s="1318">
        <f>SUMIFS(Movement!$G$4:$G$2136,Movement!$M$4:$M$2136,"VND",Movement!$C$4:$C$2136,Table11[[#This Row],[ACCOUNT NUMBER]],Movement!$J$4:$J$2136,Table11[[#This Row],[ENTITY]],Movement!$O$4:$O$2136,'Cash Balance'!$A$2)</f>
        <v>55000</v>
      </c>
      <c r="K427" s="1084">
        <f>Table11[[#This Row],[CASH IN - CREDIT (VND)]]-Table11[[#This Row],[CASH OUT - DEBIT (VND)]]</f>
        <v>-55000</v>
      </c>
      <c r="L427" s="1095">
        <f t="shared" si="39"/>
        <v>11147016</v>
      </c>
      <c r="M427" s="1184" t="e">
        <f>VLOOKUP(C427,'Cash balance (BS)'!A:D,4,)</f>
        <v>#N/A</v>
      </c>
      <c r="N427" s="1095" t="e">
        <f>Table11[[#This Row],[CLOSING BALANCE (VND)2]]-Table11[[#This Row],[CB_BS (VND)]]</f>
        <v>#N/A</v>
      </c>
      <c r="O427" s="1094">
        <v>0</v>
      </c>
      <c r="P427" s="1095">
        <f t="shared" si="40"/>
        <v>0</v>
      </c>
      <c r="Q427" s="817">
        <f>SUMIFS('Cash balance (Prior period)'!G:G,'Cash balance (Prior period)'!C:C,Table11[[#This Row],[ACCOUNT NUMBER]],'Cash balance (Prior period)'!E:E,Table11[[#This Row],[CURRENCY]])</f>
        <v>0</v>
      </c>
      <c r="R427" s="817">
        <f>SUMIFS(Movement!$F$4:$F$2136,Movement!$M$4:$M$2136,"USD",Movement!$C$4:$C$2136,Table11[[#This Row],[ACCOUNT NUMBER]],Movement!$J$4:$J$2136,Table11[[#This Row],[ENTITY]],Movement!$O$4:$O$2136,'Cash Balance'!$A$2)</f>
        <v>0</v>
      </c>
      <c r="S427" s="817">
        <f>SUMIFS(Movement!$G$4:$G$2136,Movement!$M$4:$M$2136,"USD",Movement!$C$4:$C$2136,Table11[[#This Row],[ACCOUNT NUMBER]],Movement!$J$4:$J$2136,Table11[[#This Row],[ENTITY]],Movement!$O$4:$O$2136,'Cash Balance'!$A$2)</f>
        <v>0</v>
      </c>
      <c r="T427" s="1087">
        <f t="shared" si="41"/>
        <v>0</v>
      </c>
      <c r="U427" s="817" t="e">
        <f>VLOOKUP(C427,'Cash balance (BS)'!A:D,4,)</f>
        <v>#N/A</v>
      </c>
      <c r="V427" s="817" t="e">
        <f>Table11[[#This Row],[CLOSING BALANCE (USD)]]-Table11[[#This Row],[CB_BS (USD)]]</f>
        <v>#N/A</v>
      </c>
      <c r="W427" s="1156" t="str">
        <f>VLOOKUP('Cash Balance'!$C427,Table2[#All],MATCH('Cash Balance'!W$3,Acc_Char!$B$1:$I$1,0),0)</f>
        <v>Subsidiaries</v>
      </c>
      <c r="X427" s="1156" t="str">
        <f>VLOOKUP(IFERROR(MID($Y427,1,FIND("-",$Y427)-2),$Y427),Table3[#All],2,0)</f>
        <v>OCB</v>
      </c>
      <c r="Y427" s="1156" t="str">
        <f>VLOOKUP($B427,Table4[#All],2,0)</f>
        <v>OCB - BINH DUONG</v>
      </c>
      <c r="Z427" s="1151"/>
      <c r="AA427" s="49"/>
    </row>
    <row r="428" spans="1:27">
      <c r="A428" s="1153" t="str">
        <f>VLOOKUP('Cash Balance'!$C428,Table2[#All],MATCH('Cash Balance'!A$3,Acc_Char!$B$1:$I$1,0),0)</f>
        <v>BAU BANG 5</v>
      </c>
      <c r="B428" s="1154" t="str">
        <f>VLOOKUP('Cash Balance'!$C428,Table2[#All],MATCH('Cash Balance'!B$3,Acc_Char!$B$1:$I$1,0),0)</f>
        <v>OCB - BINH DUONG</v>
      </c>
      <c r="C428" s="1190" t="s">
        <v>1038</v>
      </c>
      <c r="D428" s="1156" t="str">
        <f>VLOOKUP('Cash Balance'!$C428,Table2[#All],MATCH('Cash Balance'!D$3,Acc_Char!$B$1:$I$1,0),0)</f>
        <v>Current Account</v>
      </c>
      <c r="E428" s="384" t="str">
        <f>VLOOKUP('Cash Balance'!$C428,Table2[#All],MATCH('Cash Balance'!E$3,Acc_Char!$B$1:$I$1,0),0)</f>
        <v>VND</v>
      </c>
      <c r="F428" s="1094" t="e">
        <f>VLOOKUP(C428,'Cash balance (BS)'!A:C,3,)</f>
        <v>#N/A</v>
      </c>
      <c r="G428" s="1191" t="e">
        <f>F428-H428</f>
        <v>#N/A</v>
      </c>
      <c r="H428" s="1318">
        <f>SUMIFS('Cash balance (Prior period)'!F:F,'Cash balance (Prior period)'!C:C,Table11[[#This Row],[ACCOUNT NUMBER]],'Cash balance (Prior period)'!E:E,Table11[[#This Row],[CURRENCY]])</f>
        <v>2896088</v>
      </c>
      <c r="I428" s="1318">
        <f>SUMIFS(Movement!$F$4:$F$2136,Movement!$M$4:$M$2136,"VND",Movement!$C$4:$C$2136,Table11[[#This Row],[ACCOUNT NUMBER]],Movement!$J$4:$J$2136,Table11[[#This Row],[ENTITY]],Movement!$O$4:$O$2136,'Cash Balance'!$A$2)</f>
        <v>0</v>
      </c>
      <c r="J428" s="1318">
        <f>SUMIFS(Movement!$G$4:$G$2136,Movement!$M$4:$M$2136,"VND",Movement!$C$4:$C$2136,Table11[[#This Row],[ACCOUNT NUMBER]],Movement!$J$4:$J$2136,Table11[[#This Row],[ENTITY]],Movement!$O$4:$O$2136,'Cash Balance'!$A$2)</f>
        <v>55000</v>
      </c>
      <c r="K428" s="1084">
        <f>Table11[[#This Row],[CASH IN - CREDIT (VND)]]-Table11[[#This Row],[CASH OUT - DEBIT (VND)]]</f>
        <v>-55000</v>
      </c>
      <c r="L428" s="1095">
        <f t="shared" si="39"/>
        <v>2841088</v>
      </c>
      <c r="M428" s="1184" t="e">
        <f>VLOOKUP(C428,'Cash balance (BS)'!A:D,4,)</f>
        <v>#N/A</v>
      </c>
      <c r="N428" s="1095" t="e">
        <f>Table11[[#This Row],[CLOSING BALANCE (VND)2]]-Table11[[#This Row],[CB_BS (VND)]]</f>
        <v>#N/A</v>
      </c>
      <c r="O428" s="1094">
        <v>0</v>
      </c>
      <c r="P428" s="1095">
        <f t="shared" si="40"/>
        <v>0</v>
      </c>
      <c r="Q428" s="817">
        <f>SUMIFS('Cash balance (Prior period)'!G:G,'Cash balance (Prior period)'!C:C,Table11[[#This Row],[ACCOUNT NUMBER]],'Cash balance (Prior period)'!E:E,Table11[[#This Row],[CURRENCY]])</f>
        <v>0</v>
      </c>
      <c r="R428" s="817">
        <f>SUMIFS(Movement!$F$4:$F$2136,Movement!$M$4:$M$2136,"USD",Movement!$C$4:$C$2136,Table11[[#This Row],[ACCOUNT NUMBER]],Movement!$J$4:$J$2136,Table11[[#This Row],[ENTITY]],Movement!$O$4:$O$2136,'Cash Balance'!$A$2)</f>
        <v>0</v>
      </c>
      <c r="S428" s="817">
        <f>SUMIFS(Movement!$G$4:$G$2136,Movement!$M$4:$M$2136,"USD",Movement!$C$4:$C$2136,Table11[[#This Row],[ACCOUNT NUMBER]],Movement!$J$4:$J$2136,Table11[[#This Row],[ENTITY]],Movement!$O$4:$O$2136,'Cash Balance'!$A$2)</f>
        <v>0</v>
      </c>
      <c r="T428" s="1087">
        <f t="shared" si="41"/>
        <v>0</v>
      </c>
      <c r="U428" s="817"/>
      <c r="V428" s="817">
        <f>Table11[[#This Row],[CLOSING BALANCE (USD)]]-Table11[[#This Row],[CB_BS (USD)]]</f>
        <v>0</v>
      </c>
      <c r="W428" s="1156" t="str">
        <f>VLOOKUP('Cash Balance'!$C428,Table2[#All],MATCH('Cash Balance'!W$3,Acc_Char!$B$1:$I$1,0),0)</f>
        <v>Subsidiaries</v>
      </c>
      <c r="X428" s="1156" t="str">
        <f>VLOOKUP(IFERROR(MID($Y428,1,FIND("-",$Y428)-2),$Y428),Table3[#All],2,0)</f>
        <v>OCB</v>
      </c>
      <c r="Y428" s="1156" t="str">
        <f>VLOOKUP($B428,Table4[#All],2,0)</f>
        <v>OCB - BINH DUONG</v>
      </c>
      <c r="Z428" s="1151"/>
      <c r="AA428" s="49"/>
    </row>
    <row r="429" spans="1:27">
      <c r="A429" s="1153" t="str">
        <f>VLOOKUP('Cash Balance'!$C429,Table2[#All],MATCH('Cash Balance'!A$3,Acc_Char!$B$1:$I$1,0),0)</f>
        <v>SUPPLY CHAIN 2A</v>
      </c>
      <c r="B429" s="1154" t="str">
        <f>VLOOKUP('Cash Balance'!$C429,Table2[#All],MATCH('Cash Balance'!B$3,Acc_Char!$B$1:$I$1,0),0)</f>
        <v>OCB - BINH DUONG</v>
      </c>
      <c r="C429" s="1190" t="s">
        <v>1039</v>
      </c>
      <c r="D429" s="1156" t="str">
        <f>VLOOKUP('Cash Balance'!$C429,Table2[#All],MATCH('Cash Balance'!D$3,Acc_Char!$B$1:$I$1,0),0)</f>
        <v>Current Account</v>
      </c>
      <c r="E429" s="384" t="str">
        <f>VLOOKUP('Cash Balance'!$C429,Table2[#All],MATCH('Cash Balance'!E$3,Acc_Char!$B$1:$I$1,0),0)</f>
        <v>VND</v>
      </c>
      <c r="F429" s="1094" t="e">
        <f>VLOOKUP(C429,'Cash balance (BS)'!A:C,3,)</f>
        <v>#N/A</v>
      </c>
      <c r="G429" s="1191" t="e">
        <f>F429-H429</f>
        <v>#N/A</v>
      </c>
      <c r="H429" s="1318">
        <f>SUMIFS('Cash balance (Prior period)'!F:F,'Cash balance (Prior period)'!C:C,Table11[[#This Row],[ACCOUNT NUMBER]],'Cash balance (Prior period)'!E:E,Table11[[#This Row],[CURRENCY]])</f>
        <v>2179171</v>
      </c>
      <c r="I429" s="1318">
        <f>SUMIFS(Movement!$F$4:$F$2136,Movement!$M$4:$M$2136,"VND",Movement!$C$4:$C$2136,Table11[[#This Row],[ACCOUNT NUMBER]],Movement!$J$4:$J$2136,Table11[[#This Row],[ENTITY]],Movement!$O$4:$O$2136,'Cash Balance'!$A$2)</f>
        <v>0</v>
      </c>
      <c r="J429" s="1318">
        <f>SUMIFS(Movement!$G$4:$G$2136,Movement!$M$4:$M$2136,"VND",Movement!$C$4:$C$2136,Table11[[#This Row],[ACCOUNT NUMBER]],Movement!$J$4:$J$2136,Table11[[#This Row],[ENTITY]],Movement!$O$4:$O$2136,'Cash Balance'!$A$2)</f>
        <v>55000</v>
      </c>
      <c r="K429" s="1084">
        <f>Table11[[#This Row],[CASH IN - CREDIT (VND)]]-Table11[[#This Row],[CASH OUT - DEBIT (VND)]]</f>
        <v>-55000</v>
      </c>
      <c r="L429" s="1095">
        <f t="shared" si="39"/>
        <v>2124171</v>
      </c>
      <c r="M429" s="1184" t="e">
        <f>VLOOKUP(C429,'Cash balance (BS)'!A:D,4,)</f>
        <v>#N/A</v>
      </c>
      <c r="N429" s="1095" t="e">
        <f>Table11[[#This Row],[CLOSING BALANCE (VND)2]]-Table11[[#This Row],[CB_BS (VND)]]</f>
        <v>#N/A</v>
      </c>
      <c r="O429" s="1094">
        <v>0</v>
      </c>
      <c r="P429" s="1095">
        <f t="shared" si="40"/>
        <v>0</v>
      </c>
      <c r="Q429" s="817">
        <f>SUMIFS('Cash balance (Prior period)'!G:G,'Cash balance (Prior period)'!C:C,Table11[[#This Row],[ACCOUNT NUMBER]],'Cash balance (Prior period)'!E:E,Table11[[#This Row],[CURRENCY]])</f>
        <v>0</v>
      </c>
      <c r="R429" s="817">
        <f>SUMIFS(Movement!$F$4:$F$2136,Movement!$M$4:$M$2136,"USD",Movement!$C$4:$C$2136,Table11[[#This Row],[ACCOUNT NUMBER]],Movement!$J$4:$J$2136,Table11[[#This Row],[ENTITY]],Movement!$O$4:$O$2136,'Cash Balance'!$A$2)</f>
        <v>0</v>
      </c>
      <c r="S429" s="817">
        <f>SUMIFS(Movement!$G$4:$G$2136,Movement!$M$4:$M$2136,"USD",Movement!$C$4:$C$2136,Table11[[#This Row],[ACCOUNT NUMBER]],Movement!$J$4:$J$2136,Table11[[#This Row],[ENTITY]],Movement!$O$4:$O$2136,'Cash Balance'!$A$2)</f>
        <v>0</v>
      </c>
      <c r="T429" s="1087">
        <f t="shared" si="41"/>
        <v>0</v>
      </c>
      <c r="U429" s="817"/>
      <c r="V429" s="817">
        <f>Table11[[#This Row],[CLOSING BALANCE (USD)]]-Table11[[#This Row],[CB_BS (USD)]]</f>
        <v>0</v>
      </c>
      <c r="W429" s="1156" t="str">
        <f>VLOOKUP('Cash Balance'!$C429,Table2[#All],MATCH('Cash Balance'!W$3,Acc_Char!$B$1:$I$1,0),0)</f>
        <v>Subsidiaries</v>
      </c>
      <c r="X429" s="1156" t="str">
        <f>VLOOKUP(IFERROR(MID($Y429,1,FIND("-",$Y429)-2),$Y429),Table3[#All],2,0)</f>
        <v>OCB</v>
      </c>
      <c r="Y429" s="1156" t="str">
        <f>VLOOKUP($B429,Table4[#All],2,0)</f>
        <v>OCB - BINH DUONG</v>
      </c>
      <c r="Z429" s="1151"/>
      <c r="AA429" s="49"/>
    </row>
    <row r="430" spans="1:27">
      <c r="A430" s="1153" t="str">
        <f>VLOOKUP('Cash Balance'!$C430,Table2[#All],MATCH('Cash Balance'!A$3,Acc_Char!$B$1:$I$1,0),0)</f>
        <v>DELIWAY</v>
      </c>
      <c r="B430" s="1154" t="str">
        <f>VLOOKUP('Cash Balance'!$C430,Table2[#All],MATCH('Cash Balance'!B$3,Acc_Char!$B$1:$I$1,0),0)</f>
        <v>OCB - BINH DUONG</v>
      </c>
      <c r="C430" s="1190" t="s">
        <v>1040</v>
      </c>
      <c r="D430" s="1156" t="str">
        <f>VLOOKUP('Cash Balance'!$C430,Table2[#All],MATCH('Cash Balance'!D$3,Acc_Char!$B$1:$I$1,0),0)</f>
        <v>Current Account</v>
      </c>
      <c r="E430" s="384" t="str">
        <f>VLOOKUP('Cash Balance'!$C430,Table2[#All],MATCH('Cash Balance'!E$3,Acc_Char!$B$1:$I$1,0),0)</f>
        <v>VND</v>
      </c>
      <c r="F430" s="1094" t="e">
        <f>VLOOKUP(C430,'Cash balance (BS)'!A:C,3,)</f>
        <v>#N/A</v>
      </c>
      <c r="G430" s="1191" t="e">
        <f>F430-H430</f>
        <v>#N/A</v>
      </c>
      <c r="H430" s="1318">
        <f>SUMIFS('Cash balance (Prior period)'!F:F,'Cash balance (Prior period)'!C:C,Table11[[#This Row],[ACCOUNT NUMBER]],'Cash balance (Prior period)'!E:E,Table11[[#This Row],[CURRENCY]])</f>
        <v>40347309</v>
      </c>
      <c r="I430" s="1318">
        <f>SUMIFS(Movement!$F$4:$F$2136,Movement!$M$4:$M$2136,"VND",Movement!$C$4:$C$2136,Table11[[#This Row],[ACCOUNT NUMBER]],Movement!$J$4:$J$2136,Table11[[#This Row],[ENTITY]],Movement!$O$4:$O$2136,'Cash Balance'!$A$2)</f>
        <v>0</v>
      </c>
      <c r="J430" s="1318">
        <f>SUMIFS(Movement!$G$4:$G$2136,Movement!$M$4:$M$2136,"VND",Movement!$C$4:$C$2136,Table11[[#This Row],[ACCOUNT NUMBER]],Movement!$J$4:$J$2136,Table11[[#This Row],[ENTITY]],Movement!$O$4:$O$2136,'Cash Balance'!$A$2)</f>
        <v>55000</v>
      </c>
      <c r="K430" s="1084">
        <f>Table11[[#This Row],[CASH IN - CREDIT (VND)]]-Table11[[#This Row],[CASH OUT - DEBIT (VND)]]</f>
        <v>-55000</v>
      </c>
      <c r="L430" s="1095">
        <f t="shared" si="39"/>
        <v>40292309</v>
      </c>
      <c r="M430" s="1184" t="e">
        <f>VLOOKUP(C430,'Cash balance (BS)'!A:D,4,)</f>
        <v>#N/A</v>
      </c>
      <c r="N430" s="1095" t="e">
        <f>Table11[[#This Row],[CLOSING BALANCE (VND)2]]-Table11[[#This Row],[CB_BS (VND)]]</f>
        <v>#N/A</v>
      </c>
      <c r="O430" s="1094">
        <v>0</v>
      </c>
      <c r="P430" s="1095">
        <f t="shared" si="40"/>
        <v>0</v>
      </c>
      <c r="Q430" s="817">
        <f>SUMIFS('Cash balance (Prior period)'!G:G,'Cash balance (Prior period)'!C:C,Table11[[#This Row],[ACCOUNT NUMBER]],'Cash balance (Prior period)'!E:E,Table11[[#This Row],[CURRENCY]])</f>
        <v>0</v>
      </c>
      <c r="R430" s="817">
        <f>SUMIFS(Movement!$F$4:$F$2136,Movement!$M$4:$M$2136,"USD",Movement!$C$4:$C$2136,Table11[[#This Row],[ACCOUNT NUMBER]],Movement!$J$4:$J$2136,Table11[[#This Row],[ENTITY]],Movement!$O$4:$O$2136,'Cash Balance'!$A$2)</f>
        <v>0</v>
      </c>
      <c r="S430" s="817">
        <f>SUMIFS(Movement!$G$4:$G$2136,Movement!$M$4:$M$2136,"USD",Movement!$C$4:$C$2136,Table11[[#This Row],[ACCOUNT NUMBER]],Movement!$J$4:$J$2136,Table11[[#This Row],[ENTITY]],Movement!$O$4:$O$2136,'Cash Balance'!$A$2)</f>
        <v>0</v>
      </c>
      <c r="T430" s="1087">
        <f t="shared" si="41"/>
        <v>0</v>
      </c>
      <c r="U430" s="817"/>
      <c r="V430" s="817">
        <f>Table11[[#This Row],[CLOSING BALANCE (USD)]]-Table11[[#This Row],[CB_BS (USD)]]</f>
        <v>0</v>
      </c>
      <c r="W430" s="1156" t="str">
        <f>VLOOKUP('Cash Balance'!$C430,Table2[#All],MATCH('Cash Balance'!W$3,Acc_Char!$B$1:$I$1,0),0)</f>
        <v>Subsidiaries</v>
      </c>
      <c r="X430" s="1156" t="str">
        <f>VLOOKUP(IFERROR(MID($Y430,1,FIND("-",$Y430)-2),$Y430),Table3[#All],2,0)</f>
        <v>OCB</v>
      </c>
      <c r="Y430" s="1156" t="str">
        <f>VLOOKUP($B430,Table4[#All],2,0)</f>
        <v>OCB - BINH DUONG</v>
      </c>
      <c r="Z430" s="1151"/>
      <c r="AA430" s="49"/>
    </row>
    <row r="431" spans="1:27">
      <c r="A431" s="1153" t="str">
        <f>VLOOKUP('Cash Balance'!$C431,Table2[#All],MATCH('Cash Balance'!A$3,Acc_Char!$B$1:$I$1,0),0)</f>
        <v>TAY HAI</v>
      </c>
      <c r="B431" s="1154" t="str">
        <f>VLOOKUP('Cash Balance'!$C431,Table2[#All],MATCH('Cash Balance'!B$3,Acc_Char!$B$1:$I$1,0),0)</f>
        <v>OCB - BINH DUONG</v>
      </c>
      <c r="C431" s="1190" t="s">
        <v>1041</v>
      </c>
      <c r="D431" s="1156" t="str">
        <f>VLOOKUP('Cash Balance'!$C431,Table2[#All],MATCH('Cash Balance'!D$3,Acc_Char!$B$1:$I$1,0),0)</f>
        <v>Current Account</v>
      </c>
      <c r="E431" s="384" t="str">
        <f>VLOOKUP('Cash Balance'!$C431,Table2[#All],MATCH('Cash Balance'!E$3,Acc_Char!$B$1:$I$1,0),0)</f>
        <v>VND</v>
      </c>
      <c r="F431" s="1094" t="e">
        <f>VLOOKUP(C431,'Cash balance (BS)'!A:C,3,)</f>
        <v>#N/A</v>
      </c>
      <c r="G431" s="1191" t="e">
        <f>F431-H431</f>
        <v>#N/A</v>
      </c>
      <c r="H431" s="1318">
        <f>SUMIFS('Cash balance (Prior period)'!F:F,'Cash balance (Prior period)'!C:C,Table11[[#This Row],[ACCOUNT NUMBER]],'Cash balance (Prior period)'!E:E,Table11[[#This Row],[CURRENCY]])</f>
        <v>2490050</v>
      </c>
      <c r="I431" s="1318">
        <f>SUMIFS(Movement!$F$4:$F$2136,Movement!$M$4:$M$2136,"VND",Movement!$C$4:$C$2136,Table11[[#This Row],[ACCOUNT NUMBER]],Movement!$J$4:$J$2136,Table11[[#This Row],[ENTITY]],Movement!$O$4:$O$2136,'Cash Balance'!$A$2)</f>
        <v>0</v>
      </c>
      <c r="J431" s="1318">
        <f>SUMIFS(Movement!$G$4:$G$2136,Movement!$M$4:$M$2136,"VND",Movement!$C$4:$C$2136,Table11[[#This Row],[ACCOUNT NUMBER]],Movement!$J$4:$J$2136,Table11[[#This Row],[ENTITY]],Movement!$O$4:$O$2136,'Cash Balance'!$A$2)</f>
        <v>0</v>
      </c>
      <c r="K431" s="1084">
        <f>Table11[[#This Row],[CASH IN - CREDIT (VND)]]-Table11[[#This Row],[CASH OUT - DEBIT (VND)]]</f>
        <v>0</v>
      </c>
      <c r="L431" s="1095">
        <f t="shared" si="39"/>
        <v>2490050</v>
      </c>
      <c r="M431" s="1184" t="e">
        <f>VLOOKUP(C431,'Cash balance (BS)'!A:D,4,)</f>
        <v>#N/A</v>
      </c>
      <c r="N431" s="1095" t="e">
        <f>Table11[[#This Row],[CLOSING BALANCE (VND)2]]-Table11[[#This Row],[CB_BS (VND)]]</f>
        <v>#N/A</v>
      </c>
      <c r="O431" s="1094">
        <v>0</v>
      </c>
      <c r="P431" s="1095">
        <f t="shared" si="40"/>
        <v>0</v>
      </c>
      <c r="Q431" s="817">
        <f>SUMIFS('Cash balance (Prior period)'!G:G,'Cash balance (Prior period)'!C:C,Table11[[#This Row],[ACCOUNT NUMBER]],'Cash balance (Prior period)'!E:E,Table11[[#This Row],[CURRENCY]])</f>
        <v>0</v>
      </c>
      <c r="R431" s="817">
        <f>SUMIFS(Movement!$F$4:$F$2136,Movement!$M$4:$M$2136,"USD",Movement!$C$4:$C$2136,Table11[[#This Row],[ACCOUNT NUMBER]],Movement!$J$4:$J$2136,Table11[[#This Row],[ENTITY]],Movement!$O$4:$O$2136,'Cash Balance'!$A$2)</f>
        <v>0</v>
      </c>
      <c r="S431" s="817">
        <f>SUMIFS(Movement!$G$4:$G$2136,Movement!$M$4:$M$2136,"USD",Movement!$C$4:$C$2136,Table11[[#This Row],[ACCOUNT NUMBER]],Movement!$J$4:$J$2136,Table11[[#This Row],[ENTITY]],Movement!$O$4:$O$2136,'Cash Balance'!$A$2)</f>
        <v>0</v>
      </c>
      <c r="T431" s="1087">
        <f t="shared" si="41"/>
        <v>0</v>
      </c>
      <c r="U431" s="817"/>
      <c r="V431" s="817">
        <f>Table11[[#This Row],[CLOSING BALANCE (USD)]]-Table11[[#This Row],[CB_BS (USD)]]</f>
        <v>0</v>
      </c>
      <c r="W431" s="1156" t="str">
        <f>VLOOKUP('Cash Balance'!$C431,Table2[#All],MATCH('Cash Balance'!W$3,Acc_Char!$B$1:$I$1,0),0)</f>
        <v>Subsidiaries</v>
      </c>
      <c r="X431" s="1156" t="str">
        <f>VLOOKUP(IFERROR(MID($Y431,1,FIND("-",$Y431)-2),$Y431),Table3[#All],2,0)</f>
        <v>OCB</v>
      </c>
      <c r="Y431" s="1156" t="str">
        <f>VLOOKUP($B431,Table4[#All],2,0)</f>
        <v>OCB - BINH DUONG</v>
      </c>
      <c r="Z431" s="1151"/>
      <c r="AA431" s="49"/>
    </row>
    <row r="432" spans="1:27">
      <c r="A432" s="1153" t="str">
        <f>VLOOKUP('Cash Balance'!$C432,Table2[#All],MATCH('Cash Balance'!A$3,Acc_Char!$B$1:$I$1,0),0)</f>
        <v>QV2 HOLDCO</v>
      </c>
      <c r="B432" s="1154" t="str">
        <f>VLOOKUP('Cash Balance'!$C432,Table2[#All],MATCH('Cash Balance'!B$3,Acc_Char!$B$1:$I$1,0),0)</f>
        <v>OCB - BINH DUONG</v>
      </c>
      <c r="C432" s="1190" t="s">
        <v>1042</v>
      </c>
      <c r="D432" s="1156" t="str">
        <f>VLOOKUP('Cash Balance'!$C432,Table2[#All],MATCH('Cash Balance'!D$3,Acc_Char!$B$1:$I$1,0),0)</f>
        <v>Current Account</v>
      </c>
      <c r="E432" s="384" t="str">
        <f>VLOOKUP('Cash Balance'!$C432,Table2[#All],MATCH('Cash Balance'!E$3,Acc_Char!$B$1:$I$1,0),0)</f>
        <v>VND</v>
      </c>
      <c r="F432" s="1094"/>
      <c r="G432" s="1191"/>
      <c r="H432" s="1318">
        <f>SUMIFS('Cash balance (Prior period)'!F:F,'Cash balance (Prior period)'!C:C,Table11[[#This Row],[ACCOUNT NUMBER]],'Cash balance (Prior period)'!E:E,Table11[[#This Row],[CURRENCY]])</f>
        <v>1924057</v>
      </c>
      <c r="I432" s="1318">
        <f>SUMIFS(Movement!$F$4:$F$2136,Movement!$M$4:$M$2136,"VND",Movement!$C$4:$C$2136,Table11[[#This Row],[ACCOUNT NUMBER]],Movement!$J$4:$J$2136,Table11[[#This Row],[ENTITY]],Movement!$O$4:$O$2136,'Cash Balance'!$A$2)</f>
        <v>0</v>
      </c>
      <c r="J432" s="1318">
        <f>SUMIFS(Movement!$G$4:$G$2136,Movement!$M$4:$M$2136,"VND",Movement!$C$4:$C$2136,Table11[[#This Row],[ACCOUNT NUMBER]],Movement!$J$4:$J$2136,Table11[[#This Row],[ENTITY]],Movement!$O$4:$O$2136,'Cash Balance'!$A$2)</f>
        <v>0</v>
      </c>
      <c r="K432" s="1084">
        <f>Table11[[#This Row],[CASH IN - CREDIT (VND)]]-Table11[[#This Row],[CASH OUT - DEBIT (VND)]]</f>
        <v>0</v>
      </c>
      <c r="L432" s="1095">
        <f t="shared" si="39"/>
        <v>1924057</v>
      </c>
      <c r="M432" s="1184" t="e">
        <f>VLOOKUP(C432,'Cash balance (BS)'!A:D,4,)</f>
        <v>#N/A</v>
      </c>
      <c r="N432" s="1095" t="e">
        <f>Table11[[#This Row],[CLOSING BALANCE (VND)2]]-Table11[[#This Row],[CB_BS (VND)]]</f>
        <v>#N/A</v>
      </c>
      <c r="O432" s="1094">
        <v>0</v>
      </c>
      <c r="P432" s="1095">
        <f t="shared" si="40"/>
        <v>0</v>
      </c>
      <c r="Q432" s="817">
        <f>SUMIFS('Cash balance (Prior period)'!G:G,'Cash balance (Prior period)'!C:C,Table11[[#This Row],[ACCOUNT NUMBER]],'Cash balance (Prior period)'!E:E,Table11[[#This Row],[CURRENCY]])</f>
        <v>0</v>
      </c>
      <c r="R432" s="817">
        <f>SUMIFS(Movement!$F$4:$F$2136,Movement!$M$4:$M$2136,"USD",Movement!$C$4:$C$2136,Table11[[#This Row],[ACCOUNT NUMBER]],Movement!$J$4:$J$2136,Table11[[#This Row],[ENTITY]],Movement!$O$4:$O$2136,'Cash Balance'!$A$2)</f>
        <v>0</v>
      </c>
      <c r="S432" s="817">
        <f>SUMIFS(Movement!$G$4:$G$2136,Movement!$M$4:$M$2136,"USD",Movement!$C$4:$C$2136,Table11[[#This Row],[ACCOUNT NUMBER]],Movement!$J$4:$J$2136,Table11[[#This Row],[ENTITY]],Movement!$O$4:$O$2136,'Cash Balance'!$A$2)</f>
        <v>0</v>
      </c>
      <c r="T432" s="1087">
        <f t="shared" si="41"/>
        <v>0</v>
      </c>
      <c r="U432" s="817" t="e">
        <f>VLOOKUP(C432,'Cash balance (BS)'!A:D,4,)</f>
        <v>#N/A</v>
      </c>
      <c r="V432" s="817" t="e">
        <f>Table11[[#This Row],[CLOSING BALANCE (USD)]]-Table11[[#This Row],[CB_BS (USD)]]</f>
        <v>#N/A</v>
      </c>
      <c r="W432" s="1156" t="str">
        <f>VLOOKUP('Cash Balance'!$C432,Table2[#All],MATCH('Cash Balance'!W$3,Acc_Char!$B$1:$I$1,0),0)</f>
        <v>Subsidiaries</v>
      </c>
      <c r="X432" s="1156" t="str">
        <f>VLOOKUP(IFERROR(MID($Y432,1,FIND("-",$Y432)-2),$Y432),Table3[#All],2,0)</f>
        <v>OCB</v>
      </c>
      <c r="Y432" s="1156" t="str">
        <f>VLOOKUP($B432,Table4[#All],2,0)</f>
        <v>OCB - BINH DUONG</v>
      </c>
      <c r="Z432" s="1151"/>
      <c r="AA432" s="49"/>
    </row>
    <row r="433" spans="1:34">
      <c r="A433" s="1153" t="str">
        <f>VLOOKUP('Cash Balance'!$C433,Table2[#All],MATCH('Cash Balance'!A$3,Acc_Char!$B$1:$I$1,0),0)</f>
        <v>BW NEW CITY</v>
      </c>
      <c r="B433" s="1154" t="str">
        <f>VLOOKUP('Cash Balance'!$C433,Table2[#All],MATCH('Cash Balance'!B$3,Acc_Char!$B$1:$I$1,0),0)</f>
        <v>OCB - BINH DUONG</v>
      </c>
      <c r="C433" s="1190" t="s">
        <v>1043</v>
      </c>
      <c r="D433" s="1156" t="str">
        <f>VLOOKUP('Cash Balance'!$C433,Table2[#All],MATCH('Cash Balance'!D$3,Acc_Char!$B$1:$I$1,0),0)</f>
        <v>Current Account</v>
      </c>
      <c r="E433" s="384" t="str">
        <f>VLOOKUP('Cash Balance'!$C433,Table2[#All],MATCH('Cash Balance'!E$3,Acc_Char!$B$1:$I$1,0),0)</f>
        <v>VND</v>
      </c>
      <c r="F433" s="1094"/>
      <c r="G433" s="1191"/>
      <c r="H433" s="1318">
        <f>SUMIFS('Cash balance (Prior period)'!F:F,'Cash balance (Prior period)'!C:C,Table11[[#This Row],[ACCOUNT NUMBER]],'Cash balance (Prior period)'!E:E,Table11[[#This Row],[CURRENCY]])</f>
        <v>3774589</v>
      </c>
      <c r="I433" s="1318">
        <f>SUMIFS(Movement!$F$4:$F$2136,Movement!$M$4:$M$2136,"VND",Movement!$C$4:$C$2136,Table11[[#This Row],[ACCOUNT NUMBER]],Movement!$J$4:$J$2136,Table11[[#This Row],[ENTITY]],Movement!$O$4:$O$2136,'Cash Balance'!$A$2)</f>
        <v>0</v>
      </c>
      <c r="J433" s="1318">
        <f>SUMIFS(Movement!$G$4:$G$2136,Movement!$M$4:$M$2136,"VND",Movement!$C$4:$C$2136,Table11[[#This Row],[ACCOUNT NUMBER]],Movement!$J$4:$J$2136,Table11[[#This Row],[ENTITY]],Movement!$O$4:$O$2136,'Cash Balance'!$A$2)</f>
        <v>0</v>
      </c>
      <c r="K433" s="1084">
        <f>Table11[[#This Row],[CASH IN - CREDIT (VND)]]-Table11[[#This Row],[CASH OUT - DEBIT (VND)]]</f>
        <v>0</v>
      </c>
      <c r="L433" s="1095">
        <f t="shared" si="39"/>
        <v>3774589</v>
      </c>
      <c r="M433" s="1184" t="e">
        <f>VLOOKUP(C433,'Cash balance (BS)'!A:D,4,)</f>
        <v>#N/A</v>
      </c>
      <c r="N433" s="1095" t="e">
        <f>Table11[[#This Row],[CLOSING BALANCE (VND)2]]-Table11[[#This Row],[CB_BS (VND)]]</f>
        <v>#N/A</v>
      </c>
      <c r="O433" s="1094">
        <v>0</v>
      </c>
      <c r="P433" s="1095">
        <f t="shared" si="40"/>
        <v>0</v>
      </c>
      <c r="Q433" s="817">
        <f>SUMIFS('Cash balance (Prior period)'!G:G,'Cash balance (Prior period)'!C:C,Table11[[#This Row],[ACCOUNT NUMBER]],'Cash balance (Prior period)'!E:E,Table11[[#This Row],[CURRENCY]])</f>
        <v>0</v>
      </c>
      <c r="R433" s="817">
        <f>SUMIFS(Movement!$F$4:$F$2136,Movement!$M$4:$M$2136,"USD",Movement!$C$4:$C$2136,Table11[[#This Row],[ACCOUNT NUMBER]],Movement!$J$4:$J$2136,Table11[[#This Row],[ENTITY]],Movement!$O$4:$O$2136,'Cash Balance'!$A$2)</f>
        <v>0</v>
      </c>
      <c r="S433" s="817">
        <f>SUMIFS(Movement!$G$4:$G$2136,Movement!$M$4:$M$2136,"USD",Movement!$C$4:$C$2136,Table11[[#This Row],[ACCOUNT NUMBER]],Movement!$J$4:$J$2136,Table11[[#This Row],[ENTITY]],Movement!$O$4:$O$2136,'Cash Balance'!$A$2)</f>
        <v>0</v>
      </c>
      <c r="T433" s="1087">
        <f t="shared" si="41"/>
        <v>0</v>
      </c>
      <c r="U433" s="817" t="e">
        <f>VLOOKUP(C433,'Cash balance (BS)'!A:D,4,)</f>
        <v>#N/A</v>
      </c>
      <c r="V433" s="817" t="e">
        <f>Table11[[#This Row],[CLOSING BALANCE (USD)]]-Table11[[#This Row],[CB_BS (USD)]]</f>
        <v>#N/A</v>
      </c>
      <c r="W433" s="1156" t="str">
        <f>VLOOKUP('Cash Balance'!$C433,Table2[#All],MATCH('Cash Balance'!W$3,Acc_Char!$B$1:$I$1,0),0)</f>
        <v>Subsidiaries</v>
      </c>
      <c r="X433" s="1156" t="str">
        <f>VLOOKUP(IFERROR(MID($Y433,1,FIND("-",$Y433)-2),$Y433),Table3[#All],2,0)</f>
        <v>OCB</v>
      </c>
      <c r="Y433" s="1156" t="str">
        <f>VLOOKUP($B433,Table4[#All],2,0)</f>
        <v>OCB - BINH DUONG</v>
      </c>
      <c r="Z433" s="1151"/>
      <c r="AA433" s="49"/>
    </row>
    <row r="434" spans="1:34">
      <c r="A434" s="1153" t="str">
        <f>VLOOKUP('Cash Balance'!$C434,Table2[#All],MATCH('Cash Balance'!A$3,Acc_Char!$B$1:$I$1,0),0)</f>
        <v>SAO HOA</v>
      </c>
      <c r="B434" s="1154" t="str">
        <f>VLOOKUP('Cash Balance'!$C434,Table2[#All],MATCH('Cash Balance'!B$3,Acc_Char!$B$1:$I$1,0),0)</f>
        <v>MAYBANK - HCM</v>
      </c>
      <c r="C434" s="1190" t="s">
        <v>1045</v>
      </c>
      <c r="D434" s="1156" t="str">
        <f>VLOOKUP('Cash Balance'!$C434,Table2[#All],MATCH('Cash Balance'!D$3,Acc_Char!$B$1:$I$1,0),0)</f>
        <v>Current Account</v>
      </c>
      <c r="E434" s="384" t="str">
        <f>VLOOKUP('Cash Balance'!$C434,Table2[#All],MATCH('Cash Balance'!E$3,Acc_Char!$B$1:$I$1,0),0)</f>
        <v>VND</v>
      </c>
      <c r="F434" s="1094" t="e">
        <f>VLOOKUP(C434,'Cash balance (BS)'!A:C,3,)</f>
        <v>#N/A</v>
      </c>
      <c r="G434" s="1191" t="e">
        <f t="shared" ref="G434:G444" si="42">F434-H434</f>
        <v>#N/A</v>
      </c>
      <c r="H434" s="1318">
        <f>SUMIFS('Cash balance (Prior period)'!F:F,'Cash balance (Prior period)'!C:C,Table11[[#This Row],[ACCOUNT NUMBER]],'Cash balance (Prior period)'!E:E,Table11[[#This Row],[CURRENCY]])</f>
        <v>0</v>
      </c>
      <c r="I434" s="1318">
        <f>SUMIFS(Movement!$F$4:$F$2136,Movement!$M$4:$M$2136,"VND",Movement!$C$4:$C$2136,Table11[[#This Row],[ACCOUNT NUMBER]],Movement!$J$4:$J$2136,Table11[[#This Row],[ENTITY]],Movement!$O$4:$O$2136,'Cash Balance'!$A$2)</f>
        <v>0</v>
      </c>
      <c r="J434" s="1318">
        <f>SUMIFS(Movement!$G$4:$G$2136,Movement!$M$4:$M$2136,"VND",Movement!$C$4:$C$2136,Table11[[#This Row],[ACCOUNT NUMBER]],Movement!$J$4:$J$2136,Table11[[#This Row],[ENTITY]],Movement!$O$4:$O$2136,'Cash Balance'!$A$2)</f>
        <v>0</v>
      </c>
      <c r="K434" s="1084">
        <f>Table11[[#This Row],[CASH IN - CREDIT (VND)]]-Table11[[#This Row],[CASH OUT - DEBIT (VND)]]</f>
        <v>0</v>
      </c>
      <c r="L434" s="1095">
        <f t="shared" si="39"/>
        <v>0</v>
      </c>
      <c r="M434" s="1184" t="e">
        <f>VLOOKUP(C434,'Cash balance (BS)'!A:D,4,)</f>
        <v>#N/A</v>
      </c>
      <c r="N434" s="1095" t="e">
        <f>Table11[[#This Row],[CLOSING BALANCE (VND)2]]-Table11[[#This Row],[CB_BS (VND)]]</f>
        <v>#N/A</v>
      </c>
      <c r="O434" s="1094">
        <v>0</v>
      </c>
      <c r="P434" s="1095">
        <f t="shared" si="40"/>
        <v>0</v>
      </c>
      <c r="Q434" s="817">
        <f>SUMIFS('Cash balance (Prior period)'!G:G,'Cash balance (Prior period)'!C:C,Table11[[#This Row],[ACCOUNT NUMBER]],'Cash balance (Prior period)'!E:E,Table11[[#This Row],[CURRENCY]])</f>
        <v>0</v>
      </c>
      <c r="R434" s="817">
        <f>SUMIFS(Movement!$F$4:$F$2136,Movement!$M$4:$M$2136,"USD",Movement!$C$4:$C$2136,Table11[[#This Row],[ACCOUNT NUMBER]],Movement!$J$4:$J$2136,Table11[[#This Row],[ENTITY]],Movement!$O$4:$O$2136,'Cash Balance'!$A$2)</f>
        <v>0</v>
      </c>
      <c r="S434" s="817">
        <f>SUMIFS(Movement!$G$4:$G$2136,Movement!$M$4:$M$2136,"USD",Movement!$C$4:$C$2136,Table11[[#This Row],[ACCOUNT NUMBER]],Movement!$J$4:$J$2136,Table11[[#This Row],[ENTITY]],Movement!$O$4:$O$2136,'Cash Balance'!$A$2)</f>
        <v>0</v>
      </c>
      <c r="T434" s="1087">
        <f t="shared" si="41"/>
        <v>0</v>
      </c>
      <c r="U434" s="817"/>
      <c r="V434" s="817">
        <f>Table11[[#This Row],[CLOSING BALANCE (USD)]]-Table11[[#This Row],[CB_BS (USD)]]</f>
        <v>0</v>
      </c>
      <c r="W434" s="1156" t="str">
        <f>VLOOKUP('Cash Balance'!$C434,Table2[#All],MATCH('Cash Balance'!W$3,Acc_Char!$B$1:$I$1,0),0)</f>
        <v>VC3</v>
      </c>
      <c r="X434" s="1156" t="str">
        <f>VLOOKUP(IFERROR(MID($Y434,1,FIND("-",$Y434)-2),$Y434),Table3[#All],2,0)</f>
        <v>Others</v>
      </c>
      <c r="Y434" s="1156" t="str">
        <f>VLOOKUP($B434,Table4[#All],2,0)</f>
        <v>OTHERS</v>
      </c>
      <c r="Z434" s="1151"/>
      <c r="AA434" s="49"/>
    </row>
    <row r="435" spans="1:34">
      <c r="A435" s="1153" t="str">
        <f>VLOOKUP('Cash Balance'!$C435,Table2[#All],MATCH('Cash Balance'!A$3,Acc_Char!$B$1:$I$1,0),0)</f>
        <v>SONG THAN 2</v>
      </c>
      <c r="B435" s="1154" t="str">
        <f>VLOOKUP('Cash Balance'!$C435,Table2[#All],MATCH('Cash Balance'!B$3,Acc_Char!$B$1:$I$1,0),0)</f>
        <v>VIETINBANK - TPHCM</v>
      </c>
      <c r="C435" s="1190" t="s">
        <v>1046</v>
      </c>
      <c r="D435" s="1156" t="str">
        <f>VLOOKUP('Cash Balance'!$C435,Table2[#All],MATCH('Cash Balance'!D$3,Acc_Char!$B$1:$I$1,0),0)</f>
        <v>Current Account</v>
      </c>
      <c r="E435" s="384" t="str">
        <f>VLOOKUP('Cash Balance'!$C435,Table2[#All],MATCH('Cash Balance'!E$3,Acc_Char!$B$1:$I$1,0),0)</f>
        <v>VND</v>
      </c>
      <c r="F435" s="1094" t="e">
        <f>VLOOKUP(C435,'Cash balance (BS)'!A:C,3,)</f>
        <v>#N/A</v>
      </c>
      <c r="G435" s="1191" t="e">
        <f t="shared" si="42"/>
        <v>#N/A</v>
      </c>
      <c r="H435" s="1318">
        <f>SUMIFS('Cash balance (Prior period)'!F:F,'Cash balance (Prior period)'!C:C,Table11[[#This Row],[ACCOUNT NUMBER]],'Cash balance (Prior period)'!E:E,Table11[[#This Row],[CURRENCY]])</f>
        <v>4185877493</v>
      </c>
      <c r="I435" s="1318">
        <f>SUMIFS(Movement!$F$4:$F$2136,Movement!$M$4:$M$2136,"VND",Movement!$C$4:$C$2136,Table11[[#This Row],[ACCOUNT NUMBER]],Movement!$J$4:$J$2136,Table11[[#This Row],[ENTITY]],Movement!$O$4:$O$2136,'Cash Balance'!$A$2)</f>
        <v>357993</v>
      </c>
      <c r="J435" s="1318">
        <f>SUMIFS(Movement!$G$4:$G$2136,Movement!$M$4:$M$2136,"VND",Movement!$C$4:$C$2136,Table11[[#This Row],[ACCOUNT NUMBER]],Movement!$J$4:$J$2136,Table11[[#This Row],[ENTITY]],Movement!$O$4:$O$2136,'Cash Balance'!$A$2)</f>
        <v>37597360</v>
      </c>
      <c r="K435" s="1084">
        <f>Table11[[#This Row],[CASH IN - CREDIT (VND)]]-Table11[[#This Row],[CASH OUT - DEBIT (VND)]]</f>
        <v>-37239367</v>
      </c>
      <c r="L435" s="1095">
        <f t="shared" si="39"/>
        <v>4148638126</v>
      </c>
      <c r="M435" s="1184" t="e">
        <f>VLOOKUP(C435,'Cash balance (BS)'!A:D,4,)</f>
        <v>#N/A</v>
      </c>
      <c r="N435" s="1095" t="e">
        <f>Table11[[#This Row],[CLOSING BALANCE (VND)2]]-Table11[[#This Row],[CB_BS (VND)]]</f>
        <v>#N/A</v>
      </c>
      <c r="O435" s="1094">
        <v>0</v>
      </c>
      <c r="P435" s="1095">
        <f t="shared" si="40"/>
        <v>0</v>
      </c>
      <c r="Q435" s="817">
        <f>SUMIFS('Cash balance (Prior period)'!G:G,'Cash balance (Prior period)'!C:C,Table11[[#This Row],[ACCOUNT NUMBER]],'Cash balance (Prior period)'!E:E,Table11[[#This Row],[CURRENCY]])</f>
        <v>0</v>
      </c>
      <c r="R435" s="817">
        <f>SUMIFS(Movement!$F$4:$F$2136,Movement!$M$4:$M$2136,"USD",Movement!$C$4:$C$2136,Table11[[#This Row],[ACCOUNT NUMBER]],Movement!$J$4:$J$2136,Table11[[#This Row],[ENTITY]],Movement!$O$4:$O$2136,'Cash Balance'!$A$2)</f>
        <v>0</v>
      </c>
      <c r="S435" s="817">
        <f>SUMIFS(Movement!$G$4:$G$2136,Movement!$M$4:$M$2136,"USD",Movement!$C$4:$C$2136,Table11[[#This Row],[ACCOUNT NUMBER]],Movement!$J$4:$J$2136,Table11[[#This Row],[ENTITY]],Movement!$O$4:$O$2136,'Cash Balance'!$A$2)</f>
        <v>0</v>
      </c>
      <c r="T435" s="1087">
        <f t="shared" si="41"/>
        <v>0</v>
      </c>
      <c r="U435" s="817"/>
      <c r="V435" s="817">
        <f>Table11[[#This Row],[CLOSING BALANCE (USD)]]-Table11[[#This Row],[CB_BS (USD)]]</f>
        <v>0</v>
      </c>
      <c r="W435" s="1156" t="str">
        <f>VLOOKUP('Cash Balance'!$C435,Table2[#All],MATCH('Cash Balance'!W$3,Acc_Char!$B$1:$I$1,0),0)</f>
        <v>Subsidiaries</v>
      </c>
      <c r="X435" s="1156" t="str">
        <f>VLOOKUP(IFERROR(MID($Y435,1,FIND("-",$Y435)-2),$Y435),Table3[#All],2,0)</f>
        <v>VTB</v>
      </c>
      <c r="Y435" s="1156" t="str">
        <f>VLOOKUP($B435,Table4[#All],2,0)</f>
        <v>VIETINBANK - TPHCM</v>
      </c>
      <c r="Z435" s="1151"/>
      <c r="AA435" s="49"/>
    </row>
    <row r="436" spans="1:34">
      <c r="A436" s="1153" t="str">
        <f>VLOOKUP('Cash Balance'!$C436,Table2[#All],MATCH('Cash Balance'!A$3,Acc_Char!$B$1:$I$1,0),0)</f>
        <v>LE MINH XUAN 3</v>
      </c>
      <c r="B436" s="1154" t="str">
        <f>VLOOKUP('Cash Balance'!$C436,Table2[#All],MATCH('Cash Balance'!B$3,Acc_Char!$B$1:$I$1,0),0)</f>
        <v>VIETINBANK - TPHCM</v>
      </c>
      <c r="C436" s="1190" t="s">
        <v>1047</v>
      </c>
      <c r="D436" s="1156" t="str">
        <f>VLOOKUP('Cash Balance'!$C436,Table2[#All],MATCH('Cash Balance'!D$3,Acc_Char!$B$1:$I$1,0),0)</f>
        <v>Current Account</v>
      </c>
      <c r="E436" s="384" t="str">
        <f>VLOOKUP('Cash Balance'!$C436,Table2[#All],MATCH('Cash Balance'!E$3,Acc_Char!$B$1:$I$1,0),0)</f>
        <v>VND</v>
      </c>
      <c r="F436" s="1094" t="e">
        <f>VLOOKUP(C436,'Cash balance (BS)'!A:C,3,)</f>
        <v>#N/A</v>
      </c>
      <c r="G436" s="1191" t="e">
        <f t="shared" si="42"/>
        <v>#N/A</v>
      </c>
      <c r="H436" s="1318">
        <f>SUMIFS('Cash balance (Prior period)'!F:F,'Cash balance (Prior period)'!C:C,Table11[[#This Row],[ACCOUNT NUMBER]],'Cash balance (Prior period)'!E:E,Table11[[#This Row],[CURRENCY]])</f>
        <v>1951285861</v>
      </c>
      <c r="I436" s="1318">
        <f>SUMIFS(Movement!$F$4:$F$2136,Movement!$M$4:$M$2136,"VND",Movement!$C$4:$C$2136,Table11[[#This Row],[ACCOUNT NUMBER]],Movement!$J$4:$J$2136,Table11[[#This Row],[ENTITY]],Movement!$O$4:$O$2136,'Cash Balance'!$A$2)</f>
        <v>4619235197</v>
      </c>
      <c r="J436" s="1318">
        <f>SUMIFS(Movement!$G$4:$G$2136,Movement!$M$4:$M$2136,"VND",Movement!$C$4:$C$2136,Table11[[#This Row],[ACCOUNT NUMBER]],Movement!$J$4:$J$2136,Table11[[#This Row],[ENTITY]],Movement!$O$4:$O$2136,'Cash Balance'!$A$2)</f>
        <v>510798719</v>
      </c>
      <c r="K436" s="1084">
        <f>Table11[[#This Row],[CASH IN - CREDIT (VND)]]-Table11[[#This Row],[CASH OUT - DEBIT (VND)]]</f>
        <v>4108436478</v>
      </c>
      <c r="L436" s="1095">
        <f t="shared" si="39"/>
        <v>6059722339</v>
      </c>
      <c r="M436" s="1184" t="e">
        <f>VLOOKUP(C436,'Cash balance (BS)'!A:D,4,)</f>
        <v>#N/A</v>
      </c>
      <c r="N436" s="1095" t="e">
        <f>Table11[[#This Row],[CLOSING BALANCE (VND)2]]-Table11[[#This Row],[CB_BS (VND)]]</f>
        <v>#N/A</v>
      </c>
      <c r="O436" s="1094">
        <v>0</v>
      </c>
      <c r="P436" s="1095">
        <f t="shared" si="40"/>
        <v>0</v>
      </c>
      <c r="Q436" s="817">
        <f>SUMIFS('Cash balance (Prior period)'!G:G,'Cash balance (Prior period)'!C:C,Table11[[#This Row],[ACCOUNT NUMBER]],'Cash balance (Prior period)'!E:E,Table11[[#This Row],[CURRENCY]])</f>
        <v>0</v>
      </c>
      <c r="R436" s="817">
        <f>SUMIFS(Movement!$F$4:$F$2136,Movement!$M$4:$M$2136,"USD",Movement!$C$4:$C$2136,Table11[[#This Row],[ACCOUNT NUMBER]],Movement!$J$4:$J$2136,Table11[[#This Row],[ENTITY]],Movement!$O$4:$O$2136,'Cash Balance'!$A$2)</f>
        <v>0</v>
      </c>
      <c r="S436" s="817">
        <f>SUMIFS(Movement!$G$4:$G$2136,Movement!$M$4:$M$2136,"USD",Movement!$C$4:$C$2136,Table11[[#This Row],[ACCOUNT NUMBER]],Movement!$J$4:$J$2136,Table11[[#This Row],[ENTITY]],Movement!$O$4:$O$2136,'Cash Balance'!$A$2)</f>
        <v>0</v>
      </c>
      <c r="T436" s="1087">
        <f t="shared" si="41"/>
        <v>0</v>
      </c>
      <c r="U436" s="817"/>
      <c r="V436" s="817">
        <f>Table11[[#This Row],[CLOSING BALANCE (USD)]]-Table11[[#This Row],[CB_BS (USD)]]</f>
        <v>0</v>
      </c>
      <c r="W436" s="1156" t="str">
        <f>VLOOKUP('Cash Balance'!$C436,Table2[#All],MATCH('Cash Balance'!W$3,Acc_Char!$B$1:$I$1,0),0)</f>
        <v>Subsidiaries</v>
      </c>
      <c r="X436" s="1156" t="str">
        <f>VLOOKUP(IFERROR(MID($Y436,1,FIND("-",$Y436)-2),$Y436),Table3[#All],2,0)</f>
        <v>VTB</v>
      </c>
      <c r="Y436" s="1156" t="str">
        <f>VLOOKUP($B436,Table4[#All],2,0)</f>
        <v>VIETINBANK - TPHCM</v>
      </c>
      <c r="Z436" s="1151"/>
      <c r="AA436" s="49"/>
    </row>
    <row r="437" spans="1:34">
      <c r="A437" s="1153" t="str">
        <f>VLOOKUP('Cash Balance'!$C437,Table2[#All],MATCH('Cash Balance'!A$3,Acc_Char!$B$1:$I$1,0),0)</f>
        <v>TAN DONG HIEP B ELECTRON</v>
      </c>
      <c r="B437" s="1154" t="str">
        <f>VLOOKUP('Cash Balance'!$C437,Table2[#All],MATCH('Cash Balance'!B$3,Acc_Char!$B$1:$I$1,0),0)</f>
        <v>VIETINBANK - TPHCM</v>
      </c>
      <c r="C437" s="1190" t="s">
        <v>1048</v>
      </c>
      <c r="D437" s="1156" t="str">
        <f>VLOOKUP('Cash Balance'!$C437,Table2[#All],MATCH('Cash Balance'!D$3,Acc_Char!$B$1:$I$1,0),0)</f>
        <v>Current Account</v>
      </c>
      <c r="E437" s="384" t="str">
        <f>VLOOKUP('Cash Balance'!$C437,Table2[#All],MATCH('Cash Balance'!E$3,Acc_Char!$B$1:$I$1,0),0)</f>
        <v>VND</v>
      </c>
      <c r="F437" s="1094" t="e">
        <f>VLOOKUP(C437,'Cash balance (BS)'!A:C,3,)</f>
        <v>#N/A</v>
      </c>
      <c r="G437" s="1191" t="e">
        <f t="shared" si="42"/>
        <v>#N/A</v>
      </c>
      <c r="H437" s="1318">
        <f>SUMIFS('Cash balance (Prior period)'!F:F,'Cash balance (Prior period)'!C:C,Table11[[#This Row],[ACCOUNT NUMBER]],'Cash balance (Prior period)'!E:E,Table11[[#This Row],[CURRENCY]])</f>
        <v>1172733176</v>
      </c>
      <c r="I437" s="1318">
        <f>SUMIFS(Movement!$F$4:$F$2136,Movement!$M$4:$M$2136,"VND",Movement!$C$4:$C$2136,Table11[[#This Row],[ACCOUNT NUMBER]],Movement!$J$4:$J$2136,Table11[[#This Row],[ENTITY]],Movement!$O$4:$O$2136,'Cash Balance'!$A$2)</f>
        <v>4795119994</v>
      </c>
      <c r="J437" s="1318">
        <f>SUMIFS(Movement!$G$4:$G$2136,Movement!$M$4:$M$2136,"VND",Movement!$C$4:$C$2136,Table11[[#This Row],[ACCOUNT NUMBER]],Movement!$J$4:$J$2136,Table11[[#This Row],[ENTITY]],Movement!$O$4:$O$2136,'Cash Balance'!$A$2)</f>
        <v>289735985</v>
      </c>
      <c r="K437" s="1084">
        <f>Table11[[#This Row],[CASH IN - CREDIT (VND)]]-Table11[[#This Row],[CASH OUT - DEBIT (VND)]]</f>
        <v>4505384009</v>
      </c>
      <c r="L437" s="1095">
        <f t="shared" si="39"/>
        <v>5678117185</v>
      </c>
      <c r="M437" s="1184" t="e">
        <f>VLOOKUP(C437,'Cash balance (BS)'!A:D,4,)</f>
        <v>#N/A</v>
      </c>
      <c r="N437" s="1095" t="e">
        <f>Table11[[#This Row],[CLOSING BALANCE (VND)2]]-Table11[[#This Row],[CB_BS (VND)]]</f>
        <v>#N/A</v>
      </c>
      <c r="O437" s="1094">
        <v>0</v>
      </c>
      <c r="P437" s="1095">
        <f t="shared" si="40"/>
        <v>0</v>
      </c>
      <c r="Q437" s="817">
        <f>SUMIFS('Cash balance (Prior period)'!G:G,'Cash balance (Prior period)'!C:C,Table11[[#This Row],[ACCOUNT NUMBER]],'Cash balance (Prior period)'!E:E,Table11[[#This Row],[CURRENCY]])</f>
        <v>0</v>
      </c>
      <c r="R437" s="817">
        <f>SUMIFS(Movement!$F$4:$F$2136,Movement!$M$4:$M$2136,"USD",Movement!$C$4:$C$2136,Table11[[#This Row],[ACCOUNT NUMBER]],Movement!$J$4:$J$2136,Table11[[#This Row],[ENTITY]],Movement!$O$4:$O$2136,'Cash Balance'!$A$2)</f>
        <v>0</v>
      </c>
      <c r="S437" s="817">
        <f>SUMIFS(Movement!$G$4:$G$2136,Movement!$M$4:$M$2136,"USD",Movement!$C$4:$C$2136,Table11[[#This Row],[ACCOUNT NUMBER]],Movement!$J$4:$J$2136,Table11[[#This Row],[ENTITY]],Movement!$O$4:$O$2136,'Cash Balance'!$A$2)</f>
        <v>0</v>
      </c>
      <c r="T437" s="1087">
        <f t="shared" si="41"/>
        <v>0</v>
      </c>
      <c r="U437" s="817"/>
      <c r="V437" s="817">
        <f>Table11[[#This Row],[CLOSING BALANCE (USD)]]-Table11[[#This Row],[CB_BS (USD)]]</f>
        <v>0</v>
      </c>
      <c r="W437" s="1156" t="str">
        <f>VLOOKUP('Cash Balance'!$C437,Table2[#All],MATCH('Cash Balance'!W$3,Acc_Char!$B$1:$I$1,0),0)</f>
        <v>Subsidiaries</v>
      </c>
      <c r="X437" s="1156" t="str">
        <f>VLOOKUP(IFERROR(MID($Y437,1,FIND("-",$Y437)-2),$Y437),Table3[#All],2,0)</f>
        <v>VTB</v>
      </c>
      <c r="Y437" s="1156" t="str">
        <f>VLOOKUP($B437,Table4[#All],2,0)</f>
        <v>VIETINBANK - TPHCM</v>
      </c>
      <c r="Z437" s="1151"/>
      <c r="AA437" s="49"/>
    </row>
    <row r="438" spans="1:34">
      <c r="A438" s="1153" t="str">
        <f>VLOOKUP('Cash Balance'!$C438,Table2[#All],MATCH('Cash Balance'!A$3,Acc_Char!$B$1:$I$1,0),0)</f>
        <v>DEEP C 2B</v>
      </c>
      <c r="B438" s="1154" t="str">
        <f>VLOOKUP('Cash Balance'!$C438,Table2[#All],MATCH('Cash Balance'!B$3,Acc_Char!$B$1:$I$1,0),0)</f>
        <v>VIETINBANK - TPHCM</v>
      </c>
      <c r="C438" s="1190" t="s">
        <v>1049</v>
      </c>
      <c r="D438" s="1156" t="str">
        <f>VLOOKUP('Cash Balance'!$C438,Table2[#All],MATCH('Cash Balance'!D$3,Acc_Char!$B$1:$I$1,0),0)</f>
        <v>Current Account</v>
      </c>
      <c r="E438" s="384" t="str">
        <f>VLOOKUP('Cash Balance'!$C438,Table2[#All],MATCH('Cash Balance'!E$3,Acc_Char!$B$1:$I$1,0),0)</f>
        <v>VND</v>
      </c>
      <c r="F438" s="1094" t="e">
        <f>VLOOKUP(C438,'Cash balance (BS)'!A:C,3,)</f>
        <v>#N/A</v>
      </c>
      <c r="G438" s="1191" t="e">
        <f t="shared" si="42"/>
        <v>#N/A</v>
      </c>
      <c r="H438" s="1318">
        <f>SUMIFS('Cash balance (Prior period)'!F:F,'Cash balance (Prior period)'!C:C,Table11[[#This Row],[ACCOUNT NUMBER]],'Cash balance (Prior period)'!E:E,Table11[[#This Row],[CURRENCY]])</f>
        <v>1473882607</v>
      </c>
      <c r="I438" s="1318">
        <f>SUMIFS(Movement!$F$4:$F$2136,Movement!$M$4:$M$2136,"VND",Movement!$C$4:$C$2136,Table11[[#This Row],[ACCOUNT NUMBER]],Movement!$J$4:$J$2136,Table11[[#This Row],[ENTITY]],Movement!$O$4:$O$2136,'Cash Balance'!$A$2)</f>
        <v>12612610145</v>
      </c>
      <c r="J438" s="1318">
        <f>SUMIFS(Movement!$G$4:$G$2136,Movement!$M$4:$M$2136,"VND",Movement!$C$4:$C$2136,Table11[[#This Row],[ACCOUNT NUMBER]],Movement!$J$4:$J$2136,Table11[[#This Row],[ENTITY]],Movement!$O$4:$O$2136,'Cash Balance'!$A$2)</f>
        <v>629900210</v>
      </c>
      <c r="K438" s="1084">
        <f>Table11[[#This Row],[CASH IN - CREDIT (VND)]]-Table11[[#This Row],[CASH OUT - DEBIT (VND)]]</f>
        <v>11982709935</v>
      </c>
      <c r="L438" s="1095">
        <f t="shared" si="39"/>
        <v>13456592542</v>
      </c>
      <c r="M438" s="1184" t="e">
        <f>VLOOKUP(C438,'Cash balance (BS)'!A:D,4,)</f>
        <v>#N/A</v>
      </c>
      <c r="N438" s="1095" t="e">
        <f>Table11[[#This Row],[CLOSING BALANCE (VND)2]]-Table11[[#This Row],[CB_BS (VND)]]</f>
        <v>#N/A</v>
      </c>
      <c r="O438" s="1094">
        <v>0</v>
      </c>
      <c r="P438" s="1095">
        <f t="shared" si="40"/>
        <v>0</v>
      </c>
      <c r="Q438" s="817">
        <f>SUMIFS('Cash balance (Prior period)'!G:G,'Cash balance (Prior period)'!C:C,Table11[[#This Row],[ACCOUNT NUMBER]],'Cash balance (Prior period)'!E:E,Table11[[#This Row],[CURRENCY]])</f>
        <v>0</v>
      </c>
      <c r="R438" s="817">
        <f>SUMIFS(Movement!$F$4:$F$2136,Movement!$M$4:$M$2136,"USD",Movement!$C$4:$C$2136,Table11[[#This Row],[ACCOUNT NUMBER]],Movement!$J$4:$J$2136,Table11[[#This Row],[ENTITY]],Movement!$O$4:$O$2136,'Cash Balance'!$A$2)</f>
        <v>0</v>
      </c>
      <c r="S438" s="817">
        <f>SUMIFS(Movement!$G$4:$G$2136,Movement!$M$4:$M$2136,"USD",Movement!$C$4:$C$2136,Table11[[#This Row],[ACCOUNT NUMBER]],Movement!$J$4:$J$2136,Table11[[#This Row],[ENTITY]],Movement!$O$4:$O$2136,'Cash Balance'!$A$2)</f>
        <v>0</v>
      </c>
      <c r="T438" s="1087">
        <f t="shared" si="41"/>
        <v>0</v>
      </c>
      <c r="U438" s="817"/>
      <c r="V438" s="817">
        <f>Table11[[#This Row],[CLOSING BALANCE (USD)]]-Table11[[#This Row],[CB_BS (USD)]]</f>
        <v>0</v>
      </c>
      <c r="W438" s="1156" t="str">
        <f>VLOOKUP('Cash Balance'!$C438,Table2[#All],MATCH('Cash Balance'!W$3,Acc_Char!$B$1:$I$1,0),0)</f>
        <v>Subsidiaries</v>
      </c>
      <c r="X438" s="1156" t="str">
        <f>VLOOKUP(IFERROR(MID($Y438,1,FIND("-",$Y438)-2),$Y438),Table3[#All],2,0)</f>
        <v>VTB</v>
      </c>
      <c r="Y438" s="1156" t="str">
        <f>VLOOKUP($B438,Table4[#All],2,0)</f>
        <v>VIETINBANK - TPHCM</v>
      </c>
      <c r="Z438" s="1151"/>
      <c r="AA438" s="49"/>
    </row>
    <row r="439" spans="1:34">
      <c r="A439" s="1153" t="str">
        <f>VLOOKUP('Cash Balance'!$C439,Table2[#All],MATCH('Cash Balance'!A$3,Acc_Char!$B$1:$I$1,0),0)</f>
        <v>SAO HOA</v>
      </c>
      <c r="B439" s="1154" t="str">
        <f>VLOOKUP('Cash Balance'!$C439,Table2[#All],MATCH('Cash Balance'!B$3,Acc_Char!$B$1:$I$1,0),0)</f>
        <v>KBank - HCM</v>
      </c>
      <c r="C439" s="1190" t="s">
        <v>1050</v>
      </c>
      <c r="D439" s="1156" t="str">
        <f>VLOOKUP('Cash Balance'!$C439,Table2[#All],MATCH('Cash Balance'!D$3,Acc_Char!$B$1:$I$1,0),0)</f>
        <v>Current Account</v>
      </c>
      <c r="E439" s="384" t="str">
        <f>VLOOKUP('Cash Balance'!$C439,Table2[#All],MATCH('Cash Balance'!E$3,Acc_Char!$B$1:$I$1,0),0)</f>
        <v>VND</v>
      </c>
      <c r="F439" s="1094" t="e">
        <f>VLOOKUP(C439,'Cash balance (BS)'!A:C,3,)</f>
        <v>#N/A</v>
      </c>
      <c r="G439" s="1191" t="e">
        <f t="shared" si="42"/>
        <v>#N/A</v>
      </c>
      <c r="H439" s="1318">
        <f>SUMIFS('Cash balance (Prior period)'!F:F,'Cash balance (Prior period)'!C:C,Table11[[#This Row],[ACCOUNT NUMBER]],'Cash balance (Prior period)'!E:E,Table11[[#This Row],[CURRENCY]])</f>
        <v>305440765</v>
      </c>
      <c r="I439" s="1318">
        <f>SUMIFS(Movement!$F$4:$F$2136,Movement!$M$4:$M$2136,"VND",Movement!$C$4:$C$2136,Table11[[#This Row],[ACCOUNT NUMBER]],Movement!$J$4:$J$2136,Table11[[#This Row],[ENTITY]],Movement!$O$4:$O$2136,'Cash Balance'!$A$2)</f>
        <v>0</v>
      </c>
      <c r="J439" s="1318">
        <f>SUMIFS(Movement!$G$4:$G$2136,Movement!$M$4:$M$2136,"VND",Movement!$C$4:$C$2136,Table11[[#This Row],[ACCOUNT NUMBER]],Movement!$J$4:$J$2136,Table11[[#This Row],[ENTITY]],Movement!$O$4:$O$2136,'Cash Balance'!$A$2)</f>
        <v>0</v>
      </c>
      <c r="K439" s="1084">
        <f>Table11[[#This Row],[CASH IN - CREDIT (VND)]]-Table11[[#This Row],[CASH OUT - DEBIT (VND)]]</f>
        <v>0</v>
      </c>
      <c r="L439" s="1095">
        <f t="shared" si="39"/>
        <v>305440765</v>
      </c>
      <c r="M439" s="1184" t="e">
        <f>VLOOKUP(C439,'Cash balance (BS)'!A:D,4,)</f>
        <v>#N/A</v>
      </c>
      <c r="N439" s="1095" t="e">
        <f>Table11[[#This Row],[CLOSING BALANCE (VND)2]]-Table11[[#This Row],[CB_BS (VND)]]</f>
        <v>#N/A</v>
      </c>
      <c r="O439" s="1094">
        <v>0</v>
      </c>
      <c r="P439" s="1095">
        <f t="shared" si="40"/>
        <v>0</v>
      </c>
      <c r="Q439" s="817">
        <f>SUMIFS('Cash balance (Prior period)'!G:G,'Cash balance (Prior period)'!C:C,Table11[[#This Row],[ACCOUNT NUMBER]],'Cash balance (Prior period)'!E:E,Table11[[#This Row],[CURRENCY]])</f>
        <v>0</v>
      </c>
      <c r="R439" s="817">
        <f>SUMIFS(Movement!$F$4:$F$2136,Movement!$M$4:$M$2136,"USD",Movement!$C$4:$C$2136,Table11[[#This Row],[ACCOUNT NUMBER]],Movement!$J$4:$J$2136,Table11[[#This Row],[ENTITY]],Movement!$O$4:$O$2136,'Cash Balance'!$A$2)</f>
        <v>0</v>
      </c>
      <c r="S439" s="817">
        <f>SUMIFS(Movement!$G$4:$G$2136,Movement!$M$4:$M$2136,"USD",Movement!$C$4:$C$2136,Table11[[#This Row],[ACCOUNT NUMBER]],Movement!$J$4:$J$2136,Table11[[#This Row],[ENTITY]],Movement!$O$4:$O$2136,'Cash Balance'!$A$2)</f>
        <v>0</v>
      </c>
      <c r="T439" s="1087">
        <f t="shared" si="41"/>
        <v>0</v>
      </c>
      <c r="U439" s="817"/>
      <c r="V439" s="817">
        <f>Table11[[#This Row],[CLOSING BALANCE (USD)]]-Table11[[#This Row],[CB_BS (USD)]]</f>
        <v>0</v>
      </c>
      <c r="W439" s="1156" t="str">
        <f>VLOOKUP('Cash Balance'!$C439,Table2[#All],MATCH('Cash Balance'!W$3,Acc_Char!$B$1:$I$1,0),0)</f>
        <v>VC3</v>
      </c>
      <c r="X439" s="1156" t="str">
        <f>VLOOKUP(IFERROR(MID($Y439,1,FIND("-",$Y439)-2),$Y439),Table3[#All],2,0)</f>
        <v>Others</v>
      </c>
      <c r="Y439" s="1156" t="str">
        <f>VLOOKUP($B439,Table4[#All],2,0)</f>
        <v>OTHERS</v>
      </c>
      <c r="Z439" s="1151"/>
      <c r="AA439" s="49"/>
    </row>
    <row r="440" spans="1:34">
      <c r="A440" s="1153" t="str">
        <f>VLOOKUP('Cash Balance'!$C440,Table2[#All],MATCH('Cash Balance'!A$3,Acc_Char!$B$1:$I$1,0),0)</f>
        <v>BWID BINH DUONG</v>
      </c>
      <c r="B440" s="1154" t="str">
        <f>VLOOKUP('Cash Balance'!$C440,Table2[#All],MATCH('Cash Balance'!B$3,Acc_Char!$B$1:$I$1,0),0)</f>
        <v>CTBC - HCM</v>
      </c>
      <c r="C440" s="1190" t="s">
        <v>1052</v>
      </c>
      <c r="D440" s="1156" t="str">
        <f>VLOOKUP('Cash Balance'!$C440,Table2[#All],MATCH('Cash Balance'!D$3,Acc_Char!$B$1:$I$1,0),0)</f>
        <v>Current Account</v>
      </c>
      <c r="E440" s="384" t="str">
        <f>VLOOKUP('Cash Balance'!$C440,Table2[#All],MATCH('Cash Balance'!E$3,Acc_Char!$B$1:$I$1,0),0)</f>
        <v>VND</v>
      </c>
      <c r="F440" s="1094" t="e">
        <f>VLOOKUP(C440,'Cash balance (BS)'!A:C,3,)</f>
        <v>#N/A</v>
      </c>
      <c r="G440" s="1191" t="e">
        <f t="shared" si="42"/>
        <v>#N/A</v>
      </c>
      <c r="H440" s="1318">
        <f>SUMIFS('Cash balance (Prior period)'!F:F,'Cash balance (Prior period)'!C:C,Table11[[#This Row],[ACCOUNT NUMBER]],'Cash balance (Prior period)'!E:E,Table11[[#This Row],[CURRENCY]])</f>
        <v>50688052</v>
      </c>
      <c r="I440" s="1318">
        <f>SUMIFS(Movement!$F$4:$F$2136,Movement!$M$4:$M$2136,"VND",Movement!$C$4:$C$2136,Table11[[#This Row],[ACCOUNT NUMBER]],Movement!$J$4:$J$2136,Table11[[#This Row],[ENTITY]],Movement!$O$4:$O$2136,'Cash Balance'!$A$2)</f>
        <v>0</v>
      </c>
      <c r="J440" s="1318">
        <f>SUMIFS(Movement!$G$4:$G$2136,Movement!$M$4:$M$2136,"VND",Movement!$C$4:$C$2136,Table11[[#This Row],[ACCOUNT NUMBER]],Movement!$J$4:$J$2136,Table11[[#This Row],[ENTITY]],Movement!$O$4:$O$2136,'Cash Balance'!$A$2)</f>
        <v>0</v>
      </c>
      <c r="K440" s="1084">
        <f>Table11[[#This Row],[CASH IN - CREDIT (VND)]]-Table11[[#This Row],[CASH OUT - DEBIT (VND)]]</f>
        <v>0</v>
      </c>
      <c r="L440" s="1095">
        <f t="shared" si="39"/>
        <v>50688052</v>
      </c>
      <c r="M440" s="1184" t="e">
        <f>VLOOKUP(C440,'Cash balance (BS)'!A:D,4,)</f>
        <v>#N/A</v>
      </c>
      <c r="N440" s="1095" t="e">
        <f>Table11[[#This Row],[CLOSING BALANCE (VND)2]]-Table11[[#This Row],[CB_BS (VND)]]</f>
        <v>#N/A</v>
      </c>
      <c r="O440" s="1094">
        <v>0</v>
      </c>
      <c r="P440" s="1095">
        <f t="shared" si="40"/>
        <v>0</v>
      </c>
      <c r="Q440" s="817">
        <f>SUMIFS('Cash balance (Prior period)'!G:G,'Cash balance (Prior period)'!C:C,Table11[[#This Row],[ACCOUNT NUMBER]],'Cash balance (Prior period)'!E:E,Table11[[#This Row],[CURRENCY]])</f>
        <v>0</v>
      </c>
      <c r="R440" s="817">
        <f>SUMIFS(Movement!$F$4:$F$2136,Movement!$M$4:$M$2136,"USD",Movement!$C$4:$C$2136,Table11[[#This Row],[ACCOUNT NUMBER]],Movement!$J$4:$J$2136,Table11[[#This Row],[ENTITY]],Movement!$O$4:$O$2136,'Cash Balance'!$A$2)</f>
        <v>0</v>
      </c>
      <c r="S440" s="817">
        <f>SUMIFS(Movement!$G$4:$G$2136,Movement!$M$4:$M$2136,"USD",Movement!$C$4:$C$2136,Table11[[#This Row],[ACCOUNT NUMBER]],Movement!$J$4:$J$2136,Table11[[#This Row],[ENTITY]],Movement!$O$4:$O$2136,'Cash Balance'!$A$2)</f>
        <v>0</v>
      </c>
      <c r="T440" s="1087">
        <f t="shared" si="41"/>
        <v>0</v>
      </c>
      <c r="U440" s="817"/>
      <c r="V440" s="817">
        <f>Table11[[#This Row],[CLOSING BALANCE (USD)]]-Table11[[#This Row],[CB_BS (USD)]]</f>
        <v>0</v>
      </c>
      <c r="W440" s="1156" t="str">
        <f>VLOOKUP('Cash Balance'!$C440,Table2[#All],MATCH('Cash Balance'!W$3,Acc_Char!$B$1:$I$1,0),0)</f>
        <v>BWID JSC</v>
      </c>
      <c r="X440" s="1156" t="str">
        <f>VLOOKUP(IFERROR(MID($Y440,1,FIND("-",$Y440)-2),$Y440),Table3[#All],2,0)</f>
        <v>Others</v>
      </c>
      <c r="Y440" s="1156" t="str">
        <f>VLOOKUP($B440,Table4[#All],2,0)</f>
        <v>OTHERS</v>
      </c>
      <c r="Z440" s="1151"/>
      <c r="AA440" s="49"/>
    </row>
    <row r="441" spans="1:34">
      <c r="A441" s="1153" t="str">
        <f>VLOOKUP('Cash Balance'!$C441,Table2[#All],MATCH('Cash Balance'!A$3,Acc_Char!$B$1:$I$1,0),0)</f>
        <v>SAO HOA</v>
      </c>
      <c r="B441" s="1154" t="str">
        <f>VLOOKUP('Cash Balance'!$C441,Table2[#All],MATCH('Cash Balance'!B$3,Acc_Char!$B$1:$I$1,0),0)</f>
        <v>CTBC - HCM</v>
      </c>
      <c r="C441" s="1190" t="s">
        <v>1053</v>
      </c>
      <c r="D441" s="1156" t="str">
        <f>VLOOKUP('Cash Balance'!$C441,Table2[#All],MATCH('Cash Balance'!D$3,Acc_Char!$B$1:$I$1,0),0)</f>
        <v>Current Account</v>
      </c>
      <c r="E441" s="384" t="str">
        <f>VLOOKUP('Cash Balance'!$C441,Table2[#All],MATCH('Cash Balance'!E$3,Acc_Char!$B$1:$I$1,0),0)</f>
        <v>VND</v>
      </c>
      <c r="F441" s="1094" t="e">
        <f>VLOOKUP(C441,'Cash balance (BS)'!A:C,3,)</f>
        <v>#N/A</v>
      </c>
      <c r="G441" s="1191" t="e">
        <f t="shared" si="42"/>
        <v>#N/A</v>
      </c>
      <c r="H441" s="1318">
        <f>SUMIFS('Cash balance (Prior period)'!F:F,'Cash balance (Prior period)'!C:C,Table11[[#This Row],[ACCOUNT NUMBER]],'Cash balance (Prior period)'!E:E,Table11[[#This Row],[CURRENCY]])</f>
        <v>341906694</v>
      </c>
      <c r="I441" s="1318">
        <f>SUMIFS(Movement!$F$4:$F$2136,Movement!$M$4:$M$2136,"VND",Movement!$C$4:$C$2136,Table11[[#This Row],[ACCOUNT NUMBER]],Movement!$J$4:$J$2136,Table11[[#This Row],[ENTITY]],Movement!$O$4:$O$2136,'Cash Balance'!$A$2)</f>
        <v>0</v>
      </c>
      <c r="J441" s="1318">
        <f>SUMIFS(Movement!$G$4:$G$2136,Movement!$M$4:$M$2136,"VND",Movement!$C$4:$C$2136,Table11[[#This Row],[ACCOUNT NUMBER]],Movement!$J$4:$J$2136,Table11[[#This Row],[ENTITY]],Movement!$O$4:$O$2136,'Cash Balance'!$A$2)</f>
        <v>0</v>
      </c>
      <c r="K441" s="1084">
        <f>Table11[[#This Row],[CASH IN - CREDIT (VND)]]-Table11[[#This Row],[CASH OUT - DEBIT (VND)]]</f>
        <v>0</v>
      </c>
      <c r="L441" s="1095">
        <f t="shared" si="39"/>
        <v>341906694</v>
      </c>
      <c r="M441" s="1184" t="e">
        <f>VLOOKUP(C441,'Cash balance (BS)'!A:D,4,)</f>
        <v>#N/A</v>
      </c>
      <c r="N441" s="1095" t="e">
        <f>Table11[[#This Row],[CLOSING BALANCE (VND)2]]-Table11[[#This Row],[CB_BS (VND)]]</f>
        <v>#N/A</v>
      </c>
      <c r="O441" s="1094">
        <v>0</v>
      </c>
      <c r="P441" s="1095">
        <f t="shared" si="40"/>
        <v>0</v>
      </c>
      <c r="Q441" s="817">
        <f>SUMIFS('Cash balance (Prior period)'!G:G,'Cash balance (Prior period)'!C:C,Table11[[#This Row],[ACCOUNT NUMBER]],'Cash balance (Prior period)'!E:E,Table11[[#This Row],[CURRENCY]])</f>
        <v>0</v>
      </c>
      <c r="R441" s="817">
        <f>SUMIFS(Movement!$F$4:$F$2136,Movement!$M$4:$M$2136,"USD",Movement!$C$4:$C$2136,Table11[[#This Row],[ACCOUNT NUMBER]],Movement!$J$4:$J$2136,Table11[[#This Row],[ENTITY]],Movement!$O$4:$O$2136,'Cash Balance'!$A$2)</f>
        <v>0</v>
      </c>
      <c r="S441" s="817">
        <f>SUMIFS(Movement!$G$4:$G$2136,Movement!$M$4:$M$2136,"USD",Movement!$C$4:$C$2136,Table11[[#This Row],[ACCOUNT NUMBER]],Movement!$J$4:$J$2136,Table11[[#This Row],[ENTITY]],Movement!$O$4:$O$2136,'Cash Balance'!$A$2)</f>
        <v>0</v>
      </c>
      <c r="T441" s="1087">
        <f t="shared" si="41"/>
        <v>0</v>
      </c>
      <c r="U441" s="817"/>
      <c r="V441" s="817">
        <f>Table11[[#This Row],[CLOSING BALANCE (USD)]]-Table11[[#This Row],[CB_BS (USD)]]</f>
        <v>0</v>
      </c>
      <c r="W441" s="1156" t="str">
        <f>VLOOKUP('Cash Balance'!$C441,Table2[#All],MATCH('Cash Balance'!W$3,Acc_Char!$B$1:$I$1,0),0)</f>
        <v>VC3</v>
      </c>
      <c r="X441" s="1156" t="str">
        <f>VLOOKUP(IFERROR(MID($Y441,1,FIND("-",$Y441)-2),$Y441),Table3[#All],2,0)</f>
        <v>Others</v>
      </c>
      <c r="Y441" s="1156" t="str">
        <f>VLOOKUP($B441,Table4[#All],2,0)</f>
        <v>OTHERS</v>
      </c>
      <c r="Z441" s="1151"/>
      <c r="AA441" s="49"/>
    </row>
    <row r="442" spans="1:34">
      <c r="A442" s="1153" t="str">
        <f>VLOOKUP('Cash Balance'!$C442,Table2[#All],MATCH('Cash Balance'!A$3,Acc_Char!$B$1:$I$1,0),0)</f>
        <v>SAO HOA</v>
      </c>
      <c r="B442" s="1154" t="str">
        <f>VLOOKUP('Cash Balance'!$C442,Table2[#All],MATCH('Cash Balance'!B$3,Acc_Char!$B$1:$I$1,0),0)</f>
        <v>VIETINBANK - DONG SAI GON</v>
      </c>
      <c r="C442" s="1190" t="s">
        <v>1054</v>
      </c>
      <c r="D442" s="1156" t="str">
        <f>VLOOKUP('Cash Balance'!$C442,Table2[#All],MATCH('Cash Balance'!D$3,Acc_Char!$B$1:$I$1,0),0)</f>
        <v>Current Account</v>
      </c>
      <c r="E442" s="384" t="str">
        <f>VLOOKUP('Cash Balance'!$C442,Table2[#All],MATCH('Cash Balance'!E$3,Acc_Char!$B$1:$I$1,0),0)</f>
        <v>VND</v>
      </c>
      <c r="F442" s="1094" t="e">
        <f>VLOOKUP(C442,'Cash balance (BS)'!A:C,3,)</f>
        <v>#N/A</v>
      </c>
      <c r="G442" s="1191" t="e">
        <f t="shared" si="42"/>
        <v>#N/A</v>
      </c>
      <c r="H442" s="1318">
        <f>SUMIFS('Cash balance (Prior period)'!F:F,'Cash balance (Prior period)'!C:C,Table11[[#This Row],[ACCOUNT NUMBER]],'Cash balance (Prior period)'!E:E,Table11[[#This Row],[CURRENCY]])</f>
        <v>4095449</v>
      </c>
      <c r="I442" s="1318">
        <f>SUMIFS(Movement!$F$4:$F$2136,Movement!$M$4:$M$2136,"VND",Movement!$C$4:$C$2136,Table11[[#This Row],[ACCOUNT NUMBER]],Movement!$J$4:$J$2136,Table11[[#This Row],[ENTITY]],Movement!$O$4:$O$2136,'Cash Balance'!$A$2)</f>
        <v>0</v>
      </c>
      <c r="J442" s="1318">
        <f>SUMIFS(Movement!$G$4:$G$2136,Movement!$M$4:$M$2136,"VND",Movement!$C$4:$C$2136,Table11[[#This Row],[ACCOUNT NUMBER]],Movement!$J$4:$J$2136,Table11[[#This Row],[ENTITY]],Movement!$O$4:$O$2136,'Cash Balance'!$A$2)</f>
        <v>0</v>
      </c>
      <c r="K442" s="1084">
        <f>Table11[[#This Row],[CASH IN - CREDIT (VND)]]-Table11[[#This Row],[CASH OUT - DEBIT (VND)]]</f>
        <v>0</v>
      </c>
      <c r="L442" s="1095">
        <f t="shared" si="39"/>
        <v>4095449</v>
      </c>
      <c r="M442" s="1184" t="e">
        <f>VLOOKUP(C442,'Cash balance (BS)'!A:D,4,)</f>
        <v>#N/A</v>
      </c>
      <c r="N442" s="1095" t="e">
        <f>Table11[[#This Row],[CLOSING BALANCE (VND)2]]-Table11[[#This Row],[CB_BS (VND)]]</f>
        <v>#N/A</v>
      </c>
      <c r="O442" s="1094">
        <v>0</v>
      </c>
      <c r="P442" s="1095">
        <f t="shared" si="40"/>
        <v>0</v>
      </c>
      <c r="Q442" s="817">
        <f>SUMIFS('Cash balance (Prior period)'!G:G,'Cash balance (Prior period)'!C:C,Table11[[#This Row],[ACCOUNT NUMBER]],'Cash balance (Prior period)'!E:E,Table11[[#This Row],[CURRENCY]])</f>
        <v>0</v>
      </c>
      <c r="R442" s="817">
        <f>SUMIFS(Movement!$F$4:$F$2136,Movement!$M$4:$M$2136,"USD",Movement!$C$4:$C$2136,Table11[[#This Row],[ACCOUNT NUMBER]],Movement!$J$4:$J$2136,Table11[[#This Row],[ENTITY]],Movement!$O$4:$O$2136,'Cash Balance'!$A$2)</f>
        <v>0</v>
      </c>
      <c r="S442" s="817">
        <f>SUMIFS(Movement!$G$4:$G$2136,Movement!$M$4:$M$2136,"USD",Movement!$C$4:$C$2136,Table11[[#This Row],[ACCOUNT NUMBER]],Movement!$J$4:$J$2136,Table11[[#This Row],[ENTITY]],Movement!$O$4:$O$2136,'Cash Balance'!$A$2)</f>
        <v>0</v>
      </c>
      <c r="T442" s="1087">
        <f t="shared" si="41"/>
        <v>0</v>
      </c>
      <c r="U442" s="817"/>
      <c r="V442" s="817">
        <f>Table11[[#This Row],[CLOSING BALANCE (USD)]]-Table11[[#This Row],[CB_BS (USD)]]</f>
        <v>0</v>
      </c>
      <c r="W442" s="1156" t="str">
        <f>VLOOKUP('Cash Balance'!$C442,Table2[#All],MATCH('Cash Balance'!W$3,Acc_Char!$B$1:$I$1,0),0)</f>
        <v>VC3</v>
      </c>
      <c r="X442" s="1156" t="str">
        <f>VLOOKUP(IFERROR(MID($Y442,1,FIND("-",$Y442)-2),$Y442),Table3[#All],2,0)</f>
        <v>VTB</v>
      </c>
      <c r="Y442" s="1156" t="str">
        <f>VLOOKUP($B442,Table4[#All],2,0)</f>
        <v>VIETINBANK - DONG SAI GON</v>
      </c>
      <c r="Z442" s="1151"/>
      <c r="AA442" s="49"/>
    </row>
    <row r="443" spans="1:34">
      <c r="A443" s="1153" t="str">
        <f>VLOOKUP('Cash Balance'!$C443,Table2[#All],MATCH('Cash Balance'!A$3,Acc_Char!$B$1:$I$1,0),0)</f>
        <v>SONG THAN 2</v>
      </c>
      <c r="B443" s="1154" t="str">
        <f>VLOOKUP('Cash Balance'!$C443,Table2[#All],MATCH('Cash Balance'!B$3,Acc_Char!$B$1:$I$1,0),0)</f>
        <v>VIETINBANK - TPHCM</v>
      </c>
      <c r="C443" s="1190" t="s">
        <v>1055</v>
      </c>
      <c r="D443" s="1156" t="str">
        <f>VLOOKUP('Cash Balance'!$C443,Table2[#All],MATCH('Cash Balance'!D$3,Acc_Char!$B$1:$I$1,0),0)</f>
        <v>Saving Account</v>
      </c>
      <c r="E443" s="384" t="str">
        <f>VLOOKUP('Cash Balance'!$C443,Table2[#All],MATCH('Cash Balance'!E$3,Acc_Char!$B$1:$I$1,0),0)</f>
        <v>VND</v>
      </c>
      <c r="F443" s="1094" t="e">
        <f>VLOOKUP(C443,'Cash balance (BS)'!A:C,3,)</f>
        <v>#N/A</v>
      </c>
      <c r="G443" s="1191" t="e">
        <f t="shared" si="42"/>
        <v>#N/A</v>
      </c>
      <c r="H443" s="1318">
        <f>SUMIFS('Cash balance (Prior period)'!F:F,'Cash balance (Prior period)'!C:C,Table11[[#This Row],[ACCOUNT NUMBER]],'Cash balance (Prior period)'!E:E,Table11[[#This Row],[CURRENCY]])</f>
        <v>0</v>
      </c>
      <c r="I443" s="1318">
        <f>SUMIFS(Movement!$F$4:$F$2136,Movement!$M$4:$M$2136,"VND",Movement!$C$4:$C$2136,Table11[[#This Row],[ACCOUNT NUMBER]],Movement!$J$4:$J$2136,Table11[[#This Row],[ENTITY]],Movement!$O$4:$O$2136,'Cash Balance'!$A$2)</f>
        <v>0</v>
      </c>
      <c r="J443" s="1318">
        <f>SUMIFS(Movement!$G$4:$G$2136,Movement!$M$4:$M$2136,"VND",Movement!$C$4:$C$2136,Table11[[#This Row],[ACCOUNT NUMBER]],Movement!$J$4:$J$2136,Table11[[#This Row],[ENTITY]],Movement!$O$4:$O$2136,'Cash Balance'!$A$2)</f>
        <v>0</v>
      </c>
      <c r="K443" s="1084">
        <f>Table11[[#This Row],[CASH IN - CREDIT (VND)]]-Table11[[#This Row],[CASH OUT - DEBIT (VND)]]</f>
        <v>0</v>
      </c>
      <c r="L443" s="1095">
        <f t="shared" si="39"/>
        <v>0</v>
      </c>
      <c r="M443" s="1184" t="e">
        <f>VLOOKUP(C443,'Cash balance (BS)'!A:D,4,)</f>
        <v>#N/A</v>
      </c>
      <c r="N443" s="1095" t="e">
        <f>Table11[[#This Row],[CLOSING BALANCE (VND)2]]-Table11[[#This Row],[CB_BS (VND)]]</f>
        <v>#N/A</v>
      </c>
      <c r="O443" s="1094">
        <v>0</v>
      </c>
      <c r="P443" s="1095">
        <f t="shared" si="40"/>
        <v>0</v>
      </c>
      <c r="Q443" s="817">
        <f>SUMIFS('Cash balance (Prior period)'!G:G,'Cash balance (Prior period)'!C:C,Table11[[#This Row],[ACCOUNT NUMBER]],'Cash balance (Prior period)'!E:E,Table11[[#This Row],[CURRENCY]])</f>
        <v>0</v>
      </c>
      <c r="R443" s="817">
        <f>SUMIFS(Movement!$F$4:$F$2136,Movement!$M$4:$M$2136,"USD",Movement!$C$4:$C$2136,Table11[[#This Row],[ACCOUNT NUMBER]],Movement!$J$4:$J$2136,Table11[[#This Row],[ENTITY]],Movement!$O$4:$O$2136,'Cash Balance'!$A$2)</f>
        <v>0</v>
      </c>
      <c r="S443" s="817">
        <f>SUMIFS(Movement!$G$4:$G$2136,Movement!$M$4:$M$2136,"USD",Movement!$C$4:$C$2136,Table11[[#This Row],[ACCOUNT NUMBER]],Movement!$J$4:$J$2136,Table11[[#This Row],[ENTITY]],Movement!$O$4:$O$2136,'Cash Balance'!$A$2)</f>
        <v>0</v>
      </c>
      <c r="T443" s="1087">
        <f t="shared" si="41"/>
        <v>0</v>
      </c>
      <c r="U443" s="817"/>
      <c r="V443" s="817">
        <f>Table11[[#This Row],[CLOSING BALANCE (USD)]]-Table11[[#This Row],[CB_BS (USD)]]</f>
        <v>0</v>
      </c>
      <c r="W443" s="1156" t="str">
        <f>VLOOKUP('Cash Balance'!$C443,Table2[#All],MATCH('Cash Balance'!W$3,Acc_Char!$B$1:$I$1,0),0)</f>
        <v>Subsidiaries</v>
      </c>
      <c r="X443" s="1156" t="str">
        <f>VLOOKUP(IFERROR(MID($Y443,1,FIND("-",$Y443)-2),$Y443),Table3[#All],2,0)</f>
        <v>VTB</v>
      </c>
      <c r="Y443" s="1156" t="str">
        <f>VLOOKUP($B443,Table4[#All],2,0)</f>
        <v>VIETINBANK - TPHCM</v>
      </c>
      <c r="Z443" s="1151"/>
      <c r="AA443" s="49"/>
    </row>
    <row r="444" spans="1:34">
      <c r="A444" s="1153" t="str">
        <f>VLOOKUP('Cash Balance'!$C444,Table2[#All],MATCH('Cash Balance'!A$3,Acc_Char!$B$1:$I$1,0),0)</f>
        <v>WINLOCK 2B</v>
      </c>
      <c r="B444" s="1154" t="str">
        <f>VLOOKUP('Cash Balance'!$C444,Table2[#All],MATCH('Cash Balance'!B$3,Acc_Char!$B$1:$I$1,0),0)</f>
        <v>VIETINBANK - TIEN SON</v>
      </c>
      <c r="C444" s="1190" t="s">
        <v>1056</v>
      </c>
      <c r="D444" s="1156" t="str">
        <f>VLOOKUP('Cash Balance'!$C444,Table2[#All],MATCH('Cash Balance'!D$3,Acc_Char!$B$1:$I$1,0),0)</f>
        <v>Saving Account</v>
      </c>
      <c r="E444" s="384" t="str">
        <f>VLOOKUP('Cash Balance'!$C444,Table2[#All],MATCH('Cash Balance'!E$3,Acc_Char!$B$1:$I$1,0),0)</f>
        <v>VND</v>
      </c>
      <c r="F444" s="1094" t="e">
        <f>VLOOKUP(C444,'Cash balance (BS)'!A:C,3,)</f>
        <v>#N/A</v>
      </c>
      <c r="G444" s="1191" t="e">
        <f t="shared" si="42"/>
        <v>#N/A</v>
      </c>
      <c r="H444" s="1318">
        <f>SUMIFS('Cash balance (Prior period)'!F:F,'Cash balance (Prior period)'!C:C,Table11[[#This Row],[ACCOUNT NUMBER]],'Cash balance (Prior period)'!E:E,Table11[[#This Row],[CURRENCY]])</f>
        <v>0</v>
      </c>
      <c r="I444" s="1318">
        <f>SUMIFS(Movement!$F$4:$F$2136,Movement!$M$4:$M$2136,"VND",Movement!$C$4:$C$2136,Table11[[#This Row],[ACCOUNT NUMBER]],Movement!$J$4:$J$2136,Table11[[#This Row],[ENTITY]],Movement!$O$4:$O$2136,'Cash Balance'!$A$2)</f>
        <v>0</v>
      </c>
      <c r="J444" s="1318">
        <f>SUMIFS(Movement!$G$4:$G$2136,Movement!$M$4:$M$2136,"VND",Movement!$C$4:$C$2136,Table11[[#This Row],[ACCOUNT NUMBER]],Movement!$J$4:$J$2136,Table11[[#This Row],[ENTITY]],Movement!$O$4:$O$2136,'Cash Balance'!$A$2)</f>
        <v>0</v>
      </c>
      <c r="K444" s="1084">
        <f>Table11[[#This Row],[CASH IN - CREDIT (VND)]]-Table11[[#This Row],[CASH OUT - DEBIT (VND)]]</f>
        <v>0</v>
      </c>
      <c r="L444" s="1095">
        <f t="shared" si="39"/>
        <v>0</v>
      </c>
      <c r="M444" s="1184" t="e">
        <f>VLOOKUP(C444,'Cash balance (BS)'!A:D,4,)</f>
        <v>#N/A</v>
      </c>
      <c r="N444" s="1095" t="e">
        <f>Table11[[#This Row],[CLOSING BALANCE (VND)2]]-Table11[[#This Row],[CB_BS (VND)]]</f>
        <v>#N/A</v>
      </c>
      <c r="O444" s="1094">
        <v>0</v>
      </c>
      <c r="P444" s="1095">
        <f t="shared" si="40"/>
        <v>0</v>
      </c>
      <c r="Q444" s="817">
        <f>SUMIFS('Cash balance (Prior period)'!G:G,'Cash balance (Prior period)'!C:C,Table11[[#This Row],[ACCOUNT NUMBER]],'Cash balance (Prior period)'!E:E,Table11[[#This Row],[CURRENCY]])</f>
        <v>0</v>
      </c>
      <c r="R444" s="817">
        <f>SUMIFS(Movement!$F$4:$F$2136,Movement!$M$4:$M$2136,"USD",Movement!$C$4:$C$2136,Table11[[#This Row],[ACCOUNT NUMBER]],Movement!$J$4:$J$2136,Table11[[#This Row],[ENTITY]],Movement!$O$4:$O$2136,'Cash Balance'!$A$2)</f>
        <v>0</v>
      </c>
      <c r="S444" s="817">
        <f>SUMIFS(Movement!$G$4:$G$2136,Movement!$M$4:$M$2136,"USD",Movement!$C$4:$C$2136,Table11[[#This Row],[ACCOUNT NUMBER]],Movement!$J$4:$J$2136,Table11[[#This Row],[ENTITY]],Movement!$O$4:$O$2136,'Cash Balance'!$A$2)</f>
        <v>0</v>
      </c>
      <c r="T444" s="1087">
        <f t="shared" si="41"/>
        <v>0</v>
      </c>
      <c r="U444" s="817"/>
      <c r="V444" s="817">
        <f>Table11[[#This Row],[CLOSING BALANCE (USD)]]-Table11[[#This Row],[CB_BS (USD)]]</f>
        <v>0</v>
      </c>
      <c r="W444" s="1156" t="str">
        <f>VLOOKUP('Cash Balance'!$C444,Table2[#All],MATCH('Cash Balance'!W$3,Acc_Char!$B$1:$I$1,0),0)</f>
        <v>Subsidiaries</v>
      </c>
      <c r="X444" s="1156" t="str">
        <f>VLOOKUP(IFERROR(MID($Y444,1,FIND("-",$Y444)-2),$Y444),Table3[#All],2,0)</f>
        <v>VTB</v>
      </c>
      <c r="Y444" s="1156" t="str">
        <f>VLOOKUP($B444,Table4[#All],2,0)</f>
        <v>VIETINBANK - TIEN SON</v>
      </c>
      <c r="Z444" s="1151"/>
      <c r="AA444" s="49"/>
    </row>
    <row r="445" spans="1:34">
      <c r="A445" s="1153" t="str">
        <f>VLOOKUP('Cash Balance'!$C445,Table2[#All],MATCH('Cash Balance'!A$3,Acc_Char!$B$1:$I$1,0),0)</f>
        <v>BWID BINH DUONG</v>
      </c>
      <c r="B445" s="1154" t="str">
        <f>VLOOKUP('Cash Balance'!$C445,Table2[#All],MATCH('Cash Balance'!B$3,Acc_Char!$B$1:$I$1,0),0)</f>
        <v>MAYBANK - HCM</v>
      </c>
      <c r="C445" s="1190" t="s">
        <v>1057</v>
      </c>
      <c r="D445" s="1156" t="str">
        <f>VLOOKUP('Cash Balance'!$C445,Table2[#All],MATCH('Cash Balance'!D$3,Acc_Char!$B$1:$I$1,0),0)</f>
        <v>Current Account</v>
      </c>
      <c r="E445" s="384" t="str">
        <f>VLOOKUP('Cash Balance'!$C445,Table2[#All],MATCH('Cash Balance'!E$3,Acc_Char!$B$1:$I$1,0),0)</f>
        <v>VND</v>
      </c>
      <c r="F445" s="1094"/>
      <c r="G445" s="1191"/>
      <c r="H445" s="1318">
        <f>SUMIFS('Cash balance (Prior period)'!F:F,'Cash balance (Prior period)'!C:C,Table11[[#This Row],[ACCOUNT NUMBER]],'Cash balance (Prior period)'!E:E,Table11[[#This Row],[CURRENCY]])</f>
        <v>64028666</v>
      </c>
      <c r="I445" s="1318">
        <f>SUMIFS(Movement!$F$4:$F$2136,Movement!$M$4:$M$2136,"VND",Movement!$C$4:$C$2136,Table11[[#This Row],[ACCOUNT NUMBER]],Movement!$J$4:$J$2136,Table11[[#This Row],[ENTITY]],Movement!$O$4:$O$2136,'Cash Balance'!$A$2)</f>
        <v>0</v>
      </c>
      <c r="J445" s="1318">
        <f>SUMIFS(Movement!$G$4:$G$2136,Movement!$M$4:$M$2136,"VND",Movement!$C$4:$C$2136,Table11[[#This Row],[ACCOUNT NUMBER]],Movement!$J$4:$J$2136,Table11[[#This Row],[ENTITY]],Movement!$O$4:$O$2136,'Cash Balance'!$A$2)</f>
        <v>0</v>
      </c>
      <c r="K445" s="1084">
        <f>Table11[[#This Row],[CASH IN - CREDIT (VND)]]-Table11[[#This Row],[CASH OUT - DEBIT (VND)]]</f>
        <v>0</v>
      </c>
      <c r="L445" s="1095">
        <f t="shared" si="39"/>
        <v>64028666</v>
      </c>
      <c r="M445" s="1184" t="e">
        <f>VLOOKUP(C445,'Cash balance (BS)'!A:D,4,)</f>
        <v>#N/A</v>
      </c>
      <c r="N445" s="1095" t="e">
        <f>Table11[[#This Row],[CLOSING BALANCE (VND)2]]-Table11[[#This Row],[CB_BS (VND)]]</f>
        <v>#N/A</v>
      </c>
      <c r="O445" s="1094">
        <v>0</v>
      </c>
      <c r="P445" s="1095">
        <f t="shared" si="40"/>
        <v>0</v>
      </c>
      <c r="Q445" s="817">
        <f>SUMIFS('Cash balance (Prior period)'!G:G,'Cash balance (Prior period)'!C:C,Table11[[#This Row],[ACCOUNT NUMBER]],'Cash balance (Prior period)'!E:E,Table11[[#This Row],[CURRENCY]])</f>
        <v>0</v>
      </c>
      <c r="R445" s="817">
        <f>SUMIFS(Movement!$F$4:$F$2136,Movement!$M$4:$M$2136,"USD",Movement!$C$4:$C$2136,Table11[[#This Row],[ACCOUNT NUMBER]],Movement!$J$4:$J$2136,Table11[[#This Row],[ENTITY]],Movement!$O$4:$O$2136,'Cash Balance'!$A$2)</f>
        <v>0</v>
      </c>
      <c r="S445" s="817">
        <f>SUMIFS(Movement!$G$4:$G$2136,Movement!$M$4:$M$2136,"USD",Movement!$C$4:$C$2136,Table11[[#This Row],[ACCOUNT NUMBER]],Movement!$J$4:$J$2136,Table11[[#This Row],[ENTITY]],Movement!$O$4:$O$2136,'Cash Balance'!$A$2)</f>
        <v>0</v>
      </c>
      <c r="T445" s="1087">
        <f t="shared" si="41"/>
        <v>0</v>
      </c>
      <c r="U445" s="817" t="e">
        <f>VLOOKUP(C445,'Cash balance (BS)'!A:D,4,)</f>
        <v>#N/A</v>
      </c>
      <c r="V445" s="817" t="e">
        <f>Table11[[#This Row],[CLOSING BALANCE (USD)]]-Table11[[#This Row],[CB_BS (USD)]]</f>
        <v>#N/A</v>
      </c>
      <c r="W445" s="1156" t="str">
        <f>VLOOKUP('Cash Balance'!$C445,Table2[#All],MATCH('Cash Balance'!W$3,Acc_Char!$B$1:$I$1,0),0)</f>
        <v>BWID JSC</v>
      </c>
      <c r="X445" s="1156" t="str">
        <f>VLOOKUP(IFERROR(MID($Y445,1,FIND("-",$Y445)-2),$Y445),Table3[#All],2,0)</f>
        <v>Others</v>
      </c>
      <c r="Y445" s="1156" t="str">
        <f>VLOOKUP($B445,Table4[#All],2,0)</f>
        <v>OTHERS</v>
      </c>
      <c r="Z445" s="1151"/>
      <c r="AA445" s="49"/>
    </row>
    <row r="446" spans="1:34">
      <c r="A446" s="1153" t="str">
        <f>VLOOKUP('Cash Balance'!$C446,Table2[#All],MATCH('Cash Balance'!A$3,Acc_Char!$B$1:$I$1,0),0)</f>
        <v>MPL JSC</v>
      </c>
      <c r="B446" s="1154" t="str">
        <f>VLOOKUP('Cash Balance'!$C446,Table2[#All],MATCH('Cash Balance'!B$3,Acc_Char!$B$1:$I$1,0),0)</f>
        <v>BIDV - THANH XUAN</v>
      </c>
      <c r="C446" s="1190" t="s">
        <v>1059</v>
      </c>
      <c r="D446" s="1156" t="str">
        <f>VLOOKUP('Cash Balance'!$C446,Table2[#All],MATCH('Cash Balance'!D$3,Acc_Char!$B$1:$I$1,0),0)</f>
        <v>Current Account</v>
      </c>
      <c r="E446" s="384" t="str">
        <f>VLOOKUP('Cash Balance'!$C446,Table2[#All],MATCH('Cash Balance'!E$3,Acc_Char!$B$1:$I$1,0),0)</f>
        <v>VND</v>
      </c>
      <c r="F446" s="1094" t="e">
        <f>VLOOKUP(C446,'Cash balance (BS)'!A:C,3,)</f>
        <v>#N/A</v>
      </c>
      <c r="G446" s="1157" t="e">
        <f t="shared" ref="G446:G503" si="43">F446-H446</f>
        <v>#N/A</v>
      </c>
      <c r="H446" s="1318">
        <f>SUMIFS('Cash balance (Prior period)'!F:F,'Cash balance (Prior period)'!C:C,Table11[[#This Row],[ACCOUNT NUMBER]],'Cash balance (Prior period)'!E:E,Table11[[#This Row],[CURRENCY]])</f>
        <v>791682736</v>
      </c>
      <c r="I446" s="1318">
        <f>SUMIFS(Movement!$F$4:$F$2136,Movement!$M$4:$M$2136,"VND",Movement!$C$4:$C$2136,Table11[[#This Row],[ACCOUNT NUMBER]],Movement!$J$4:$J$2136,Table11[[#This Row],[ENTITY]],Movement!$O$4:$O$2136,'Cash Balance'!$A$2)</f>
        <v>0</v>
      </c>
      <c r="J446" s="1318">
        <f>SUMIFS(Movement!$G$4:$G$2136,Movement!$M$4:$M$2136,"VND",Movement!$C$4:$C$2136,Table11[[#This Row],[ACCOUNT NUMBER]],Movement!$J$4:$J$2136,Table11[[#This Row],[ENTITY]],Movement!$O$4:$O$2136,'Cash Balance'!$A$2)</f>
        <v>55000</v>
      </c>
      <c r="K446" s="1084">
        <f>Table11[[#This Row],[CASH IN - CREDIT (VND)]]-Table11[[#This Row],[CASH OUT - DEBIT (VND)]]</f>
        <v>-55000</v>
      </c>
      <c r="L446" s="1095">
        <f t="shared" si="39"/>
        <v>791627736</v>
      </c>
      <c r="M446" s="1184" t="e">
        <f>VLOOKUP(C446,'Cash balance (BS)'!A:D,4,)</f>
        <v>#N/A</v>
      </c>
      <c r="N446" s="1095" t="e">
        <f>Table11[[#This Row],[CLOSING BALANCE (VND)2]]-Table11[[#This Row],[CB_BS (VND)]]</f>
        <v>#N/A</v>
      </c>
      <c r="O446" s="1094">
        <v>0</v>
      </c>
      <c r="P446" s="1095">
        <f t="shared" si="40"/>
        <v>0</v>
      </c>
      <c r="Q446" s="817">
        <f>SUMIFS('Cash balance (Prior period)'!G:G,'Cash balance (Prior period)'!C:C,Table11[[#This Row],[ACCOUNT NUMBER]],'Cash balance (Prior period)'!E:E,Table11[[#This Row],[CURRENCY]])</f>
        <v>0</v>
      </c>
      <c r="R446" s="817">
        <f>SUMIFS(Movement!$F$4:$F$2136,Movement!$M$4:$M$2136,"USD",Movement!$C$4:$C$2136,Table11[[#This Row],[ACCOUNT NUMBER]],Movement!$J$4:$J$2136,Table11[[#This Row],[ENTITY]],Movement!$O$4:$O$2136,'Cash Balance'!$A$2)</f>
        <v>0</v>
      </c>
      <c r="S446" s="817">
        <f>SUMIFS(Movement!$G$4:$G$2136,Movement!$M$4:$M$2136,"USD",Movement!$C$4:$C$2136,Table11[[#This Row],[ACCOUNT NUMBER]],Movement!$J$4:$J$2136,Table11[[#This Row],[ENTITY]],Movement!$O$4:$O$2136,'Cash Balance'!$A$2)</f>
        <v>0</v>
      </c>
      <c r="T446" s="1087">
        <f t="shared" si="41"/>
        <v>0</v>
      </c>
      <c r="U446" s="817"/>
      <c r="V446" s="817">
        <f>Table11[[#This Row],[CLOSING BALANCE (USD)]]-Table11[[#This Row],[CB_BS (USD)]]</f>
        <v>0</v>
      </c>
      <c r="W446" s="1156" t="str">
        <f>VLOOKUP('Cash Balance'!$C446,Table2[#All],MATCH('Cash Balance'!W$3,Acc_Char!$B$1:$I$1,0),0)</f>
        <v>Subsidiaries</v>
      </c>
      <c r="X446" s="1156" t="str">
        <f>VLOOKUP(IFERROR(MID($Y446,1,FIND("-",$Y446)-2),$Y446),Table3[#All],2,0)</f>
        <v>BIDV</v>
      </c>
      <c r="Y446" s="1156" t="str">
        <f>VLOOKUP($B446,Table4[#All],2,0)</f>
        <v>BIDV - THANH XUAN</v>
      </c>
      <c r="Z446" s="1151"/>
      <c r="AA446" s="49"/>
      <c r="AH446" s="2" t="s">
        <v>466</v>
      </c>
    </row>
    <row r="447" spans="1:34">
      <c r="A447" s="1153" t="str">
        <f>VLOOKUP('Cash Balance'!$C447,Table2[#All],MATCH('Cash Balance'!A$3,Acc_Char!$B$1:$I$1,0),0)</f>
        <v>TAN DONG HIEP B ELECTRON</v>
      </c>
      <c r="B447" s="1154" t="str">
        <f>VLOOKUP('Cash Balance'!$C447,Table2[#All],MATCH('Cash Balance'!B$3,Acc_Char!$B$1:$I$1,0),0)</f>
        <v>VIETINBANK - TPHCM</v>
      </c>
      <c r="C447" s="1190" t="s">
        <v>1060</v>
      </c>
      <c r="D447" s="1156" t="str">
        <f>VLOOKUP('Cash Balance'!$C447,Table2[#All],MATCH('Cash Balance'!D$3,Acc_Char!$B$1:$I$1,0),0)</f>
        <v>Saving Account</v>
      </c>
      <c r="E447" s="384" t="str">
        <f>VLOOKUP('Cash Balance'!$C447,Table2[#All],MATCH('Cash Balance'!E$3,Acc_Char!$B$1:$I$1,0),0)</f>
        <v>VND</v>
      </c>
      <c r="F447" s="1094" t="e">
        <f>VLOOKUP(C447,'Cash balance (BS)'!A:C,3,)</f>
        <v>#N/A</v>
      </c>
      <c r="G447" s="1191" t="e">
        <f t="shared" si="43"/>
        <v>#N/A</v>
      </c>
      <c r="H447" s="1318">
        <f>SUMIFS('Cash balance (Prior period)'!F:F,'Cash balance (Prior period)'!C:C,Table11[[#This Row],[ACCOUNT NUMBER]],'Cash balance (Prior period)'!E:E,Table11[[#This Row],[CURRENCY]])</f>
        <v>0</v>
      </c>
      <c r="I447" s="1318">
        <f>SUMIFS(Movement!$F$4:$F$2136,Movement!$M$4:$M$2136,"VND",Movement!$C$4:$C$2136,Table11[[#This Row],[ACCOUNT NUMBER]],Movement!$J$4:$J$2136,Table11[[#This Row],[ENTITY]],Movement!$O$4:$O$2136,'Cash Balance'!$A$2)</f>
        <v>0</v>
      </c>
      <c r="J447" s="1318">
        <f>SUMIFS(Movement!$G$4:$G$2136,Movement!$M$4:$M$2136,"VND",Movement!$C$4:$C$2136,Table11[[#This Row],[ACCOUNT NUMBER]],Movement!$J$4:$J$2136,Table11[[#This Row],[ENTITY]],Movement!$O$4:$O$2136,'Cash Balance'!$A$2)</f>
        <v>0</v>
      </c>
      <c r="K447" s="1084">
        <f>Table11[[#This Row],[CASH IN - CREDIT (VND)]]-Table11[[#This Row],[CASH OUT - DEBIT (VND)]]</f>
        <v>0</v>
      </c>
      <c r="L447" s="1095">
        <f t="shared" si="39"/>
        <v>0</v>
      </c>
      <c r="M447" s="1184" t="e">
        <f>VLOOKUP(C447,'Cash balance (BS)'!A:D,4,)</f>
        <v>#N/A</v>
      </c>
      <c r="N447" s="1095" t="e">
        <f>Table11[[#This Row],[CLOSING BALANCE (VND)2]]-Table11[[#This Row],[CB_BS (VND)]]</f>
        <v>#N/A</v>
      </c>
      <c r="O447" s="1094">
        <v>0</v>
      </c>
      <c r="P447" s="1095">
        <f t="shared" si="40"/>
        <v>0</v>
      </c>
      <c r="Q447" s="817">
        <f>SUMIFS('Cash balance (Prior period)'!G:G,'Cash balance (Prior period)'!C:C,Table11[[#This Row],[ACCOUNT NUMBER]],'Cash balance (Prior period)'!E:E,Table11[[#This Row],[CURRENCY]])</f>
        <v>0</v>
      </c>
      <c r="R447" s="817">
        <f>SUMIFS(Movement!$F$4:$F$2136,Movement!$M$4:$M$2136,"USD",Movement!$C$4:$C$2136,Table11[[#This Row],[ACCOUNT NUMBER]],Movement!$J$4:$J$2136,Table11[[#This Row],[ENTITY]],Movement!$O$4:$O$2136,'Cash Balance'!$A$2)</f>
        <v>0</v>
      </c>
      <c r="S447" s="817">
        <f>SUMIFS(Movement!$G$4:$G$2136,Movement!$M$4:$M$2136,"USD",Movement!$C$4:$C$2136,Table11[[#This Row],[ACCOUNT NUMBER]],Movement!$J$4:$J$2136,Table11[[#This Row],[ENTITY]],Movement!$O$4:$O$2136,'Cash Balance'!$A$2)</f>
        <v>0</v>
      </c>
      <c r="T447" s="1087">
        <f t="shared" si="41"/>
        <v>0</v>
      </c>
      <c r="U447" s="817"/>
      <c r="V447" s="817">
        <f>Table11[[#This Row],[CLOSING BALANCE (USD)]]-Table11[[#This Row],[CB_BS (USD)]]</f>
        <v>0</v>
      </c>
      <c r="W447" s="1156" t="str">
        <f>VLOOKUP('Cash Balance'!$C447,Table2[#All],MATCH('Cash Balance'!W$3,Acc_Char!$B$1:$I$1,0),0)</f>
        <v>Subsidiaries</v>
      </c>
      <c r="X447" s="1156" t="str">
        <f>VLOOKUP(IFERROR(MID($Y447,1,FIND("-",$Y447)-2),$Y447),Table3[#All],2,0)</f>
        <v>VTB</v>
      </c>
      <c r="Y447" s="1156" t="str">
        <f>VLOOKUP($B447,Table4[#All],2,0)</f>
        <v>VIETINBANK - TPHCM</v>
      </c>
      <c r="Z447" s="1151"/>
      <c r="AA447" s="49"/>
    </row>
    <row r="448" spans="1:34" s="1368" customFormat="1">
      <c r="A448" s="1153" t="str">
        <f>VLOOKUP('Cash Balance'!$C448,Table2[#All],MATCH('Cash Balance'!A$3,Acc_Char!$B$1:$I$1,0),0)</f>
        <v>BWID HAI DUONG</v>
      </c>
      <c r="B448" s="1154" t="str">
        <f>VLOOKUP('Cash Balance'!$C448,Table2[#All],MATCH('Cash Balance'!B$3,Acc_Char!$B$1:$I$1,0),0)</f>
        <v>VIETINBANK - TIEN SON</v>
      </c>
      <c r="C448" s="1190" t="s">
        <v>1061</v>
      </c>
      <c r="D448" s="1156" t="str">
        <f>VLOOKUP('Cash Balance'!$C448,Table2[#All],MATCH('Cash Balance'!D$3,Acc_Char!$B$1:$I$1,0),0)</f>
        <v>Saving Account</v>
      </c>
      <c r="E448" s="384" t="str">
        <f>VLOOKUP('Cash Balance'!$C448,Table2[#All],MATCH('Cash Balance'!E$3,Acc_Char!$B$1:$I$1,0),0)</f>
        <v>VND</v>
      </c>
      <c r="F448" s="1230" t="e">
        <f>VLOOKUP(C448,'Cash balance (BS)'!A:C,3,)</f>
        <v>#N/A</v>
      </c>
      <c r="G448" s="1191" t="e">
        <f>F448-H448</f>
        <v>#N/A</v>
      </c>
      <c r="H448" s="1319">
        <f>SUMIFS('Cash balance (Prior period)'!F:F,'Cash balance (Prior period)'!C:C,Table11[[#This Row],[ACCOUNT NUMBER]],'Cash balance (Prior period)'!E:E,Table11[[#This Row],[CURRENCY]])</f>
        <v>0</v>
      </c>
      <c r="I448" s="1319">
        <f>SUMIFS(Movement!$F$4:$F$2136,Movement!$M$4:$M$2136,"VND",Movement!$C$4:$C$2136,Table11[[#This Row],[ACCOUNT NUMBER]],Movement!$J$4:$J$2136,Table11[[#This Row],[ENTITY]],Movement!$O$4:$O$2136,'Cash Balance'!$A$2)</f>
        <v>0</v>
      </c>
      <c r="J448" s="1319">
        <f>SUMIFS(Movement!$G$4:$G$2136,Movement!$M$4:$M$2136,"VND",Movement!$C$4:$C$2136,Table11[[#This Row],[ACCOUNT NUMBER]],Movement!$J$4:$J$2136,Table11[[#This Row],[ENTITY]],Movement!$O$4:$O$2136,'Cash Balance'!$A$2)</f>
        <v>0</v>
      </c>
      <c r="K448" s="1224">
        <f>Table11[[#This Row],[CASH IN - CREDIT (VND)]]-Table11[[#This Row],[CASH OUT - DEBIT (VND)]]</f>
        <v>0</v>
      </c>
      <c r="L448" s="1225">
        <f>H448+I448-J448</f>
        <v>0</v>
      </c>
      <c r="M448" s="1184" t="e">
        <f>VLOOKUP(C448,'Cash balance (BS)'!A:D,4,)</f>
        <v>#N/A</v>
      </c>
      <c r="N448" s="1225" t="e">
        <f>Table11[[#This Row],[CLOSING BALANCE (VND)2]]-Table11[[#This Row],[CB_BS (VND)]]</f>
        <v>#N/A</v>
      </c>
      <c r="O448" s="1230">
        <v>0</v>
      </c>
      <c r="P448" s="1225">
        <f>O448-Q448</f>
        <v>0</v>
      </c>
      <c r="Q448" s="1285">
        <f>SUMIFS('Cash balance (Prior period)'!G:G,'Cash balance (Prior period)'!C:C,Table11[[#This Row],[ACCOUNT NUMBER]],'Cash balance (Prior period)'!E:E,Table11[[#This Row],[CURRENCY]])</f>
        <v>0</v>
      </c>
      <c r="R448" s="1285">
        <f>SUMIFS(Movement!$F$4:$F$2136,Movement!$M$4:$M$2136,"USD",Movement!$C$4:$C$2136,Table11[[#This Row],[ACCOUNT NUMBER]],Movement!$J$4:$J$2136,Table11[[#This Row],[ENTITY]],Movement!$O$4:$O$2136,'Cash Balance'!$A$2)</f>
        <v>0</v>
      </c>
      <c r="S448" s="1285">
        <f>SUMIFS(Movement!$G$4:$G$2136,Movement!$M$4:$M$2136,"USD",Movement!$C$4:$C$2136,Table11[[#This Row],[ACCOUNT NUMBER]],Movement!$J$4:$J$2136,Table11[[#This Row],[ENTITY]],Movement!$O$4:$O$2136,'Cash Balance'!$A$2)</f>
        <v>0</v>
      </c>
      <c r="T448" s="1236">
        <f>Q448+R448-S448</f>
        <v>0</v>
      </c>
      <c r="U448" s="1285"/>
      <c r="V448" s="1285">
        <f>Table11[[#This Row],[CLOSING BALANCE (USD)]]-Table11[[#This Row],[CB_BS (USD)]]</f>
        <v>0</v>
      </c>
      <c r="W448" s="1156" t="str">
        <f>VLOOKUP('Cash Balance'!$C448,Table2[#All],MATCH('Cash Balance'!W$3,Acc_Char!$B$1:$I$1,0),0)</f>
        <v>Subsidiaries</v>
      </c>
      <c r="X448" s="1156" t="str">
        <f>VLOOKUP(IFERROR(MID($Y448,1,FIND("-",$Y448)-2),$Y448),Table3[#All],2,0)</f>
        <v>VTB</v>
      </c>
      <c r="Y448" s="1156" t="str">
        <f>VLOOKUP($B448,Table4[#All],2,0)</f>
        <v>VIETINBANK - TIEN SON</v>
      </c>
      <c r="Z448" s="1151"/>
      <c r="AA448" s="49"/>
      <c r="AB448" s="2"/>
      <c r="AC448" s="2"/>
      <c r="AD448" s="2"/>
      <c r="AE448" s="2"/>
      <c r="AF448" s="2"/>
      <c r="AG448" s="2"/>
      <c r="AH448" s="2"/>
    </row>
    <row r="449" spans="1:27">
      <c r="A449" s="1153" t="str">
        <f>VLOOKUP('Cash Balance'!$C449,Table2[#All],MATCH('Cash Balance'!A$3,Acc_Char!$B$1:$I$1,0),0)</f>
        <v>BWID DONG AN LID</v>
      </c>
      <c r="B449" s="1154" t="str">
        <f>VLOOKUP('Cash Balance'!$C449,Table2[#All],MATCH('Cash Balance'!B$3,Acc_Char!$B$1:$I$1,0),0)</f>
        <v>VIETINBANK - DONG SAI GON</v>
      </c>
      <c r="C449" s="1190" t="s">
        <v>1062</v>
      </c>
      <c r="D449" s="1156" t="str">
        <f>VLOOKUP('Cash Balance'!$C449,Table2[#All],MATCH('Cash Balance'!D$3,Acc_Char!$B$1:$I$1,0),0)</f>
        <v>Saving Account</v>
      </c>
      <c r="E449" s="384" t="str">
        <f>VLOOKUP('Cash Balance'!$C449,Table2[#All],MATCH('Cash Balance'!E$3,Acc_Char!$B$1:$I$1,0),0)</f>
        <v>VND</v>
      </c>
      <c r="F449" s="1094" t="e">
        <f>VLOOKUP(C449,'Cash balance (BS)'!A:C,3,)</f>
        <v>#N/A</v>
      </c>
      <c r="G449" s="1191" t="e">
        <f t="shared" si="43"/>
        <v>#N/A</v>
      </c>
      <c r="H449" s="1318">
        <f>SUMIFS('Cash balance (Prior period)'!F:F,'Cash balance (Prior period)'!C:C,Table11[[#This Row],[ACCOUNT NUMBER]],'Cash balance (Prior period)'!E:E,Table11[[#This Row],[CURRENCY]])</f>
        <v>5000000000</v>
      </c>
      <c r="I449" s="1318">
        <f>SUMIFS(Movement!$F$4:$F$2136,Movement!$M$4:$M$2136,"VND",Movement!$C$4:$C$2136,Table11[[#This Row],[ACCOUNT NUMBER]],Movement!$J$4:$J$2136,Table11[[#This Row],[ENTITY]],Movement!$O$4:$O$2136,'Cash Balance'!$A$2)</f>
        <v>0</v>
      </c>
      <c r="J449" s="1318">
        <f>SUMIFS(Movement!$G$4:$G$2136,Movement!$M$4:$M$2136,"VND",Movement!$C$4:$C$2136,Table11[[#This Row],[ACCOUNT NUMBER]],Movement!$J$4:$J$2136,Table11[[#This Row],[ENTITY]],Movement!$O$4:$O$2136,'Cash Balance'!$A$2)</f>
        <v>0</v>
      </c>
      <c r="K449" s="1084">
        <f>Table11[[#This Row],[CASH IN - CREDIT (VND)]]-Table11[[#This Row],[CASH OUT - DEBIT (VND)]]</f>
        <v>0</v>
      </c>
      <c r="L449" s="1095">
        <f t="shared" si="39"/>
        <v>5000000000</v>
      </c>
      <c r="M449" s="1184" t="e">
        <f>VLOOKUP(C449,'Cash balance (BS)'!A:D,4,)</f>
        <v>#N/A</v>
      </c>
      <c r="N449" s="1095" t="e">
        <f>Table11[[#This Row],[CLOSING BALANCE (VND)2]]-Table11[[#This Row],[CB_BS (VND)]]</f>
        <v>#N/A</v>
      </c>
      <c r="O449" s="1094">
        <v>0</v>
      </c>
      <c r="P449" s="1095">
        <f t="shared" si="40"/>
        <v>0</v>
      </c>
      <c r="Q449" s="817">
        <f>SUMIFS('Cash balance (Prior period)'!G:G,'Cash balance (Prior period)'!C:C,Table11[[#This Row],[ACCOUNT NUMBER]],'Cash balance (Prior period)'!E:E,Table11[[#This Row],[CURRENCY]])</f>
        <v>0</v>
      </c>
      <c r="R449" s="817">
        <f>SUMIFS(Movement!$F$4:$F$2136,Movement!$M$4:$M$2136,"USD",Movement!$C$4:$C$2136,Table11[[#This Row],[ACCOUNT NUMBER]],Movement!$J$4:$J$2136,Table11[[#This Row],[ENTITY]],Movement!$O$4:$O$2136,'Cash Balance'!$A$2)</f>
        <v>0</v>
      </c>
      <c r="S449" s="817">
        <f>SUMIFS(Movement!$G$4:$G$2136,Movement!$M$4:$M$2136,"USD",Movement!$C$4:$C$2136,Table11[[#This Row],[ACCOUNT NUMBER]],Movement!$J$4:$J$2136,Table11[[#This Row],[ENTITY]],Movement!$O$4:$O$2136,'Cash Balance'!$A$2)</f>
        <v>0</v>
      </c>
      <c r="T449" s="1087">
        <f t="shared" si="41"/>
        <v>0</v>
      </c>
      <c r="U449" s="817"/>
      <c r="V449" s="817">
        <f>Table11[[#This Row],[CLOSING BALANCE (USD)]]-Table11[[#This Row],[CB_BS (USD)]]</f>
        <v>0</v>
      </c>
      <c r="W449" s="1156" t="str">
        <f>VLOOKUP('Cash Balance'!$C449,Table2[#All],MATCH('Cash Balance'!W$3,Acc_Char!$B$1:$I$1,0),0)</f>
        <v>Subsidiaries</v>
      </c>
      <c r="X449" s="1156" t="str">
        <f>VLOOKUP(IFERROR(MID($Y449,1,FIND("-",$Y449)-2),$Y449),Table3[#All],2,0)</f>
        <v>VTB</v>
      </c>
      <c r="Y449" s="1156" t="str">
        <f>VLOOKUP($B449,Table4[#All],2,0)</f>
        <v>VIETINBANK - DONG SAI GON</v>
      </c>
      <c r="Z449" s="1151"/>
      <c r="AA449" s="49"/>
    </row>
    <row r="450" spans="1:27">
      <c r="A450" s="1153" t="str">
        <f>VLOOKUP('Cash Balance'!$C450,Table2[#All],MATCH('Cash Balance'!A$3,Acc_Char!$B$1:$I$1,0),0)</f>
        <v>BWID HAI DUONG 2</v>
      </c>
      <c r="B450" s="1154" t="str">
        <f>VLOOKUP('Cash Balance'!$C450,Table2[#All],MATCH('Cash Balance'!B$3,Acc_Char!$B$1:$I$1,0),0)</f>
        <v>VIETINBANK - TIEN SON</v>
      </c>
      <c r="C450" s="1190" t="s">
        <v>1063</v>
      </c>
      <c r="D450" s="1156" t="str">
        <f>VLOOKUP('Cash Balance'!$C450,Table2[#All],MATCH('Cash Balance'!D$3,Acc_Char!$B$1:$I$1,0),0)</f>
        <v>Saving Account</v>
      </c>
      <c r="E450" s="384" t="str">
        <f>VLOOKUP('Cash Balance'!$C450,Table2[#All],MATCH('Cash Balance'!E$3,Acc_Char!$B$1:$I$1,0),0)</f>
        <v>VND</v>
      </c>
      <c r="F450" s="1094" t="e">
        <f>VLOOKUP(C450,'Cash balance (BS)'!A:C,3,)</f>
        <v>#N/A</v>
      </c>
      <c r="G450" s="1191" t="e">
        <f t="shared" si="43"/>
        <v>#N/A</v>
      </c>
      <c r="H450" s="1318">
        <f>SUMIFS('Cash balance (Prior period)'!F:F,'Cash balance (Prior period)'!C:C,Table11[[#This Row],[ACCOUNT NUMBER]],'Cash balance (Prior period)'!E:E,Table11[[#This Row],[CURRENCY]])</f>
        <v>0</v>
      </c>
      <c r="I450" s="1318">
        <f>SUMIFS(Movement!$F$4:$F$2136,Movement!$M$4:$M$2136,"VND",Movement!$C$4:$C$2136,Table11[[#This Row],[ACCOUNT NUMBER]],Movement!$J$4:$J$2136,Table11[[#This Row],[ENTITY]],Movement!$O$4:$O$2136,'Cash Balance'!$A$2)</f>
        <v>0</v>
      </c>
      <c r="J450" s="1318">
        <f>SUMIFS(Movement!$G$4:$G$2136,Movement!$M$4:$M$2136,"VND",Movement!$C$4:$C$2136,Table11[[#This Row],[ACCOUNT NUMBER]],Movement!$J$4:$J$2136,Table11[[#This Row],[ENTITY]],Movement!$O$4:$O$2136,'Cash Balance'!$A$2)</f>
        <v>0</v>
      </c>
      <c r="K450" s="1084">
        <f>Table11[[#This Row],[CASH IN - CREDIT (VND)]]-Table11[[#This Row],[CASH OUT - DEBIT (VND)]]</f>
        <v>0</v>
      </c>
      <c r="L450" s="1095">
        <f t="shared" si="39"/>
        <v>0</v>
      </c>
      <c r="M450" s="1184" t="e">
        <f>VLOOKUP(C450,'Cash balance (BS)'!A:D,4,)</f>
        <v>#N/A</v>
      </c>
      <c r="N450" s="1095" t="e">
        <f>Table11[[#This Row],[CLOSING BALANCE (VND)2]]-Table11[[#This Row],[CB_BS (VND)]]</f>
        <v>#N/A</v>
      </c>
      <c r="O450" s="1094">
        <v>0</v>
      </c>
      <c r="P450" s="1095">
        <f t="shared" si="40"/>
        <v>0</v>
      </c>
      <c r="Q450" s="817">
        <f>SUMIFS('Cash balance (Prior period)'!G:G,'Cash balance (Prior period)'!C:C,Table11[[#This Row],[ACCOUNT NUMBER]],'Cash balance (Prior period)'!E:E,Table11[[#This Row],[CURRENCY]])</f>
        <v>0</v>
      </c>
      <c r="R450" s="817">
        <f>SUMIFS(Movement!$F$4:$F$2136,Movement!$M$4:$M$2136,"USD",Movement!$C$4:$C$2136,Table11[[#This Row],[ACCOUNT NUMBER]],Movement!$J$4:$J$2136,Table11[[#This Row],[ENTITY]],Movement!$O$4:$O$2136,'Cash Balance'!$A$2)</f>
        <v>0</v>
      </c>
      <c r="S450" s="817">
        <f>SUMIFS(Movement!$G$4:$G$2136,Movement!$M$4:$M$2136,"USD",Movement!$C$4:$C$2136,Table11[[#This Row],[ACCOUNT NUMBER]],Movement!$J$4:$J$2136,Table11[[#This Row],[ENTITY]],Movement!$O$4:$O$2136,'Cash Balance'!$A$2)</f>
        <v>0</v>
      </c>
      <c r="T450" s="1087">
        <f t="shared" si="41"/>
        <v>0</v>
      </c>
      <c r="U450" s="817"/>
      <c r="V450" s="817">
        <f>Table11[[#This Row],[CLOSING BALANCE (USD)]]-Table11[[#This Row],[CB_BS (USD)]]</f>
        <v>0</v>
      </c>
      <c r="W450" s="1156" t="str">
        <f>VLOOKUP('Cash Balance'!$C450,Table2[#All],MATCH('Cash Balance'!W$3,Acc_Char!$B$1:$I$1,0),0)</f>
        <v>Subsidiaries</v>
      </c>
      <c r="X450" s="1156" t="str">
        <f>VLOOKUP(IFERROR(MID($Y450,1,FIND("-",$Y450)-2),$Y450),Table3[#All],2,0)</f>
        <v>VTB</v>
      </c>
      <c r="Y450" s="1156" t="str">
        <f>VLOOKUP($B450,Table4[#All],2,0)</f>
        <v>VIETINBANK - TIEN SON</v>
      </c>
      <c r="Z450" s="1151"/>
      <c r="AA450" s="49"/>
    </row>
    <row r="451" spans="1:27">
      <c r="A451" s="1153" t="str">
        <f>VLOOKUP('Cash Balance'!$C451,Table2[#All],MATCH('Cash Balance'!A$3,Acc_Char!$B$1:$I$1,0),0)</f>
        <v>SG LOGISTICS</v>
      </c>
      <c r="B451" s="1154" t="str">
        <f>VLOOKUP('Cash Balance'!$C451,Table2[#All],MATCH('Cash Balance'!B$3,Acc_Char!$B$1:$I$1,0),0)</f>
        <v>UOB - HCM</v>
      </c>
      <c r="C451" s="1190" t="s">
        <v>1064</v>
      </c>
      <c r="D451" s="1156" t="str">
        <f>VLOOKUP('Cash Balance'!$C451,Table2[#All],MATCH('Cash Balance'!D$3,Acc_Char!$B$1:$I$1,0),0)</f>
        <v>Current Account</v>
      </c>
      <c r="E451" s="384" t="str">
        <f>VLOOKUP('Cash Balance'!$C451,Table2[#All],MATCH('Cash Balance'!E$3,Acc_Char!$B$1:$I$1,0),0)</f>
        <v>VND</v>
      </c>
      <c r="F451" s="1094" t="e">
        <f>VLOOKUP(C451,'Cash balance (BS)'!A:C,3,)</f>
        <v>#N/A</v>
      </c>
      <c r="G451" s="1191" t="e">
        <f t="shared" si="43"/>
        <v>#N/A</v>
      </c>
      <c r="H451" s="1318">
        <f>SUMIFS('Cash balance (Prior period)'!F:F,'Cash balance (Prior period)'!C:C,Table11[[#This Row],[ACCOUNT NUMBER]],'Cash balance (Prior period)'!E:E,Table11[[#This Row],[CURRENCY]])</f>
        <v>2780000</v>
      </c>
      <c r="I451" s="1318">
        <f>SUMIFS(Movement!$F$4:$F$2136,Movement!$M$4:$M$2136,"VND",Movement!$C$4:$C$2136,Table11[[#This Row],[ACCOUNT NUMBER]],Movement!$J$4:$J$2136,Table11[[#This Row],[ENTITY]],Movement!$O$4:$O$2136,'Cash Balance'!$A$2)</f>
        <v>0</v>
      </c>
      <c r="J451" s="1318">
        <f>SUMIFS(Movement!$G$4:$G$2136,Movement!$M$4:$M$2136,"VND",Movement!$C$4:$C$2136,Table11[[#This Row],[ACCOUNT NUMBER]],Movement!$J$4:$J$2136,Table11[[#This Row],[ENTITY]],Movement!$O$4:$O$2136,'Cash Balance'!$A$2)</f>
        <v>0</v>
      </c>
      <c r="K451" s="1084">
        <f>Table11[[#This Row],[CASH IN - CREDIT (VND)]]-Table11[[#This Row],[CASH OUT - DEBIT (VND)]]</f>
        <v>0</v>
      </c>
      <c r="L451" s="1095">
        <f t="shared" si="39"/>
        <v>2780000</v>
      </c>
      <c r="M451" s="1184" t="e">
        <f>VLOOKUP(C451,'Cash balance (BS)'!A:D,4,)</f>
        <v>#N/A</v>
      </c>
      <c r="N451" s="1095" t="e">
        <f>Table11[[#This Row],[CLOSING BALANCE (VND)2]]-Table11[[#This Row],[CB_BS (VND)]]</f>
        <v>#N/A</v>
      </c>
      <c r="O451" s="1094">
        <v>0</v>
      </c>
      <c r="P451" s="1095">
        <f t="shared" si="40"/>
        <v>0</v>
      </c>
      <c r="Q451" s="817">
        <f>SUMIFS('Cash balance (Prior period)'!G:G,'Cash balance (Prior period)'!C:C,Table11[[#This Row],[ACCOUNT NUMBER]],'Cash balance (Prior period)'!E:E,Table11[[#This Row],[CURRENCY]])</f>
        <v>0</v>
      </c>
      <c r="R451" s="817">
        <f>SUMIFS(Movement!$F$4:$F$2136,Movement!$M$4:$M$2136,"USD",Movement!$C$4:$C$2136,Table11[[#This Row],[ACCOUNT NUMBER]],Movement!$J$4:$J$2136,Table11[[#This Row],[ENTITY]],Movement!$O$4:$O$2136,'Cash Balance'!$A$2)</f>
        <v>0</v>
      </c>
      <c r="S451" s="817">
        <f>SUMIFS(Movement!$G$4:$G$2136,Movement!$M$4:$M$2136,"USD",Movement!$C$4:$C$2136,Table11[[#This Row],[ACCOUNT NUMBER]],Movement!$J$4:$J$2136,Table11[[#This Row],[ENTITY]],Movement!$O$4:$O$2136,'Cash Balance'!$A$2)</f>
        <v>0</v>
      </c>
      <c r="T451" s="1087">
        <f t="shared" si="41"/>
        <v>0</v>
      </c>
      <c r="U451" s="817"/>
      <c r="V451" s="817">
        <f>Table11[[#This Row],[CLOSING BALANCE (USD)]]-Table11[[#This Row],[CB_BS (USD)]]</f>
        <v>0</v>
      </c>
      <c r="W451" s="1156" t="str">
        <f>VLOOKUP('Cash Balance'!$C451,Table2[#All],MATCH('Cash Balance'!W$3,Acc_Char!$B$1:$I$1,0),0)</f>
        <v>Subsidiaries</v>
      </c>
      <c r="X451" s="1156" t="str">
        <f>VLOOKUP(IFERROR(MID($Y451,1,FIND("-",$Y451)-2),$Y451),Table3[#All],2,0)</f>
        <v>UOB</v>
      </c>
      <c r="Y451" s="1156" t="str">
        <f>VLOOKUP($B451,Table4[#All],2,0)</f>
        <v>UOB</v>
      </c>
      <c r="Z451" s="1151"/>
      <c r="AA451" s="49"/>
    </row>
    <row r="452" spans="1:27">
      <c r="A452" s="1153" t="str">
        <f>VLOOKUP('Cash Balance'!$C452,Table2[#All],MATCH('Cash Balance'!A$3,Acc_Char!$B$1:$I$1,0),0)</f>
        <v>BWID THOI HOA 2</v>
      </c>
      <c r="B452" s="1154" t="str">
        <f>VLOOKUP('Cash Balance'!$C452,Table2[#All],MATCH('Cash Balance'!B$3,Acc_Char!$B$1:$I$1,0),0)</f>
        <v>KBank - HCM</v>
      </c>
      <c r="C452" s="1190" t="s">
        <v>1065</v>
      </c>
      <c r="D452" s="1156" t="str">
        <f>VLOOKUP('Cash Balance'!$C452,Table2[#All],MATCH('Cash Balance'!D$3,Acc_Char!$B$1:$I$1,0),0)</f>
        <v>Current Account</v>
      </c>
      <c r="E452" s="384" t="str">
        <f>VLOOKUP('Cash Balance'!$C452,Table2[#All],MATCH('Cash Balance'!E$3,Acc_Char!$B$1:$I$1,0),0)</f>
        <v>VND</v>
      </c>
      <c r="F452" s="1094" t="e">
        <f>VLOOKUP(C452,'Cash balance (BS)'!A:C,3,)</f>
        <v>#N/A</v>
      </c>
      <c r="G452" s="1191" t="e">
        <f t="shared" si="43"/>
        <v>#N/A</v>
      </c>
      <c r="H452" s="1318">
        <f>SUMIFS('Cash balance (Prior period)'!F:F,'Cash balance (Prior period)'!C:C,Table11[[#This Row],[ACCOUNT NUMBER]],'Cash balance (Prior period)'!E:E,Table11[[#This Row],[CURRENCY]])</f>
        <v>4958239409</v>
      </c>
      <c r="I452" s="1318">
        <f>SUMIFS(Movement!$F$4:$F$2136,Movement!$M$4:$M$2136,"VND",Movement!$C$4:$C$2136,Table11[[#This Row],[ACCOUNT NUMBER]],Movement!$J$4:$J$2136,Table11[[#This Row],[ENTITY]],Movement!$O$4:$O$2136,'Cash Balance'!$A$2)</f>
        <v>11631266064</v>
      </c>
      <c r="J452" s="1318">
        <f>SUMIFS(Movement!$G$4:$G$2136,Movement!$M$4:$M$2136,"VND",Movement!$C$4:$C$2136,Table11[[#This Row],[ACCOUNT NUMBER]],Movement!$J$4:$J$2136,Table11[[#This Row],[ENTITY]],Movement!$O$4:$O$2136,'Cash Balance'!$A$2)</f>
        <v>224003772</v>
      </c>
      <c r="K452" s="1084">
        <f>Table11[[#This Row],[CASH IN - CREDIT (VND)]]-Table11[[#This Row],[CASH OUT - DEBIT (VND)]]</f>
        <v>11407262292</v>
      </c>
      <c r="L452" s="1095">
        <f t="shared" si="39"/>
        <v>16365501701</v>
      </c>
      <c r="M452" s="1184" t="e">
        <f>VLOOKUP(C452,'Cash balance (BS)'!A:D,4,)</f>
        <v>#N/A</v>
      </c>
      <c r="N452" s="1095" t="e">
        <f>Table11[[#This Row],[CLOSING BALANCE (VND)2]]-Table11[[#This Row],[CB_BS (VND)]]</f>
        <v>#N/A</v>
      </c>
      <c r="O452" s="1094">
        <v>0</v>
      </c>
      <c r="P452" s="1095">
        <f t="shared" si="40"/>
        <v>0</v>
      </c>
      <c r="Q452" s="817">
        <f>SUMIFS('Cash balance (Prior period)'!G:G,'Cash balance (Prior period)'!C:C,Table11[[#This Row],[ACCOUNT NUMBER]],'Cash balance (Prior period)'!E:E,Table11[[#This Row],[CURRENCY]])</f>
        <v>0</v>
      </c>
      <c r="R452" s="817">
        <f>SUMIFS(Movement!$F$4:$F$2136,Movement!$M$4:$M$2136,"USD",Movement!$C$4:$C$2136,Table11[[#This Row],[ACCOUNT NUMBER]],Movement!$J$4:$J$2136,Table11[[#This Row],[ENTITY]],Movement!$O$4:$O$2136,'Cash Balance'!$A$2)</f>
        <v>0</v>
      </c>
      <c r="S452" s="817">
        <f>SUMIFS(Movement!$G$4:$G$2136,Movement!$M$4:$M$2136,"USD",Movement!$C$4:$C$2136,Table11[[#This Row],[ACCOUNT NUMBER]],Movement!$J$4:$J$2136,Table11[[#This Row],[ENTITY]],Movement!$O$4:$O$2136,'Cash Balance'!$A$2)</f>
        <v>0</v>
      </c>
      <c r="T452" s="1087">
        <f t="shared" si="41"/>
        <v>0</v>
      </c>
      <c r="U452" s="817"/>
      <c r="V452" s="817">
        <f>Table11[[#This Row],[CLOSING BALANCE (USD)]]-Table11[[#This Row],[CB_BS (USD)]]</f>
        <v>0</v>
      </c>
      <c r="W452" s="1156" t="str">
        <f>VLOOKUP('Cash Balance'!$C452,Table2[#All],MATCH('Cash Balance'!W$3,Acc_Char!$B$1:$I$1,0),0)</f>
        <v>Subsidiaries</v>
      </c>
      <c r="X452" s="1156" t="str">
        <f>VLOOKUP(IFERROR(MID($Y452,1,FIND("-",$Y452)-2),$Y452),Table3[#All],2,0)</f>
        <v>Others</v>
      </c>
      <c r="Y452" s="1156" t="str">
        <f>VLOOKUP($B452,Table4[#All],2,0)</f>
        <v>OTHERS</v>
      </c>
      <c r="Z452" s="1151"/>
      <c r="AA452" s="49"/>
    </row>
    <row r="453" spans="1:27">
      <c r="A453" s="1153" t="str">
        <f>VLOOKUP('Cash Balance'!$C453,Table2[#All],MATCH('Cash Balance'!A$3,Acc_Char!$B$1:$I$1,0),0)</f>
        <v>BAC TIEN PHONG</v>
      </c>
      <c r="B453" s="1154" t="str">
        <f>VLOOKUP('Cash Balance'!$C453,Table2[#All],MATCH('Cash Balance'!B$3,Acc_Char!$B$1:$I$1,0),0)</f>
        <v>BIDV - THANH XUAN</v>
      </c>
      <c r="C453" s="1190" t="s">
        <v>1066</v>
      </c>
      <c r="D453" s="1156" t="str">
        <f>VLOOKUP('Cash Balance'!$C453,Table2[#All],MATCH('Cash Balance'!D$3,Acc_Char!$B$1:$I$1,0),0)</f>
        <v>Saving Account</v>
      </c>
      <c r="E453" s="384" t="str">
        <f>VLOOKUP('Cash Balance'!$C453,Table2[#All],MATCH('Cash Balance'!E$3,Acc_Char!$B$1:$I$1,0),0)</f>
        <v>VND</v>
      </c>
      <c r="F453" s="1094" t="e">
        <f>VLOOKUP(C453,'Cash balance (BS)'!A:C,3,)</f>
        <v>#N/A</v>
      </c>
      <c r="G453" s="1191" t="e">
        <f t="shared" si="43"/>
        <v>#N/A</v>
      </c>
      <c r="H453" s="1318">
        <f>SUMIFS('Cash balance (Prior period)'!F:F,'Cash balance (Prior period)'!C:C,Table11[[#This Row],[ACCOUNT NUMBER]],'Cash balance (Prior period)'!E:E,Table11[[#This Row],[CURRENCY]])</f>
        <v>13000000000</v>
      </c>
      <c r="I453" s="1318">
        <f>SUMIFS(Movement!$F$4:$F$2136,Movement!$M$4:$M$2136,"VND",Movement!$C$4:$C$2136,Table11[[#This Row],[ACCOUNT NUMBER]],Movement!$J$4:$J$2136,Table11[[#This Row],[ENTITY]],Movement!$O$4:$O$2136,'Cash Balance'!$A$2)</f>
        <v>0</v>
      </c>
      <c r="J453" s="1318">
        <f>SUMIFS(Movement!$G$4:$G$2136,Movement!$M$4:$M$2136,"VND",Movement!$C$4:$C$2136,Table11[[#This Row],[ACCOUNT NUMBER]],Movement!$J$4:$J$2136,Table11[[#This Row],[ENTITY]],Movement!$O$4:$O$2136,'Cash Balance'!$A$2)</f>
        <v>0</v>
      </c>
      <c r="K453" s="1084">
        <f>Table11[[#This Row],[CASH IN - CREDIT (VND)]]-Table11[[#This Row],[CASH OUT - DEBIT (VND)]]</f>
        <v>0</v>
      </c>
      <c r="L453" s="1095">
        <f t="shared" si="39"/>
        <v>13000000000</v>
      </c>
      <c r="M453" s="1184" t="e">
        <f>VLOOKUP(C453,'Cash balance (BS)'!A:D,4,)</f>
        <v>#N/A</v>
      </c>
      <c r="N453" s="1095" t="e">
        <f>Table11[[#This Row],[CLOSING BALANCE (VND)2]]-Table11[[#This Row],[CB_BS (VND)]]</f>
        <v>#N/A</v>
      </c>
      <c r="O453" s="1094">
        <v>0</v>
      </c>
      <c r="P453" s="1095">
        <f t="shared" si="40"/>
        <v>0</v>
      </c>
      <c r="Q453" s="817">
        <f>SUMIFS('Cash balance (Prior period)'!G:G,'Cash balance (Prior period)'!C:C,Table11[[#This Row],[ACCOUNT NUMBER]],'Cash balance (Prior period)'!E:E,Table11[[#This Row],[CURRENCY]])</f>
        <v>0</v>
      </c>
      <c r="R453" s="817">
        <f>SUMIFS(Movement!$F$4:$F$2136,Movement!$M$4:$M$2136,"USD",Movement!$C$4:$C$2136,Table11[[#This Row],[ACCOUNT NUMBER]],Movement!$J$4:$J$2136,Table11[[#This Row],[ENTITY]],Movement!$O$4:$O$2136,'Cash Balance'!$A$2)</f>
        <v>0</v>
      </c>
      <c r="S453" s="817">
        <f>SUMIFS(Movement!$G$4:$G$2136,Movement!$M$4:$M$2136,"USD",Movement!$C$4:$C$2136,Table11[[#This Row],[ACCOUNT NUMBER]],Movement!$J$4:$J$2136,Table11[[#This Row],[ENTITY]],Movement!$O$4:$O$2136,'Cash Balance'!$A$2)</f>
        <v>0</v>
      </c>
      <c r="T453" s="1087">
        <f t="shared" si="41"/>
        <v>0</v>
      </c>
      <c r="U453" s="817"/>
      <c r="V453" s="817">
        <f>Table11[[#This Row],[CLOSING BALANCE (USD)]]-Table11[[#This Row],[CB_BS (USD)]]</f>
        <v>0</v>
      </c>
      <c r="W453" s="1156" t="str">
        <f>VLOOKUP('Cash Balance'!$C453,Table2[#All],MATCH('Cash Balance'!W$3,Acc_Char!$B$1:$I$1,0),0)</f>
        <v>Subsidiaries</v>
      </c>
      <c r="X453" s="1156" t="str">
        <f>VLOOKUP(IFERROR(MID($Y453,1,FIND("-",$Y453)-2),$Y453),Table3[#All],2,0)</f>
        <v>BIDV</v>
      </c>
      <c r="Y453" s="1156" t="str">
        <f>VLOOKUP($B453,Table4[#All],2,0)</f>
        <v>BIDV - THANH XUAN</v>
      </c>
      <c r="Z453" s="1151"/>
      <c r="AA453" s="49"/>
    </row>
    <row r="454" spans="1:27">
      <c r="A454" s="1153" t="str">
        <f>VLOOKUP('Cash Balance'!$C454,Table2[#All],MATCH('Cash Balance'!A$3,Acc_Char!$B$1:$I$1,0),0)</f>
        <v>BAC TIEN PHONG</v>
      </c>
      <c r="B454" s="1154" t="str">
        <f>VLOOKUP('Cash Balance'!$C454,Table2[#All],MATCH('Cash Balance'!B$3,Acc_Char!$B$1:$I$1,0),0)</f>
        <v>BIDV - THANH XUAN</v>
      </c>
      <c r="C454" s="1190" t="s">
        <v>1067</v>
      </c>
      <c r="D454" s="1156" t="str">
        <f>VLOOKUP('Cash Balance'!$C454,Table2[#All],MATCH('Cash Balance'!D$3,Acc_Char!$B$1:$I$1,0),0)</f>
        <v>Saving Account</v>
      </c>
      <c r="E454" s="384" t="str">
        <f>VLOOKUP('Cash Balance'!$C454,Table2[#All],MATCH('Cash Balance'!E$3,Acc_Char!$B$1:$I$1,0),0)</f>
        <v>VND</v>
      </c>
      <c r="F454" s="1094" t="e">
        <f>VLOOKUP(C454,'Cash balance (BS)'!A:C,3,)</f>
        <v>#N/A</v>
      </c>
      <c r="G454" s="1191" t="e">
        <f t="shared" si="43"/>
        <v>#N/A</v>
      </c>
      <c r="H454" s="1318">
        <f>SUMIFS('Cash balance (Prior period)'!F:F,'Cash balance (Prior period)'!C:C,Table11[[#This Row],[ACCOUNT NUMBER]],'Cash balance (Prior period)'!E:E,Table11[[#This Row],[CURRENCY]])</f>
        <v>8000000000</v>
      </c>
      <c r="I454" s="1318">
        <f>SUMIFS(Movement!$F$4:$F$2136,Movement!$M$4:$M$2136,"VND",Movement!$C$4:$C$2136,Table11[[#This Row],[ACCOUNT NUMBER]],Movement!$J$4:$J$2136,Table11[[#This Row],[ENTITY]],Movement!$O$4:$O$2136,'Cash Balance'!$A$2)</f>
        <v>0</v>
      </c>
      <c r="J454" s="1318">
        <f>SUMIFS(Movement!$G$4:$G$2136,Movement!$M$4:$M$2136,"VND",Movement!$C$4:$C$2136,Table11[[#This Row],[ACCOUNT NUMBER]],Movement!$J$4:$J$2136,Table11[[#This Row],[ENTITY]],Movement!$O$4:$O$2136,'Cash Balance'!$A$2)</f>
        <v>0</v>
      </c>
      <c r="K454" s="1084">
        <f>Table11[[#This Row],[CASH IN - CREDIT (VND)]]-Table11[[#This Row],[CASH OUT - DEBIT (VND)]]</f>
        <v>0</v>
      </c>
      <c r="L454" s="1095">
        <f t="shared" si="39"/>
        <v>8000000000</v>
      </c>
      <c r="M454" s="1184" t="e">
        <f>VLOOKUP(C454,'Cash balance (BS)'!A:D,4,)</f>
        <v>#N/A</v>
      </c>
      <c r="N454" s="1095" t="e">
        <f>Table11[[#This Row],[CLOSING BALANCE (VND)2]]-Table11[[#This Row],[CB_BS (VND)]]</f>
        <v>#N/A</v>
      </c>
      <c r="O454" s="1094">
        <v>0</v>
      </c>
      <c r="P454" s="1095">
        <f t="shared" si="40"/>
        <v>0</v>
      </c>
      <c r="Q454" s="817">
        <f>SUMIFS('Cash balance (Prior period)'!G:G,'Cash balance (Prior period)'!C:C,Table11[[#This Row],[ACCOUNT NUMBER]],'Cash balance (Prior period)'!E:E,Table11[[#This Row],[CURRENCY]])</f>
        <v>0</v>
      </c>
      <c r="R454" s="817">
        <f>SUMIFS(Movement!$F$4:$F$2136,Movement!$M$4:$M$2136,"USD",Movement!$C$4:$C$2136,Table11[[#This Row],[ACCOUNT NUMBER]],Movement!$J$4:$J$2136,Table11[[#This Row],[ENTITY]],Movement!$O$4:$O$2136,'Cash Balance'!$A$2)</f>
        <v>0</v>
      </c>
      <c r="S454" s="817">
        <f>SUMIFS(Movement!$G$4:$G$2136,Movement!$M$4:$M$2136,"USD",Movement!$C$4:$C$2136,Table11[[#This Row],[ACCOUNT NUMBER]],Movement!$J$4:$J$2136,Table11[[#This Row],[ENTITY]],Movement!$O$4:$O$2136,'Cash Balance'!$A$2)</f>
        <v>0</v>
      </c>
      <c r="T454" s="1087">
        <f t="shared" si="41"/>
        <v>0</v>
      </c>
      <c r="U454" s="817"/>
      <c r="V454" s="817">
        <f>Table11[[#This Row],[CLOSING BALANCE (USD)]]-Table11[[#This Row],[CB_BS (USD)]]</f>
        <v>0</v>
      </c>
      <c r="W454" s="1156" t="str">
        <f>VLOOKUP('Cash Balance'!$C454,Table2[#All],MATCH('Cash Balance'!W$3,Acc_Char!$B$1:$I$1,0),0)</f>
        <v>Subsidiaries</v>
      </c>
      <c r="X454" s="1156" t="str">
        <f>VLOOKUP(IFERROR(MID($Y454,1,FIND("-",$Y454)-2),$Y454),Table3[#All],2,0)</f>
        <v>BIDV</v>
      </c>
      <c r="Y454" s="1156" t="str">
        <f>VLOOKUP($B454,Table4[#All],2,0)</f>
        <v>BIDV - THANH XUAN</v>
      </c>
      <c r="Z454" s="1151"/>
      <c r="AA454" s="49"/>
    </row>
    <row r="455" spans="1:27">
      <c r="A455" s="1153" t="str">
        <f>VLOOKUP('Cash Balance'!$C455,Table2[#All],MATCH('Cash Balance'!A$3,Acc_Char!$B$1:$I$1,0),0)</f>
        <v>BWID HAI DUONG 3</v>
      </c>
      <c r="B455" s="1154" t="str">
        <f>VLOOKUP('Cash Balance'!$C455,Table2[#All],MATCH('Cash Balance'!B$3,Acc_Char!$B$1:$I$1,0),0)</f>
        <v>BIDV - THANH XUAN</v>
      </c>
      <c r="C455" s="1190" t="s">
        <v>1068</v>
      </c>
      <c r="D455" s="1156" t="str">
        <f>VLOOKUP('Cash Balance'!$C455,Table2[#All],MATCH('Cash Balance'!D$3,Acc_Char!$B$1:$I$1,0),0)</f>
        <v>Saving Account</v>
      </c>
      <c r="E455" s="384" t="str">
        <f>VLOOKUP('Cash Balance'!$C455,Table2[#All],MATCH('Cash Balance'!E$3,Acc_Char!$B$1:$I$1,0),0)</f>
        <v>VND</v>
      </c>
      <c r="F455" s="1094" t="e">
        <f>VLOOKUP(C455,'Cash balance (BS)'!A:C,3,)</f>
        <v>#N/A</v>
      </c>
      <c r="G455" s="1191" t="e">
        <f t="shared" si="43"/>
        <v>#N/A</v>
      </c>
      <c r="H455" s="1318">
        <f>SUMIFS('Cash balance (Prior period)'!F:F,'Cash balance (Prior period)'!C:C,Table11[[#This Row],[ACCOUNT NUMBER]],'Cash balance (Prior period)'!E:E,Table11[[#This Row],[CURRENCY]])</f>
        <v>0</v>
      </c>
      <c r="I455" s="1318">
        <f>SUMIFS(Movement!$F$4:$F$2136,Movement!$M$4:$M$2136,"VND",Movement!$C$4:$C$2136,Table11[[#This Row],[ACCOUNT NUMBER]],Movement!$J$4:$J$2136,Table11[[#This Row],[ENTITY]],Movement!$O$4:$O$2136,'Cash Balance'!$A$2)</f>
        <v>0</v>
      </c>
      <c r="J455" s="1318">
        <f>SUMIFS(Movement!$G$4:$G$2136,Movement!$M$4:$M$2136,"VND",Movement!$C$4:$C$2136,Table11[[#This Row],[ACCOUNT NUMBER]],Movement!$J$4:$J$2136,Table11[[#This Row],[ENTITY]],Movement!$O$4:$O$2136,'Cash Balance'!$A$2)</f>
        <v>0</v>
      </c>
      <c r="K455" s="1084">
        <f>Table11[[#This Row],[CASH IN - CREDIT (VND)]]-Table11[[#This Row],[CASH OUT - DEBIT (VND)]]</f>
        <v>0</v>
      </c>
      <c r="L455" s="1095">
        <f t="shared" si="39"/>
        <v>0</v>
      </c>
      <c r="M455" s="1184" t="e">
        <f>VLOOKUP(C455,'Cash balance (BS)'!A:D,4,)</f>
        <v>#N/A</v>
      </c>
      <c r="N455" s="1095" t="e">
        <f>Table11[[#This Row],[CLOSING BALANCE (VND)2]]-Table11[[#This Row],[CB_BS (VND)]]</f>
        <v>#N/A</v>
      </c>
      <c r="O455" s="1094">
        <v>0</v>
      </c>
      <c r="P455" s="1095">
        <f t="shared" si="40"/>
        <v>0</v>
      </c>
      <c r="Q455" s="817">
        <f>SUMIFS('Cash balance (Prior period)'!G:G,'Cash balance (Prior period)'!C:C,Table11[[#This Row],[ACCOUNT NUMBER]],'Cash balance (Prior period)'!E:E,Table11[[#This Row],[CURRENCY]])</f>
        <v>0</v>
      </c>
      <c r="R455" s="817">
        <f>SUMIFS(Movement!$F$4:$F$2136,Movement!$M$4:$M$2136,"USD",Movement!$C$4:$C$2136,Table11[[#This Row],[ACCOUNT NUMBER]],Movement!$J$4:$J$2136,Table11[[#This Row],[ENTITY]],Movement!$O$4:$O$2136,'Cash Balance'!$A$2)</f>
        <v>0</v>
      </c>
      <c r="S455" s="817">
        <f>SUMIFS(Movement!$G$4:$G$2136,Movement!$M$4:$M$2136,"USD",Movement!$C$4:$C$2136,Table11[[#This Row],[ACCOUNT NUMBER]],Movement!$J$4:$J$2136,Table11[[#This Row],[ENTITY]],Movement!$O$4:$O$2136,'Cash Balance'!$A$2)</f>
        <v>0</v>
      </c>
      <c r="T455" s="1087">
        <f t="shared" si="41"/>
        <v>0</v>
      </c>
      <c r="U455" s="817"/>
      <c r="V455" s="817">
        <f>Table11[[#This Row],[CLOSING BALANCE (USD)]]-Table11[[#This Row],[CB_BS (USD)]]</f>
        <v>0</v>
      </c>
      <c r="W455" s="1156" t="str">
        <f>VLOOKUP('Cash Balance'!$C455,Table2[#All],MATCH('Cash Balance'!W$3,Acc_Char!$B$1:$I$1,0),0)</f>
        <v>Subsidiaries</v>
      </c>
      <c r="X455" s="1156" t="str">
        <f>VLOOKUP(IFERROR(MID($Y455,1,FIND("-",$Y455)-2),$Y455),Table3[#All],2,0)</f>
        <v>BIDV</v>
      </c>
      <c r="Y455" s="1156" t="str">
        <f>VLOOKUP($B455,Table4[#All],2,0)</f>
        <v>BIDV - THANH XUAN</v>
      </c>
      <c r="Z455" s="1151"/>
      <c r="AA455" s="49"/>
    </row>
    <row r="456" spans="1:27">
      <c r="A456" s="1153" t="str">
        <f>VLOOKUP('Cash Balance'!$C456,Table2[#All],MATCH('Cash Balance'!A$3,Acc_Char!$B$1:$I$1,0),0)</f>
        <v>BWID BINH DUONG</v>
      </c>
      <c r="B456" s="1154" t="str">
        <f>VLOOKUP('Cash Balance'!$C456,Table2[#All],MATCH('Cash Balance'!B$3,Acc_Char!$B$1:$I$1,0),0)</f>
        <v>BIDV - THANH XUAN</v>
      </c>
      <c r="C456" s="1190" t="s">
        <v>1069</v>
      </c>
      <c r="D456" s="1156" t="str">
        <f>VLOOKUP('Cash Balance'!$C456,Table2[#All],MATCH('Cash Balance'!D$3,Acc_Char!$B$1:$I$1,0),0)</f>
        <v>Saving Account</v>
      </c>
      <c r="E456" s="384" t="str">
        <f>VLOOKUP('Cash Balance'!$C456,Table2[#All],MATCH('Cash Balance'!E$3,Acc_Char!$B$1:$I$1,0),0)</f>
        <v>VND</v>
      </c>
      <c r="F456" s="1094" t="e">
        <f>VLOOKUP(C456,'Cash balance (BS)'!A:C,3,)</f>
        <v>#N/A</v>
      </c>
      <c r="G456" s="1191" t="e">
        <f t="shared" si="43"/>
        <v>#N/A</v>
      </c>
      <c r="H456" s="1318">
        <f>SUMIFS('Cash balance (Prior period)'!F:F,'Cash balance (Prior period)'!C:C,Table11[[#This Row],[ACCOUNT NUMBER]],'Cash balance (Prior period)'!E:E,Table11[[#This Row],[CURRENCY]])</f>
        <v>0</v>
      </c>
      <c r="I456" s="1318">
        <f>SUMIFS(Movement!$F$4:$F$2136,Movement!$M$4:$M$2136,"VND",Movement!$C$4:$C$2136,Table11[[#This Row],[ACCOUNT NUMBER]],Movement!$J$4:$J$2136,Table11[[#This Row],[ENTITY]],Movement!$O$4:$O$2136,'Cash Balance'!$A$2)</f>
        <v>0</v>
      </c>
      <c r="J456" s="1318">
        <f>SUMIFS(Movement!$G$4:$G$2136,Movement!$M$4:$M$2136,"VND",Movement!$C$4:$C$2136,Table11[[#This Row],[ACCOUNT NUMBER]],Movement!$J$4:$J$2136,Table11[[#This Row],[ENTITY]],Movement!$O$4:$O$2136,'Cash Balance'!$A$2)</f>
        <v>0</v>
      </c>
      <c r="K456" s="1084">
        <f>Table11[[#This Row],[CASH IN - CREDIT (VND)]]-Table11[[#This Row],[CASH OUT - DEBIT (VND)]]</f>
        <v>0</v>
      </c>
      <c r="L456" s="1095">
        <f t="shared" ref="L456:L516" si="44">H456+I456-J456</f>
        <v>0</v>
      </c>
      <c r="M456" s="1184" t="e">
        <f>VLOOKUP(C456,'Cash balance (BS)'!A:D,4,)</f>
        <v>#N/A</v>
      </c>
      <c r="N456" s="1095" t="e">
        <f>Table11[[#This Row],[CLOSING BALANCE (VND)2]]-Table11[[#This Row],[CB_BS (VND)]]</f>
        <v>#N/A</v>
      </c>
      <c r="O456" s="1094">
        <v>0</v>
      </c>
      <c r="P456" s="1095">
        <f t="shared" ref="P456:P516" si="45">O456-Q456</f>
        <v>0</v>
      </c>
      <c r="Q456" s="817">
        <f>SUMIFS('Cash balance (Prior period)'!G:G,'Cash balance (Prior period)'!C:C,Table11[[#This Row],[ACCOUNT NUMBER]],'Cash balance (Prior period)'!E:E,Table11[[#This Row],[CURRENCY]])</f>
        <v>0</v>
      </c>
      <c r="R456" s="817">
        <f>SUMIFS(Movement!$F$4:$F$2136,Movement!$M$4:$M$2136,"USD",Movement!$C$4:$C$2136,Table11[[#This Row],[ACCOUNT NUMBER]],Movement!$J$4:$J$2136,Table11[[#This Row],[ENTITY]],Movement!$O$4:$O$2136,'Cash Balance'!$A$2)</f>
        <v>0</v>
      </c>
      <c r="S456" s="817">
        <f>SUMIFS(Movement!$G$4:$G$2136,Movement!$M$4:$M$2136,"USD",Movement!$C$4:$C$2136,Table11[[#This Row],[ACCOUNT NUMBER]],Movement!$J$4:$J$2136,Table11[[#This Row],[ENTITY]],Movement!$O$4:$O$2136,'Cash Balance'!$A$2)</f>
        <v>0</v>
      </c>
      <c r="T456" s="1087">
        <f t="shared" ref="T456:T516" si="46">Q456+R456-S456</f>
        <v>0</v>
      </c>
      <c r="U456" s="817"/>
      <c r="V456" s="817">
        <f>Table11[[#This Row],[CLOSING BALANCE (USD)]]-Table11[[#This Row],[CB_BS (USD)]]</f>
        <v>0</v>
      </c>
      <c r="W456" s="1156" t="str">
        <f>VLOOKUP('Cash Balance'!$C456,Table2[#All],MATCH('Cash Balance'!W$3,Acc_Char!$B$1:$I$1,0),0)</f>
        <v>BWID JSC</v>
      </c>
      <c r="X456" s="1156" t="str">
        <f>VLOOKUP(IFERROR(MID($Y456,1,FIND("-",$Y456)-2),$Y456),Table3[#All],2,0)</f>
        <v>BIDV</v>
      </c>
      <c r="Y456" s="1156" t="str">
        <f>VLOOKUP($B456,Table4[#All],2,0)</f>
        <v>BIDV - THANH XUAN</v>
      </c>
      <c r="Z456" s="1151"/>
      <c r="AA456" s="49"/>
    </row>
    <row r="457" spans="1:27">
      <c r="A457" s="1153" t="str">
        <f>VLOOKUP('Cash Balance'!$C457,Table2[#All],MATCH('Cash Balance'!A$3,Acc_Char!$B$1:$I$1,0),0)</f>
        <v>TAY NAM A</v>
      </c>
      <c r="B457" s="1154" t="str">
        <f>VLOOKUP('Cash Balance'!$C457,Table2[#All],MATCH('Cash Balance'!B$3,Acc_Char!$B$1:$I$1,0),0)</f>
        <v>KBank - HCM</v>
      </c>
      <c r="C457" s="1190" t="s">
        <v>1070</v>
      </c>
      <c r="D457" s="1156" t="str">
        <f>VLOOKUP('Cash Balance'!$C457,Table2[#All],MATCH('Cash Balance'!D$3,Acc_Char!$B$1:$I$1,0),0)</f>
        <v>Current Account</v>
      </c>
      <c r="E457" s="384" t="str">
        <f>VLOOKUP('Cash Balance'!$C457,Table2[#All],MATCH('Cash Balance'!E$3,Acc_Char!$B$1:$I$1,0),0)</f>
        <v>VND</v>
      </c>
      <c r="F457" s="1094" t="e">
        <f>VLOOKUP(C457,'Cash balance (BS)'!A:C,3,)</f>
        <v>#N/A</v>
      </c>
      <c r="G457" s="1191" t="e">
        <f t="shared" si="43"/>
        <v>#N/A</v>
      </c>
      <c r="H457" s="1318">
        <f>SUMIFS('Cash balance (Prior period)'!F:F,'Cash balance (Prior period)'!C:C,Table11[[#This Row],[ACCOUNT NUMBER]],'Cash balance (Prior period)'!E:E,Table11[[#This Row],[CURRENCY]])</f>
        <v>613316099</v>
      </c>
      <c r="I457" s="1318">
        <f>SUMIFS(Movement!$F$4:$F$2136,Movement!$M$4:$M$2136,"VND",Movement!$C$4:$C$2136,Table11[[#This Row],[ACCOUNT NUMBER]],Movement!$J$4:$J$2136,Table11[[#This Row],[ENTITY]],Movement!$O$4:$O$2136,'Cash Balance'!$A$2)</f>
        <v>0</v>
      </c>
      <c r="J457" s="1318">
        <f>SUMIFS(Movement!$G$4:$G$2136,Movement!$M$4:$M$2136,"VND",Movement!$C$4:$C$2136,Table11[[#This Row],[ACCOUNT NUMBER]],Movement!$J$4:$J$2136,Table11[[#This Row],[ENTITY]],Movement!$O$4:$O$2136,'Cash Balance'!$A$2)</f>
        <v>33000</v>
      </c>
      <c r="K457" s="1084">
        <f>Table11[[#This Row],[CASH IN - CREDIT (VND)]]-Table11[[#This Row],[CASH OUT - DEBIT (VND)]]</f>
        <v>-33000</v>
      </c>
      <c r="L457" s="1095">
        <f t="shared" si="44"/>
        <v>613283099</v>
      </c>
      <c r="M457" s="1184" t="e">
        <f>VLOOKUP(C457,'Cash balance (BS)'!A:D,4,)</f>
        <v>#N/A</v>
      </c>
      <c r="N457" s="1095" t="e">
        <f>Table11[[#This Row],[CLOSING BALANCE (VND)2]]-Table11[[#This Row],[CB_BS (VND)]]</f>
        <v>#N/A</v>
      </c>
      <c r="O457" s="1094">
        <v>0</v>
      </c>
      <c r="P457" s="1095">
        <f t="shared" si="45"/>
        <v>0</v>
      </c>
      <c r="Q457" s="817">
        <f>SUMIFS('Cash balance (Prior period)'!G:G,'Cash balance (Prior period)'!C:C,Table11[[#This Row],[ACCOUNT NUMBER]],'Cash balance (Prior period)'!E:E,Table11[[#This Row],[CURRENCY]])</f>
        <v>0</v>
      </c>
      <c r="R457" s="817">
        <f>SUMIFS(Movement!$F$4:$F$2136,Movement!$M$4:$M$2136,"USD",Movement!$C$4:$C$2136,Table11[[#This Row],[ACCOUNT NUMBER]],Movement!$J$4:$J$2136,Table11[[#This Row],[ENTITY]],Movement!$O$4:$O$2136,'Cash Balance'!$A$2)</f>
        <v>0</v>
      </c>
      <c r="S457" s="817">
        <f>SUMIFS(Movement!$G$4:$G$2136,Movement!$M$4:$M$2136,"USD",Movement!$C$4:$C$2136,Table11[[#This Row],[ACCOUNT NUMBER]],Movement!$J$4:$J$2136,Table11[[#This Row],[ENTITY]],Movement!$O$4:$O$2136,'Cash Balance'!$A$2)</f>
        <v>0</v>
      </c>
      <c r="T457" s="1087">
        <f t="shared" si="46"/>
        <v>0</v>
      </c>
      <c r="U457" s="817"/>
      <c r="V457" s="817">
        <f>Table11[[#This Row],[CLOSING BALANCE (USD)]]-Table11[[#This Row],[CB_BS (USD)]]</f>
        <v>0</v>
      </c>
      <c r="W457" s="1156" t="str">
        <f>VLOOKUP('Cash Balance'!$C457,Table2[#All],MATCH('Cash Balance'!W$3,Acc_Char!$B$1:$I$1,0),0)</f>
        <v>Subsidiaries</v>
      </c>
      <c r="X457" s="1156" t="str">
        <f>VLOOKUP(IFERROR(MID($Y457,1,FIND("-",$Y457)-2),$Y457),Table3[#All],2,0)</f>
        <v>Others</v>
      </c>
      <c r="Y457" s="1156" t="str">
        <f>VLOOKUP($B457,Table4[#All],2,0)</f>
        <v>OTHERS</v>
      </c>
      <c r="Z457" s="1151"/>
      <c r="AA457" s="49"/>
    </row>
    <row r="458" spans="1:27">
      <c r="A458" s="1153" t="str">
        <f>VLOOKUP('Cash Balance'!$C458,Table2[#All],MATCH('Cash Balance'!A$3,Acc_Char!$B$1:$I$1,0),0)</f>
        <v>BWID BINH DUONG</v>
      </c>
      <c r="B458" s="1154" t="str">
        <f>VLOOKUP('Cash Balance'!$C458,Table2[#All],MATCH('Cash Balance'!B$3,Acc_Char!$B$1:$I$1,0),0)</f>
        <v>VIETINBANK - BINH DUONG</v>
      </c>
      <c r="C458" s="1190" t="s">
        <v>1071</v>
      </c>
      <c r="D458" s="1156" t="str">
        <f>VLOOKUP('Cash Balance'!$C458,Table2[#All],MATCH('Cash Balance'!D$3,Acc_Char!$B$1:$I$1,0),0)</f>
        <v>Saving Account</v>
      </c>
      <c r="E458" s="384" t="str">
        <f>VLOOKUP('Cash Balance'!$C458,Table2[#All],MATCH('Cash Balance'!E$3,Acc_Char!$B$1:$I$1,0),0)</f>
        <v>VND</v>
      </c>
      <c r="F458" s="1094" t="e">
        <f>VLOOKUP(C458,'Cash balance (BS)'!A:C,3,)</f>
        <v>#N/A</v>
      </c>
      <c r="G458" s="1191" t="e">
        <f t="shared" si="43"/>
        <v>#N/A</v>
      </c>
      <c r="H458" s="1318">
        <f>SUMIFS('Cash balance (Prior period)'!F:F,'Cash balance (Prior period)'!C:C,Table11[[#This Row],[ACCOUNT NUMBER]],'Cash balance (Prior period)'!E:E,Table11[[#This Row],[CURRENCY]])</f>
        <v>0</v>
      </c>
      <c r="I458" s="1318">
        <f>SUMIFS(Movement!$F$4:$F$2136,Movement!$M$4:$M$2136,"VND",Movement!$C$4:$C$2136,Table11[[#This Row],[ACCOUNT NUMBER]],Movement!$J$4:$J$2136,Table11[[#This Row],[ENTITY]],Movement!$O$4:$O$2136,'Cash Balance'!$A$2)</f>
        <v>0</v>
      </c>
      <c r="J458" s="1318">
        <f>SUMIFS(Movement!$G$4:$G$2136,Movement!$M$4:$M$2136,"VND",Movement!$C$4:$C$2136,Table11[[#This Row],[ACCOUNT NUMBER]],Movement!$J$4:$J$2136,Table11[[#This Row],[ENTITY]],Movement!$O$4:$O$2136,'Cash Balance'!$A$2)</f>
        <v>0</v>
      </c>
      <c r="K458" s="1084">
        <f>Table11[[#This Row],[CASH IN - CREDIT (VND)]]-Table11[[#This Row],[CASH OUT - DEBIT (VND)]]</f>
        <v>0</v>
      </c>
      <c r="L458" s="1095">
        <f t="shared" si="44"/>
        <v>0</v>
      </c>
      <c r="M458" s="1184" t="e">
        <f>VLOOKUP(C458,'Cash balance (BS)'!A:D,4,)</f>
        <v>#N/A</v>
      </c>
      <c r="N458" s="1095" t="e">
        <f>Table11[[#This Row],[CLOSING BALANCE (VND)2]]-Table11[[#This Row],[CB_BS (VND)]]</f>
        <v>#N/A</v>
      </c>
      <c r="O458" s="1094">
        <v>0</v>
      </c>
      <c r="P458" s="1095">
        <f t="shared" si="45"/>
        <v>0</v>
      </c>
      <c r="Q458" s="817">
        <f>SUMIFS('Cash balance (Prior period)'!G:G,'Cash balance (Prior period)'!C:C,Table11[[#This Row],[ACCOUNT NUMBER]],'Cash balance (Prior period)'!E:E,Table11[[#This Row],[CURRENCY]])</f>
        <v>0</v>
      </c>
      <c r="R458" s="817">
        <f>SUMIFS(Movement!$F$4:$F$2136,Movement!$M$4:$M$2136,"USD",Movement!$C$4:$C$2136,Table11[[#This Row],[ACCOUNT NUMBER]],Movement!$J$4:$J$2136,Table11[[#This Row],[ENTITY]],Movement!$O$4:$O$2136,'Cash Balance'!$A$2)</f>
        <v>0</v>
      </c>
      <c r="S458" s="817">
        <f>SUMIFS(Movement!$G$4:$G$2136,Movement!$M$4:$M$2136,"USD",Movement!$C$4:$C$2136,Table11[[#This Row],[ACCOUNT NUMBER]],Movement!$J$4:$J$2136,Table11[[#This Row],[ENTITY]],Movement!$O$4:$O$2136,'Cash Balance'!$A$2)</f>
        <v>0</v>
      </c>
      <c r="T458" s="1087">
        <f t="shared" si="46"/>
        <v>0</v>
      </c>
      <c r="U458" s="817"/>
      <c r="V458" s="817">
        <f>Table11[[#This Row],[CLOSING BALANCE (USD)]]-Table11[[#This Row],[CB_BS (USD)]]</f>
        <v>0</v>
      </c>
      <c r="W458" s="1156" t="str">
        <f>VLOOKUP('Cash Balance'!$C458,Table2[#All],MATCH('Cash Balance'!W$3,Acc_Char!$B$1:$I$1,0),0)</f>
        <v>BWID JSC</v>
      </c>
      <c r="X458" s="1156" t="str">
        <f>VLOOKUP(IFERROR(MID($Y458,1,FIND("-",$Y458)-2),$Y458),Table3[#All],2,0)</f>
        <v>VTB</v>
      </c>
      <c r="Y458" s="1156" t="str">
        <f>VLOOKUP($B458,Table4[#All],2,0)</f>
        <v>VIETINBANK - BINH DUONG + QM</v>
      </c>
      <c r="Z458" s="1151"/>
      <c r="AA458" s="49"/>
    </row>
    <row r="459" spans="1:27">
      <c r="A459" s="1153" t="str">
        <f>VLOOKUP('Cash Balance'!$C459,Table2[#All],MATCH('Cash Balance'!A$3,Acc_Char!$B$1:$I$1,0),0)</f>
        <v>BW MY PHUOC 3</v>
      </c>
      <c r="B459" s="1154" t="str">
        <f>VLOOKUP('Cash Balance'!$C459,Table2[#All],MATCH('Cash Balance'!B$3,Acc_Char!$B$1:$I$1,0),0)</f>
        <v>VIETINBANK - BINH DUONG</v>
      </c>
      <c r="C459" s="1190" t="s">
        <v>1072</v>
      </c>
      <c r="D459" s="1156" t="str">
        <f>VLOOKUP('Cash Balance'!$C459,Table2[#All],MATCH('Cash Balance'!D$3,Acc_Char!$B$1:$I$1,0),0)</f>
        <v>Saving Account</v>
      </c>
      <c r="E459" s="384" t="str">
        <f>VLOOKUP('Cash Balance'!$C459,Table2[#All],MATCH('Cash Balance'!E$3,Acc_Char!$B$1:$I$1,0),0)</f>
        <v>VND</v>
      </c>
      <c r="F459" s="1094" t="e">
        <f>VLOOKUP(C459,'Cash balance (BS)'!A:C,3,)</f>
        <v>#N/A</v>
      </c>
      <c r="G459" s="1191" t="e">
        <f t="shared" si="43"/>
        <v>#N/A</v>
      </c>
      <c r="H459" s="1318">
        <f>SUMIFS('Cash balance (Prior period)'!F:F,'Cash balance (Prior period)'!C:C,Table11[[#This Row],[ACCOUNT NUMBER]],'Cash balance (Prior period)'!E:E,Table11[[#This Row],[CURRENCY]])</f>
        <v>0</v>
      </c>
      <c r="I459" s="1318">
        <f>SUMIFS(Movement!$F$4:$F$2136,Movement!$M$4:$M$2136,"VND",Movement!$C$4:$C$2136,Table11[[#This Row],[ACCOUNT NUMBER]],Movement!$J$4:$J$2136,Table11[[#This Row],[ENTITY]],Movement!$O$4:$O$2136,'Cash Balance'!$A$2)</f>
        <v>0</v>
      </c>
      <c r="J459" s="1318">
        <f>SUMIFS(Movement!$G$4:$G$2136,Movement!$M$4:$M$2136,"VND",Movement!$C$4:$C$2136,Table11[[#This Row],[ACCOUNT NUMBER]],Movement!$J$4:$J$2136,Table11[[#This Row],[ENTITY]],Movement!$O$4:$O$2136,'Cash Balance'!$A$2)</f>
        <v>0</v>
      </c>
      <c r="K459" s="1084">
        <f>Table11[[#This Row],[CASH IN - CREDIT (VND)]]-Table11[[#This Row],[CASH OUT - DEBIT (VND)]]</f>
        <v>0</v>
      </c>
      <c r="L459" s="1095">
        <f t="shared" si="44"/>
        <v>0</v>
      </c>
      <c r="M459" s="1184" t="e">
        <f>VLOOKUP(C459,'Cash balance (BS)'!A:D,4,)</f>
        <v>#N/A</v>
      </c>
      <c r="N459" s="1095" t="e">
        <f>Table11[[#This Row],[CLOSING BALANCE (VND)2]]-Table11[[#This Row],[CB_BS (VND)]]</f>
        <v>#N/A</v>
      </c>
      <c r="O459" s="1094">
        <v>0</v>
      </c>
      <c r="P459" s="1095">
        <f t="shared" si="45"/>
        <v>0</v>
      </c>
      <c r="Q459" s="817">
        <f>SUMIFS('Cash balance (Prior period)'!G:G,'Cash balance (Prior period)'!C:C,Table11[[#This Row],[ACCOUNT NUMBER]],'Cash balance (Prior period)'!E:E,Table11[[#This Row],[CURRENCY]])</f>
        <v>0</v>
      </c>
      <c r="R459" s="817">
        <f>SUMIFS(Movement!$F$4:$F$2136,Movement!$M$4:$M$2136,"USD",Movement!$C$4:$C$2136,Table11[[#This Row],[ACCOUNT NUMBER]],Movement!$J$4:$J$2136,Table11[[#This Row],[ENTITY]],Movement!$O$4:$O$2136,'Cash Balance'!$A$2)</f>
        <v>0</v>
      </c>
      <c r="S459" s="817">
        <f>SUMIFS(Movement!$G$4:$G$2136,Movement!$M$4:$M$2136,"USD",Movement!$C$4:$C$2136,Table11[[#This Row],[ACCOUNT NUMBER]],Movement!$J$4:$J$2136,Table11[[#This Row],[ENTITY]],Movement!$O$4:$O$2136,'Cash Balance'!$A$2)</f>
        <v>0</v>
      </c>
      <c r="T459" s="1087">
        <f t="shared" si="46"/>
        <v>0</v>
      </c>
      <c r="U459" s="817"/>
      <c r="V459" s="817">
        <f>Table11[[#This Row],[CLOSING BALANCE (USD)]]-Table11[[#This Row],[CB_BS (USD)]]</f>
        <v>0</v>
      </c>
      <c r="W459" s="1156" t="str">
        <f>VLOOKUP('Cash Balance'!$C459,Table2[#All],MATCH('Cash Balance'!W$3,Acc_Char!$B$1:$I$1,0),0)</f>
        <v>Subsidiaries</v>
      </c>
      <c r="X459" s="1156" t="str">
        <f>VLOOKUP(IFERROR(MID($Y459,1,FIND("-",$Y459)-2),$Y459),Table3[#All],2,0)</f>
        <v>VTB</v>
      </c>
      <c r="Y459" s="1156" t="str">
        <f>VLOOKUP($B459,Table4[#All],2,0)</f>
        <v>VIETINBANK - BINH DUONG + QM</v>
      </c>
      <c r="Z459" s="1151"/>
      <c r="AA459" s="49"/>
    </row>
    <row r="460" spans="1:27">
      <c r="A460" s="1153" t="str">
        <f>VLOOKUP('Cash Balance'!$C460,Table2[#All],MATCH('Cash Balance'!A$3,Acc_Char!$B$1:$I$1,0),0)</f>
        <v>NDV PROJECT CO</v>
      </c>
      <c r="B460" s="1154" t="str">
        <f>VLOOKUP('Cash Balance'!$C460,Table2[#All],MATCH('Cash Balance'!B$3,Acc_Char!$B$1:$I$1,0),0)</f>
        <v>BIDV - THANH XUAN</v>
      </c>
      <c r="C460" s="1190" t="s">
        <v>1073</v>
      </c>
      <c r="D460" s="1156" t="str">
        <f>VLOOKUP('Cash Balance'!$C460,Table2[#All],MATCH('Cash Balance'!D$3,Acc_Char!$B$1:$I$1,0),0)</f>
        <v>Saving Account</v>
      </c>
      <c r="E460" s="384" t="str">
        <f>VLOOKUP('Cash Balance'!$C460,Table2[#All],MATCH('Cash Balance'!E$3,Acc_Char!$B$1:$I$1,0),0)</f>
        <v>VND</v>
      </c>
      <c r="F460" s="1094" t="e">
        <f>VLOOKUP(C460,'Cash balance (BS)'!A:C,3,)</f>
        <v>#N/A</v>
      </c>
      <c r="G460" s="1191" t="e">
        <f t="shared" si="43"/>
        <v>#N/A</v>
      </c>
      <c r="H460" s="1318">
        <f>SUMIFS('Cash balance (Prior period)'!F:F,'Cash balance (Prior period)'!C:C,Table11[[#This Row],[ACCOUNT NUMBER]],'Cash balance (Prior period)'!E:E,Table11[[#This Row],[CURRENCY]])</f>
        <v>4815000000</v>
      </c>
      <c r="I460" s="1318">
        <f>SUMIFS(Movement!$F$4:$F$2136,Movement!$M$4:$M$2136,"VND",Movement!$C$4:$C$2136,Table11[[#This Row],[ACCOUNT NUMBER]],Movement!$J$4:$J$2136,Table11[[#This Row],[ENTITY]],Movement!$O$4:$O$2136,'Cash Balance'!$A$2)</f>
        <v>0</v>
      </c>
      <c r="J460" s="1318">
        <f>SUMIFS(Movement!$G$4:$G$2136,Movement!$M$4:$M$2136,"VND",Movement!$C$4:$C$2136,Table11[[#This Row],[ACCOUNT NUMBER]],Movement!$J$4:$J$2136,Table11[[#This Row],[ENTITY]],Movement!$O$4:$O$2136,'Cash Balance'!$A$2)</f>
        <v>0</v>
      </c>
      <c r="K460" s="1084">
        <f>Table11[[#This Row],[CASH IN - CREDIT (VND)]]-Table11[[#This Row],[CASH OUT - DEBIT (VND)]]</f>
        <v>0</v>
      </c>
      <c r="L460" s="1095">
        <f t="shared" si="44"/>
        <v>4815000000</v>
      </c>
      <c r="M460" s="1184" t="e">
        <f>VLOOKUP(C460,'Cash balance (BS)'!A:D,4,)</f>
        <v>#N/A</v>
      </c>
      <c r="N460" s="1095" t="e">
        <f>Table11[[#This Row],[CLOSING BALANCE (VND)2]]-Table11[[#This Row],[CB_BS (VND)]]</f>
        <v>#N/A</v>
      </c>
      <c r="O460" s="1094">
        <v>0</v>
      </c>
      <c r="P460" s="1095">
        <f t="shared" si="45"/>
        <v>0</v>
      </c>
      <c r="Q460" s="817">
        <f>SUMIFS('Cash balance (Prior period)'!G:G,'Cash balance (Prior period)'!C:C,Table11[[#This Row],[ACCOUNT NUMBER]],'Cash balance (Prior period)'!E:E,Table11[[#This Row],[CURRENCY]])</f>
        <v>0</v>
      </c>
      <c r="R460" s="817">
        <f>SUMIFS(Movement!$F$4:$F$2136,Movement!$M$4:$M$2136,"USD",Movement!$C$4:$C$2136,Table11[[#This Row],[ACCOUNT NUMBER]],Movement!$J$4:$J$2136,Table11[[#This Row],[ENTITY]],Movement!$O$4:$O$2136,'Cash Balance'!$A$2)</f>
        <v>0</v>
      </c>
      <c r="S460" s="817">
        <f>SUMIFS(Movement!$G$4:$G$2136,Movement!$M$4:$M$2136,"USD",Movement!$C$4:$C$2136,Table11[[#This Row],[ACCOUNT NUMBER]],Movement!$J$4:$J$2136,Table11[[#This Row],[ENTITY]],Movement!$O$4:$O$2136,'Cash Balance'!$A$2)</f>
        <v>0</v>
      </c>
      <c r="T460" s="1087">
        <f t="shared" si="46"/>
        <v>0</v>
      </c>
      <c r="U460" s="817"/>
      <c r="V460" s="817">
        <f>Table11[[#This Row],[CLOSING BALANCE (USD)]]-Table11[[#This Row],[CB_BS (USD)]]</f>
        <v>0</v>
      </c>
      <c r="W460" s="1156" t="str">
        <f>VLOOKUP('Cash Balance'!$C460,Table2[#All],MATCH('Cash Balance'!W$3,Acc_Char!$B$1:$I$1,0),0)</f>
        <v>Subsidiaries</v>
      </c>
      <c r="X460" s="1156" t="str">
        <f>VLOOKUP(IFERROR(MID($Y460,1,FIND("-",$Y460)-2),$Y460),Table3[#All],2,0)</f>
        <v>BIDV</v>
      </c>
      <c r="Y460" s="1156" t="str">
        <f>VLOOKUP($B460,Table4[#All],2,0)</f>
        <v>BIDV - THANH XUAN</v>
      </c>
      <c r="Z460" s="1151"/>
      <c r="AA460" s="49"/>
    </row>
    <row r="461" spans="1:27">
      <c r="A461" s="1153" t="str">
        <f>VLOOKUP('Cash Balance'!$C461,Table2[#All],MATCH('Cash Balance'!A$3,Acc_Char!$B$1:$I$1,0),0)</f>
        <v>THUAN THANH 3B</v>
      </c>
      <c r="B461" s="1154" t="str">
        <f>VLOOKUP('Cash Balance'!$C461,Table2[#All],MATCH('Cash Balance'!B$3,Acc_Char!$B$1:$I$1,0),0)</f>
        <v>VIETCOMBANK - BA DINH</v>
      </c>
      <c r="C461" s="1190" t="s">
        <v>1074</v>
      </c>
      <c r="D461" s="1156" t="str">
        <f>VLOOKUP('Cash Balance'!$C461,Table2[#All],MATCH('Cash Balance'!D$3,Acc_Char!$B$1:$I$1,0),0)</f>
        <v>Saving Account</v>
      </c>
      <c r="E461" s="384" t="str">
        <f>VLOOKUP('Cash Balance'!$C461,Table2[#All],MATCH('Cash Balance'!E$3,Acc_Char!$B$1:$I$1,0),0)</f>
        <v>VND</v>
      </c>
      <c r="F461" s="1094" t="e">
        <f>VLOOKUP(C461,'Cash balance (BS)'!A:C,3,)</f>
        <v>#N/A</v>
      </c>
      <c r="G461" s="1191" t="e">
        <f t="shared" si="43"/>
        <v>#N/A</v>
      </c>
      <c r="H461" s="1318">
        <f>SUMIFS('Cash balance (Prior period)'!F:F,'Cash balance (Prior period)'!C:C,Table11[[#This Row],[ACCOUNT NUMBER]],'Cash balance (Prior period)'!E:E,Table11[[#This Row],[CURRENCY]])</f>
        <v>4000000000</v>
      </c>
      <c r="I461" s="1318">
        <f>SUMIFS(Movement!$F$4:$F$2136,Movement!$M$4:$M$2136,"VND",Movement!$C$4:$C$2136,Table11[[#This Row],[ACCOUNT NUMBER]],Movement!$J$4:$J$2136,Table11[[#This Row],[ENTITY]],Movement!$O$4:$O$2136,'Cash Balance'!$A$2)</f>
        <v>0</v>
      </c>
      <c r="J461" s="1318">
        <f>SUMIFS(Movement!$G$4:$G$2136,Movement!$M$4:$M$2136,"VND",Movement!$C$4:$C$2136,Table11[[#This Row],[ACCOUNT NUMBER]],Movement!$J$4:$J$2136,Table11[[#This Row],[ENTITY]],Movement!$O$4:$O$2136,'Cash Balance'!$A$2)</f>
        <v>0</v>
      </c>
      <c r="K461" s="1084">
        <f>Table11[[#This Row],[CASH IN - CREDIT (VND)]]-Table11[[#This Row],[CASH OUT - DEBIT (VND)]]</f>
        <v>0</v>
      </c>
      <c r="L461" s="1095">
        <f t="shared" si="44"/>
        <v>4000000000</v>
      </c>
      <c r="M461" s="1184" t="e">
        <f>VLOOKUP(C461,'Cash balance (BS)'!A:D,4,)</f>
        <v>#N/A</v>
      </c>
      <c r="N461" s="1095" t="e">
        <f>Table11[[#This Row],[CLOSING BALANCE (VND)2]]-Table11[[#This Row],[CB_BS (VND)]]</f>
        <v>#N/A</v>
      </c>
      <c r="O461" s="1094">
        <v>0</v>
      </c>
      <c r="P461" s="1095">
        <f t="shared" si="45"/>
        <v>0</v>
      </c>
      <c r="Q461" s="817">
        <f>SUMIFS('Cash balance (Prior period)'!G:G,'Cash balance (Prior period)'!C:C,Table11[[#This Row],[ACCOUNT NUMBER]],'Cash balance (Prior period)'!E:E,Table11[[#This Row],[CURRENCY]])</f>
        <v>0</v>
      </c>
      <c r="R461" s="817">
        <f>SUMIFS(Movement!$F$4:$F$2136,Movement!$M$4:$M$2136,"USD",Movement!$C$4:$C$2136,Table11[[#This Row],[ACCOUNT NUMBER]],Movement!$J$4:$J$2136,Table11[[#This Row],[ENTITY]],Movement!$O$4:$O$2136,'Cash Balance'!$A$2)</f>
        <v>0</v>
      </c>
      <c r="S461" s="817">
        <f>SUMIFS(Movement!$G$4:$G$2136,Movement!$M$4:$M$2136,"USD",Movement!$C$4:$C$2136,Table11[[#This Row],[ACCOUNT NUMBER]],Movement!$J$4:$J$2136,Table11[[#This Row],[ENTITY]],Movement!$O$4:$O$2136,'Cash Balance'!$A$2)</f>
        <v>0</v>
      </c>
      <c r="T461" s="1087">
        <f t="shared" si="46"/>
        <v>0</v>
      </c>
      <c r="U461" s="817"/>
      <c r="V461" s="817">
        <f>Table11[[#This Row],[CLOSING BALANCE (USD)]]-Table11[[#This Row],[CB_BS (USD)]]</f>
        <v>0</v>
      </c>
      <c r="W461" s="1156" t="str">
        <f>VLOOKUP('Cash Balance'!$C461,Table2[#All],MATCH('Cash Balance'!W$3,Acc_Char!$B$1:$I$1,0),0)</f>
        <v>Subsidiaries</v>
      </c>
      <c r="X461" s="1156" t="str">
        <f>VLOOKUP(IFERROR(MID($Y461,1,FIND("-",$Y461)-2),$Y461),Table3[#All],2,0)</f>
        <v>VCB</v>
      </c>
      <c r="Y461" s="1156" t="str">
        <f>VLOOKUP($B461,Table4[#All],2,0)</f>
        <v>VIETCOMBANK - BA DINH</v>
      </c>
      <c r="Z461" s="1151"/>
      <c r="AA461" s="49"/>
    </row>
    <row r="462" spans="1:27">
      <c r="A462" s="1153" t="str">
        <f>VLOOKUP('Cash Balance'!$C462,Table2[#All],MATCH('Cash Balance'!A$3,Acc_Char!$B$1:$I$1,0),0)</f>
        <v>PHUC DIEN</v>
      </c>
      <c r="B462" s="1154" t="str">
        <f>VLOOKUP('Cash Balance'!$C462,Table2[#All],MATCH('Cash Balance'!B$3,Acc_Char!$B$1:$I$1,0),0)</f>
        <v>VIETCOMBANK - BA DINH</v>
      </c>
      <c r="C462" s="1190" t="s">
        <v>1075</v>
      </c>
      <c r="D462" s="1156" t="str">
        <f>VLOOKUP('Cash Balance'!$C462,Table2[#All],MATCH('Cash Balance'!D$3,Acc_Char!$B$1:$I$1,0),0)</f>
        <v>Current Account</v>
      </c>
      <c r="E462" s="384" t="str">
        <f>VLOOKUP('Cash Balance'!$C462,Table2[#All],MATCH('Cash Balance'!E$3,Acc_Char!$B$1:$I$1,0),0)</f>
        <v>VND</v>
      </c>
      <c r="F462" s="1094" t="e">
        <f>VLOOKUP(C462,'Cash balance (BS)'!A:C,3,)</f>
        <v>#N/A</v>
      </c>
      <c r="G462" s="1157" t="e">
        <f t="shared" si="43"/>
        <v>#N/A</v>
      </c>
      <c r="H462" s="1318">
        <f>SUMIFS('Cash balance (Prior period)'!F:F,'Cash balance (Prior period)'!C:C,Table11[[#This Row],[ACCOUNT NUMBER]],'Cash balance (Prior period)'!E:E,Table11[[#This Row],[CURRENCY]])</f>
        <v>152987868</v>
      </c>
      <c r="I462" s="1318">
        <f>SUMIFS(Movement!$F$4:$F$2136,Movement!$M$4:$M$2136,"VND",Movement!$C$4:$C$2136,Table11[[#This Row],[ACCOUNT NUMBER]],Movement!$J$4:$J$2136,Table11[[#This Row],[ENTITY]],Movement!$O$4:$O$2136,'Cash Balance'!$A$2)</f>
        <v>0</v>
      </c>
      <c r="J462" s="1318">
        <f>SUMIFS(Movement!$G$4:$G$2136,Movement!$M$4:$M$2136,"VND",Movement!$C$4:$C$2136,Table11[[#This Row],[ACCOUNT NUMBER]],Movement!$J$4:$J$2136,Table11[[#This Row],[ENTITY]],Movement!$O$4:$O$2136,'Cash Balance'!$A$2)</f>
        <v>100020900</v>
      </c>
      <c r="K462" s="1084">
        <f>Table11[[#This Row],[CASH IN - CREDIT (VND)]]-Table11[[#This Row],[CASH OUT - DEBIT (VND)]]</f>
        <v>-100020900</v>
      </c>
      <c r="L462" s="1095">
        <f t="shared" si="44"/>
        <v>52966968</v>
      </c>
      <c r="M462" s="1184" t="e">
        <f>VLOOKUP(C462,'Cash balance (BS)'!A:D,4,)</f>
        <v>#N/A</v>
      </c>
      <c r="N462" s="1095" t="e">
        <f>Table11[[#This Row],[CLOSING BALANCE (VND)2]]-Table11[[#This Row],[CB_BS (VND)]]</f>
        <v>#N/A</v>
      </c>
      <c r="O462" s="1094">
        <v>0</v>
      </c>
      <c r="P462" s="1095">
        <f t="shared" si="45"/>
        <v>0</v>
      </c>
      <c r="Q462" s="817">
        <f>SUMIFS('Cash balance (Prior period)'!G:G,'Cash balance (Prior period)'!C:C,Table11[[#This Row],[ACCOUNT NUMBER]],'Cash balance (Prior period)'!E:E,Table11[[#This Row],[CURRENCY]])</f>
        <v>0</v>
      </c>
      <c r="R462" s="817">
        <f>SUMIFS(Movement!$F$4:$F$2136,Movement!$M$4:$M$2136,"USD",Movement!$C$4:$C$2136,Table11[[#This Row],[ACCOUNT NUMBER]],Movement!$J$4:$J$2136,Table11[[#This Row],[ENTITY]],Movement!$O$4:$O$2136,'Cash Balance'!$A$2)</f>
        <v>0</v>
      </c>
      <c r="S462" s="817">
        <f>SUMIFS(Movement!$G$4:$G$2136,Movement!$M$4:$M$2136,"USD",Movement!$C$4:$C$2136,Table11[[#This Row],[ACCOUNT NUMBER]],Movement!$J$4:$J$2136,Table11[[#This Row],[ENTITY]],Movement!$O$4:$O$2136,'Cash Balance'!$A$2)</f>
        <v>0</v>
      </c>
      <c r="T462" s="1087">
        <f t="shared" si="46"/>
        <v>0</v>
      </c>
      <c r="U462" s="817"/>
      <c r="V462" s="817">
        <f>Table11[[#This Row],[CLOSING BALANCE (USD)]]-Table11[[#This Row],[CB_BS (USD)]]</f>
        <v>0</v>
      </c>
      <c r="W462" s="1156" t="str">
        <f>VLOOKUP('Cash Balance'!$C462,Table2[#All],MATCH('Cash Balance'!W$3,Acc_Char!$B$1:$I$1,0),0)</f>
        <v>Subsidiaries</v>
      </c>
      <c r="X462" s="1156" t="str">
        <f>VLOOKUP(IFERROR(MID($Y462,1,FIND("-",$Y462)-2),$Y462),Table3[#All],2,0)</f>
        <v>VCB</v>
      </c>
      <c r="Y462" s="1156" t="str">
        <f>VLOOKUP($B462,Table4[#All],2,0)</f>
        <v>VIETCOMBANK - BA DINH</v>
      </c>
      <c r="Z462" s="1151"/>
      <c r="AA462" s="49"/>
    </row>
    <row r="463" spans="1:27">
      <c r="A463" s="1153" t="str">
        <f>VLOOKUP('Cash Balance'!$C463,Table2[#All],MATCH('Cash Balance'!A$3,Acc_Char!$B$1:$I$1,0),0)</f>
        <v>BW NAM HAI</v>
      </c>
      <c r="B463" s="1154" t="str">
        <f>VLOOKUP('Cash Balance'!$C463,Table2[#All],MATCH('Cash Balance'!B$3,Acc_Char!$B$1:$I$1,0),0)</f>
        <v>VIETCOMBANK - BA DINH</v>
      </c>
      <c r="C463" s="1190" t="s">
        <v>1076</v>
      </c>
      <c r="D463" s="1156" t="str">
        <f>VLOOKUP('Cash Balance'!$C463,Table2[#All],MATCH('Cash Balance'!D$3,Acc_Char!$B$1:$I$1,0),0)</f>
        <v>Current Account</v>
      </c>
      <c r="E463" s="384" t="str">
        <f>VLOOKUP('Cash Balance'!$C463,Table2[#All],MATCH('Cash Balance'!E$3,Acc_Char!$B$1:$I$1,0),0)</f>
        <v>VND</v>
      </c>
      <c r="F463" s="1094" t="e">
        <f>VLOOKUP(C463,'Cash balance (BS)'!A:C,3,)</f>
        <v>#N/A</v>
      </c>
      <c r="G463" s="1157" t="e">
        <f t="shared" si="43"/>
        <v>#N/A</v>
      </c>
      <c r="H463" s="1318">
        <f>SUMIFS('Cash balance (Prior period)'!F:F,'Cash balance (Prior period)'!C:C,Table11[[#This Row],[ACCOUNT NUMBER]],'Cash balance (Prior period)'!E:E,Table11[[#This Row],[CURRENCY]])</f>
        <v>1425684633</v>
      </c>
      <c r="I463" s="1318">
        <f>SUMIFS(Movement!$F$4:$F$2136,Movement!$M$4:$M$2136,"VND",Movement!$C$4:$C$2136,Table11[[#This Row],[ACCOUNT NUMBER]],Movement!$J$4:$J$2136,Table11[[#This Row],[ENTITY]],Movement!$O$4:$O$2136,'Cash Balance'!$A$2)</f>
        <v>3343360470</v>
      </c>
      <c r="J463" s="1318">
        <f>SUMIFS(Movement!$G$4:$G$2136,Movement!$M$4:$M$2136,"VND",Movement!$C$4:$C$2136,Table11[[#This Row],[ACCOUNT NUMBER]],Movement!$J$4:$J$2136,Table11[[#This Row],[ENTITY]],Movement!$O$4:$O$2136,'Cash Balance'!$A$2)</f>
        <v>107070413</v>
      </c>
      <c r="K463" s="1084">
        <f>Table11[[#This Row],[CASH IN - CREDIT (VND)]]-Table11[[#This Row],[CASH OUT - DEBIT (VND)]]</f>
        <v>3236290057</v>
      </c>
      <c r="L463" s="1095">
        <f t="shared" si="44"/>
        <v>4661974690</v>
      </c>
      <c r="M463" s="1184" t="e">
        <f>VLOOKUP(C463,'Cash balance (BS)'!A:D,4,)</f>
        <v>#N/A</v>
      </c>
      <c r="N463" s="1095" t="e">
        <f>Table11[[#This Row],[CLOSING BALANCE (VND)2]]-Table11[[#This Row],[CB_BS (VND)]]</f>
        <v>#N/A</v>
      </c>
      <c r="O463" s="1094">
        <v>0</v>
      </c>
      <c r="P463" s="1095">
        <f t="shared" si="45"/>
        <v>0</v>
      </c>
      <c r="Q463" s="817">
        <f>SUMIFS('Cash balance (Prior period)'!G:G,'Cash balance (Prior period)'!C:C,Table11[[#This Row],[ACCOUNT NUMBER]],'Cash balance (Prior period)'!E:E,Table11[[#This Row],[CURRENCY]])</f>
        <v>0</v>
      </c>
      <c r="R463" s="817">
        <f>SUMIFS(Movement!$F$4:$F$2136,Movement!$M$4:$M$2136,"USD",Movement!$C$4:$C$2136,Table11[[#This Row],[ACCOUNT NUMBER]],Movement!$J$4:$J$2136,Table11[[#This Row],[ENTITY]],Movement!$O$4:$O$2136,'Cash Balance'!$A$2)</f>
        <v>0</v>
      </c>
      <c r="S463" s="817">
        <f>SUMIFS(Movement!$G$4:$G$2136,Movement!$M$4:$M$2136,"USD",Movement!$C$4:$C$2136,Table11[[#This Row],[ACCOUNT NUMBER]],Movement!$J$4:$J$2136,Table11[[#This Row],[ENTITY]],Movement!$O$4:$O$2136,'Cash Balance'!$A$2)</f>
        <v>0</v>
      </c>
      <c r="T463" s="1087">
        <f t="shared" si="46"/>
        <v>0</v>
      </c>
      <c r="U463" s="817"/>
      <c r="V463" s="817">
        <f>Table11[[#This Row],[CLOSING BALANCE (USD)]]-Table11[[#This Row],[CB_BS (USD)]]</f>
        <v>0</v>
      </c>
      <c r="W463" s="1156" t="str">
        <f>VLOOKUP('Cash Balance'!$C463,Table2[#All],MATCH('Cash Balance'!W$3,Acc_Char!$B$1:$I$1,0),0)</f>
        <v>Subsidiaries</v>
      </c>
      <c r="X463" s="1156" t="str">
        <f>VLOOKUP(IFERROR(MID($Y463,1,FIND("-",$Y463)-2),$Y463),Table3[#All],2,0)</f>
        <v>VCB</v>
      </c>
      <c r="Y463" s="1156" t="str">
        <f>VLOOKUP($B463,Table4[#All],2,0)</f>
        <v>VIETCOMBANK - BA DINH</v>
      </c>
      <c r="Z463" s="1151"/>
      <c r="AA463" s="49"/>
    </row>
    <row r="464" spans="1:27">
      <c r="A464" s="1153" t="str">
        <f>VLOOKUP('Cash Balance'!$C464,Table2[#All],MATCH('Cash Balance'!A$3,Acc_Char!$B$1:$I$1,0),0)</f>
        <v>PHUOC LOI</v>
      </c>
      <c r="B464" s="1154" t="str">
        <f>VLOOKUP('Cash Balance'!$C464,Table2[#All],MATCH('Cash Balance'!B$3,Acc_Char!$B$1:$I$1,0),0)</f>
        <v>VIETINBANK - CN1</v>
      </c>
      <c r="C464" s="1190" t="s">
        <v>1077</v>
      </c>
      <c r="D464" s="1156" t="str">
        <f>VLOOKUP('Cash Balance'!$C464,Table2[#All],MATCH('Cash Balance'!D$3,Acc_Char!$B$1:$I$1,0),0)</f>
        <v>Current Account</v>
      </c>
      <c r="E464" s="384" t="str">
        <f>VLOOKUP('Cash Balance'!$C464,Table2[#All],MATCH('Cash Balance'!E$3,Acc_Char!$B$1:$I$1,0),0)</f>
        <v>VND</v>
      </c>
      <c r="F464" s="1094" t="e">
        <f>VLOOKUP(C464,'Cash balance (BS)'!A:C,3,)</f>
        <v>#N/A</v>
      </c>
      <c r="G464" s="1157" t="e">
        <f t="shared" si="43"/>
        <v>#N/A</v>
      </c>
      <c r="H464" s="1318">
        <f>SUMIFS('Cash balance (Prior period)'!F:F,'Cash balance (Prior period)'!C:C,Table11[[#This Row],[ACCOUNT NUMBER]],'Cash balance (Prior period)'!E:E,Table11[[#This Row],[CURRENCY]])</f>
        <v>14692418</v>
      </c>
      <c r="I464" s="1318">
        <f>SUMIFS(Movement!$F$4:$F$2136,Movement!$M$4:$M$2136,"VND",Movement!$C$4:$C$2136,Table11[[#This Row],[ACCOUNT NUMBER]],Movement!$J$4:$J$2136,Table11[[#This Row],[ENTITY]],Movement!$O$4:$O$2136,'Cash Balance'!$A$2)</f>
        <v>2268493</v>
      </c>
      <c r="J464" s="1318">
        <f>SUMIFS(Movement!$G$4:$G$2136,Movement!$M$4:$M$2136,"VND",Movement!$C$4:$C$2136,Table11[[#This Row],[ACCOUNT NUMBER]],Movement!$J$4:$J$2136,Table11[[#This Row],[ENTITY]],Movement!$O$4:$O$2136,'Cash Balance'!$A$2)</f>
        <v>0</v>
      </c>
      <c r="K464" s="1084">
        <f>Table11[[#This Row],[CASH IN - CREDIT (VND)]]-Table11[[#This Row],[CASH OUT - DEBIT (VND)]]</f>
        <v>2268493</v>
      </c>
      <c r="L464" s="1095">
        <f t="shared" si="44"/>
        <v>16960911</v>
      </c>
      <c r="M464" s="1184" t="e">
        <f>VLOOKUP(C464,'Cash balance (BS)'!A:D,4,)</f>
        <v>#N/A</v>
      </c>
      <c r="N464" s="1095" t="e">
        <f>Table11[[#This Row],[CLOSING BALANCE (VND)2]]-Table11[[#This Row],[CB_BS (VND)]]</f>
        <v>#N/A</v>
      </c>
      <c r="O464" s="1094">
        <v>0</v>
      </c>
      <c r="P464" s="1095">
        <f t="shared" si="45"/>
        <v>0</v>
      </c>
      <c r="Q464" s="817">
        <f>SUMIFS('Cash balance (Prior period)'!G:G,'Cash balance (Prior period)'!C:C,Table11[[#This Row],[ACCOUNT NUMBER]],'Cash balance (Prior period)'!E:E,Table11[[#This Row],[CURRENCY]])</f>
        <v>0</v>
      </c>
      <c r="R464" s="817">
        <f>SUMIFS(Movement!$F$4:$F$2136,Movement!$M$4:$M$2136,"USD",Movement!$C$4:$C$2136,Table11[[#This Row],[ACCOUNT NUMBER]],Movement!$J$4:$J$2136,Table11[[#This Row],[ENTITY]],Movement!$O$4:$O$2136,'Cash Balance'!$A$2)</f>
        <v>0</v>
      </c>
      <c r="S464" s="817">
        <f>SUMIFS(Movement!$G$4:$G$2136,Movement!$M$4:$M$2136,"USD",Movement!$C$4:$C$2136,Table11[[#This Row],[ACCOUNT NUMBER]],Movement!$J$4:$J$2136,Table11[[#This Row],[ENTITY]],Movement!$O$4:$O$2136,'Cash Balance'!$A$2)</f>
        <v>0</v>
      </c>
      <c r="T464" s="1087">
        <f t="shared" si="46"/>
        <v>0</v>
      </c>
      <c r="U464" s="817"/>
      <c r="V464" s="817">
        <f>Table11[[#This Row],[CLOSING BALANCE (USD)]]-Table11[[#This Row],[CB_BS (USD)]]</f>
        <v>0</v>
      </c>
      <c r="W464" s="1156" t="str">
        <f>VLOOKUP('Cash Balance'!$C464,Table2[#All],MATCH('Cash Balance'!W$3,Acc_Char!$B$1:$I$1,0),0)</f>
        <v>Subsidiaries</v>
      </c>
      <c r="X464" s="1156" t="str">
        <f>VLOOKUP(IFERROR(MID($Y464,1,FIND("-",$Y464)-2),$Y464),Table3[#All],2,0)</f>
        <v>VTB</v>
      </c>
      <c r="Y464" s="1156" t="str">
        <f>VLOOKUP($B464,Table4[#All],2,0)</f>
        <v>VIETINBANK - CN1</v>
      </c>
      <c r="Z464" s="1151"/>
      <c r="AA464" s="49"/>
    </row>
    <row r="465" spans="1:34">
      <c r="A465" s="1153" t="str">
        <f>VLOOKUP('Cash Balance'!$C465,Table2[#All],MATCH('Cash Balance'!A$3,Acc_Char!$B$1:$I$1,0),0)</f>
        <v>BWID TAN DONG HIEP</v>
      </c>
      <c r="B465" s="1154" t="str">
        <f>VLOOKUP('Cash Balance'!$C465,Table2[#All],MATCH('Cash Balance'!B$3,Acc_Char!$B$1:$I$1,0),0)</f>
        <v>SINOPAC</v>
      </c>
      <c r="C465" s="1190" t="s">
        <v>1078</v>
      </c>
      <c r="D465" s="1156" t="str">
        <f>VLOOKUP('Cash Balance'!$C465,Table2[#All],MATCH('Cash Balance'!D$3,Acc_Char!$B$1:$I$1,0),0)</f>
        <v>Current Account</v>
      </c>
      <c r="E465" s="384" t="str">
        <f>VLOOKUP('Cash Balance'!$C465,Table2[#All],MATCH('Cash Balance'!E$3,Acc_Char!$B$1:$I$1,0),0)</f>
        <v>VND</v>
      </c>
      <c r="F465" s="1094" t="e">
        <f>VLOOKUP(C465,'Cash balance (BS)'!A:C,3,)</f>
        <v>#N/A</v>
      </c>
      <c r="G465" s="1157" t="e">
        <f t="shared" si="43"/>
        <v>#N/A</v>
      </c>
      <c r="H465" s="1318">
        <f>SUMIFS('Cash balance (Prior period)'!F:F,'Cash balance (Prior period)'!C:C,Table11[[#This Row],[ACCOUNT NUMBER]],'Cash balance (Prior period)'!E:E,Table11[[#This Row],[CURRENCY]])</f>
        <v>2820975468</v>
      </c>
      <c r="I465" s="1318">
        <f>SUMIFS(Movement!$F$4:$F$2136,Movement!$M$4:$M$2136,"VND",Movement!$C$4:$C$2136,Table11[[#This Row],[ACCOUNT NUMBER]],Movement!$J$4:$J$2136,Table11[[#This Row],[ENTITY]],Movement!$O$4:$O$2136,'Cash Balance'!$A$2)</f>
        <v>2221897910</v>
      </c>
      <c r="J465" s="1318">
        <f>SUMIFS(Movement!$G$4:$G$2136,Movement!$M$4:$M$2136,"VND",Movement!$C$4:$C$2136,Table11[[#This Row],[ACCOUNT NUMBER]],Movement!$J$4:$J$2136,Table11[[#This Row],[ENTITY]],Movement!$O$4:$O$2136,'Cash Balance'!$A$2)</f>
        <v>87785339</v>
      </c>
      <c r="K465" s="1084">
        <f>Table11[[#This Row],[CASH IN - CREDIT (VND)]]-Table11[[#This Row],[CASH OUT - DEBIT (VND)]]</f>
        <v>2134112571</v>
      </c>
      <c r="L465" s="1095">
        <f t="shared" si="44"/>
        <v>4955088039</v>
      </c>
      <c r="M465" s="1184" t="e">
        <f>VLOOKUP(C465,'Cash balance (BS)'!A:D,4,)</f>
        <v>#N/A</v>
      </c>
      <c r="N465" s="1095" t="e">
        <f>Table11[[#This Row],[CLOSING BALANCE (VND)2]]-Table11[[#This Row],[CB_BS (VND)]]</f>
        <v>#N/A</v>
      </c>
      <c r="O465" s="1094">
        <v>0</v>
      </c>
      <c r="P465" s="1095">
        <f t="shared" si="45"/>
        <v>0</v>
      </c>
      <c r="Q465" s="817">
        <f>SUMIFS('Cash balance (Prior period)'!G:G,'Cash balance (Prior period)'!C:C,Table11[[#This Row],[ACCOUNT NUMBER]],'Cash balance (Prior period)'!E:E,Table11[[#This Row],[CURRENCY]])</f>
        <v>0</v>
      </c>
      <c r="R465" s="817">
        <f>SUMIFS(Movement!$F$4:$F$2136,Movement!$M$4:$M$2136,"USD",Movement!$C$4:$C$2136,Table11[[#This Row],[ACCOUNT NUMBER]],Movement!$J$4:$J$2136,Table11[[#This Row],[ENTITY]],Movement!$O$4:$O$2136,'Cash Balance'!$A$2)</f>
        <v>0</v>
      </c>
      <c r="S465" s="817">
        <f>SUMIFS(Movement!$G$4:$G$2136,Movement!$M$4:$M$2136,"USD",Movement!$C$4:$C$2136,Table11[[#This Row],[ACCOUNT NUMBER]],Movement!$J$4:$J$2136,Table11[[#This Row],[ENTITY]],Movement!$O$4:$O$2136,'Cash Balance'!$A$2)</f>
        <v>0</v>
      </c>
      <c r="T465" s="1087">
        <f t="shared" si="46"/>
        <v>0</v>
      </c>
      <c r="U465" s="817"/>
      <c r="V465" s="817">
        <f>Table11[[#This Row],[CLOSING BALANCE (USD)]]-Table11[[#This Row],[CB_BS (USD)]]</f>
        <v>0</v>
      </c>
      <c r="W465" s="1156" t="str">
        <f>VLOOKUP('Cash Balance'!$C465,Table2[#All],MATCH('Cash Balance'!W$3,Acc_Char!$B$1:$I$1,0),0)</f>
        <v>Subsidiaries</v>
      </c>
      <c r="X465" s="1156" t="str">
        <f>VLOOKUP(IFERROR(MID($Y465,1,FIND("-",$Y465)-2),$Y465),Table3[#All],2,0)</f>
        <v>SNP</v>
      </c>
      <c r="Y465" s="1156" t="str">
        <f>VLOOKUP($B465,Table4[#All],2,0)</f>
        <v>SINOPAC</v>
      </c>
      <c r="Z465" s="1151"/>
      <c r="AA465" s="49"/>
    </row>
    <row r="466" spans="1:34">
      <c r="A466" s="1153" t="str">
        <f>VLOOKUP('Cash Balance'!$C466,Table2[#All],MATCH('Cash Balance'!A$3,Acc_Char!$B$1:$I$1,0),0)</f>
        <v>BCI JSC</v>
      </c>
      <c r="B466" s="1154" t="str">
        <f>VLOOKUP('Cash Balance'!$C466,Table2[#All],MATCH('Cash Balance'!B$3,Acc_Char!$B$1:$I$1,0),0)</f>
        <v>VIETINBANK - TIEN SON</v>
      </c>
      <c r="C466" s="1190" t="s">
        <v>1079</v>
      </c>
      <c r="D466" s="1156" t="str">
        <f>VLOOKUP('Cash Balance'!$C466,Table2[#All],MATCH('Cash Balance'!D$3,Acc_Char!$B$1:$I$1,0),0)</f>
        <v>Saving Account</v>
      </c>
      <c r="E466" s="384" t="str">
        <f>VLOOKUP('Cash Balance'!$C466,Table2[#All],MATCH('Cash Balance'!E$3,Acc_Char!$B$1:$I$1,0),0)</f>
        <v>VND</v>
      </c>
      <c r="F466" s="1094" t="e">
        <f>VLOOKUP(C466,'Cash balance (BS)'!A:C,3,)</f>
        <v>#N/A</v>
      </c>
      <c r="G466" s="1157" t="e">
        <f t="shared" si="43"/>
        <v>#N/A</v>
      </c>
      <c r="H466" s="1318">
        <f>SUMIFS('Cash balance (Prior period)'!F:F,'Cash balance (Prior period)'!C:C,Table11[[#This Row],[ACCOUNT NUMBER]],'Cash balance (Prior period)'!E:E,Table11[[#This Row],[CURRENCY]])</f>
        <v>0</v>
      </c>
      <c r="I466" s="1318">
        <f>SUMIFS(Movement!$F$4:$F$2136,Movement!$M$4:$M$2136,"VND",Movement!$C$4:$C$2136,Table11[[#This Row],[ACCOUNT NUMBER]],Movement!$J$4:$J$2136,Table11[[#This Row],[ENTITY]],Movement!$O$4:$O$2136,'Cash Balance'!$A$2)</f>
        <v>0</v>
      </c>
      <c r="J466" s="1318">
        <f>SUMIFS(Movement!$G$4:$G$2136,Movement!$M$4:$M$2136,"VND",Movement!$C$4:$C$2136,Table11[[#This Row],[ACCOUNT NUMBER]],Movement!$J$4:$J$2136,Table11[[#This Row],[ENTITY]],Movement!$O$4:$O$2136,'Cash Balance'!$A$2)</f>
        <v>0</v>
      </c>
      <c r="K466" s="1084">
        <f>Table11[[#This Row],[CASH IN - CREDIT (VND)]]-Table11[[#This Row],[CASH OUT - DEBIT (VND)]]</f>
        <v>0</v>
      </c>
      <c r="L466" s="1095">
        <f t="shared" si="44"/>
        <v>0</v>
      </c>
      <c r="M466" s="1184" t="e">
        <f>VLOOKUP(C466,'Cash balance (BS)'!A:D,4,)</f>
        <v>#N/A</v>
      </c>
      <c r="N466" s="1095" t="e">
        <f>Table11[[#This Row],[CLOSING BALANCE (VND)2]]-Table11[[#This Row],[CB_BS (VND)]]</f>
        <v>#N/A</v>
      </c>
      <c r="O466" s="1094">
        <v>0</v>
      </c>
      <c r="P466" s="1095">
        <f t="shared" si="45"/>
        <v>0</v>
      </c>
      <c r="Q466" s="817">
        <f>SUMIFS('Cash balance (Prior period)'!G:G,'Cash balance (Prior period)'!C:C,Table11[[#This Row],[ACCOUNT NUMBER]],'Cash balance (Prior period)'!E:E,Table11[[#This Row],[CURRENCY]])</f>
        <v>0</v>
      </c>
      <c r="R466" s="817">
        <f>SUMIFS(Movement!$F$4:$F$2136,Movement!$M$4:$M$2136,"USD",Movement!$C$4:$C$2136,Table11[[#This Row],[ACCOUNT NUMBER]],Movement!$J$4:$J$2136,Table11[[#This Row],[ENTITY]],Movement!$O$4:$O$2136,'Cash Balance'!$A$2)</f>
        <v>0</v>
      </c>
      <c r="S466" s="817">
        <f>SUMIFS(Movement!$G$4:$G$2136,Movement!$M$4:$M$2136,"USD",Movement!$C$4:$C$2136,Table11[[#This Row],[ACCOUNT NUMBER]],Movement!$J$4:$J$2136,Table11[[#This Row],[ENTITY]],Movement!$O$4:$O$2136,'Cash Balance'!$A$2)</f>
        <v>0</v>
      </c>
      <c r="T466" s="1087">
        <f t="shared" si="46"/>
        <v>0</v>
      </c>
      <c r="U466" s="817"/>
      <c r="V466" s="817">
        <f>Table11[[#This Row],[CLOSING BALANCE (USD)]]-Table11[[#This Row],[CB_BS (USD)]]</f>
        <v>0</v>
      </c>
      <c r="W466" s="1156" t="str">
        <f>VLOOKUP('Cash Balance'!$C466,Table2[#All],MATCH('Cash Balance'!W$3,Acc_Char!$B$1:$I$1,0),0)</f>
        <v>Subsidiaries</v>
      </c>
      <c r="X466" s="1156" t="str">
        <f>VLOOKUP(IFERROR(MID($Y466,1,FIND("-",$Y466)-2),$Y466),Table3[#All],2,0)</f>
        <v>VTB</v>
      </c>
      <c r="Y466" s="1156" t="str">
        <f>VLOOKUP($B466,Table4[#All],2,0)</f>
        <v>VIETINBANK - TIEN SON</v>
      </c>
      <c r="Z466" s="1151"/>
      <c r="AA466" s="49"/>
    </row>
    <row r="467" spans="1:34">
      <c r="A467" s="1153" t="str">
        <f>VLOOKUP('Cash Balance'!$C467,Table2[#All],MATCH('Cash Balance'!A$3,Acc_Char!$B$1:$I$1,0),0)</f>
        <v>BW DINH VU</v>
      </c>
      <c r="B467" s="1154" t="str">
        <f>VLOOKUP('Cash Balance'!$C467,Table2[#All],MATCH('Cash Balance'!B$3,Acc_Char!$B$1:$I$1,0),0)</f>
        <v>BIDV - THANH XUAN</v>
      </c>
      <c r="C467" s="1190" t="s">
        <v>1080</v>
      </c>
      <c r="D467" s="1156" t="str">
        <f>VLOOKUP('Cash Balance'!$C467,Table2[#All],MATCH('Cash Balance'!D$3,Acc_Char!$B$1:$I$1,0),0)</f>
        <v>Saving Account</v>
      </c>
      <c r="E467" s="384" t="str">
        <f>VLOOKUP('Cash Balance'!$C467,Table2[#All],MATCH('Cash Balance'!E$3,Acc_Char!$B$1:$I$1,0),0)</f>
        <v>VND</v>
      </c>
      <c r="F467" s="1094" t="e">
        <f>VLOOKUP(C467,'Cash balance (BS)'!A:C,3,)</f>
        <v>#N/A</v>
      </c>
      <c r="G467" s="1157" t="e">
        <f t="shared" si="43"/>
        <v>#N/A</v>
      </c>
      <c r="H467" s="1318">
        <f>SUMIFS('Cash balance (Prior period)'!F:F,'Cash balance (Prior period)'!C:C,Table11[[#This Row],[ACCOUNT NUMBER]],'Cash balance (Prior period)'!E:E,Table11[[#This Row],[CURRENCY]])</f>
        <v>4000000000</v>
      </c>
      <c r="I467" s="1318">
        <f>SUMIFS(Movement!$F$4:$F$2136,Movement!$M$4:$M$2136,"VND",Movement!$C$4:$C$2136,Table11[[#This Row],[ACCOUNT NUMBER]],Movement!$J$4:$J$2136,Table11[[#This Row],[ENTITY]],Movement!$O$4:$O$2136,'Cash Balance'!$A$2)</f>
        <v>0</v>
      </c>
      <c r="J467" s="1318">
        <f>SUMIFS(Movement!$G$4:$G$2136,Movement!$M$4:$M$2136,"VND",Movement!$C$4:$C$2136,Table11[[#This Row],[ACCOUNT NUMBER]],Movement!$J$4:$J$2136,Table11[[#This Row],[ENTITY]],Movement!$O$4:$O$2136,'Cash Balance'!$A$2)</f>
        <v>0</v>
      </c>
      <c r="K467" s="1084">
        <f>Table11[[#This Row],[CASH IN - CREDIT (VND)]]-Table11[[#This Row],[CASH OUT - DEBIT (VND)]]</f>
        <v>0</v>
      </c>
      <c r="L467" s="1095">
        <f t="shared" si="44"/>
        <v>4000000000</v>
      </c>
      <c r="M467" s="1184" t="e">
        <f>VLOOKUP(C467,'Cash balance (BS)'!A:D,4,)</f>
        <v>#N/A</v>
      </c>
      <c r="N467" s="1095" t="e">
        <f>Table11[[#This Row],[CLOSING BALANCE (VND)2]]-Table11[[#This Row],[CB_BS (VND)]]</f>
        <v>#N/A</v>
      </c>
      <c r="O467" s="1094">
        <v>0</v>
      </c>
      <c r="P467" s="1095">
        <f t="shared" si="45"/>
        <v>0</v>
      </c>
      <c r="Q467" s="817">
        <f>SUMIFS('Cash balance (Prior period)'!G:G,'Cash balance (Prior period)'!C:C,Table11[[#This Row],[ACCOUNT NUMBER]],'Cash balance (Prior period)'!E:E,Table11[[#This Row],[CURRENCY]])</f>
        <v>0</v>
      </c>
      <c r="R467" s="817">
        <f>SUMIFS(Movement!$F$4:$F$2136,Movement!$M$4:$M$2136,"USD",Movement!$C$4:$C$2136,Table11[[#This Row],[ACCOUNT NUMBER]],Movement!$J$4:$J$2136,Table11[[#This Row],[ENTITY]],Movement!$O$4:$O$2136,'Cash Balance'!$A$2)</f>
        <v>0</v>
      </c>
      <c r="S467" s="817">
        <f>SUMIFS(Movement!$G$4:$G$2136,Movement!$M$4:$M$2136,"USD",Movement!$C$4:$C$2136,Table11[[#This Row],[ACCOUNT NUMBER]],Movement!$J$4:$J$2136,Table11[[#This Row],[ENTITY]],Movement!$O$4:$O$2136,'Cash Balance'!$A$2)</f>
        <v>0</v>
      </c>
      <c r="T467" s="1087">
        <f t="shared" si="46"/>
        <v>0</v>
      </c>
      <c r="U467" s="817"/>
      <c r="V467" s="817">
        <f>Table11[[#This Row],[CLOSING BALANCE (USD)]]-Table11[[#This Row],[CB_BS (USD)]]</f>
        <v>0</v>
      </c>
      <c r="W467" s="1156" t="str">
        <f>VLOOKUP('Cash Balance'!$C467,Table2[#All],MATCH('Cash Balance'!W$3,Acc_Char!$B$1:$I$1,0),0)</f>
        <v>Subsidiaries</v>
      </c>
      <c r="X467" s="1156" t="str">
        <f>VLOOKUP(IFERROR(MID($Y467,1,FIND("-",$Y467)-2),$Y467),Table3[#All],2,0)</f>
        <v>BIDV</v>
      </c>
      <c r="Y467" s="1156" t="str">
        <f>VLOOKUP($B467,Table4[#All],2,0)</f>
        <v>BIDV - THANH XUAN</v>
      </c>
      <c r="Z467" s="1151"/>
      <c r="AA467" s="49"/>
    </row>
    <row r="468" spans="1:34">
      <c r="A468" s="1153" t="str">
        <f>VLOOKUP('Cash Balance'!$C468,Table2[#All],MATCH('Cash Balance'!A$3,Acc_Char!$B$1:$I$1,0),0)</f>
        <v>BWID HAI DUONG 3</v>
      </c>
      <c r="B468" s="1154" t="str">
        <f>VLOOKUP('Cash Balance'!$C468,Table2[#All],MATCH('Cash Balance'!B$3,Acc_Char!$B$1:$I$1,0),0)</f>
        <v>BIDV - THANH XUAN</v>
      </c>
      <c r="C468" s="1190" t="s">
        <v>1081</v>
      </c>
      <c r="D468" s="1156" t="str">
        <f>VLOOKUP('Cash Balance'!$C468,Table2[#All],MATCH('Cash Balance'!D$3,Acc_Char!$B$1:$I$1,0),0)</f>
        <v>Saving Account</v>
      </c>
      <c r="E468" s="384" t="str">
        <f>VLOOKUP('Cash Balance'!$C468,Table2[#All],MATCH('Cash Balance'!E$3,Acc_Char!$B$1:$I$1,0),0)</f>
        <v>VND</v>
      </c>
      <c r="F468" s="1094" t="e">
        <f>VLOOKUP(C468,'Cash balance (BS)'!A:C,3,)</f>
        <v>#N/A</v>
      </c>
      <c r="G468" s="1157" t="e">
        <f t="shared" si="43"/>
        <v>#N/A</v>
      </c>
      <c r="H468" s="1318">
        <f>SUMIFS('Cash balance (Prior period)'!F:F,'Cash balance (Prior period)'!C:C,Table11[[#This Row],[ACCOUNT NUMBER]],'Cash balance (Prior period)'!E:E,Table11[[#This Row],[CURRENCY]])</f>
        <v>0</v>
      </c>
      <c r="I468" s="1318">
        <f>SUMIFS(Movement!$F$4:$F$2136,Movement!$M$4:$M$2136,"VND",Movement!$C$4:$C$2136,Table11[[#This Row],[ACCOUNT NUMBER]],Movement!$J$4:$J$2136,Table11[[#This Row],[ENTITY]],Movement!$O$4:$O$2136,'Cash Balance'!$A$2)</f>
        <v>0</v>
      </c>
      <c r="J468" s="1318">
        <f>SUMIFS(Movement!$G$4:$G$2136,Movement!$M$4:$M$2136,"VND",Movement!$C$4:$C$2136,Table11[[#This Row],[ACCOUNT NUMBER]],Movement!$J$4:$J$2136,Table11[[#This Row],[ENTITY]],Movement!$O$4:$O$2136,'Cash Balance'!$A$2)</f>
        <v>0</v>
      </c>
      <c r="K468" s="1084">
        <f>Table11[[#This Row],[CASH IN - CREDIT (VND)]]-Table11[[#This Row],[CASH OUT - DEBIT (VND)]]</f>
        <v>0</v>
      </c>
      <c r="L468" s="1095">
        <f t="shared" si="44"/>
        <v>0</v>
      </c>
      <c r="M468" s="1184" t="e">
        <f>VLOOKUP(C468,'Cash balance (BS)'!A:D,4,)</f>
        <v>#N/A</v>
      </c>
      <c r="N468" s="1095" t="e">
        <f>Table11[[#This Row],[CLOSING BALANCE (VND)2]]-Table11[[#This Row],[CB_BS (VND)]]</f>
        <v>#N/A</v>
      </c>
      <c r="O468" s="1094">
        <v>0</v>
      </c>
      <c r="P468" s="1095">
        <f t="shared" si="45"/>
        <v>0</v>
      </c>
      <c r="Q468" s="817">
        <f>SUMIFS('Cash balance (Prior period)'!G:G,'Cash balance (Prior period)'!C:C,Table11[[#This Row],[ACCOUNT NUMBER]],'Cash balance (Prior period)'!E:E,Table11[[#This Row],[CURRENCY]])</f>
        <v>0</v>
      </c>
      <c r="R468" s="817">
        <f>SUMIFS(Movement!$F$4:$F$2136,Movement!$M$4:$M$2136,"USD",Movement!$C$4:$C$2136,Table11[[#This Row],[ACCOUNT NUMBER]],Movement!$J$4:$J$2136,Table11[[#This Row],[ENTITY]],Movement!$O$4:$O$2136,'Cash Balance'!$A$2)</f>
        <v>0</v>
      </c>
      <c r="S468" s="817">
        <f>SUMIFS(Movement!$G$4:$G$2136,Movement!$M$4:$M$2136,"USD",Movement!$C$4:$C$2136,Table11[[#This Row],[ACCOUNT NUMBER]],Movement!$J$4:$J$2136,Table11[[#This Row],[ENTITY]],Movement!$O$4:$O$2136,'Cash Balance'!$A$2)</f>
        <v>0</v>
      </c>
      <c r="T468" s="1087">
        <f t="shared" si="46"/>
        <v>0</v>
      </c>
      <c r="U468" s="817"/>
      <c r="V468" s="817">
        <f>Table11[[#This Row],[CLOSING BALANCE (USD)]]-Table11[[#This Row],[CB_BS (USD)]]</f>
        <v>0</v>
      </c>
      <c r="W468" s="1156" t="str">
        <f>VLOOKUP('Cash Balance'!$C468,Table2[#All],MATCH('Cash Balance'!W$3,Acc_Char!$B$1:$I$1,0),0)</f>
        <v>Subsidiaries</v>
      </c>
      <c r="X468" s="1156" t="str">
        <f>VLOOKUP(IFERROR(MID($Y468,1,FIND("-",$Y468)-2),$Y468),Table3[#All],2,0)</f>
        <v>BIDV</v>
      </c>
      <c r="Y468" s="1156" t="str">
        <f>VLOOKUP($B468,Table4[#All],2,0)</f>
        <v>BIDV - THANH XUAN</v>
      </c>
      <c r="Z468" s="1151"/>
      <c r="AA468" s="49"/>
    </row>
    <row r="469" spans="1:34">
      <c r="A469" s="1153" t="str">
        <f>VLOOKUP('Cash Balance'!$C469,Table2[#All],MATCH('Cash Balance'!A$3,Acc_Char!$B$1:$I$1,0),0)</f>
        <v>BWID BINH DUONG</v>
      </c>
      <c r="B469" s="1154" t="str">
        <f>VLOOKUP('Cash Balance'!$C469,Table2[#All],MATCH('Cash Balance'!B$3,Acc_Char!$B$1:$I$1,0),0)</f>
        <v>SINOPAC</v>
      </c>
      <c r="C469" s="1190" t="s">
        <v>1082</v>
      </c>
      <c r="D469" s="1156" t="str">
        <f>VLOOKUP('Cash Balance'!$C469,Table2[#All],MATCH('Cash Balance'!D$3,Acc_Char!$B$1:$I$1,0),0)</f>
        <v>Saving Account</v>
      </c>
      <c r="E469" s="384" t="str">
        <f>VLOOKUP('Cash Balance'!$C469,Table2[#All],MATCH('Cash Balance'!E$3,Acc_Char!$B$1:$I$1,0),0)</f>
        <v>VND</v>
      </c>
      <c r="F469" s="1094" t="e">
        <f>VLOOKUP(C469,'Cash balance (BS)'!A:C,3,)</f>
        <v>#N/A</v>
      </c>
      <c r="G469" s="1157" t="e">
        <f t="shared" si="43"/>
        <v>#N/A</v>
      </c>
      <c r="H469" s="1318">
        <f>SUMIFS('Cash balance (Prior period)'!F:F,'Cash balance (Prior period)'!C:C,Table11[[#This Row],[ACCOUNT NUMBER]],'Cash balance (Prior period)'!E:E,Table11[[#This Row],[CURRENCY]])</f>
        <v>0</v>
      </c>
      <c r="I469" s="1318">
        <f>SUMIFS(Movement!$F$4:$F$2136,Movement!$M$4:$M$2136,"VND",Movement!$C$4:$C$2136,Table11[[#This Row],[ACCOUNT NUMBER]],Movement!$J$4:$J$2136,Table11[[#This Row],[ENTITY]],Movement!$O$4:$O$2136,'Cash Balance'!$A$2)</f>
        <v>0</v>
      </c>
      <c r="J469" s="1318">
        <f>SUMIFS(Movement!$G$4:$G$2136,Movement!$M$4:$M$2136,"VND",Movement!$C$4:$C$2136,Table11[[#This Row],[ACCOUNT NUMBER]],Movement!$J$4:$J$2136,Table11[[#This Row],[ENTITY]],Movement!$O$4:$O$2136,'Cash Balance'!$A$2)</f>
        <v>0</v>
      </c>
      <c r="K469" s="1084">
        <f>Table11[[#This Row],[CASH IN - CREDIT (VND)]]-Table11[[#This Row],[CASH OUT - DEBIT (VND)]]</f>
        <v>0</v>
      </c>
      <c r="L469" s="1095">
        <f t="shared" si="44"/>
        <v>0</v>
      </c>
      <c r="M469" s="1184" t="e">
        <f>VLOOKUP(C469,'Cash balance (BS)'!A:D,4,)</f>
        <v>#N/A</v>
      </c>
      <c r="N469" s="1095" t="e">
        <f>Table11[[#This Row],[CLOSING BALANCE (VND)2]]-Table11[[#This Row],[CB_BS (VND)]]</f>
        <v>#N/A</v>
      </c>
      <c r="O469" s="1094">
        <v>0</v>
      </c>
      <c r="P469" s="1095">
        <f t="shared" si="45"/>
        <v>0</v>
      </c>
      <c r="Q469" s="817">
        <f>SUMIFS('Cash balance (Prior period)'!G:G,'Cash balance (Prior period)'!C:C,Table11[[#This Row],[ACCOUNT NUMBER]],'Cash balance (Prior period)'!E:E,Table11[[#This Row],[CURRENCY]])</f>
        <v>0</v>
      </c>
      <c r="R469" s="817">
        <f>SUMIFS(Movement!$F$4:$F$2136,Movement!$M$4:$M$2136,"USD",Movement!$C$4:$C$2136,Table11[[#This Row],[ACCOUNT NUMBER]],Movement!$J$4:$J$2136,Table11[[#This Row],[ENTITY]],Movement!$O$4:$O$2136,'Cash Balance'!$A$2)</f>
        <v>0</v>
      </c>
      <c r="S469" s="817">
        <f>SUMIFS(Movement!$G$4:$G$2136,Movement!$M$4:$M$2136,"USD",Movement!$C$4:$C$2136,Table11[[#This Row],[ACCOUNT NUMBER]],Movement!$J$4:$J$2136,Table11[[#This Row],[ENTITY]],Movement!$O$4:$O$2136,'Cash Balance'!$A$2)</f>
        <v>0</v>
      </c>
      <c r="T469" s="1087">
        <f t="shared" si="46"/>
        <v>0</v>
      </c>
      <c r="U469" s="817"/>
      <c r="V469" s="817">
        <f>Table11[[#This Row],[CLOSING BALANCE (USD)]]-Table11[[#This Row],[CB_BS (USD)]]</f>
        <v>0</v>
      </c>
      <c r="W469" s="1156" t="str">
        <f>VLOOKUP('Cash Balance'!$C469,Table2[#All],MATCH('Cash Balance'!W$3,Acc_Char!$B$1:$I$1,0),0)</f>
        <v>BWID JSC</v>
      </c>
      <c r="X469" s="1156" t="str">
        <f>VLOOKUP(IFERROR(MID($Y469,1,FIND("-",$Y469)-2),$Y469),Table3[#All],2,0)</f>
        <v>SNP</v>
      </c>
      <c r="Y469" s="1156" t="str">
        <f>VLOOKUP($B469,Table4[#All],2,0)</f>
        <v>SINOPAC</v>
      </c>
      <c r="Z469" s="1151"/>
      <c r="AA469" s="49"/>
    </row>
    <row r="470" spans="1:34">
      <c r="A470" s="1153" t="str">
        <f>VLOOKUP('Cash Balance'!$C470,Table2[#All],MATCH('Cash Balance'!A$3,Acc_Char!$B$1:$I$1,0),0)</f>
        <v>HOLDCO N4C</v>
      </c>
      <c r="B470" s="1154" t="str">
        <f>VLOOKUP('Cash Balance'!$C470,Table2[#All],MATCH('Cash Balance'!B$3,Acc_Char!$B$1:$I$1,0),0)</f>
        <v>VIETINBANK - TIEN SON</v>
      </c>
      <c r="C470" s="1190" t="s">
        <v>1083</v>
      </c>
      <c r="D470" s="1156" t="str">
        <f>VLOOKUP('Cash Balance'!$C470,Table2[#All],MATCH('Cash Balance'!D$3,Acc_Char!$B$1:$I$1,0),0)</f>
        <v>Escrow account</v>
      </c>
      <c r="E470" s="384" t="str">
        <f>VLOOKUP('Cash Balance'!$C470,Table2[#All],MATCH('Cash Balance'!E$3,Acc_Char!$B$1:$I$1,0),0)</f>
        <v>VND</v>
      </c>
      <c r="F470" s="1094" t="e">
        <f>VLOOKUP(C470,'Cash balance (BS)'!A:C,3,)</f>
        <v>#N/A</v>
      </c>
      <c r="G470" s="1157" t="e">
        <f t="shared" si="43"/>
        <v>#N/A</v>
      </c>
      <c r="H470" s="1318">
        <f>SUMIFS('Cash balance (Prior period)'!F:F,'Cash balance (Prior period)'!C:C,Table11[[#This Row],[ACCOUNT NUMBER]],'Cash balance (Prior period)'!E:E,Table11[[#This Row],[CURRENCY]])</f>
        <v>0</v>
      </c>
      <c r="I470" s="1318">
        <f>SUMIFS(Movement!$F$4:$F$2136,Movement!$M$4:$M$2136,"VND",Movement!$C$4:$C$2136,Table11[[#This Row],[ACCOUNT NUMBER]],Movement!$J$4:$J$2136,Table11[[#This Row],[ENTITY]],Movement!$O$4:$O$2136,'Cash Balance'!$A$2)</f>
        <v>0</v>
      </c>
      <c r="J470" s="1318">
        <f>SUMIFS(Movement!$G$4:$G$2136,Movement!$M$4:$M$2136,"VND",Movement!$C$4:$C$2136,Table11[[#This Row],[ACCOUNT NUMBER]],Movement!$J$4:$J$2136,Table11[[#This Row],[ENTITY]],Movement!$O$4:$O$2136,'Cash Balance'!$A$2)</f>
        <v>0</v>
      </c>
      <c r="K470" s="1084">
        <f>Table11[[#This Row],[CASH IN - CREDIT (VND)]]-Table11[[#This Row],[CASH OUT - DEBIT (VND)]]</f>
        <v>0</v>
      </c>
      <c r="L470" s="1095">
        <f t="shared" si="44"/>
        <v>0</v>
      </c>
      <c r="M470" s="1184" t="e">
        <f>VLOOKUP(C470,'Cash balance (BS)'!A:D,4,)</f>
        <v>#N/A</v>
      </c>
      <c r="N470" s="1095" t="e">
        <f>Table11[[#This Row],[CLOSING BALANCE (VND)2]]-Table11[[#This Row],[CB_BS (VND)]]</f>
        <v>#N/A</v>
      </c>
      <c r="O470" s="1094">
        <v>0</v>
      </c>
      <c r="P470" s="1095">
        <f t="shared" si="45"/>
        <v>0</v>
      </c>
      <c r="Q470" s="817">
        <f>SUMIFS('Cash balance (Prior period)'!G:G,'Cash balance (Prior period)'!C:C,Table11[[#This Row],[ACCOUNT NUMBER]],'Cash balance (Prior period)'!E:E,Table11[[#This Row],[CURRENCY]])</f>
        <v>0</v>
      </c>
      <c r="R470" s="817">
        <f>SUMIFS(Movement!$F$4:$F$2136,Movement!$M$4:$M$2136,"USD",Movement!$C$4:$C$2136,Table11[[#This Row],[ACCOUNT NUMBER]],Movement!$J$4:$J$2136,Table11[[#This Row],[ENTITY]],Movement!$O$4:$O$2136,'Cash Balance'!$A$2)</f>
        <v>0</v>
      </c>
      <c r="S470" s="817">
        <f>SUMIFS(Movement!$G$4:$G$2136,Movement!$M$4:$M$2136,"USD",Movement!$C$4:$C$2136,Table11[[#This Row],[ACCOUNT NUMBER]],Movement!$J$4:$J$2136,Table11[[#This Row],[ENTITY]],Movement!$O$4:$O$2136,'Cash Balance'!$A$2)</f>
        <v>0</v>
      </c>
      <c r="T470" s="1087">
        <f t="shared" si="46"/>
        <v>0</v>
      </c>
      <c r="U470" s="817"/>
      <c r="V470" s="817">
        <f>Table11[[#This Row],[CLOSING BALANCE (USD)]]-Table11[[#This Row],[CB_BS (USD)]]</f>
        <v>0</v>
      </c>
      <c r="W470" s="1156" t="str">
        <f>VLOOKUP('Cash Balance'!$C470,Table2[#All],MATCH('Cash Balance'!W$3,Acc_Char!$B$1:$I$1,0),0)</f>
        <v>Subsidiaries</v>
      </c>
      <c r="X470" s="1156" t="str">
        <f>VLOOKUP(IFERROR(MID($Y470,1,FIND("-",$Y470)-2),$Y470),Table3[#All],2,0)</f>
        <v>VTB</v>
      </c>
      <c r="Y470" s="1156" t="str">
        <f>VLOOKUP($B470,Table4[#All],2,0)</f>
        <v>VIETINBANK - TIEN SON</v>
      </c>
      <c r="Z470" s="1151"/>
      <c r="AA470" s="49"/>
    </row>
    <row r="471" spans="1:34">
      <c r="A471" s="1153" t="str">
        <f>VLOOKUP('Cash Balance'!$C471,Table2[#All],MATCH('Cash Balance'!A$3,Acc_Char!$B$1:$I$1,0),0)</f>
        <v>TAY NAM A</v>
      </c>
      <c r="B471" s="1154" t="str">
        <f>VLOOKUP('Cash Balance'!$C471,Table2[#All],MATCH('Cash Balance'!B$3,Acc_Char!$B$1:$I$1,0),0)</f>
        <v>KBank - HCM</v>
      </c>
      <c r="C471" s="1190" t="s">
        <v>1084</v>
      </c>
      <c r="D471" s="1156" t="str">
        <f>VLOOKUP('Cash Balance'!$C471,Table2[#All],MATCH('Cash Balance'!D$3,Acc_Char!$B$1:$I$1,0),0)</f>
        <v>Saving Account</v>
      </c>
      <c r="E471" s="384" t="str">
        <f>VLOOKUP('Cash Balance'!$C471,Table2[#All],MATCH('Cash Balance'!E$3,Acc_Char!$B$1:$I$1,0),0)</f>
        <v>VND</v>
      </c>
      <c r="F471" s="1094" t="e">
        <f>VLOOKUP(C471,'Cash balance (BS)'!A:C,3,)</f>
        <v>#N/A</v>
      </c>
      <c r="G471" s="1157" t="e">
        <f t="shared" si="43"/>
        <v>#N/A</v>
      </c>
      <c r="H471" s="1318">
        <f>SUMIFS('Cash balance (Prior period)'!F:F,'Cash balance (Prior period)'!C:C,Table11[[#This Row],[ACCOUNT NUMBER]],'Cash balance (Prior period)'!E:E,Table11[[#This Row],[CURRENCY]])</f>
        <v>1700000000</v>
      </c>
      <c r="I471" s="1318">
        <f>SUMIFS(Movement!$F$4:$F$2136,Movement!$M$4:$M$2136,"VND",Movement!$C$4:$C$2136,Table11[[#This Row],[ACCOUNT NUMBER]],Movement!$J$4:$J$2136,Table11[[#This Row],[ENTITY]],Movement!$O$4:$O$2136,'Cash Balance'!$A$2)</f>
        <v>0</v>
      </c>
      <c r="J471" s="1318">
        <f>SUMIFS(Movement!$G$4:$G$2136,Movement!$M$4:$M$2136,"VND",Movement!$C$4:$C$2136,Table11[[#This Row],[ACCOUNT NUMBER]],Movement!$J$4:$J$2136,Table11[[#This Row],[ENTITY]],Movement!$O$4:$O$2136,'Cash Balance'!$A$2)</f>
        <v>0</v>
      </c>
      <c r="K471" s="1084">
        <f>Table11[[#This Row],[CASH IN - CREDIT (VND)]]-Table11[[#This Row],[CASH OUT - DEBIT (VND)]]</f>
        <v>0</v>
      </c>
      <c r="L471" s="1095">
        <f t="shared" si="44"/>
        <v>1700000000</v>
      </c>
      <c r="M471" s="1184" t="e">
        <f>VLOOKUP(C471,'Cash balance (BS)'!A:D,4,)</f>
        <v>#N/A</v>
      </c>
      <c r="N471" s="1095" t="e">
        <f>Table11[[#This Row],[CLOSING BALANCE (VND)2]]-Table11[[#This Row],[CB_BS (VND)]]</f>
        <v>#N/A</v>
      </c>
      <c r="O471" s="1094">
        <v>0</v>
      </c>
      <c r="P471" s="1095">
        <f t="shared" si="45"/>
        <v>0</v>
      </c>
      <c r="Q471" s="817">
        <f>SUMIFS('Cash balance (Prior period)'!G:G,'Cash balance (Prior period)'!C:C,Table11[[#This Row],[ACCOUNT NUMBER]],'Cash balance (Prior period)'!E:E,Table11[[#This Row],[CURRENCY]])</f>
        <v>0</v>
      </c>
      <c r="R471" s="817">
        <f>SUMIFS(Movement!$F$4:$F$2136,Movement!$M$4:$M$2136,"USD",Movement!$C$4:$C$2136,Table11[[#This Row],[ACCOUNT NUMBER]],Movement!$J$4:$J$2136,Table11[[#This Row],[ENTITY]],Movement!$O$4:$O$2136,'Cash Balance'!$A$2)</f>
        <v>0</v>
      </c>
      <c r="S471" s="817">
        <f>SUMIFS(Movement!$G$4:$G$2136,Movement!$M$4:$M$2136,"USD",Movement!$C$4:$C$2136,Table11[[#This Row],[ACCOUNT NUMBER]],Movement!$J$4:$J$2136,Table11[[#This Row],[ENTITY]],Movement!$O$4:$O$2136,'Cash Balance'!$A$2)</f>
        <v>0</v>
      </c>
      <c r="T471" s="1087">
        <f t="shared" si="46"/>
        <v>0</v>
      </c>
      <c r="U471" s="817"/>
      <c r="V471" s="817">
        <f>Table11[[#This Row],[CLOSING BALANCE (USD)]]-Table11[[#This Row],[CB_BS (USD)]]</f>
        <v>0</v>
      </c>
      <c r="W471" s="1156" t="str">
        <f>VLOOKUP('Cash Balance'!$C471,Table2[#All],MATCH('Cash Balance'!W$3,Acc_Char!$B$1:$I$1,0),0)</f>
        <v>Subsidiaries</v>
      </c>
      <c r="X471" s="1156" t="str">
        <f>VLOOKUP(IFERROR(MID($Y471,1,FIND("-",$Y471)-2),$Y471),Table3[#All],2,0)</f>
        <v>Others</v>
      </c>
      <c r="Y471" s="1156" t="str">
        <f>VLOOKUP($B471,Table4[#All],2,0)</f>
        <v>OTHERS</v>
      </c>
      <c r="Z471" s="1151"/>
      <c r="AA471" s="49"/>
    </row>
    <row r="472" spans="1:34">
      <c r="A472" s="1153" t="str">
        <f>VLOOKUP('Cash Balance'!$C472,Table2[#All],MATCH('Cash Balance'!A$3,Acc_Char!$B$1:$I$1,0),0)</f>
        <v>HOLDCO N4C</v>
      </c>
      <c r="B472" s="1154" t="str">
        <f>VLOOKUP('Cash Balance'!$C472,Table2[#All],MATCH('Cash Balance'!B$3,Acc_Char!$B$1:$I$1,0),0)</f>
        <v>VIETINBANK - TIEN SON</v>
      </c>
      <c r="C472" s="1190" t="s">
        <v>1085</v>
      </c>
      <c r="D472" s="1156" t="str">
        <f>VLOOKUP('Cash Balance'!$C472,Table2[#All],MATCH('Cash Balance'!D$3,Acc_Char!$B$1:$I$1,0),0)</f>
        <v>Saving Account</v>
      </c>
      <c r="E472" s="384" t="str">
        <f>VLOOKUP('Cash Balance'!$C472,Table2[#All],MATCH('Cash Balance'!E$3,Acc_Char!$B$1:$I$1,0),0)</f>
        <v>VND</v>
      </c>
      <c r="F472" s="1094" t="e">
        <f>VLOOKUP(C472,'Cash balance (BS)'!A:C,3,)</f>
        <v>#N/A</v>
      </c>
      <c r="G472" s="1157" t="e">
        <f t="shared" si="43"/>
        <v>#N/A</v>
      </c>
      <c r="H472" s="1318">
        <f>SUMIFS('Cash balance (Prior period)'!F:F,'Cash balance (Prior period)'!C:C,Table11[[#This Row],[ACCOUNT NUMBER]],'Cash balance (Prior period)'!E:E,Table11[[#This Row],[CURRENCY]])</f>
        <v>0</v>
      </c>
      <c r="I472" s="1318">
        <f>SUMIFS(Movement!$F$4:$F$2136,Movement!$M$4:$M$2136,"VND",Movement!$C$4:$C$2136,Table11[[#This Row],[ACCOUNT NUMBER]],Movement!$J$4:$J$2136,Table11[[#This Row],[ENTITY]],Movement!$O$4:$O$2136,'Cash Balance'!$A$2)</f>
        <v>0</v>
      </c>
      <c r="J472" s="1318">
        <f>SUMIFS(Movement!$G$4:$G$2136,Movement!$M$4:$M$2136,"VND",Movement!$C$4:$C$2136,Table11[[#This Row],[ACCOUNT NUMBER]],Movement!$J$4:$J$2136,Table11[[#This Row],[ENTITY]],Movement!$O$4:$O$2136,'Cash Balance'!$A$2)</f>
        <v>0</v>
      </c>
      <c r="K472" s="1084">
        <f>Table11[[#This Row],[CASH IN - CREDIT (VND)]]-Table11[[#This Row],[CASH OUT - DEBIT (VND)]]</f>
        <v>0</v>
      </c>
      <c r="L472" s="1095">
        <f t="shared" si="44"/>
        <v>0</v>
      </c>
      <c r="M472" s="1184" t="e">
        <f>VLOOKUP(C472,'Cash balance (BS)'!A:D,4,)</f>
        <v>#N/A</v>
      </c>
      <c r="N472" s="1095" t="e">
        <f>Table11[[#This Row],[CLOSING BALANCE (VND)2]]-Table11[[#This Row],[CB_BS (VND)]]</f>
        <v>#N/A</v>
      </c>
      <c r="O472" s="1094">
        <v>0</v>
      </c>
      <c r="P472" s="1095">
        <f t="shared" si="45"/>
        <v>0</v>
      </c>
      <c r="Q472" s="817">
        <f>SUMIFS('Cash balance (Prior period)'!G:G,'Cash balance (Prior period)'!C:C,Table11[[#This Row],[ACCOUNT NUMBER]],'Cash balance (Prior period)'!E:E,Table11[[#This Row],[CURRENCY]])</f>
        <v>0</v>
      </c>
      <c r="R472" s="817">
        <f>SUMIFS(Movement!$F$4:$F$2136,Movement!$M$4:$M$2136,"USD",Movement!$C$4:$C$2136,Table11[[#This Row],[ACCOUNT NUMBER]],Movement!$J$4:$J$2136,Table11[[#This Row],[ENTITY]],Movement!$O$4:$O$2136,'Cash Balance'!$A$2)</f>
        <v>0</v>
      </c>
      <c r="S472" s="817">
        <f>SUMIFS(Movement!$G$4:$G$2136,Movement!$M$4:$M$2136,"USD",Movement!$C$4:$C$2136,Table11[[#This Row],[ACCOUNT NUMBER]],Movement!$J$4:$J$2136,Table11[[#This Row],[ENTITY]],Movement!$O$4:$O$2136,'Cash Balance'!$A$2)</f>
        <v>0</v>
      </c>
      <c r="T472" s="1087">
        <f t="shared" si="46"/>
        <v>0</v>
      </c>
      <c r="U472" s="817"/>
      <c r="V472" s="817">
        <f>Table11[[#This Row],[CLOSING BALANCE (USD)]]-Table11[[#This Row],[CB_BS (USD)]]</f>
        <v>0</v>
      </c>
      <c r="W472" s="1156" t="str">
        <f>VLOOKUP('Cash Balance'!$C472,Table2[#All],MATCH('Cash Balance'!W$3,Acc_Char!$B$1:$I$1,0),0)</f>
        <v>Subsidiaries</v>
      </c>
      <c r="X472" s="1156" t="str">
        <f>VLOOKUP(IFERROR(MID($Y472,1,FIND("-",$Y472)-2),$Y472),Table3[#All],2,0)</f>
        <v>VTB</v>
      </c>
      <c r="Y472" s="1156" t="str">
        <f>VLOOKUP($B472,Table4[#All],2,0)</f>
        <v>VIETINBANK - TIEN SON</v>
      </c>
      <c r="Z472" s="1151"/>
      <c r="AA472" s="49"/>
    </row>
    <row r="473" spans="1:34">
      <c r="A473" s="1153" t="str">
        <f>VLOOKUP('Cash Balance'!$C473,Table2[#All],MATCH('Cash Balance'!A$3,Acc_Char!$B$1:$I$1,0),0)</f>
        <v>BWID Tan Phu Trung</v>
      </c>
      <c r="B473" s="1154" t="str">
        <f>VLOOKUP('Cash Balance'!$C473,Table2[#All],MATCH('Cash Balance'!B$3,Acc_Char!$B$1:$I$1,0),0)</f>
        <v>VIETINBANK - TIEN SON</v>
      </c>
      <c r="C473" s="1190" t="s">
        <v>1086</v>
      </c>
      <c r="D473" s="1156" t="str">
        <f>VLOOKUP('Cash Balance'!$C473,Table2[#All],MATCH('Cash Balance'!D$3,Acc_Char!$B$1:$I$1,0),0)</f>
        <v>Saving Account</v>
      </c>
      <c r="E473" s="384" t="str">
        <f>VLOOKUP('Cash Balance'!$C473,Table2[#All],MATCH('Cash Balance'!E$3,Acc_Char!$B$1:$I$1,0),0)</f>
        <v>VND</v>
      </c>
      <c r="F473" s="1094" t="e">
        <f>VLOOKUP(C473,'Cash balance (BS)'!A:C,3,)</f>
        <v>#N/A</v>
      </c>
      <c r="G473" s="1157" t="e">
        <f t="shared" si="43"/>
        <v>#N/A</v>
      </c>
      <c r="H473" s="1318">
        <f>SUMIFS('Cash balance (Prior period)'!F:F,'Cash balance (Prior period)'!C:C,Table11[[#This Row],[ACCOUNT NUMBER]],'Cash balance (Prior period)'!E:E,Table11[[#This Row],[CURRENCY]])</f>
        <v>0</v>
      </c>
      <c r="I473" s="1318">
        <f>SUMIFS(Movement!$F$4:$F$2136,Movement!$M$4:$M$2136,"VND",Movement!$C$4:$C$2136,Table11[[#This Row],[ACCOUNT NUMBER]],Movement!$J$4:$J$2136,Table11[[#This Row],[ENTITY]],Movement!$O$4:$O$2136,'Cash Balance'!$A$2)</f>
        <v>0</v>
      </c>
      <c r="J473" s="1318">
        <f>SUMIFS(Movement!$G$4:$G$2136,Movement!$M$4:$M$2136,"VND",Movement!$C$4:$C$2136,Table11[[#This Row],[ACCOUNT NUMBER]],Movement!$J$4:$J$2136,Table11[[#This Row],[ENTITY]],Movement!$O$4:$O$2136,'Cash Balance'!$A$2)</f>
        <v>0</v>
      </c>
      <c r="K473" s="1084">
        <f>Table11[[#This Row],[CASH IN - CREDIT (VND)]]-Table11[[#This Row],[CASH OUT - DEBIT (VND)]]</f>
        <v>0</v>
      </c>
      <c r="L473" s="1095">
        <f t="shared" si="44"/>
        <v>0</v>
      </c>
      <c r="M473" s="1184" t="e">
        <f>VLOOKUP(C473,'Cash balance (BS)'!A:D,4,)</f>
        <v>#N/A</v>
      </c>
      <c r="N473" s="1095" t="e">
        <f>Table11[[#This Row],[CLOSING BALANCE (VND)2]]-Table11[[#This Row],[CB_BS (VND)]]</f>
        <v>#N/A</v>
      </c>
      <c r="O473" s="1094">
        <v>0</v>
      </c>
      <c r="P473" s="1095">
        <f t="shared" si="45"/>
        <v>0</v>
      </c>
      <c r="Q473" s="817">
        <f>SUMIFS('Cash balance (Prior period)'!G:G,'Cash balance (Prior period)'!C:C,Table11[[#This Row],[ACCOUNT NUMBER]],'Cash balance (Prior period)'!E:E,Table11[[#This Row],[CURRENCY]])</f>
        <v>0</v>
      </c>
      <c r="R473" s="817">
        <f>SUMIFS(Movement!$F$4:$F$2136,Movement!$M$4:$M$2136,"USD",Movement!$C$4:$C$2136,Table11[[#This Row],[ACCOUNT NUMBER]],Movement!$J$4:$J$2136,Table11[[#This Row],[ENTITY]],Movement!$O$4:$O$2136,'Cash Balance'!$A$2)</f>
        <v>0</v>
      </c>
      <c r="S473" s="817">
        <f>SUMIFS(Movement!$G$4:$G$2136,Movement!$M$4:$M$2136,"USD",Movement!$C$4:$C$2136,Table11[[#This Row],[ACCOUNT NUMBER]],Movement!$J$4:$J$2136,Table11[[#This Row],[ENTITY]],Movement!$O$4:$O$2136,'Cash Balance'!$A$2)</f>
        <v>0</v>
      </c>
      <c r="T473" s="1087">
        <f t="shared" si="46"/>
        <v>0</v>
      </c>
      <c r="U473" s="817"/>
      <c r="V473" s="817">
        <f>Table11[[#This Row],[CLOSING BALANCE (USD)]]-Table11[[#This Row],[CB_BS (USD)]]</f>
        <v>0</v>
      </c>
      <c r="W473" s="1156" t="str">
        <f>VLOOKUP('Cash Balance'!$C473,Table2[#All],MATCH('Cash Balance'!W$3,Acc_Char!$B$1:$I$1,0),0)</f>
        <v>Subsidiaries</v>
      </c>
      <c r="X473" s="1156" t="str">
        <f>VLOOKUP(IFERROR(MID($Y473,1,FIND("-",$Y473)-2),$Y473),Table3[#All],2,0)</f>
        <v>VTB</v>
      </c>
      <c r="Y473" s="1156" t="str">
        <f>VLOOKUP($B473,Table4[#All],2,0)</f>
        <v>VIETINBANK - TIEN SON</v>
      </c>
      <c r="Z473" s="1151"/>
      <c r="AA473" s="49"/>
    </row>
    <row r="474" spans="1:34">
      <c r="A474" s="1153" t="str">
        <f>VLOOKUP('Cash Balance'!$C474,Table2[#All],MATCH('Cash Balance'!A$3,Acc_Char!$B$1:$I$1,0),0)</f>
        <v>BW DONG HAI</v>
      </c>
      <c r="B474" s="1154" t="str">
        <f>VLOOKUP('Cash Balance'!$C474,Table2[#All],MATCH('Cash Balance'!B$3,Acc_Char!$B$1:$I$1,0),0)</f>
        <v>BIDV - THANH XUAN</v>
      </c>
      <c r="C474" s="1190" t="s">
        <v>1087</v>
      </c>
      <c r="D474" s="1156" t="str">
        <f>VLOOKUP('Cash Balance'!$C474,Table2[#All],MATCH('Cash Balance'!D$3,Acc_Char!$B$1:$I$1,0),0)</f>
        <v>Saving Account</v>
      </c>
      <c r="E474" s="384" t="str">
        <f>VLOOKUP('Cash Balance'!$C474,Table2[#All],MATCH('Cash Balance'!E$3,Acc_Char!$B$1:$I$1,0),0)</f>
        <v>VND</v>
      </c>
      <c r="F474" s="1094" t="e">
        <f>VLOOKUP(C474,'Cash balance (BS)'!A:C,3,)</f>
        <v>#N/A</v>
      </c>
      <c r="G474" s="1157" t="e">
        <f t="shared" si="43"/>
        <v>#N/A</v>
      </c>
      <c r="H474" s="1318">
        <f>SUMIFS('Cash balance (Prior period)'!F:F,'Cash balance (Prior period)'!C:C,Table11[[#This Row],[ACCOUNT NUMBER]],'Cash balance (Prior period)'!E:E,Table11[[#This Row],[CURRENCY]])</f>
        <v>4000000000</v>
      </c>
      <c r="I474" s="1318">
        <f>SUMIFS(Movement!$F$4:$F$2136,Movement!$M$4:$M$2136,"VND",Movement!$C$4:$C$2136,Table11[[#This Row],[ACCOUNT NUMBER]],Movement!$J$4:$J$2136,Table11[[#This Row],[ENTITY]],Movement!$O$4:$O$2136,'Cash Balance'!$A$2)</f>
        <v>0</v>
      </c>
      <c r="J474" s="1318">
        <f>SUMIFS(Movement!$G$4:$G$2136,Movement!$M$4:$M$2136,"VND",Movement!$C$4:$C$2136,Table11[[#This Row],[ACCOUNT NUMBER]],Movement!$J$4:$J$2136,Table11[[#This Row],[ENTITY]],Movement!$O$4:$O$2136,'Cash Balance'!$A$2)</f>
        <v>0</v>
      </c>
      <c r="K474" s="1084">
        <f>Table11[[#This Row],[CASH IN - CREDIT (VND)]]-Table11[[#This Row],[CASH OUT - DEBIT (VND)]]</f>
        <v>0</v>
      </c>
      <c r="L474" s="1095">
        <f t="shared" si="44"/>
        <v>4000000000</v>
      </c>
      <c r="M474" s="1184" t="e">
        <f>VLOOKUP(C474,'Cash balance (BS)'!A:D,4,)</f>
        <v>#N/A</v>
      </c>
      <c r="N474" s="1095" t="e">
        <f>Table11[[#This Row],[CLOSING BALANCE (VND)2]]-Table11[[#This Row],[CB_BS (VND)]]</f>
        <v>#N/A</v>
      </c>
      <c r="O474" s="1094">
        <v>0</v>
      </c>
      <c r="P474" s="1095">
        <f t="shared" si="45"/>
        <v>0</v>
      </c>
      <c r="Q474" s="817">
        <f>SUMIFS('Cash balance (Prior period)'!G:G,'Cash balance (Prior period)'!C:C,Table11[[#This Row],[ACCOUNT NUMBER]],'Cash balance (Prior period)'!E:E,Table11[[#This Row],[CURRENCY]])</f>
        <v>0</v>
      </c>
      <c r="R474" s="817">
        <f>SUMIFS(Movement!$F$4:$F$2136,Movement!$M$4:$M$2136,"USD",Movement!$C$4:$C$2136,Table11[[#This Row],[ACCOUNT NUMBER]],Movement!$J$4:$J$2136,Table11[[#This Row],[ENTITY]],Movement!$O$4:$O$2136,'Cash Balance'!$A$2)</f>
        <v>0</v>
      </c>
      <c r="S474" s="817">
        <f>SUMIFS(Movement!$G$4:$G$2136,Movement!$M$4:$M$2136,"USD",Movement!$C$4:$C$2136,Table11[[#This Row],[ACCOUNT NUMBER]],Movement!$J$4:$J$2136,Table11[[#This Row],[ENTITY]],Movement!$O$4:$O$2136,'Cash Balance'!$A$2)</f>
        <v>0</v>
      </c>
      <c r="T474" s="1087">
        <f t="shared" si="46"/>
        <v>0</v>
      </c>
      <c r="U474" s="817"/>
      <c r="V474" s="817">
        <f>Table11[[#This Row],[CLOSING BALANCE (USD)]]-Table11[[#This Row],[CB_BS (USD)]]</f>
        <v>0</v>
      </c>
      <c r="W474" s="1156" t="str">
        <f>VLOOKUP('Cash Balance'!$C474,Table2[#All],MATCH('Cash Balance'!W$3,Acc_Char!$B$1:$I$1,0),0)</f>
        <v>Subsidiaries</v>
      </c>
      <c r="X474" s="1156" t="str">
        <f>VLOOKUP(IFERROR(MID($Y474,1,FIND("-",$Y474)-2),$Y474),Table3[#All],2,0)</f>
        <v>BIDV</v>
      </c>
      <c r="Y474" s="1156" t="str">
        <f>VLOOKUP($B474,Table4[#All],2,0)</f>
        <v>BIDV - THANH XUAN</v>
      </c>
      <c r="Z474" s="1151"/>
      <c r="AA474" s="49"/>
    </row>
    <row r="475" spans="1:34">
      <c r="A475" s="1153" t="str">
        <f>VLOOKUP('Cash Balance'!$C475,Table2[#All],MATCH('Cash Balance'!A$3,Acc_Char!$B$1:$I$1,0),0)</f>
        <v>BW PHU NGHIA</v>
      </c>
      <c r="B475" s="1154" t="str">
        <f>VLOOKUP('Cash Balance'!$C475,Table2[#All],MATCH('Cash Balance'!B$3,Acc_Char!$B$1:$I$1,0),0)</f>
        <v>BIDV - THANH XUAN</v>
      </c>
      <c r="C475" s="1190" t="s">
        <v>1088</v>
      </c>
      <c r="D475" s="1156" t="str">
        <f>VLOOKUP('Cash Balance'!$C475,Table2[#All],MATCH('Cash Balance'!D$3,Acc_Char!$B$1:$I$1,0),0)</f>
        <v>Saving Account</v>
      </c>
      <c r="E475" s="384" t="str">
        <f>VLOOKUP('Cash Balance'!$C475,Table2[#All],MATCH('Cash Balance'!E$3,Acc_Char!$B$1:$I$1,0),0)</f>
        <v>VND</v>
      </c>
      <c r="F475" s="1094" t="e">
        <f>VLOOKUP(C475,'Cash balance (BS)'!A:C,3,)</f>
        <v>#N/A</v>
      </c>
      <c r="G475" s="1157" t="e">
        <f t="shared" si="43"/>
        <v>#N/A</v>
      </c>
      <c r="H475" s="1318">
        <f>SUMIFS('Cash balance (Prior period)'!F:F,'Cash balance (Prior period)'!C:C,Table11[[#This Row],[ACCOUNT NUMBER]],'Cash balance (Prior period)'!E:E,Table11[[#This Row],[CURRENCY]])</f>
        <v>4000000000</v>
      </c>
      <c r="I475" s="1318">
        <f>SUMIFS(Movement!$F$4:$F$2136,Movement!$M$4:$M$2136,"VND",Movement!$C$4:$C$2136,Table11[[#This Row],[ACCOUNT NUMBER]],Movement!$J$4:$J$2136,Table11[[#This Row],[ENTITY]],Movement!$O$4:$O$2136,'Cash Balance'!$A$2)</f>
        <v>0</v>
      </c>
      <c r="J475" s="1318">
        <f>SUMIFS(Movement!$G$4:$G$2136,Movement!$M$4:$M$2136,"VND",Movement!$C$4:$C$2136,Table11[[#This Row],[ACCOUNT NUMBER]],Movement!$J$4:$J$2136,Table11[[#This Row],[ENTITY]],Movement!$O$4:$O$2136,'Cash Balance'!$A$2)</f>
        <v>0</v>
      </c>
      <c r="K475" s="1084">
        <f>Table11[[#This Row],[CASH IN - CREDIT (VND)]]-Table11[[#This Row],[CASH OUT - DEBIT (VND)]]</f>
        <v>0</v>
      </c>
      <c r="L475" s="1095">
        <f t="shared" si="44"/>
        <v>4000000000</v>
      </c>
      <c r="M475" s="1184" t="e">
        <f>VLOOKUP(C475,'Cash balance (BS)'!A:D,4,)</f>
        <v>#N/A</v>
      </c>
      <c r="N475" s="1095" t="e">
        <f>Table11[[#This Row],[CLOSING BALANCE (VND)2]]-Table11[[#This Row],[CB_BS (VND)]]</f>
        <v>#N/A</v>
      </c>
      <c r="O475" s="1094">
        <v>0</v>
      </c>
      <c r="P475" s="1095">
        <f t="shared" si="45"/>
        <v>0</v>
      </c>
      <c r="Q475" s="817">
        <f>SUMIFS('Cash balance (Prior period)'!G:G,'Cash balance (Prior period)'!C:C,Table11[[#This Row],[ACCOUNT NUMBER]],'Cash balance (Prior period)'!E:E,Table11[[#This Row],[CURRENCY]])</f>
        <v>0</v>
      </c>
      <c r="R475" s="817">
        <f>SUMIFS(Movement!$F$4:$F$2136,Movement!$M$4:$M$2136,"USD",Movement!$C$4:$C$2136,Table11[[#This Row],[ACCOUNT NUMBER]],Movement!$J$4:$J$2136,Table11[[#This Row],[ENTITY]],Movement!$O$4:$O$2136,'Cash Balance'!$A$2)</f>
        <v>0</v>
      </c>
      <c r="S475" s="817">
        <f>SUMIFS(Movement!$G$4:$G$2136,Movement!$M$4:$M$2136,"USD",Movement!$C$4:$C$2136,Table11[[#This Row],[ACCOUNT NUMBER]],Movement!$J$4:$J$2136,Table11[[#This Row],[ENTITY]],Movement!$O$4:$O$2136,'Cash Balance'!$A$2)</f>
        <v>0</v>
      </c>
      <c r="T475" s="1087">
        <f t="shared" si="46"/>
        <v>0</v>
      </c>
      <c r="U475" s="817"/>
      <c r="V475" s="817">
        <f>Table11[[#This Row],[CLOSING BALANCE (USD)]]-Table11[[#This Row],[CB_BS (USD)]]</f>
        <v>0</v>
      </c>
      <c r="W475" s="1156" t="str">
        <f>VLOOKUP('Cash Balance'!$C475,Table2[#All],MATCH('Cash Balance'!W$3,Acc_Char!$B$1:$I$1,0),0)</f>
        <v>Subsidiaries</v>
      </c>
      <c r="X475" s="1156" t="str">
        <f>VLOOKUP(IFERROR(MID($Y475,1,FIND("-",$Y475)-2),$Y475),Table3[#All],2,0)</f>
        <v>BIDV</v>
      </c>
      <c r="Y475" s="1156" t="str">
        <f>VLOOKUP($B475,Table4[#All],2,0)</f>
        <v>BIDV - THANH XUAN</v>
      </c>
      <c r="Z475" s="1151"/>
      <c r="AA475" s="49"/>
    </row>
    <row r="476" spans="1:34">
      <c r="A476" s="1153" t="str">
        <f>VLOOKUP('Cash Balance'!$C476,Table2[#All],MATCH('Cash Balance'!A$3,Acc_Char!$B$1:$I$1,0),0)</f>
        <v>BW NAM HAI</v>
      </c>
      <c r="B476" s="1154" t="str">
        <f>VLOOKUP('Cash Balance'!$C476,Table2[#All],MATCH('Cash Balance'!B$3,Acc_Char!$B$1:$I$1,0),0)</f>
        <v>VIETCOMBANK - BA DINH</v>
      </c>
      <c r="C476" s="1190" t="s">
        <v>1089</v>
      </c>
      <c r="D476" s="1156" t="str">
        <f>VLOOKUP('Cash Balance'!$C476,Table2[#All],MATCH('Cash Balance'!D$3,Acc_Char!$B$1:$I$1,0),0)</f>
        <v>Saving Account</v>
      </c>
      <c r="E476" s="384" t="str">
        <f>VLOOKUP('Cash Balance'!$C476,Table2[#All],MATCH('Cash Balance'!E$3,Acc_Char!$B$1:$I$1,0),0)</f>
        <v>VND</v>
      </c>
      <c r="F476" s="1094" t="e">
        <f>VLOOKUP(C476,'Cash balance (BS)'!A:C,3,)</f>
        <v>#N/A</v>
      </c>
      <c r="G476" s="1157" t="e">
        <f t="shared" si="43"/>
        <v>#N/A</v>
      </c>
      <c r="H476" s="1318">
        <f>SUMIFS('Cash balance (Prior period)'!F:F,'Cash balance (Prior period)'!C:C,Table11[[#This Row],[ACCOUNT NUMBER]],'Cash balance (Prior period)'!E:E,Table11[[#This Row],[CURRENCY]])</f>
        <v>7000000000</v>
      </c>
      <c r="I476" s="1318">
        <f>SUMIFS(Movement!$F$4:$F$2136,Movement!$M$4:$M$2136,"VND",Movement!$C$4:$C$2136,Table11[[#This Row],[ACCOUNT NUMBER]],Movement!$J$4:$J$2136,Table11[[#This Row],[ENTITY]],Movement!$O$4:$O$2136,'Cash Balance'!$A$2)</f>
        <v>0</v>
      </c>
      <c r="J476" s="1318">
        <f>SUMIFS(Movement!$G$4:$G$2136,Movement!$M$4:$M$2136,"VND",Movement!$C$4:$C$2136,Table11[[#This Row],[ACCOUNT NUMBER]],Movement!$J$4:$J$2136,Table11[[#This Row],[ENTITY]],Movement!$O$4:$O$2136,'Cash Balance'!$A$2)</f>
        <v>0</v>
      </c>
      <c r="K476" s="1084">
        <f>Table11[[#This Row],[CASH IN - CREDIT (VND)]]-Table11[[#This Row],[CASH OUT - DEBIT (VND)]]</f>
        <v>0</v>
      </c>
      <c r="L476" s="1095">
        <f t="shared" si="44"/>
        <v>7000000000</v>
      </c>
      <c r="M476" s="1184" t="e">
        <f>VLOOKUP(C476,'Cash balance (BS)'!A:D,4,)</f>
        <v>#N/A</v>
      </c>
      <c r="N476" s="1095" t="e">
        <f>Table11[[#This Row],[CLOSING BALANCE (VND)2]]-Table11[[#This Row],[CB_BS (VND)]]</f>
        <v>#N/A</v>
      </c>
      <c r="O476" s="1094">
        <v>0</v>
      </c>
      <c r="P476" s="1095">
        <f t="shared" si="45"/>
        <v>0</v>
      </c>
      <c r="Q476" s="817">
        <f>SUMIFS('Cash balance (Prior period)'!G:G,'Cash balance (Prior period)'!C:C,Table11[[#This Row],[ACCOUNT NUMBER]],'Cash balance (Prior period)'!E:E,Table11[[#This Row],[CURRENCY]])</f>
        <v>0</v>
      </c>
      <c r="R476" s="817">
        <f>SUMIFS(Movement!$F$4:$F$2136,Movement!$M$4:$M$2136,"USD",Movement!$C$4:$C$2136,Table11[[#This Row],[ACCOUNT NUMBER]],Movement!$J$4:$J$2136,Table11[[#This Row],[ENTITY]],Movement!$O$4:$O$2136,'Cash Balance'!$A$2)</f>
        <v>0</v>
      </c>
      <c r="S476" s="817">
        <f>SUMIFS(Movement!$G$4:$G$2136,Movement!$M$4:$M$2136,"USD",Movement!$C$4:$C$2136,Table11[[#This Row],[ACCOUNT NUMBER]],Movement!$J$4:$J$2136,Table11[[#This Row],[ENTITY]],Movement!$O$4:$O$2136,'Cash Balance'!$A$2)</f>
        <v>0</v>
      </c>
      <c r="T476" s="1087">
        <f t="shared" si="46"/>
        <v>0</v>
      </c>
      <c r="U476" s="817"/>
      <c r="V476" s="817">
        <f>Table11[[#This Row],[CLOSING BALANCE (USD)]]-Table11[[#This Row],[CB_BS (USD)]]</f>
        <v>0</v>
      </c>
      <c r="W476" s="1156" t="str">
        <f>VLOOKUP('Cash Balance'!$C476,Table2[#All],MATCH('Cash Balance'!W$3,Acc_Char!$B$1:$I$1,0),0)</f>
        <v>Subsidiaries</v>
      </c>
      <c r="X476" s="1156" t="str">
        <f>VLOOKUP(IFERROR(MID($Y476,1,FIND("-",$Y476)-2),$Y476),Table3[#All],2,0)</f>
        <v>VCB</v>
      </c>
      <c r="Y476" s="1156" t="str">
        <f>VLOOKUP($B476,Table4[#All],2,0)</f>
        <v>VIETCOMBANK - BA DINH</v>
      </c>
      <c r="Z476" s="1151"/>
      <c r="AA476" s="49"/>
    </row>
    <row r="477" spans="1:34">
      <c r="A477" s="1153" t="str">
        <f>VLOOKUP('Cash Balance'!$C477,Table2[#All],MATCH('Cash Balance'!A$3,Acc_Char!$B$1:$I$1,0),0)</f>
        <v>BW SAI GON</v>
      </c>
      <c r="B477" s="1154" t="str">
        <f>VLOOKUP('Cash Balance'!$C477,Table2[#All],MATCH('Cash Balance'!B$3,Acc_Char!$B$1:$I$1,0),0)</f>
        <v>SINOPAC</v>
      </c>
      <c r="C477" s="1190" t="s">
        <v>1090</v>
      </c>
      <c r="D477" s="1156" t="str">
        <f>VLOOKUP('Cash Balance'!$C477,Table2[#All],MATCH('Cash Balance'!D$3,Acc_Char!$B$1:$I$1,0),0)</f>
        <v>Saving Account</v>
      </c>
      <c r="E477" s="384" t="str">
        <f>VLOOKUP('Cash Balance'!$C477,Table2[#All],MATCH('Cash Balance'!E$3,Acc_Char!$B$1:$I$1,0),0)</f>
        <v>VND</v>
      </c>
      <c r="F477" s="1094" t="e">
        <f>VLOOKUP(C477,'Cash balance (BS)'!A:C,3,)</f>
        <v>#N/A</v>
      </c>
      <c r="G477" s="1157" t="e">
        <f t="shared" si="43"/>
        <v>#N/A</v>
      </c>
      <c r="H477" s="1318">
        <f>SUMIFS('Cash balance (Prior period)'!F:F,'Cash balance (Prior period)'!C:C,Table11[[#This Row],[ACCOUNT NUMBER]],'Cash balance (Prior period)'!E:E,Table11[[#This Row],[CURRENCY]])</f>
        <v>20000000000</v>
      </c>
      <c r="I477" s="1318">
        <f>SUMIFS(Movement!$F$4:$F$2136,Movement!$M$4:$M$2136,"VND",Movement!$C$4:$C$2136,Table11[[#This Row],[ACCOUNT NUMBER]],Movement!$J$4:$J$2136,Table11[[#This Row],[ENTITY]],Movement!$O$4:$O$2136,'Cash Balance'!$A$2)</f>
        <v>0</v>
      </c>
      <c r="J477" s="1318">
        <f>SUMIFS(Movement!$G$4:$G$2136,Movement!$M$4:$M$2136,"VND",Movement!$C$4:$C$2136,Table11[[#This Row],[ACCOUNT NUMBER]],Movement!$J$4:$J$2136,Table11[[#This Row],[ENTITY]],Movement!$O$4:$O$2136,'Cash Balance'!$A$2)</f>
        <v>0</v>
      </c>
      <c r="K477" s="1084">
        <f>Table11[[#This Row],[CASH IN - CREDIT (VND)]]-Table11[[#This Row],[CASH OUT - DEBIT (VND)]]</f>
        <v>0</v>
      </c>
      <c r="L477" s="1095">
        <f t="shared" si="44"/>
        <v>20000000000</v>
      </c>
      <c r="M477" s="1184" t="e">
        <f>VLOOKUP(C477,'Cash balance (BS)'!A:D,4,)</f>
        <v>#N/A</v>
      </c>
      <c r="N477" s="1095" t="e">
        <f>Table11[[#This Row],[CLOSING BALANCE (VND)2]]-Table11[[#This Row],[CB_BS (VND)]]</f>
        <v>#N/A</v>
      </c>
      <c r="O477" s="1094">
        <v>0</v>
      </c>
      <c r="P477" s="1095">
        <f t="shared" si="45"/>
        <v>0</v>
      </c>
      <c r="Q477" s="817">
        <f>SUMIFS('Cash balance (Prior period)'!G:G,'Cash balance (Prior period)'!C:C,Table11[[#This Row],[ACCOUNT NUMBER]],'Cash balance (Prior period)'!E:E,Table11[[#This Row],[CURRENCY]])</f>
        <v>0</v>
      </c>
      <c r="R477" s="817">
        <f>SUMIFS(Movement!$F$4:$F$2136,Movement!$M$4:$M$2136,"USD",Movement!$C$4:$C$2136,Table11[[#This Row],[ACCOUNT NUMBER]],Movement!$J$4:$J$2136,Table11[[#This Row],[ENTITY]],Movement!$O$4:$O$2136,'Cash Balance'!$A$2)</f>
        <v>0</v>
      </c>
      <c r="S477" s="817">
        <f>SUMIFS(Movement!$G$4:$G$2136,Movement!$M$4:$M$2136,"USD",Movement!$C$4:$C$2136,Table11[[#This Row],[ACCOUNT NUMBER]],Movement!$J$4:$J$2136,Table11[[#This Row],[ENTITY]],Movement!$O$4:$O$2136,'Cash Balance'!$A$2)</f>
        <v>0</v>
      </c>
      <c r="T477" s="1087">
        <f t="shared" si="46"/>
        <v>0</v>
      </c>
      <c r="U477" s="817"/>
      <c r="V477" s="817">
        <f>Table11[[#This Row],[CLOSING BALANCE (USD)]]-Table11[[#This Row],[CB_BS (USD)]]</f>
        <v>0</v>
      </c>
      <c r="W477" s="1156" t="str">
        <f>VLOOKUP('Cash Balance'!$C477,Table2[#All],MATCH('Cash Balance'!W$3,Acc_Char!$B$1:$I$1,0),0)</f>
        <v>Subsidiaries</v>
      </c>
      <c r="X477" s="1156" t="str">
        <f>VLOOKUP(IFERROR(MID($Y477,1,FIND("-",$Y477)-2),$Y477),Table3[#All],2,0)</f>
        <v>SNP</v>
      </c>
      <c r="Y477" s="1156" t="str">
        <f>VLOOKUP($B477,Table4[#All],2,0)</f>
        <v>SINOPAC</v>
      </c>
      <c r="Z477" s="1151"/>
      <c r="AA477" s="49"/>
    </row>
    <row r="478" spans="1:34">
      <c r="A478" s="1153" t="str">
        <f>VLOOKUP('Cash Balance'!$C478,Table2[#All],MATCH('Cash Balance'!A$3,Acc_Char!$B$1:$I$1,0),0)</f>
        <v>SUPPLY CHAIN 2A</v>
      </c>
      <c r="B478" s="1154" t="str">
        <f>VLOOKUP('Cash Balance'!$C478,Table2[#All],MATCH('Cash Balance'!B$3,Acc_Char!$B$1:$I$1,0),0)</f>
        <v>VIB - HOI SO</v>
      </c>
      <c r="C478" s="1190" t="s">
        <v>1091</v>
      </c>
      <c r="D478" s="1156" t="str">
        <f>VLOOKUP('Cash Balance'!$C478,Table2[#All],MATCH('Cash Balance'!D$3,Acc_Char!$B$1:$I$1,0),0)</f>
        <v>Saving Account</v>
      </c>
      <c r="E478" s="384" t="str">
        <f>VLOOKUP('Cash Balance'!$C478,Table2[#All],MATCH('Cash Balance'!E$3,Acc_Char!$B$1:$I$1,0),0)</f>
        <v>VND</v>
      </c>
      <c r="F478" s="1094" t="e">
        <f>VLOOKUP(C478,'Cash balance (BS)'!A:C,3,)</f>
        <v>#N/A</v>
      </c>
      <c r="G478" s="1157" t="e">
        <f t="shared" si="43"/>
        <v>#N/A</v>
      </c>
      <c r="H478" s="1318">
        <f>SUMIFS('Cash balance (Prior period)'!F:F,'Cash balance (Prior period)'!C:C,Table11[[#This Row],[ACCOUNT NUMBER]],'Cash balance (Prior period)'!E:E,Table11[[#This Row],[CURRENCY]])</f>
        <v>2600000000</v>
      </c>
      <c r="I478" s="1318">
        <f>SUMIFS(Movement!$F$4:$F$2136,Movement!$M$4:$M$2136,"VND",Movement!$C$4:$C$2136,Table11[[#This Row],[ACCOUNT NUMBER]],Movement!$J$4:$J$2136,Table11[[#This Row],[ENTITY]],Movement!$O$4:$O$2136,'Cash Balance'!$A$2)</f>
        <v>0</v>
      </c>
      <c r="J478" s="1318">
        <f>SUMIFS(Movement!$G$4:$G$2136,Movement!$M$4:$M$2136,"VND",Movement!$C$4:$C$2136,Table11[[#This Row],[ACCOUNT NUMBER]],Movement!$J$4:$J$2136,Table11[[#This Row],[ENTITY]],Movement!$O$4:$O$2136,'Cash Balance'!$A$2)</f>
        <v>0</v>
      </c>
      <c r="K478" s="1084">
        <f>Table11[[#This Row],[CASH IN - CREDIT (VND)]]-Table11[[#This Row],[CASH OUT - DEBIT (VND)]]</f>
        <v>0</v>
      </c>
      <c r="L478" s="1095">
        <f t="shared" si="44"/>
        <v>2600000000</v>
      </c>
      <c r="M478" s="1184" t="e">
        <f>VLOOKUP(C478,'Cash balance (BS)'!A:D,4,)</f>
        <v>#N/A</v>
      </c>
      <c r="N478" s="1095" t="e">
        <f>Table11[[#This Row],[CLOSING BALANCE (VND)2]]-Table11[[#This Row],[CB_BS (VND)]]</f>
        <v>#N/A</v>
      </c>
      <c r="O478" s="1094">
        <v>0</v>
      </c>
      <c r="P478" s="1095">
        <f t="shared" si="45"/>
        <v>0</v>
      </c>
      <c r="Q478" s="817">
        <f>SUMIFS('Cash balance (Prior period)'!G:G,'Cash balance (Prior period)'!C:C,Table11[[#This Row],[ACCOUNT NUMBER]],'Cash balance (Prior period)'!E:E,Table11[[#This Row],[CURRENCY]])</f>
        <v>0</v>
      </c>
      <c r="R478" s="817">
        <f>SUMIFS(Movement!$F$4:$F$2136,Movement!$M$4:$M$2136,"USD",Movement!$C$4:$C$2136,Table11[[#This Row],[ACCOUNT NUMBER]],Movement!$J$4:$J$2136,Table11[[#This Row],[ENTITY]],Movement!$O$4:$O$2136,'Cash Balance'!$A$2)</f>
        <v>0</v>
      </c>
      <c r="S478" s="817">
        <f>SUMIFS(Movement!$G$4:$G$2136,Movement!$M$4:$M$2136,"USD",Movement!$C$4:$C$2136,Table11[[#This Row],[ACCOUNT NUMBER]],Movement!$J$4:$J$2136,Table11[[#This Row],[ENTITY]],Movement!$O$4:$O$2136,'Cash Balance'!$A$2)</f>
        <v>0</v>
      </c>
      <c r="T478" s="1087">
        <f t="shared" si="46"/>
        <v>0</v>
      </c>
      <c r="U478" s="817"/>
      <c r="V478" s="817">
        <f>Table11[[#This Row],[CLOSING BALANCE (USD)]]-Table11[[#This Row],[CB_BS (USD)]]</f>
        <v>0</v>
      </c>
      <c r="W478" s="1156" t="str">
        <f>VLOOKUP('Cash Balance'!$C478,Table2[#All],MATCH('Cash Balance'!W$3,Acc_Char!$B$1:$I$1,0),0)</f>
        <v>Subsidiaries</v>
      </c>
      <c r="X478" s="1156" t="str">
        <f>VLOOKUP(IFERROR(MID($Y478,1,FIND("-",$Y478)-2),$Y478),Table3[#All],2,0)</f>
        <v>VIB</v>
      </c>
      <c r="Y478" s="1156" t="str">
        <f>VLOOKUP($B478,Table4[#All],2,0)</f>
        <v>VIB - HOI SO</v>
      </c>
      <c r="Z478" s="1151"/>
      <c r="AA478" s="49"/>
    </row>
    <row r="479" spans="1:34">
      <c r="A479" s="1153" t="str">
        <f>VLOOKUP('Cash Balance'!$C479,Table2[#All],MATCH('Cash Balance'!A$3,Acc_Char!$B$1:$I$1,0),0)</f>
        <v>TCS JSC</v>
      </c>
      <c r="B479" s="1154" t="str">
        <f>VLOOKUP('Cash Balance'!$C479,Table2[#All],MATCH('Cash Balance'!B$3,Acc_Char!$B$1:$I$1,0),0)</f>
        <v>BIDV - THANH XUAN</v>
      </c>
      <c r="C479" s="1190" t="s">
        <v>1092</v>
      </c>
      <c r="D479" s="1156" t="str">
        <f>VLOOKUP('Cash Balance'!$C479,Table2[#All],MATCH('Cash Balance'!D$3,Acc_Char!$B$1:$I$1,0),0)</f>
        <v>Current Account</v>
      </c>
      <c r="E479" s="384" t="str">
        <f>VLOOKUP('Cash Balance'!$C479,Table2[#All],MATCH('Cash Balance'!E$3,Acc_Char!$B$1:$I$1,0),0)</f>
        <v>VND</v>
      </c>
      <c r="F479" s="1094" t="e">
        <f>VLOOKUP(C479,'Cash balance (BS)'!A:C,3,)</f>
        <v>#N/A</v>
      </c>
      <c r="G479" s="1157" t="e">
        <f t="shared" si="43"/>
        <v>#N/A</v>
      </c>
      <c r="H479" s="1318">
        <f>SUMIFS('Cash balance (Prior period)'!F:F,'Cash balance (Prior period)'!C:C,Table11[[#This Row],[ACCOUNT NUMBER]],'Cash balance (Prior period)'!E:E,Table11[[#This Row],[CURRENCY]])</f>
        <v>1134540886</v>
      </c>
      <c r="I479" s="1318">
        <f>SUMIFS(Movement!$F$4:$F$2136,Movement!$M$4:$M$2136,"VND",Movement!$C$4:$C$2136,Table11[[#This Row],[ACCOUNT NUMBER]],Movement!$J$4:$J$2136,Table11[[#This Row],[ENTITY]],Movement!$O$4:$O$2136,'Cash Balance'!$A$2)</f>
        <v>0</v>
      </c>
      <c r="J479" s="1318">
        <f>SUMIFS(Movement!$G$4:$G$2136,Movement!$M$4:$M$2136,"VND",Movement!$C$4:$C$2136,Table11[[#This Row],[ACCOUNT NUMBER]],Movement!$J$4:$J$2136,Table11[[#This Row],[ENTITY]],Movement!$O$4:$O$2136,'Cash Balance'!$A$2)</f>
        <v>374243043</v>
      </c>
      <c r="K479" s="1084">
        <f>Table11[[#This Row],[CASH IN - CREDIT (VND)]]-Table11[[#This Row],[CASH OUT - DEBIT (VND)]]</f>
        <v>-374243043</v>
      </c>
      <c r="L479" s="1095">
        <f t="shared" si="44"/>
        <v>760297843</v>
      </c>
      <c r="M479" s="1184" t="e">
        <f>VLOOKUP(C479,'Cash balance (BS)'!A:D,4,)</f>
        <v>#N/A</v>
      </c>
      <c r="N479" s="1095" t="e">
        <f>Table11[[#This Row],[CLOSING BALANCE (VND)2]]-Table11[[#This Row],[CB_BS (VND)]]</f>
        <v>#N/A</v>
      </c>
      <c r="O479" s="1094">
        <v>0</v>
      </c>
      <c r="P479" s="1095">
        <f t="shared" si="45"/>
        <v>0</v>
      </c>
      <c r="Q479" s="817">
        <f>SUMIFS('Cash balance (Prior period)'!G:G,'Cash balance (Prior period)'!C:C,Table11[[#This Row],[ACCOUNT NUMBER]],'Cash balance (Prior period)'!E:E,Table11[[#This Row],[CURRENCY]])</f>
        <v>0</v>
      </c>
      <c r="R479" s="817">
        <f>SUMIFS(Movement!$F$4:$F$2136,Movement!$M$4:$M$2136,"USD",Movement!$C$4:$C$2136,Table11[[#This Row],[ACCOUNT NUMBER]],Movement!$J$4:$J$2136,Table11[[#This Row],[ENTITY]],Movement!$O$4:$O$2136,'Cash Balance'!$A$2)</f>
        <v>0</v>
      </c>
      <c r="S479" s="817">
        <f>SUMIFS(Movement!$G$4:$G$2136,Movement!$M$4:$M$2136,"USD",Movement!$C$4:$C$2136,Table11[[#This Row],[ACCOUNT NUMBER]],Movement!$J$4:$J$2136,Table11[[#This Row],[ENTITY]],Movement!$O$4:$O$2136,'Cash Balance'!$A$2)</f>
        <v>0</v>
      </c>
      <c r="T479" s="1087">
        <f t="shared" si="46"/>
        <v>0</v>
      </c>
      <c r="U479" s="817"/>
      <c r="V479" s="817">
        <f>Table11[[#This Row],[CLOSING BALANCE (USD)]]-Table11[[#This Row],[CB_BS (USD)]]</f>
        <v>0</v>
      </c>
      <c r="W479" s="1156" t="str">
        <f>VLOOKUP('Cash Balance'!$C479,Table2[#All],MATCH('Cash Balance'!W$3,Acc_Char!$B$1:$I$1,0),0)</f>
        <v>Subsidiaries</v>
      </c>
      <c r="X479" s="1156" t="str">
        <f>VLOOKUP(IFERROR(MID($Y479,1,FIND("-",$Y479)-2),$Y479),Table3[#All],2,0)</f>
        <v>BIDV</v>
      </c>
      <c r="Y479" s="1156" t="str">
        <f>VLOOKUP($B479,Table4[#All],2,0)</f>
        <v>BIDV - THANH XUAN</v>
      </c>
      <c r="Z479" s="1151"/>
      <c r="AA479" s="49"/>
      <c r="AH479" s="2" t="s">
        <v>466</v>
      </c>
    </row>
    <row r="480" spans="1:34">
      <c r="A480" s="1153" t="str">
        <f>VLOOKUP('Cash Balance'!$C480,Table2[#All],MATCH('Cash Balance'!A$3,Acc_Char!$B$1:$I$1,0),0)</f>
        <v>HOLDCO4V</v>
      </c>
      <c r="B480" s="1154" t="str">
        <f>VLOOKUP('Cash Balance'!$C480,Table2[#All],MATCH('Cash Balance'!B$3,Acc_Char!$B$1:$I$1,0),0)</f>
        <v>UOB - HCM</v>
      </c>
      <c r="C480" s="1190" t="s">
        <v>1093</v>
      </c>
      <c r="D480" s="1156" t="str">
        <f>VLOOKUP('Cash Balance'!$C480,Table2[#All],MATCH('Cash Balance'!D$3,Acc_Char!$B$1:$I$1,0),0)</f>
        <v>Current Account</v>
      </c>
      <c r="E480" s="384" t="str">
        <f>VLOOKUP('Cash Balance'!$C480,Table2[#All],MATCH('Cash Balance'!E$3,Acc_Char!$B$1:$I$1,0),0)</f>
        <v>VND</v>
      </c>
      <c r="F480" s="1094" t="e">
        <f>VLOOKUP(C480,'Cash balance (BS)'!A:C,3,)</f>
        <v>#N/A</v>
      </c>
      <c r="G480" s="1157" t="e">
        <f t="shared" si="43"/>
        <v>#N/A</v>
      </c>
      <c r="H480" s="1318">
        <f>SUMIFS('Cash balance (Prior period)'!F:F,'Cash balance (Prior period)'!C:C,Table11[[#This Row],[ACCOUNT NUMBER]],'Cash balance (Prior period)'!E:E,Table11[[#This Row],[CURRENCY]])</f>
        <v>0</v>
      </c>
      <c r="I480" s="1318">
        <f>SUMIFS(Movement!$F$4:$F$2136,Movement!$M$4:$M$2136,"VND",Movement!$C$4:$C$2136,Table11[[#This Row],[ACCOUNT NUMBER]],Movement!$J$4:$J$2136,Table11[[#This Row],[ENTITY]],Movement!$O$4:$O$2136,'Cash Balance'!$A$2)</f>
        <v>0</v>
      </c>
      <c r="J480" s="1318">
        <f>SUMIFS(Movement!$G$4:$G$2136,Movement!$M$4:$M$2136,"VND",Movement!$C$4:$C$2136,Table11[[#This Row],[ACCOUNT NUMBER]],Movement!$J$4:$J$2136,Table11[[#This Row],[ENTITY]],Movement!$O$4:$O$2136,'Cash Balance'!$A$2)</f>
        <v>0</v>
      </c>
      <c r="K480" s="1084">
        <f>Table11[[#This Row],[CASH IN - CREDIT (VND)]]-Table11[[#This Row],[CASH OUT - DEBIT (VND)]]</f>
        <v>0</v>
      </c>
      <c r="L480" s="1095">
        <f t="shared" si="44"/>
        <v>0</v>
      </c>
      <c r="M480" s="1184" t="e">
        <f>VLOOKUP(C480,'Cash balance (BS)'!A:D,4,)</f>
        <v>#N/A</v>
      </c>
      <c r="N480" s="1095" t="e">
        <f>Table11[[#This Row],[CLOSING BALANCE (VND)2]]-Table11[[#This Row],[CB_BS (VND)]]</f>
        <v>#N/A</v>
      </c>
      <c r="O480" s="1094">
        <v>0</v>
      </c>
      <c r="P480" s="1095">
        <f t="shared" si="45"/>
        <v>0</v>
      </c>
      <c r="Q480" s="817">
        <f>SUMIFS('Cash balance (Prior period)'!G:G,'Cash balance (Prior period)'!C:C,Table11[[#This Row],[ACCOUNT NUMBER]],'Cash balance (Prior period)'!E:E,Table11[[#This Row],[CURRENCY]])</f>
        <v>0</v>
      </c>
      <c r="R480" s="817">
        <f>SUMIFS(Movement!$F$4:$F$2136,Movement!$M$4:$M$2136,"USD",Movement!$C$4:$C$2136,Table11[[#This Row],[ACCOUNT NUMBER]],Movement!$J$4:$J$2136,Table11[[#This Row],[ENTITY]],Movement!$O$4:$O$2136,'Cash Balance'!$A$2)</f>
        <v>0</v>
      </c>
      <c r="S480" s="817">
        <f>SUMIFS(Movement!$G$4:$G$2136,Movement!$M$4:$M$2136,"USD",Movement!$C$4:$C$2136,Table11[[#This Row],[ACCOUNT NUMBER]],Movement!$J$4:$J$2136,Table11[[#This Row],[ENTITY]],Movement!$O$4:$O$2136,'Cash Balance'!$A$2)</f>
        <v>0</v>
      </c>
      <c r="T480" s="1087">
        <f t="shared" si="46"/>
        <v>0</v>
      </c>
      <c r="U480" s="817"/>
      <c r="V480" s="817">
        <f>Table11[[#This Row],[CLOSING BALANCE (USD)]]-Table11[[#This Row],[CB_BS (USD)]]</f>
        <v>0</v>
      </c>
      <c r="W480" s="1156" t="str">
        <f>VLOOKUP('Cash Balance'!$C480,Table2[#All],MATCH('Cash Balance'!W$3,Acc_Char!$B$1:$I$1,0),0)</f>
        <v>Subsidiaries</v>
      </c>
      <c r="X480" s="1156" t="str">
        <f>VLOOKUP(IFERROR(MID($Y480,1,FIND("-",$Y480)-2),$Y480),Table3[#All],2,0)</f>
        <v>UOB</v>
      </c>
      <c r="Y480" s="1156" t="str">
        <f>VLOOKUP($B480,Table4[#All],2,0)</f>
        <v>UOB</v>
      </c>
      <c r="Z480" s="1151"/>
      <c r="AA480" s="49"/>
    </row>
    <row r="481" spans="1:27">
      <c r="A481" s="1153" t="str">
        <f>VLOOKUP('Cash Balance'!$C481,Table2[#All],MATCH('Cash Balance'!A$3,Acc_Char!$B$1:$I$1,0),0)</f>
        <v>HOLDCO4S</v>
      </c>
      <c r="B481" s="1154" t="str">
        <f>VLOOKUP('Cash Balance'!$C481,Table2[#All],MATCH('Cash Balance'!B$3,Acc_Char!$B$1:$I$1,0),0)</f>
        <v>UOB - HCM</v>
      </c>
      <c r="C481" s="1190" t="s">
        <v>1094</v>
      </c>
      <c r="D481" s="1156" t="str">
        <f>VLOOKUP('Cash Balance'!$C481,Table2[#All],MATCH('Cash Balance'!D$3,Acc_Char!$B$1:$I$1,0),0)</f>
        <v>Current Account</v>
      </c>
      <c r="E481" s="384" t="str">
        <f>VLOOKUP('Cash Balance'!$C481,Table2[#All],MATCH('Cash Balance'!E$3,Acc_Char!$B$1:$I$1,0),0)</f>
        <v>VND</v>
      </c>
      <c r="F481" s="1094" t="e">
        <f>VLOOKUP(C481,'Cash balance (BS)'!A:C,3,)</f>
        <v>#N/A</v>
      </c>
      <c r="G481" s="1157" t="e">
        <f t="shared" si="43"/>
        <v>#N/A</v>
      </c>
      <c r="H481" s="1318">
        <f>SUMIFS('Cash balance (Prior period)'!F:F,'Cash balance (Prior period)'!C:C,Table11[[#This Row],[ACCOUNT NUMBER]],'Cash balance (Prior period)'!E:E,Table11[[#This Row],[CURRENCY]])</f>
        <v>0</v>
      </c>
      <c r="I481" s="1318">
        <f>SUMIFS(Movement!$F$4:$F$2136,Movement!$M$4:$M$2136,"VND",Movement!$C$4:$C$2136,Table11[[#This Row],[ACCOUNT NUMBER]],Movement!$J$4:$J$2136,Table11[[#This Row],[ENTITY]],Movement!$O$4:$O$2136,'Cash Balance'!$A$2)</f>
        <v>0</v>
      </c>
      <c r="J481" s="1318">
        <f>SUMIFS(Movement!$G$4:$G$2136,Movement!$M$4:$M$2136,"VND",Movement!$C$4:$C$2136,Table11[[#This Row],[ACCOUNT NUMBER]],Movement!$J$4:$J$2136,Table11[[#This Row],[ENTITY]],Movement!$O$4:$O$2136,'Cash Balance'!$A$2)</f>
        <v>0</v>
      </c>
      <c r="K481" s="1084">
        <f>Table11[[#This Row],[CASH IN - CREDIT (VND)]]-Table11[[#This Row],[CASH OUT - DEBIT (VND)]]</f>
        <v>0</v>
      </c>
      <c r="L481" s="1095">
        <f t="shared" si="44"/>
        <v>0</v>
      </c>
      <c r="M481" s="1184" t="e">
        <f>VLOOKUP(C481,'Cash balance (BS)'!A:D,4,)</f>
        <v>#N/A</v>
      </c>
      <c r="N481" s="1095" t="e">
        <f>Table11[[#This Row],[CLOSING BALANCE (VND)2]]-Table11[[#This Row],[CB_BS (VND)]]</f>
        <v>#N/A</v>
      </c>
      <c r="O481" s="1094">
        <v>0</v>
      </c>
      <c r="P481" s="1095">
        <f t="shared" si="45"/>
        <v>0</v>
      </c>
      <c r="Q481" s="817">
        <f>SUMIFS('Cash balance (Prior period)'!G:G,'Cash balance (Prior period)'!C:C,Table11[[#This Row],[ACCOUNT NUMBER]],'Cash balance (Prior period)'!E:E,Table11[[#This Row],[CURRENCY]])</f>
        <v>0</v>
      </c>
      <c r="R481" s="817">
        <f>SUMIFS(Movement!$F$4:$F$2136,Movement!$M$4:$M$2136,"USD",Movement!$C$4:$C$2136,Table11[[#This Row],[ACCOUNT NUMBER]],Movement!$J$4:$J$2136,Table11[[#This Row],[ENTITY]],Movement!$O$4:$O$2136,'Cash Balance'!$A$2)</f>
        <v>0</v>
      </c>
      <c r="S481" s="817">
        <f>SUMIFS(Movement!$G$4:$G$2136,Movement!$M$4:$M$2136,"USD",Movement!$C$4:$C$2136,Table11[[#This Row],[ACCOUNT NUMBER]],Movement!$J$4:$J$2136,Table11[[#This Row],[ENTITY]],Movement!$O$4:$O$2136,'Cash Balance'!$A$2)</f>
        <v>0</v>
      </c>
      <c r="T481" s="1087">
        <f t="shared" si="46"/>
        <v>0</v>
      </c>
      <c r="U481" s="817"/>
      <c r="V481" s="817">
        <f>Table11[[#This Row],[CLOSING BALANCE (USD)]]-Table11[[#This Row],[CB_BS (USD)]]</f>
        <v>0</v>
      </c>
      <c r="W481" s="1156" t="str">
        <f>VLOOKUP('Cash Balance'!$C481,Table2[#All],MATCH('Cash Balance'!W$3,Acc_Char!$B$1:$I$1,0),0)</f>
        <v>Subsidiaries</v>
      </c>
      <c r="X481" s="1156" t="str">
        <f>VLOOKUP(IFERROR(MID($Y481,1,FIND("-",$Y481)-2),$Y481),Table3[#All],2,0)</f>
        <v>UOB</v>
      </c>
      <c r="Y481" s="1156" t="str">
        <f>VLOOKUP($B481,Table4[#All],2,0)</f>
        <v>UOB</v>
      </c>
      <c r="Z481" s="1151"/>
      <c r="AA481" s="49"/>
    </row>
    <row r="482" spans="1:27">
      <c r="A482" s="1153" t="str">
        <f>VLOOKUP('Cash Balance'!$C482,Table2[#All],MATCH('Cash Balance'!A$3,Acc_Char!$B$1:$I$1,0),0)</f>
        <v>HOLDCO5S</v>
      </c>
      <c r="B482" s="1154" t="str">
        <f>VLOOKUP('Cash Balance'!$C482,Table2[#All],MATCH('Cash Balance'!B$3,Acc_Char!$B$1:$I$1,0),0)</f>
        <v>UOB - HCM</v>
      </c>
      <c r="C482" s="1190" t="s">
        <v>1095</v>
      </c>
      <c r="D482" s="1156" t="str">
        <f>VLOOKUP('Cash Balance'!$C482,Table2[#All],MATCH('Cash Balance'!D$3,Acc_Char!$B$1:$I$1,0),0)</f>
        <v>Current Account</v>
      </c>
      <c r="E482" s="384" t="str">
        <f>VLOOKUP('Cash Balance'!$C482,Table2[#All],MATCH('Cash Balance'!E$3,Acc_Char!$B$1:$I$1,0),0)</f>
        <v>VND</v>
      </c>
      <c r="F482" s="1094" t="e">
        <f>VLOOKUP(C482,'Cash balance (BS)'!A:C,3,)</f>
        <v>#N/A</v>
      </c>
      <c r="G482" s="1157" t="e">
        <f t="shared" si="43"/>
        <v>#N/A</v>
      </c>
      <c r="H482" s="1318">
        <f>SUMIFS('Cash balance (Prior period)'!F:F,'Cash balance (Prior period)'!C:C,Table11[[#This Row],[ACCOUNT NUMBER]],'Cash balance (Prior period)'!E:E,Table11[[#This Row],[CURRENCY]])</f>
        <v>0</v>
      </c>
      <c r="I482" s="1318">
        <f>SUMIFS(Movement!$F$4:$F$2136,Movement!$M$4:$M$2136,"VND",Movement!$C$4:$C$2136,Table11[[#This Row],[ACCOUNT NUMBER]],Movement!$J$4:$J$2136,Table11[[#This Row],[ENTITY]],Movement!$O$4:$O$2136,'Cash Balance'!$A$2)</f>
        <v>0</v>
      </c>
      <c r="J482" s="1318">
        <f>SUMIFS(Movement!$G$4:$G$2136,Movement!$M$4:$M$2136,"VND",Movement!$C$4:$C$2136,Table11[[#This Row],[ACCOUNT NUMBER]],Movement!$J$4:$J$2136,Table11[[#This Row],[ENTITY]],Movement!$O$4:$O$2136,'Cash Balance'!$A$2)</f>
        <v>0</v>
      </c>
      <c r="K482" s="1084">
        <f>Table11[[#This Row],[CASH IN - CREDIT (VND)]]-Table11[[#This Row],[CASH OUT - DEBIT (VND)]]</f>
        <v>0</v>
      </c>
      <c r="L482" s="1095">
        <f t="shared" si="44"/>
        <v>0</v>
      </c>
      <c r="M482" s="1184" t="e">
        <f>VLOOKUP(C482,'Cash balance (BS)'!A:D,4,)</f>
        <v>#N/A</v>
      </c>
      <c r="N482" s="1095" t="e">
        <f>Table11[[#This Row],[CLOSING BALANCE (VND)2]]-Table11[[#This Row],[CB_BS (VND)]]</f>
        <v>#N/A</v>
      </c>
      <c r="O482" s="1094">
        <v>0</v>
      </c>
      <c r="P482" s="1095">
        <f t="shared" si="45"/>
        <v>0</v>
      </c>
      <c r="Q482" s="817">
        <f>SUMIFS('Cash balance (Prior period)'!G:G,'Cash balance (Prior period)'!C:C,Table11[[#This Row],[ACCOUNT NUMBER]],'Cash balance (Prior period)'!E:E,Table11[[#This Row],[CURRENCY]])</f>
        <v>0</v>
      </c>
      <c r="R482" s="817">
        <f>SUMIFS(Movement!$F$4:$F$2136,Movement!$M$4:$M$2136,"USD",Movement!$C$4:$C$2136,Table11[[#This Row],[ACCOUNT NUMBER]],Movement!$J$4:$J$2136,Table11[[#This Row],[ENTITY]],Movement!$O$4:$O$2136,'Cash Balance'!$A$2)</f>
        <v>0</v>
      </c>
      <c r="S482" s="817">
        <f>SUMIFS(Movement!$G$4:$G$2136,Movement!$M$4:$M$2136,"USD",Movement!$C$4:$C$2136,Table11[[#This Row],[ACCOUNT NUMBER]],Movement!$J$4:$J$2136,Table11[[#This Row],[ENTITY]],Movement!$O$4:$O$2136,'Cash Balance'!$A$2)</f>
        <v>0</v>
      </c>
      <c r="T482" s="1087">
        <f t="shared" si="46"/>
        <v>0</v>
      </c>
      <c r="U482" s="817"/>
      <c r="V482" s="817">
        <f>Table11[[#This Row],[CLOSING BALANCE (USD)]]-Table11[[#This Row],[CB_BS (USD)]]</f>
        <v>0</v>
      </c>
      <c r="W482" s="1156" t="str">
        <f>VLOOKUP('Cash Balance'!$C482,Table2[#All],MATCH('Cash Balance'!W$3,Acc_Char!$B$1:$I$1,0),0)</f>
        <v>Subsidiaries</v>
      </c>
      <c r="X482" s="1156" t="str">
        <f>VLOOKUP(IFERROR(MID($Y482,1,FIND("-",$Y482)-2),$Y482),Table3[#All],2,0)</f>
        <v>UOB</v>
      </c>
      <c r="Y482" s="1156" t="str">
        <f>VLOOKUP($B482,Table4[#All],2,0)</f>
        <v>UOB</v>
      </c>
      <c r="Z482" s="1151"/>
      <c r="AA482" s="49"/>
    </row>
    <row r="483" spans="1:27">
      <c r="A483" s="1153" t="str">
        <f>VLOOKUP('Cash Balance'!$C483,Table2[#All],MATCH('Cash Balance'!A$3,Acc_Char!$B$1:$I$1,0),0)</f>
        <v>HOLDCO4U</v>
      </c>
      <c r="B483" s="1154" t="str">
        <f>VLOOKUP('Cash Balance'!$C483,Table2[#All],MATCH('Cash Balance'!B$3,Acc_Char!$B$1:$I$1,0),0)</f>
        <v>UOB - HCM</v>
      </c>
      <c r="C483" s="1190" t="s">
        <v>1096</v>
      </c>
      <c r="D483" s="1156" t="str">
        <f>VLOOKUP('Cash Balance'!$C483,Table2[#All],MATCH('Cash Balance'!D$3,Acc_Char!$B$1:$I$1,0),0)</f>
        <v>Current Account</v>
      </c>
      <c r="E483" s="384" t="str">
        <f>VLOOKUP('Cash Balance'!$C483,Table2[#All],MATCH('Cash Balance'!E$3,Acc_Char!$B$1:$I$1,0),0)</f>
        <v>VND</v>
      </c>
      <c r="F483" s="1094" t="e">
        <f>VLOOKUP(C483,'Cash balance (BS)'!A:C,3,)</f>
        <v>#N/A</v>
      </c>
      <c r="G483" s="1157" t="e">
        <f t="shared" si="43"/>
        <v>#N/A</v>
      </c>
      <c r="H483" s="1318">
        <f>SUMIFS('Cash balance (Prior period)'!F:F,'Cash balance (Prior period)'!C:C,Table11[[#This Row],[ACCOUNT NUMBER]],'Cash balance (Prior period)'!E:E,Table11[[#This Row],[CURRENCY]])</f>
        <v>780000</v>
      </c>
      <c r="I483" s="1318">
        <f>SUMIFS(Movement!$F$4:$F$2136,Movement!$M$4:$M$2136,"VND",Movement!$C$4:$C$2136,Table11[[#This Row],[ACCOUNT NUMBER]],Movement!$J$4:$J$2136,Table11[[#This Row],[ENTITY]],Movement!$O$4:$O$2136,'Cash Balance'!$A$2)</f>
        <v>0</v>
      </c>
      <c r="J483" s="1318">
        <f>SUMIFS(Movement!$G$4:$G$2136,Movement!$M$4:$M$2136,"VND",Movement!$C$4:$C$2136,Table11[[#This Row],[ACCOUNT NUMBER]],Movement!$J$4:$J$2136,Table11[[#This Row],[ENTITY]],Movement!$O$4:$O$2136,'Cash Balance'!$A$2)</f>
        <v>0</v>
      </c>
      <c r="K483" s="1084">
        <f>Table11[[#This Row],[CASH IN - CREDIT (VND)]]-Table11[[#This Row],[CASH OUT - DEBIT (VND)]]</f>
        <v>0</v>
      </c>
      <c r="L483" s="1095">
        <f t="shared" si="44"/>
        <v>780000</v>
      </c>
      <c r="M483" s="1184" t="e">
        <f>VLOOKUP(C483,'Cash balance (BS)'!A:D,4,)</f>
        <v>#N/A</v>
      </c>
      <c r="N483" s="1095" t="e">
        <f>Table11[[#This Row],[CLOSING BALANCE (VND)2]]-Table11[[#This Row],[CB_BS (VND)]]</f>
        <v>#N/A</v>
      </c>
      <c r="O483" s="1094">
        <v>0</v>
      </c>
      <c r="P483" s="1095">
        <f t="shared" si="45"/>
        <v>0</v>
      </c>
      <c r="Q483" s="817">
        <f>SUMIFS('Cash balance (Prior period)'!G:G,'Cash balance (Prior period)'!C:C,Table11[[#This Row],[ACCOUNT NUMBER]],'Cash balance (Prior period)'!E:E,Table11[[#This Row],[CURRENCY]])</f>
        <v>0</v>
      </c>
      <c r="R483" s="817">
        <f>SUMIFS(Movement!$F$4:$F$2136,Movement!$M$4:$M$2136,"USD",Movement!$C$4:$C$2136,Table11[[#This Row],[ACCOUNT NUMBER]],Movement!$J$4:$J$2136,Table11[[#This Row],[ENTITY]],Movement!$O$4:$O$2136,'Cash Balance'!$A$2)</f>
        <v>0</v>
      </c>
      <c r="S483" s="817">
        <f>SUMIFS(Movement!$G$4:$G$2136,Movement!$M$4:$M$2136,"USD",Movement!$C$4:$C$2136,Table11[[#This Row],[ACCOUNT NUMBER]],Movement!$J$4:$J$2136,Table11[[#This Row],[ENTITY]],Movement!$O$4:$O$2136,'Cash Balance'!$A$2)</f>
        <v>0</v>
      </c>
      <c r="T483" s="1087">
        <f t="shared" si="46"/>
        <v>0</v>
      </c>
      <c r="U483" s="817"/>
      <c r="V483" s="817">
        <f>Table11[[#This Row],[CLOSING BALANCE (USD)]]-Table11[[#This Row],[CB_BS (USD)]]</f>
        <v>0</v>
      </c>
      <c r="W483" s="1156" t="str">
        <f>VLOOKUP('Cash Balance'!$C483,Table2[#All],MATCH('Cash Balance'!W$3,Acc_Char!$B$1:$I$1,0),0)</f>
        <v>Subsidiaries</v>
      </c>
      <c r="X483" s="1156" t="str">
        <f>VLOOKUP(IFERROR(MID($Y483,1,FIND("-",$Y483)-2),$Y483),Table3[#All],2,0)</f>
        <v>UOB</v>
      </c>
      <c r="Y483" s="1156" t="str">
        <f>VLOOKUP($B483,Table4[#All],2,0)</f>
        <v>UOB</v>
      </c>
      <c r="Z483" s="1151"/>
      <c r="AA483" s="49"/>
    </row>
    <row r="484" spans="1:27">
      <c r="A484" s="1153" t="str">
        <f>VLOOKUP('Cash Balance'!$C484,Table2[#All],MATCH('Cash Balance'!A$3,Acc_Char!$B$1:$I$1,0),0)</f>
        <v>HOLDCO5J</v>
      </c>
      <c r="B484" s="1154" t="str">
        <f>VLOOKUP('Cash Balance'!$C484,Table2[#All],MATCH('Cash Balance'!B$3,Acc_Char!$B$1:$I$1,0),0)</f>
        <v>UOB - HCM</v>
      </c>
      <c r="C484" s="1190" t="s">
        <v>1097</v>
      </c>
      <c r="D484" s="1156" t="str">
        <f>VLOOKUP('Cash Balance'!$C484,Table2[#All],MATCH('Cash Balance'!D$3,Acc_Char!$B$1:$I$1,0),0)</f>
        <v>Current Account</v>
      </c>
      <c r="E484" s="384" t="str">
        <f>VLOOKUP('Cash Balance'!$C484,Table2[#All],MATCH('Cash Balance'!E$3,Acc_Char!$B$1:$I$1,0),0)</f>
        <v>VND</v>
      </c>
      <c r="F484" s="1094" t="e">
        <f>VLOOKUP(C484,'Cash balance (BS)'!A:C,3,)</f>
        <v>#N/A</v>
      </c>
      <c r="G484" s="1157" t="e">
        <f t="shared" si="43"/>
        <v>#N/A</v>
      </c>
      <c r="H484" s="1318">
        <f>SUMIFS('Cash balance (Prior period)'!F:F,'Cash balance (Prior period)'!C:C,Table11[[#This Row],[ACCOUNT NUMBER]],'Cash balance (Prior period)'!E:E,Table11[[#This Row],[CURRENCY]])</f>
        <v>2390836</v>
      </c>
      <c r="I484" s="1318">
        <f>SUMIFS(Movement!$F$4:$F$2136,Movement!$M$4:$M$2136,"VND",Movement!$C$4:$C$2136,Table11[[#This Row],[ACCOUNT NUMBER]],Movement!$J$4:$J$2136,Table11[[#This Row],[ENTITY]],Movement!$O$4:$O$2136,'Cash Balance'!$A$2)</f>
        <v>0</v>
      </c>
      <c r="J484" s="1318">
        <f>SUMIFS(Movement!$G$4:$G$2136,Movement!$M$4:$M$2136,"VND",Movement!$C$4:$C$2136,Table11[[#This Row],[ACCOUNT NUMBER]],Movement!$J$4:$J$2136,Table11[[#This Row],[ENTITY]],Movement!$O$4:$O$2136,'Cash Balance'!$A$2)</f>
        <v>0</v>
      </c>
      <c r="K484" s="1084">
        <f>Table11[[#This Row],[CASH IN - CREDIT (VND)]]-Table11[[#This Row],[CASH OUT - DEBIT (VND)]]</f>
        <v>0</v>
      </c>
      <c r="L484" s="1095">
        <f t="shared" si="44"/>
        <v>2390836</v>
      </c>
      <c r="M484" s="1184" t="e">
        <f>VLOOKUP(C484,'Cash balance (BS)'!A:D,4,)</f>
        <v>#N/A</v>
      </c>
      <c r="N484" s="1095" t="e">
        <f>Table11[[#This Row],[CLOSING BALANCE (VND)2]]-Table11[[#This Row],[CB_BS (VND)]]</f>
        <v>#N/A</v>
      </c>
      <c r="O484" s="1094">
        <v>0</v>
      </c>
      <c r="P484" s="1095">
        <f t="shared" si="45"/>
        <v>0</v>
      </c>
      <c r="Q484" s="817">
        <f>SUMIFS('Cash balance (Prior period)'!G:G,'Cash balance (Prior period)'!C:C,Table11[[#This Row],[ACCOUNT NUMBER]],'Cash balance (Prior period)'!E:E,Table11[[#This Row],[CURRENCY]])</f>
        <v>0</v>
      </c>
      <c r="R484" s="817">
        <f>SUMIFS(Movement!$F$4:$F$2136,Movement!$M$4:$M$2136,"USD",Movement!$C$4:$C$2136,Table11[[#This Row],[ACCOUNT NUMBER]],Movement!$J$4:$J$2136,Table11[[#This Row],[ENTITY]],Movement!$O$4:$O$2136,'Cash Balance'!$A$2)</f>
        <v>0</v>
      </c>
      <c r="S484" s="817">
        <f>SUMIFS(Movement!$G$4:$G$2136,Movement!$M$4:$M$2136,"USD",Movement!$C$4:$C$2136,Table11[[#This Row],[ACCOUNT NUMBER]],Movement!$J$4:$J$2136,Table11[[#This Row],[ENTITY]],Movement!$O$4:$O$2136,'Cash Balance'!$A$2)</f>
        <v>0</v>
      </c>
      <c r="T484" s="1087">
        <f t="shared" si="46"/>
        <v>0</v>
      </c>
      <c r="U484" s="817"/>
      <c r="V484" s="817">
        <f>Table11[[#This Row],[CLOSING BALANCE (USD)]]-Table11[[#This Row],[CB_BS (USD)]]</f>
        <v>0</v>
      </c>
      <c r="W484" s="1156" t="str">
        <f>VLOOKUP('Cash Balance'!$C484,Table2[#All],MATCH('Cash Balance'!W$3,Acc_Char!$B$1:$I$1,0),0)</f>
        <v>Subsidiaries</v>
      </c>
      <c r="X484" s="1156" t="str">
        <f>VLOOKUP(IFERROR(MID($Y484,1,FIND("-",$Y484)-2),$Y484),Table3[#All],2,0)</f>
        <v>UOB</v>
      </c>
      <c r="Y484" s="1156" t="str">
        <f>VLOOKUP($B484,Table4[#All],2,0)</f>
        <v>UOB</v>
      </c>
      <c r="Z484" s="1151"/>
      <c r="AA484" s="49"/>
    </row>
    <row r="485" spans="1:27">
      <c r="A485" s="1153" t="str">
        <f>VLOOKUP('Cash Balance'!$C485,Table2[#All],MATCH('Cash Balance'!A$3,Acc_Char!$B$1:$I$1,0),0)</f>
        <v>HOLDCO4J</v>
      </c>
      <c r="B485" s="1154" t="str">
        <f>VLOOKUP('Cash Balance'!$C485,Table2[#All],MATCH('Cash Balance'!B$3,Acc_Char!$B$1:$I$1,0),0)</f>
        <v>UOB - HCM</v>
      </c>
      <c r="C485" s="1190" t="s">
        <v>1098</v>
      </c>
      <c r="D485" s="1156" t="str">
        <f>VLOOKUP('Cash Balance'!$C485,Table2[#All],MATCH('Cash Balance'!D$3,Acc_Char!$B$1:$I$1,0),0)</f>
        <v>Current Account</v>
      </c>
      <c r="E485" s="384" t="str">
        <f>VLOOKUP('Cash Balance'!$C485,Table2[#All],MATCH('Cash Balance'!E$3,Acc_Char!$B$1:$I$1,0),0)</f>
        <v>VND</v>
      </c>
      <c r="F485" s="1094" t="e">
        <f>VLOOKUP(C485,'Cash balance (BS)'!A:C,3,)</f>
        <v>#N/A</v>
      </c>
      <c r="G485" s="1157" t="e">
        <f t="shared" si="43"/>
        <v>#N/A</v>
      </c>
      <c r="H485" s="1318">
        <f>SUMIFS('Cash balance (Prior period)'!F:F,'Cash balance (Prior period)'!C:C,Table11[[#This Row],[ACCOUNT NUMBER]],'Cash balance (Prior period)'!E:E,Table11[[#This Row],[CURRENCY]])</f>
        <v>0</v>
      </c>
      <c r="I485" s="1318">
        <f>SUMIFS(Movement!$F$4:$F$2136,Movement!$M$4:$M$2136,"VND",Movement!$C$4:$C$2136,Table11[[#This Row],[ACCOUNT NUMBER]],Movement!$J$4:$J$2136,Table11[[#This Row],[ENTITY]],Movement!$O$4:$O$2136,'Cash Balance'!$A$2)</f>
        <v>0</v>
      </c>
      <c r="J485" s="1318">
        <f>SUMIFS(Movement!$G$4:$G$2136,Movement!$M$4:$M$2136,"VND",Movement!$C$4:$C$2136,Table11[[#This Row],[ACCOUNT NUMBER]],Movement!$J$4:$J$2136,Table11[[#This Row],[ENTITY]],Movement!$O$4:$O$2136,'Cash Balance'!$A$2)</f>
        <v>0</v>
      </c>
      <c r="K485" s="1084">
        <f>Table11[[#This Row],[CASH IN - CREDIT (VND)]]-Table11[[#This Row],[CASH OUT - DEBIT (VND)]]</f>
        <v>0</v>
      </c>
      <c r="L485" s="1095">
        <f t="shared" si="44"/>
        <v>0</v>
      </c>
      <c r="M485" s="1184" t="e">
        <f>VLOOKUP(C485,'Cash balance (BS)'!A:D,4,)</f>
        <v>#N/A</v>
      </c>
      <c r="N485" s="1095" t="e">
        <f>Table11[[#This Row],[CLOSING BALANCE (VND)2]]-Table11[[#This Row],[CB_BS (VND)]]</f>
        <v>#N/A</v>
      </c>
      <c r="O485" s="1094">
        <v>0</v>
      </c>
      <c r="P485" s="1095">
        <f t="shared" si="45"/>
        <v>0</v>
      </c>
      <c r="Q485" s="817">
        <f>SUMIFS('Cash balance (Prior period)'!G:G,'Cash balance (Prior period)'!C:C,Table11[[#This Row],[ACCOUNT NUMBER]],'Cash balance (Prior period)'!E:E,Table11[[#This Row],[CURRENCY]])</f>
        <v>0</v>
      </c>
      <c r="R485" s="817">
        <f>SUMIFS(Movement!$F$4:$F$2136,Movement!$M$4:$M$2136,"USD",Movement!$C$4:$C$2136,Table11[[#This Row],[ACCOUNT NUMBER]],Movement!$J$4:$J$2136,Table11[[#This Row],[ENTITY]],Movement!$O$4:$O$2136,'Cash Balance'!$A$2)</f>
        <v>0</v>
      </c>
      <c r="S485" s="817">
        <f>SUMIFS(Movement!$G$4:$G$2136,Movement!$M$4:$M$2136,"USD",Movement!$C$4:$C$2136,Table11[[#This Row],[ACCOUNT NUMBER]],Movement!$J$4:$J$2136,Table11[[#This Row],[ENTITY]],Movement!$O$4:$O$2136,'Cash Balance'!$A$2)</f>
        <v>0</v>
      </c>
      <c r="T485" s="1087">
        <f t="shared" si="46"/>
        <v>0</v>
      </c>
      <c r="U485" s="817"/>
      <c r="V485" s="817">
        <f>Table11[[#This Row],[CLOSING BALANCE (USD)]]-Table11[[#This Row],[CB_BS (USD)]]</f>
        <v>0</v>
      </c>
      <c r="W485" s="1156" t="str">
        <f>VLOOKUP('Cash Balance'!$C485,Table2[#All],MATCH('Cash Balance'!W$3,Acc_Char!$B$1:$I$1,0),0)</f>
        <v>Subsidiaries</v>
      </c>
      <c r="X485" s="1156" t="str">
        <f>VLOOKUP(IFERROR(MID($Y485,1,FIND("-",$Y485)-2),$Y485),Table3[#All],2,0)</f>
        <v>UOB</v>
      </c>
      <c r="Y485" s="1156" t="str">
        <f>VLOOKUP($B485,Table4[#All],2,0)</f>
        <v>UOB</v>
      </c>
      <c r="Z485" s="1151"/>
      <c r="AA485" s="49"/>
    </row>
    <row r="486" spans="1:27">
      <c r="A486" s="1153" t="str">
        <f>VLOOKUP('Cash Balance'!$C486,Table2[#All],MATCH('Cash Balance'!A$3,Acc_Char!$B$1:$I$1,0),0)</f>
        <v>HOLDCO4Y</v>
      </c>
      <c r="B486" s="1154" t="str">
        <f>VLOOKUP('Cash Balance'!$C486,Table2[#All],MATCH('Cash Balance'!B$3,Acc_Char!$B$1:$I$1,0),0)</f>
        <v>UOB - HCM</v>
      </c>
      <c r="C486" s="1190" t="s">
        <v>1099</v>
      </c>
      <c r="D486" s="1156" t="str">
        <f>VLOOKUP('Cash Balance'!$C486,Table2[#All],MATCH('Cash Balance'!D$3,Acc_Char!$B$1:$I$1,0),0)</f>
        <v>Current Account</v>
      </c>
      <c r="E486" s="384" t="str">
        <f>VLOOKUP('Cash Balance'!$C486,Table2[#All],MATCH('Cash Balance'!E$3,Acc_Char!$B$1:$I$1,0),0)</f>
        <v>VND</v>
      </c>
      <c r="F486" s="1094" t="e">
        <f>VLOOKUP(C486,'Cash balance (BS)'!A:C,3,)</f>
        <v>#N/A</v>
      </c>
      <c r="G486" s="1157" t="e">
        <f t="shared" si="43"/>
        <v>#N/A</v>
      </c>
      <c r="H486" s="1318">
        <f>SUMIFS('Cash balance (Prior period)'!F:F,'Cash balance (Prior period)'!C:C,Table11[[#This Row],[ACCOUNT NUMBER]],'Cash balance (Prior period)'!E:E,Table11[[#This Row],[CURRENCY]])</f>
        <v>0</v>
      </c>
      <c r="I486" s="1318">
        <f>SUMIFS(Movement!$F$4:$F$2136,Movement!$M$4:$M$2136,"VND",Movement!$C$4:$C$2136,Table11[[#This Row],[ACCOUNT NUMBER]],Movement!$J$4:$J$2136,Table11[[#This Row],[ENTITY]],Movement!$O$4:$O$2136,'Cash Balance'!$A$2)</f>
        <v>0</v>
      </c>
      <c r="J486" s="1318">
        <f>SUMIFS(Movement!$G$4:$G$2136,Movement!$M$4:$M$2136,"VND",Movement!$C$4:$C$2136,Table11[[#This Row],[ACCOUNT NUMBER]],Movement!$J$4:$J$2136,Table11[[#This Row],[ENTITY]],Movement!$O$4:$O$2136,'Cash Balance'!$A$2)</f>
        <v>0</v>
      </c>
      <c r="K486" s="1084">
        <f>Table11[[#This Row],[CASH IN - CREDIT (VND)]]-Table11[[#This Row],[CASH OUT - DEBIT (VND)]]</f>
        <v>0</v>
      </c>
      <c r="L486" s="1095">
        <f t="shared" si="44"/>
        <v>0</v>
      </c>
      <c r="M486" s="1184" t="e">
        <f>VLOOKUP(C486,'Cash balance (BS)'!A:D,4,)</f>
        <v>#N/A</v>
      </c>
      <c r="N486" s="1095" t="e">
        <f>Table11[[#This Row],[CLOSING BALANCE (VND)2]]-Table11[[#This Row],[CB_BS (VND)]]</f>
        <v>#N/A</v>
      </c>
      <c r="O486" s="1094">
        <v>0</v>
      </c>
      <c r="P486" s="1095">
        <f t="shared" si="45"/>
        <v>0</v>
      </c>
      <c r="Q486" s="817">
        <f>SUMIFS('Cash balance (Prior period)'!G:G,'Cash balance (Prior period)'!C:C,Table11[[#This Row],[ACCOUNT NUMBER]],'Cash balance (Prior period)'!E:E,Table11[[#This Row],[CURRENCY]])</f>
        <v>0</v>
      </c>
      <c r="R486" s="817">
        <f>SUMIFS(Movement!$F$4:$F$2136,Movement!$M$4:$M$2136,"USD",Movement!$C$4:$C$2136,Table11[[#This Row],[ACCOUNT NUMBER]],Movement!$J$4:$J$2136,Table11[[#This Row],[ENTITY]],Movement!$O$4:$O$2136,'Cash Balance'!$A$2)</f>
        <v>0</v>
      </c>
      <c r="S486" s="817">
        <f>SUMIFS(Movement!$G$4:$G$2136,Movement!$M$4:$M$2136,"USD",Movement!$C$4:$C$2136,Table11[[#This Row],[ACCOUNT NUMBER]],Movement!$J$4:$J$2136,Table11[[#This Row],[ENTITY]],Movement!$O$4:$O$2136,'Cash Balance'!$A$2)</f>
        <v>0</v>
      </c>
      <c r="T486" s="1087">
        <f t="shared" si="46"/>
        <v>0</v>
      </c>
      <c r="U486" s="817"/>
      <c r="V486" s="817">
        <f>Table11[[#This Row],[CLOSING BALANCE (USD)]]-Table11[[#This Row],[CB_BS (USD)]]</f>
        <v>0</v>
      </c>
      <c r="W486" s="1156" t="str">
        <f>VLOOKUP('Cash Balance'!$C486,Table2[#All],MATCH('Cash Balance'!W$3,Acc_Char!$B$1:$I$1,0),0)</f>
        <v>Subsidiaries</v>
      </c>
      <c r="X486" s="1156" t="str">
        <f>VLOOKUP(IFERROR(MID($Y486,1,FIND("-",$Y486)-2),$Y486),Table3[#All],2,0)</f>
        <v>UOB</v>
      </c>
      <c r="Y486" s="1156" t="str">
        <f>VLOOKUP($B486,Table4[#All],2,0)</f>
        <v>UOB</v>
      </c>
      <c r="Z486" s="1151"/>
      <c r="AA486" s="49"/>
    </row>
    <row r="487" spans="1:27">
      <c r="A487" s="1153" t="str">
        <f>VLOOKUP('Cash Balance'!$C487,Table2[#All],MATCH('Cash Balance'!A$3,Acc_Char!$B$1:$I$1,0),0)</f>
        <v>DELIWAY</v>
      </c>
      <c r="B487" s="1154" t="str">
        <f>VLOOKUP('Cash Balance'!$C487,Table2[#All],MATCH('Cash Balance'!B$3,Acc_Char!$B$1:$I$1,0),0)</f>
        <v>VIETINBANK - TPHCM</v>
      </c>
      <c r="C487" s="1190" t="s">
        <v>1100</v>
      </c>
      <c r="D487" s="1156" t="str">
        <f>VLOOKUP('Cash Balance'!$C487,Table2[#All],MATCH('Cash Balance'!D$3,Acc_Char!$B$1:$I$1,0),0)</f>
        <v>Current Account</v>
      </c>
      <c r="E487" s="384" t="str">
        <f>VLOOKUP('Cash Balance'!$C487,Table2[#All],MATCH('Cash Balance'!E$3,Acc_Char!$B$1:$I$1,0),0)</f>
        <v>VND</v>
      </c>
      <c r="F487" s="1094" t="e">
        <f>VLOOKUP(C487,'Cash balance (BS)'!A:C,3,)</f>
        <v>#N/A</v>
      </c>
      <c r="G487" s="1157" t="e">
        <f t="shared" si="43"/>
        <v>#N/A</v>
      </c>
      <c r="H487" s="1318">
        <f>SUMIFS('Cash balance (Prior period)'!F:F,'Cash balance (Prior period)'!C:C,Table11[[#This Row],[ACCOUNT NUMBER]],'Cash balance (Prior period)'!E:E,Table11[[#This Row],[CURRENCY]])</f>
        <v>22267763085</v>
      </c>
      <c r="I487" s="1318">
        <f>SUMIFS(Movement!$F$4:$F$2136,Movement!$M$4:$M$2136,"VND",Movement!$C$4:$C$2136,Table11[[#This Row],[ACCOUNT NUMBER]],Movement!$J$4:$J$2136,Table11[[#This Row],[ENTITY]],Movement!$O$4:$O$2136,'Cash Balance'!$A$2)</f>
        <v>0</v>
      </c>
      <c r="J487" s="1318">
        <f>SUMIFS(Movement!$G$4:$G$2136,Movement!$M$4:$M$2136,"VND",Movement!$C$4:$C$2136,Table11[[#This Row],[ACCOUNT NUMBER]],Movement!$J$4:$J$2136,Table11[[#This Row],[ENTITY]],Movement!$O$4:$O$2136,'Cash Balance'!$A$2)</f>
        <v>0</v>
      </c>
      <c r="K487" s="1084">
        <f>Table11[[#This Row],[CASH IN - CREDIT (VND)]]-Table11[[#This Row],[CASH OUT - DEBIT (VND)]]</f>
        <v>0</v>
      </c>
      <c r="L487" s="1095">
        <f t="shared" si="44"/>
        <v>22267763085</v>
      </c>
      <c r="M487" s="1184" t="e">
        <f>VLOOKUP(C487,'Cash balance (BS)'!A:D,4,)</f>
        <v>#N/A</v>
      </c>
      <c r="N487" s="1095" t="e">
        <f>Table11[[#This Row],[CLOSING BALANCE (VND)2]]-Table11[[#This Row],[CB_BS (VND)]]</f>
        <v>#N/A</v>
      </c>
      <c r="O487" s="1094">
        <v>0</v>
      </c>
      <c r="P487" s="1095">
        <f t="shared" si="45"/>
        <v>0</v>
      </c>
      <c r="Q487" s="817">
        <f>SUMIFS('Cash balance (Prior period)'!G:G,'Cash balance (Prior period)'!C:C,Table11[[#This Row],[ACCOUNT NUMBER]],'Cash balance (Prior period)'!E:E,Table11[[#This Row],[CURRENCY]])</f>
        <v>0</v>
      </c>
      <c r="R487" s="817">
        <f>SUMIFS(Movement!$F$4:$F$2136,Movement!$M$4:$M$2136,"USD",Movement!$C$4:$C$2136,Table11[[#This Row],[ACCOUNT NUMBER]],Movement!$J$4:$J$2136,Table11[[#This Row],[ENTITY]],Movement!$O$4:$O$2136,'Cash Balance'!$A$2)</f>
        <v>0</v>
      </c>
      <c r="S487" s="817">
        <f>SUMIFS(Movement!$G$4:$G$2136,Movement!$M$4:$M$2136,"USD",Movement!$C$4:$C$2136,Table11[[#This Row],[ACCOUNT NUMBER]],Movement!$J$4:$J$2136,Table11[[#This Row],[ENTITY]],Movement!$O$4:$O$2136,'Cash Balance'!$A$2)</f>
        <v>0</v>
      </c>
      <c r="T487" s="1087">
        <f t="shared" si="46"/>
        <v>0</v>
      </c>
      <c r="U487" s="817"/>
      <c r="V487" s="817">
        <f>Table11[[#This Row],[CLOSING BALANCE (USD)]]-Table11[[#This Row],[CB_BS (USD)]]</f>
        <v>0</v>
      </c>
      <c r="W487" s="1156" t="str">
        <f>VLOOKUP('Cash Balance'!$C487,Table2[#All],MATCH('Cash Balance'!W$3,Acc_Char!$B$1:$I$1,0),0)</f>
        <v>Subsidiaries</v>
      </c>
      <c r="X487" s="1156" t="str">
        <f>VLOOKUP(IFERROR(MID($Y487,1,FIND("-",$Y487)-2),$Y487),Table3[#All],2,0)</f>
        <v>VTB</v>
      </c>
      <c r="Y487" s="1156" t="str">
        <f>VLOOKUP($B487,Table4[#All],2,0)</f>
        <v>VIETINBANK - TPHCM</v>
      </c>
      <c r="Z487" s="1151"/>
      <c r="AA487" s="49"/>
    </row>
    <row r="488" spans="1:27">
      <c r="A488" s="1153" t="str">
        <f>VLOOKUP('Cash Balance'!$C488,Table2[#All],MATCH('Cash Balance'!A$3,Acc_Char!$B$1:$I$1,0),0)</f>
        <v>LONG BINH</v>
      </c>
      <c r="B488" s="1154" t="str">
        <f>VLOOKUP('Cash Balance'!$C488,Table2[#All],MATCH('Cash Balance'!B$3,Acc_Char!$B$1:$I$1,0),0)</f>
        <v>VIETINBANK - CN1</v>
      </c>
      <c r="C488" s="1190" t="s">
        <v>1101</v>
      </c>
      <c r="D488" s="1156" t="str">
        <f>VLOOKUP('Cash Balance'!$C488,Table2[#All],MATCH('Cash Balance'!D$3,Acc_Char!$B$1:$I$1,0),0)</f>
        <v>Saving Account</v>
      </c>
      <c r="E488" s="384" t="str">
        <f>VLOOKUP('Cash Balance'!$C488,Table2[#All],MATCH('Cash Balance'!E$3,Acc_Char!$B$1:$I$1,0),0)</f>
        <v>VND</v>
      </c>
      <c r="F488" s="1094" t="e">
        <f>VLOOKUP(C488,'Cash balance (BS)'!A:C,3,)</f>
        <v>#N/A</v>
      </c>
      <c r="G488" s="1157" t="e">
        <f t="shared" si="43"/>
        <v>#N/A</v>
      </c>
      <c r="H488" s="1318">
        <f>SUMIFS('Cash balance (Prior period)'!F:F,'Cash balance (Prior period)'!C:C,Table11[[#This Row],[ACCOUNT NUMBER]],'Cash balance (Prior period)'!E:E,Table11[[#This Row],[CURRENCY]])</f>
        <v>0</v>
      </c>
      <c r="I488" s="1318">
        <f>SUMIFS(Movement!$F$4:$F$2136,Movement!$M$4:$M$2136,"VND",Movement!$C$4:$C$2136,Table11[[#This Row],[ACCOUNT NUMBER]],Movement!$J$4:$J$2136,Table11[[#This Row],[ENTITY]],Movement!$O$4:$O$2136,'Cash Balance'!$A$2)</f>
        <v>0</v>
      </c>
      <c r="J488" s="1318">
        <f>SUMIFS(Movement!$G$4:$G$2136,Movement!$M$4:$M$2136,"VND",Movement!$C$4:$C$2136,Table11[[#This Row],[ACCOUNT NUMBER]],Movement!$J$4:$J$2136,Table11[[#This Row],[ENTITY]],Movement!$O$4:$O$2136,'Cash Balance'!$A$2)</f>
        <v>0</v>
      </c>
      <c r="K488" s="1084">
        <f>Table11[[#This Row],[CASH IN - CREDIT (VND)]]-Table11[[#This Row],[CASH OUT - DEBIT (VND)]]</f>
        <v>0</v>
      </c>
      <c r="L488" s="1095">
        <f t="shared" si="44"/>
        <v>0</v>
      </c>
      <c r="M488" s="1184" t="e">
        <f>VLOOKUP(C488,'Cash balance (BS)'!A:D,4,)</f>
        <v>#N/A</v>
      </c>
      <c r="N488" s="1095" t="e">
        <f>Table11[[#This Row],[CLOSING BALANCE (VND)2]]-Table11[[#This Row],[CB_BS (VND)]]</f>
        <v>#N/A</v>
      </c>
      <c r="O488" s="1094">
        <v>0</v>
      </c>
      <c r="P488" s="1095">
        <f t="shared" si="45"/>
        <v>0</v>
      </c>
      <c r="Q488" s="817">
        <f>SUMIFS('Cash balance (Prior period)'!G:G,'Cash balance (Prior period)'!C:C,Table11[[#This Row],[ACCOUNT NUMBER]],'Cash balance (Prior period)'!E:E,Table11[[#This Row],[CURRENCY]])</f>
        <v>0</v>
      </c>
      <c r="R488" s="817">
        <f>SUMIFS(Movement!$F$4:$F$2136,Movement!$M$4:$M$2136,"USD",Movement!$C$4:$C$2136,Table11[[#This Row],[ACCOUNT NUMBER]],Movement!$J$4:$J$2136,Table11[[#This Row],[ENTITY]],Movement!$O$4:$O$2136,'Cash Balance'!$A$2)</f>
        <v>0</v>
      </c>
      <c r="S488" s="817">
        <f>SUMIFS(Movement!$G$4:$G$2136,Movement!$M$4:$M$2136,"USD",Movement!$C$4:$C$2136,Table11[[#This Row],[ACCOUNT NUMBER]],Movement!$J$4:$J$2136,Table11[[#This Row],[ENTITY]],Movement!$O$4:$O$2136,'Cash Balance'!$A$2)</f>
        <v>0</v>
      </c>
      <c r="T488" s="1087">
        <f t="shared" si="46"/>
        <v>0</v>
      </c>
      <c r="U488" s="817"/>
      <c r="V488" s="817">
        <f>Table11[[#This Row],[CLOSING BALANCE (USD)]]-Table11[[#This Row],[CB_BS (USD)]]</f>
        <v>0</v>
      </c>
      <c r="W488" s="1156" t="str">
        <f>VLOOKUP('Cash Balance'!$C488,Table2[#All],MATCH('Cash Balance'!W$3,Acc_Char!$B$1:$I$1,0),0)</f>
        <v>Subsidiaries</v>
      </c>
      <c r="X488" s="1156" t="str">
        <f>VLOOKUP(IFERROR(MID($Y488,1,FIND("-",$Y488)-2),$Y488),Table3[#All],2,0)</f>
        <v>VTB</v>
      </c>
      <c r="Y488" s="1156" t="str">
        <f>VLOOKUP($B488,Table4[#All],2,0)</f>
        <v>VIETINBANK - CN1</v>
      </c>
      <c r="Z488" s="1151"/>
      <c r="AA488" s="49"/>
    </row>
    <row r="489" spans="1:27">
      <c r="A489" s="1153" t="str">
        <f>VLOOKUP('Cash Balance'!$C489,Table2[#All],MATCH('Cash Balance'!A$3,Acc_Char!$B$1:$I$1,0),0)</f>
        <v>KIM TRUC DN</v>
      </c>
      <c r="B489" s="1154" t="str">
        <f>VLOOKUP('Cash Balance'!$C489,Table2[#All],MATCH('Cash Balance'!B$3,Acc_Char!$B$1:$I$1,0),0)</f>
        <v>BIDV - NAM SAI GON</v>
      </c>
      <c r="C489" s="1190" t="s">
        <v>1102</v>
      </c>
      <c r="D489" s="1156" t="str">
        <f>VLOOKUP('Cash Balance'!$C489,Table2[#All],MATCH('Cash Balance'!D$3,Acc_Char!$B$1:$I$1,0),0)</f>
        <v>Saving Account</v>
      </c>
      <c r="E489" s="384" t="str">
        <f>VLOOKUP('Cash Balance'!$C489,Table2[#All],MATCH('Cash Balance'!E$3,Acc_Char!$B$1:$I$1,0),0)</f>
        <v>VND</v>
      </c>
      <c r="F489" s="1094" t="e">
        <f>VLOOKUP(C489,'Cash balance (BS)'!A:C,3,)</f>
        <v>#N/A</v>
      </c>
      <c r="G489" s="1157" t="e">
        <f t="shared" si="43"/>
        <v>#N/A</v>
      </c>
      <c r="H489" s="1318">
        <f>SUMIFS('Cash balance (Prior period)'!F:F,'Cash balance (Prior period)'!C:C,Table11[[#This Row],[ACCOUNT NUMBER]],'Cash balance (Prior period)'!E:E,Table11[[#This Row],[CURRENCY]])</f>
        <v>0</v>
      </c>
      <c r="I489" s="1318">
        <f>SUMIFS(Movement!$F$4:$F$2136,Movement!$M$4:$M$2136,"VND",Movement!$C$4:$C$2136,Table11[[#This Row],[ACCOUNT NUMBER]],Movement!$J$4:$J$2136,Table11[[#This Row],[ENTITY]],Movement!$O$4:$O$2136,'Cash Balance'!$A$2)</f>
        <v>0</v>
      </c>
      <c r="J489" s="1318">
        <f>SUMIFS(Movement!$G$4:$G$2136,Movement!$M$4:$M$2136,"VND",Movement!$C$4:$C$2136,Table11[[#This Row],[ACCOUNT NUMBER]],Movement!$J$4:$J$2136,Table11[[#This Row],[ENTITY]],Movement!$O$4:$O$2136,'Cash Balance'!$A$2)</f>
        <v>0</v>
      </c>
      <c r="K489" s="1084">
        <f>Table11[[#This Row],[CASH IN - CREDIT (VND)]]-Table11[[#This Row],[CASH OUT - DEBIT (VND)]]</f>
        <v>0</v>
      </c>
      <c r="L489" s="1095">
        <f t="shared" si="44"/>
        <v>0</v>
      </c>
      <c r="M489" s="1184" t="e">
        <f>VLOOKUP(C489,'Cash balance (BS)'!A:D,4,)</f>
        <v>#N/A</v>
      </c>
      <c r="N489" s="1095" t="e">
        <f>Table11[[#This Row],[CLOSING BALANCE (VND)2]]-Table11[[#This Row],[CB_BS (VND)]]</f>
        <v>#N/A</v>
      </c>
      <c r="O489" s="1094">
        <v>0</v>
      </c>
      <c r="P489" s="1095">
        <f t="shared" si="45"/>
        <v>0</v>
      </c>
      <c r="Q489" s="817">
        <f>SUMIFS('Cash balance (Prior period)'!G:G,'Cash balance (Prior period)'!C:C,Table11[[#This Row],[ACCOUNT NUMBER]],'Cash balance (Prior period)'!E:E,Table11[[#This Row],[CURRENCY]])</f>
        <v>0</v>
      </c>
      <c r="R489" s="817">
        <f>SUMIFS(Movement!$F$4:$F$2136,Movement!$M$4:$M$2136,"USD",Movement!$C$4:$C$2136,Table11[[#This Row],[ACCOUNT NUMBER]],Movement!$J$4:$J$2136,Table11[[#This Row],[ENTITY]],Movement!$O$4:$O$2136,'Cash Balance'!$A$2)</f>
        <v>0</v>
      </c>
      <c r="S489" s="817">
        <f>SUMIFS(Movement!$G$4:$G$2136,Movement!$M$4:$M$2136,"USD",Movement!$C$4:$C$2136,Table11[[#This Row],[ACCOUNT NUMBER]],Movement!$J$4:$J$2136,Table11[[#This Row],[ENTITY]],Movement!$O$4:$O$2136,'Cash Balance'!$A$2)</f>
        <v>0</v>
      </c>
      <c r="T489" s="1087">
        <f t="shared" si="46"/>
        <v>0</v>
      </c>
      <c r="U489" s="817"/>
      <c r="V489" s="817">
        <f>Table11[[#This Row],[CLOSING BALANCE (USD)]]-Table11[[#This Row],[CB_BS (USD)]]</f>
        <v>0</v>
      </c>
      <c r="W489" s="1156" t="str">
        <f>VLOOKUP('Cash Balance'!$C489,Table2[#All],MATCH('Cash Balance'!W$3,Acc_Char!$B$1:$I$1,0),0)</f>
        <v>Subsidiaries</v>
      </c>
      <c r="X489" s="1156" t="str">
        <f>VLOOKUP(IFERROR(MID($Y489,1,FIND("-",$Y489)-2),$Y489),Table3[#All],2,0)</f>
        <v>BIDV</v>
      </c>
      <c r="Y489" s="1156" t="str">
        <f>VLOOKUP($B489,Table4[#All],2,0)</f>
        <v>BIDV - NAM SAI GON</v>
      </c>
      <c r="Z489" s="1151"/>
      <c r="AA489" s="49"/>
    </row>
    <row r="490" spans="1:27">
      <c r="A490" s="1153" t="str">
        <f>VLOOKUP('Cash Balance'!$C490,Table2[#All],MATCH('Cash Balance'!A$3,Acc_Char!$B$1:$I$1,0),0)</f>
        <v>KIM TRUC DN</v>
      </c>
      <c r="B490" s="1154" t="str">
        <f>VLOOKUP('Cash Balance'!$C490,Table2[#All],MATCH('Cash Balance'!B$3,Acc_Char!$B$1:$I$1,0),0)</f>
        <v>BIDV - NAM SAI GON</v>
      </c>
      <c r="C490" s="1190" t="s">
        <v>1103</v>
      </c>
      <c r="D490" s="1156" t="str">
        <f>VLOOKUP('Cash Balance'!$C490,Table2[#All],MATCH('Cash Balance'!D$3,Acc_Char!$B$1:$I$1,0),0)</f>
        <v>Saving Account</v>
      </c>
      <c r="E490" s="384" t="str">
        <f>VLOOKUP('Cash Balance'!$C490,Table2[#All],MATCH('Cash Balance'!E$3,Acc_Char!$B$1:$I$1,0),0)</f>
        <v>VND</v>
      </c>
      <c r="F490" s="1094" t="e">
        <f>VLOOKUP(C490,'Cash balance (BS)'!A:C,3,)</f>
        <v>#N/A</v>
      </c>
      <c r="G490" s="1157" t="e">
        <f t="shared" si="43"/>
        <v>#N/A</v>
      </c>
      <c r="H490" s="1318">
        <f>SUMIFS('Cash balance (Prior period)'!F:F,'Cash balance (Prior period)'!C:C,Table11[[#This Row],[ACCOUNT NUMBER]],'Cash balance (Prior period)'!E:E,Table11[[#This Row],[CURRENCY]])</f>
        <v>0</v>
      </c>
      <c r="I490" s="1318">
        <f>SUMIFS(Movement!$F$4:$F$2136,Movement!$M$4:$M$2136,"VND",Movement!$C$4:$C$2136,Table11[[#This Row],[ACCOUNT NUMBER]],Movement!$J$4:$J$2136,Table11[[#This Row],[ENTITY]],Movement!$O$4:$O$2136,'Cash Balance'!$A$2)</f>
        <v>0</v>
      </c>
      <c r="J490" s="1318">
        <f>SUMIFS(Movement!$G$4:$G$2136,Movement!$M$4:$M$2136,"VND",Movement!$C$4:$C$2136,Table11[[#This Row],[ACCOUNT NUMBER]],Movement!$J$4:$J$2136,Table11[[#This Row],[ENTITY]],Movement!$O$4:$O$2136,'Cash Balance'!$A$2)</f>
        <v>0</v>
      </c>
      <c r="K490" s="1084">
        <f>Table11[[#This Row],[CASH IN - CREDIT (VND)]]-Table11[[#This Row],[CASH OUT - DEBIT (VND)]]</f>
        <v>0</v>
      </c>
      <c r="L490" s="1095">
        <f t="shared" si="44"/>
        <v>0</v>
      </c>
      <c r="M490" s="1184" t="e">
        <f>VLOOKUP(C490,'Cash balance (BS)'!A:D,4,)</f>
        <v>#N/A</v>
      </c>
      <c r="N490" s="1095" t="e">
        <f>Table11[[#This Row],[CLOSING BALANCE (VND)2]]-Table11[[#This Row],[CB_BS (VND)]]</f>
        <v>#N/A</v>
      </c>
      <c r="O490" s="1094">
        <v>0</v>
      </c>
      <c r="P490" s="1095">
        <f t="shared" si="45"/>
        <v>0</v>
      </c>
      <c r="Q490" s="817">
        <f>SUMIFS('Cash balance (Prior period)'!G:G,'Cash balance (Prior period)'!C:C,Table11[[#This Row],[ACCOUNT NUMBER]],'Cash balance (Prior period)'!E:E,Table11[[#This Row],[CURRENCY]])</f>
        <v>0</v>
      </c>
      <c r="R490" s="817">
        <f>SUMIFS(Movement!$F$4:$F$2136,Movement!$M$4:$M$2136,"USD",Movement!$C$4:$C$2136,Table11[[#This Row],[ACCOUNT NUMBER]],Movement!$J$4:$J$2136,Table11[[#This Row],[ENTITY]],Movement!$O$4:$O$2136,'Cash Balance'!$A$2)</f>
        <v>0</v>
      </c>
      <c r="S490" s="817">
        <f>SUMIFS(Movement!$G$4:$G$2136,Movement!$M$4:$M$2136,"USD",Movement!$C$4:$C$2136,Table11[[#This Row],[ACCOUNT NUMBER]],Movement!$J$4:$J$2136,Table11[[#This Row],[ENTITY]],Movement!$O$4:$O$2136,'Cash Balance'!$A$2)</f>
        <v>0</v>
      </c>
      <c r="T490" s="1087">
        <f t="shared" si="46"/>
        <v>0</v>
      </c>
      <c r="U490" s="817"/>
      <c r="V490" s="817">
        <f>Table11[[#This Row],[CLOSING BALANCE (USD)]]-Table11[[#This Row],[CB_BS (USD)]]</f>
        <v>0</v>
      </c>
      <c r="W490" s="1156" t="str">
        <f>VLOOKUP('Cash Balance'!$C490,Table2[#All],MATCH('Cash Balance'!W$3,Acc_Char!$B$1:$I$1,0),0)</f>
        <v>Subsidiaries</v>
      </c>
      <c r="X490" s="1156" t="str">
        <f>VLOOKUP(IFERROR(MID($Y490,1,FIND("-",$Y490)-2),$Y490),Table3[#All],2,0)</f>
        <v>BIDV</v>
      </c>
      <c r="Y490" s="1156" t="str">
        <f>VLOOKUP($B490,Table4[#All],2,0)</f>
        <v>BIDV - NAM SAI GON</v>
      </c>
      <c r="Z490" s="1151"/>
      <c r="AA490" s="49"/>
    </row>
    <row r="491" spans="1:27">
      <c r="A491" s="1153" t="str">
        <f>VLOOKUP('Cash Balance'!$C491,Table2[#All],MATCH('Cash Balance'!A$3,Acc_Char!$B$1:$I$1,0),0)</f>
        <v>NSHL LLC</v>
      </c>
      <c r="B491" s="1154" t="str">
        <f>VLOOKUP('Cash Balance'!$C491,Table2[#All],MATCH('Cash Balance'!B$3,Acc_Char!$B$1:$I$1,0),0)</f>
        <v>BIDV - THANH XUAN</v>
      </c>
      <c r="C491" s="1190" t="s">
        <v>1104</v>
      </c>
      <c r="D491" s="1156" t="str">
        <f>VLOOKUP('Cash Balance'!$C491,Table2[#All],MATCH('Cash Balance'!D$3,Acc_Char!$B$1:$I$1,0),0)</f>
        <v>Saving Account</v>
      </c>
      <c r="E491" s="384" t="str">
        <f>VLOOKUP('Cash Balance'!$C491,Table2[#All],MATCH('Cash Balance'!E$3,Acc_Char!$B$1:$I$1,0),0)</f>
        <v>VND</v>
      </c>
      <c r="F491" s="1094" t="e">
        <f>VLOOKUP(C491,'Cash balance (BS)'!A:C,3,)</f>
        <v>#N/A</v>
      </c>
      <c r="G491" s="1157" t="e">
        <f t="shared" si="43"/>
        <v>#N/A</v>
      </c>
      <c r="H491" s="1318">
        <f>SUMIFS('Cash balance (Prior period)'!F:F,'Cash balance (Prior period)'!C:C,Table11[[#This Row],[ACCOUNT NUMBER]],'Cash balance (Prior period)'!E:E,Table11[[#This Row],[CURRENCY]])</f>
        <v>7400000000</v>
      </c>
      <c r="I491" s="1318">
        <f>SUMIFS(Movement!$F$4:$F$2136,Movement!$M$4:$M$2136,"VND",Movement!$C$4:$C$2136,Table11[[#This Row],[ACCOUNT NUMBER]],Movement!$J$4:$J$2136,Table11[[#This Row],[ENTITY]],Movement!$O$4:$O$2136,'Cash Balance'!$A$2)</f>
        <v>0</v>
      </c>
      <c r="J491" s="1318">
        <f>SUMIFS(Movement!$G$4:$G$2136,Movement!$M$4:$M$2136,"VND",Movement!$C$4:$C$2136,Table11[[#This Row],[ACCOUNT NUMBER]],Movement!$J$4:$J$2136,Table11[[#This Row],[ENTITY]],Movement!$O$4:$O$2136,'Cash Balance'!$A$2)</f>
        <v>0</v>
      </c>
      <c r="K491" s="1084">
        <f>Table11[[#This Row],[CASH IN - CREDIT (VND)]]-Table11[[#This Row],[CASH OUT - DEBIT (VND)]]</f>
        <v>0</v>
      </c>
      <c r="L491" s="1095">
        <f t="shared" si="44"/>
        <v>7400000000</v>
      </c>
      <c r="M491" s="1184" t="e">
        <f>VLOOKUP(C491,'Cash balance (BS)'!A:D,4,)</f>
        <v>#N/A</v>
      </c>
      <c r="N491" s="1095" t="e">
        <f>Table11[[#This Row],[CLOSING BALANCE (VND)2]]-Table11[[#This Row],[CB_BS (VND)]]</f>
        <v>#N/A</v>
      </c>
      <c r="O491" s="1094">
        <v>0</v>
      </c>
      <c r="P491" s="1095">
        <f t="shared" si="45"/>
        <v>0</v>
      </c>
      <c r="Q491" s="817">
        <f>SUMIFS('Cash balance (Prior period)'!G:G,'Cash balance (Prior period)'!C:C,Table11[[#This Row],[ACCOUNT NUMBER]],'Cash balance (Prior period)'!E:E,Table11[[#This Row],[CURRENCY]])</f>
        <v>0</v>
      </c>
      <c r="R491" s="817">
        <f>SUMIFS(Movement!$F$4:$F$2136,Movement!$M$4:$M$2136,"USD",Movement!$C$4:$C$2136,Table11[[#This Row],[ACCOUNT NUMBER]],Movement!$J$4:$J$2136,Table11[[#This Row],[ENTITY]],Movement!$O$4:$O$2136,'Cash Balance'!$A$2)</f>
        <v>0</v>
      </c>
      <c r="S491" s="817">
        <f>SUMIFS(Movement!$G$4:$G$2136,Movement!$M$4:$M$2136,"USD",Movement!$C$4:$C$2136,Table11[[#This Row],[ACCOUNT NUMBER]],Movement!$J$4:$J$2136,Table11[[#This Row],[ENTITY]],Movement!$O$4:$O$2136,'Cash Balance'!$A$2)</f>
        <v>0</v>
      </c>
      <c r="T491" s="1087">
        <f t="shared" si="46"/>
        <v>0</v>
      </c>
      <c r="U491" s="817"/>
      <c r="V491" s="817">
        <f>Table11[[#This Row],[CLOSING BALANCE (USD)]]-Table11[[#This Row],[CB_BS (USD)]]</f>
        <v>0</v>
      </c>
      <c r="W491" s="1156" t="str">
        <f>VLOOKUP('Cash Balance'!$C491,Table2[#All],MATCH('Cash Balance'!W$3,Acc_Char!$B$1:$I$1,0),0)</f>
        <v>Subsidiaries</v>
      </c>
      <c r="X491" s="1156" t="str">
        <f>VLOOKUP(IFERROR(MID($Y491,1,FIND("-",$Y491)-2),$Y491),Table3[#All],2,0)</f>
        <v>BIDV</v>
      </c>
      <c r="Y491" s="1156" t="str">
        <f>VLOOKUP($B491,Table4[#All],2,0)</f>
        <v>BIDV - THANH XUAN</v>
      </c>
      <c r="Z491" s="1151"/>
      <c r="AA491" s="49"/>
    </row>
    <row r="492" spans="1:27">
      <c r="A492" s="1153" t="str">
        <f>VLOOKUP('Cash Balance'!$C492,Table2[#All],MATCH('Cash Balance'!A$3,Acc_Char!$B$1:$I$1,0),0)</f>
        <v>MPL JSC</v>
      </c>
      <c r="B492" s="1154" t="str">
        <f>VLOOKUP('Cash Balance'!$C492,Table2[#All],MATCH('Cash Balance'!B$3,Acc_Char!$B$1:$I$1,0),0)</f>
        <v>VIETINBANK - TIEN SON</v>
      </c>
      <c r="C492" s="1190" t="s">
        <v>1105</v>
      </c>
      <c r="D492" s="1156" t="str">
        <f>VLOOKUP('Cash Balance'!$C492,Table2[#All],MATCH('Cash Balance'!D$3,Acc_Char!$B$1:$I$1,0),0)</f>
        <v>Current Account</v>
      </c>
      <c r="E492" s="384" t="str">
        <f>VLOOKUP('Cash Balance'!$C492,Table2[#All],MATCH('Cash Balance'!E$3,Acc_Char!$B$1:$I$1,0),0)</f>
        <v>VND</v>
      </c>
      <c r="F492" s="1094" t="e">
        <f>VLOOKUP(C492,'Cash balance (BS)'!A:C,3,)</f>
        <v>#N/A</v>
      </c>
      <c r="G492" s="1157" t="e">
        <f t="shared" si="43"/>
        <v>#N/A</v>
      </c>
      <c r="H492" s="1318">
        <f>SUMIFS('Cash balance (Prior period)'!F:F,'Cash balance (Prior period)'!C:C,Table11[[#This Row],[ACCOUNT NUMBER]],'Cash balance (Prior period)'!E:E,Table11[[#This Row],[CURRENCY]])</f>
        <v>0</v>
      </c>
      <c r="I492" s="1318">
        <f>SUMIFS(Movement!$F$4:$F$2136,Movement!$M$4:$M$2136,"VND",Movement!$C$4:$C$2136,Table11[[#This Row],[ACCOUNT NUMBER]],Movement!$J$4:$J$2136,Table11[[#This Row],[ENTITY]],Movement!$O$4:$O$2136,'Cash Balance'!$A$2)</f>
        <v>0</v>
      </c>
      <c r="J492" s="1318">
        <f>SUMIFS(Movement!$G$4:$G$2136,Movement!$M$4:$M$2136,"VND",Movement!$C$4:$C$2136,Table11[[#This Row],[ACCOUNT NUMBER]],Movement!$J$4:$J$2136,Table11[[#This Row],[ENTITY]],Movement!$O$4:$O$2136,'Cash Balance'!$A$2)</f>
        <v>0</v>
      </c>
      <c r="K492" s="1084">
        <f>Table11[[#This Row],[CASH IN - CREDIT (VND)]]-Table11[[#This Row],[CASH OUT - DEBIT (VND)]]</f>
        <v>0</v>
      </c>
      <c r="L492" s="1095">
        <f t="shared" si="44"/>
        <v>0</v>
      </c>
      <c r="M492" s="1184" t="e">
        <f>VLOOKUP(C492,'Cash balance (BS)'!A:D,4,)</f>
        <v>#N/A</v>
      </c>
      <c r="N492" s="1095" t="e">
        <f>Table11[[#This Row],[CLOSING BALANCE (VND)2]]-Table11[[#This Row],[CB_BS (VND)]]</f>
        <v>#N/A</v>
      </c>
      <c r="O492" s="1094">
        <v>0</v>
      </c>
      <c r="P492" s="1095">
        <f t="shared" si="45"/>
        <v>0</v>
      </c>
      <c r="Q492" s="817">
        <f>SUMIFS('Cash balance (Prior period)'!G:G,'Cash balance (Prior period)'!C:C,Table11[[#This Row],[ACCOUNT NUMBER]],'Cash balance (Prior period)'!E:E,Table11[[#This Row],[CURRENCY]])</f>
        <v>0</v>
      </c>
      <c r="R492" s="817">
        <f>SUMIFS(Movement!$F$4:$F$2136,Movement!$M$4:$M$2136,"USD",Movement!$C$4:$C$2136,Table11[[#This Row],[ACCOUNT NUMBER]],Movement!$J$4:$J$2136,Table11[[#This Row],[ENTITY]],Movement!$O$4:$O$2136,'Cash Balance'!$A$2)</f>
        <v>0</v>
      </c>
      <c r="S492" s="817">
        <f>SUMIFS(Movement!$G$4:$G$2136,Movement!$M$4:$M$2136,"USD",Movement!$C$4:$C$2136,Table11[[#This Row],[ACCOUNT NUMBER]],Movement!$J$4:$J$2136,Table11[[#This Row],[ENTITY]],Movement!$O$4:$O$2136,'Cash Balance'!$A$2)</f>
        <v>0</v>
      </c>
      <c r="T492" s="1087">
        <f t="shared" si="46"/>
        <v>0</v>
      </c>
      <c r="U492" s="817"/>
      <c r="V492" s="817">
        <f>Table11[[#This Row],[CLOSING BALANCE (USD)]]-Table11[[#This Row],[CB_BS (USD)]]</f>
        <v>0</v>
      </c>
      <c r="W492" s="1156" t="str">
        <f>VLOOKUP('Cash Balance'!$C492,Table2[#All],MATCH('Cash Balance'!W$3,Acc_Char!$B$1:$I$1,0),0)</f>
        <v>Subsidiaries</v>
      </c>
      <c r="X492" s="1156" t="str">
        <f>VLOOKUP(IFERROR(MID($Y492,1,FIND("-",$Y492)-2),$Y492),Table3[#All],2,0)</f>
        <v>VTB</v>
      </c>
      <c r="Y492" s="1156" t="str">
        <f>VLOOKUP($B492,Table4[#All],2,0)</f>
        <v>VIETINBANK - TIEN SON</v>
      </c>
      <c r="Z492" s="1151"/>
      <c r="AA492" s="49"/>
    </row>
    <row r="493" spans="1:27">
      <c r="A493" s="1153" t="str">
        <f>VLOOKUP('Cash Balance'!$C493,Table2[#All],MATCH('Cash Balance'!A$3,Acc_Char!$B$1:$I$1,0),0)</f>
        <v>BWID BAC NINH</v>
      </c>
      <c r="B493" s="1154" t="str">
        <f>VLOOKUP('Cash Balance'!$C493,Table2[#All],MATCH('Cash Balance'!B$3,Acc_Char!$B$1:$I$1,0),0)</f>
        <v>VIETINBANK - TIEN SON</v>
      </c>
      <c r="C493" s="1190" t="s">
        <v>1106</v>
      </c>
      <c r="D493" s="1156" t="str">
        <f>VLOOKUP('Cash Balance'!$C493,Table2[#All],MATCH('Cash Balance'!D$3,Acc_Char!$B$1:$I$1,0),0)</f>
        <v>Saving Account</v>
      </c>
      <c r="E493" s="384" t="str">
        <f>VLOOKUP('Cash Balance'!$C493,Table2[#All],MATCH('Cash Balance'!E$3,Acc_Char!$B$1:$I$1,0),0)</f>
        <v>VND</v>
      </c>
      <c r="F493" s="1094" t="e">
        <f>VLOOKUP(C493,'Cash balance (BS)'!A:C,3,)</f>
        <v>#N/A</v>
      </c>
      <c r="G493" s="1157" t="e">
        <f t="shared" si="43"/>
        <v>#N/A</v>
      </c>
      <c r="H493" s="1318">
        <f>SUMIFS('Cash balance (Prior period)'!F:F,'Cash balance (Prior period)'!C:C,Table11[[#This Row],[ACCOUNT NUMBER]],'Cash balance (Prior period)'!E:E,Table11[[#This Row],[CURRENCY]])</f>
        <v>2500000000</v>
      </c>
      <c r="I493" s="1318">
        <f>SUMIFS(Movement!$F$4:$F$2136,Movement!$M$4:$M$2136,"VND",Movement!$C$4:$C$2136,Table11[[#This Row],[ACCOUNT NUMBER]],Movement!$J$4:$J$2136,Table11[[#This Row],[ENTITY]],Movement!$O$4:$O$2136,'Cash Balance'!$A$2)</f>
        <v>0</v>
      </c>
      <c r="J493" s="1318">
        <f>SUMIFS(Movement!$G$4:$G$2136,Movement!$M$4:$M$2136,"VND",Movement!$C$4:$C$2136,Table11[[#This Row],[ACCOUNT NUMBER]],Movement!$J$4:$J$2136,Table11[[#This Row],[ENTITY]],Movement!$O$4:$O$2136,'Cash Balance'!$A$2)</f>
        <v>0</v>
      </c>
      <c r="K493" s="1084">
        <f>Table11[[#This Row],[CASH IN - CREDIT (VND)]]-Table11[[#This Row],[CASH OUT - DEBIT (VND)]]</f>
        <v>0</v>
      </c>
      <c r="L493" s="1095">
        <f t="shared" si="44"/>
        <v>2500000000</v>
      </c>
      <c r="M493" s="1184" t="e">
        <f>VLOOKUP(C493,'Cash balance (BS)'!A:D,4,)</f>
        <v>#N/A</v>
      </c>
      <c r="N493" s="1095" t="e">
        <f>Table11[[#This Row],[CLOSING BALANCE (VND)2]]-Table11[[#This Row],[CB_BS (VND)]]</f>
        <v>#N/A</v>
      </c>
      <c r="O493" s="1094">
        <v>0</v>
      </c>
      <c r="P493" s="1095">
        <f t="shared" si="45"/>
        <v>0</v>
      </c>
      <c r="Q493" s="817">
        <f>SUMIFS('Cash balance (Prior period)'!G:G,'Cash balance (Prior period)'!C:C,Table11[[#This Row],[ACCOUNT NUMBER]],'Cash balance (Prior period)'!E:E,Table11[[#This Row],[CURRENCY]])</f>
        <v>0</v>
      </c>
      <c r="R493" s="817">
        <f>SUMIFS(Movement!$F$4:$F$2136,Movement!$M$4:$M$2136,"USD",Movement!$C$4:$C$2136,Table11[[#This Row],[ACCOUNT NUMBER]],Movement!$J$4:$J$2136,Table11[[#This Row],[ENTITY]],Movement!$O$4:$O$2136,'Cash Balance'!$A$2)</f>
        <v>0</v>
      </c>
      <c r="S493" s="817">
        <f>SUMIFS(Movement!$G$4:$G$2136,Movement!$M$4:$M$2136,"USD",Movement!$C$4:$C$2136,Table11[[#This Row],[ACCOUNT NUMBER]],Movement!$J$4:$J$2136,Table11[[#This Row],[ENTITY]],Movement!$O$4:$O$2136,'Cash Balance'!$A$2)</f>
        <v>0</v>
      </c>
      <c r="T493" s="1087">
        <f t="shared" si="46"/>
        <v>0</v>
      </c>
      <c r="U493" s="817"/>
      <c r="V493" s="817">
        <f>Table11[[#This Row],[CLOSING BALANCE (USD)]]-Table11[[#This Row],[CB_BS (USD)]]</f>
        <v>0</v>
      </c>
      <c r="W493" s="1156" t="str">
        <f>VLOOKUP('Cash Balance'!$C493,Table2[#All],MATCH('Cash Balance'!W$3,Acc_Char!$B$1:$I$1,0),0)</f>
        <v>Subsidiaries</v>
      </c>
      <c r="X493" s="1156" t="str">
        <f>VLOOKUP(IFERROR(MID($Y493,1,FIND("-",$Y493)-2),$Y493),Table3[#All],2,0)</f>
        <v>VTB</v>
      </c>
      <c r="Y493" s="1156" t="str">
        <f>VLOOKUP($B493,Table4[#All],2,0)</f>
        <v>VIETINBANK - TIEN SON</v>
      </c>
      <c r="Z493" s="1151"/>
      <c r="AA493" s="49"/>
    </row>
    <row r="494" spans="1:27">
      <c r="A494" s="1153" t="str">
        <f>VLOOKUP('Cash Balance'!$C494,Table2[#All],MATCH('Cash Balance'!A$3,Acc_Char!$B$1:$I$1,0),0)</f>
        <v>BWID HAI PHONG</v>
      </c>
      <c r="B494" s="1154" t="str">
        <f>VLOOKUP('Cash Balance'!$C494,Table2[#All],MATCH('Cash Balance'!B$3,Acc_Char!$B$1:$I$1,0),0)</f>
        <v>VIETINBANK - TIEN SON</v>
      </c>
      <c r="C494" s="1190" t="s">
        <v>1107</v>
      </c>
      <c r="D494" s="1156" t="str">
        <f>VLOOKUP('Cash Balance'!$C494,Table2[#All],MATCH('Cash Balance'!D$3,Acc_Char!$B$1:$I$1,0),0)</f>
        <v>Saving Account</v>
      </c>
      <c r="E494" s="384" t="str">
        <f>VLOOKUP('Cash Balance'!$C494,Table2[#All],MATCH('Cash Balance'!E$3,Acc_Char!$B$1:$I$1,0),0)</f>
        <v>VND</v>
      </c>
      <c r="F494" s="1094" t="e">
        <f>VLOOKUP(C494,'Cash balance (BS)'!A:C,3,)</f>
        <v>#N/A</v>
      </c>
      <c r="G494" s="1157" t="e">
        <f t="shared" si="43"/>
        <v>#N/A</v>
      </c>
      <c r="H494" s="1318">
        <f>SUMIFS('Cash balance (Prior period)'!F:F,'Cash balance (Prior period)'!C:C,Table11[[#This Row],[ACCOUNT NUMBER]],'Cash balance (Prior period)'!E:E,Table11[[#This Row],[CURRENCY]])</f>
        <v>0</v>
      </c>
      <c r="I494" s="1318">
        <f>SUMIFS(Movement!$F$4:$F$2136,Movement!$M$4:$M$2136,"VND",Movement!$C$4:$C$2136,Table11[[#This Row],[ACCOUNT NUMBER]],Movement!$J$4:$J$2136,Table11[[#This Row],[ENTITY]],Movement!$O$4:$O$2136,'Cash Balance'!$A$2)</f>
        <v>0</v>
      </c>
      <c r="J494" s="1318">
        <f>SUMIFS(Movement!$G$4:$G$2136,Movement!$M$4:$M$2136,"VND",Movement!$C$4:$C$2136,Table11[[#This Row],[ACCOUNT NUMBER]],Movement!$J$4:$J$2136,Table11[[#This Row],[ENTITY]],Movement!$O$4:$O$2136,'Cash Balance'!$A$2)</f>
        <v>0</v>
      </c>
      <c r="K494" s="1084">
        <f>Table11[[#This Row],[CASH IN - CREDIT (VND)]]-Table11[[#This Row],[CASH OUT - DEBIT (VND)]]</f>
        <v>0</v>
      </c>
      <c r="L494" s="1095">
        <f t="shared" si="44"/>
        <v>0</v>
      </c>
      <c r="M494" s="1184" t="e">
        <f>VLOOKUP(C494,'Cash balance (BS)'!A:D,4,)</f>
        <v>#N/A</v>
      </c>
      <c r="N494" s="1095" t="e">
        <f>Table11[[#This Row],[CLOSING BALANCE (VND)2]]-Table11[[#This Row],[CB_BS (VND)]]</f>
        <v>#N/A</v>
      </c>
      <c r="O494" s="1094">
        <v>0</v>
      </c>
      <c r="P494" s="1095">
        <f t="shared" si="45"/>
        <v>0</v>
      </c>
      <c r="Q494" s="817">
        <f>SUMIFS('Cash balance (Prior period)'!G:G,'Cash balance (Prior period)'!C:C,Table11[[#This Row],[ACCOUNT NUMBER]],'Cash balance (Prior period)'!E:E,Table11[[#This Row],[CURRENCY]])</f>
        <v>0</v>
      </c>
      <c r="R494" s="817">
        <f>SUMIFS(Movement!$F$4:$F$2136,Movement!$M$4:$M$2136,"USD",Movement!$C$4:$C$2136,Table11[[#This Row],[ACCOUNT NUMBER]],Movement!$J$4:$J$2136,Table11[[#This Row],[ENTITY]],Movement!$O$4:$O$2136,'Cash Balance'!$A$2)</f>
        <v>0</v>
      </c>
      <c r="S494" s="817">
        <f>SUMIFS(Movement!$G$4:$G$2136,Movement!$M$4:$M$2136,"USD",Movement!$C$4:$C$2136,Table11[[#This Row],[ACCOUNT NUMBER]],Movement!$J$4:$J$2136,Table11[[#This Row],[ENTITY]],Movement!$O$4:$O$2136,'Cash Balance'!$A$2)</f>
        <v>0</v>
      </c>
      <c r="T494" s="1087">
        <f t="shared" si="46"/>
        <v>0</v>
      </c>
      <c r="U494" s="817"/>
      <c r="V494" s="817">
        <f>Table11[[#This Row],[CLOSING BALANCE (USD)]]-Table11[[#This Row],[CB_BS (USD)]]</f>
        <v>0</v>
      </c>
      <c r="W494" s="1156" t="str">
        <f>VLOOKUP('Cash Balance'!$C494,Table2[#All],MATCH('Cash Balance'!W$3,Acc_Char!$B$1:$I$1,0),0)</f>
        <v>Subsidiaries</v>
      </c>
      <c r="X494" s="1156" t="str">
        <f>VLOOKUP(IFERROR(MID($Y494,1,FIND("-",$Y494)-2),$Y494),Table3[#All],2,0)</f>
        <v>VTB</v>
      </c>
      <c r="Y494" s="1156" t="str">
        <f>VLOOKUP($B494,Table4[#All],2,0)</f>
        <v>VIETINBANK - TIEN SON</v>
      </c>
      <c r="Z494" s="1151"/>
      <c r="AA494" s="49"/>
    </row>
    <row r="495" spans="1:27">
      <c r="A495" s="1153" t="str">
        <f>VLOOKUP('Cash Balance'!$C495,Table2[#All],MATCH('Cash Balance'!A$3,Acc_Char!$B$1:$I$1,0),0)</f>
        <v>LONG BINH</v>
      </c>
      <c r="B495" s="1154" t="str">
        <f>VLOOKUP('Cash Balance'!$C495,Table2[#All],MATCH('Cash Balance'!B$3,Acc_Char!$B$1:$I$1,0),0)</f>
        <v>VIETINBANK - CN1</v>
      </c>
      <c r="C495" s="1190" t="s">
        <v>1108</v>
      </c>
      <c r="D495" s="1156" t="str">
        <f>VLOOKUP('Cash Balance'!$C495,Table2[#All],MATCH('Cash Balance'!D$3,Acc_Char!$B$1:$I$1,0),0)</f>
        <v>Saving Account</v>
      </c>
      <c r="E495" s="384" t="str">
        <f>VLOOKUP('Cash Balance'!$C495,Table2[#All],MATCH('Cash Balance'!E$3,Acc_Char!$B$1:$I$1,0),0)</f>
        <v>VND</v>
      </c>
      <c r="F495" s="1094" t="e">
        <f>VLOOKUP(C495,'Cash balance (BS)'!A:C,3,)</f>
        <v>#N/A</v>
      </c>
      <c r="G495" s="1157" t="e">
        <f t="shared" si="43"/>
        <v>#N/A</v>
      </c>
      <c r="H495" s="1318">
        <f>SUMIFS('Cash balance (Prior period)'!F:F,'Cash balance (Prior period)'!C:C,Table11[[#This Row],[ACCOUNT NUMBER]],'Cash balance (Prior period)'!E:E,Table11[[#This Row],[CURRENCY]])</f>
        <v>0</v>
      </c>
      <c r="I495" s="1318">
        <f>SUMIFS(Movement!$F$4:$F$2136,Movement!$M$4:$M$2136,"VND",Movement!$C$4:$C$2136,Table11[[#This Row],[ACCOUNT NUMBER]],Movement!$J$4:$J$2136,Table11[[#This Row],[ENTITY]],Movement!$O$4:$O$2136,'Cash Balance'!$A$2)</f>
        <v>0</v>
      </c>
      <c r="J495" s="1318">
        <f>SUMIFS(Movement!$G$4:$G$2136,Movement!$M$4:$M$2136,"VND",Movement!$C$4:$C$2136,Table11[[#This Row],[ACCOUNT NUMBER]],Movement!$J$4:$J$2136,Table11[[#This Row],[ENTITY]],Movement!$O$4:$O$2136,'Cash Balance'!$A$2)</f>
        <v>0</v>
      </c>
      <c r="K495" s="1084">
        <f>Table11[[#This Row],[CASH IN - CREDIT (VND)]]-Table11[[#This Row],[CASH OUT - DEBIT (VND)]]</f>
        <v>0</v>
      </c>
      <c r="L495" s="1095">
        <f t="shared" si="44"/>
        <v>0</v>
      </c>
      <c r="M495" s="1184" t="e">
        <f>VLOOKUP(C495,'Cash balance (BS)'!A:D,4,)</f>
        <v>#N/A</v>
      </c>
      <c r="N495" s="1095" t="e">
        <f>Table11[[#This Row],[CLOSING BALANCE (VND)2]]-Table11[[#This Row],[CB_BS (VND)]]</f>
        <v>#N/A</v>
      </c>
      <c r="O495" s="1094">
        <v>0</v>
      </c>
      <c r="P495" s="1095">
        <f t="shared" si="45"/>
        <v>0</v>
      </c>
      <c r="Q495" s="817">
        <f>SUMIFS('Cash balance (Prior period)'!G:G,'Cash balance (Prior period)'!C:C,Table11[[#This Row],[ACCOUNT NUMBER]],'Cash balance (Prior period)'!E:E,Table11[[#This Row],[CURRENCY]])</f>
        <v>0</v>
      </c>
      <c r="R495" s="817">
        <f>SUMIFS(Movement!$F$4:$F$2136,Movement!$M$4:$M$2136,"USD",Movement!$C$4:$C$2136,Table11[[#This Row],[ACCOUNT NUMBER]],Movement!$J$4:$J$2136,Table11[[#This Row],[ENTITY]],Movement!$O$4:$O$2136,'Cash Balance'!$A$2)</f>
        <v>0</v>
      </c>
      <c r="S495" s="817">
        <f>SUMIFS(Movement!$G$4:$G$2136,Movement!$M$4:$M$2136,"USD",Movement!$C$4:$C$2136,Table11[[#This Row],[ACCOUNT NUMBER]],Movement!$J$4:$J$2136,Table11[[#This Row],[ENTITY]],Movement!$O$4:$O$2136,'Cash Balance'!$A$2)</f>
        <v>0</v>
      </c>
      <c r="T495" s="1087">
        <f t="shared" si="46"/>
        <v>0</v>
      </c>
      <c r="U495" s="817"/>
      <c r="V495" s="817">
        <f>Table11[[#This Row],[CLOSING BALANCE (USD)]]-Table11[[#This Row],[CB_BS (USD)]]</f>
        <v>0</v>
      </c>
      <c r="W495" s="1156" t="str">
        <f>VLOOKUP('Cash Balance'!$C495,Table2[#All],MATCH('Cash Balance'!W$3,Acc_Char!$B$1:$I$1,0),0)</f>
        <v>Subsidiaries</v>
      </c>
      <c r="X495" s="1156" t="str">
        <f>VLOOKUP(IFERROR(MID($Y495,1,FIND("-",$Y495)-2),$Y495),Table3[#All],2,0)</f>
        <v>VTB</v>
      </c>
      <c r="Y495" s="1156" t="str">
        <f>VLOOKUP($B495,Table4[#All],2,0)</f>
        <v>VIETINBANK - CN1</v>
      </c>
      <c r="Z495" s="1151"/>
      <c r="AA495" s="49"/>
    </row>
    <row r="496" spans="1:27">
      <c r="A496" s="1153" t="str">
        <f>VLOOKUP('Cash Balance'!$C496,Table2[#All],MATCH('Cash Balance'!A$3,Acc_Char!$B$1:$I$1,0),0)</f>
        <v>XENIA 1</v>
      </c>
      <c r="B496" s="1154" t="str">
        <f>VLOOKUP('Cash Balance'!$C496,Table2[#All],MATCH('Cash Balance'!B$3,Acc_Char!$B$1:$I$1,0),0)</f>
        <v>VIETINBANK - TIEN SON</v>
      </c>
      <c r="C496" s="1190" t="s">
        <v>1109</v>
      </c>
      <c r="D496" s="1156" t="str">
        <f>VLOOKUP('Cash Balance'!$C496,Table2[#All],MATCH('Cash Balance'!D$3,Acc_Char!$B$1:$I$1,0),0)</f>
        <v>Saving Account</v>
      </c>
      <c r="E496" s="384" t="str">
        <f>VLOOKUP('Cash Balance'!$C496,Table2[#All],MATCH('Cash Balance'!E$3,Acc_Char!$B$1:$I$1,0),0)</f>
        <v>VND</v>
      </c>
      <c r="F496" s="1094" t="e">
        <f>VLOOKUP(C496,'Cash balance (BS)'!A:C,3,)</f>
        <v>#N/A</v>
      </c>
      <c r="G496" s="1157" t="e">
        <f t="shared" si="43"/>
        <v>#N/A</v>
      </c>
      <c r="H496" s="1318">
        <f>SUMIFS('Cash balance (Prior period)'!F:F,'Cash balance (Prior period)'!C:C,Table11[[#This Row],[ACCOUNT NUMBER]],'Cash balance (Prior period)'!E:E,Table11[[#This Row],[CURRENCY]])</f>
        <v>56000000000</v>
      </c>
      <c r="I496" s="1318">
        <f>SUMIFS(Movement!$F$4:$F$2136,Movement!$M$4:$M$2136,"VND",Movement!$C$4:$C$2136,Table11[[#This Row],[ACCOUNT NUMBER]],Movement!$J$4:$J$2136,Table11[[#This Row],[ENTITY]],Movement!$O$4:$O$2136,'Cash Balance'!$A$2)</f>
        <v>0</v>
      </c>
      <c r="J496" s="1318">
        <f>SUMIFS(Movement!$G$4:$G$2136,Movement!$M$4:$M$2136,"VND",Movement!$C$4:$C$2136,Table11[[#This Row],[ACCOUNT NUMBER]],Movement!$J$4:$J$2136,Table11[[#This Row],[ENTITY]],Movement!$O$4:$O$2136,'Cash Balance'!$A$2)</f>
        <v>0</v>
      </c>
      <c r="K496" s="1084">
        <f>Table11[[#This Row],[CASH IN - CREDIT (VND)]]-Table11[[#This Row],[CASH OUT - DEBIT (VND)]]</f>
        <v>0</v>
      </c>
      <c r="L496" s="1095">
        <f t="shared" si="44"/>
        <v>56000000000</v>
      </c>
      <c r="M496" s="1184" t="e">
        <f>VLOOKUP(C496,'Cash balance (BS)'!A:D,4,)</f>
        <v>#N/A</v>
      </c>
      <c r="N496" s="1095" t="e">
        <f>Table11[[#This Row],[CLOSING BALANCE (VND)2]]-Table11[[#This Row],[CB_BS (VND)]]</f>
        <v>#N/A</v>
      </c>
      <c r="O496" s="1094">
        <v>0</v>
      </c>
      <c r="P496" s="1095">
        <f t="shared" si="45"/>
        <v>0</v>
      </c>
      <c r="Q496" s="817">
        <f>SUMIFS('Cash balance (Prior period)'!G:G,'Cash balance (Prior period)'!C:C,Table11[[#This Row],[ACCOUNT NUMBER]],'Cash balance (Prior period)'!E:E,Table11[[#This Row],[CURRENCY]])</f>
        <v>0</v>
      </c>
      <c r="R496" s="817">
        <f>SUMIFS(Movement!$F$4:$F$2136,Movement!$M$4:$M$2136,"USD",Movement!$C$4:$C$2136,Table11[[#This Row],[ACCOUNT NUMBER]],Movement!$J$4:$J$2136,Table11[[#This Row],[ENTITY]],Movement!$O$4:$O$2136,'Cash Balance'!$A$2)</f>
        <v>0</v>
      </c>
      <c r="S496" s="817">
        <f>SUMIFS(Movement!$G$4:$G$2136,Movement!$M$4:$M$2136,"USD",Movement!$C$4:$C$2136,Table11[[#This Row],[ACCOUNT NUMBER]],Movement!$J$4:$J$2136,Table11[[#This Row],[ENTITY]],Movement!$O$4:$O$2136,'Cash Balance'!$A$2)</f>
        <v>0</v>
      </c>
      <c r="T496" s="1087">
        <f t="shared" si="46"/>
        <v>0</v>
      </c>
      <c r="U496" s="817"/>
      <c r="V496" s="817">
        <f>Table11[[#This Row],[CLOSING BALANCE (USD)]]-Table11[[#This Row],[CB_BS (USD)]]</f>
        <v>0</v>
      </c>
      <c r="W496" s="1156" t="str">
        <f>VLOOKUP('Cash Balance'!$C496,Table2[#All],MATCH('Cash Balance'!W$3,Acc_Char!$B$1:$I$1,0),0)</f>
        <v>Subsidiaries</v>
      </c>
      <c r="X496" s="1156" t="str">
        <f>VLOOKUP(IFERROR(MID($Y496,1,FIND("-",$Y496)-2),$Y496),Table3[#All],2,0)</f>
        <v>VTB</v>
      </c>
      <c r="Y496" s="1156" t="str">
        <f>VLOOKUP($B496,Table4[#All],2,0)</f>
        <v>VIETINBANK - TIEN SON</v>
      </c>
      <c r="Z496" s="1151"/>
      <c r="AA496" s="49"/>
    </row>
    <row r="497" spans="1:27">
      <c r="A497" s="1153" t="str">
        <f>VLOOKUP('Cash Balance'!$C497,Table2[#All],MATCH('Cash Balance'!A$3,Acc_Char!$B$1:$I$1,0),0)</f>
        <v>WPJV 3</v>
      </c>
      <c r="B497" s="1154" t="str">
        <f>VLOOKUP('Cash Balance'!$C497,Table2[#All],MATCH('Cash Balance'!B$3,Acc_Char!$B$1:$I$1,0),0)</f>
        <v>VIETINBANK - TIEN SON</v>
      </c>
      <c r="C497" s="1190" t="s">
        <v>1110</v>
      </c>
      <c r="D497" s="1156" t="str">
        <f>VLOOKUP('Cash Balance'!$C497,Table2[#All],MATCH('Cash Balance'!D$3,Acc_Char!$B$1:$I$1,0),0)</f>
        <v>Saving Account</v>
      </c>
      <c r="E497" s="384" t="str">
        <f>VLOOKUP('Cash Balance'!$C497,Table2[#All],MATCH('Cash Balance'!E$3,Acc_Char!$B$1:$I$1,0),0)</f>
        <v>VND</v>
      </c>
      <c r="F497" s="1094" t="e">
        <f>VLOOKUP(C497,'Cash balance (BS)'!A:C,3,)</f>
        <v>#N/A</v>
      </c>
      <c r="G497" s="1157" t="e">
        <f t="shared" si="43"/>
        <v>#N/A</v>
      </c>
      <c r="H497" s="1318">
        <f>SUMIFS('Cash balance (Prior period)'!F:F,'Cash balance (Prior period)'!C:C,Table11[[#This Row],[ACCOUNT NUMBER]],'Cash balance (Prior period)'!E:E,Table11[[#This Row],[CURRENCY]])</f>
        <v>50000000</v>
      </c>
      <c r="I497" s="1318">
        <f>SUMIFS(Movement!$F$4:$F$2136,Movement!$M$4:$M$2136,"VND",Movement!$C$4:$C$2136,Table11[[#This Row],[ACCOUNT NUMBER]],Movement!$J$4:$J$2136,Table11[[#This Row],[ENTITY]],Movement!$O$4:$O$2136,'Cash Balance'!$A$2)</f>
        <v>0</v>
      </c>
      <c r="J497" s="1318">
        <f>SUMIFS(Movement!$G$4:$G$2136,Movement!$M$4:$M$2136,"VND",Movement!$C$4:$C$2136,Table11[[#This Row],[ACCOUNT NUMBER]],Movement!$J$4:$J$2136,Table11[[#This Row],[ENTITY]],Movement!$O$4:$O$2136,'Cash Balance'!$A$2)</f>
        <v>0</v>
      </c>
      <c r="K497" s="1084">
        <f>Table11[[#This Row],[CASH IN - CREDIT (VND)]]-Table11[[#This Row],[CASH OUT - DEBIT (VND)]]</f>
        <v>0</v>
      </c>
      <c r="L497" s="1095">
        <f t="shared" si="44"/>
        <v>50000000</v>
      </c>
      <c r="M497" s="1184" t="e">
        <f>VLOOKUP(C497,'Cash balance (BS)'!A:D,4,)</f>
        <v>#N/A</v>
      </c>
      <c r="N497" s="1095" t="e">
        <f>Table11[[#This Row],[CLOSING BALANCE (VND)2]]-Table11[[#This Row],[CB_BS (VND)]]</f>
        <v>#N/A</v>
      </c>
      <c r="O497" s="1094">
        <v>0</v>
      </c>
      <c r="P497" s="1095">
        <f t="shared" si="45"/>
        <v>0</v>
      </c>
      <c r="Q497" s="817">
        <f>SUMIFS('Cash balance (Prior period)'!G:G,'Cash balance (Prior period)'!C:C,Table11[[#This Row],[ACCOUNT NUMBER]],'Cash balance (Prior period)'!E:E,Table11[[#This Row],[CURRENCY]])</f>
        <v>0</v>
      </c>
      <c r="R497" s="817">
        <f>SUMIFS(Movement!$F$4:$F$2136,Movement!$M$4:$M$2136,"USD",Movement!$C$4:$C$2136,Table11[[#This Row],[ACCOUNT NUMBER]],Movement!$J$4:$J$2136,Table11[[#This Row],[ENTITY]],Movement!$O$4:$O$2136,'Cash Balance'!$A$2)</f>
        <v>0</v>
      </c>
      <c r="S497" s="817">
        <f>SUMIFS(Movement!$G$4:$G$2136,Movement!$M$4:$M$2136,"USD",Movement!$C$4:$C$2136,Table11[[#This Row],[ACCOUNT NUMBER]],Movement!$J$4:$J$2136,Table11[[#This Row],[ENTITY]],Movement!$O$4:$O$2136,'Cash Balance'!$A$2)</f>
        <v>0</v>
      </c>
      <c r="T497" s="1087">
        <f t="shared" si="46"/>
        <v>0</v>
      </c>
      <c r="U497" s="817"/>
      <c r="V497" s="817">
        <f>Table11[[#This Row],[CLOSING BALANCE (USD)]]-Table11[[#This Row],[CB_BS (USD)]]</f>
        <v>0</v>
      </c>
      <c r="W497" s="1156" t="str">
        <f>VLOOKUP('Cash Balance'!$C497,Table2[#All],MATCH('Cash Balance'!W$3,Acc_Char!$B$1:$I$1,0),0)</f>
        <v>Subsidiaries</v>
      </c>
      <c r="X497" s="1156" t="str">
        <f>VLOOKUP(IFERROR(MID($Y497,1,FIND("-",$Y497)-2),$Y497),Table3[#All],2,0)</f>
        <v>VTB</v>
      </c>
      <c r="Y497" s="1156" t="str">
        <f>VLOOKUP($B497,Table4[#All],2,0)</f>
        <v>VIETINBANK - TIEN SON</v>
      </c>
      <c r="Z497" s="1151"/>
      <c r="AA497" s="49"/>
    </row>
    <row r="498" spans="1:27">
      <c r="A498" s="1153" t="str">
        <f>VLOOKUP('Cash Balance'!$C498,Table2[#All],MATCH('Cash Balance'!A$3,Acc_Char!$B$1:$I$1,0),0)</f>
        <v>BAC TIEN PHONG</v>
      </c>
      <c r="B498" s="1154" t="str">
        <f>VLOOKUP('Cash Balance'!$C498,Table2[#All],MATCH('Cash Balance'!B$3,Acc_Char!$B$1:$I$1,0),0)</f>
        <v>BIDV - THANH XUAN</v>
      </c>
      <c r="C498" s="1190" t="s">
        <v>1111</v>
      </c>
      <c r="D498" s="1156" t="str">
        <f>VLOOKUP('Cash Balance'!$C498,Table2[#All],MATCH('Cash Balance'!D$3,Acc_Char!$B$1:$I$1,0),0)</f>
        <v>Saving Account</v>
      </c>
      <c r="E498" s="384" t="str">
        <f>VLOOKUP('Cash Balance'!$C498,Table2[#All],MATCH('Cash Balance'!E$3,Acc_Char!$B$1:$I$1,0),0)</f>
        <v>VND</v>
      </c>
      <c r="F498" s="1094" t="e">
        <f>VLOOKUP(C498,'Cash balance (BS)'!A:C,3,)</f>
        <v>#N/A</v>
      </c>
      <c r="G498" s="1157" t="e">
        <f t="shared" si="43"/>
        <v>#N/A</v>
      </c>
      <c r="H498" s="1318">
        <f>SUMIFS('Cash balance (Prior period)'!F:F,'Cash balance (Prior period)'!C:C,Table11[[#This Row],[ACCOUNT NUMBER]],'Cash balance (Prior period)'!E:E,Table11[[#This Row],[CURRENCY]])</f>
        <v>2067551997</v>
      </c>
      <c r="I498" s="1318">
        <f>SUMIFS(Movement!$F$4:$F$2136,Movement!$M$4:$M$2136,"VND",Movement!$C$4:$C$2136,Table11[[#This Row],[ACCOUNT NUMBER]],Movement!$J$4:$J$2136,Table11[[#This Row],[ENTITY]],Movement!$O$4:$O$2136,'Cash Balance'!$A$2)</f>
        <v>0</v>
      </c>
      <c r="J498" s="1318">
        <f>SUMIFS(Movement!$G$4:$G$2136,Movement!$M$4:$M$2136,"VND",Movement!$C$4:$C$2136,Table11[[#This Row],[ACCOUNT NUMBER]],Movement!$J$4:$J$2136,Table11[[#This Row],[ENTITY]],Movement!$O$4:$O$2136,'Cash Balance'!$A$2)</f>
        <v>0</v>
      </c>
      <c r="K498" s="1084">
        <f>Table11[[#This Row],[CASH IN - CREDIT (VND)]]-Table11[[#This Row],[CASH OUT - DEBIT (VND)]]</f>
        <v>0</v>
      </c>
      <c r="L498" s="1095">
        <f t="shared" si="44"/>
        <v>2067551997</v>
      </c>
      <c r="M498" s="1184" t="e">
        <f>VLOOKUP(C498,'Cash balance (BS)'!A:D,4,)</f>
        <v>#N/A</v>
      </c>
      <c r="N498" s="1095" t="e">
        <f>Table11[[#This Row],[CLOSING BALANCE (VND)2]]-Table11[[#This Row],[CB_BS (VND)]]</f>
        <v>#N/A</v>
      </c>
      <c r="O498" s="1094">
        <v>0</v>
      </c>
      <c r="P498" s="1095">
        <f t="shared" si="45"/>
        <v>0</v>
      </c>
      <c r="Q498" s="817">
        <f>SUMIFS('Cash balance (Prior period)'!G:G,'Cash balance (Prior period)'!C:C,Table11[[#This Row],[ACCOUNT NUMBER]],'Cash balance (Prior period)'!E:E,Table11[[#This Row],[CURRENCY]])</f>
        <v>0</v>
      </c>
      <c r="R498" s="817">
        <f>SUMIFS(Movement!$F$4:$F$2136,Movement!$M$4:$M$2136,"USD",Movement!$C$4:$C$2136,Table11[[#This Row],[ACCOUNT NUMBER]],Movement!$J$4:$J$2136,Table11[[#This Row],[ENTITY]],Movement!$O$4:$O$2136,'Cash Balance'!$A$2)</f>
        <v>0</v>
      </c>
      <c r="S498" s="817">
        <f>SUMIFS(Movement!$G$4:$G$2136,Movement!$M$4:$M$2136,"USD",Movement!$C$4:$C$2136,Table11[[#This Row],[ACCOUNT NUMBER]],Movement!$J$4:$J$2136,Table11[[#This Row],[ENTITY]],Movement!$O$4:$O$2136,'Cash Balance'!$A$2)</f>
        <v>0</v>
      </c>
      <c r="T498" s="1087">
        <f t="shared" si="46"/>
        <v>0</v>
      </c>
      <c r="U498" s="817"/>
      <c r="V498" s="817">
        <f>Table11[[#This Row],[CLOSING BALANCE (USD)]]-Table11[[#This Row],[CB_BS (USD)]]</f>
        <v>0</v>
      </c>
      <c r="W498" s="1156" t="str">
        <f>VLOOKUP('Cash Balance'!$C498,Table2[#All],MATCH('Cash Balance'!W$3,Acc_Char!$B$1:$I$1,0),0)</f>
        <v>Subsidiaries</v>
      </c>
      <c r="X498" s="1156" t="str">
        <f>VLOOKUP(IFERROR(MID($Y498,1,FIND("-",$Y498)-2),$Y498),Table3[#All],2,0)</f>
        <v>BIDV</v>
      </c>
      <c r="Y498" s="1156" t="str">
        <f>VLOOKUP($B498,Table4[#All],2,0)</f>
        <v>BIDV - THANH XUAN</v>
      </c>
      <c r="Z498" s="1151"/>
      <c r="AA498" s="49"/>
    </row>
    <row r="499" spans="1:27">
      <c r="A499" s="1153" t="str">
        <f>VLOOKUP('Cash Balance'!$C499,Table2[#All],MATCH('Cash Balance'!A$3,Acc_Char!$B$1:$I$1,0),0)</f>
        <v>BW DINH VU</v>
      </c>
      <c r="B499" s="1154" t="str">
        <f>VLOOKUP('Cash Balance'!$C499,Table2[#All],MATCH('Cash Balance'!B$3,Acc_Char!$B$1:$I$1,0),0)</f>
        <v>BIDV - THANH XUAN</v>
      </c>
      <c r="C499" s="1190" t="s">
        <v>1112</v>
      </c>
      <c r="D499" s="1156" t="str">
        <f>VLOOKUP('Cash Balance'!$C499,Table2[#All],MATCH('Cash Balance'!D$3,Acc_Char!$B$1:$I$1,0),0)</f>
        <v>Saving Account</v>
      </c>
      <c r="E499" s="384" t="str">
        <f>VLOOKUP('Cash Balance'!$C499,Table2[#All],MATCH('Cash Balance'!E$3,Acc_Char!$B$1:$I$1,0),0)</f>
        <v>VND</v>
      </c>
      <c r="F499" s="1094" t="e">
        <f>VLOOKUP(C499,'Cash balance (BS)'!A:C,3,)</f>
        <v>#N/A</v>
      </c>
      <c r="G499" s="1157" t="e">
        <f t="shared" si="43"/>
        <v>#N/A</v>
      </c>
      <c r="H499" s="1318">
        <f>SUMIFS('Cash balance (Prior period)'!F:F,'Cash balance (Prior period)'!C:C,Table11[[#This Row],[ACCOUNT NUMBER]],'Cash balance (Prior period)'!E:E,Table11[[#This Row],[CURRENCY]])</f>
        <v>0</v>
      </c>
      <c r="I499" s="1318">
        <f>SUMIFS(Movement!$F$4:$F$2136,Movement!$M$4:$M$2136,"VND",Movement!$C$4:$C$2136,Table11[[#This Row],[ACCOUNT NUMBER]],Movement!$J$4:$J$2136,Table11[[#This Row],[ENTITY]],Movement!$O$4:$O$2136,'Cash Balance'!$A$2)</f>
        <v>0</v>
      </c>
      <c r="J499" s="1318">
        <f>SUMIFS(Movement!$G$4:$G$2136,Movement!$M$4:$M$2136,"VND",Movement!$C$4:$C$2136,Table11[[#This Row],[ACCOUNT NUMBER]],Movement!$J$4:$J$2136,Table11[[#This Row],[ENTITY]],Movement!$O$4:$O$2136,'Cash Balance'!$A$2)</f>
        <v>0</v>
      </c>
      <c r="K499" s="1084">
        <f>Table11[[#This Row],[CASH IN - CREDIT (VND)]]-Table11[[#This Row],[CASH OUT - DEBIT (VND)]]</f>
        <v>0</v>
      </c>
      <c r="L499" s="1095">
        <f t="shared" si="44"/>
        <v>0</v>
      </c>
      <c r="M499" s="1184" t="e">
        <f>VLOOKUP(C499,'Cash balance (BS)'!A:D,4,)</f>
        <v>#N/A</v>
      </c>
      <c r="N499" s="1095" t="e">
        <f>Table11[[#This Row],[CLOSING BALANCE (VND)2]]-Table11[[#This Row],[CB_BS (VND)]]</f>
        <v>#N/A</v>
      </c>
      <c r="O499" s="1094">
        <v>0</v>
      </c>
      <c r="P499" s="1095">
        <f t="shared" si="45"/>
        <v>0</v>
      </c>
      <c r="Q499" s="817">
        <f>SUMIFS('Cash balance (Prior period)'!G:G,'Cash balance (Prior period)'!C:C,Table11[[#This Row],[ACCOUNT NUMBER]],'Cash balance (Prior period)'!E:E,Table11[[#This Row],[CURRENCY]])</f>
        <v>0</v>
      </c>
      <c r="R499" s="817">
        <f>SUMIFS(Movement!$F$4:$F$2136,Movement!$M$4:$M$2136,"USD",Movement!$C$4:$C$2136,Table11[[#This Row],[ACCOUNT NUMBER]],Movement!$J$4:$J$2136,Table11[[#This Row],[ENTITY]],Movement!$O$4:$O$2136,'Cash Balance'!$A$2)</f>
        <v>0</v>
      </c>
      <c r="S499" s="817">
        <f>SUMIFS(Movement!$G$4:$G$2136,Movement!$M$4:$M$2136,"USD",Movement!$C$4:$C$2136,Table11[[#This Row],[ACCOUNT NUMBER]],Movement!$J$4:$J$2136,Table11[[#This Row],[ENTITY]],Movement!$O$4:$O$2136,'Cash Balance'!$A$2)</f>
        <v>0</v>
      </c>
      <c r="T499" s="1087">
        <f t="shared" si="46"/>
        <v>0</v>
      </c>
      <c r="U499" s="817"/>
      <c r="V499" s="817">
        <f>Table11[[#This Row],[CLOSING BALANCE (USD)]]-Table11[[#This Row],[CB_BS (USD)]]</f>
        <v>0</v>
      </c>
      <c r="W499" s="1156" t="str">
        <f>VLOOKUP('Cash Balance'!$C499,Table2[#All],MATCH('Cash Balance'!W$3,Acc_Char!$B$1:$I$1,0),0)</f>
        <v>Subsidiaries</v>
      </c>
      <c r="X499" s="1156" t="str">
        <f>VLOOKUP(IFERROR(MID($Y499,1,FIND("-",$Y499)-2),$Y499),Table3[#All],2,0)</f>
        <v>BIDV</v>
      </c>
      <c r="Y499" s="1156" t="str">
        <f>VLOOKUP($B499,Table4[#All],2,0)</f>
        <v>BIDV - THANH XUAN</v>
      </c>
      <c r="Z499" s="1151"/>
      <c r="AA499" s="49"/>
    </row>
    <row r="500" spans="1:27">
      <c r="A500" s="1153" t="str">
        <f>VLOOKUP('Cash Balance'!$C500,Table2[#All],MATCH('Cash Balance'!A$3,Acc_Char!$B$1:$I$1,0),0)</f>
        <v>BWID HAI DUONG 3</v>
      </c>
      <c r="B500" s="1154" t="str">
        <f>VLOOKUP('Cash Balance'!$C500,Table2[#All],MATCH('Cash Balance'!B$3,Acc_Char!$B$1:$I$1,0),0)</f>
        <v>BIDV - THANH XUAN</v>
      </c>
      <c r="C500" s="1190" t="s">
        <v>1113</v>
      </c>
      <c r="D500" s="1156" t="str">
        <f>VLOOKUP('Cash Balance'!$C500,Table2[#All],MATCH('Cash Balance'!D$3,Acc_Char!$B$1:$I$1,0),0)</f>
        <v>Saving Account</v>
      </c>
      <c r="E500" s="384" t="str">
        <f>VLOOKUP('Cash Balance'!$C500,Table2[#All],MATCH('Cash Balance'!E$3,Acc_Char!$B$1:$I$1,0),0)</f>
        <v>VND</v>
      </c>
      <c r="F500" s="1094" t="e">
        <f>VLOOKUP(C500,'Cash balance (BS)'!A:C,3,)</f>
        <v>#N/A</v>
      </c>
      <c r="G500" s="1157" t="e">
        <f t="shared" si="43"/>
        <v>#N/A</v>
      </c>
      <c r="H500" s="1318">
        <f>SUMIFS('Cash balance (Prior period)'!F:F,'Cash balance (Prior period)'!C:C,Table11[[#This Row],[ACCOUNT NUMBER]],'Cash balance (Prior period)'!E:E,Table11[[#This Row],[CURRENCY]])</f>
        <v>0</v>
      </c>
      <c r="I500" s="1318">
        <f>SUMIFS(Movement!$F$4:$F$2136,Movement!$M$4:$M$2136,"VND",Movement!$C$4:$C$2136,Table11[[#This Row],[ACCOUNT NUMBER]],Movement!$J$4:$J$2136,Table11[[#This Row],[ENTITY]],Movement!$O$4:$O$2136,'Cash Balance'!$A$2)</f>
        <v>0</v>
      </c>
      <c r="J500" s="1318">
        <f>SUMIFS(Movement!$G$4:$G$2136,Movement!$M$4:$M$2136,"VND",Movement!$C$4:$C$2136,Table11[[#This Row],[ACCOUNT NUMBER]],Movement!$J$4:$J$2136,Table11[[#This Row],[ENTITY]],Movement!$O$4:$O$2136,'Cash Balance'!$A$2)</f>
        <v>0</v>
      </c>
      <c r="K500" s="1084">
        <f>Table11[[#This Row],[CASH IN - CREDIT (VND)]]-Table11[[#This Row],[CASH OUT - DEBIT (VND)]]</f>
        <v>0</v>
      </c>
      <c r="L500" s="1095">
        <f t="shared" si="44"/>
        <v>0</v>
      </c>
      <c r="M500" s="1184" t="e">
        <f>VLOOKUP(C500,'Cash balance (BS)'!A:D,4,)</f>
        <v>#N/A</v>
      </c>
      <c r="N500" s="1095" t="e">
        <f>Table11[[#This Row],[CLOSING BALANCE (VND)2]]-Table11[[#This Row],[CB_BS (VND)]]</f>
        <v>#N/A</v>
      </c>
      <c r="O500" s="1094">
        <v>0</v>
      </c>
      <c r="P500" s="1095">
        <f t="shared" si="45"/>
        <v>0</v>
      </c>
      <c r="Q500" s="817">
        <f>SUMIFS('Cash balance (Prior period)'!G:G,'Cash balance (Prior period)'!C:C,Table11[[#This Row],[ACCOUNT NUMBER]],'Cash balance (Prior period)'!E:E,Table11[[#This Row],[CURRENCY]])</f>
        <v>0</v>
      </c>
      <c r="R500" s="817">
        <f>SUMIFS(Movement!$F$4:$F$2136,Movement!$M$4:$M$2136,"USD",Movement!$C$4:$C$2136,Table11[[#This Row],[ACCOUNT NUMBER]],Movement!$J$4:$J$2136,Table11[[#This Row],[ENTITY]],Movement!$O$4:$O$2136,'Cash Balance'!$A$2)</f>
        <v>0</v>
      </c>
      <c r="S500" s="817">
        <f>SUMIFS(Movement!$G$4:$G$2136,Movement!$M$4:$M$2136,"USD",Movement!$C$4:$C$2136,Table11[[#This Row],[ACCOUNT NUMBER]],Movement!$J$4:$J$2136,Table11[[#This Row],[ENTITY]],Movement!$O$4:$O$2136,'Cash Balance'!$A$2)</f>
        <v>0</v>
      </c>
      <c r="T500" s="1087">
        <f t="shared" si="46"/>
        <v>0</v>
      </c>
      <c r="U500" s="817"/>
      <c r="V500" s="817">
        <f>Table11[[#This Row],[CLOSING BALANCE (USD)]]-Table11[[#This Row],[CB_BS (USD)]]</f>
        <v>0</v>
      </c>
      <c r="W500" s="1156" t="str">
        <f>VLOOKUP('Cash Balance'!$C500,Table2[#All],MATCH('Cash Balance'!W$3,Acc_Char!$B$1:$I$1,0),0)</f>
        <v>Subsidiaries</v>
      </c>
      <c r="X500" s="1156" t="str">
        <f>VLOOKUP(IFERROR(MID($Y500,1,FIND("-",$Y500)-2),$Y500),Table3[#All],2,0)</f>
        <v>BIDV</v>
      </c>
      <c r="Y500" s="1156" t="str">
        <f>VLOOKUP($B500,Table4[#All],2,0)</f>
        <v>BIDV - THANH XUAN</v>
      </c>
      <c r="Z500" s="1151"/>
      <c r="AA500" s="49"/>
    </row>
    <row r="501" spans="1:27">
      <c r="A501" s="1153" t="str">
        <f>VLOOKUP('Cash Balance'!$C501,Table2[#All],MATCH('Cash Balance'!A$3,Acc_Char!$B$1:$I$1,0),0)</f>
        <v>BWID HAI DUONG 3</v>
      </c>
      <c r="B501" s="1154" t="str">
        <f>VLOOKUP('Cash Balance'!$C501,Table2[#All],MATCH('Cash Balance'!B$3,Acc_Char!$B$1:$I$1,0),0)</f>
        <v>BIDV - THANH XUAN</v>
      </c>
      <c r="C501" s="1190" t="s">
        <v>1114</v>
      </c>
      <c r="D501" s="1156" t="str">
        <f>VLOOKUP('Cash Balance'!$C501,Table2[#All],MATCH('Cash Balance'!D$3,Acc_Char!$B$1:$I$1,0),0)</f>
        <v>Saving Account</v>
      </c>
      <c r="E501" s="384" t="str">
        <f>VLOOKUP('Cash Balance'!$C501,Table2[#All],MATCH('Cash Balance'!E$3,Acc_Char!$B$1:$I$1,0),0)</f>
        <v>VND</v>
      </c>
      <c r="F501" s="1094" t="e">
        <f>VLOOKUP(C501,'Cash balance (BS)'!A:C,3,)</f>
        <v>#N/A</v>
      </c>
      <c r="G501" s="1157" t="e">
        <f t="shared" si="43"/>
        <v>#N/A</v>
      </c>
      <c r="H501" s="1318">
        <f>SUMIFS('Cash balance (Prior period)'!F:F,'Cash balance (Prior period)'!C:C,Table11[[#This Row],[ACCOUNT NUMBER]],'Cash balance (Prior period)'!E:E,Table11[[#This Row],[CURRENCY]])</f>
        <v>9000000000</v>
      </c>
      <c r="I501" s="1318">
        <f>SUMIFS(Movement!$F$4:$F$2136,Movement!$M$4:$M$2136,"VND",Movement!$C$4:$C$2136,Table11[[#This Row],[ACCOUNT NUMBER]],Movement!$J$4:$J$2136,Table11[[#This Row],[ENTITY]],Movement!$O$4:$O$2136,'Cash Balance'!$A$2)</f>
        <v>0</v>
      </c>
      <c r="J501" s="1318">
        <f>SUMIFS(Movement!$G$4:$G$2136,Movement!$M$4:$M$2136,"VND",Movement!$C$4:$C$2136,Table11[[#This Row],[ACCOUNT NUMBER]],Movement!$J$4:$J$2136,Table11[[#This Row],[ENTITY]],Movement!$O$4:$O$2136,'Cash Balance'!$A$2)</f>
        <v>0</v>
      </c>
      <c r="K501" s="1084">
        <f>Table11[[#This Row],[CASH IN - CREDIT (VND)]]-Table11[[#This Row],[CASH OUT - DEBIT (VND)]]</f>
        <v>0</v>
      </c>
      <c r="L501" s="1095">
        <f t="shared" si="44"/>
        <v>9000000000</v>
      </c>
      <c r="M501" s="1184" t="e">
        <f>VLOOKUP(C501,'Cash balance (BS)'!A:D,4,)</f>
        <v>#N/A</v>
      </c>
      <c r="N501" s="1095" t="e">
        <f>Table11[[#This Row],[CLOSING BALANCE (VND)2]]-Table11[[#This Row],[CB_BS (VND)]]</f>
        <v>#N/A</v>
      </c>
      <c r="O501" s="1094">
        <v>0</v>
      </c>
      <c r="P501" s="1095">
        <f t="shared" si="45"/>
        <v>0</v>
      </c>
      <c r="Q501" s="817">
        <f>SUMIFS('Cash balance (Prior period)'!G:G,'Cash balance (Prior period)'!C:C,Table11[[#This Row],[ACCOUNT NUMBER]],'Cash balance (Prior period)'!E:E,Table11[[#This Row],[CURRENCY]])</f>
        <v>0</v>
      </c>
      <c r="R501" s="817">
        <f>SUMIFS(Movement!$F$4:$F$2136,Movement!$M$4:$M$2136,"USD",Movement!$C$4:$C$2136,Table11[[#This Row],[ACCOUNT NUMBER]],Movement!$J$4:$J$2136,Table11[[#This Row],[ENTITY]],Movement!$O$4:$O$2136,'Cash Balance'!$A$2)</f>
        <v>0</v>
      </c>
      <c r="S501" s="817">
        <f>SUMIFS(Movement!$G$4:$G$2136,Movement!$M$4:$M$2136,"USD",Movement!$C$4:$C$2136,Table11[[#This Row],[ACCOUNT NUMBER]],Movement!$J$4:$J$2136,Table11[[#This Row],[ENTITY]],Movement!$O$4:$O$2136,'Cash Balance'!$A$2)</f>
        <v>0</v>
      </c>
      <c r="T501" s="1087">
        <f t="shared" si="46"/>
        <v>0</v>
      </c>
      <c r="U501" s="817"/>
      <c r="V501" s="817">
        <f>Table11[[#This Row],[CLOSING BALANCE (USD)]]-Table11[[#This Row],[CB_BS (USD)]]</f>
        <v>0</v>
      </c>
      <c r="W501" s="1156" t="str">
        <f>VLOOKUP('Cash Balance'!$C501,Table2[#All],MATCH('Cash Balance'!W$3,Acc_Char!$B$1:$I$1,0),0)</f>
        <v>Subsidiaries</v>
      </c>
      <c r="X501" s="1156" t="str">
        <f>VLOOKUP(IFERROR(MID($Y501,1,FIND("-",$Y501)-2),$Y501),Table3[#All],2,0)</f>
        <v>BIDV</v>
      </c>
      <c r="Y501" s="1156" t="str">
        <f>VLOOKUP($B501,Table4[#All],2,0)</f>
        <v>BIDV - THANH XUAN</v>
      </c>
      <c r="Z501" s="1151"/>
      <c r="AA501" s="49"/>
    </row>
    <row r="502" spans="1:27">
      <c r="A502" s="1153" t="str">
        <f>VLOOKUP('Cash Balance'!$C502,Table2[#All],MATCH('Cash Balance'!A$3,Acc_Char!$B$1:$I$1,0),0)</f>
        <v>SAO HOA</v>
      </c>
      <c r="B502" s="1154" t="str">
        <f>VLOOKUP('Cash Balance'!$C502,Table2[#All],MATCH('Cash Balance'!B$3,Acc_Char!$B$1:$I$1,0),0)</f>
        <v>BIDV - THANH XUAN</v>
      </c>
      <c r="C502" s="1190" t="s">
        <v>1115</v>
      </c>
      <c r="D502" s="1156" t="str">
        <f>VLOOKUP('Cash Balance'!$C502,Table2[#All],MATCH('Cash Balance'!D$3,Acc_Char!$B$1:$I$1,0),0)</f>
        <v>Saving Account</v>
      </c>
      <c r="E502" s="384" t="str">
        <f>VLOOKUP('Cash Balance'!$C502,Table2[#All],MATCH('Cash Balance'!E$3,Acc_Char!$B$1:$I$1,0),0)</f>
        <v>VND</v>
      </c>
      <c r="F502" s="1094" t="e">
        <f>VLOOKUP(C502,'Cash balance (BS)'!A:C,3,)</f>
        <v>#N/A</v>
      </c>
      <c r="G502" s="1157" t="e">
        <f t="shared" si="43"/>
        <v>#N/A</v>
      </c>
      <c r="H502" s="1318">
        <f>SUMIFS('Cash balance (Prior period)'!F:F,'Cash balance (Prior period)'!C:C,Table11[[#This Row],[ACCOUNT NUMBER]],'Cash balance (Prior period)'!E:E,Table11[[#This Row],[CURRENCY]])</f>
        <v>0</v>
      </c>
      <c r="I502" s="1318">
        <f>SUMIFS(Movement!$F$4:$F$2136,Movement!$M$4:$M$2136,"VND",Movement!$C$4:$C$2136,Table11[[#This Row],[ACCOUNT NUMBER]],Movement!$J$4:$J$2136,Table11[[#This Row],[ENTITY]],Movement!$O$4:$O$2136,'Cash Balance'!$A$2)</f>
        <v>0</v>
      </c>
      <c r="J502" s="1318">
        <f>SUMIFS(Movement!$G$4:$G$2136,Movement!$M$4:$M$2136,"VND",Movement!$C$4:$C$2136,Table11[[#This Row],[ACCOUNT NUMBER]],Movement!$J$4:$J$2136,Table11[[#This Row],[ENTITY]],Movement!$O$4:$O$2136,'Cash Balance'!$A$2)</f>
        <v>0</v>
      </c>
      <c r="K502" s="1084">
        <f>Table11[[#This Row],[CASH IN - CREDIT (VND)]]-Table11[[#This Row],[CASH OUT - DEBIT (VND)]]</f>
        <v>0</v>
      </c>
      <c r="L502" s="1095">
        <f t="shared" si="44"/>
        <v>0</v>
      </c>
      <c r="M502" s="1184" t="e">
        <f>VLOOKUP(C502,'Cash balance (BS)'!A:D,4,)</f>
        <v>#N/A</v>
      </c>
      <c r="N502" s="1095" t="e">
        <f>Table11[[#This Row],[CLOSING BALANCE (VND)2]]-Table11[[#This Row],[CB_BS (VND)]]</f>
        <v>#N/A</v>
      </c>
      <c r="O502" s="1094">
        <v>0</v>
      </c>
      <c r="P502" s="1095">
        <f t="shared" si="45"/>
        <v>0</v>
      </c>
      <c r="Q502" s="817">
        <f>SUMIFS('Cash balance (Prior period)'!G:G,'Cash balance (Prior period)'!C:C,Table11[[#This Row],[ACCOUNT NUMBER]],'Cash balance (Prior period)'!E:E,Table11[[#This Row],[CURRENCY]])</f>
        <v>0</v>
      </c>
      <c r="R502" s="817">
        <f>SUMIFS(Movement!$F$4:$F$2136,Movement!$M$4:$M$2136,"USD",Movement!$C$4:$C$2136,Table11[[#This Row],[ACCOUNT NUMBER]],Movement!$J$4:$J$2136,Table11[[#This Row],[ENTITY]],Movement!$O$4:$O$2136,'Cash Balance'!$A$2)</f>
        <v>0</v>
      </c>
      <c r="S502" s="817">
        <f>SUMIFS(Movement!$G$4:$G$2136,Movement!$M$4:$M$2136,"USD",Movement!$C$4:$C$2136,Table11[[#This Row],[ACCOUNT NUMBER]],Movement!$J$4:$J$2136,Table11[[#This Row],[ENTITY]],Movement!$O$4:$O$2136,'Cash Balance'!$A$2)</f>
        <v>0</v>
      </c>
      <c r="T502" s="1087">
        <f t="shared" si="46"/>
        <v>0</v>
      </c>
      <c r="U502" s="817"/>
      <c r="V502" s="817">
        <f>Table11[[#This Row],[CLOSING BALANCE (USD)]]-Table11[[#This Row],[CB_BS (USD)]]</f>
        <v>0</v>
      </c>
      <c r="W502" s="1156" t="str">
        <f>VLOOKUP('Cash Balance'!$C502,Table2[#All],MATCH('Cash Balance'!W$3,Acc_Char!$B$1:$I$1,0),0)</f>
        <v>VC3</v>
      </c>
      <c r="X502" s="1156" t="str">
        <f>VLOOKUP(IFERROR(MID($Y502,1,FIND("-",$Y502)-2),$Y502),Table3[#All],2,0)</f>
        <v>BIDV</v>
      </c>
      <c r="Y502" s="1156" t="str">
        <f>VLOOKUP($B502,Table4[#All],2,0)</f>
        <v>BIDV - THANH XUAN</v>
      </c>
      <c r="Z502" s="1151"/>
      <c r="AA502" s="49"/>
    </row>
    <row r="503" spans="1:27">
      <c r="A503" s="1153" t="str">
        <f>VLOOKUP('Cash Balance'!$C503,Table2[#All],MATCH('Cash Balance'!A$3,Acc_Char!$B$1:$I$1,0),0)</f>
        <v>SAO HOA</v>
      </c>
      <c r="B503" s="1154" t="str">
        <f>VLOOKUP('Cash Balance'!$C503,Table2[#All],MATCH('Cash Balance'!B$3,Acc_Char!$B$1:$I$1,0),0)</f>
        <v>BIDV - THANH XUAN</v>
      </c>
      <c r="C503" s="1190" t="s">
        <v>1116</v>
      </c>
      <c r="D503" s="1156" t="str">
        <f>VLOOKUP('Cash Balance'!$C503,Table2[#All],MATCH('Cash Balance'!D$3,Acc_Char!$B$1:$I$1,0),0)</f>
        <v>Saving Account</v>
      </c>
      <c r="E503" s="384" t="str">
        <f>VLOOKUP('Cash Balance'!$C503,Table2[#All],MATCH('Cash Balance'!E$3,Acc_Char!$B$1:$I$1,0),0)</f>
        <v>VND</v>
      </c>
      <c r="F503" s="1094" t="e">
        <f>VLOOKUP(C503,'Cash balance (BS)'!A:C,3,)</f>
        <v>#N/A</v>
      </c>
      <c r="G503" s="1157" t="e">
        <f t="shared" si="43"/>
        <v>#N/A</v>
      </c>
      <c r="H503" s="1318">
        <f>SUMIFS('Cash balance (Prior period)'!F:F,'Cash balance (Prior period)'!C:C,Table11[[#This Row],[ACCOUNT NUMBER]],'Cash balance (Prior period)'!E:E,Table11[[#This Row],[CURRENCY]])</f>
        <v>0</v>
      </c>
      <c r="I503" s="1318">
        <f>SUMIFS(Movement!$F$4:$F$2136,Movement!$M$4:$M$2136,"VND",Movement!$C$4:$C$2136,Table11[[#This Row],[ACCOUNT NUMBER]],Movement!$J$4:$J$2136,Table11[[#This Row],[ENTITY]],Movement!$O$4:$O$2136,'Cash Balance'!$A$2)</f>
        <v>0</v>
      </c>
      <c r="J503" s="1318">
        <f>SUMIFS(Movement!$G$4:$G$2136,Movement!$M$4:$M$2136,"VND",Movement!$C$4:$C$2136,Table11[[#This Row],[ACCOUNT NUMBER]],Movement!$J$4:$J$2136,Table11[[#This Row],[ENTITY]],Movement!$O$4:$O$2136,'Cash Balance'!$A$2)</f>
        <v>0</v>
      </c>
      <c r="K503" s="1084">
        <f>Table11[[#This Row],[CASH IN - CREDIT (VND)]]-Table11[[#This Row],[CASH OUT - DEBIT (VND)]]</f>
        <v>0</v>
      </c>
      <c r="L503" s="1095">
        <f t="shared" si="44"/>
        <v>0</v>
      </c>
      <c r="M503" s="1184" t="e">
        <f>VLOOKUP(C503,'Cash balance (BS)'!A:D,4,)</f>
        <v>#N/A</v>
      </c>
      <c r="N503" s="1095" t="e">
        <f>Table11[[#This Row],[CLOSING BALANCE (VND)2]]-Table11[[#This Row],[CB_BS (VND)]]</f>
        <v>#N/A</v>
      </c>
      <c r="O503" s="1094">
        <v>0</v>
      </c>
      <c r="P503" s="1095">
        <f t="shared" si="45"/>
        <v>0</v>
      </c>
      <c r="Q503" s="817">
        <f>SUMIFS('Cash balance (Prior period)'!G:G,'Cash balance (Prior period)'!C:C,Table11[[#This Row],[ACCOUNT NUMBER]],'Cash balance (Prior period)'!E:E,Table11[[#This Row],[CURRENCY]])</f>
        <v>0</v>
      </c>
      <c r="R503" s="817">
        <f>SUMIFS(Movement!$F$4:$F$2136,Movement!$M$4:$M$2136,"USD",Movement!$C$4:$C$2136,Table11[[#This Row],[ACCOUNT NUMBER]],Movement!$J$4:$J$2136,Table11[[#This Row],[ENTITY]],Movement!$O$4:$O$2136,'Cash Balance'!$A$2)</f>
        <v>0</v>
      </c>
      <c r="S503" s="817">
        <f>SUMIFS(Movement!$G$4:$G$2136,Movement!$M$4:$M$2136,"USD",Movement!$C$4:$C$2136,Table11[[#This Row],[ACCOUNT NUMBER]],Movement!$J$4:$J$2136,Table11[[#This Row],[ENTITY]],Movement!$O$4:$O$2136,'Cash Balance'!$A$2)</f>
        <v>0</v>
      </c>
      <c r="T503" s="1087">
        <f t="shared" si="46"/>
        <v>0</v>
      </c>
      <c r="U503" s="817"/>
      <c r="V503" s="817">
        <f>Table11[[#This Row],[CLOSING BALANCE (USD)]]-Table11[[#This Row],[CB_BS (USD)]]</f>
        <v>0</v>
      </c>
      <c r="W503" s="1156" t="str">
        <f>VLOOKUP('Cash Balance'!$C503,Table2[#All],MATCH('Cash Balance'!W$3,Acc_Char!$B$1:$I$1,0),0)</f>
        <v>VC3</v>
      </c>
      <c r="X503" s="1156" t="str">
        <f>VLOOKUP(IFERROR(MID($Y503,1,FIND("-",$Y503)-2),$Y503),Table3[#All],2,0)</f>
        <v>BIDV</v>
      </c>
      <c r="Y503" s="1156" t="str">
        <f>VLOOKUP($B503,Table4[#All],2,0)</f>
        <v>BIDV - THANH XUAN</v>
      </c>
      <c r="Z503" s="1151"/>
      <c r="AA503" s="49"/>
    </row>
    <row r="504" spans="1:27">
      <c r="A504" s="1153" t="str">
        <f>VLOOKUP('Cash Balance'!$C504,Table2[#All],MATCH('Cash Balance'!A$3,Acc_Char!$B$1:$I$1,0),0)</f>
        <v>BW SUPLLY CHAIN CITY</v>
      </c>
      <c r="B504" s="1154" t="str">
        <f>VLOOKUP('Cash Balance'!$C504,Table2[#All],MATCH('Cash Balance'!B$3,Acc_Char!$B$1:$I$1,0),0)</f>
        <v>TECHCOMBANK</v>
      </c>
      <c r="C504" s="1190" t="s">
        <v>1117</v>
      </c>
      <c r="D504" s="1156" t="str">
        <f>VLOOKUP('Cash Balance'!$C504,Table2[#All],MATCH('Cash Balance'!D$3,Acc_Char!$B$1:$I$1,0),0)</f>
        <v>Saving Account</v>
      </c>
      <c r="E504" s="384" t="str">
        <f>VLOOKUP('Cash Balance'!$C504,Table2[#All],MATCH('Cash Balance'!E$3,Acc_Char!$B$1:$I$1,0),0)</f>
        <v>VND</v>
      </c>
      <c r="F504" s="1230" t="e">
        <f>VLOOKUP(C504,'Cash balance (BS)'!A:C,3,)</f>
        <v>#N/A</v>
      </c>
      <c r="G504" s="1157" t="e">
        <f>F504-H504</f>
        <v>#N/A</v>
      </c>
      <c r="H504" s="1319">
        <f>SUMIFS('Cash balance (Prior period)'!F:F,'Cash balance (Prior period)'!C:C,Table11[[#This Row],[ACCOUNT NUMBER]],'Cash balance (Prior period)'!E:E,Table11[[#This Row],[CURRENCY]])</f>
        <v>20000000000</v>
      </c>
      <c r="I504" s="1319">
        <f>SUMIFS(Movement!$F$4:$F$2136,Movement!$M$4:$M$2136,"VND",Movement!$C$4:$C$2136,Table11[[#This Row],[ACCOUNT NUMBER]],Movement!$J$4:$J$2136,Table11[[#This Row],[ENTITY]],Movement!$O$4:$O$2136,'Cash Balance'!$A$2)</f>
        <v>0</v>
      </c>
      <c r="J504" s="1319">
        <f>SUMIFS(Movement!$G$4:$G$2136,Movement!$M$4:$M$2136,"VND",Movement!$C$4:$C$2136,Table11[[#This Row],[ACCOUNT NUMBER]],Movement!$J$4:$J$2136,Table11[[#This Row],[ENTITY]],Movement!$O$4:$O$2136,'Cash Balance'!$A$2)</f>
        <v>0</v>
      </c>
      <c r="K504" s="1224">
        <f>Table11[[#This Row],[CASH IN - CREDIT (VND)]]-Table11[[#This Row],[CASH OUT - DEBIT (VND)]]</f>
        <v>0</v>
      </c>
      <c r="L504" s="1225">
        <f>H504+I504-J504</f>
        <v>20000000000</v>
      </c>
      <c r="M504" s="1184" t="e">
        <f>VLOOKUP(C504,'Cash balance (BS)'!A:D,4,)</f>
        <v>#N/A</v>
      </c>
      <c r="N504" s="1225" t="e">
        <f>Table11[[#This Row],[CLOSING BALANCE (VND)2]]-Table11[[#This Row],[CB_BS (VND)]]</f>
        <v>#N/A</v>
      </c>
      <c r="O504" s="1094">
        <v>0</v>
      </c>
      <c r="P504" s="1225">
        <f>O504-Q504</f>
        <v>0</v>
      </c>
      <c r="Q504" s="1285">
        <f>SUMIFS('Cash balance (Prior period)'!G:G,'Cash balance (Prior period)'!C:C,Table11[[#This Row],[ACCOUNT NUMBER]],'Cash balance (Prior period)'!E:E,Table11[[#This Row],[CURRENCY]])</f>
        <v>0</v>
      </c>
      <c r="R504" s="1285">
        <f>SUMIFS(Movement!$F$4:$F$2136,Movement!$M$4:$M$2136,"USD",Movement!$C$4:$C$2136,Table11[[#This Row],[ACCOUNT NUMBER]],Movement!$J$4:$J$2136,Table11[[#This Row],[ENTITY]],Movement!$O$4:$O$2136,'Cash Balance'!$A$2)</f>
        <v>0</v>
      </c>
      <c r="S504" s="1285">
        <f>SUMIFS(Movement!$G$4:$G$2136,Movement!$M$4:$M$2136,"USD",Movement!$C$4:$C$2136,Table11[[#This Row],[ACCOUNT NUMBER]],Movement!$J$4:$J$2136,Table11[[#This Row],[ENTITY]],Movement!$O$4:$O$2136,'Cash Balance'!$A$2)</f>
        <v>0</v>
      </c>
      <c r="T504" s="1236">
        <f>Q504+R504-S504</f>
        <v>0</v>
      </c>
      <c r="U504" s="1285"/>
      <c r="V504" s="817">
        <f>Table11[[#This Row],[CLOSING BALANCE (USD)]]-Table11[[#This Row],[CB_BS (USD)]]</f>
        <v>0</v>
      </c>
      <c r="W504" s="1156" t="str">
        <f>VLOOKUP('Cash Balance'!$C504,Table2[#All],MATCH('Cash Balance'!W$3,Acc_Char!$B$1:$I$1,0),0)</f>
        <v>Subsidiaries</v>
      </c>
      <c r="X504" s="1156" t="str">
        <f>VLOOKUP(IFERROR(MID($Y504,1,FIND("-",$Y504)-2),$Y504),Table3[#All],2,0)</f>
        <v>TCB</v>
      </c>
      <c r="Y504" s="1156" t="str">
        <f>VLOOKUP($B504,Table4[#All],2,0)</f>
        <v>TECHCOMBANK</v>
      </c>
      <c r="Z504" s="1151"/>
      <c r="AA504" s="49"/>
    </row>
    <row r="505" spans="1:27">
      <c r="A505" s="1153" t="str">
        <f>VLOOKUP('Cash Balance'!$C505,Table2[#All],MATCH('Cash Balance'!A$3,Acc_Char!$B$1:$I$1,0),0)</f>
        <v>BWID TAN DONG HIEP</v>
      </c>
      <c r="B505" s="1154" t="str">
        <f>VLOOKUP('Cash Balance'!$C505,Table2[#All],MATCH('Cash Balance'!B$3,Acc_Char!$B$1:$I$1,0),0)</f>
        <v>SINOPAC</v>
      </c>
      <c r="C505" s="1190" t="s">
        <v>1118</v>
      </c>
      <c r="D505" s="1156" t="str">
        <f>VLOOKUP('Cash Balance'!$C505,Table2[#All],MATCH('Cash Balance'!D$3,Acc_Char!$B$1:$I$1,0),0)</f>
        <v>Saving Account</v>
      </c>
      <c r="E505" s="384" t="str">
        <f>VLOOKUP('Cash Balance'!$C505,Table2[#All],MATCH('Cash Balance'!E$3,Acc_Char!$B$1:$I$1,0),0)</f>
        <v>VND</v>
      </c>
      <c r="F505" s="1094" t="e">
        <f>VLOOKUP(C505,'Cash balance (BS)'!A:C,3,)</f>
        <v>#N/A</v>
      </c>
      <c r="G505" s="1157" t="e">
        <f t="shared" ref="G505:G568" si="47">F505-H505</f>
        <v>#N/A</v>
      </c>
      <c r="H505" s="1318">
        <f>SUMIFS('Cash balance (Prior period)'!F:F,'Cash balance (Prior period)'!C:C,Table11[[#This Row],[ACCOUNT NUMBER]],'Cash balance (Prior period)'!E:E,Table11[[#This Row],[CURRENCY]])</f>
        <v>0</v>
      </c>
      <c r="I505" s="1318">
        <f>SUMIFS(Movement!$F$4:$F$2136,Movement!$M$4:$M$2136,"VND",Movement!$C$4:$C$2136,Table11[[#This Row],[ACCOUNT NUMBER]],Movement!$J$4:$J$2136,Table11[[#This Row],[ENTITY]],Movement!$O$4:$O$2136,'Cash Balance'!$A$2)</f>
        <v>0</v>
      </c>
      <c r="J505" s="1318">
        <f>SUMIFS(Movement!$G$4:$G$2136,Movement!$M$4:$M$2136,"VND",Movement!$C$4:$C$2136,Table11[[#This Row],[ACCOUNT NUMBER]],Movement!$J$4:$J$2136,Table11[[#This Row],[ENTITY]],Movement!$O$4:$O$2136,'Cash Balance'!$A$2)</f>
        <v>0</v>
      </c>
      <c r="K505" s="1084">
        <f>Table11[[#This Row],[CASH IN - CREDIT (VND)]]-Table11[[#This Row],[CASH OUT - DEBIT (VND)]]</f>
        <v>0</v>
      </c>
      <c r="L505" s="1095">
        <f t="shared" si="44"/>
        <v>0</v>
      </c>
      <c r="M505" s="1184" t="e">
        <f>VLOOKUP(C505,'Cash balance (BS)'!A:D,4,)</f>
        <v>#N/A</v>
      </c>
      <c r="N505" s="1095" t="e">
        <f>Table11[[#This Row],[CLOSING BALANCE (VND)2]]-Table11[[#This Row],[CB_BS (VND)]]</f>
        <v>#N/A</v>
      </c>
      <c r="O505" s="1094">
        <v>0</v>
      </c>
      <c r="P505" s="1095">
        <f t="shared" si="45"/>
        <v>0</v>
      </c>
      <c r="Q505" s="817">
        <f>SUMIFS('Cash balance (Prior period)'!G:G,'Cash balance (Prior period)'!C:C,Table11[[#This Row],[ACCOUNT NUMBER]],'Cash balance (Prior period)'!E:E,Table11[[#This Row],[CURRENCY]])</f>
        <v>0</v>
      </c>
      <c r="R505" s="817">
        <f>SUMIFS(Movement!$F$4:$F$2136,Movement!$M$4:$M$2136,"USD",Movement!$C$4:$C$2136,Table11[[#This Row],[ACCOUNT NUMBER]],Movement!$J$4:$J$2136,Table11[[#This Row],[ENTITY]],Movement!$O$4:$O$2136,'Cash Balance'!$A$2)</f>
        <v>0</v>
      </c>
      <c r="S505" s="817">
        <f>SUMIFS(Movement!$G$4:$G$2136,Movement!$M$4:$M$2136,"USD",Movement!$C$4:$C$2136,Table11[[#This Row],[ACCOUNT NUMBER]],Movement!$J$4:$J$2136,Table11[[#This Row],[ENTITY]],Movement!$O$4:$O$2136,'Cash Balance'!$A$2)</f>
        <v>0</v>
      </c>
      <c r="T505" s="1087">
        <f t="shared" si="46"/>
        <v>0</v>
      </c>
      <c r="U505" s="817"/>
      <c r="V505" s="817">
        <f>Table11[[#This Row],[CLOSING BALANCE (USD)]]-Table11[[#This Row],[CB_BS (USD)]]</f>
        <v>0</v>
      </c>
      <c r="W505" s="1156" t="str">
        <f>VLOOKUP('Cash Balance'!$C505,Table2[#All],MATCH('Cash Balance'!W$3,Acc_Char!$B$1:$I$1,0),0)</f>
        <v>Subsidiaries</v>
      </c>
      <c r="X505" s="1156" t="str">
        <f>VLOOKUP(IFERROR(MID($Y505,1,FIND("-",$Y505)-2),$Y505),Table3[#All],2,0)</f>
        <v>SNP</v>
      </c>
      <c r="Y505" s="1156" t="str">
        <f>VLOOKUP($B505,Table4[#All],2,0)</f>
        <v>SINOPAC</v>
      </c>
      <c r="Z505" s="1151"/>
      <c r="AA505" s="49"/>
    </row>
    <row r="506" spans="1:27">
      <c r="A506" s="1153" t="str">
        <f>VLOOKUP('Cash Balance'!$C506,Table2[#All],MATCH('Cash Balance'!A$3,Acc_Char!$B$1:$I$1,0),0)</f>
        <v>BWID THOI HOA 2</v>
      </c>
      <c r="B506" s="1154" t="str">
        <f>VLOOKUP('Cash Balance'!$C506,Table2[#All],MATCH('Cash Balance'!B$3,Acc_Char!$B$1:$I$1,0),0)</f>
        <v>KBank - HCM</v>
      </c>
      <c r="C506" s="1190" t="s">
        <v>1119</v>
      </c>
      <c r="D506" s="1156" t="str">
        <f>VLOOKUP('Cash Balance'!$C506,Table2[#All],MATCH('Cash Balance'!D$3,Acc_Char!$B$1:$I$1,0),0)</f>
        <v>Saving Account</v>
      </c>
      <c r="E506" s="384" t="str">
        <f>VLOOKUP('Cash Balance'!$C506,Table2[#All],MATCH('Cash Balance'!E$3,Acc_Char!$B$1:$I$1,0),0)</f>
        <v>VND</v>
      </c>
      <c r="F506" s="1094" t="e">
        <f>VLOOKUP(C506,'Cash balance (BS)'!A:C,3,)</f>
        <v>#N/A</v>
      </c>
      <c r="G506" s="1157" t="e">
        <f t="shared" si="47"/>
        <v>#N/A</v>
      </c>
      <c r="H506" s="1318">
        <f>SUMIFS('Cash balance (Prior period)'!F:F,'Cash balance (Prior period)'!C:C,Table11[[#This Row],[ACCOUNT NUMBER]],'Cash balance (Prior period)'!E:E,Table11[[#This Row],[CURRENCY]])</f>
        <v>0</v>
      </c>
      <c r="I506" s="1318">
        <f>SUMIFS(Movement!$F$4:$F$2136,Movement!$M$4:$M$2136,"VND",Movement!$C$4:$C$2136,Table11[[#This Row],[ACCOUNT NUMBER]],Movement!$J$4:$J$2136,Table11[[#This Row],[ENTITY]],Movement!$O$4:$O$2136,'Cash Balance'!$A$2)</f>
        <v>0</v>
      </c>
      <c r="J506" s="1318">
        <f>SUMIFS(Movement!$G$4:$G$2136,Movement!$M$4:$M$2136,"VND",Movement!$C$4:$C$2136,Table11[[#This Row],[ACCOUNT NUMBER]],Movement!$J$4:$J$2136,Table11[[#This Row],[ENTITY]],Movement!$O$4:$O$2136,'Cash Balance'!$A$2)</f>
        <v>0</v>
      </c>
      <c r="K506" s="1084">
        <f>Table11[[#This Row],[CASH IN - CREDIT (VND)]]-Table11[[#This Row],[CASH OUT - DEBIT (VND)]]</f>
        <v>0</v>
      </c>
      <c r="L506" s="1095">
        <f t="shared" si="44"/>
        <v>0</v>
      </c>
      <c r="M506" s="1184" t="e">
        <f>VLOOKUP(C506,'Cash balance (BS)'!A:D,4,)</f>
        <v>#N/A</v>
      </c>
      <c r="N506" s="1095" t="e">
        <f>Table11[[#This Row],[CLOSING BALANCE (VND)2]]-Table11[[#This Row],[CB_BS (VND)]]</f>
        <v>#N/A</v>
      </c>
      <c r="O506" s="1094">
        <v>0</v>
      </c>
      <c r="P506" s="1095">
        <f t="shared" si="45"/>
        <v>0</v>
      </c>
      <c r="Q506" s="817">
        <f>SUMIFS('Cash balance (Prior period)'!G:G,'Cash balance (Prior period)'!C:C,Table11[[#This Row],[ACCOUNT NUMBER]],'Cash balance (Prior period)'!E:E,Table11[[#This Row],[CURRENCY]])</f>
        <v>0</v>
      </c>
      <c r="R506" s="817">
        <f>SUMIFS(Movement!$F$4:$F$2136,Movement!$M$4:$M$2136,"USD",Movement!$C$4:$C$2136,Table11[[#This Row],[ACCOUNT NUMBER]],Movement!$J$4:$J$2136,Table11[[#This Row],[ENTITY]],Movement!$O$4:$O$2136,'Cash Balance'!$A$2)</f>
        <v>0</v>
      </c>
      <c r="S506" s="817">
        <f>SUMIFS(Movement!$G$4:$G$2136,Movement!$M$4:$M$2136,"USD",Movement!$C$4:$C$2136,Table11[[#This Row],[ACCOUNT NUMBER]],Movement!$J$4:$J$2136,Table11[[#This Row],[ENTITY]],Movement!$O$4:$O$2136,'Cash Balance'!$A$2)</f>
        <v>0</v>
      </c>
      <c r="T506" s="1087">
        <f t="shared" si="46"/>
        <v>0</v>
      </c>
      <c r="U506" s="817"/>
      <c r="V506" s="817">
        <f>Table11[[#This Row],[CLOSING BALANCE (USD)]]-Table11[[#This Row],[CB_BS (USD)]]</f>
        <v>0</v>
      </c>
      <c r="W506" s="1156" t="str">
        <f>VLOOKUP('Cash Balance'!$C506,Table2[#All],MATCH('Cash Balance'!W$3,Acc_Char!$B$1:$I$1,0),0)</f>
        <v>Subsidiaries</v>
      </c>
      <c r="X506" s="1156" t="str">
        <f>VLOOKUP(IFERROR(MID($Y506,1,FIND("-",$Y506)-2),$Y506),Table3[#All],2,0)</f>
        <v>Others</v>
      </c>
      <c r="Y506" s="1156" t="str">
        <f>VLOOKUP($B506,Table4[#All],2,0)</f>
        <v>OTHERS</v>
      </c>
      <c r="Z506" s="1151"/>
      <c r="AA506" s="49"/>
    </row>
    <row r="507" spans="1:27">
      <c r="A507" s="1153" t="str">
        <f>VLOOKUP('Cash Balance'!$C507,Table2[#All],MATCH('Cash Balance'!A$3,Acc_Char!$B$1:$I$1,0),0)</f>
        <v>BWID THOI HOA 2</v>
      </c>
      <c r="B507" s="1154" t="str">
        <f>VLOOKUP('Cash Balance'!$C507,Table2[#All],MATCH('Cash Balance'!B$3,Acc_Char!$B$1:$I$1,0),0)</f>
        <v>KBank - HCM</v>
      </c>
      <c r="C507" s="1190" t="s">
        <v>1120</v>
      </c>
      <c r="D507" s="1156" t="str">
        <f>VLOOKUP('Cash Balance'!$C507,Table2[#All],MATCH('Cash Balance'!D$3,Acc_Char!$B$1:$I$1,0),0)</f>
        <v>Saving Account</v>
      </c>
      <c r="E507" s="384" t="str">
        <f>VLOOKUP('Cash Balance'!$C507,Table2[#All],MATCH('Cash Balance'!E$3,Acc_Char!$B$1:$I$1,0),0)</f>
        <v>VND</v>
      </c>
      <c r="F507" s="1094" t="e">
        <f>VLOOKUP(C507,'Cash balance (BS)'!A:C,3,)</f>
        <v>#N/A</v>
      </c>
      <c r="G507" s="1157" t="e">
        <f t="shared" si="47"/>
        <v>#N/A</v>
      </c>
      <c r="H507" s="1318">
        <f>SUMIFS('Cash balance (Prior period)'!F:F,'Cash balance (Prior period)'!C:C,Table11[[#This Row],[ACCOUNT NUMBER]],'Cash balance (Prior period)'!E:E,Table11[[#This Row],[CURRENCY]])</f>
        <v>0</v>
      </c>
      <c r="I507" s="1318">
        <f>SUMIFS(Movement!$F$4:$F$2136,Movement!$M$4:$M$2136,"VND",Movement!$C$4:$C$2136,Table11[[#This Row],[ACCOUNT NUMBER]],Movement!$J$4:$J$2136,Table11[[#This Row],[ENTITY]],Movement!$O$4:$O$2136,'Cash Balance'!$A$2)</f>
        <v>0</v>
      </c>
      <c r="J507" s="1318">
        <f>SUMIFS(Movement!$G$4:$G$2136,Movement!$M$4:$M$2136,"VND",Movement!$C$4:$C$2136,Table11[[#This Row],[ACCOUNT NUMBER]],Movement!$J$4:$J$2136,Table11[[#This Row],[ENTITY]],Movement!$O$4:$O$2136,'Cash Balance'!$A$2)</f>
        <v>0</v>
      </c>
      <c r="K507" s="1084">
        <f>Table11[[#This Row],[CASH IN - CREDIT (VND)]]-Table11[[#This Row],[CASH OUT - DEBIT (VND)]]</f>
        <v>0</v>
      </c>
      <c r="L507" s="1095">
        <f t="shared" si="44"/>
        <v>0</v>
      </c>
      <c r="M507" s="1184" t="e">
        <f>VLOOKUP(C507,'Cash balance (BS)'!A:D,4,)</f>
        <v>#N/A</v>
      </c>
      <c r="N507" s="1095" t="e">
        <f>Table11[[#This Row],[CLOSING BALANCE (VND)2]]-Table11[[#This Row],[CB_BS (VND)]]</f>
        <v>#N/A</v>
      </c>
      <c r="O507" s="1094">
        <v>0</v>
      </c>
      <c r="P507" s="1095">
        <f t="shared" si="45"/>
        <v>0</v>
      </c>
      <c r="Q507" s="817">
        <f>SUMIFS('Cash balance (Prior period)'!G:G,'Cash balance (Prior period)'!C:C,Table11[[#This Row],[ACCOUNT NUMBER]],'Cash balance (Prior period)'!E:E,Table11[[#This Row],[CURRENCY]])</f>
        <v>0</v>
      </c>
      <c r="R507" s="817">
        <f>SUMIFS(Movement!$F$4:$F$2136,Movement!$M$4:$M$2136,"USD",Movement!$C$4:$C$2136,Table11[[#This Row],[ACCOUNT NUMBER]],Movement!$J$4:$J$2136,Table11[[#This Row],[ENTITY]],Movement!$O$4:$O$2136,'Cash Balance'!$A$2)</f>
        <v>0</v>
      </c>
      <c r="S507" s="817">
        <f>SUMIFS(Movement!$G$4:$G$2136,Movement!$M$4:$M$2136,"USD",Movement!$C$4:$C$2136,Table11[[#This Row],[ACCOUNT NUMBER]],Movement!$J$4:$J$2136,Table11[[#This Row],[ENTITY]],Movement!$O$4:$O$2136,'Cash Balance'!$A$2)</f>
        <v>0</v>
      </c>
      <c r="T507" s="1087">
        <f t="shared" si="46"/>
        <v>0</v>
      </c>
      <c r="U507" s="817"/>
      <c r="V507" s="817">
        <f>Table11[[#This Row],[CLOSING BALANCE (USD)]]-Table11[[#This Row],[CB_BS (USD)]]</f>
        <v>0</v>
      </c>
      <c r="W507" s="1156" t="str">
        <f>VLOOKUP('Cash Balance'!$C507,Table2[#All],MATCH('Cash Balance'!W$3,Acc_Char!$B$1:$I$1,0),0)</f>
        <v>Subsidiaries</v>
      </c>
      <c r="X507" s="1156" t="str">
        <f>VLOOKUP(IFERROR(MID($Y507,1,FIND("-",$Y507)-2),$Y507),Table3[#All],2,0)</f>
        <v>Others</v>
      </c>
      <c r="Y507" s="1156" t="str">
        <f>VLOOKUP($B507,Table4[#All],2,0)</f>
        <v>OTHERS</v>
      </c>
      <c r="Z507" s="1151"/>
      <c r="AA507" s="49"/>
    </row>
    <row r="508" spans="1:27">
      <c r="A508" s="1153" t="str">
        <f>VLOOKUP('Cash Balance'!$C508,Table2[#All],MATCH('Cash Balance'!A$3,Acc_Char!$B$1:$I$1,0),0)</f>
        <v>HOLDCO4G</v>
      </c>
      <c r="B508" s="1154" t="str">
        <f>VLOOKUP('Cash Balance'!$C508,Table2[#All],MATCH('Cash Balance'!B$3,Acc_Char!$B$1:$I$1,0),0)</f>
        <v>VIETCOMBANK - BA DINH</v>
      </c>
      <c r="C508" s="1190" t="s">
        <v>1121</v>
      </c>
      <c r="D508" s="1156" t="str">
        <f>VLOOKUP('Cash Balance'!$C508,Table2[#All],MATCH('Cash Balance'!D$3,Acc_Char!$B$1:$I$1,0),0)</f>
        <v>Current Account</v>
      </c>
      <c r="E508" s="384" t="str">
        <f>VLOOKUP('Cash Balance'!$C508,Table2[#All],MATCH('Cash Balance'!E$3,Acc_Char!$B$1:$I$1,0),0)</f>
        <v>VND</v>
      </c>
      <c r="F508" s="1094" t="e">
        <f>VLOOKUP(C508,'Cash balance (BS)'!A:C,3,)</f>
        <v>#N/A</v>
      </c>
      <c r="G508" s="1157" t="e">
        <f t="shared" si="47"/>
        <v>#N/A</v>
      </c>
      <c r="H508" s="1318">
        <f>SUMIFS('Cash balance (Prior period)'!F:F,'Cash balance (Prior period)'!C:C,Table11[[#This Row],[ACCOUNT NUMBER]],'Cash balance (Prior period)'!E:E,Table11[[#This Row],[CURRENCY]])</f>
        <v>60963069</v>
      </c>
      <c r="I508" s="1318">
        <f>SUMIFS(Movement!$F$4:$F$2136,Movement!$M$4:$M$2136,"VND",Movement!$C$4:$C$2136,Table11[[#This Row],[ACCOUNT NUMBER]],Movement!$J$4:$J$2136,Table11[[#This Row],[ENTITY]],Movement!$O$4:$O$2136,'Cash Balance'!$A$2)</f>
        <v>0</v>
      </c>
      <c r="J508" s="1318">
        <f>SUMIFS(Movement!$G$4:$G$2136,Movement!$M$4:$M$2136,"VND",Movement!$C$4:$C$2136,Table11[[#This Row],[ACCOUNT NUMBER]],Movement!$J$4:$J$2136,Table11[[#This Row],[ENTITY]],Movement!$O$4:$O$2136,'Cash Balance'!$A$2)</f>
        <v>0</v>
      </c>
      <c r="K508" s="1084">
        <f>Table11[[#This Row],[CASH IN - CREDIT (VND)]]-Table11[[#This Row],[CASH OUT - DEBIT (VND)]]</f>
        <v>0</v>
      </c>
      <c r="L508" s="1095">
        <f t="shared" si="44"/>
        <v>60963069</v>
      </c>
      <c r="M508" s="1184" t="e">
        <f>VLOOKUP(C508,'Cash balance (BS)'!A:D,4,)</f>
        <v>#N/A</v>
      </c>
      <c r="N508" s="1095" t="e">
        <f>Table11[[#This Row],[CLOSING BALANCE (VND)2]]-Table11[[#This Row],[CB_BS (VND)]]</f>
        <v>#N/A</v>
      </c>
      <c r="O508" s="1094">
        <v>0</v>
      </c>
      <c r="P508" s="1095">
        <f t="shared" si="45"/>
        <v>0</v>
      </c>
      <c r="Q508" s="817">
        <f>SUMIFS('Cash balance (Prior period)'!G:G,'Cash balance (Prior period)'!C:C,Table11[[#This Row],[ACCOUNT NUMBER]],'Cash balance (Prior period)'!E:E,Table11[[#This Row],[CURRENCY]])</f>
        <v>0</v>
      </c>
      <c r="R508" s="817">
        <f>SUMIFS(Movement!$F$4:$F$2136,Movement!$M$4:$M$2136,"USD",Movement!$C$4:$C$2136,Table11[[#This Row],[ACCOUNT NUMBER]],Movement!$J$4:$J$2136,Table11[[#This Row],[ENTITY]],Movement!$O$4:$O$2136,'Cash Balance'!$A$2)</f>
        <v>0</v>
      </c>
      <c r="S508" s="817">
        <f>SUMIFS(Movement!$G$4:$G$2136,Movement!$M$4:$M$2136,"USD",Movement!$C$4:$C$2136,Table11[[#This Row],[ACCOUNT NUMBER]],Movement!$J$4:$J$2136,Table11[[#This Row],[ENTITY]],Movement!$O$4:$O$2136,'Cash Balance'!$A$2)</f>
        <v>0</v>
      </c>
      <c r="T508" s="1087">
        <f t="shared" si="46"/>
        <v>0</v>
      </c>
      <c r="U508" s="817"/>
      <c r="V508" s="817">
        <f>Table11[[#This Row],[CLOSING BALANCE (USD)]]-Table11[[#This Row],[CB_BS (USD)]]</f>
        <v>0</v>
      </c>
      <c r="W508" s="1156" t="str">
        <f>VLOOKUP('Cash Balance'!$C508,Table2[#All],MATCH('Cash Balance'!W$3,Acc_Char!$B$1:$I$1,0),0)</f>
        <v>Subsidiaries</v>
      </c>
      <c r="X508" s="1156" t="str">
        <f>VLOOKUP(IFERROR(MID($Y508,1,FIND("-",$Y508)-2),$Y508),Table3[#All],2,0)</f>
        <v>VCB</v>
      </c>
      <c r="Y508" s="1156" t="str">
        <f>VLOOKUP($B508,Table4[#All],2,0)</f>
        <v>VIETCOMBANK - BA DINH</v>
      </c>
      <c r="Z508" s="1151"/>
      <c r="AA508" s="49"/>
    </row>
    <row r="509" spans="1:27">
      <c r="A509" s="1153" t="str">
        <f>VLOOKUP('Cash Balance'!$C509,Table2[#All],MATCH('Cash Balance'!A$3,Acc_Char!$B$1:$I$1,0),0)</f>
        <v>SAO HOA</v>
      </c>
      <c r="B509" s="1154" t="str">
        <f>VLOOKUP('Cash Balance'!$C509,Table2[#All],MATCH('Cash Balance'!B$3,Acc_Char!$B$1:$I$1,0),0)</f>
        <v>VIETINBANK - TIEN SON</v>
      </c>
      <c r="C509" s="1190" t="s">
        <v>1122</v>
      </c>
      <c r="D509" s="1156" t="str">
        <f>VLOOKUP('Cash Balance'!$C509,Table2[#All],MATCH('Cash Balance'!D$3,Acc_Char!$B$1:$I$1,0),0)</f>
        <v>Current Account</v>
      </c>
      <c r="E509" s="384" t="str">
        <f>VLOOKUP('Cash Balance'!$C509,Table2[#All],MATCH('Cash Balance'!E$3,Acc_Char!$B$1:$I$1,0),0)</f>
        <v>VND</v>
      </c>
      <c r="F509" s="1094" t="e">
        <f>VLOOKUP(C509,'Cash balance (BS)'!A:C,3,)</f>
        <v>#N/A</v>
      </c>
      <c r="G509" s="1157" t="e">
        <f t="shared" si="47"/>
        <v>#N/A</v>
      </c>
      <c r="H509" s="1318">
        <f>SUMIFS('Cash balance (Prior period)'!F:F,'Cash balance (Prior period)'!C:C,Table11[[#This Row],[ACCOUNT NUMBER]],'Cash balance (Prior period)'!E:E,Table11[[#This Row],[CURRENCY]])</f>
        <v>320789813</v>
      </c>
      <c r="I509" s="1318">
        <f>SUMIFS(Movement!$F$4:$F$2136,Movement!$M$4:$M$2136,"VND",Movement!$C$4:$C$2136,Table11[[#This Row],[ACCOUNT NUMBER]],Movement!$J$4:$J$2136,Table11[[#This Row],[ENTITY]],Movement!$O$4:$O$2136,'Cash Balance'!$A$2)</f>
        <v>0</v>
      </c>
      <c r="J509" s="1318">
        <f>SUMIFS(Movement!$G$4:$G$2136,Movement!$M$4:$M$2136,"VND",Movement!$C$4:$C$2136,Table11[[#This Row],[ACCOUNT NUMBER]],Movement!$J$4:$J$2136,Table11[[#This Row],[ENTITY]],Movement!$O$4:$O$2136,'Cash Balance'!$A$2)</f>
        <v>0</v>
      </c>
      <c r="K509" s="1084">
        <f>Table11[[#This Row],[CASH IN - CREDIT (VND)]]-Table11[[#This Row],[CASH OUT - DEBIT (VND)]]</f>
        <v>0</v>
      </c>
      <c r="L509" s="1095">
        <f t="shared" si="44"/>
        <v>320789813</v>
      </c>
      <c r="M509" s="1184" t="e">
        <f>VLOOKUP(C509,'Cash balance (BS)'!A:D,4,)</f>
        <v>#N/A</v>
      </c>
      <c r="N509" s="1095" t="e">
        <f>Table11[[#This Row],[CLOSING BALANCE (VND)2]]-Table11[[#This Row],[CB_BS (VND)]]</f>
        <v>#N/A</v>
      </c>
      <c r="O509" s="1094">
        <v>0</v>
      </c>
      <c r="P509" s="1095">
        <f t="shared" si="45"/>
        <v>0</v>
      </c>
      <c r="Q509" s="817">
        <f>SUMIFS('Cash balance (Prior period)'!G:G,'Cash balance (Prior period)'!C:C,Table11[[#This Row],[ACCOUNT NUMBER]],'Cash balance (Prior period)'!E:E,Table11[[#This Row],[CURRENCY]])</f>
        <v>0</v>
      </c>
      <c r="R509" s="817">
        <f>SUMIFS(Movement!$F$4:$F$2136,Movement!$M$4:$M$2136,"USD",Movement!$C$4:$C$2136,Table11[[#This Row],[ACCOUNT NUMBER]],Movement!$J$4:$J$2136,Table11[[#This Row],[ENTITY]],Movement!$O$4:$O$2136,'Cash Balance'!$A$2)</f>
        <v>0</v>
      </c>
      <c r="S509" s="817">
        <f>SUMIFS(Movement!$G$4:$G$2136,Movement!$M$4:$M$2136,"USD",Movement!$C$4:$C$2136,Table11[[#This Row],[ACCOUNT NUMBER]],Movement!$J$4:$J$2136,Table11[[#This Row],[ENTITY]],Movement!$O$4:$O$2136,'Cash Balance'!$A$2)</f>
        <v>0</v>
      </c>
      <c r="T509" s="1087">
        <f t="shared" si="46"/>
        <v>0</v>
      </c>
      <c r="U509" s="817"/>
      <c r="V509" s="817">
        <f>Table11[[#This Row],[CLOSING BALANCE (USD)]]-Table11[[#This Row],[CB_BS (USD)]]</f>
        <v>0</v>
      </c>
      <c r="W509" s="1156" t="str">
        <f>VLOOKUP('Cash Balance'!$C509,Table2[#All],MATCH('Cash Balance'!W$3,Acc_Char!$B$1:$I$1,0),0)</f>
        <v>VC3</v>
      </c>
      <c r="X509" s="1156" t="str">
        <f>VLOOKUP(IFERROR(MID($Y509,1,FIND("-",$Y509)-2),$Y509),Table3[#All],2,0)</f>
        <v>VTB</v>
      </c>
      <c r="Y509" s="1156" t="str">
        <f>VLOOKUP($B509,Table4[#All],2,0)</f>
        <v>VIETINBANK - TIEN SON</v>
      </c>
      <c r="Z509" s="1151"/>
      <c r="AA509" s="49"/>
    </row>
    <row r="510" spans="1:27">
      <c r="A510" s="1153" t="str">
        <f>VLOOKUP('Cash Balance'!$C510,Table2[#All],MATCH('Cash Balance'!A$3,Acc_Char!$B$1:$I$1,0),0)</f>
        <v>HOLDCO4T</v>
      </c>
      <c r="B510" s="1154" t="str">
        <f>VLOOKUP('Cash Balance'!$C510,Table2[#All],MATCH('Cash Balance'!B$3,Acc_Char!$B$1:$I$1,0),0)</f>
        <v>UOB - HCM</v>
      </c>
      <c r="C510" s="1190" t="s">
        <v>1123</v>
      </c>
      <c r="D510" s="1156" t="str">
        <f>VLOOKUP('Cash Balance'!$C510,Table2[#All],MATCH('Cash Balance'!D$3,Acc_Char!$B$1:$I$1,0),0)</f>
        <v>Current Account</v>
      </c>
      <c r="E510" s="384" t="str">
        <f>VLOOKUP('Cash Balance'!$C510,Table2[#All],MATCH('Cash Balance'!E$3,Acc_Char!$B$1:$I$1,0),0)</f>
        <v>VND</v>
      </c>
      <c r="F510" s="1094" t="e">
        <f>VLOOKUP(C510,'Cash balance (BS)'!A:C,3,)</f>
        <v>#N/A</v>
      </c>
      <c r="G510" s="1157" t="e">
        <f t="shared" si="47"/>
        <v>#N/A</v>
      </c>
      <c r="H510" s="1318">
        <f>SUMIFS('Cash balance (Prior period)'!F:F,'Cash balance (Prior period)'!C:C,Table11[[#This Row],[ACCOUNT NUMBER]],'Cash balance (Prior period)'!E:E,Table11[[#This Row],[CURRENCY]])</f>
        <v>395000</v>
      </c>
      <c r="I510" s="1318">
        <f>SUMIFS(Movement!$F$4:$F$2136,Movement!$M$4:$M$2136,"VND",Movement!$C$4:$C$2136,Table11[[#This Row],[ACCOUNT NUMBER]],Movement!$J$4:$J$2136,Table11[[#This Row],[ENTITY]],Movement!$O$4:$O$2136,'Cash Balance'!$A$2)</f>
        <v>0</v>
      </c>
      <c r="J510" s="1318">
        <f>SUMIFS(Movement!$G$4:$G$2136,Movement!$M$4:$M$2136,"VND",Movement!$C$4:$C$2136,Table11[[#This Row],[ACCOUNT NUMBER]],Movement!$J$4:$J$2136,Table11[[#This Row],[ENTITY]],Movement!$O$4:$O$2136,'Cash Balance'!$A$2)</f>
        <v>0</v>
      </c>
      <c r="K510" s="1084">
        <f>Table11[[#This Row],[CASH IN - CREDIT (VND)]]-Table11[[#This Row],[CASH OUT - DEBIT (VND)]]</f>
        <v>0</v>
      </c>
      <c r="L510" s="1095">
        <f t="shared" si="44"/>
        <v>395000</v>
      </c>
      <c r="M510" s="1184" t="e">
        <f>VLOOKUP(C510,'Cash balance (BS)'!A:D,4,)</f>
        <v>#N/A</v>
      </c>
      <c r="N510" s="1095" t="e">
        <f>Table11[[#This Row],[CLOSING BALANCE (VND)2]]-Table11[[#This Row],[CB_BS (VND)]]</f>
        <v>#N/A</v>
      </c>
      <c r="O510" s="1094">
        <v>0</v>
      </c>
      <c r="P510" s="1095">
        <f t="shared" si="45"/>
        <v>0</v>
      </c>
      <c r="Q510" s="817">
        <f>SUMIFS('Cash balance (Prior period)'!G:G,'Cash balance (Prior period)'!C:C,Table11[[#This Row],[ACCOUNT NUMBER]],'Cash balance (Prior period)'!E:E,Table11[[#This Row],[CURRENCY]])</f>
        <v>0</v>
      </c>
      <c r="R510" s="817">
        <f>SUMIFS(Movement!$F$4:$F$2136,Movement!$M$4:$M$2136,"USD",Movement!$C$4:$C$2136,Table11[[#This Row],[ACCOUNT NUMBER]],Movement!$J$4:$J$2136,Table11[[#This Row],[ENTITY]],Movement!$O$4:$O$2136,'Cash Balance'!$A$2)</f>
        <v>0</v>
      </c>
      <c r="S510" s="817">
        <f>SUMIFS(Movement!$G$4:$G$2136,Movement!$M$4:$M$2136,"USD",Movement!$C$4:$C$2136,Table11[[#This Row],[ACCOUNT NUMBER]],Movement!$J$4:$J$2136,Table11[[#This Row],[ENTITY]],Movement!$O$4:$O$2136,'Cash Balance'!$A$2)</f>
        <v>0</v>
      </c>
      <c r="T510" s="1087">
        <f t="shared" si="46"/>
        <v>0</v>
      </c>
      <c r="U510" s="817"/>
      <c r="V510" s="817">
        <f>Table11[[#This Row],[CLOSING BALANCE (USD)]]-Table11[[#This Row],[CB_BS (USD)]]</f>
        <v>0</v>
      </c>
      <c r="W510" s="1156" t="str">
        <f>VLOOKUP('Cash Balance'!$C510,Table2[#All],MATCH('Cash Balance'!W$3,Acc_Char!$B$1:$I$1,0),0)</f>
        <v>Subsidiaries</v>
      </c>
      <c r="X510" s="1156" t="str">
        <f>VLOOKUP(IFERROR(MID($Y510,1,FIND("-",$Y510)-2),$Y510),Table3[#All],2,0)</f>
        <v>UOB</v>
      </c>
      <c r="Y510" s="1156" t="str">
        <f>VLOOKUP($B510,Table4[#All],2,0)</f>
        <v>UOB</v>
      </c>
      <c r="Z510" s="1151"/>
      <c r="AA510" s="49"/>
    </row>
    <row r="511" spans="1:27">
      <c r="A511" s="1153" t="str">
        <f>VLOOKUP('Cash Balance'!$C511,Table2[#All],MATCH('Cash Balance'!A$3,Acc_Char!$B$1:$I$1,0),0)</f>
        <v>DONG TIEN PHONG</v>
      </c>
      <c r="B511" s="1154" t="str">
        <f>VLOOKUP('Cash Balance'!$C511,Table2[#All],MATCH('Cash Balance'!B$3,Acc_Char!$B$1:$I$1,0),0)</f>
        <v>VIETCOMBANK - BA DINH</v>
      </c>
      <c r="C511" s="1190" t="s">
        <v>1124</v>
      </c>
      <c r="D511" s="1156" t="str">
        <f>VLOOKUP('Cash Balance'!$C511,Table2[#All],MATCH('Cash Balance'!D$3,Acc_Char!$B$1:$I$1,0),0)</f>
        <v>Current Account</v>
      </c>
      <c r="E511" s="384" t="str">
        <f>VLOOKUP('Cash Balance'!$C511,Table2[#All],MATCH('Cash Balance'!E$3,Acc_Char!$B$1:$I$1,0),0)</f>
        <v>VND</v>
      </c>
      <c r="F511" s="1094" t="e">
        <f>VLOOKUP(C511,'Cash balance (BS)'!A:C,3,)</f>
        <v>#N/A</v>
      </c>
      <c r="G511" s="1157" t="e">
        <f t="shared" si="47"/>
        <v>#N/A</v>
      </c>
      <c r="H511" s="1318">
        <f>SUMIFS('Cash balance (Prior period)'!F:F,'Cash balance (Prior period)'!C:C,Table11[[#This Row],[ACCOUNT NUMBER]],'Cash balance (Prior period)'!E:E,Table11[[#This Row],[CURRENCY]])</f>
        <v>457518409</v>
      </c>
      <c r="I511" s="1318">
        <f>SUMIFS(Movement!$F$4:$F$2136,Movement!$M$4:$M$2136,"VND",Movement!$C$4:$C$2136,Table11[[#This Row],[ACCOUNT NUMBER]],Movement!$J$4:$J$2136,Table11[[#This Row],[ENTITY]],Movement!$O$4:$O$2136,'Cash Balance'!$A$2)</f>
        <v>0</v>
      </c>
      <c r="J511" s="1318">
        <f>SUMIFS(Movement!$G$4:$G$2136,Movement!$M$4:$M$2136,"VND",Movement!$C$4:$C$2136,Table11[[#This Row],[ACCOUNT NUMBER]],Movement!$J$4:$J$2136,Table11[[#This Row],[ENTITY]],Movement!$O$4:$O$2136,'Cash Balance'!$A$2)</f>
        <v>0</v>
      </c>
      <c r="K511" s="1084">
        <f>Table11[[#This Row],[CASH IN - CREDIT (VND)]]-Table11[[#This Row],[CASH OUT - DEBIT (VND)]]</f>
        <v>0</v>
      </c>
      <c r="L511" s="1095">
        <f t="shared" si="44"/>
        <v>457518409</v>
      </c>
      <c r="M511" s="1184" t="e">
        <f>VLOOKUP(C511,'Cash balance (BS)'!A:D,4,)</f>
        <v>#N/A</v>
      </c>
      <c r="N511" s="1095" t="e">
        <f>Table11[[#This Row],[CLOSING BALANCE (VND)2]]-Table11[[#This Row],[CB_BS (VND)]]</f>
        <v>#N/A</v>
      </c>
      <c r="O511" s="1094">
        <v>0</v>
      </c>
      <c r="P511" s="1095">
        <f t="shared" si="45"/>
        <v>0</v>
      </c>
      <c r="Q511" s="817">
        <f>SUMIFS('Cash balance (Prior period)'!G:G,'Cash balance (Prior period)'!C:C,Table11[[#This Row],[ACCOUNT NUMBER]],'Cash balance (Prior period)'!E:E,Table11[[#This Row],[CURRENCY]])</f>
        <v>0</v>
      </c>
      <c r="R511" s="817">
        <f>SUMIFS(Movement!$F$4:$F$2136,Movement!$M$4:$M$2136,"USD",Movement!$C$4:$C$2136,Table11[[#This Row],[ACCOUNT NUMBER]],Movement!$J$4:$J$2136,Table11[[#This Row],[ENTITY]],Movement!$O$4:$O$2136,'Cash Balance'!$A$2)</f>
        <v>0</v>
      </c>
      <c r="S511" s="817">
        <f>SUMIFS(Movement!$G$4:$G$2136,Movement!$M$4:$M$2136,"USD",Movement!$C$4:$C$2136,Table11[[#This Row],[ACCOUNT NUMBER]],Movement!$J$4:$J$2136,Table11[[#This Row],[ENTITY]],Movement!$O$4:$O$2136,'Cash Balance'!$A$2)</f>
        <v>0</v>
      </c>
      <c r="T511" s="1087">
        <f t="shared" si="46"/>
        <v>0</v>
      </c>
      <c r="U511" s="817"/>
      <c r="V511" s="817">
        <f>Table11[[#This Row],[CLOSING BALANCE (USD)]]-Table11[[#This Row],[CB_BS (USD)]]</f>
        <v>0</v>
      </c>
      <c r="W511" s="1156" t="str">
        <f>VLOOKUP('Cash Balance'!$C511,Table2[#All],MATCH('Cash Balance'!W$3,Acc_Char!$B$1:$I$1,0),0)</f>
        <v>Subsidiaries</v>
      </c>
      <c r="X511" s="1156" t="str">
        <f>VLOOKUP(IFERROR(MID($Y511,1,FIND("-",$Y511)-2),$Y511),Table3[#All],2,0)</f>
        <v>VCB</v>
      </c>
      <c r="Y511" s="1156" t="str">
        <f>VLOOKUP($B511,Table4[#All],2,0)</f>
        <v>VIETCOMBANK - BA DINH</v>
      </c>
      <c r="Z511" s="1151"/>
      <c r="AA511" s="49"/>
    </row>
    <row r="512" spans="1:27">
      <c r="A512" s="1153" t="str">
        <f>VLOOKUP('Cash Balance'!$C512,Table2[#All],MATCH('Cash Balance'!A$3,Acc_Char!$B$1:$I$1,0),0)</f>
        <v>TAN DONG HIEP B ELECTRON</v>
      </c>
      <c r="B512" s="1154" t="str">
        <f>VLOOKUP('Cash Balance'!$C512,Table2[#All],MATCH('Cash Balance'!B$3,Acc_Char!$B$1:$I$1,0),0)</f>
        <v>VIETINBANK - TPHCM</v>
      </c>
      <c r="C512" s="1190" t="s">
        <v>1125</v>
      </c>
      <c r="D512" s="1156" t="str">
        <f>VLOOKUP('Cash Balance'!$C512,Table2[#All],MATCH('Cash Balance'!D$3,Acc_Char!$B$1:$I$1,0),0)</f>
        <v>Saving Account</v>
      </c>
      <c r="E512" s="384" t="str">
        <f>VLOOKUP('Cash Balance'!$C512,Table2[#All],MATCH('Cash Balance'!E$3,Acc_Char!$B$1:$I$1,0),0)</f>
        <v>VND</v>
      </c>
      <c r="F512" s="1094" t="e">
        <f>VLOOKUP(C512,'Cash balance (BS)'!A:C,3,)</f>
        <v>#N/A</v>
      </c>
      <c r="G512" s="1157" t="e">
        <f t="shared" si="47"/>
        <v>#N/A</v>
      </c>
      <c r="H512" s="1318">
        <f>SUMIFS('Cash balance (Prior period)'!F:F,'Cash balance (Prior period)'!C:C,Table11[[#This Row],[ACCOUNT NUMBER]],'Cash balance (Prior period)'!E:E,Table11[[#This Row],[CURRENCY]])</f>
        <v>0</v>
      </c>
      <c r="I512" s="1318">
        <f>SUMIFS(Movement!$F$4:$F$2136,Movement!$M$4:$M$2136,"VND",Movement!$C$4:$C$2136,Table11[[#This Row],[ACCOUNT NUMBER]],Movement!$J$4:$J$2136,Table11[[#This Row],[ENTITY]],Movement!$O$4:$O$2136,'Cash Balance'!$A$2)</f>
        <v>0</v>
      </c>
      <c r="J512" s="1318">
        <f>SUMIFS(Movement!$G$4:$G$2136,Movement!$M$4:$M$2136,"VND",Movement!$C$4:$C$2136,Table11[[#This Row],[ACCOUNT NUMBER]],Movement!$J$4:$J$2136,Table11[[#This Row],[ENTITY]],Movement!$O$4:$O$2136,'Cash Balance'!$A$2)</f>
        <v>0</v>
      </c>
      <c r="K512" s="1084">
        <f>Table11[[#This Row],[CASH IN - CREDIT (VND)]]-Table11[[#This Row],[CASH OUT - DEBIT (VND)]]</f>
        <v>0</v>
      </c>
      <c r="L512" s="1095">
        <f t="shared" si="44"/>
        <v>0</v>
      </c>
      <c r="M512" s="1184" t="e">
        <f>VLOOKUP(C512,'Cash balance (BS)'!A:D,4,)</f>
        <v>#N/A</v>
      </c>
      <c r="N512" s="1095" t="e">
        <f>Table11[[#This Row],[CLOSING BALANCE (VND)2]]-Table11[[#This Row],[CB_BS (VND)]]</f>
        <v>#N/A</v>
      </c>
      <c r="O512" s="1094">
        <v>0</v>
      </c>
      <c r="P512" s="1095">
        <f t="shared" si="45"/>
        <v>0</v>
      </c>
      <c r="Q512" s="817">
        <f>SUMIFS('Cash balance (Prior period)'!G:G,'Cash balance (Prior period)'!C:C,Table11[[#This Row],[ACCOUNT NUMBER]],'Cash balance (Prior period)'!E:E,Table11[[#This Row],[CURRENCY]])</f>
        <v>0</v>
      </c>
      <c r="R512" s="817">
        <f>SUMIFS(Movement!$F$4:$F$2136,Movement!$M$4:$M$2136,"USD",Movement!$C$4:$C$2136,Table11[[#This Row],[ACCOUNT NUMBER]],Movement!$J$4:$J$2136,Table11[[#This Row],[ENTITY]],Movement!$O$4:$O$2136,'Cash Balance'!$A$2)</f>
        <v>0</v>
      </c>
      <c r="S512" s="817">
        <f>SUMIFS(Movement!$G$4:$G$2136,Movement!$M$4:$M$2136,"USD",Movement!$C$4:$C$2136,Table11[[#This Row],[ACCOUNT NUMBER]],Movement!$J$4:$J$2136,Table11[[#This Row],[ENTITY]],Movement!$O$4:$O$2136,'Cash Balance'!$A$2)</f>
        <v>0</v>
      </c>
      <c r="T512" s="1087">
        <f t="shared" si="46"/>
        <v>0</v>
      </c>
      <c r="U512" s="817"/>
      <c r="V512" s="817">
        <f>Table11[[#This Row],[CLOSING BALANCE (USD)]]-Table11[[#This Row],[CB_BS (USD)]]</f>
        <v>0</v>
      </c>
      <c r="W512" s="1156" t="str">
        <f>VLOOKUP('Cash Balance'!$C512,Table2[#All],MATCH('Cash Balance'!W$3,Acc_Char!$B$1:$I$1,0),0)</f>
        <v>Subsidiaries</v>
      </c>
      <c r="X512" s="1156" t="str">
        <f>VLOOKUP(IFERROR(MID($Y512,1,FIND("-",$Y512)-2),$Y512),Table3[#All],2,0)</f>
        <v>VTB</v>
      </c>
      <c r="Y512" s="1156" t="str">
        <f>VLOOKUP($B512,Table4[#All],2,0)</f>
        <v>VIETINBANK - TPHCM</v>
      </c>
      <c r="Z512" s="1151"/>
      <c r="AA512" s="49"/>
    </row>
    <row r="513" spans="1:27">
      <c r="A513" s="1153" t="str">
        <f>VLOOKUP('Cash Balance'!$C513,Table2[#All],MATCH('Cash Balance'!A$3,Acc_Char!$B$1:$I$1,0),0)</f>
        <v>LONG BINH</v>
      </c>
      <c r="B513" s="1154" t="str">
        <f>VLOOKUP('Cash Balance'!$C513,Table2[#All],MATCH('Cash Balance'!B$3,Acc_Char!$B$1:$I$1,0),0)</f>
        <v>VIETINBANK - CN1</v>
      </c>
      <c r="C513" s="1190" t="s">
        <v>1126</v>
      </c>
      <c r="D513" s="1156" t="str">
        <f>VLOOKUP('Cash Balance'!$C513,Table2[#All],MATCH('Cash Balance'!D$3,Acc_Char!$B$1:$I$1,0),0)</f>
        <v>Saving Account</v>
      </c>
      <c r="E513" s="384" t="str">
        <f>VLOOKUP('Cash Balance'!$C513,Table2[#All],MATCH('Cash Balance'!E$3,Acc_Char!$B$1:$I$1,0),0)</f>
        <v>VND</v>
      </c>
      <c r="F513" s="1094" t="e">
        <f>VLOOKUP(C513,'Cash balance (BS)'!A:C,3,)</f>
        <v>#N/A</v>
      </c>
      <c r="G513" s="1157" t="e">
        <f t="shared" si="47"/>
        <v>#N/A</v>
      </c>
      <c r="H513" s="1318">
        <f>SUMIFS('Cash balance (Prior period)'!F:F,'Cash balance (Prior period)'!C:C,Table11[[#This Row],[ACCOUNT NUMBER]],'Cash balance (Prior period)'!E:E,Table11[[#This Row],[CURRENCY]])</f>
        <v>0</v>
      </c>
      <c r="I513" s="1318">
        <f>SUMIFS(Movement!$F$4:$F$2136,Movement!$M$4:$M$2136,"VND",Movement!$C$4:$C$2136,Table11[[#This Row],[ACCOUNT NUMBER]],Movement!$J$4:$J$2136,Table11[[#This Row],[ENTITY]],Movement!$O$4:$O$2136,'Cash Balance'!$A$2)</f>
        <v>0</v>
      </c>
      <c r="J513" s="1318">
        <f>SUMIFS(Movement!$G$4:$G$2136,Movement!$M$4:$M$2136,"VND",Movement!$C$4:$C$2136,Table11[[#This Row],[ACCOUNT NUMBER]],Movement!$J$4:$J$2136,Table11[[#This Row],[ENTITY]],Movement!$O$4:$O$2136,'Cash Balance'!$A$2)</f>
        <v>0</v>
      </c>
      <c r="K513" s="1084">
        <f>Table11[[#This Row],[CASH IN - CREDIT (VND)]]-Table11[[#This Row],[CASH OUT - DEBIT (VND)]]</f>
        <v>0</v>
      </c>
      <c r="L513" s="1095">
        <f t="shared" si="44"/>
        <v>0</v>
      </c>
      <c r="M513" s="1184" t="e">
        <f>VLOOKUP(C513,'Cash balance (BS)'!A:D,4,)</f>
        <v>#N/A</v>
      </c>
      <c r="N513" s="1095" t="e">
        <f>Table11[[#This Row],[CLOSING BALANCE (VND)2]]-Table11[[#This Row],[CB_BS (VND)]]</f>
        <v>#N/A</v>
      </c>
      <c r="O513" s="1094">
        <v>0</v>
      </c>
      <c r="P513" s="1095">
        <f t="shared" si="45"/>
        <v>0</v>
      </c>
      <c r="Q513" s="817">
        <f>SUMIFS('Cash balance (Prior period)'!G:G,'Cash balance (Prior period)'!C:C,Table11[[#This Row],[ACCOUNT NUMBER]],'Cash balance (Prior period)'!E:E,Table11[[#This Row],[CURRENCY]])</f>
        <v>0</v>
      </c>
      <c r="R513" s="817">
        <f>SUMIFS(Movement!$F$4:$F$2136,Movement!$M$4:$M$2136,"USD",Movement!$C$4:$C$2136,Table11[[#This Row],[ACCOUNT NUMBER]],Movement!$J$4:$J$2136,Table11[[#This Row],[ENTITY]],Movement!$O$4:$O$2136,'Cash Balance'!$A$2)</f>
        <v>0</v>
      </c>
      <c r="S513" s="817">
        <f>SUMIFS(Movement!$G$4:$G$2136,Movement!$M$4:$M$2136,"USD",Movement!$C$4:$C$2136,Table11[[#This Row],[ACCOUNT NUMBER]],Movement!$J$4:$J$2136,Table11[[#This Row],[ENTITY]],Movement!$O$4:$O$2136,'Cash Balance'!$A$2)</f>
        <v>0</v>
      </c>
      <c r="T513" s="1087">
        <f t="shared" si="46"/>
        <v>0</v>
      </c>
      <c r="U513" s="817"/>
      <c r="V513" s="817">
        <f>Table11[[#This Row],[CLOSING BALANCE (USD)]]-Table11[[#This Row],[CB_BS (USD)]]</f>
        <v>0</v>
      </c>
      <c r="W513" s="1156" t="str">
        <f>VLOOKUP('Cash Balance'!$C513,Table2[#All],MATCH('Cash Balance'!W$3,Acc_Char!$B$1:$I$1,0),0)</f>
        <v>Subsidiaries</v>
      </c>
      <c r="X513" s="1156" t="str">
        <f>VLOOKUP(IFERROR(MID($Y513,1,FIND("-",$Y513)-2),$Y513),Table3[#All],2,0)</f>
        <v>VTB</v>
      </c>
      <c r="Y513" s="1156" t="str">
        <f>VLOOKUP($B513,Table4[#All],2,0)</f>
        <v>VIETINBANK - CN1</v>
      </c>
      <c r="Z513" s="1151"/>
      <c r="AA513" s="49"/>
    </row>
    <row r="514" spans="1:27">
      <c r="A514" s="1153" t="str">
        <f>VLOOKUP('Cash Balance'!$C514,Table2[#All],MATCH('Cash Balance'!A$3,Acc_Char!$B$1:$I$1,0),0)</f>
        <v>BWID HAI DUONG 2</v>
      </c>
      <c r="B514" s="1154" t="str">
        <f>VLOOKUP('Cash Balance'!$C514,Table2[#All],MATCH('Cash Balance'!B$3,Acc_Char!$B$1:$I$1,0),0)</f>
        <v>VIETINBANK - TIEN SON</v>
      </c>
      <c r="C514" s="1190" t="s">
        <v>1127</v>
      </c>
      <c r="D514" s="1156" t="str">
        <f>VLOOKUP('Cash Balance'!$C514,Table2[#All],MATCH('Cash Balance'!D$3,Acc_Char!$B$1:$I$1,0),0)</f>
        <v>Saving Account</v>
      </c>
      <c r="E514" s="384" t="str">
        <f>VLOOKUP('Cash Balance'!$C514,Table2[#All],MATCH('Cash Balance'!E$3,Acc_Char!$B$1:$I$1,0),0)</f>
        <v>VND</v>
      </c>
      <c r="F514" s="1094" t="e">
        <f>VLOOKUP(C514,'Cash balance (BS)'!A:C,3,)</f>
        <v>#N/A</v>
      </c>
      <c r="G514" s="1157" t="e">
        <f t="shared" si="47"/>
        <v>#N/A</v>
      </c>
      <c r="H514" s="1318">
        <f>SUMIFS('Cash balance (Prior period)'!F:F,'Cash balance (Prior period)'!C:C,Table11[[#This Row],[ACCOUNT NUMBER]],'Cash balance (Prior period)'!E:E,Table11[[#This Row],[CURRENCY]])</f>
        <v>0</v>
      </c>
      <c r="I514" s="1318">
        <f>SUMIFS(Movement!$F$4:$F$2136,Movement!$M$4:$M$2136,"VND",Movement!$C$4:$C$2136,Table11[[#This Row],[ACCOUNT NUMBER]],Movement!$J$4:$J$2136,Table11[[#This Row],[ENTITY]],Movement!$O$4:$O$2136,'Cash Balance'!$A$2)</f>
        <v>0</v>
      </c>
      <c r="J514" s="1318">
        <f>SUMIFS(Movement!$G$4:$G$2136,Movement!$M$4:$M$2136,"VND",Movement!$C$4:$C$2136,Table11[[#This Row],[ACCOUNT NUMBER]],Movement!$J$4:$J$2136,Table11[[#This Row],[ENTITY]],Movement!$O$4:$O$2136,'Cash Balance'!$A$2)</f>
        <v>0</v>
      </c>
      <c r="K514" s="1084">
        <f>Table11[[#This Row],[CASH IN - CREDIT (VND)]]-Table11[[#This Row],[CASH OUT - DEBIT (VND)]]</f>
        <v>0</v>
      </c>
      <c r="L514" s="1095">
        <f t="shared" si="44"/>
        <v>0</v>
      </c>
      <c r="M514" s="1184" t="e">
        <f>VLOOKUP(C514,'Cash balance (BS)'!A:D,4,)</f>
        <v>#N/A</v>
      </c>
      <c r="N514" s="1095" t="e">
        <f>Table11[[#This Row],[CLOSING BALANCE (VND)2]]-Table11[[#This Row],[CB_BS (VND)]]</f>
        <v>#N/A</v>
      </c>
      <c r="O514" s="1094">
        <v>0</v>
      </c>
      <c r="P514" s="1095">
        <f t="shared" si="45"/>
        <v>0</v>
      </c>
      <c r="Q514" s="817">
        <f>SUMIFS('Cash balance (Prior period)'!G:G,'Cash balance (Prior period)'!C:C,Table11[[#This Row],[ACCOUNT NUMBER]],'Cash balance (Prior period)'!E:E,Table11[[#This Row],[CURRENCY]])</f>
        <v>0</v>
      </c>
      <c r="R514" s="817">
        <f>SUMIFS(Movement!$F$4:$F$2136,Movement!$M$4:$M$2136,"USD",Movement!$C$4:$C$2136,Table11[[#This Row],[ACCOUNT NUMBER]],Movement!$J$4:$J$2136,Table11[[#This Row],[ENTITY]],Movement!$O$4:$O$2136,'Cash Balance'!$A$2)</f>
        <v>0</v>
      </c>
      <c r="S514" s="817">
        <f>SUMIFS(Movement!$G$4:$G$2136,Movement!$M$4:$M$2136,"USD",Movement!$C$4:$C$2136,Table11[[#This Row],[ACCOUNT NUMBER]],Movement!$J$4:$J$2136,Table11[[#This Row],[ENTITY]],Movement!$O$4:$O$2136,'Cash Balance'!$A$2)</f>
        <v>0</v>
      </c>
      <c r="T514" s="1087">
        <f t="shared" si="46"/>
        <v>0</v>
      </c>
      <c r="U514" s="817"/>
      <c r="V514" s="817">
        <f>Table11[[#This Row],[CLOSING BALANCE (USD)]]-Table11[[#This Row],[CB_BS (USD)]]</f>
        <v>0</v>
      </c>
      <c r="W514" s="1156" t="str">
        <f>VLOOKUP('Cash Balance'!$C514,Table2[#All],MATCH('Cash Balance'!W$3,Acc_Char!$B$1:$I$1,0),0)</f>
        <v>Subsidiaries</v>
      </c>
      <c r="X514" s="1156" t="str">
        <f>VLOOKUP(IFERROR(MID($Y514,1,FIND("-",$Y514)-2),$Y514),Table3[#All],2,0)</f>
        <v>VTB</v>
      </c>
      <c r="Y514" s="1156" t="str">
        <f>VLOOKUP($B514,Table4[#All],2,0)</f>
        <v>VIETINBANK - TIEN SON</v>
      </c>
      <c r="Z514" s="1151"/>
      <c r="AA514" s="49"/>
    </row>
    <row r="515" spans="1:27">
      <c r="A515" s="1153" t="str">
        <f>VLOOKUP('Cash Balance'!$C515,Table2[#All],MATCH('Cash Balance'!A$3,Acc_Char!$B$1:$I$1,0),0)</f>
        <v>KIM TRUC DN</v>
      </c>
      <c r="B515" s="1154" t="str">
        <f>VLOOKUP('Cash Balance'!$C515,Table2[#All],MATCH('Cash Balance'!B$3,Acc_Char!$B$1:$I$1,0),0)</f>
        <v>BIDV - NAM SAI GON</v>
      </c>
      <c r="C515" s="1190" t="s">
        <v>1128</v>
      </c>
      <c r="D515" s="1156" t="str">
        <f>VLOOKUP('Cash Balance'!$C515,Table2[#All],MATCH('Cash Balance'!D$3,Acc_Char!$B$1:$I$1,0),0)</f>
        <v>Saving Account</v>
      </c>
      <c r="E515" s="384" t="str">
        <f>VLOOKUP('Cash Balance'!$C515,Table2[#All],MATCH('Cash Balance'!E$3,Acc_Char!$B$1:$I$1,0),0)</f>
        <v>VND</v>
      </c>
      <c r="F515" s="1094" t="e">
        <f>VLOOKUP(C515,'Cash balance (BS)'!A:C,3,)</f>
        <v>#N/A</v>
      </c>
      <c r="G515" s="1157" t="e">
        <f t="shared" si="47"/>
        <v>#N/A</v>
      </c>
      <c r="H515" s="1318">
        <f>SUMIFS('Cash balance (Prior period)'!F:F,'Cash balance (Prior period)'!C:C,Table11[[#This Row],[ACCOUNT NUMBER]],'Cash balance (Prior period)'!E:E,Table11[[#This Row],[CURRENCY]])</f>
        <v>0</v>
      </c>
      <c r="I515" s="1318">
        <f>SUMIFS(Movement!$F$4:$F$2136,Movement!$M$4:$M$2136,"VND",Movement!$C$4:$C$2136,Table11[[#This Row],[ACCOUNT NUMBER]],Movement!$J$4:$J$2136,Table11[[#This Row],[ENTITY]],Movement!$O$4:$O$2136,'Cash Balance'!$A$2)</f>
        <v>0</v>
      </c>
      <c r="J515" s="1318">
        <f>SUMIFS(Movement!$G$4:$G$2136,Movement!$M$4:$M$2136,"VND",Movement!$C$4:$C$2136,Table11[[#This Row],[ACCOUNT NUMBER]],Movement!$J$4:$J$2136,Table11[[#This Row],[ENTITY]],Movement!$O$4:$O$2136,'Cash Balance'!$A$2)</f>
        <v>0</v>
      </c>
      <c r="K515" s="1084">
        <f>Table11[[#This Row],[CASH IN - CREDIT (VND)]]-Table11[[#This Row],[CASH OUT - DEBIT (VND)]]</f>
        <v>0</v>
      </c>
      <c r="L515" s="1095">
        <f t="shared" si="44"/>
        <v>0</v>
      </c>
      <c r="M515" s="1184" t="e">
        <f>VLOOKUP(C515,'Cash balance (BS)'!A:D,4,)</f>
        <v>#N/A</v>
      </c>
      <c r="N515" s="1095" t="e">
        <f>Table11[[#This Row],[CLOSING BALANCE (VND)2]]-Table11[[#This Row],[CB_BS (VND)]]</f>
        <v>#N/A</v>
      </c>
      <c r="O515" s="1094">
        <v>0</v>
      </c>
      <c r="P515" s="1095">
        <f t="shared" si="45"/>
        <v>0</v>
      </c>
      <c r="Q515" s="817">
        <f>SUMIFS('Cash balance (Prior period)'!G:G,'Cash balance (Prior period)'!C:C,Table11[[#This Row],[ACCOUNT NUMBER]],'Cash balance (Prior period)'!E:E,Table11[[#This Row],[CURRENCY]])</f>
        <v>0</v>
      </c>
      <c r="R515" s="817">
        <f>SUMIFS(Movement!$F$4:$F$2136,Movement!$M$4:$M$2136,"USD",Movement!$C$4:$C$2136,Table11[[#This Row],[ACCOUNT NUMBER]],Movement!$J$4:$J$2136,Table11[[#This Row],[ENTITY]],Movement!$O$4:$O$2136,'Cash Balance'!$A$2)</f>
        <v>0</v>
      </c>
      <c r="S515" s="817">
        <f>SUMIFS(Movement!$G$4:$G$2136,Movement!$M$4:$M$2136,"USD",Movement!$C$4:$C$2136,Table11[[#This Row],[ACCOUNT NUMBER]],Movement!$J$4:$J$2136,Table11[[#This Row],[ENTITY]],Movement!$O$4:$O$2136,'Cash Balance'!$A$2)</f>
        <v>0</v>
      </c>
      <c r="T515" s="1087">
        <f t="shared" si="46"/>
        <v>0</v>
      </c>
      <c r="U515" s="817"/>
      <c r="V515" s="817">
        <f>Table11[[#This Row],[CLOSING BALANCE (USD)]]-Table11[[#This Row],[CB_BS (USD)]]</f>
        <v>0</v>
      </c>
      <c r="W515" s="1156" t="str">
        <f>VLOOKUP('Cash Balance'!$C515,Table2[#All],MATCH('Cash Balance'!W$3,Acc_Char!$B$1:$I$1,0),0)</f>
        <v>Subsidiaries</v>
      </c>
      <c r="X515" s="1156" t="str">
        <f>VLOOKUP(IFERROR(MID($Y515,1,FIND("-",$Y515)-2),$Y515),Table3[#All],2,0)</f>
        <v>BIDV</v>
      </c>
      <c r="Y515" s="1156" t="str">
        <f>VLOOKUP($B515,Table4[#All],2,0)</f>
        <v>BIDV - NAM SAI GON</v>
      </c>
      <c r="Z515" s="1151"/>
      <c r="AA515" s="49"/>
    </row>
    <row r="516" spans="1:27">
      <c r="A516" s="1153" t="str">
        <f>VLOOKUP('Cash Balance'!$C516,Table2[#All],MATCH('Cash Balance'!A$3,Acc_Char!$B$1:$I$1,0),0)</f>
        <v>BWID LOGISTICS TAN UYEN</v>
      </c>
      <c r="B516" s="1154" t="str">
        <f>VLOOKUP('Cash Balance'!$C516,Table2[#All],MATCH('Cash Balance'!B$3,Acc_Char!$B$1:$I$1,0),0)</f>
        <v>VIETCOMBANK - BA DINH</v>
      </c>
      <c r="C516" s="1190" t="s">
        <v>5387</v>
      </c>
      <c r="D516" s="1156" t="str">
        <f>VLOOKUP('Cash Balance'!$C516,Table2[#All],MATCH('Cash Balance'!D$3,Acc_Char!$B$1:$I$1,0),0)</f>
        <v>Saving Account</v>
      </c>
      <c r="E516" s="384" t="str">
        <f>VLOOKUP('Cash Balance'!$C516,Table2[#All],MATCH('Cash Balance'!E$3,Acc_Char!$B$1:$I$1,0),0)</f>
        <v>VND</v>
      </c>
      <c r="F516" s="1094" t="e">
        <f>VLOOKUP(C516,'Cash balance (BS)'!A:C,3,)</f>
        <v>#N/A</v>
      </c>
      <c r="G516" s="1157" t="e">
        <f t="shared" si="47"/>
        <v>#N/A</v>
      </c>
      <c r="H516" s="1318">
        <f>SUMIFS('Cash balance (Prior period)'!F:F,'Cash balance (Prior period)'!C:C,Table11[[#This Row],[ACCOUNT NUMBER]],'Cash balance (Prior period)'!E:E,Table11[[#This Row],[CURRENCY]])</f>
        <v>5215073357</v>
      </c>
      <c r="I516" s="1318">
        <f>SUMIFS(Movement!$F$4:$F$2136,Movement!$M$4:$M$2136,"VND",Movement!$C$4:$C$2136,Table11[[#This Row],[ACCOUNT NUMBER]],Movement!$J$4:$J$2136,Table11[[#This Row],[ENTITY]],Movement!$O$4:$O$2136,'Cash Balance'!$A$2)</f>
        <v>0</v>
      </c>
      <c r="J516" s="1318">
        <f>SUMIFS(Movement!$G$4:$G$2136,Movement!$M$4:$M$2136,"VND",Movement!$C$4:$C$2136,Table11[[#This Row],[ACCOUNT NUMBER]],Movement!$J$4:$J$2136,Table11[[#This Row],[ENTITY]],Movement!$O$4:$O$2136,'Cash Balance'!$A$2)</f>
        <v>0</v>
      </c>
      <c r="K516" s="1084">
        <f>Table11[[#This Row],[CASH IN - CREDIT (VND)]]-Table11[[#This Row],[CASH OUT - DEBIT (VND)]]</f>
        <v>0</v>
      </c>
      <c r="L516" s="1095">
        <f t="shared" si="44"/>
        <v>5215073357</v>
      </c>
      <c r="M516" s="1184" t="e">
        <f>VLOOKUP(C516,'Cash balance (BS)'!A:D,4,)</f>
        <v>#N/A</v>
      </c>
      <c r="N516" s="1095" t="e">
        <f>Table11[[#This Row],[CLOSING BALANCE (VND)2]]-Table11[[#This Row],[CB_BS (VND)]]</f>
        <v>#N/A</v>
      </c>
      <c r="O516" s="1094">
        <v>0</v>
      </c>
      <c r="P516" s="1095">
        <f t="shared" si="45"/>
        <v>0</v>
      </c>
      <c r="Q516" s="817">
        <f>SUMIFS('Cash balance (Prior period)'!G:G,'Cash balance (Prior period)'!C:C,Table11[[#This Row],[ACCOUNT NUMBER]],'Cash balance (Prior period)'!E:E,Table11[[#This Row],[CURRENCY]])</f>
        <v>0</v>
      </c>
      <c r="R516" s="817">
        <f>SUMIFS(Movement!$F$4:$F$2136,Movement!$M$4:$M$2136,"USD",Movement!$C$4:$C$2136,Table11[[#This Row],[ACCOUNT NUMBER]],Movement!$J$4:$J$2136,Table11[[#This Row],[ENTITY]],Movement!$O$4:$O$2136,'Cash Balance'!$A$2)</f>
        <v>0</v>
      </c>
      <c r="S516" s="817">
        <f>SUMIFS(Movement!$G$4:$G$2136,Movement!$M$4:$M$2136,"USD",Movement!$C$4:$C$2136,Table11[[#This Row],[ACCOUNT NUMBER]],Movement!$J$4:$J$2136,Table11[[#This Row],[ENTITY]],Movement!$O$4:$O$2136,'Cash Balance'!$A$2)</f>
        <v>0</v>
      </c>
      <c r="T516" s="1087">
        <f t="shared" si="46"/>
        <v>0</v>
      </c>
      <c r="U516" s="817"/>
      <c r="V516" s="817">
        <f>Table11[[#This Row],[CLOSING BALANCE (USD)]]-Table11[[#This Row],[CB_BS (USD)]]</f>
        <v>0</v>
      </c>
      <c r="W516" s="1156" t="str">
        <f>VLOOKUP('Cash Balance'!$C516,Table2[#All],MATCH('Cash Balance'!W$3,Acc_Char!$B$1:$I$1,0),0)</f>
        <v>Subsidiaries</v>
      </c>
      <c r="X516" s="1156" t="str">
        <f>VLOOKUP(IFERROR(MID($Y516,1,FIND("-",$Y516)-2),$Y516),Table3[#All],2,0)</f>
        <v>VCB</v>
      </c>
      <c r="Y516" s="1156" t="str">
        <f>VLOOKUP($B516,Table4[#All],2,0)</f>
        <v>VIETCOMBANK - BA DINH</v>
      </c>
      <c r="Z516" s="1151"/>
      <c r="AA516" s="49"/>
    </row>
    <row r="517" spans="1:27">
      <c r="A517" s="1153" t="str">
        <f>VLOOKUP('Cash Balance'!$C517,Table2[#All],MATCH('Cash Balance'!A$3,Acc_Char!$B$1:$I$1,0),0)</f>
        <v>NDV PROJECT CO</v>
      </c>
      <c r="B517" s="1154" t="str">
        <f>VLOOKUP('Cash Balance'!$C517,Table2[#All],MATCH('Cash Balance'!B$3,Acc_Char!$B$1:$I$1,0),0)</f>
        <v>BIDV - THANH XUAN</v>
      </c>
      <c r="C517" s="1190" t="s">
        <v>1129</v>
      </c>
      <c r="D517" s="1156" t="str">
        <f>VLOOKUP('Cash Balance'!$C517,Table2[#All],MATCH('Cash Balance'!D$3,Acc_Char!$B$1:$I$1,0),0)</f>
        <v>Saving Account</v>
      </c>
      <c r="E517" s="384" t="str">
        <f>VLOOKUP('Cash Balance'!$C517,Table2[#All],MATCH('Cash Balance'!E$3,Acc_Char!$B$1:$I$1,0),0)</f>
        <v>VND</v>
      </c>
      <c r="F517" s="1094" t="e">
        <f>VLOOKUP(C517,'Cash balance (BS)'!A:C,3,)</f>
        <v>#N/A</v>
      </c>
      <c r="G517" s="1157" t="e">
        <f t="shared" si="47"/>
        <v>#N/A</v>
      </c>
      <c r="H517" s="1318">
        <f>SUMIFS('Cash balance (Prior period)'!F:F,'Cash balance (Prior period)'!C:C,Table11[[#This Row],[ACCOUNT NUMBER]],'Cash balance (Prior period)'!E:E,Table11[[#This Row],[CURRENCY]])</f>
        <v>0</v>
      </c>
      <c r="I517" s="1318">
        <f>SUMIFS(Movement!$F$4:$F$2136,Movement!$M$4:$M$2136,"VND",Movement!$C$4:$C$2136,Table11[[#This Row],[ACCOUNT NUMBER]],Movement!$J$4:$J$2136,Table11[[#This Row],[ENTITY]],Movement!$O$4:$O$2136,'Cash Balance'!$A$2)</f>
        <v>0</v>
      </c>
      <c r="J517" s="1318">
        <f>SUMIFS(Movement!$G$4:$G$2136,Movement!$M$4:$M$2136,"VND",Movement!$C$4:$C$2136,Table11[[#This Row],[ACCOUNT NUMBER]],Movement!$J$4:$J$2136,Table11[[#This Row],[ENTITY]],Movement!$O$4:$O$2136,'Cash Balance'!$A$2)</f>
        <v>0</v>
      </c>
      <c r="K517" s="1084">
        <f>Table11[[#This Row],[CASH IN - CREDIT (VND)]]-Table11[[#This Row],[CASH OUT - DEBIT (VND)]]</f>
        <v>0</v>
      </c>
      <c r="L517" s="1095">
        <f t="shared" ref="L517:L579" si="48">H517+I517-J517</f>
        <v>0</v>
      </c>
      <c r="M517" s="1184" t="e">
        <f>VLOOKUP(C517,'Cash balance (BS)'!A:D,4,)</f>
        <v>#N/A</v>
      </c>
      <c r="N517" s="1095" t="e">
        <f>Table11[[#This Row],[CLOSING BALANCE (VND)2]]-Table11[[#This Row],[CB_BS (VND)]]</f>
        <v>#N/A</v>
      </c>
      <c r="O517" s="1094">
        <v>0</v>
      </c>
      <c r="P517" s="1095">
        <f t="shared" ref="P517:P579" si="49">O517-Q517</f>
        <v>0</v>
      </c>
      <c r="Q517" s="817">
        <f>SUMIFS('Cash balance (Prior period)'!G:G,'Cash balance (Prior period)'!C:C,Table11[[#This Row],[ACCOUNT NUMBER]],'Cash balance (Prior period)'!E:E,Table11[[#This Row],[CURRENCY]])</f>
        <v>0</v>
      </c>
      <c r="R517" s="817">
        <f>SUMIFS(Movement!$F$4:$F$2136,Movement!$M$4:$M$2136,"USD",Movement!$C$4:$C$2136,Table11[[#This Row],[ACCOUNT NUMBER]],Movement!$J$4:$J$2136,Table11[[#This Row],[ENTITY]],Movement!$O$4:$O$2136,'Cash Balance'!$A$2)</f>
        <v>0</v>
      </c>
      <c r="S517" s="817">
        <f>SUMIFS(Movement!$G$4:$G$2136,Movement!$M$4:$M$2136,"USD",Movement!$C$4:$C$2136,Table11[[#This Row],[ACCOUNT NUMBER]],Movement!$J$4:$J$2136,Table11[[#This Row],[ENTITY]],Movement!$O$4:$O$2136,'Cash Balance'!$A$2)</f>
        <v>0</v>
      </c>
      <c r="T517" s="1087">
        <f t="shared" ref="T517:T579" si="50">Q517+R517-S517</f>
        <v>0</v>
      </c>
      <c r="U517" s="817"/>
      <c r="V517" s="817">
        <f>Table11[[#This Row],[CLOSING BALANCE (USD)]]-Table11[[#This Row],[CB_BS (USD)]]</f>
        <v>0</v>
      </c>
      <c r="W517" s="1156" t="str">
        <f>VLOOKUP('Cash Balance'!$C517,Table2[#All],MATCH('Cash Balance'!W$3,Acc_Char!$B$1:$I$1,0),0)</f>
        <v>Subsidiaries</v>
      </c>
      <c r="X517" s="1156" t="str">
        <f>VLOOKUP(IFERROR(MID($Y517,1,FIND("-",$Y517)-2),$Y517),Table3[#All],2,0)</f>
        <v>BIDV</v>
      </c>
      <c r="Y517" s="1156" t="str">
        <f>VLOOKUP($B517,Table4[#All],2,0)</f>
        <v>BIDV - THANH XUAN</v>
      </c>
      <c r="Z517" s="1151"/>
      <c r="AA517" s="49"/>
    </row>
    <row r="518" spans="1:27">
      <c r="A518" s="1153" t="str">
        <f>VLOOKUP('Cash Balance'!$C518,Table2[#All],MATCH('Cash Balance'!A$3,Acc_Char!$B$1:$I$1,0),0)</f>
        <v>SAO HOA</v>
      </c>
      <c r="B518" s="1154" t="str">
        <f>VLOOKUP('Cash Balance'!$C518,Table2[#All],MATCH('Cash Balance'!B$3,Acc_Char!$B$1:$I$1,0),0)</f>
        <v>UOB - SINGAPORE</v>
      </c>
      <c r="C518" s="1190" t="s">
        <v>1131</v>
      </c>
      <c r="D518" s="1156" t="str">
        <f>VLOOKUP('Cash Balance'!$C518,Table2[#All],MATCH('Cash Balance'!D$3,Acc_Char!$B$1:$I$1,0),0)</f>
        <v>Reserve Account</v>
      </c>
      <c r="E518" s="384" t="str">
        <f>VLOOKUP('Cash Balance'!$C518,Table2[#All],MATCH('Cash Balance'!E$3,Acc_Char!$B$1:$I$1,0),0)</f>
        <v>USD</v>
      </c>
      <c r="F518" s="1094" t="e">
        <f>VLOOKUP(C518,'Cash balance (BS)'!A:C,3,)</f>
        <v>#N/A</v>
      </c>
      <c r="G518" s="1157" t="e">
        <f t="shared" si="47"/>
        <v>#N/A</v>
      </c>
      <c r="H518" s="1318">
        <f>SUMIFS('Cash balance (Prior period)'!F:F,'Cash balance (Prior period)'!C:C,Table11[[#This Row],[ACCOUNT NUMBER]],'Cash balance (Prior period)'!E:E,Table11[[#This Row],[CURRENCY]])</f>
        <v>0</v>
      </c>
      <c r="I518" s="1318">
        <f>SUMIFS(Movement!$F$4:$F$2136,Movement!$M$4:$M$2136,"VND",Movement!$C$4:$C$2136,Table11[[#This Row],[ACCOUNT NUMBER]],Movement!$J$4:$J$2136,Table11[[#This Row],[ENTITY]],Movement!$O$4:$O$2136,'Cash Balance'!$A$2)</f>
        <v>0</v>
      </c>
      <c r="J518" s="1318">
        <f>SUMIFS(Movement!$G$4:$G$2136,Movement!$M$4:$M$2136,"VND",Movement!$C$4:$C$2136,Table11[[#This Row],[ACCOUNT NUMBER]],Movement!$J$4:$J$2136,Table11[[#This Row],[ENTITY]],Movement!$O$4:$O$2136,'Cash Balance'!$A$2)</f>
        <v>0</v>
      </c>
      <c r="K518" s="1084">
        <f>Table11[[#This Row],[CASH IN - CREDIT (VND)]]-Table11[[#This Row],[CASH OUT - DEBIT (VND)]]</f>
        <v>0</v>
      </c>
      <c r="L518" s="1095">
        <f t="shared" si="48"/>
        <v>0</v>
      </c>
      <c r="M518" s="1184" t="e">
        <f>VLOOKUP(C518,'Cash balance (BS)'!A:D,4,)</f>
        <v>#N/A</v>
      </c>
      <c r="N518" s="1095" t="e">
        <f>Table11[[#This Row],[CLOSING BALANCE (VND)2]]-Table11[[#This Row],[CB_BS (VND)]]</f>
        <v>#N/A</v>
      </c>
      <c r="O518" s="1094">
        <v>0</v>
      </c>
      <c r="P518" s="1095">
        <f t="shared" si="49"/>
        <v>-3517.5100000002421</v>
      </c>
      <c r="Q518" s="817">
        <f>SUMIFS('Cash balance (Prior period)'!G:G,'Cash balance (Prior period)'!C:C,Table11[[#This Row],[ACCOUNT NUMBER]],'Cash balance (Prior period)'!E:E,Table11[[#This Row],[CURRENCY]])</f>
        <v>3517.5100000002421</v>
      </c>
      <c r="R518" s="817">
        <f>SUMIFS(Movement!$F$4:$F$2136,Movement!$M$4:$M$2136,"USD",Movement!$C$4:$C$2136,Table11[[#This Row],[ACCOUNT NUMBER]],Movement!$J$4:$J$2136,Table11[[#This Row],[ENTITY]],Movement!$O$4:$O$2136,'Cash Balance'!$A$2)</f>
        <v>0</v>
      </c>
      <c r="S518" s="817">
        <f>SUMIFS(Movement!$G$4:$G$2136,Movement!$M$4:$M$2136,"USD",Movement!$C$4:$C$2136,Table11[[#This Row],[ACCOUNT NUMBER]],Movement!$J$4:$J$2136,Table11[[#This Row],[ENTITY]],Movement!$O$4:$O$2136,'Cash Balance'!$A$2)</f>
        <v>0</v>
      </c>
      <c r="T518" s="1087">
        <f t="shared" si="50"/>
        <v>3517.5100000002421</v>
      </c>
      <c r="U518" s="817" t="e">
        <f>VLOOKUP(C518,'Cash balance (BS)'!A:D,4,)</f>
        <v>#N/A</v>
      </c>
      <c r="V518" s="817" t="e">
        <f>Table11[[#This Row],[CLOSING BALANCE (USD)]]-Table11[[#This Row],[CB_BS (USD)]]</f>
        <v>#N/A</v>
      </c>
      <c r="W518" s="1156" t="str">
        <f>VLOOKUP('Cash Balance'!$C518,Table2[#All],MATCH('Cash Balance'!W$3,Acc_Char!$B$1:$I$1,0),0)</f>
        <v>VC3</v>
      </c>
      <c r="X518" s="1156" t="str">
        <f>VLOOKUP(IFERROR(MID($Y518,1,FIND("-",$Y518)-2),$Y518),Table3[#All],2,0)</f>
        <v>UOB</v>
      </c>
      <c r="Y518" s="1156" t="str">
        <f>VLOOKUP($B518,Table4[#All],2,0)</f>
        <v>UOB</v>
      </c>
      <c r="Z518" s="1151"/>
      <c r="AA518" s="49"/>
    </row>
    <row r="519" spans="1:27">
      <c r="A519" s="1153" t="str">
        <f>VLOOKUP('Cash Balance'!$C519,Table2[#All],MATCH('Cash Balance'!A$3,Acc_Char!$B$1:$I$1,0),0)</f>
        <v>TAY HAI</v>
      </c>
      <c r="B519" s="1154" t="str">
        <f>VLOOKUP('Cash Balance'!$C519,Table2[#All],MATCH('Cash Balance'!B$3,Acc_Char!$B$1:$I$1,0),0)</f>
        <v>VIETINBANK - QUANG MINH</v>
      </c>
      <c r="C519" s="1190" t="s">
        <v>1132</v>
      </c>
      <c r="D519" s="1156" t="str">
        <f>VLOOKUP('Cash Balance'!$C519,Table2[#All],MATCH('Cash Balance'!D$3,Acc_Char!$B$1:$I$1,0),0)</f>
        <v>Saving Account</v>
      </c>
      <c r="E519" s="384" t="str">
        <f>VLOOKUP('Cash Balance'!$C519,Table2[#All],MATCH('Cash Balance'!E$3,Acc_Char!$B$1:$I$1,0),0)</f>
        <v>VND</v>
      </c>
      <c r="F519" s="1094" t="e">
        <f>VLOOKUP(C519,'Cash balance (BS)'!A:C,3,)</f>
        <v>#N/A</v>
      </c>
      <c r="G519" s="1157" t="e">
        <f t="shared" si="47"/>
        <v>#N/A</v>
      </c>
      <c r="H519" s="1318">
        <f>SUMIFS('Cash balance (Prior period)'!F:F,'Cash balance (Prior period)'!C:C,Table11[[#This Row],[ACCOUNT NUMBER]],'Cash balance (Prior period)'!E:E,Table11[[#This Row],[CURRENCY]])</f>
        <v>0</v>
      </c>
      <c r="I519" s="1318">
        <f>SUMIFS(Movement!$F$4:$F$2136,Movement!$M$4:$M$2136,"VND",Movement!$C$4:$C$2136,Table11[[#This Row],[ACCOUNT NUMBER]],Movement!$J$4:$J$2136,Table11[[#This Row],[ENTITY]],Movement!$O$4:$O$2136,'Cash Balance'!$A$2)</f>
        <v>0</v>
      </c>
      <c r="J519" s="1318">
        <f>SUMIFS(Movement!$G$4:$G$2136,Movement!$M$4:$M$2136,"VND",Movement!$C$4:$C$2136,Table11[[#This Row],[ACCOUNT NUMBER]],Movement!$J$4:$J$2136,Table11[[#This Row],[ENTITY]],Movement!$O$4:$O$2136,'Cash Balance'!$A$2)</f>
        <v>0</v>
      </c>
      <c r="K519" s="1084">
        <f>Table11[[#This Row],[CASH IN - CREDIT (VND)]]-Table11[[#This Row],[CASH OUT - DEBIT (VND)]]</f>
        <v>0</v>
      </c>
      <c r="L519" s="1095">
        <f t="shared" si="48"/>
        <v>0</v>
      </c>
      <c r="M519" s="1184" t="e">
        <f>VLOOKUP(C519,'Cash balance (BS)'!A:D,4,)</f>
        <v>#N/A</v>
      </c>
      <c r="N519" s="1095" t="e">
        <f>Table11[[#This Row],[CLOSING BALANCE (VND)2]]-Table11[[#This Row],[CB_BS (VND)]]</f>
        <v>#N/A</v>
      </c>
      <c r="O519" s="1094">
        <v>0</v>
      </c>
      <c r="P519" s="1095">
        <f t="shared" si="49"/>
        <v>0</v>
      </c>
      <c r="Q519" s="817">
        <f>SUMIFS('Cash balance (Prior period)'!G:G,'Cash balance (Prior period)'!C:C,Table11[[#This Row],[ACCOUNT NUMBER]],'Cash balance (Prior period)'!E:E,Table11[[#This Row],[CURRENCY]])</f>
        <v>0</v>
      </c>
      <c r="R519" s="817">
        <f>SUMIFS(Movement!$F$4:$F$2136,Movement!$M$4:$M$2136,"USD",Movement!$C$4:$C$2136,Table11[[#This Row],[ACCOUNT NUMBER]],Movement!$J$4:$J$2136,Table11[[#This Row],[ENTITY]],Movement!$O$4:$O$2136,'Cash Balance'!$A$2)</f>
        <v>0</v>
      </c>
      <c r="S519" s="817">
        <f>SUMIFS(Movement!$G$4:$G$2136,Movement!$M$4:$M$2136,"USD",Movement!$C$4:$C$2136,Table11[[#This Row],[ACCOUNT NUMBER]],Movement!$J$4:$J$2136,Table11[[#This Row],[ENTITY]],Movement!$O$4:$O$2136,'Cash Balance'!$A$2)</f>
        <v>0</v>
      </c>
      <c r="T519" s="1087">
        <f t="shared" si="50"/>
        <v>0</v>
      </c>
      <c r="U519" s="817"/>
      <c r="V519" s="817">
        <f>Table11[[#This Row],[CLOSING BALANCE (USD)]]-Table11[[#This Row],[CB_BS (USD)]]</f>
        <v>0</v>
      </c>
      <c r="W519" s="1156" t="str">
        <f>VLOOKUP('Cash Balance'!$C519,Table2[#All],MATCH('Cash Balance'!W$3,Acc_Char!$B$1:$I$1,0),0)</f>
        <v>Subsidiaries</v>
      </c>
      <c r="X519" s="1156" t="str">
        <f>VLOOKUP(IFERROR(MID($Y519,1,FIND("-",$Y519)-2),$Y519),Table3[#All],2,0)</f>
        <v>VTB</v>
      </c>
      <c r="Y519" s="1156" t="str">
        <f>VLOOKUP($B519,Table4[#All],2,0)</f>
        <v>VIETINBANK - BINH DUONG + QM</v>
      </c>
      <c r="Z519" s="1151"/>
      <c r="AA519" s="49"/>
    </row>
    <row r="520" spans="1:27">
      <c r="A520" s="1153" t="str">
        <f>VLOOKUP('Cash Balance'!$C520,Table2[#All],MATCH('Cash Balance'!A$3,Acc_Char!$B$1:$I$1,0),0)</f>
        <v>GREAT KINGDOM NT 2</v>
      </c>
      <c r="B520" s="1154" t="str">
        <f>VLOOKUP('Cash Balance'!$C520,Table2[#All],MATCH('Cash Balance'!B$3,Acc_Char!$B$1:$I$1,0),0)</f>
        <v>VIETINBANK - CN1</v>
      </c>
      <c r="C520" s="1190" t="s">
        <v>1133</v>
      </c>
      <c r="D520" s="1156" t="str">
        <f>VLOOKUP('Cash Balance'!$C520,Table2[#All],MATCH('Cash Balance'!D$3,Acc_Char!$B$1:$I$1,0),0)</f>
        <v>Saving Account</v>
      </c>
      <c r="E520" s="384" t="str">
        <f>VLOOKUP('Cash Balance'!$C520,Table2[#All],MATCH('Cash Balance'!E$3,Acc_Char!$B$1:$I$1,0),0)</f>
        <v>VND</v>
      </c>
      <c r="F520" s="1094" t="e">
        <f>VLOOKUP(C520,'Cash balance (BS)'!A:C,3,)</f>
        <v>#N/A</v>
      </c>
      <c r="G520" s="1157" t="e">
        <f t="shared" si="47"/>
        <v>#N/A</v>
      </c>
      <c r="H520" s="1318">
        <f>SUMIFS('Cash balance (Prior period)'!F:F,'Cash balance (Prior period)'!C:C,Table11[[#This Row],[ACCOUNT NUMBER]],'Cash balance (Prior period)'!E:E,Table11[[#This Row],[CURRENCY]])</f>
        <v>0</v>
      </c>
      <c r="I520" s="1318">
        <f>SUMIFS(Movement!$F$4:$F$2136,Movement!$M$4:$M$2136,"VND",Movement!$C$4:$C$2136,Table11[[#This Row],[ACCOUNT NUMBER]],Movement!$J$4:$J$2136,Table11[[#This Row],[ENTITY]],Movement!$O$4:$O$2136,'Cash Balance'!$A$2)</f>
        <v>0</v>
      </c>
      <c r="J520" s="1318">
        <f>SUMIFS(Movement!$G$4:$G$2136,Movement!$M$4:$M$2136,"VND",Movement!$C$4:$C$2136,Table11[[#This Row],[ACCOUNT NUMBER]],Movement!$J$4:$J$2136,Table11[[#This Row],[ENTITY]],Movement!$O$4:$O$2136,'Cash Balance'!$A$2)</f>
        <v>0</v>
      </c>
      <c r="K520" s="1084">
        <f>Table11[[#This Row],[CASH IN - CREDIT (VND)]]-Table11[[#This Row],[CASH OUT - DEBIT (VND)]]</f>
        <v>0</v>
      </c>
      <c r="L520" s="1095">
        <f t="shared" si="48"/>
        <v>0</v>
      </c>
      <c r="M520" s="1184" t="e">
        <f>VLOOKUP(C520,'Cash balance (BS)'!A:D,4,)</f>
        <v>#N/A</v>
      </c>
      <c r="N520" s="1095" t="e">
        <f>Table11[[#This Row],[CLOSING BALANCE (VND)2]]-Table11[[#This Row],[CB_BS (VND)]]</f>
        <v>#N/A</v>
      </c>
      <c r="O520" s="1094">
        <v>0</v>
      </c>
      <c r="P520" s="1095">
        <f t="shared" si="49"/>
        <v>0</v>
      </c>
      <c r="Q520" s="817">
        <f>SUMIFS('Cash balance (Prior period)'!G:G,'Cash balance (Prior period)'!C:C,Table11[[#This Row],[ACCOUNT NUMBER]],'Cash balance (Prior period)'!E:E,Table11[[#This Row],[CURRENCY]])</f>
        <v>0</v>
      </c>
      <c r="R520" s="817">
        <f>SUMIFS(Movement!$F$4:$F$2136,Movement!$M$4:$M$2136,"USD",Movement!$C$4:$C$2136,Table11[[#This Row],[ACCOUNT NUMBER]],Movement!$J$4:$J$2136,Table11[[#This Row],[ENTITY]],Movement!$O$4:$O$2136,'Cash Balance'!$A$2)</f>
        <v>0</v>
      </c>
      <c r="S520" s="817">
        <f>SUMIFS(Movement!$G$4:$G$2136,Movement!$M$4:$M$2136,"USD",Movement!$C$4:$C$2136,Table11[[#This Row],[ACCOUNT NUMBER]],Movement!$J$4:$J$2136,Table11[[#This Row],[ENTITY]],Movement!$O$4:$O$2136,'Cash Balance'!$A$2)</f>
        <v>0</v>
      </c>
      <c r="T520" s="1087">
        <f t="shared" si="50"/>
        <v>0</v>
      </c>
      <c r="U520" s="817"/>
      <c r="V520" s="817">
        <f>Table11[[#This Row],[CLOSING BALANCE (USD)]]-Table11[[#This Row],[CB_BS (USD)]]</f>
        <v>0</v>
      </c>
      <c r="W520" s="1156" t="str">
        <f>VLOOKUP('Cash Balance'!$C520,Table2[#All],MATCH('Cash Balance'!W$3,Acc_Char!$B$1:$I$1,0),0)</f>
        <v>Subsidiaries</v>
      </c>
      <c r="X520" s="1156" t="str">
        <f>VLOOKUP(IFERROR(MID($Y520,1,FIND("-",$Y520)-2),$Y520),Table3[#All],2,0)</f>
        <v>VTB</v>
      </c>
      <c r="Y520" s="1156" t="str">
        <f>VLOOKUP($B520,Table4[#All],2,0)</f>
        <v>VIETINBANK - CN1</v>
      </c>
      <c r="Z520" s="1151"/>
      <c r="AA520" s="49"/>
    </row>
    <row r="521" spans="1:27">
      <c r="A521" s="1153" t="str">
        <f>VLOOKUP('Cash Balance'!$C521,Table2[#All],MATCH('Cash Balance'!A$3,Acc_Char!$B$1:$I$1,0),0)</f>
        <v>XENIA 1</v>
      </c>
      <c r="B521" s="1154" t="str">
        <f>VLOOKUP('Cash Balance'!$C521,Table2[#All],MATCH('Cash Balance'!B$3,Acc_Char!$B$1:$I$1,0),0)</f>
        <v>VIETINBANK - TIEN SON</v>
      </c>
      <c r="C521" s="1190" t="s">
        <v>1134</v>
      </c>
      <c r="D521" s="1156" t="str">
        <f>VLOOKUP('Cash Balance'!$C521,Table2[#All],MATCH('Cash Balance'!D$3,Acc_Char!$B$1:$I$1,0),0)</f>
        <v>Saving Account</v>
      </c>
      <c r="E521" s="384" t="str">
        <f>VLOOKUP('Cash Balance'!$C521,Table2[#All],MATCH('Cash Balance'!E$3,Acc_Char!$B$1:$I$1,0),0)</f>
        <v>VND</v>
      </c>
      <c r="F521" s="1094" t="e">
        <f>VLOOKUP(C521,'Cash balance (BS)'!A:C,3,)</f>
        <v>#N/A</v>
      </c>
      <c r="G521" s="1157" t="e">
        <f t="shared" si="47"/>
        <v>#N/A</v>
      </c>
      <c r="H521" s="1318">
        <f>SUMIFS('Cash balance (Prior period)'!F:F,'Cash balance (Prior period)'!C:C,Table11[[#This Row],[ACCOUNT NUMBER]],'Cash balance (Prior period)'!E:E,Table11[[#This Row],[CURRENCY]])</f>
        <v>0</v>
      </c>
      <c r="I521" s="1318">
        <f>SUMIFS(Movement!$F$4:$F$2136,Movement!$M$4:$M$2136,"VND",Movement!$C$4:$C$2136,Table11[[#This Row],[ACCOUNT NUMBER]],Movement!$J$4:$J$2136,Table11[[#This Row],[ENTITY]],Movement!$O$4:$O$2136,'Cash Balance'!$A$2)</f>
        <v>0</v>
      </c>
      <c r="J521" s="1318">
        <f>SUMIFS(Movement!$G$4:$G$2136,Movement!$M$4:$M$2136,"VND",Movement!$C$4:$C$2136,Table11[[#This Row],[ACCOUNT NUMBER]],Movement!$J$4:$J$2136,Table11[[#This Row],[ENTITY]],Movement!$O$4:$O$2136,'Cash Balance'!$A$2)</f>
        <v>0</v>
      </c>
      <c r="K521" s="1084">
        <f>Table11[[#This Row],[CASH IN - CREDIT (VND)]]-Table11[[#This Row],[CASH OUT - DEBIT (VND)]]</f>
        <v>0</v>
      </c>
      <c r="L521" s="1095">
        <f t="shared" si="48"/>
        <v>0</v>
      </c>
      <c r="M521" s="1184" t="e">
        <f>VLOOKUP(C521,'Cash balance (BS)'!A:D,4,)</f>
        <v>#N/A</v>
      </c>
      <c r="N521" s="1095" t="e">
        <f>Table11[[#This Row],[CLOSING BALANCE (VND)2]]-Table11[[#This Row],[CB_BS (VND)]]</f>
        <v>#N/A</v>
      </c>
      <c r="O521" s="1094">
        <v>0</v>
      </c>
      <c r="P521" s="1095">
        <f t="shared" si="49"/>
        <v>0</v>
      </c>
      <c r="Q521" s="817">
        <f>SUMIFS('Cash balance (Prior period)'!G:G,'Cash balance (Prior period)'!C:C,Table11[[#This Row],[ACCOUNT NUMBER]],'Cash balance (Prior period)'!E:E,Table11[[#This Row],[CURRENCY]])</f>
        <v>0</v>
      </c>
      <c r="R521" s="817">
        <f>SUMIFS(Movement!$F$4:$F$2136,Movement!$M$4:$M$2136,"USD",Movement!$C$4:$C$2136,Table11[[#This Row],[ACCOUNT NUMBER]],Movement!$J$4:$J$2136,Table11[[#This Row],[ENTITY]],Movement!$O$4:$O$2136,'Cash Balance'!$A$2)</f>
        <v>0</v>
      </c>
      <c r="S521" s="817">
        <f>SUMIFS(Movement!$G$4:$G$2136,Movement!$M$4:$M$2136,"USD",Movement!$C$4:$C$2136,Table11[[#This Row],[ACCOUNT NUMBER]],Movement!$J$4:$J$2136,Table11[[#This Row],[ENTITY]],Movement!$O$4:$O$2136,'Cash Balance'!$A$2)</f>
        <v>0</v>
      </c>
      <c r="T521" s="1087">
        <f t="shared" si="50"/>
        <v>0</v>
      </c>
      <c r="U521" s="817"/>
      <c r="V521" s="817">
        <f>Table11[[#This Row],[CLOSING BALANCE (USD)]]-Table11[[#This Row],[CB_BS (USD)]]</f>
        <v>0</v>
      </c>
      <c r="W521" s="1156" t="str">
        <f>VLOOKUP('Cash Balance'!$C521,Table2[#All],MATCH('Cash Balance'!W$3,Acc_Char!$B$1:$I$1,0),0)</f>
        <v>Subsidiaries</v>
      </c>
      <c r="X521" s="1156" t="str">
        <f>VLOOKUP(IFERROR(MID($Y521,1,FIND("-",$Y521)-2),$Y521),Table3[#All],2,0)</f>
        <v>VTB</v>
      </c>
      <c r="Y521" s="1156" t="str">
        <f>VLOOKUP($B521,Table4[#All],2,0)</f>
        <v>VIETINBANK - TIEN SON</v>
      </c>
      <c r="Z521" s="1151"/>
      <c r="AA521" s="49"/>
    </row>
    <row r="522" spans="1:27">
      <c r="A522" s="1153" t="str">
        <f>VLOOKUP('Cash Balance'!$C522,Table2[#All],MATCH('Cash Balance'!A$3,Acc_Char!$B$1:$I$1,0),0)</f>
        <v>XENIA 1</v>
      </c>
      <c r="B522" s="1154" t="str">
        <f>VLOOKUP('Cash Balance'!$C522,Table2[#All],MATCH('Cash Balance'!B$3,Acc_Char!$B$1:$I$1,0),0)</f>
        <v>VIETINBANK - TIEN SON</v>
      </c>
      <c r="C522" s="1190" t="s">
        <v>1135</v>
      </c>
      <c r="D522" s="1156" t="str">
        <f>VLOOKUP('Cash Balance'!$C522,Table2[#All],MATCH('Cash Balance'!D$3,Acc_Char!$B$1:$I$1,0),0)</f>
        <v>Saving Account</v>
      </c>
      <c r="E522" s="384" t="str">
        <f>VLOOKUP('Cash Balance'!$C522,Table2[#All],MATCH('Cash Balance'!E$3,Acc_Char!$B$1:$I$1,0),0)</f>
        <v>VND</v>
      </c>
      <c r="F522" s="1094" t="e">
        <f>VLOOKUP(C522,'Cash balance (BS)'!A:C,3,)</f>
        <v>#N/A</v>
      </c>
      <c r="G522" s="1157" t="e">
        <f t="shared" si="47"/>
        <v>#N/A</v>
      </c>
      <c r="H522" s="1318">
        <f>SUMIFS('Cash balance (Prior period)'!F:F,'Cash balance (Prior period)'!C:C,Table11[[#This Row],[ACCOUNT NUMBER]],'Cash balance (Prior period)'!E:E,Table11[[#This Row],[CURRENCY]])</f>
        <v>0</v>
      </c>
      <c r="I522" s="1318">
        <f>SUMIFS(Movement!$F$4:$F$2136,Movement!$M$4:$M$2136,"VND",Movement!$C$4:$C$2136,Table11[[#This Row],[ACCOUNT NUMBER]],Movement!$J$4:$J$2136,Table11[[#This Row],[ENTITY]],Movement!$O$4:$O$2136,'Cash Balance'!$A$2)</f>
        <v>0</v>
      </c>
      <c r="J522" s="1318">
        <f>SUMIFS(Movement!$G$4:$G$2136,Movement!$M$4:$M$2136,"VND",Movement!$C$4:$C$2136,Table11[[#This Row],[ACCOUNT NUMBER]],Movement!$J$4:$J$2136,Table11[[#This Row],[ENTITY]],Movement!$O$4:$O$2136,'Cash Balance'!$A$2)</f>
        <v>0</v>
      </c>
      <c r="K522" s="1084">
        <f>Table11[[#This Row],[CASH IN - CREDIT (VND)]]-Table11[[#This Row],[CASH OUT - DEBIT (VND)]]</f>
        <v>0</v>
      </c>
      <c r="L522" s="1095">
        <f t="shared" si="48"/>
        <v>0</v>
      </c>
      <c r="M522" s="1184" t="e">
        <f>VLOOKUP(C522,'Cash balance (BS)'!A:D,4,)</f>
        <v>#N/A</v>
      </c>
      <c r="N522" s="1095" t="e">
        <f>Table11[[#This Row],[CLOSING BALANCE (VND)2]]-Table11[[#This Row],[CB_BS (VND)]]</f>
        <v>#N/A</v>
      </c>
      <c r="O522" s="1094">
        <v>0</v>
      </c>
      <c r="P522" s="1095">
        <f t="shared" si="49"/>
        <v>0</v>
      </c>
      <c r="Q522" s="817">
        <f>SUMIFS('Cash balance (Prior period)'!G:G,'Cash balance (Prior period)'!C:C,Table11[[#This Row],[ACCOUNT NUMBER]],'Cash balance (Prior period)'!E:E,Table11[[#This Row],[CURRENCY]])</f>
        <v>0</v>
      </c>
      <c r="R522" s="817">
        <f>SUMIFS(Movement!$F$4:$F$2136,Movement!$M$4:$M$2136,"USD",Movement!$C$4:$C$2136,Table11[[#This Row],[ACCOUNT NUMBER]],Movement!$J$4:$J$2136,Table11[[#This Row],[ENTITY]],Movement!$O$4:$O$2136,'Cash Balance'!$A$2)</f>
        <v>0</v>
      </c>
      <c r="S522" s="817">
        <f>SUMIFS(Movement!$G$4:$G$2136,Movement!$M$4:$M$2136,"USD",Movement!$C$4:$C$2136,Table11[[#This Row],[ACCOUNT NUMBER]],Movement!$J$4:$J$2136,Table11[[#This Row],[ENTITY]],Movement!$O$4:$O$2136,'Cash Balance'!$A$2)</f>
        <v>0</v>
      </c>
      <c r="T522" s="1087">
        <f t="shared" si="50"/>
        <v>0</v>
      </c>
      <c r="U522" s="817"/>
      <c r="V522" s="817">
        <f>Table11[[#This Row],[CLOSING BALANCE (USD)]]-Table11[[#This Row],[CB_BS (USD)]]</f>
        <v>0</v>
      </c>
      <c r="W522" s="1156" t="str">
        <f>VLOOKUP('Cash Balance'!$C522,Table2[#All],MATCH('Cash Balance'!W$3,Acc_Char!$B$1:$I$1,0),0)</f>
        <v>Subsidiaries</v>
      </c>
      <c r="X522" s="1156" t="str">
        <f>VLOOKUP(IFERROR(MID($Y522,1,FIND("-",$Y522)-2),$Y522),Table3[#All],2,0)</f>
        <v>VTB</v>
      </c>
      <c r="Y522" s="1156" t="str">
        <f>VLOOKUP($B522,Table4[#All],2,0)</f>
        <v>VIETINBANK - TIEN SON</v>
      </c>
      <c r="Z522" s="1151"/>
      <c r="AA522" s="49"/>
    </row>
    <row r="523" spans="1:27">
      <c r="A523" s="1153" t="str">
        <f>VLOOKUP('Cash Balance'!$C523,Table2[#All],MATCH('Cash Balance'!A$3,Acc_Char!$B$1:$I$1,0),0)</f>
        <v>XENIA 1</v>
      </c>
      <c r="B523" s="1154" t="str">
        <f>VLOOKUP('Cash Balance'!$C523,Table2[#All],MATCH('Cash Balance'!B$3,Acc_Char!$B$1:$I$1,0),0)</f>
        <v>VIETINBANK - TIEN SON</v>
      </c>
      <c r="C523" s="1190" t="s">
        <v>1136</v>
      </c>
      <c r="D523" s="1156" t="str">
        <f>VLOOKUP('Cash Balance'!$C523,Table2[#All],MATCH('Cash Balance'!D$3,Acc_Char!$B$1:$I$1,0),0)</f>
        <v>Saving Account</v>
      </c>
      <c r="E523" s="384" t="str">
        <f>VLOOKUP('Cash Balance'!$C523,Table2[#All],MATCH('Cash Balance'!E$3,Acc_Char!$B$1:$I$1,0),0)</f>
        <v>VND</v>
      </c>
      <c r="F523" s="1094" t="e">
        <f>VLOOKUP(C523,'Cash balance (BS)'!A:C,3,)</f>
        <v>#N/A</v>
      </c>
      <c r="G523" s="1157" t="e">
        <f t="shared" si="47"/>
        <v>#N/A</v>
      </c>
      <c r="H523" s="1318">
        <f>SUMIFS('Cash balance (Prior period)'!F:F,'Cash balance (Prior period)'!C:C,Table11[[#This Row],[ACCOUNT NUMBER]],'Cash balance (Prior period)'!E:E,Table11[[#This Row],[CURRENCY]])</f>
        <v>0</v>
      </c>
      <c r="I523" s="1318">
        <f>SUMIFS(Movement!$F$4:$F$2136,Movement!$M$4:$M$2136,"VND",Movement!$C$4:$C$2136,Table11[[#This Row],[ACCOUNT NUMBER]],Movement!$J$4:$J$2136,Table11[[#This Row],[ENTITY]],Movement!$O$4:$O$2136,'Cash Balance'!$A$2)</f>
        <v>0</v>
      </c>
      <c r="J523" s="1318">
        <f>SUMIFS(Movement!$G$4:$G$2136,Movement!$M$4:$M$2136,"VND",Movement!$C$4:$C$2136,Table11[[#This Row],[ACCOUNT NUMBER]],Movement!$J$4:$J$2136,Table11[[#This Row],[ENTITY]],Movement!$O$4:$O$2136,'Cash Balance'!$A$2)</f>
        <v>0</v>
      </c>
      <c r="K523" s="1084">
        <f>Table11[[#This Row],[CASH IN - CREDIT (VND)]]-Table11[[#This Row],[CASH OUT - DEBIT (VND)]]</f>
        <v>0</v>
      </c>
      <c r="L523" s="1095">
        <f t="shared" si="48"/>
        <v>0</v>
      </c>
      <c r="M523" s="1184" t="e">
        <f>VLOOKUP(C523,'Cash balance (BS)'!A:D,4,)</f>
        <v>#N/A</v>
      </c>
      <c r="N523" s="1095" t="e">
        <f>Table11[[#This Row],[CLOSING BALANCE (VND)2]]-Table11[[#This Row],[CB_BS (VND)]]</f>
        <v>#N/A</v>
      </c>
      <c r="O523" s="1094">
        <v>0</v>
      </c>
      <c r="P523" s="1095">
        <f t="shared" si="49"/>
        <v>0</v>
      </c>
      <c r="Q523" s="817">
        <f>SUMIFS('Cash balance (Prior period)'!G:G,'Cash balance (Prior period)'!C:C,Table11[[#This Row],[ACCOUNT NUMBER]],'Cash balance (Prior period)'!E:E,Table11[[#This Row],[CURRENCY]])</f>
        <v>0</v>
      </c>
      <c r="R523" s="817">
        <f>SUMIFS(Movement!$F$4:$F$2136,Movement!$M$4:$M$2136,"USD",Movement!$C$4:$C$2136,Table11[[#This Row],[ACCOUNT NUMBER]],Movement!$J$4:$J$2136,Table11[[#This Row],[ENTITY]],Movement!$O$4:$O$2136,'Cash Balance'!$A$2)</f>
        <v>0</v>
      </c>
      <c r="S523" s="817">
        <f>SUMIFS(Movement!$G$4:$G$2136,Movement!$M$4:$M$2136,"USD",Movement!$C$4:$C$2136,Table11[[#This Row],[ACCOUNT NUMBER]],Movement!$J$4:$J$2136,Table11[[#This Row],[ENTITY]],Movement!$O$4:$O$2136,'Cash Balance'!$A$2)</f>
        <v>0</v>
      </c>
      <c r="T523" s="1087">
        <f t="shared" si="50"/>
        <v>0</v>
      </c>
      <c r="U523" s="817"/>
      <c r="V523" s="817">
        <f>Table11[[#This Row],[CLOSING BALANCE (USD)]]-Table11[[#This Row],[CB_BS (USD)]]</f>
        <v>0</v>
      </c>
      <c r="W523" s="1156" t="str">
        <f>VLOOKUP('Cash Balance'!$C523,Table2[#All],MATCH('Cash Balance'!W$3,Acc_Char!$B$1:$I$1,0),0)</f>
        <v>Subsidiaries</v>
      </c>
      <c r="X523" s="1156" t="str">
        <f>VLOOKUP(IFERROR(MID($Y523,1,FIND("-",$Y523)-2),$Y523),Table3[#All],2,0)</f>
        <v>VTB</v>
      </c>
      <c r="Y523" s="1156" t="str">
        <f>VLOOKUP($B523,Table4[#All],2,0)</f>
        <v>VIETINBANK - TIEN SON</v>
      </c>
      <c r="Z523" s="1151"/>
      <c r="AA523" s="49"/>
    </row>
    <row r="524" spans="1:27">
      <c r="A524" s="1153" t="str">
        <f>VLOOKUP('Cash Balance'!$C524,Table2[#All],MATCH('Cash Balance'!A$3,Acc_Char!$B$1:$I$1,0),0)</f>
        <v>WINLOCK 2A</v>
      </c>
      <c r="B524" s="1154" t="str">
        <f>VLOOKUP('Cash Balance'!$C524,Table2[#All],MATCH('Cash Balance'!B$3,Acc_Char!$B$1:$I$1,0),0)</f>
        <v>VIETINBANK - TIEN SON</v>
      </c>
      <c r="C524" s="1190" t="s">
        <v>1137</v>
      </c>
      <c r="D524" s="1156" t="str">
        <f>VLOOKUP('Cash Balance'!$C524,Table2[#All],MATCH('Cash Balance'!D$3,Acc_Char!$B$1:$I$1,0),0)</f>
        <v>Saving Account</v>
      </c>
      <c r="E524" s="384" t="str">
        <f>VLOOKUP('Cash Balance'!$C524,Table2[#All],MATCH('Cash Balance'!E$3,Acc_Char!$B$1:$I$1,0),0)</f>
        <v>VND</v>
      </c>
      <c r="F524" s="1094" t="e">
        <f>VLOOKUP(C524,'Cash balance (BS)'!A:C,3,)</f>
        <v>#N/A</v>
      </c>
      <c r="G524" s="1157" t="e">
        <f t="shared" si="47"/>
        <v>#N/A</v>
      </c>
      <c r="H524" s="1318">
        <f>SUMIFS('Cash balance (Prior period)'!F:F,'Cash balance (Prior period)'!C:C,Table11[[#This Row],[ACCOUNT NUMBER]],'Cash balance (Prior period)'!E:E,Table11[[#This Row],[CURRENCY]])</f>
        <v>0</v>
      </c>
      <c r="I524" s="1318">
        <f>SUMIFS(Movement!$F$4:$F$2136,Movement!$M$4:$M$2136,"VND",Movement!$C$4:$C$2136,Table11[[#This Row],[ACCOUNT NUMBER]],Movement!$J$4:$J$2136,Table11[[#This Row],[ENTITY]],Movement!$O$4:$O$2136,'Cash Balance'!$A$2)</f>
        <v>0</v>
      </c>
      <c r="J524" s="1318">
        <f>SUMIFS(Movement!$G$4:$G$2136,Movement!$M$4:$M$2136,"VND",Movement!$C$4:$C$2136,Table11[[#This Row],[ACCOUNT NUMBER]],Movement!$J$4:$J$2136,Table11[[#This Row],[ENTITY]],Movement!$O$4:$O$2136,'Cash Balance'!$A$2)</f>
        <v>0</v>
      </c>
      <c r="K524" s="1084">
        <f>Table11[[#This Row],[CASH IN - CREDIT (VND)]]-Table11[[#This Row],[CASH OUT - DEBIT (VND)]]</f>
        <v>0</v>
      </c>
      <c r="L524" s="1095">
        <f t="shared" si="48"/>
        <v>0</v>
      </c>
      <c r="M524" s="1184" t="e">
        <f>VLOOKUP(C524,'Cash balance (BS)'!A:D,4,)</f>
        <v>#N/A</v>
      </c>
      <c r="N524" s="1095" t="e">
        <f>Table11[[#This Row],[CLOSING BALANCE (VND)2]]-Table11[[#This Row],[CB_BS (VND)]]</f>
        <v>#N/A</v>
      </c>
      <c r="O524" s="1094">
        <v>0</v>
      </c>
      <c r="P524" s="1095">
        <f t="shared" si="49"/>
        <v>0</v>
      </c>
      <c r="Q524" s="817">
        <f>SUMIFS('Cash balance (Prior period)'!G:G,'Cash balance (Prior period)'!C:C,Table11[[#This Row],[ACCOUNT NUMBER]],'Cash balance (Prior period)'!E:E,Table11[[#This Row],[CURRENCY]])</f>
        <v>0</v>
      </c>
      <c r="R524" s="817">
        <f>SUMIFS(Movement!$F$4:$F$2136,Movement!$M$4:$M$2136,"USD",Movement!$C$4:$C$2136,Table11[[#This Row],[ACCOUNT NUMBER]],Movement!$J$4:$J$2136,Table11[[#This Row],[ENTITY]],Movement!$O$4:$O$2136,'Cash Balance'!$A$2)</f>
        <v>0</v>
      </c>
      <c r="S524" s="817">
        <f>SUMIFS(Movement!$G$4:$G$2136,Movement!$M$4:$M$2136,"USD",Movement!$C$4:$C$2136,Table11[[#This Row],[ACCOUNT NUMBER]],Movement!$J$4:$J$2136,Table11[[#This Row],[ENTITY]],Movement!$O$4:$O$2136,'Cash Balance'!$A$2)</f>
        <v>0</v>
      </c>
      <c r="T524" s="1087">
        <f t="shared" si="50"/>
        <v>0</v>
      </c>
      <c r="U524" s="817"/>
      <c r="V524" s="817">
        <f>Table11[[#This Row],[CLOSING BALANCE (USD)]]-Table11[[#This Row],[CB_BS (USD)]]</f>
        <v>0</v>
      </c>
      <c r="W524" s="1156" t="str">
        <f>VLOOKUP('Cash Balance'!$C524,Table2[#All],MATCH('Cash Balance'!W$3,Acc_Char!$B$1:$I$1,0),0)</f>
        <v>Subsidiaries</v>
      </c>
      <c r="X524" s="1156" t="str">
        <f>VLOOKUP(IFERROR(MID($Y524,1,FIND("-",$Y524)-2),$Y524),Table3[#All],2,0)</f>
        <v>VTB</v>
      </c>
      <c r="Y524" s="1156" t="str">
        <f>VLOOKUP($B524,Table4[#All],2,0)</f>
        <v>VIETINBANK - TIEN SON</v>
      </c>
      <c r="Z524" s="1151"/>
      <c r="AA524" s="49"/>
    </row>
    <row r="525" spans="1:27">
      <c r="A525" s="1153" t="str">
        <f>VLOOKUP('Cash Balance'!$C525,Table2[#All],MATCH('Cash Balance'!A$3,Acc_Char!$B$1:$I$1,0),0)</f>
        <v>WINLOCK 2A</v>
      </c>
      <c r="B525" s="1154" t="str">
        <f>VLOOKUP('Cash Balance'!$C525,Table2[#All],MATCH('Cash Balance'!B$3,Acc_Char!$B$1:$I$1,0),0)</f>
        <v>VIETINBANK - TIEN SON</v>
      </c>
      <c r="C525" s="1190" t="s">
        <v>1138</v>
      </c>
      <c r="D525" s="1156" t="str">
        <f>VLOOKUP('Cash Balance'!$C525,Table2[#All],MATCH('Cash Balance'!D$3,Acc_Char!$B$1:$I$1,0),0)</f>
        <v>Saving Account</v>
      </c>
      <c r="E525" s="384" t="str">
        <f>VLOOKUP('Cash Balance'!$C525,Table2[#All],MATCH('Cash Balance'!E$3,Acc_Char!$B$1:$I$1,0),0)</f>
        <v>VND</v>
      </c>
      <c r="F525" s="1094" t="e">
        <f>VLOOKUP(C525,'Cash balance (BS)'!A:C,3,)</f>
        <v>#N/A</v>
      </c>
      <c r="G525" s="1157" t="e">
        <f t="shared" si="47"/>
        <v>#N/A</v>
      </c>
      <c r="H525" s="1318">
        <f>SUMIFS('Cash balance (Prior period)'!F:F,'Cash balance (Prior period)'!C:C,Table11[[#This Row],[ACCOUNT NUMBER]],'Cash balance (Prior period)'!E:E,Table11[[#This Row],[CURRENCY]])</f>
        <v>0</v>
      </c>
      <c r="I525" s="1318">
        <f>SUMIFS(Movement!$F$4:$F$2136,Movement!$M$4:$M$2136,"VND",Movement!$C$4:$C$2136,Table11[[#This Row],[ACCOUNT NUMBER]],Movement!$J$4:$J$2136,Table11[[#This Row],[ENTITY]],Movement!$O$4:$O$2136,'Cash Balance'!$A$2)</f>
        <v>0</v>
      </c>
      <c r="J525" s="1318">
        <f>SUMIFS(Movement!$G$4:$G$2136,Movement!$M$4:$M$2136,"VND",Movement!$C$4:$C$2136,Table11[[#This Row],[ACCOUNT NUMBER]],Movement!$J$4:$J$2136,Table11[[#This Row],[ENTITY]],Movement!$O$4:$O$2136,'Cash Balance'!$A$2)</f>
        <v>0</v>
      </c>
      <c r="K525" s="1084">
        <f>Table11[[#This Row],[CASH IN - CREDIT (VND)]]-Table11[[#This Row],[CASH OUT - DEBIT (VND)]]</f>
        <v>0</v>
      </c>
      <c r="L525" s="1095">
        <f t="shared" si="48"/>
        <v>0</v>
      </c>
      <c r="M525" s="1184" t="e">
        <f>VLOOKUP(C525,'Cash balance (BS)'!A:D,4,)</f>
        <v>#N/A</v>
      </c>
      <c r="N525" s="1095" t="e">
        <f>Table11[[#This Row],[CLOSING BALANCE (VND)2]]-Table11[[#This Row],[CB_BS (VND)]]</f>
        <v>#N/A</v>
      </c>
      <c r="O525" s="1094">
        <v>0</v>
      </c>
      <c r="P525" s="1095">
        <f t="shared" si="49"/>
        <v>0</v>
      </c>
      <c r="Q525" s="817">
        <f>SUMIFS('Cash balance (Prior period)'!G:G,'Cash balance (Prior period)'!C:C,Table11[[#This Row],[ACCOUNT NUMBER]],'Cash balance (Prior period)'!E:E,Table11[[#This Row],[CURRENCY]])</f>
        <v>0</v>
      </c>
      <c r="R525" s="817">
        <f>SUMIFS(Movement!$F$4:$F$2136,Movement!$M$4:$M$2136,"USD",Movement!$C$4:$C$2136,Table11[[#This Row],[ACCOUNT NUMBER]],Movement!$J$4:$J$2136,Table11[[#This Row],[ENTITY]],Movement!$O$4:$O$2136,'Cash Balance'!$A$2)</f>
        <v>0</v>
      </c>
      <c r="S525" s="817">
        <f>SUMIFS(Movement!$G$4:$G$2136,Movement!$M$4:$M$2136,"USD",Movement!$C$4:$C$2136,Table11[[#This Row],[ACCOUNT NUMBER]],Movement!$J$4:$J$2136,Table11[[#This Row],[ENTITY]],Movement!$O$4:$O$2136,'Cash Balance'!$A$2)</f>
        <v>0</v>
      </c>
      <c r="T525" s="1087">
        <f t="shared" si="50"/>
        <v>0</v>
      </c>
      <c r="U525" s="817"/>
      <c r="V525" s="817">
        <f>Table11[[#This Row],[CLOSING BALANCE (USD)]]-Table11[[#This Row],[CB_BS (USD)]]</f>
        <v>0</v>
      </c>
      <c r="W525" s="1156" t="str">
        <f>VLOOKUP('Cash Balance'!$C525,Table2[#All],MATCH('Cash Balance'!W$3,Acc_Char!$B$1:$I$1,0),0)</f>
        <v>Subsidiaries</v>
      </c>
      <c r="X525" s="1156" t="str">
        <f>VLOOKUP(IFERROR(MID($Y525,1,FIND("-",$Y525)-2),$Y525),Table3[#All],2,0)</f>
        <v>VTB</v>
      </c>
      <c r="Y525" s="1156" t="str">
        <f>VLOOKUP($B525,Table4[#All],2,0)</f>
        <v>VIETINBANK - TIEN SON</v>
      </c>
      <c r="Z525" s="1151"/>
      <c r="AA525" s="49"/>
    </row>
    <row r="526" spans="1:27">
      <c r="A526" s="1153" t="str">
        <f>VLOOKUP('Cash Balance'!$C526,Table2[#All],MATCH('Cash Balance'!A$3,Acc_Char!$B$1:$I$1,0),0)</f>
        <v>XENIA 2</v>
      </c>
      <c r="B526" s="1154" t="str">
        <f>VLOOKUP('Cash Balance'!$C526,Table2[#All],MATCH('Cash Balance'!B$3,Acc_Char!$B$1:$I$1,0),0)</f>
        <v>VIETINBANK - TIEN SON</v>
      </c>
      <c r="C526" s="1190" t="s">
        <v>1139</v>
      </c>
      <c r="D526" s="1156" t="str">
        <f>VLOOKUP('Cash Balance'!$C526,Table2[#All],MATCH('Cash Balance'!D$3,Acc_Char!$B$1:$I$1,0),0)</f>
        <v>Saving Account</v>
      </c>
      <c r="E526" s="384" t="str">
        <f>VLOOKUP('Cash Balance'!$C526,Table2[#All],MATCH('Cash Balance'!E$3,Acc_Char!$B$1:$I$1,0),0)</f>
        <v>VND</v>
      </c>
      <c r="F526" s="1094" t="e">
        <f>VLOOKUP(C526,'Cash balance (BS)'!A:C,3,)</f>
        <v>#N/A</v>
      </c>
      <c r="G526" s="1157" t="e">
        <f t="shared" si="47"/>
        <v>#N/A</v>
      </c>
      <c r="H526" s="1318">
        <f>SUMIFS('Cash balance (Prior period)'!F:F,'Cash balance (Prior period)'!C:C,Table11[[#This Row],[ACCOUNT NUMBER]],'Cash balance (Prior period)'!E:E,Table11[[#This Row],[CURRENCY]])</f>
        <v>3000000000</v>
      </c>
      <c r="I526" s="1318">
        <f>SUMIFS(Movement!$F$4:$F$2136,Movement!$M$4:$M$2136,"VND",Movement!$C$4:$C$2136,Table11[[#This Row],[ACCOUNT NUMBER]],Movement!$J$4:$J$2136,Table11[[#This Row],[ENTITY]],Movement!$O$4:$O$2136,'Cash Balance'!$A$2)</f>
        <v>0</v>
      </c>
      <c r="J526" s="1318">
        <f>SUMIFS(Movement!$G$4:$G$2136,Movement!$M$4:$M$2136,"VND",Movement!$C$4:$C$2136,Table11[[#This Row],[ACCOUNT NUMBER]],Movement!$J$4:$J$2136,Table11[[#This Row],[ENTITY]],Movement!$O$4:$O$2136,'Cash Balance'!$A$2)</f>
        <v>0</v>
      </c>
      <c r="K526" s="1084">
        <f>Table11[[#This Row],[CASH IN - CREDIT (VND)]]-Table11[[#This Row],[CASH OUT - DEBIT (VND)]]</f>
        <v>0</v>
      </c>
      <c r="L526" s="1095">
        <f t="shared" si="48"/>
        <v>3000000000</v>
      </c>
      <c r="M526" s="1184" t="e">
        <f>VLOOKUP(C526,'Cash balance (BS)'!A:D,4,)</f>
        <v>#N/A</v>
      </c>
      <c r="N526" s="1095" t="e">
        <f>Table11[[#This Row],[CLOSING BALANCE (VND)2]]-Table11[[#This Row],[CB_BS (VND)]]</f>
        <v>#N/A</v>
      </c>
      <c r="O526" s="1094">
        <v>0</v>
      </c>
      <c r="P526" s="1095">
        <f t="shared" si="49"/>
        <v>0</v>
      </c>
      <c r="Q526" s="817">
        <f>SUMIFS('Cash balance (Prior period)'!G:G,'Cash balance (Prior period)'!C:C,Table11[[#This Row],[ACCOUNT NUMBER]],'Cash balance (Prior period)'!E:E,Table11[[#This Row],[CURRENCY]])</f>
        <v>0</v>
      </c>
      <c r="R526" s="817">
        <f>SUMIFS(Movement!$F$4:$F$2136,Movement!$M$4:$M$2136,"USD",Movement!$C$4:$C$2136,Table11[[#This Row],[ACCOUNT NUMBER]],Movement!$J$4:$J$2136,Table11[[#This Row],[ENTITY]],Movement!$O$4:$O$2136,'Cash Balance'!$A$2)</f>
        <v>0</v>
      </c>
      <c r="S526" s="817">
        <f>SUMIFS(Movement!$G$4:$G$2136,Movement!$M$4:$M$2136,"USD",Movement!$C$4:$C$2136,Table11[[#This Row],[ACCOUNT NUMBER]],Movement!$J$4:$J$2136,Table11[[#This Row],[ENTITY]],Movement!$O$4:$O$2136,'Cash Balance'!$A$2)</f>
        <v>0</v>
      </c>
      <c r="T526" s="1087">
        <f t="shared" si="50"/>
        <v>0</v>
      </c>
      <c r="U526" s="817"/>
      <c r="V526" s="817">
        <f>Table11[[#This Row],[CLOSING BALANCE (USD)]]-Table11[[#This Row],[CB_BS (USD)]]</f>
        <v>0</v>
      </c>
      <c r="W526" s="1156" t="str">
        <f>VLOOKUP('Cash Balance'!$C526,Table2[#All],MATCH('Cash Balance'!W$3,Acc_Char!$B$1:$I$1,0),0)</f>
        <v>Subsidiaries</v>
      </c>
      <c r="X526" s="1156" t="str">
        <f>VLOOKUP(IFERROR(MID($Y526,1,FIND("-",$Y526)-2),$Y526),Table3[#All],2,0)</f>
        <v>VTB</v>
      </c>
      <c r="Y526" s="1156" t="str">
        <f>VLOOKUP($B526,Table4[#All],2,0)</f>
        <v>VIETINBANK - TIEN SON</v>
      </c>
      <c r="Z526" s="1151"/>
      <c r="AA526" s="49"/>
    </row>
    <row r="527" spans="1:27">
      <c r="A527" s="1153" t="str">
        <f>VLOOKUP('Cash Balance'!$C527,Table2[#All],MATCH('Cash Balance'!A$3,Acc_Char!$B$1:$I$1,0),0)</f>
        <v>XENIA 2</v>
      </c>
      <c r="B527" s="1154" t="str">
        <f>VLOOKUP('Cash Balance'!$C527,Table2[#All],MATCH('Cash Balance'!B$3,Acc_Char!$B$1:$I$1,0),0)</f>
        <v>VIETINBANK - TIEN SON</v>
      </c>
      <c r="C527" s="1190" t="s">
        <v>1140</v>
      </c>
      <c r="D527" s="1156" t="str">
        <f>VLOOKUP('Cash Balance'!$C527,Table2[#All],MATCH('Cash Balance'!D$3,Acc_Char!$B$1:$I$1,0),0)</f>
        <v>Saving Account</v>
      </c>
      <c r="E527" s="384" t="str">
        <f>VLOOKUP('Cash Balance'!$C527,Table2[#All],MATCH('Cash Balance'!E$3,Acc_Char!$B$1:$I$1,0),0)</f>
        <v>VND</v>
      </c>
      <c r="F527" s="1094" t="e">
        <f>VLOOKUP(C527,'Cash balance (BS)'!A:C,3,)</f>
        <v>#N/A</v>
      </c>
      <c r="G527" s="1157" t="e">
        <f t="shared" si="47"/>
        <v>#N/A</v>
      </c>
      <c r="H527" s="1318">
        <f>SUMIFS('Cash balance (Prior period)'!F:F,'Cash balance (Prior period)'!C:C,Table11[[#This Row],[ACCOUNT NUMBER]],'Cash balance (Prior period)'!E:E,Table11[[#This Row],[CURRENCY]])</f>
        <v>2500000000</v>
      </c>
      <c r="I527" s="1318">
        <f>SUMIFS(Movement!$F$4:$F$2136,Movement!$M$4:$M$2136,"VND",Movement!$C$4:$C$2136,Table11[[#This Row],[ACCOUNT NUMBER]],Movement!$J$4:$J$2136,Table11[[#This Row],[ENTITY]],Movement!$O$4:$O$2136,'Cash Balance'!$A$2)</f>
        <v>0</v>
      </c>
      <c r="J527" s="1318">
        <f>SUMIFS(Movement!$G$4:$G$2136,Movement!$M$4:$M$2136,"VND",Movement!$C$4:$C$2136,Table11[[#This Row],[ACCOUNT NUMBER]],Movement!$J$4:$J$2136,Table11[[#This Row],[ENTITY]],Movement!$O$4:$O$2136,'Cash Balance'!$A$2)</f>
        <v>0</v>
      </c>
      <c r="K527" s="1084">
        <f>Table11[[#This Row],[CASH IN - CREDIT (VND)]]-Table11[[#This Row],[CASH OUT - DEBIT (VND)]]</f>
        <v>0</v>
      </c>
      <c r="L527" s="1095">
        <f t="shared" si="48"/>
        <v>2500000000</v>
      </c>
      <c r="M527" s="1184" t="e">
        <f>VLOOKUP(C527,'Cash balance (BS)'!A:D,4,)</f>
        <v>#N/A</v>
      </c>
      <c r="N527" s="1095" t="e">
        <f>Table11[[#This Row],[CLOSING BALANCE (VND)2]]-Table11[[#This Row],[CB_BS (VND)]]</f>
        <v>#N/A</v>
      </c>
      <c r="O527" s="1094">
        <v>0</v>
      </c>
      <c r="P527" s="1095">
        <f t="shared" si="49"/>
        <v>0</v>
      </c>
      <c r="Q527" s="817">
        <f>SUMIFS('Cash balance (Prior period)'!G:G,'Cash balance (Prior period)'!C:C,Table11[[#This Row],[ACCOUNT NUMBER]],'Cash balance (Prior period)'!E:E,Table11[[#This Row],[CURRENCY]])</f>
        <v>0</v>
      </c>
      <c r="R527" s="817">
        <f>SUMIFS(Movement!$F$4:$F$2136,Movement!$M$4:$M$2136,"USD",Movement!$C$4:$C$2136,Table11[[#This Row],[ACCOUNT NUMBER]],Movement!$J$4:$J$2136,Table11[[#This Row],[ENTITY]],Movement!$O$4:$O$2136,'Cash Balance'!$A$2)</f>
        <v>0</v>
      </c>
      <c r="S527" s="817">
        <f>SUMIFS(Movement!$G$4:$G$2136,Movement!$M$4:$M$2136,"USD",Movement!$C$4:$C$2136,Table11[[#This Row],[ACCOUNT NUMBER]],Movement!$J$4:$J$2136,Table11[[#This Row],[ENTITY]],Movement!$O$4:$O$2136,'Cash Balance'!$A$2)</f>
        <v>0</v>
      </c>
      <c r="T527" s="1087">
        <f t="shared" si="50"/>
        <v>0</v>
      </c>
      <c r="U527" s="817"/>
      <c r="V527" s="817">
        <f>Table11[[#This Row],[CLOSING BALANCE (USD)]]-Table11[[#This Row],[CB_BS (USD)]]</f>
        <v>0</v>
      </c>
      <c r="W527" s="1156" t="str">
        <f>VLOOKUP('Cash Balance'!$C527,Table2[#All],MATCH('Cash Balance'!W$3,Acc_Char!$B$1:$I$1,0),0)</f>
        <v>Subsidiaries</v>
      </c>
      <c r="X527" s="1156" t="str">
        <f>VLOOKUP(IFERROR(MID($Y527,1,FIND("-",$Y527)-2),$Y527),Table3[#All],2,0)</f>
        <v>VTB</v>
      </c>
      <c r="Y527" s="1156" t="str">
        <f>VLOOKUP($B527,Table4[#All],2,0)</f>
        <v>VIETINBANK - TIEN SON</v>
      </c>
      <c r="Z527" s="1151"/>
      <c r="AA527" s="49"/>
    </row>
    <row r="528" spans="1:27">
      <c r="A528" s="1153" t="str">
        <f>VLOOKUP('Cash Balance'!$C528,Table2[#All],MATCH('Cash Balance'!A$3,Acc_Char!$B$1:$I$1,0),0)</f>
        <v>BW DONG HAI</v>
      </c>
      <c r="B528" s="1154" t="str">
        <f>VLOOKUP('Cash Balance'!$C528,Table2[#All],MATCH('Cash Balance'!B$3,Acc_Char!$B$1:$I$1,0),0)</f>
        <v>BIDV - THANH XUAN</v>
      </c>
      <c r="C528" s="1190" t="s">
        <v>1141</v>
      </c>
      <c r="D528" s="1156" t="str">
        <f>VLOOKUP('Cash Balance'!$C528,Table2[#All],MATCH('Cash Balance'!D$3,Acc_Char!$B$1:$I$1,0),0)</f>
        <v>Saving Account</v>
      </c>
      <c r="E528" s="384" t="str">
        <f>VLOOKUP('Cash Balance'!$C528,Table2[#All],MATCH('Cash Balance'!E$3,Acc_Char!$B$1:$I$1,0),0)</f>
        <v>VND</v>
      </c>
      <c r="F528" s="1094" t="e">
        <f>VLOOKUP(C528,'Cash balance (BS)'!A:C,3,)</f>
        <v>#N/A</v>
      </c>
      <c r="G528" s="1157" t="e">
        <f t="shared" si="47"/>
        <v>#N/A</v>
      </c>
      <c r="H528" s="1318">
        <f>SUMIFS('Cash balance (Prior period)'!F:F,'Cash balance (Prior period)'!C:C,Table11[[#This Row],[ACCOUNT NUMBER]],'Cash balance (Prior period)'!E:E,Table11[[#This Row],[CURRENCY]])</f>
        <v>8442365763</v>
      </c>
      <c r="I528" s="1318">
        <f>SUMIFS(Movement!$F$4:$F$2136,Movement!$M$4:$M$2136,"VND",Movement!$C$4:$C$2136,Table11[[#This Row],[ACCOUNT NUMBER]],Movement!$J$4:$J$2136,Table11[[#This Row],[ENTITY]],Movement!$O$4:$O$2136,'Cash Balance'!$A$2)</f>
        <v>0</v>
      </c>
      <c r="J528" s="1318">
        <f>SUMIFS(Movement!$G$4:$G$2136,Movement!$M$4:$M$2136,"VND",Movement!$C$4:$C$2136,Table11[[#This Row],[ACCOUNT NUMBER]],Movement!$J$4:$J$2136,Table11[[#This Row],[ENTITY]],Movement!$O$4:$O$2136,'Cash Balance'!$A$2)</f>
        <v>0</v>
      </c>
      <c r="K528" s="1084">
        <f>Table11[[#This Row],[CASH IN - CREDIT (VND)]]-Table11[[#This Row],[CASH OUT - DEBIT (VND)]]</f>
        <v>0</v>
      </c>
      <c r="L528" s="1095">
        <f t="shared" si="48"/>
        <v>8442365763</v>
      </c>
      <c r="M528" s="1184" t="e">
        <f>VLOOKUP(C528,'Cash balance (BS)'!A:D,4,)</f>
        <v>#N/A</v>
      </c>
      <c r="N528" s="1095" t="e">
        <f>Table11[[#This Row],[CLOSING BALANCE (VND)2]]-Table11[[#This Row],[CB_BS (VND)]]</f>
        <v>#N/A</v>
      </c>
      <c r="O528" s="1094">
        <v>0</v>
      </c>
      <c r="P528" s="1095">
        <f t="shared" si="49"/>
        <v>0</v>
      </c>
      <c r="Q528" s="817">
        <f>SUMIFS('Cash balance (Prior period)'!G:G,'Cash balance (Prior period)'!C:C,Table11[[#This Row],[ACCOUNT NUMBER]],'Cash balance (Prior period)'!E:E,Table11[[#This Row],[CURRENCY]])</f>
        <v>0</v>
      </c>
      <c r="R528" s="817">
        <f>SUMIFS(Movement!$F$4:$F$2136,Movement!$M$4:$M$2136,"USD",Movement!$C$4:$C$2136,Table11[[#This Row],[ACCOUNT NUMBER]],Movement!$J$4:$J$2136,Table11[[#This Row],[ENTITY]],Movement!$O$4:$O$2136,'Cash Balance'!$A$2)</f>
        <v>0</v>
      </c>
      <c r="S528" s="817">
        <f>SUMIFS(Movement!$G$4:$G$2136,Movement!$M$4:$M$2136,"USD",Movement!$C$4:$C$2136,Table11[[#This Row],[ACCOUNT NUMBER]],Movement!$J$4:$J$2136,Table11[[#This Row],[ENTITY]],Movement!$O$4:$O$2136,'Cash Balance'!$A$2)</f>
        <v>0</v>
      </c>
      <c r="T528" s="1087">
        <f t="shared" si="50"/>
        <v>0</v>
      </c>
      <c r="U528" s="817"/>
      <c r="V528" s="817">
        <f>Table11[[#This Row],[CLOSING BALANCE (USD)]]-Table11[[#This Row],[CB_BS (USD)]]</f>
        <v>0</v>
      </c>
      <c r="W528" s="1156" t="str">
        <f>VLOOKUP('Cash Balance'!$C528,Table2[#All],MATCH('Cash Balance'!W$3,Acc_Char!$B$1:$I$1,0),0)</f>
        <v>Subsidiaries</v>
      </c>
      <c r="X528" s="1156" t="str">
        <f>VLOOKUP(IFERROR(MID($Y528,1,FIND("-",$Y528)-2),$Y528),Table3[#All],2,0)</f>
        <v>BIDV</v>
      </c>
      <c r="Y528" s="1156" t="str">
        <f>VLOOKUP($B528,Table4[#All],2,0)</f>
        <v>BIDV - THANH XUAN</v>
      </c>
      <c r="Z528" s="1151"/>
      <c r="AA528" s="49"/>
    </row>
    <row r="529" spans="1:27">
      <c r="A529" s="1153" t="str">
        <f>VLOOKUP('Cash Balance'!$C529,Table2[#All],MATCH('Cash Balance'!A$3,Acc_Char!$B$1:$I$1,0),0)</f>
        <v>KIM TRUC DN</v>
      </c>
      <c r="B529" s="1154" t="str">
        <f>VLOOKUP('Cash Balance'!$C529,Table2[#All],MATCH('Cash Balance'!B$3,Acc_Char!$B$1:$I$1,0),0)</f>
        <v>BIDV - NAM SAI GON</v>
      </c>
      <c r="C529" s="1190" t="s">
        <v>1142</v>
      </c>
      <c r="D529" s="1156" t="str">
        <f>VLOOKUP('Cash Balance'!$C529,Table2[#All],MATCH('Cash Balance'!D$3,Acc_Char!$B$1:$I$1,0),0)</f>
        <v>Saving Account</v>
      </c>
      <c r="E529" s="384" t="str">
        <f>VLOOKUP('Cash Balance'!$C529,Table2[#All],MATCH('Cash Balance'!E$3,Acc_Char!$B$1:$I$1,0),0)</f>
        <v>VND</v>
      </c>
      <c r="F529" s="1094" t="e">
        <f>VLOOKUP(C529,'Cash balance (BS)'!A:C,3,)</f>
        <v>#N/A</v>
      </c>
      <c r="G529" s="1157" t="e">
        <f t="shared" si="47"/>
        <v>#N/A</v>
      </c>
      <c r="H529" s="1318">
        <f>SUMIFS('Cash balance (Prior period)'!F:F,'Cash balance (Prior period)'!C:C,Table11[[#This Row],[ACCOUNT NUMBER]],'Cash balance (Prior period)'!E:E,Table11[[#This Row],[CURRENCY]])</f>
        <v>1460000000</v>
      </c>
      <c r="I529" s="1318">
        <f>SUMIFS(Movement!$F$4:$F$2136,Movement!$M$4:$M$2136,"VND",Movement!$C$4:$C$2136,Table11[[#This Row],[ACCOUNT NUMBER]],Movement!$J$4:$J$2136,Table11[[#This Row],[ENTITY]],Movement!$O$4:$O$2136,'Cash Balance'!$A$2)</f>
        <v>0</v>
      </c>
      <c r="J529" s="1318">
        <f>SUMIFS(Movement!$G$4:$G$2136,Movement!$M$4:$M$2136,"VND",Movement!$C$4:$C$2136,Table11[[#This Row],[ACCOUNT NUMBER]],Movement!$J$4:$J$2136,Table11[[#This Row],[ENTITY]],Movement!$O$4:$O$2136,'Cash Balance'!$A$2)</f>
        <v>0</v>
      </c>
      <c r="K529" s="1084">
        <f>Table11[[#This Row],[CASH IN - CREDIT (VND)]]-Table11[[#This Row],[CASH OUT - DEBIT (VND)]]</f>
        <v>0</v>
      </c>
      <c r="L529" s="1095">
        <f t="shared" si="48"/>
        <v>1460000000</v>
      </c>
      <c r="M529" s="1184" t="e">
        <f>VLOOKUP(C529,'Cash balance (BS)'!A:D,4,)</f>
        <v>#N/A</v>
      </c>
      <c r="N529" s="1095" t="e">
        <f>Table11[[#This Row],[CLOSING BALANCE (VND)2]]-Table11[[#This Row],[CB_BS (VND)]]</f>
        <v>#N/A</v>
      </c>
      <c r="O529" s="1094">
        <v>0</v>
      </c>
      <c r="P529" s="1095">
        <f t="shared" si="49"/>
        <v>0</v>
      </c>
      <c r="Q529" s="817">
        <f>SUMIFS('Cash balance (Prior period)'!G:G,'Cash balance (Prior period)'!C:C,Table11[[#This Row],[ACCOUNT NUMBER]],'Cash balance (Prior period)'!E:E,Table11[[#This Row],[CURRENCY]])</f>
        <v>0</v>
      </c>
      <c r="R529" s="817">
        <f>SUMIFS(Movement!$F$4:$F$2136,Movement!$M$4:$M$2136,"USD",Movement!$C$4:$C$2136,Table11[[#This Row],[ACCOUNT NUMBER]],Movement!$J$4:$J$2136,Table11[[#This Row],[ENTITY]],Movement!$O$4:$O$2136,'Cash Balance'!$A$2)</f>
        <v>0</v>
      </c>
      <c r="S529" s="817">
        <f>SUMIFS(Movement!$G$4:$G$2136,Movement!$M$4:$M$2136,"USD",Movement!$C$4:$C$2136,Table11[[#This Row],[ACCOUNT NUMBER]],Movement!$J$4:$J$2136,Table11[[#This Row],[ENTITY]],Movement!$O$4:$O$2136,'Cash Balance'!$A$2)</f>
        <v>0</v>
      </c>
      <c r="T529" s="1087">
        <f t="shared" si="50"/>
        <v>0</v>
      </c>
      <c r="U529" s="817"/>
      <c r="V529" s="817">
        <f>Table11[[#This Row],[CLOSING BALANCE (USD)]]-Table11[[#This Row],[CB_BS (USD)]]</f>
        <v>0</v>
      </c>
      <c r="W529" s="1156" t="str">
        <f>VLOOKUP('Cash Balance'!$C529,Table2[#All],MATCH('Cash Balance'!W$3,Acc_Char!$B$1:$I$1,0),0)</f>
        <v>Subsidiaries</v>
      </c>
      <c r="X529" s="1156" t="str">
        <f>VLOOKUP(IFERROR(MID($Y529,1,FIND("-",$Y529)-2),$Y529),Table3[#All],2,0)</f>
        <v>BIDV</v>
      </c>
      <c r="Y529" s="1156" t="str">
        <f>VLOOKUP($B529,Table4[#All],2,0)</f>
        <v>BIDV - NAM SAI GON</v>
      </c>
      <c r="Z529" s="1151"/>
      <c r="AA529" s="49"/>
    </row>
    <row r="530" spans="1:27">
      <c r="A530" s="1153" t="str">
        <f>VLOOKUP('Cash Balance'!$C530,Table2[#All],MATCH('Cash Balance'!A$3,Acc_Char!$B$1:$I$1,0),0)</f>
        <v>BWID HAI DUONG 3</v>
      </c>
      <c r="B530" s="1154" t="str">
        <f>VLOOKUP('Cash Balance'!$C530,Table2[#All],MATCH('Cash Balance'!B$3,Acc_Char!$B$1:$I$1,0),0)</f>
        <v>BIDV - THANH XUAN</v>
      </c>
      <c r="C530" s="1190" t="s">
        <v>1143</v>
      </c>
      <c r="D530" s="1156" t="str">
        <f>VLOOKUP('Cash Balance'!$C530,Table2[#All],MATCH('Cash Balance'!D$3,Acc_Char!$B$1:$I$1,0),0)</f>
        <v>Saving Account</v>
      </c>
      <c r="E530" s="384" t="str">
        <f>VLOOKUP('Cash Balance'!$C530,Table2[#All],MATCH('Cash Balance'!E$3,Acc_Char!$B$1:$I$1,0),0)</f>
        <v>VND</v>
      </c>
      <c r="F530" s="1094" t="e">
        <f>VLOOKUP(C530,'Cash balance (BS)'!A:C,3,)</f>
        <v>#N/A</v>
      </c>
      <c r="G530" s="1157" t="e">
        <f t="shared" si="47"/>
        <v>#N/A</v>
      </c>
      <c r="H530" s="1318">
        <f>SUMIFS('Cash balance (Prior period)'!F:F,'Cash balance (Prior period)'!C:C,Table11[[#This Row],[ACCOUNT NUMBER]],'Cash balance (Prior period)'!E:E,Table11[[#This Row],[CURRENCY]])</f>
        <v>0</v>
      </c>
      <c r="I530" s="1318">
        <f>SUMIFS(Movement!$F$4:$F$2136,Movement!$M$4:$M$2136,"VND",Movement!$C$4:$C$2136,Table11[[#This Row],[ACCOUNT NUMBER]],Movement!$J$4:$J$2136,Table11[[#This Row],[ENTITY]],Movement!$O$4:$O$2136,'Cash Balance'!$A$2)</f>
        <v>0</v>
      </c>
      <c r="J530" s="1318">
        <f>SUMIFS(Movement!$G$4:$G$2136,Movement!$M$4:$M$2136,"VND",Movement!$C$4:$C$2136,Table11[[#This Row],[ACCOUNT NUMBER]],Movement!$J$4:$J$2136,Table11[[#This Row],[ENTITY]],Movement!$O$4:$O$2136,'Cash Balance'!$A$2)</f>
        <v>0</v>
      </c>
      <c r="K530" s="1084">
        <f>Table11[[#This Row],[CASH IN - CREDIT (VND)]]-Table11[[#This Row],[CASH OUT - DEBIT (VND)]]</f>
        <v>0</v>
      </c>
      <c r="L530" s="1095">
        <f t="shared" si="48"/>
        <v>0</v>
      </c>
      <c r="M530" s="1184" t="e">
        <f>VLOOKUP(C530,'Cash balance (BS)'!A:D,4,)</f>
        <v>#N/A</v>
      </c>
      <c r="N530" s="1095" t="e">
        <f>Table11[[#This Row],[CLOSING BALANCE (VND)2]]-Table11[[#This Row],[CB_BS (VND)]]</f>
        <v>#N/A</v>
      </c>
      <c r="O530" s="1094">
        <v>0</v>
      </c>
      <c r="P530" s="1095">
        <f t="shared" si="49"/>
        <v>0</v>
      </c>
      <c r="Q530" s="817">
        <f>SUMIFS('Cash balance (Prior period)'!G:G,'Cash balance (Prior period)'!C:C,Table11[[#This Row],[ACCOUNT NUMBER]],'Cash balance (Prior period)'!E:E,Table11[[#This Row],[CURRENCY]])</f>
        <v>0</v>
      </c>
      <c r="R530" s="817">
        <f>SUMIFS(Movement!$F$4:$F$2136,Movement!$M$4:$M$2136,"USD",Movement!$C$4:$C$2136,Table11[[#This Row],[ACCOUNT NUMBER]],Movement!$J$4:$J$2136,Table11[[#This Row],[ENTITY]],Movement!$O$4:$O$2136,'Cash Balance'!$A$2)</f>
        <v>0</v>
      </c>
      <c r="S530" s="817">
        <f>SUMIFS(Movement!$G$4:$G$2136,Movement!$M$4:$M$2136,"USD",Movement!$C$4:$C$2136,Table11[[#This Row],[ACCOUNT NUMBER]],Movement!$J$4:$J$2136,Table11[[#This Row],[ENTITY]],Movement!$O$4:$O$2136,'Cash Balance'!$A$2)</f>
        <v>0</v>
      </c>
      <c r="T530" s="1087">
        <f t="shared" si="50"/>
        <v>0</v>
      </c>
      <c r="U530" s="817"/>
      <c r="V530" s="817">
        <f>Table11[[#This Row],[CLOSING BALANCE (USD)]]-Table11[[#This Row],[CB_BS (USD)]]</f>
        <v>0</v>
      </c>
      <c r="W530" s="1156" t="str">
        <f>VLOOKUP('Cash Balance'!$C530,Table2[#All],MATCH('Cash Balance'!W$3,Acc_Char!$B$1:$I$1,0),0)</f>
        <v>Subsidiaries</v>
      </c>
      <c r="X530" s="1156" t="str">
        <f>VLOOKUP(IFERROR(MID($Y530,1,FIND("-",$Y530)-2),$Y530),Table3[#All],2,0)</f>
        <v>BIDV</v>
      </c>
      <c r="Y530" s="1156" t="str">
        <f>VLOOKUP($B530,Table4[#All],2,0)</f>
        <v>BIDV - THANH XUAN</v>
      </c>
      <c r="Z530" s="1151"/>
      <c r="AA530" s="49"/>
    </row>
    <row r="531" spans="1:27">
      <c r="A531" s="1153" t="str">
        <f>VLOOKUP('Cash Balance'!$C531,Table2[#All],MATCH('Cash Balance'!A$3,Acc_Char!$B$1:$I$1,0),0)</f>
        <v>BAC TIEN PHONG</v>
      </c>
      <c r="B531" s="1154" t="str">
        <f>VLOOKUP('Cash Balance'!$C531,Table2[#All],MATCH('Cash Balance'!B$3,Acc_Char!$B$1:$I$1,0),0)</f>
        <v>BIDV - THANH XUAN</v>
      </c>
      <c r="C531" s="1190" t="s">
        <v>1144</v>
      </c>
      <c r="D531" s="1156" t="str">
        <f>VLOOKUP('Cash Balance'!$C531,Table2[#All],MATCH('Cash Balance'!D$3,Acc_Char!$B$1:$I$1,0),0)</f>
        <v>Saving Account</v>
      </c>
      <c r="E531" s="384" t="str">
        <f>VLOOKUP('Cash Balance'!$C531,Table2[#All],MATCH('Cash Balance'!E$3,Acc_Char!$B$1:$I$1,0),0)</f>
        <v>VND</v>
      </c>
      <c r="F531" s="1094" t="e">
        <f>VLOOKUP(C531,'Cash balance (BS)'!A:C,3,)</f>
        <v>#N/A</v>
      </c>
      <c r="G531" s="1157" t="e">
        <f t="shared" si="47"/>
        <v>#N/A</v>
      </c>
      <c r="H531" s="1318">
        <f>SUMIFS('Cash balance (Prior period)'!F:F,'Cash balance (Prior period)'!C:C,Table11[[#This Row],[ACCOUNT NUMBER]],'Cash balance (Prior period)'!E:E,Table11[[#This Row],[CURRENCY]])</f>
        <v>0</v>
      </c>
      <c r="I531" s="1318">
        <f>SUMIFS(Movement!$F$4:$F$2136,Movement!$M$4:$M$2136,"VND",Movement!$C$4:$C$2136,Table11[[#This Row],[ACCOUNT NUMBER]],Movement!$J$4:$J$2136,Table11[[#This Row],[ENTITY]],Movement!$O$4:$O$2136,'Cash Balance'!$A$2)</f>
        <v>0</v>
      </c>
      <c r="J531" s="1318">
        <f>SUMIFS(Movement!$G$4:$G$2136,Movement!$M$4:$M$2136,"VND",Movement!$C$4:$C$2136,Table11[[#This Row],[ACCOUNT NUMBER]],Movement!$J$4:$J$2136,Table11[[#This Row],[ENTITY]],Movement!$O$4:$O$2136,'Cash Balance'!$A$2)</f>
        <v>0</v>
      </c>
      <c r="K531" s="1084">
        <f>Table11[[#This Row],[CASH IN - CREDIT (VND)]]-Table11[[#This Row],[CASH OUT - DEBIT (VND)]]</f>
        <v>0</v>
      </c>
      <c r="L531" s="1095">
        <f t="shared" si="48"/>
        <v>0</v>
      </c>
      <c r="M531" s="1184" t="e">
        <f>VLOOKUP(C531,'Cash balance (BS)'!A:D,4,)</f>
        <v>#N/A</v>
      </c>
      <c r="N531" s="1095" t="e">
        <f>Table11[[#This Row],[CLOSING BALANCE (VND)2]]-Table11[[#This Row],[CB_BS (VND)]]</f>
        <v>#N/A</v>
      </c>
      <c r="O531" s="1094">
        <v>0</v>
      </c>
      <c r="P531" s="1095">
        <f t="shared" si="49"/>
        <v>0</v>
      </c>
      <c r="Q531" s="817">
        <f>SUMIFS('Cash balance (Prior period)'!G:G,'Cash balance (Prior period)'!C:C,Table11[[#This Row],[ACCOUNT NUMBER]],'Cash balance (Prior period)'!E:E,Table11[[#This Row],[CURRENCY]])</f>
        <v>0</v>
      </c>
      <c r="R531" s="817">
        <f>SUMIFS(Movement!$F$4:$F$2136,Movement!$M$4:$M$2136,"USD",Movement!$C$4:$C$2136,Table11[[#This Row],[ACCOUNT NUMBER]],Movement!$J$4:$J$2136,Table11[[#This Row],[ENTITY]],Movement!$O$4:$O$2136,'Cash Balance'!$A$2)</f>
        <v>0</v>
      </c>
      <c r="S531" s="817">
        <f>SUMIFS(Movement!$G$4:$G$2136,Movement!$M$4:$M$2136,"USD",Movement!$C$4:$C$2136,Table11[[#This Row],[ACCOUNT NUMBER]],Movement!$J$4:$J$2136,Table11[[#This Row],[ENTITY]],Movement!$O$4:$O$2136,'Cash Balance'!$A$2)</f>
        <v>0</v>
      </c>
      <c r="T531" s="1087">
        <f t="shared" si="50"/>
        <v>0</v>
      </c>
      <c r="U531" s="817"/>
      <c r="V531" s="817">
        <f>Table11[[#This Row],[CLOSING BALANCE (USD)]]-Table11[[#This Row],[CB_BS (USD)]]</f>
        <v>0</v>
      </c>
      <c r="W531" s="1156" t="str">
        <f>VLOOKUP('Cash Balance'!$C531,Table2[#All],MATCH('Cash Balance'!W$3,Acc_Char!$B$1:$I$1,0),0)</f>
        <v>Subsidiaries</v>
      </c>
      <c r="X531" s="1156" t="str">
        <f>VLOOKUP(IFERROR(MID($Y531,1,FIND("-",$Y531)-2),$Y531),Table3[#All],2,0)</f>
        <v>BIDV</v>
      </c>
      <c r="Y531" s="1156" t="str">
        <f>VLOOKUP($B531,Table4[#All],2,0)</f>
        <v>BIDV - THANH XUAN</v>
      </c>
      <c r="Z531" s="1151"/>
      <c r="AA531" s="49"/>
    </row>
    <row r="532" spans="1:27">
      <c r="A532" s="1153" t="str">
        <f>VLOOKUP('Cash Balance'!$C532,Table2[#All],MATCH('Cash Balance'!A$3,Acc_Char!$B$1:$I$1,0),0)</f>
        <v>THUAN THANH 3B</v>
      </c>
      <c r="B532" s="1154" t="str">
        <f>VLOOKUP('Cash Balance'!$C532,Table2[#All],MATCH('Cash Balance'!B$3,Acc_Char!$B$1:$I$1,0),0)</f>
        <v>VIETCOMBANK - BA DINH</v>
      </c>
      <c r="C532" s="1190" t="s">
        <v>1145</v>
      </c>
      <c r="D532" s="1156" t="str">
        <f>VLOOKUP('Cash Balance'!$C532,Table2[#All],MATCH('Cash Balance'!D$3,Acc_Char!$B$1:$I$1,0),0)</f>
        <v>Saving Account</v>
      </c>
      <c r="E532" s="384" t="str">
        <f>VLOOKUP('Cash Balance'!$C532,Table2[#All],MATCH('Cash Balance'!E$3,Acc_Char!$B$1:$I$1,0),0)</f>
        <v>VND</v>
      </c>
      <c r="F532" s="1094" t="e">
        <f>VLOOKUP(C532,'Cash balance (BS)'!A:C,3,)</f>
        <v>#N/A</v>
      </c>
      <c r="G532" s="1157" t="e">
        <f t="shared" si="47"/>
        <v>#N/A</v>
      </c>
      <c r="H532" s="1318">
        <f>SUMIFS('Cash balance (Prior period)'!F:F,'Cash balance (Prior period)'!C:C,Table11[[#This Row],[ACCOUNT NUMBER]],'Cash balance (Prior period)'!E:E,Table11[[#This Row],[CURRENCY]])</f>
        <v>0</v>
      </c>
      <c r="I532" s="1318">
        <f>SUMIFS(Movement!$F$4:$F$2136,Movement!$M$4:$M$2136,"VND",Movement!$C$4:$C$2136,Table11[[#This Row],[ACCOUNT NUMBER]],Movement!$J$4:$J$2136,Table11[[#This Row],[ENTITY]],Movement!$O$4:$O$2136,'Cash Balance'!$A$2)</f>
        <v>0</v>
      </c>
      <c r="J532" s="1318">
        <f>SUMIFS(Movement!$G$4:$G$2136,Movement!$M$4:$M$2136,"VND",Movement!$C$4:$C$2136,Table11[[#This Row],[ACCOUNT NUMBER]],Movement!$J$4:$J$2136,Table11[[#This Row],[ENTITY]],Movement!$O$4:$O$2136,'Cash Balance'!$A$2)</f>
        <v>0</v>
      </c>
      <c r="K532" s="1084">
        <f>Table11[[#This Row],[CASH IN - CREDIT (VND)]]-Table11[[#This Row],[CASH OUT - DEBIT (VND)]]</f>
        <v>0</v>
      </c>
      <c r="L532" s="1095">
        <f t="shared" si="48"/>
        <v>0</v>
      </c>
      <c r="M532" s="1184" t="e">
        <f>VLOOKUP(C532,'Cash balance (BS)'!A:D,4,)</f>
        <v>#N/A</v>
      </c>
      <c r="N532" s="1095" t="e">
        <f>Table11[[#This Row],[CLOSING BALANCE (VND)2]]-Table11[[#This Row],[CB_BS (VND)]]</f>
        <v>#N/A</v>
      </c>
      <c r="O532" s="1094">
        <v>0</v>
      </c>
      <c r="P532" s="1095">
        <f t="shared" si="49"/>
        <v>0</v>
      </c>
      <c r="Q532" s="817">
        <f>SUMIFS('Cash balance (Prior period)'!G:G,'Cash balance (Prior period)'!C:C,Table11[[#This Row],[ACCOUNT NUMBER]],'Cash balance (Prior period)'!E:E,Table11[[#This Row],[CURRENCY]])</f>
        <v>0</v>
      </c>
      <c r="R532" s="817">
        <f>SUMIFS(Movement!$F$4:$F$2136,Movement!$M$4:$M$2136,"USD",Movement!$C$4:$C$2136,Table11[[#This Row],[ACCOUNT NUMBER]],Movement!$J$4:$J$2136,Table11[[#This Row],[ENTITY]],Movement!$O$4:$O$2136,'Cash Balance'!$A$2)</f>
        <v>0</v>
      </c>
      <c r="S532" s="817">
        <f>SUMIFS(Movement!$G$4:$G$2136,Movement!$M$4:$M$2136,"USD",Movement!$C$4:$C$2136,Table11[[#This Row],[ACCOUNT NUMBER]],Movement!$J$4:$J$2136,Table11[[#This Row],[ENTITY]],Movement!$O$4:$O$2136,'Cash Balance'!$A$2)</f>
        <v>0</v>
      </c>
      <c r="T532" s="1087">
        <f t="shared" si="50"/>
        <v>0</v>
      </c>
      <c r="U532" s="817"/>
      <c r="V532" s="817">
        <f>Table11[[#This Row],[CLOSING BALANCE (USD)]]-Table11[[#This Row],[CB_BS (USD)]]</f>
        <v>0</v>
      </c>
      <c r="W532" s="1156" t="str">
        <f>VLOOKUP('Cash Balance'!$C532,Table2[#All],MATCH('Cash Balance'!W$3,Acc_Char!$B$1:$I$1,0),0)</f>
        <v>Subsidiaries</v>
      </c>
      <c r="X532" s="1156" t="str">
        <f>VLOOKUP(IFERROR(MID($Y532,1,FIND("-",$Y532)-2),$Y532),Table3[#All],2,0)</f>
        <v>VCB</v>
      </c>
      <c r="Y532" s="1156" t="str">
        <f>VLOOKUP($B532,Table4[#All],2,0)</f>
        <v>VIETCOMBANK - BA DINH</v>
      </c>
      <c r="Z532" s="1151"/>
      <c r="AA532" s="49"/>
    </row>
    <row r="533" spans="1:27">
      <c r="A533" s="1153" t="str">
        <f>VLOOKUP('Cash Balance'!$C533,Table2[#All],MATCH('Cash Balance'!A$3,Acc_Char!$B$1:$I$1,0),0)</f>
        <v>THUAN THANH 3B</v>
      </c>
      <c r="B533" s="1154" t="str">
        <f>VLOOKUP('Cash Balance'!$C533,Table2[#All],MATCH('Cash Balance'!B$3,Acc_Char!$B$1:$I$1,0),0)</f>
        <v>VIETCOMBANK - BA DINH</v>
      </c>
      <c r="C533" s="1190" t="s">
        <v>1146</v>
      </c>
      <c r="D533" s="1156" t="str">
        <f>VLOOKUP('Cash Balance'!$C533,Table2[#All],MATCH('Cash Balance'!D$3,Acc_Char!$B$1:$I$1,0),0)</f>
        <v>Saving Account</v>
      </c>
      <c r="E533" s="384" t="str">
        <f>VLOOKUP('Cash Balance'!$C533,Table2[#All],MATCH('Cash Balance'!E$3,Acc_Char!$B$1:$I$1,0),0)</f>
        <v>VND</v>
      </c>
      <c r="F533" s="1094" t="e">
        <f>VLOOKUP(C533,'Cash balance (BS)'!A:C,3,)</f>
        <v>#N/A</v>
      </c>
      <c r="G533" s="1157" t="e">
        <f t="shared" si="47"/>
        <v>#N/A</v>
      </c>
      <c r="H533" s="1318">
        <f>SUMIFS('Cash balance (Prior period)'!F:F,'Cash balance (Prior period)'!C:C,Table11[[#This Row],[ACCOUNT NUMBER]],'Cash balance (Prior period)'!E:E,Table11[[#This Row],[CURRENCY]])</f>
        <v>0</v>
      </c>
      <c r="I533" s="1318">
        <f>SUMIFS(Movement!$F$4:$F$2136,Movement!$M$4:$M$2136,"VND",Movement!$C$4:$C$2136,Table11[[#This Row],[ACCOUNT NUMBER]],Movement!$J$4:$J$2136,Table11[[#This Row],[ENTITY]],Movement!$O$4:$O$2136,'Cash Balance'!$A$2)</f>
        <v>0</v>
      </c>
      <c r="J533" s="1318">
        <f>SUMIFS(Movement!$G$4:$G$2136,Movement!$M$4:$M$2136,"VND",Movement!$C$4:$C$2136,Table11[[#This Row],[ACCOUNT NUMBER]],Movement!$J$4:$J$2136,Table11[[#This Row],[ENTITY]],Movement!$O$4:$O$2136,'Cash Balance'!$A$2)</f>
        <v>0</v>
      </c>
      <c r="K533" s="1084">
        <f>Table11[[#This Row],[CASH IN - CREDIT (VND)]]-Table11[[#This Row],[CASH OUT - DEBIT (VND)]]</f>
        <v>0</v>
      </c>
      <c r="L533" s="1095">
        <f t="shared" si="48"/>
        <v>0</v>
      </c>
      <c r="M533" s="1184" t="e">
        <f>VLOOKUP(C533,'Cash balance (BS)'!A:D,4,)</f>
        <v>#N/A</v>
      </c>
      <c r="N533" s="1095" t="e">
        <f>Table11[[#This Row],[CLOSING BALANCE (VND)2]]-Table11[[#This Row],[CB_BS (VND)]]</f>
        <v>#N/A</v>
      </c>
      <c r="O533" s="1094">
        <v>0</v>
      </c>
      <c r="P533" s="1095">
        <f t="shared" si="49"/>
        <v>0</v>
      </c>
      <c r="Q533" s="817">
        <f>SUMIFS('Cash balance (Prior period)'!G:G,'Cash balance (Prior period)'!C:C,Table11[[#This Row],[ACCOUNT NUMBER]],'Cash balance (Prior period)'!E:E,Table11[[#This Row],[CURRENCY]])</f>
        <v>0</v>
      </c>
      <c r="R533" s="817">
        <f>SUMIFS(Movement!$F$4:$F$2136,Movement!$M$4:$M$2136,"USD",Movement!$C$4:$C$2136,Table11[[#This Row],[ACCOUNT NUMBER]],Movement!$J$4:$J$2136,Table11[[#This Row],[ENTITY]],Movement!$O$4:$O$2136,'Cash Balance'!$A$2)</f>
        <v>0</v>
      </c>
      <c r="S533" s="817">
        <f>SUMIFS(Movement!$G$4:$G$2136,Movement!$M$4:$M$2136,"USD",Movement!$C$4:$C$2136,Table11[[#This Row],[ACCOUNT NUMBER]],Movement!$J$4:$J$2136,Table11[[#This Row],[ENTITY]],Movement!$O$4:$O$2136,'Cash Balance'!$A$2)</f>
        <v>0</v>
      </c>
      <c r="T533" s="1087">
        <f t="shared" si="50"/>
        <v>0</v>
      </c>
      <c r="U533" s="817"/>
      <c r="V533" s="817">
        <f>Table11[[#This Row],[CLOSING BALANCE (USD)]]-Table11[[#This Row],[CB_BS (USD)]]</f>
        <v>0</v>
      </c>
      <c r="W533" s="1156" t="str">
        <f>VLOOKUP('Cash Balance'!$C533,Table2[#All],MATCH('Cash Balance'!W$3,Acc_Char!$B$1:$I$1,0),0)</f>
        <v>Subsidiaries</v>
      </c>
      <c r="X533" s="1156" t="str">
        <f>VLOOKUP(IFERROR(MID($Y533,1,FIND("-",$Y533)-2),$Y533),Table3[#All],2,0)</f>
        <v>VCB</v>
      </c>
      <c r="Y533" s="1156" t="str">
        <f>VLOOKUP($B533,Table4[#All],2,0)</f>
        <v>VIETCOMBANK - BA DINH</v>
      </c>
      <c r="Z533" s="1151"/>
      <c r="AA533" s="49"/>
    </row>
    <row r="534" spans="1:27">
      <c r="A534" s="1153" t="str">
        <f>VLOOKUP('Cash Balance'!$C534,Table2[#All],MATCH('Cash Balance'!A$3,Acc_Char!$B$1:$I$1,0),0)</f>
        <v>BW SAIGON LOGISTICS</v>
      </c>
      <c r="B534" s="1154" t="str">
        <f>VLOOKUP('Cash Balance'!$C534,Table2[#All],MATCH('Cash Balance'!B$3,Acc_Char!$B$1:$I$1,0),0)</f>
        <v>VIETCOMBANK - HCM</v>
      </c>
      <c r="C534" s="1190" t="s">
        <v>1147</v>
      </c>
      <c r="D534" s="1156" t="str">
        <f>VLOOKUP('Cash Balance'!$C534,Table2[#All],MATCH('Cash Balance'!D$3,Acc_Char!$B$1:$I$1,0),0)</f>
        <v>Saving Account</v>
      </c>
      <c r="E534" s="384" t="str">
        <f>VLOOKUP('Cash Balance'!$C534,Table2[#All],MATCH('Cash Balance'!E$3,Acc_Char!$B$1:$I$1,0),0)</f>
        <v>VND</v>
      </c>
      <c r="F534" s="1094" t="e">
        <f>VLOOKUP(C534,'Cash balance (BS)'!A:C,3,)</f>
        <v>#N/A</v>
      </c>
      <c r="G534" s="1157" t="e">
        <f t="shared" si="47"/>
        <v>#N/A</v>
      </c>
      <c r="H534" s="1318">
        <f>SUMIFS('Cash balance (Prior period)'!F:F,'Cash balance (Prior period)'!C:C,Table11[[#This Row],[ACCOUNT NUMBER]],'Cash balance (Prior period)'!E:E,Table11[[#This Row],[CURRENCY]])</f>
        <v>0</v>
      </c>
      <c r="I534" s="1318">
        <f>SUMIFS(Movement!$F$4:$F$2136,Movement!$M$4:$M$2136,"VND",Movement!$C$4:$C$2136,Table11[[#This Row],[ACCOUNT NUMBER]],Movement!$J$4:$J$2136,Table11[[#This Row],[ENTITY]],Movement!$O$4:$O$2136,'Cash Balance'!$A$2)</f>
        <v>0</v>
      </c>
      <c r="J534" s="1318">
        <f>SUMIFS(Movement!$G$4:$G$2136,Movement!$M$4:$M$2136,"VND",Movement!$C$4:$C$2136,Table11[[#This Row],[ACCOUNT NUMBER]],Movement!$J$4:$J$2136,Table11[[#This Row],[ENTITY]],Movement!$O$4:$O$2136,'Cash Balance'!$A$2)</f>
        <v>0</v>
      </c>
      <c r="K534" s="1084">
        <f>Table11[[#This Row],[CASH IN - CREDIT (VND)]]-Table11[[#This Row],[CASH OUT - DEBIT (VND)]]</f>
        <v>0</v>
      </c>
      <c r="L534" s="1095">
        <f t="shared" si="48"/>
        <v>0</v>
      </c>
      <c r="M534" s="1184" t="e">
        <f>VLOOKUP(C534,'Cash balance (BS)'!A:D,4,)</f>
        <v>#N/A</v>
      </c>
      <c r="N534" s="1095" t="e">
        <f>Table11[[#This Row],[CLOSING BALANCE (VND)2]]-Table11[[#This Row],[CB_BS (VND)]]</f>
        <v>#N/A</v>
      </c>
      <c r="O534" s="1094">
        <v>0</v>
      </c>
      <c r="P534" s="1095">
        <f t="shared" si="49"/>
        <v>0</v>
      </c>
      <c r="Q534" s="817">
        <f>SUMIFS('Cash balance (Prior period)'!G:G,'Cash balance (Prior period)'!C:C,Table11[[#This Row],[ACCOUNT NUMBER]],'Cash balance (Prior period)'!E:E,Table11[[#This Row],[CURRENCY]])</f>
        <v>0</v>
      </c>
      <c r="R534" s="817">
        <f>SUMIFS(Movement!$F$4:$F$2136,Movement!$M$4:$M$2136,"USD",Movement!$C$4:$C$2136,Table11[[#This Row],[ACCOUNT NUMBER]],Movement!$J$4:$J$2136,Table11[[#This Row],[ENTITY]],Movement!$O$4:$O$2136,'Cash Balance'!$A$2)</f>
        <v>0</v>
      </c>
      <c r="S534" s="817">
        <f>SUMIFS(Movement!$G$4:$G$2136,Movement!$M$4:$M$2136,"USD",Movement!$C$4:$C$2136,Table11[[#This Row],[ACCOUNT NUMBER]],Movement!$J$4:$J$2136,Table11[[#This Row],[ENTITY]],Movement!$O$4:$O$2136,'Cash Balance'!$A$2)</f>
        <v>0</v>
      </c>
      <c r="T534" s="1087">
        <f t="shared" si="50"/>
        <v>0</v>
      </c>
      <c r="U534" s="817"/>
      <c r="V534" s="817">
        <f>Table11[[#This Row],[CLOSING BALANCE (USD)]]-Table11[[#This Row],[CB_BS (USD)]]</f>
        <v>0</v>
      </c>
      <c r="W534" s="1156" t="str">
        <f>VLOOKUP('Cash Balance'!$C534,Table2[#All],MATCH('Cash Balance'!W$3,Acc_Char!$B$1:$I$1,0),0)</f>
        <v>Subsidiaries</v>
      </c>
      <c r="X534" s="1156" t="str">
        <f>VLOOKUP(IFERROR(MID($Y534,1,FIND("-",$Y534)-2),$Y534),Table3[#All],2,0)</f>
        <v>VCB</v>
      </c>
      <c r="Y534" s="1156" t="str">
        <f>VLOOKUP($B534,Table4[#All],2,0)</f>
        <v>VIETCOMBANK - HCM</v>
      </c>
      <c r="Z534" s="1151"/>
      <c r="AA534" s="49"/>
    </row>
    <row r="535" spans="1:27">
      <c r="A535" s="1153" t="str">
        <f>VLOOKUP('Cash Balance'!$C535,Table2[#All],MATCH('Cash Balance'!A$3,Acc_Char!$B$1:$I$1,0),0)</f>
        <v>BWID THOI HOA</v>
      </c>
      <c r="B535" s="1154" t="str">
        <f>VLOOKUP('Cash Balance'!$C535,Table2[#All],MATCH('Cash Balance'!B$3,Acc_Char!$B$1:$I$1,0),0)</f>
        <v>OCB - BINH DUONG</v>
      </c>
      <c r="C535" s="1190" t="s">
        <v>1148</v>
      </c>
      <c r="D535" s="1156" t="str">
        <f>VLOOKUP('Cash Balance'!$C535,Table2[#All],MATCH('Cash Balance'!D$3,Acc_Char!$B$1:$I$1,0),0)</f>
        <v>Saving Account</v>
      </c>
      <c r="E535" s="384" t="str">
        <f>VLOOKUP('Cash Balance'!$C535,Table2[#All],MATCH('Cash Balance'!E$3,Acc_Char!$B$1:$I$1,0),0)</f>
        <v>VND</v>
      </c>
      <c r="F535" s="1094" t="e">
        <f>VLOOKUP(C535,'Cash balance (BS)'!A:C,3,)</f>
        <v>#N/A</v>
      </c>
      <c r="G535" s="1157" t="e">
        <f t="shared" si="47"/>
        <v>#N/A</v>
      </c>
      <c r="H535" s="1318">
        <f>SUMIFS('Cash balance (Prior period)'!F:F,'Cash balance (Prior period)'!C:C,Table11[[#This Row],[ACCOUNT NUMBER]],'Cash balance (Prior period)'!E:E,Table11[[#This Row],[CURRENCY]])</f>
        <v>0</v>
      </c>
      <c r="I535" s="1318">
        <f>SUMIFS(Movement!$F$4:$F$2136,Movement!$M$4:$M$2136,"VND",Movement!$C$4:$C$2136,Table11[[#This Row],[ACCOUNT NUMBER]],Movement!$J$4:$J$2136,Table11[[#This Row],[ENTITY]],Movement!$O$4:$O$2136,'Cash Balance'!$A$2)</f>
        <v>0</v>
      </c>
      <c r="J535" s="1318">
        <f>SUMIFS(Movement!$G$4:$G$2136,Movement!$M$4:$M$2136,"VND",Movement!$C$4:$C$2136,Table11[[#This Row],[ACCOUNT NUMBER]],Movement!$J$4:$J$2136,Table11[[#This Row],[ENTITY]],Movement!$O$4:$O$2136,'Cash Balance'!$A$2)</f>
        <v>0</v>
      </c>
      <c r="K535" s="1084">
        <f>Table11[[#This Row],[CASH IN - CREDIT (VND)]]-Table11[[#This Row],[CASH OUT - DEBIT (VND)]]</f>
        <v>0</v>
      </c>
      <c r="L535" s="1095">
        <f t="shared" si="48"/>
        <v>0</v>
      </c>
      <c r="M535" s="1184" t="e">
        <f>VLOOKUP(C535,'Cash balance (BS)'!A:D,4,)</f>
        <v>#N/A</v>
      </c>
      <c r="N535" s="1095" t="e">
        <f>Table11[[#This Row],[CLOSING BALANCE (VND)2]]-Table11[[#This Row],[CB_BS (VND)]]</f>
        <v>#N/A</v>
      </c>
      <c r="O535" s="1094">
        <v>0</v>
      </c>
      <c r="P535" s="1095">
        <f t="shared" si="49"/>
        <v>0</v>
      </c>
      <c r="Q535" s="817">
        <f>SUMIFS('Cash balance (Prior period)'!G:G,'Cash balance (Prior period)'!C:C,Table11[[#This Row],[ACCOUNT NUMBER]],'Cash balance (Prior period)'!E:E,Table11[[#This Row],[CURRENCY]])</f>
        <v>0</v>
      </c>
      <c r="R535" s="817">
        <f>SUMIFS(Movement!$F$4:$F$2136,Movement!$M$4:$M$2136,"USD",Movement!$C$4:$C$2136,Table11[[#This Row],[ACCOUNT NUMBER]],Movement!$J$4:$J$2136,Table11[[#This Row],[ENTITY]],Movement!$O$4:$O$2136,'Cash Balance'!$A$2)</f>
        <v>0</v>
      </c>
      <c r="S535" s="817">
        <f>SUMIFS(Movement!$G$4:$G$2136,Movement!$M$4:$M$2136,"USD",Movement!$C$4:$C$2136,Table11[[#This Row],[ACCOUNT NUMBER]],Movement!$J$4:$J$2136,Table11[[#This Row],[ENTITY]],Movement!$O$4:$O$2136,'Cash Balance'!$A$2)</f>
        <v>0</v>
      </c>
      <c r="T535" s="1087">
        <f t="shared" si="50"/>
        <v>0</v>
      </c>
      <c r="U535" s="817"/>
      <c r="V535" s="817">
        <f>Table11[[#This Row],[CLOSING BALANCE (USD)]]-Table11[[#This Row],[CB_BS (USD)]]</f>
        <v>0</v>
      </c>
      <c r="W535" s="1156" t="str">
        <f>VLOOKUP('Cash Balance'!$C535,Table2[#All],MATCH('Cash Balance'!W$3,Acc_Char!$B$1:$I$1,0),0)</f>
        <v>Subsidiaries</v>
      </c>
      <c r="X535" s="1156" t="str">
        <f>VLOOKUP(IFERROR(MID($Y535,1,FIND("-",$Y535)-2),$Y535),Table3[#All],2,0)</f>
        <v>OCB</v>
      </c>
      <c r="Y535" s="1156" t="str">
        <f>VLOOKUP($B535,Table4[#All],2,0)</f>
        <v>OCB - BINH DUONG</v>
      </c>
      <c r="Z535" s="1151"/>
      <c r="AA535" s="49"/>
    </row>
    <row r="536" spans="1:27">
      <c r="A536" s="1153" t="str">
        <f>VLOOKUP('Cash Balance'!$C536,Table2[#All],MATCH('Cash Balance'!A$3,Acc_Char!$B$1:$I$1,0),0)</f>
        <v>BWID BINH DUONG</v>
      </c>
      <c r="B536" s="1154" t="str">
        <f>VLOOKUP('Cash Balance'!$C536,Table2[#All],MATCH('Cash Balance'!B$3,Acc_Char!$B$1:$I$1,0),0)</f>
        <v>SINOPAC</v>
      </c>
      <c r="C536" s="1190" t="s">
        <v>1149</v>
      </c>
      <c r="D536" s="1156" t="str">
        <f>VLOOKUP('Cash Balance'!$C536,Table2[#All],MATCH('Cash Balance'!D$3,Acc_Char!$B$1:$I$1,0),0)</f>
        <v>Saving Account</v>
      </c>
      <c r="E536" s="384" t="str">
        <f>VLOOKUP('Cash Balance'!$C536,Table2[#All],MATCH('Cash Balance'!E$3,Acc_Char!$B$1:$I$1,0),0)</f>
        <v>VND</v>
      </c>
      <c r="F536" s="1094" t="e">
        <f>VLOOKUP(C536,'Cash balance (BS)'!A:C,3,)</f>
        <v>#N/A</v>
      </c>
      <c r="G536" s="1157" t="e">
        <f t="shared" si="47"/>
        <v>#N/A</v>
      </c>
      <c r="H536" s="1318">
        <f>SUMIFS('Cash balance (Prior period)'!F:F,'Cash balance (Prior period)'!C:C,Table11[[#This Row],[ACCOUNT NUMBER]],'Cash balance (Prior period)'!E:E,Table11[[#This Row],[CURRENCY]])</f>
        <v>0</v>
      </c>
      <c r="I536" s="1318">
        <f>SUMIFS(Movement!$F$4:$F$2136,Movement!$M$4:$M$2136,"VND",Movement!$C$4:$C$2136,Table11[[#This Row],[ACCOUNT NUMBER]],Movement!$J$4:$J$2136,Table11[[#This Row],[ENTITY]],Movement!$O$4:$O$2136,'Cash Balance'!$A$2)</f>
        <v>0</v>
      </c>
      <c r="J536" s="1318">
        <f>SUMIFS(Movement!$G$4:$G$2136,Movement!$M$4:$M$2136,"VND",Movement!$C$4:$C$2136,Table11[[#This Row],[ACCOUNT NUMBER]],Movement!$J$4:$J$2136,Table11[[#This Row],[ENTITY]],Movement!$O$4:$O$2136,'Cash Balance'!$A$2)</f>
        <v>0</v>
      </c>
      <c r="K536" s="1084">
        <f>Table11[[#This Row],[CASH IN - CREDIT (VND)]]-Table11[[#This Row],[CASH OUT - DEBIT (VND)]]</f>
        <v>0</v>
      </c>
      <c r="L536" s="1095">
        <f t="shared" si="48"/>
        <v>0</v>
      </c>
      <c r="M536" s="1184" t="e">
        <f>VLOOKUP(C536,'Cash balance (BS)'!A:D,4,)</f>
        <v>#N/A</v>
      </c>
      <c r="N536" s="1095" t="e">
        <f>Table11[[#This Row],[CLOSING BALANCE (VND)2]]-Table11[[#This Row],[CB_BS (VND)]]</f>
        <v>#N/A</v>
      </c>
      <c r="O536" s="1094">
        <v>0</v>
      </c>
      <c r="P536" s="1095">
        <f t="shared" si="49"/>
        <v>0</v>
      </c>
      <c r="Q536" s="817">
        <f>SUMIFS('Cash balance (Prior period)'!G:G,'Cash balance (Prior period)'!C:C,Table11[[#This Row],[ACCOUNT NUMBER]],'Cash balance (Prior period)'!E:E,Table11[[#This Row],[CURRENCY]])</f>
        <v>0</v>
      </c>
      <c r="R536" s="817">
        <f>SUMIFS(Movement!$F$4:$F$2136,Movement!$M$4:$M$2136,"USD",Movement!$C$4:$C$2136,Table11[[#This Row],[ACCOUNT NUMBER]],Movement!$J$4:$J$2136,Table11[[#This Row],[ENTITY]],Movement!$O$4:$O$2136,'Cash Balance'!$A$2)</f>
        <v>0</v>
      </c>
      <c r="S536" s="817">
        <f>SUMIFS(Movement!$G$4:$G$2136,Movement!$M$4:$M$2136,"USD",Movement!$C$4:$C$2136,Table11[[#This Row],[ACCOUNT NUMBER]],Movement!$J$4:$J$2136,Table11[[#This Row],[ENTITY]],Movement!$O$4:$O$2136,'Cash Balance'!$A$2)</f>
        <v>0</v>
      </c>
      <c r="T536" s="1087">
        <f t="shared" si="50"/>
        <v>0</v>
      </c>
      <c r="U536" s="817"/>
      <c r="V536" s="817">
        <f>Table11[[#This Row],[CLOSING BALANCE (USD)]]-Table11[[#This Row],[CB_BS (USD)]]</f>
        <v>0</v>
      </c>
      <c r="W536" s="1156" t="str">
        <f>VLOOKUP('Cash Balance'!$C536,Table2[#All],MATCH('Cash Balance'!W$3,Acc_Char!$B$1:$I$1,0),0)</f>
        <v>BWID JSC</v>
      </c>
      <c r="X536" s="1156" t="str">
        <f>VLOOKUP(IFERROR(MID($Y536,1,FIND("-",$Y536)-2),$Y536),Table3[#All],2,0)</f>
        <v>SNP</v>
      </c>
      <c r="Y536" s="1156" t="str">
        <f>VLOOKUP($B536,Table4[#All],2,0)</f>
        <v>SINOPAC</v>
      </c>
      <c r="Z536" s="1151"/>
      <c r="AA536" s="49"/>
    </row>
    <row r="537" spans="1:27">
      <c r="A537" s="1153" t="str">
        <f>VLOOKUP('Cash Balance'!$C537,Table2[#All],MATCH('Cash Balance'!A$3,Acc_Char!$B$1:$I$1,0),0)</f>
        <v>BWID THOI HOA 2</v>
      </c>
      <c r="B537" s="1154" t="str">
        <f>VLOOKUP('Cash Balance'!$C537,Table2[#All],MATCH('Cash Balance'!B$3,Acc_Char!$B$1:$I$1,0),0)</f>
        <v>KBank - HCM</v>
      </c>
      <c r="C537" s="1190" t="s">
        <v>1150</v>
      </c>
      <c r="D537" s="1156" t="str">
        <f>VLOOKUP('Cash Balance'!$C537,Table2[#All],MATCH('Cash Balance'!D$3,Acc_Char!$B$1:$I$1,0),0)</f>
        <v>Saving Account</v>
      </c>
      <c r="E537" s="384" t="str">
        <f>VLOOKUP('Cash Balance'!$C537,Table2[#All],MATCH('Cash Balance'!E$3,Acc_Char!$B$1:$I$1,0),0)</f>
        <v>VND</v>
      </c>
      <c r="F537" s="1094" t="e">
        <f>VLOOKUP(C537,'Cash balance (BS)'!A:C,3,)</f>
        <v>#N/A</v>
      </c>
      <c r="G537" s="1157" t="e">
        <f t="shared" si="47"/>
        <v>#N/A</v>
      </c>
      <c r="H537" s="1318">
        <f>SUMIFS('Cash balance (Prior period)'!F:F,'Cash balance (Prior period)'!C:C,Table11[[#This Row],[ACCOUNT NUMBER]],'Cash balance (Prior period)'!E:E,Table11[[#This Row],[CURRENCY]])</f>
        <v>0</v>
      </c>
      <c r="I537" s="1318">
        <f>SUMIFS(Movement!$F$4:$F$2136,Movement!$M$4:$M$2136,"VND",Movement!$C$4:$C$2136,Table11[[#This Row],[ACCOUNT NUMBER]],Movement!$J$4:$J$2136,Table11[[#This Row],[ENTITY]],Movement!$O$4:$O$2136,'Cash Balance'!$A$2)</f>
        <v>0</v>
      </c>
      <c r="J537" s="1318">
        <f>SUMIFS(Movement!$G$4:$G$2136,Movement!$M$4:$M$2136,"VND",Movement!$C$4:$C$2136,Table11[[#This Row],[ACCOUNT NUMBER]],Movement!$J$4:$J$2136,Table11[[#This Row],[ENTITY]],Movement!$O$4:$O$2136,'Cash Balance'!$A$2)</f>
        <v>0</v>
      </c>
      <c r="K537" s="1084">
        <f>Table11[[#This Row],[CASH IN - CREDIT (VND)]]-Table11[[#This Row],[CASH OUT - DEBIT (VND)]]</f>
        <v>0</v>
      </c>
      <c r="L537" s="1095">
        <f t="shared" si="48"/>
        <v>0</v>
      </c>
      <c r="M537" s="1184" t="e">
        <f>VLOOKUP(C537,'Cash balance (BS)'!A:D,4,)</f>
        <v>#N/A</v>
      </c>
      <c r="N537" s="1095" t="e">
        <f>Table11[[#This Row],[CLOSING BALANCE (VND)2]]-Table11[[#This Row],[CB_BS (VND)]]</f>
        <v>#N/A</v>
      </c>
      <c r="O537" s="1094">
        <v>0</v>
      </c>
      <c r="P537" s="1095">
        <f t="shared" si="49"/>
        <v>0</v>
      </c>
      <c r="Q537" s="817">
        <f>SUMIFS('Cash balance (Prior period)'!G:G,'Cash balance (Prior period)'!C:C,Table11[[#This Row],[ACCOUNT NUMBER]],'Cash balance (Prior period)'!E:E,Table11[[#This Row],[CURRENCY]])</f>
        <v>0</v>
      </c>
      <c r="R537" s="817">
        <f>SUMIFS(Movement!$F$4:$F$2136,Movement!$M$4:$M$2136,"USD",Movement!$C$4:$C$2136,Table11[[#This Row],[ACCOUNT NUMBER]],Movement!$J$4:$J$2136,Table11[[#This Row],[ENTITY]],Movement!$O$4:$O$2136,'Cash Balance'!$A$2)</f>
        <v>0</v>
      </c>
      <c r="S537" s="817">
        <f>SUMIFS(Movement!$G$4:$G$2136,Movement!$M$4:$M$2136,"USD",Movement!$C$4:$C$2136,Table11[[#This Row],[ACCOUNT NUMBER]],Movement!$J$4:$J$2136,Table11[[#This Row],[ENTITY]],Movement!$O$4:$O$2136,'Cash Balance'!$A$2)</f>
        <v>0</v>
      </c>
      <c r="T537" s="1087">
        <f t="shared" si="50"/>
        <v>0</v>
      </c>
      <c r="U537" s="817"/>
      <c r="V537" s="817">
        <f>Table11[[#This Row],[CLOSING BALANCE (USD)]]-Table11[[#This Row],[CB_BS (USD)]]</f>
        <v>0</v>
      </c>
      <c r="W537" s="1156" t="str">
        <f>VLOOKUP('Cash Balance'!$C537,Table2[#All],MATCH('Cash Balance'!W$3,Acc_Char!$B$1:$I$1,0),0)</f>
        <v>Subsidiaries</v>
      </c>
      <c r="X537" s="1156" t="str">
        <f>VLOOKUP(IFERROR(MID($Y537,1,FIND("-",$Y537)-2),$Y537),Table3[#All],2,0)</f>
        <v>Others</v>
      </c>
      <c r="Y537" s="1156" t="str">
        <f>VLOOKUP($B537,Table4[#All],2,0)</f>
        <v>OTHERS</v>
      </c>
      <c r="Z537" s="1151"/>
      <c r="AA537" s="49"/>
    </row>
    <row r="538" spans="1:27">
      <c r="A538" s="1153" t="str">
        <f>VLOOKUP('Cash Balance'!$C538,Table2[#All],MATCH('Cash Balance'!A$3,Acc_Char!$B$1:$I$1,0),0)</f>
        <v>KIM TRUC DN</v>
      </c>
      <c r="B538" s="1154" t="str">
        <f>VLOOKUP('Cash Balance'!$C538,Table2[#All],MATCH('Cash Balance'!B$3,Acc_Char!$B$1:$I$1,0),0)</f>
        <v>BIDV - NAM SAI GON</v>
      </c>
      <c r="C538" s="1190" t="s">
        <v>1151</v>
      </c>
      <c r="D538" s="1156" t="str">
        <f>VLOOKUP('Cash Balance'!$C538,Table2[#All],MATCH('Cash Balance'!D$3,Acc_Char!$B$1:$I$1,0),0)</f>
        <v>Saving Account</v>
      </c>
      <c r="E538" s="384" t="str">
        <f>VLOOKUP('Cash Balance'!$C538,Table2[#All],MATCH('Cash Balance'!E$3,Acc_Char!$B$1:$I$1,0),0)</f>
        <v>VND</v>
      </c>
      <c r="F538" s="1094" t="e">
        <f>VLOOKUP(C538,'Cash balance (BS)'!A:C,3,)</f>
        <v>#N/A</v>
      </c>
      <c r="G538" s="1157" t="e">
        <f t="shared" si="47"/>
        <v>#N/A</v>
      </c>
      <c r="H538" s="1318">
        <f>SUMIFS('Cash balance (Prior period)'!F:F,'Cash balance (Prior period)'!C:C,Table11[[#This Row],[ACCOUNT NUMBER]],'Cash balance (Prior period)'!E:E,Table11[[#This Row],[CURRENCY]])</f>
        <v>6000000000</v>
      </c>
      <c r="I538" s="1318">
        <f>SUMIFS(Movement!$F$4:$F$2136,Movement!$M$4:$M$2136,"VND",Movement!$C$4:$C$2136,Table11[[#This Row],[ACCOUNT NUMBER]],Movement!$J$4:$J$2136,Table11[[#This Row],[ENTITY]],Movement!$O$4:$O$2136,'Cash Balance'!$A$2)</f>
        <v>0</v>
      </c>
      <c r="J538" s="1318">
        <f>SUMIFS(Movement!$G$4:$G$2136,Movement!$M$4:$M$2136,"VND",Movement!$C$4:$C$2136,Table11[[#This Row],[ACCOUNT NUMBER]],Movement!$J$4:$J$2136,Table11[[#This Row],[ENTITY]],Movement!$O$4:$O$2136,'Cash Balance'!$A$2)</f>
        <v>0</v>
      </c>
      <c r="K538" s="1084">
        <f>Table11[[#This Row],[CASH IN - CREDIT (VND)]]-Table11[[#This Row],[CASH OUT - DEBIT (VND)]]</f>
        <v>0</v>
      </c>
      <c r="L538" s="1095">
        <f t="shared" si="48"/>
        <v>6000000000</v>
      </c>
      <c r="M538" s="1184" t="e">
        <f>VLOOKUP(C538,'Cash balance (BS)'!A:D,4,)</f>
        <v>#N/A</v>
      </c>
      <c r="N538" s="1095" t="e">
        <f>Table11[[#This Row],[CLOSING BALANCE (VND)2]]-Table11[[#This Row],[CB_BS (VND)]]</f>
        <v>#N/A</v>
      </c>
      <c r="O538" s="1094">
        <v>0</v>
      </c>
      <c r="P538" s="1095">
        <f t="shared" si="49"/>
        <v>0</v>
      </c>
      <c r="Q538" s="817">
        <f>SUMIFS('Cash balance (Prior period)'!G:G,'Cash balance (Prior period)'!C:C,Table11[[#This Row],[ACCOUNT NUMBER]],'Cash balance (Prior period)'!E:E,Table11[[#This Row],[CURRENCY]])</f>
        <v>0</v>
      </c>
      <c r="R538" s="817">
        <f>SUMIFS(Movement!$F$4:$F$2136,Movement!$M$4:$M$2136,"USD",Movement!$C$4:$C$2136,Table11[[#This Row],[ACCOUNT NUMBER]],Movement!$J$4:$J$2136,Table11[[#This Row],[ENTITY]],Movement!$O$4:$O$2136,'Cash Balance'!$A$2)</f>
        <v>0</v>
      </c>
      <c r="S538" s="817">
        <f>SUMIFS(Movement!$G$4:$G$2136,Movement!$M$4:$M$2136,"USD",Movement!$C$4:$C$2136,Table11[[#This Row],[ACCOUNT NUMBER]],Movement!$J$4:$J$2136,Table11[[#This Row],[ENTITY]],Movement!$O$4:$O$2136,'Cash Balance'!$A$2)</f>
        <v>0</v>
      </c>
      <c r="T538" s="1087">
        <f t="shared" si="50"/>
        <v>0</v>
      </c>
      <c r="U538" s="817"/>
      <c r="V538" s="817">
        <f>Table11[[#This Row],[CLOSING BALANCE (USD)]]-Table11[[#This Row],[CB_BS (USD)]]</f>
        <v>0</v>
      </c>
      <c r="W538" s="1156" t="str">
        <f>VLOOKUP('Cash Balance'!$C538,Table2[#All],MATCH('Cash Balance'!W$3,Acc_Char!$B$1:$I$1,0),0)</f>
        <v>Subsidiaries</v>
      </c>
      <c r="X538" s="1156" t="str">
        <f>VLOOKUP(IFERROR(MID($Y538,1,FIND("-",$Y538)-2),$Y538),Table3[#All],2,0)</f>
        <v>BIDV</v>
      </c>
      <c r="Y538" s="1156" t="str">
        <f>VLOOKUP($B538,Table4[#All],2,0)</f>
        <v>BIDV - NAM SAI GON</v>
      </c>
      <c r="Z538" s="1151"/>
      <c r="AA538" s="49"/>
    </row>
    <row r="539" spans="1:27">
      <c r="A539" s="1153" t="str">
        <f>VLOOKUP('Cash Balance'!$C539,Table2[#All],MATCH('Cash Balance'!A$3,Acc_Char!$B$1:$I$1,0),0)</f>
        <v>BWID NHON TRACH</v>
      </c>
      <c r="B539" s="1154" t="str">
        <f>VLOOKUP('Cash Balance'!$C539,Table2[#All],MATCH('Cash Balance'!B$3,Acc_Char!$B$1:$I$1,0),0)</f>
        <v>VIETCOMBANK - HCM</v>
      </c>
      <c r="C539" s="1190" t="s">
        <v>1152</v>
      </c>
      <c r="D539" s="1156" t="str">
        <f>VLOOKUP('Cash Balance'!$C539,Table2[#All],MATCH('Cash Balance'!D$3,Acc_Char!$B$1:$I$1,0),0)</f>
        <v>Saving Account</v>
      </c>
      <c r="E539" s="384" t="str">
        <f>VLOOKUP('Cash Balance'!$C539,Table2[#All],MATCH('Cash Balance'!E$3,Acc_Char!$B$1:$I$1,0),0)</f>
        <v>VND</v>
      </c>
      <c r="F539" s="1094" t="e">
        <f>VLOOKUP(C539,'Cash balance (BS)'!A:C,3,)</f>
        <v>#N/A</v>
      </c>
      <c r="G539" s="1157" t="e">
        <f t="shared" si="47"/>
        <v>#N/A</v>
      </c>
      <c r="H539" s="1318">
        <f>SUMIFS('Cash balance (Prior period)'!F:F,'Cash balance (Prior period)'!C:C,Table11[[#This Row],[ACCOUNT NUMBER]],'Cash balance (Prior period)'!E:E,Table11[[#This Row],[CURRENCY]])</f>
        <v>0</v>
      </c>
      <c r="I539" s="1318">
        <f>SUMIFS(Movement!$F$4:$F$2136,Movement!$M$4:$M$2136,"VND",Movement!$C$4:$C$2136,Table11[[#This Row],[ACCOUNT NUMBER]],Movement!$J$4:$J$2136,Table11[[#This Row],[ENTITY]],Movement!$O$4:$O$2136,'Cash Balance'!$A$2)</f>
        <v>0</v>
      </c>
      <c r="J539" s="1318">
        <f>SUMIFS(Movement!$G$4:$G$2136,Movement!$M$4:$M$2136,"VND",Movement!$C$4:$C$2136,Table11[[#This Row],[ACCOUNT NUMBER]],Movement!$J$4:$J$2136,Table11[[#This Row],[ENTITY]],Movement!$O$4:$O$2136,'Cash Balance'!$A$2)</f>
        <v>0</v>
      </c>
      <c r="K539" s="1084">
        <f>Table11[[#This Row],[CASH IN - CREDIT (VND)]]-Table11[[#This Row],[CASH OUT - DEBIT (VND)]]</f>
        <v>0</v>
      </c>
      <c r="L539" s="1095">
        <f t="shared" si="48"/>
        <v>0</v>
      </c>
      <c r="M539" s="1184" t="e">
        <f>VLOOKUP(C539,'Cash balance (BS)'!A:D,4,)</f>
        <v>#N/A</v>
      </c>
      <c r="N539" s="1095" t="e">
        <f>Table11[[#This Row],[CLOSING BALANCE (VND)2]]-Table11[[#This Row],[CB_BS (VND)]]</f>
        <v>#N/A</v>
      </c>
      <c r="O539" s="1094">
        <v>0</v>
      </c>
      <c r="P539" s="1095">
        <f t="shared" si="49"/>
        <v>0</v>
      </c>
      <c r="Q539" s="817">
        <f>SUMIFS('Cash balance (Prior period)'!G:G,'Cash balance (Prior period)'!C:C,Table11[[#This Row],[ACCOUNT NUMBER]],'Cash balance (Prior period)'!E:E,Table11[[#This Row],[CURRENCY]])</f>
        <v>0</v>
      </c>
      <c r="R539" s="817">
        <f>SUMIFS(Movement!$F$4:$F$2136,Movement!$M$4:$M$2136,"USD",Movement!$C$4:$C$2136,Table11[[#This Row],[ACCOUNT NUMBER]],Movement!$J$4:$J$2136,Table11[[#This Row],[ENTITY]],Movement!$O$4:$O$2136,'Cash Balance'!$A$2)</f>
        <v>0</v>
      </c>
      <c r="S539" s="817">
        <f>SUMIFS(Movement!$G$4:$G$2136,Movement!$M$4:$M$2136,"USD",Movement!$C$4:$C$2136,Table11[[#This Row],[ACCOUNT NUMBER]],Movement!$J$4:$J$2136,Table11[[#This Row],[ENTITY]],Movement!$O$4:$O$2136,'Cash Balance'!$A$2)</f>
        <v>0</v>
      </c>
      <c r="T539" s="1087">
        <f t="shared" si="50"/>
        <v>0</v>
      </c>
      <c r="U539" s="817"/>
      <c r="V539" s="817">
        <f>Table11[[#This Row],[CLOSING BALANCE (USD)]]-Table11[[#This Row],[CB_BS (USD)]]</f>
        <v>0</v>
      </c>
      <c r="W539" s="1156" t="str">
        <f>VLOOKUP('Cash Balance'!$C539,Table2[#All],MATCH('Cash Balance'!W$3,Acc_Char!$B$1:$I$1,0),0)</f>
        <v>Subsidiaries</v>
      </c>
      <c r="X539" s="1156" t="str">
        <f>VLOOKUP(IFERROR(MID($Y539,1,FIND("-",$Y539)-2),$Y539),Table3[#All],2,0)</f>
        <v>VCB</v>
      </c>
      <c r="Y539" s="1156" t="str">
        <f>VLOOKUP($B539,Table4[#All],2,0)</f>
        <v>VIETCOMBANK - HCM</v>
      </c>
      <c r="Z539" s="1151"/>
      <c r="AA539" s="49"/>
    </row>
    <row r="540" spans="1:27">
      <c r="A540" s="1153" t="str">
        <f>VLOOKUP('Cash Balance'!$C540,Table2[#All],MATCH('Cash Balance'!A$3,Acc_Char!$B$1:$I$1,0),0)</f>
        <v>SAO HOA</v>
      </c>
      <c r="B540" s="1154" t="str">
        <f>VLOOKUP('Cash Balance'!$C540,Table2[#All],MATCH('Cash Balance'!B$3,Acc_Char!$B$1:$I$1,0),0)</f>
        <v>VIETCOMBANK - HCM</v>
      </c>
      <c r="C540" s="1190" t="s">
        <v>1153</v>
      </c>
      <c r="D540" s="1156" t="str">
        <f>VLOOKUP('Cash Balance'!$C540,Table2[#All],MATCH('Cash Balance'!D$3,Acc_Char!$B$1:$I$1,0),0)</f>
        <v>Saving Account</v>
      </c>
      <c r="E540" s="384" t="str">
        <f>VLOOKUP('Cash Balance'!$C540,Table2[#All],MATCH('Cash Balance'!E$3,Acc_Char!$B$1:$I$1,0),0)</f>
        <v>VND</v>
      </c>
      <c r="F540" s="1094" t="e">
        <f>VLOOKUP(C540,'Cash balance (BS)'!A:C,3,)</f>
        <v>#N/A</v>
      </c>
      <c r="G540" s="1157" t="e">
        <f t="shared" si="47"/>
        <v>#N/A</v>
      </c>
      <c r="H540" s="1318">
        <f>SUMIFS('Cash balance (Prior period)'!F:F,'Cash balance (Prior period)'!C:C,Table11[[#This Row],[ACCOUNT NUMBER]],'Cash balance (Prior period)'!E:E,Table11[[#This Row],[CURRENCY]])</f>
        <v>0</v>
      </c>
      <c r="I540" s="1318">
        <f>SUMIFS(Movement!$F$4:$F$2136,Movement!$M$4:$M$2136,"VND",Movement!$C$4:$C$2136,Table11[[#This Row],[ACCOUNT NUMBER]],Movement!$J$4:$J$2136,Table11[[#This Row],[ENTITY]],Movement!$O$4:$O$2136,'Cash Balance'!$A$2)</f>
        <v>0</v>
      </c>
      <c r="J540" s="1318">
        <f>SUMIFS(Movement!$G$4:$G$2136,Movement!$M$4:$M$2136,"VND",Movement!$C$4:$C$2136,Table11[[#This Row],[ACCOUNT NUMBER]],Movement!$J$4:$J$2136,Table11[[#This Row],[ENTITY]],Movement!$O$4:$O$2136,'Cash Balance'!$A$2)</f>
        <v>0</v>
      </c>
      <c r="K540" s="1084">
        <f>Table11[[#This Row],[CASH IN - CREDIT (VND)]]-Table11[[#This Row],[CASH OUT - DEBIT (VND)]]</f>
        <v>0</v>
      </c>
      <c r="L540" s="1095">
        <f t="shared" si="48"/>
        <v>0</v>
      </c>
      <c r="M540" s="1184" t="e">
        <f>VLOOKUP(C540,'Cash balance (BS)'!A:D,4,)</f>
        <v>#N/A</v>
      </c>
      <c r="N540" s="1095" t="e">
        <f>Table11[[#This Row],[CLOSING BALANCE (VND)2]]-Table11[[#This Row],[CB_BS (VND)]]</f>
        <v>#N/A</v>
      </c>
      <c r="O540" s="1094">
        <v>0</v>
      </c>
      <c r="P540" s="1095">
        <f t="shared" si="49"/>
        <v>0</v>
      </c>
      <c r="Q540" s="817">
        <f>SUMIFS('Cash balance (Prior period)'!G:G,'Cash balance (Prior period)'!C:C,Table11[[#This Row],[ACCOUNT NUMBER]],'Cash balance (Prior period)'!E:E,Table11[[#This Row],[CURRENCY]])</f>
        <v>0</v>
      </c>
      <c r="R540" s="817">
        <f>SUMIFS(Movement!$F$4:$F$2136,Movement!$M$4:$M$2136,"USD",Movement!$C$4:$C$2136,Table11[[#This Row],[ACCOUNT NUMBER]],Movement!$J$4:$J$2136,Table11[[#This Row],[ENTITY]],Movement!$O$4:$O$2136,'Cash Balance'!$A$2)</f>
        <v>0</v>
      </c>
      <c r="S540" s="817">
        <f>SUMIFS(Movement!$G$4:$G$2136,Movement!$M$4:$M$2136,"USD",Movement!$C$4:$C$2136,Table11[[#This Row],[ACCOUNT NUMBER]],Movement!$J$4:$J$2136,Table11[[#This Row],[ENTITY]],Movement!$O$4:$O$2136,'Cash Balance'!$A$2)</f>
        <v>0</v>
      </c>
      <c r="T540" s="1087">
        <f t="shared" si="50"/>
        <v>0</v>
      </c>
      <c r="U540" s="817"/>
      <c r="V540" s="817">
        <f>Table11[[#This Row],[CLOSING BALANCE (USD)]]-Table11[[#This Row],[CB_BS (USD)]]</f>
        <v>0</v>
      </c>
      <c r="W540" s="1156" t="str">
        <f>VLOOKUP('Cash Balance'!$C540,Table2[#All],MATCH('Cash Balance'!W$3,Acc_Char!$B$1:$I$1,0),0)</f>
        <v>VC3</v>
      </c>
      <c r="X540" s="1156" t="str">
        <f>VLOOKUP(IFERROR(MID($Y540,1,FIND("-",$Y540)-2),$Y540),Table3[#All],2,0)</f>
        <v>VCB</v>
      </c>
      <c r="Y540" s="1156" t="str">
        <f>VLOOKUP($B540,Table4[#All],2,0)</f>
        <v>VIETCOMBANK - HCM</v>
      </c>
      <c r="Z540" s="1151"/>
      <c r="AA540" s="49"/>
    </row>
    <row r="541" spans="1:27">
      <c r="A541" s="1153" t="str">
        <f>VLOOKUP('Cash Balance'!$C541,Table2[#All],MATCH('Cash Balance'!A$3,Acc_Char!$B$1:$I$1,0),0)</f>
        <v>SAO HOA</v>
      </c>
      <c r="B541" s="1154" t="str">
        <f>VLOOKUP('Cash Balance'!$C541,Table2[#All],MATCH('Cash Balance'!B$3,Acc_Char!$B$1:$I$1,0),0)</f>
        <v>VIETCOMBANK - BA DINH</v>
      </c>
      <c r="C541" s="1190" t="s">
        <v>1154</v>
      </c>
      <c r="D541" s="1156" t="str">
        <f>VLOOKUP('Cash Balance'!$C541,Table2[#All],MATCH('Cash Balance'!D$3,Acc_Char!$B$1:$I$1,0),0)</f>
        <v>Saving Account</v>
      </c>
      <c r="E541" s="384" t="str">
        <f>VLOOKUP('Cash Balance'!$C541,Table2[#All],MATCH('Cash Balance'!E$3,Acc_Char!$B$1:$I$1,0),0)</f>
        <v>VND</v>
      </c>
      <c r="F541" s="1094" t="e">
        <f>VLOOKUP(C541,'Cash balance (BS)'!A:C,3,)</f>
        <v>#N/A</v>
      </c>
      <c r="G541" s="1157" t="e">
        <f t="shared" si="47"/>
        <v>#N/A</v>
      </c>
      <c r="H541" s="1318">
        <f>SUMIFS('Cash balance (Prior period)'!F:F,'Cash balance (Prior period)'!C:C,Table11[[#This Row],[ACCOUNT NUMBER]],'Cash balance (Prior period)'!E:E,Table11[[#This Row],[CURRENCY]])</f>
        <v>0</v>
      </c>
      <c r="I541" s="1318">
        <f>SUMIFS(Movement!$F$4:$F$2136,Movement!$M$4:$M$2136,"VND",Movement!$C$4:$C$2136,Table11[[#This Row],[ACCOUNT NUMBER]],Movement!$J$4:$J$2136,Table11[[#This Row],[ENTITY]],Movement!$O$4:$O$2136,'Cash Balance'!$A$2)</f>
        <v>0</v>
      </c>
      <c r="J541" s="1318">
        <f>SUMIFS(Movement!$G$4:$G$2136,Movement!$M$4:$M$2136,"VND",Movement!$C$4:$C$2136,Table11[[#This Row],[ACCOUNT NUMBER]],Movement!$J$4:$J$2136,Table11[[#This Row],[ENTITY]],Movement!$O$4:$O$2136,'Cash Balance'!$A$2)</f>
        <v>0</v>
      </c>
      <c r="K541" s="1084">
        <f>Table11[[#This Row],[CASH IN - CREDIT (VND)]]-Table11[[#This Row],[CASH OUT - DEBIT (VND)]]</f>
        <v>0</v>
      </c>
      <c r="L541" s="1095">
        <f t="shared" si="48"/>
        <v>0</v>
      </c>
      <c r="M541" s="1184" t="e">
        <f>VLOOKUP(C541,'Cash balance (BS)'!A:D,4,)</f>
        <v>#N/A</v>
      </c>
      <c r="N541" s="1095" t="e">
        <f>Table11[[#This Row],[CLOSING BALANCE (VND)2]]-Table11[[#This Row],[CB_BS (VND)]]</f>
        <v>#N/A</v>
      </c>
      <c r="O541" s="1094">
        <v>0</v>
      </c>
      <c r="P541" s="1095">
        <f t="shared" si="49"/>
        <v>0</v>
      </c>
      <c r="Q541" s="817">
        <f>SUMIFS('Cash balance (Prior period)'!G:G,'Cash balance (Prior period)'!C:C,Table11[[#This Row],[ACCOUNT NUMBER]],'Cash balance (Prior period)'!E:E,Table11[[#This Row],[CURRENCY]])</f>
        <v>0</v>
      </c>
      <c r="R541" s="817">
        <f>SUMIFS(Movement!$F$4:$F$2136,Movement!$M$4:$M$2136,"USD",Movement!$C$4:$C$2136,Table11[[#This Row],[ACCOUNT NUMBER]],Movement!$J$4:$J$2136,Table11[[#This Row],[ENTITY]],Movement!$O$4:$O$2136,'Cash Balance'!$A$2)</f>
        <v>0</v>
      </c>
      <c r="S541" s="817">
        <f>SUMIFS(Movement!$G$4:$G$2136,Movement!$M$4:$M$2136,"USD",Movement!$C$4:$C$2136,Table11[[#This Row],[ACCOUNT NUMBER]],Movement!$J$4:$J$2136,Table11[[#This Row],[ENTITY]],Movement!$O$4:$O$2136,'Cash Balance'!$A$2)</f>
        <v>0</v>
      </c>
      <c r="T541" s="1087">
        <f t="shared" si="50"/>
        <v>0</v>
      </c>
      <c r="U541" s="817"/>
      <c r="V541" s="817">
        <f>Table11[[#This Row],[CLOSING BALANCE (USD)]]-Table11[[#This Row],[CB_BS (USD)]]</f>
        <v>0</v>
      </c>
      <c r="W541" s="1156" t="str">
        <f>VLOOKUP('Cash Balance'!$C541,Table2[#All],MATCH('Cash Balance'!W$3,Acc_Char!$B$1:$I$1,0),0)</f>
        <v>VC3</v>
      </c>
      <c r="X541" s="1156" t="str">
        <f>VLOOKUP(IFERROR(MID($Y541,1,FIND("-",$Y541)-2),$Y541),Table3[#All],2,0)</f>
        <v>VCB</v>
      </c>
      <c r="Y541" s="1156" t="str">
        <f>VLOOKUP($B541,Table4[#All],2,0)</f>
        <v>VIETCOMBANK - BA DINH</v>
      </c>
      <c r="Z541" s="1151"/>
      <c r="AA541" s="49"/>
    </row>
    <row r="542" spans="1:27">
      <c r="A542" s="1153" t="str">
        <f>VLOOKUP('Cash Balance'!$C542,Table2[#All],MATCH('Cash Balance'!A$3,Acc_Char!$B$1:$I$1,0),0)</f>
        <v>BWID THOI HOA 2</v>
      </c>
      <c r="B542" s="1154" t="str">
        <f>VLOOKUP('Cash Balance'!$C542,Table2[#All],MATCH('Cash Balance'!B$3,Acc_Char!$B$1:$I$1,0),0)</f>
        <v>KBank - HCM</v>
      </c>
      <c r="C542" s="1190" t="s">
        <v>1155</v>
      </c>
      <c r="D542" s="1156" t="str">
        <f>VLOOKUP('Cash Balance'!$C542,Table2[#All],MATCH('Cash Balance'!D$3,Acc_Char!$B$1:$I$1,0),0)</f>
        <v>Saving Account</v>
      </c>
      <c r="E542" s="384" t="str">
        <f>VLOOKUP('Cash Balance'!$C542,Table2[#All],MATCH('Cash Balance'!E$3,Acc_Char!$B$1:$I$1,0),0)</f>
        <v>VND</v>
      </c>
      <c r="F542" s="1094" t="e">
        <f>VLOOKUP(C542,'Cash balance (BS)'!A:C,3,)</f>
        <v>#N/A</v>
      </c>
      <c r="G542" s="1157" t="e">
        <f t="shared" si="47"/>
        <v>#N/A</v>
      </c>
      <c r="H542" s="1318">
        <f>SUMIFS('Cash balance (Prior period)'!F:F,'Cash balance (Prior period)'!C:C,Table11[[#This Row],[ACCOUNT NUMBER]],'Cash balance (Prior period)'!E:E,Table11[[#This Row],[CURRENCY]])</f>
        <v>0</v>
      </c>
      <c r="I542" s="1318">
        <f>SUMIFS(Movement!$F$4:$F$2136,Movement!$M$4:$M$2136,"VND",Movement!$C$4:$C$2136,Table11[[#This Row],[ACCOUNT NUMBER]],Movement!$J$4:$J$2136,Table11[[#This Row],[ENTITY]],Movement!$O$4:$O$2136,'Cash Balance'!$A$2)</f>
        <v>0</v>
      </c>
      <c r="J542" s="1318">
        <f>SUMIFS(Movement!$G$4:$G$2136,Movement!$M$4:$M$2136,"VND",Movement!$C$4:$C$2136,Table11[[#This Row],[ACCOUNT NUMBER]],Movement!$J$4:$J$2136,Table11[[#This Row],[ENTITY]],Movement!$O$4:$O$2136,'Cash Balance'!$A$2)</f>
        <v>0</v>
      </c>
      <c r="K542" s="1084">
        <f>Table11[[#This Row],[CASH IN - CREDIT (VND)]]-Table11[[#This Row],[CASH OUT - DEBIT (VND)]]</f>
        <v>0</v>
      </c>
      <c r="L542" s="1095">
        <f t="shared" si="48"/>
        <v>0</v>
      </c>
      <c r="M542" s="1184" t="e">
        <f>VLOOKUP(C542,'Cash balance (BS)'!A:D,4,)</f>
        <v>#N/A</v>
      </c>
      <c r="N542" s="1095" t="e">
        <f>Table11[[#This Row],[CLOSING BALANCE (VND)2]]-Table11[[#This Row],[CB_BS (VND)]]</f>
        <v>#N/A</v>
      </c>
      <c r="O542" s="1094">
        <v>0</v>
      </c>
      <c r="P542" s="1095">
        <f t="shared" si="49"/>
        <v>0</v>
      </c>
      <c r="Q542" s="817">
        <f>SUMIFS('Cash balance (Prior period)'!G:G,'Cash balance (Prior period)'!C:C,Table11[[#This Row],[ACCOUNT NUMBER]],'Cash balance (Prior period)'!E:E,Table11[[#This Row],[CURRENCY]])</f>
        <v>0</v>
      </c>
      <c r="R542" s="817">
        <f>SUMIFS(Movement!$F$4:$F$2136,Movement!$M$4:$M$2136,"USD",Movement!$C$4:$C$2136,Table11[[#This Row],[ACCOUNT NUMBER]],Movement!$J$4:$J$2136,Table11[[#This Row],[ENTITY]],Movement!$O$4:$O$2136,'Cash Balance'!$A$2)</f>
        <v>0</v>
      </c>
      <c r="S542" s="817">
        <f>SUMIFS(Movement!$G$4:$G$2136,Movement!$M$4:$M$2136,"USD",Movement!$C$4:$C$2136,Table11[[#This Row],[ACCOUNT NUMBER]],Movement!$J$4:$J$2136,Table11[[#This Row],[ENTITY]],Movement!$O$4:$O$2136,'Cash Balance'!$A$2)</f>
        <v>0</v>
      </c>
      <c r="T542" s="1087">
        <f t="shared" si="50"/>
        <v>0</v>
      </c>
      <c r="U542" s="817"/>
      <c r="V542" s="817">
        <f>Table11[[#This Row],[CLOSING BALANCE (USD)]]-Table11[[#This Row],[CB_BS (USD)]]</f>
        <v>0</v>
      </c>
      <c r="W542" s="1156" t="str">
        <f>VLOOKUP('Cash Balance'!$C542,Table2[#All],MATCH('Cash Balance'!W$3,Acc_Char!$B$1:$I$1,0),0)</f>
        <v>Subsidiaries</v>
      </c>
      <c r="X542" s="1156" t="str">
        <f>VLOOKUP(IFERROR(MID($Y542,1,FIND("-",$Y542)-2),$Y542),Table3[#All],2,0)</f>
        <v>Others</v>
      </c>
      <c r="Y542" s="1156" t="str">
        <f>VLOOKUP($B542,Table4[#All],2,0)</f>
        <v>OTHERS</v>
      </c>
      <c r="Z542" s="1151"/>
      <c r="AA542" s="49"/>
    </row>
    <row r="543" spans="1:27">
      <c r="A543" s="1153" t="str">
        <f>VLOOKUP('Cash Balance'!$C543,Table2[#All],MATCH('Cash Balance'!A$3,Acc_Char!$B$1:$I$1,0),0)</f>
        <v>SAO HOA</v>
      </c>
      <c r="B543" s="1154" t="str">
        <f>VLOOKUP('Cash Balance'!$C543,Table2[#All],MATCH('Cash Balance'!B$3,Acc_Char!$B$1:$I$1,0),0)</f>
        <v>VIETINBANK - TPHCM</v>
      </c>
      <c r="C543" s="1190" t="s">
        <v>1156</v>
      </c>
      <c r="D543" s="1156" t="str">
        <f>VLOOKUP('Cash Balance'!$C543,Table2[#All],MATCH('Cash Balance'!D$3,Acc_Char!$B$1:$I$1,0),0)</f>
        <v>Saving Account</v>
      </c>
      <c r="E543" s="384" t="str">
        <f>VLOOKUP('Cash Balance'!$C543,Table2[#All],MATCH('Cash Balance'!E$3,Acc_Char!$B$1:$I$1,0),0)</f>
        <v>VND</v>
      </c>
      <c r="F543" s="1094" t="e">
        <f>VLOOKUP(C543,'Cash balance (BS)'!A:C,3,)</f>
        <v>#N/A</v>
      </c>
      <c r="G543" s="1157" t="e">
        <f t="shared" si="47"/>
        <v>#N/A</v>
      </c>
      <c r="H543" s="1318">
        <f>SUMIFS('Cash balance (Prior period)'!F:F,'Cash balance (Prior period)'!C:C,Table11[[#This Row],[ACCOUNT NUMBER]],'Cash balance (Prior period)'!E:E,Table11[[#This Row],[CURRENCY]])</f>
        <v>0</v>
      </c>
      <c r="I543" s="1318">
        <f>SUMIFS(Movement!$F$4:$F$2136,Movement!$M$4:$M$2136,"VND",Movement!$C$4:$C$2136,Table11[[#This Row],[ACCOUNT NUMBER]],Movement!$J$4:$J$2136,Table11[[#This Row],[ENTITY]],Movement!$O$4:$O$2136,'Cash Balance'!$A$2)</f>
        <v>0</v>
      </c>
      <c r="J543" s="1318">
        <f>SUMIFS(Movement!$G$4:$G$2136,Movement!$M$4:$M$2136,"VND",Movement!$C$4:$C$2136,Table11[[#This Row],[ACCOUNT NUMBER]],Movement!$J$4:$J$2136,Table11[[#This Row],[ENTITY]],Movement!$O$4:$O$2136,'Cash Balance'!$A$2)</f>
        <v>0</v>
      </c>
      <c r="K543" s="1084">
        <f>Table11[[#This Row],[CASH IN - CREDIT (VND)]]-Table11[[#This Row],[CASH OUT - DEBIT (VND)]]</f>
        <v>0</v>
      </c>
      <c r="L543" s="1095">
        <f t="shared" si="48"/>
        <v>0</v>
      </c>
      <c r="M543" s="1184" t="e">
        <f>VLOOKUP(C543,'Cash balance (BS)'!A:D,4,)</f>
        <v>#N/A</v>
      </c>
      <c r="N543" s="1095" t="e">
        <f>Table11[[#This Row],[CLOSING BALANCE (VND)2]]-Table11[[#This Row],[CB_BS (VND)]]</f>
        <v>#N/A</v>
      </c>
      <c r="O543" s="1094">
        <v>0</v>
      </c>
      <c r="P543" s="1095">
        <f t="shared" si="49"/>
        <v>0</v>
      </c>
      <c r="Q543" s="817">
        <f>SUMIFS('Cash balance (Prior period)'!G:G,'Cash balance (Prior period)'!C:C,Table11[[#This Row],[ACCOUNT NUMBER]],'Cash balance (Prior period)'!E:E,Table11[[#This Row],[CURRENCY]])</f>
        <v>0</v>
      </c>
      <c r="R543" s="817">
        <f>SUMIFS(Movement!$F$4:$F$2136,Movement!$M$4:$M$2136,"USD",Movement!$C$4:$C$2136,Table11[[#This Row],[ACCOUNT NUMBER]],Movement!$J$4:$J$2136,Table11[[#This Row],[ENTITY]],Movement!$O$4:$O$2136,'Cash Balance'!$A$2)</f>
        <v>0</v>
      </c>
      <c r="S543" s="817">
        <f>SUMIFS(Movement!$G$4:$G$2136,Movement!$M$4:$M$2136,"USD",Movement!$C$4:$C$2136,Table11[[#This Row],[ACCOUNT NUMBER]],Movement!$J$4:$J$2136,Table11[[#This Row],[ENTITY]],Movement!$O$4:$O$2136,'Cash Balance'!$A$2)</f>
        <v>0</v>
      </c>
      <c r="T543" s="1087">
        <f t="shared" si="50"/>
        <v>0</v>
      </c>
      <c r="U543" s="817"/>
      <c r="V543" s="817">
        <f>Table11[[#This Row],[CLOSING BALANCE (USD)]]-Table11[[#This Row],[CB_BS (USD)]]</f>
        <v>0</v>
      </c>
      <c r="W543" s="1156" t="str">
        <f>VLOOKUP('Cash Balance'!$C543,Table2[#All],MATCH('Cash Balance'!W$3,Acc_Char!$B$1:$I$1,0),0)</f>
        <v>VC3</v>
      </c>
      <c r="X543" s="1156" t="str">
        <f>VLOOKUP(IFERROR(MID($Y543,1,FIND("-",$Y543)-2),$Y543),Table3[#All],2,0)</f>
        <v>VTB</v>
      </c>
      <c r="Y543" s="1156" t="str">
        <f>VLOOKUP($B543,Table4[#All],2,0)</f>
        <v>VIETINBANK - TPHCM</v>
      </c>
      <c r="Z543" s="1151"/>
      <c r="AA543" s="49"/>
    </row>
    <row r="544" spans="1:27">
      <c r="A544" s="1153" t="str">
        <f>VLOOKUP('Cash Balance'!$C544,Table2[#All],MATCH('Cash Balance'!A$3,Acc_Char!$B$1:$I$1,0),0)</f>
        <v>HOLDCO4X</v>
      </c>
      <c r="B544" s="1154" t="str">
        <f>VLOOKUP('Cash Balance'!$C544,Table2[#All],MATCH('Cash Balance'!B$3,Acc_Char!$B$1:$I$1,0),0)</f>
        <v>UOB - HCM</v>
      </c>
      <c r="C544" s="1190" t="s">
        <v>1157</v>
      </c>
      <c r="D544" s="1156" t="str">
        <f>VLOOKUP('Cash Balance'!$C544,Table2[#All],MATCH('Cash Balance'!D$3,Acc_Char!$B$1:$I$1,0),0)</f>
        <v>Current Account</v>
      </c>
      <c r="E544" s="384" t="str">
        <f>VLOOKUP('Cash Balance'!$C544,Table2[#All],MATCH('Cash Balance'!E$3,Acc_Char!$B$1:$I$1,0),0)</f>
        <v>VND</v>
      </c>
      <c r="F544" s="1230" t="e">
        <f>VLOOKUP(C544,'Cash balance (BS)'!A:C,3,)</f>
        <v>#N/A</v>
      </c>
      <c r="G544" s="1157" t="e">
        <f>F544-H544</f>
        <v>#N/A</v>
      </c>
      <c r="H544" s="1319">
        <f>SUMIFS('Cash balance (Prior period)'!F:F,'Cash balance (Prior period)'!C:C,Table11[[#This Row],[ACCOUNT NUMBER]],'Cash balance (Prior period)'!E:E,Table11[[#This Row],[CURRENCY]])</f>
        <v>4612601</v>
      </c>
      <c r="I544" s="1319">
        <f>SUMIFS(Movement!$F$4:$F$2136,Movement!$M$4:$M$2136,"VND",Movement!$C$4:$C$2136,Table11[[#This Row],[ACCOUNT NUMBER]],Movement!$J$4:$J$2136,Table11[[#This Row],[ENTITY]],Movement!$O$4:$O$2136,'Cash Balance'!$A$2)</f>
        <v>0</v>
      </c>
      <c r="J544" s="1319">
        <f>SUMIFS(Movement!$G$4:$G$2136,Movement!$M$4:$M$2136,"VND",Movement!$C$4:$C$2136,Table11[[#This Row],[ACCOUNT NUMBER]],Movement!$J$4:$J$2136,Table11[[#This Row],[ENTITY]],Movement!$O$4:$O$2136,'Cash Balance'!$A$2)</f>
        <v>0</v>
      </c>
      <c r="K544" s="1224">
        <f>Table11[[#This Row],[CASH IN - CREDIT (VND)]]-Table11[[#This Row],[CASH OUT - DEBIT (VND)]]</f>
        <v>0</v>
      </c>
      <c r="L544" s="1225">
        <f>H544+I544-J544</f>
        <v>4612601</v>
      </c>
      <c r="M544" s="1184" t="e">
        <f>VLOOKUP(C544,'Cash balance (BS)'!A:D,4,)</f>
        <v>#N/A</v>
      </c>
      <c r="N544" s="1225" t="e">
        <f>Table11[[#This Row],[CLOSING BALANCE (VND)2]]-Table11[[#This Row],[CB_BS (VND)]]</f>
        <v>#N/A</v>
      </c>
      <c r="O544" s="1094">
        <v>0</v>
      </c>
      <c r="P544" s="1225">
        <f>O544-Q544</f>
        <v>0</v>
      </c>
      <c r="Q544" s="1285">
        <f>SUMIFS('Cash balance (Prior period)'!G:G,'Cash balance (Prior period)'!C:C,Table11[[#This Row],[ACCOUNT NUMBER]],'Cash balance (Prior period)'!E:E,Table11[[#This Row],[CURRENCY]])</f>
        <v>0</v>
      </c>
      <c r="R544" s="1285">
        <f>SUMIFS(Movement!$F$4:$F$2136,Movement!$M$4:$M$2136,"USD",Movement!$C$4:$C$2136,Table11[[#This Row],[ACCOUNT NUMBER]],Movement!$J$4:$J$2136,Table11[[#This Row],[ENTITY]],Movement!$O$4:$O$2136,'Cash Balance'!$A$2)</f>
        <v>0</v>
      </c>
      <c r="S544" s="1285">
        <f>SUMIFS(Movement!$G$4:$G$2136,Movement!$M$4:$M$2136,"USD",Movement!$C$4:$C$2136,Table11[[#This Row],[ACCOUNT NUMBER]],Movement!$J$4:$J$2136,Table11[[#This Row],[ENTITY]],Movement!$O$4:$O$2136,'Cash Balance'!$A$2)</f>
        <v>0</v>
      </c>
      <c r="T544" s="1236">
        <f>Q544+R544-S544</f>
        <v>0</v>
      </c>
      <c r="U544" s="1285"/>
      <c r="V544" s="817">
        <f>Table11[[#This Row],[CLOSING BALANCE (USD)]]-Table11[[#This Row],[CB_BS (USD)]]</f>
        <v>0</v>
      </c>
      <c r="W544" s="1156" t="str">
        <f>VLOOKUP('Cash Balance'!$C544,Table2[#All],MATCH('Cash Balance'!W$3,Acc_Char!$B$1:$I$1,0),0)</f>
        <v>Subsidiaries</v>
      </c>
      <c r="X544" s="1156" t="str">
        <f>VLOOKUP(IFERROR(MID($Y544,1,FIND("-",$Y544)-2),$Y544),Table3[#All],2,0)</f>
        <v>UOB</v>
      </c>
      <c r="Y544" s="1156" t="str">
        <f>VLOOKUP($B544,Table4[#All],2,0)</f>
        <v>UOB</v>
      </c>
      <c r="Z544" s="1151"/>
      <c r="AA544" s="49"/>
    </row>
    <row r="545" spans="1:27">
      <c r="A545" s="1153" t="str">
        <f>VLOOKUP('Cash Balance'!$C545,Table2[#All],MATCH('Cash Balance'!A$3,Acc_Char!$B$1:$I$1,0),0)</f>
        <v>HOLDCO5Q</v>
      </c>
      <c r="B545" s="1154" t="str">
        <f>VLOOKUP('Cash Balance'!$C545,Table2[#All],MATCH('Cash Balance'!B$3,Acc_Char!$B$1:$I$1,0),0)</f>
        <v>UOB - HCM</v>
      </c>
      <c r="C545" s="1190" t="s">
        <v>1158</v>
      </c>
      <c r="D545" s="1156" t="str">
        <f>VLOOKUP('Cash Balance'!$C545,Table2[#All],MATCH('Cash Balance'!D$3,Acc_Char!$B$1:$I$1,0),0)</f>
        <v>Current Account</v>
      </c>
      <c r="E545" s="384" t="str">
        <f>VLOOKUP('Cash Balance'!$C545,Table2[#All],MATCH('Cash Balance'!E$3,Acc_Char!$B$1:$I$1,0),0)</f>
        <v>VND</v>
      </c>
      <c r="F545" s="1230" t="e">
        <f>VLOOKUP(C545,'Cash balance (BS)'!A:C,3,)</f>
        <v>#N/A</v>
      </c>
      <c r="G545" s="1157" t="e">
        <f>F545-H545</f>
        <v>#N/A</v>
      </c>
      <c r="H545" s="1319">
        <f>SUMIFS('Cash balance (Prior period)'!F:F,'Cash balance (Prior period)'!C:C,Table11[[#This Row],[ACCOUNT NUMBER]],'Cash balance (Prior period)'!E:E,Table11[[#This Row],[CURRENCY]])</f>
        <v>2804709</v>
      </c>
      <c r="I545" s="1319">
        <f>SUMIFS(Movement!$F$4:$F$2136,Movement!$M$4:$M$2136,"VND",Movement!$C$4:$C$2136,Table11[[#This Row],[ACCOUNT NUMBER]],Movement!$J$4:$J$2136,Table11[[#This Row],[ENTITY]],Movement!$O$4:$O$2136,'Cash Balance'!$A$2)</f>
        <v>0</v>
      </c>
      <c r="J545" s="1319">
        <f>SUMIFS(Movement!$G$4:$G$2136,Movement!$M$4:$M$2136,"VND",Movement!$C$4:$C$2136,Table11[[#This Row],[ACCOUNT NUMBER]],Movement!$J$4:$J$2136,Table11[[#This Row],[ENTITY]],Movement!$O$4:$O$2136,'Cash Balance'!$A$2)</f>
        <v>0</v>
      </c>
      <c r="K545" s="1224">
        <f>Table11[[#This Row],[CASH IN - CREDIT (VND)]]-Table11[[#This Row],[CASH OUT - DEBIT (VND)]]</f>
        <v>0</v>
      </c>
      <c r="L545" s="1225">
        <f>H545+I545-J545</f>
        <v>2804709</v>
      </c>
      <c r="M545" s="1184" t="e">
        <f>VLOOKUP(C545,'Cash balance (BS)'!A:D,4,)</f>
        <v>#N/A</v>
      </c>
      <c r="N545" s="1225" t="e">
        <f>Table11[[#This Row],[CLOSING BALANCE (VND)2]]-Table11[[#This Row],[CB_BS (VND)]]</f>
        <v>#N/A</v>
      </c>
      <c r="O545" s="1094">
        <v>0</v>
      </c>
      <c r="P545" s="1225">
        <f>O545-Q545</f>
        <v>0</v>
      </c>
      <c r="Q545" s="1285">
        <f>SUMIFS('Cash balance (Prior period)'!G:G,'Cash balance (Prior period)'!C:C,Table11[[#This Row],[ACCOUNT NUMBER]],'Cash balance (Prior period)'!E:E,Table11[[#This Row],[CURRENCY]])</f>
        <v>0</v>
      </c>
      <c r="R545" s="1285">
        <f>SUMIFS(Movement!$F$4:$F$2136,Movement!$M$4:$M$2136,"USD",Movement!$C$4:$C$2136,Table11[[#This Row],[ACCOUNT NUMBER]],Movement!$J$4:$J$2136,Table11[[#This Row],[ENTITY]],Movement!$O$4:$O$2136,'Cash Balance'!$A$2)</f>
        <v>0</v>
      </c>
      <c r="S545" s="1285">
        <f>SUMIFS(Movement!$G$4:$G$2136,Movement!$M$4:$M$2136,"USD",Movement!$C$4:$C$2136,Table11[[#This Row],[ACCOUNT NUMBER]],Movement!$J$4:$J$2136,Table11[[#This Row],[ENTITY]],Movement!$O$4:$O$2136,'Cash Balance'!$A$2)</f>
        <v>0</v>
      </c>
      <c r="T545" s="1236">
        <f>Q545+R545-S545</f>
        <v>0</v>
      </c>
      <c r="U545" s="1285"/>
      <c r="V545" s="817">
        <f>Table11[[#This Row],[CLOSING BALANCE (USD)]]-Table11[[#This Row],[CB_BS (USD)]]</f>
        <v>0</v>
      </c>
      <c r="W545" s="1156" t="str">
        <f>VLOOKUP('Cash Balance'!$C545,Table2[#All],MATCH('Cash Balance'!W$3,Acc_Char!$B$1:$I$1,0),0)</f>
        <v>Subsidiaries</v>
      </c>
      <c r="X545" s="1156" t="str">
        <f>VLOOKUP(IFERROR(MID($Y545,1,FIND("-",$Y545)-2),$Y545),Table3[#All],2,0)</f>
        <v>UOB</v>
      </c>
      <c r="Y545" s="1156" t="str">
        <f>VLOOKUP($B545,Table4[#All],2,0)</f>
        <v>UOB</v>
      </c>
      <c r="Z545" s="1151"/>
      <c r="AA545" s="49"/>
    </row>
    <row r="546" spans="1:27">
      <c r="A546" s="1153" t="str">
        <f>VLOOKUP('Cash Balance'!$C546,Table2[#All],MATCH('Cash Balance'!A$3,Acc_Char!$B$1:$I$1,0),0)</f>
        <v>SPV4B</v>
      </c>
      <c r="B546" s="1154" t="str">
        <f>VLOOKUP('Cash Balance'!$C546,Table2[#All],MATCH('Cash Balance'!B$3,Acc_Char!$B$1:$I$1,0),0)</f>
        <v>UOB - HCM</v>
      </c>
      <c r="C546" s="1190" t="s">
        <v>1159</v>
      </c>
      <c r="D546" s="1156" t="str">
        <f>VLOOKUP('Cash Balance'!$C546,Table2[#All],MATCH('Cash Balance'!D$3,Acc_Char!$B$1:$I$1,0),0)</f>
        <v>Current Account</v>
      </c>
      <c r="E546" s="384" t="str">
        <f>VLOOKUP('Cash Balance'!$C546,Table2[#All],MATCH('Cash Balance'!E$3,Acc_Char!$B$1:$I$1,0),0)</f>
        <v>VND</v>
      </c>
      <c r="F546" s="1094" t="e">
        <f>VLOOKUP(C546,'Cash balance (BS)'!A:C,3,)</f>
        <v>#N/A</v>
      </c>
      <c r="G546" s="1157" t="e">
        <f t="shared" si="47"/>
        <v>#N/A</v>
      </c>
      <c r="H546" s="1318">
        <f>SUMIFS('Cash balance (Prior period)'!F:F,'Cash balance (Prior period)'!C:C,Table11[[#This Row],[ACCOUNT NUMBER]],'Cash balance (Prior period)'!E:E,Table11[[#This Row],[CURRENCY]])</f>
        <v>3000000</v>
      </c>
      <c r="I546" s="1318">
        <f>SUMIFS(Movement!$F$4:$F$2136,Movement!$M$4:$M$2136,"VND",Movement!$C$4:$C$2136,Table11[[#This Row],[ACCOUNT NUMBER]],Movement!$J$4:$J$2136,Table11[[#This Row],[ENTITY]],Movement!$O$4:$O$2136,'Cash Balance'!$A$2)</f>
        <v>0</v>
      </c>
      <c r="J546" s="1318">
        <f>SUMIFS(Movement!$G$4:$G$2136,Movement!$M$4:$M$2136,"VND",Movement!$C$4:$C$2136,Table11[[#This Row],[ACCOUNT NUMBER]],Movement!$J$4:$J$2136,Table11[[#This Row],[ENTITY]],Movement!$O$4:$O$2136,'Cash Balance'!$A$2)</f>
        <v>0</v>
      </c>
      <c r="K546" s="1084">
        <f>Table11[[#This Row],[CASH IN - CREDIT (VND)]]-Table11[[#This Row],[CASH OUT - DEBIT (VND)]]</f>
        <v>0</v>
      </c>
      <c r="L546" s="1095">
        <f t="shared" si="48"/>
        <v>3000000</v>
      </c>
      <c r="M546" s="1184" t="e">
        <f>VLOOKUP(C546,'Cash balance (BS)'!A:D,4,)</f>
        <v>#N/A</v>
      </c>
      <c r="N546" s="1095" t="e">
        <f>Table11[[#This Row],[CLOSING BALANCE (VND)2]]-Table11[[#This Row],[CB_BS (VND)]]</f>
        <v>#N/A</v>
      </c>
      <c r="O546" s="1094">
        <v>0</v>
      </c>
      <c r="P546" s="1095">
        <f t="shared" si="49"/>
        <v>0</v>
      </c>
      <c r="Q546" s="817">
        <f>SUMIFS('Cash balance (Prior period)'!G:G,'Cash balance (Prior period)'!C:C,Table11[[#This Row],[ACCOUNT NUMBER]],'Cash balance (Prior period)'!E:E,Table11[[#This Row],[CURRENCY]])</f>
        <v>0</v>
      </c>
      <c r="R546" s="817">
        <f>SUMIFS(Movement!$F$4:$F$2136,Movement!$M$4:$M$2136,"USD",Movement!$C$4:$C$2136,Table11[[#This Row],[ACCOUNT NUMBER]],Movement!$J$4:$J$2136,Table11[[#This Row],[ENTITY]],Movement!$O$4:$O$2136,'Cash Balance'!$A$2)</f>
        <v>0</v>
      </c>
      <c r="S546" s="817">
        <f>SUMIFS(Movement!$G$4:$G$2136,Movement!$M$4:$M$2136,"USD",Movement!$C$4:$C$2136,Table11[[#This Row],[ACCOUNT NUMBER]],Movement!$J$4:$J$2136,Table11[[#This Row],[ENTITY]],Movement!$O$4:$O$2136,'Cash Balance'!$A$2)</f>
        <v>0</v>
      </c>
      <c r="T546" s="1087">
        <f t="shared" si="50"/>
        <v>0</v>
      </c>
      <c r="U546" s="817"/>
      <c r="V546" s="817">
        <f>Table11[[#This Row],[CLOSING BALANCE (USD)]]-Table11[[#This Row],[CB_BS (USD)]]</f>
        <v>0</v>
      </c>
      <c r="W546" s="1156" t="str">
        <f>VLOOKUP('Cash Balance'!$C546,Table2[#All],MATCH('Cash Balance'!W$3,Acc_Char!$B$1:$I$1,0),0)</f>
        <v>Subsidiaries</v>
      </c>
      <c r="X546" s="1156" t="str">
        <f>VLOOKUP(IFERROR(MID($Y546,1,FIND("-",$Y546)-2),$Y546),Table3[#All],2,0)</f>
        <v>UOB</v>
      </c>
      <c r="Y546" s="1156" t="str">
        <f>VLOOKUP($B546,Table4[#All],2,0)</f>
        <v>UOB</v>
      </c>
      <c r="Z546" s="1151"/>
      <c r="AA546" s="49"/>
    </row>
    <row r="547" spans="1:27">
      <c r="A547" s="1153" t="str">
        <f>VLOOKUP('Cash Balance'!$C547,Table2[#All],MATCH('Cash Balance'!A$3,Acc_Char!$B$1:$I$1,0),0)</f>
        <v>LONG BINH</v>
      </c>
      <c r="B547" s="1154" t="str">
        <f>VLOOKUP('Cash Balance'!$C547,Table2[#All],MATCH('Cash Balance'!B$3,Acc_Char!$B$1:$I$1,0),0)</f>
        <v>VIETINBANK - CN1</v>
      </c>
      <c r="C547" s="1190" t="s">
        <v>1160</v>
      </c>
      <c r="D547" s="1156" t="str">
        <f>VLOOKUP('Cash Balance'!$C547,Table2[#All],MATCH('Cash Balance'!D$3,Acc_Char!$B$1:$I$1,0),0)</f>
        <v>Saving Account</v>
      </c>
      <c r="E547" s="384" t="str">
        <f>VLOOKUP('Cash Balance'!$C547,Table2[#All],MATCH('Cash Balance'!E$3,Acc_Char!$B$1:$I$1,0),0)</f>
        <v>VND</v>
      </c>
      <c r="F547" s="1094" t="e">
        <f>VLOOKUP(C547,'Cash balance (BS)'!A:C,3,)</f>
        <v>#N/A</v>
      </c>
      <c r="G547" s="1157" t="e">
        <f t="shared" si="47"/>
        <v>#N/A</v>
      </c>
      <c r="H547" s="1318">
        <f>SUMIFS('Cash balance (Prior period)'!F:F,'Cash balance (Prior period)'!C:C,Table11[[#This Row],[ACCOUNT NUMBER]],'Cash balance (Prior period)'!E:E,Table11[[#This Row],[CURRENCY]])</f>
        <v>0</v>
      </c>
      <c r="I547" s="1318">
        <f>SUMIFS(Movement!$F$4:$F$2136,Movement!$M$4:$M$2136,"VND",Movement!$C$4:$C$2136,Table11[[#This Row],[ACCOUNT NUMBER]],Movement!$J$4:$J$2136,Table11[[#This Row],[ENTITY]],Movement!$O$4:$O$2136,'Cash Balance'!$A$2)</f>
        <v>0</v>
      </c>
      <c r="J547" s="1318">
        <f>SUMIFS(Movement!$G$4:$G$2136,Movement!$M$4:$M$2136,"VND",Movement!$C$4:$C$2136,Table11[[#This Row],[ACCOUNT NUMBER]],Movement!$J$4:$J$2136,Table11[[#This Row],[ENTITY]],Movement!$O$4:$O$2136,'Cash Balance'!$A$2)</f>
        <v>0</v>
      </c>
      <c r="K547" s="1084">
        <f>Table11[[#This Row],[CASH IN - CREDIT (VND)]]-Table11[[#This Row],[CASH OUT - DEBIT (VND)]]</f>
        <v>0</v>
      </c>
      <c r="L547" s="1095">
        <f t="shared" si="48"/>
        <v>0</v>
      </c>
      <c r="M547" s="1184" t="e">
        <f>VLOOKUP(C547,'Cash balance (BS)'!A:D,4,)</f>
        <v>#N/A</v>
      </c>
      <c r="N547" s="1095" t="e">
        <f>Table11[[#This Row],[CLOSING BALANCE (VND)2]]-Table11[[#This Row],[CB_BS (VND)]]</f>
        <v>#N/A</v>
      </c>
      <c r="O547" s="1094">
        <v>0</v>
      </c>
      <c r="P547" s="1095">
        <f t="shared" si="49"/>
        <v>0</v>
      </c>
      <c r="Q547" s="817">
        <f>SUMIFS('Cash balance (Prior period)'!G:G,'Cash balance (Prior period)'!C:C,Table11[[#This Row],[ACCOUNT NUMBER]],'Cash balance (Prior period)'!E:E,Table11[[#This Row],[CURRENCY]])</f>
        <v>0</v>
      </c>
      <c r="R547" s="817">
        <f>SUMIFS(Movement!$F$4:$F$2136,Movement!$M$4:$M$2136,"USD",Movement!$C$4:$C$2136,Table11[[#This Row],[ACCOUNT NUMBER]],Movement!$J$4:$J$2136,Table11[[#This Row],[ENTITY]],Movement!$O$4:$O$2136,'Cash Balance'!$A$2)</f>
        <v>0</v>
      </c>
      <c r="S547" s="817">
        <f>SUMIFS(Movement!$G$4:$G$2136,Movement!$M$4:$M$2136,"USD",Movement!$C$4:$C$2136,Table11[[#This Row],[ACCOUNT NUMBER]],Movement!$J$4:$J$2136,Table11[[#This Row],[ENTITY]],Movement!$O$4:$O$2136,'Cash Balance'!$A$2)</f>
        <v>0</v>
      </c>
      <c r="T547" s="1087">
        <f t="shared" si="50"/>
        <v>0</v>
      </c>
      <c r="U547" s="817"/>
      <c r="V547" s="817">
        <f>Table11[[#This Row],[CLOSING BALANCE (USD)]]-Table11[[#This Row],[CB_BS (USD)]]</f>
        <v>0</v>
      </c>
      <c r="W547" s="1156" t="str">
        <f>VLOOKUP('Cash Balance'!$C547,Table2[#All],MATCH('Cash Balance'!W$3,Acc_Char!$B$1:$I$1,0),0)</f>
        <v>Subsidiaries</v>
      </c>
      <c r="X547" s="1156" t="str">
        <f>VLOOKUP(IFERROR(MID($Y547,1,FIND("-",$Y547)-2),$Y547),Table3[#All],2,0)</f>
        <v>VTB</v>
      </c>
      <c r="Y547" s="1156" t="str">
        <f>VLOOKUP($B547,Table4[#All],2,0)</f>
        <v>VIETINBANK - CN1</v>
      </c>
      <c r="Z547" s="1151"/>
      <c r="AA547" s="49"/>
    </row>
    <row r="548" spans="1:27">
      <c r="A548" s="1153" t="str">
        <f>VLOOKUP('Cash Balance'!$C548,Table2[#All],MATCH('Cash Balance'!A$3,Acc_Char!$B$1:$I$1,0),0)</f>
        <v>BWID Tan Phu Trung</v>
      </c>
      <c r="B548" s="1154" t="str">
        <f>VLOOKUP('Cash Balance'!$C548,Table2[#All],MATCH('Cash Balance'!B$3,Acc_Char!$B$1:$I$1,0),0)</f>
        <v>KEB Hana - HCM</v>
      </c>
      <c r="C548" s="1190" t="s">
        <v>1161</v>
      </c>
      <c r="D548" s="1156" t="str">
        <f>VLOOKUP('Cash Balance'!$C548,Table2[#All],MATCH('Cash Balance'!D$3,Acc_Char!$B$1:$I$1,0),0)</f>
        <v>Saving Account</v>
      </c>
      <c r="E548" s="384" t="str">
        <f>VLOOKUP('Cash Balance'!$C548,Table2[#All],MATCH('Cash Balance'!E$3,Acc_Char!$B$1:$I$1,0),0)</f>
        <v>VND</v>
      </c>
      <c r="F548" s="1094" t="e">
        <f>VLOOKUP(C548,'Cash balance (BS)'!A:C,3,)</f>
        <v>#N/A</v>
      </c>
      <c r="G548" s="1157" t="e">
        <f t="shared" si="47"/>
        <v>#N/A</v>
      </c>
      <c r="H548" s="1318">
        <f>SUMIFS('Cash balance (Prior period)'!F:F,'Cash balance (Prior period)'!C:C,Table11[[#This Row],[ACCOUNT NUMBER]],'Cash balance (Prior period)'!E:E,Table11[[#This Row],[CURRENCY]])</f>
        <v>0</v>
      </c>
      <c r="I548" s="1318">
        <f>SUMIFS(Movement!$F$4:$F$2136,Movement!$M$4:$M$2136,"VND",Movement!$C$4:$C$2136,Table11[[#This Row],[ACCOUNT NUMBER]],Movement!$J$4:$J$2136,Table11[[#This Row],[ENTITY]],Movement!$O$4:$O$2136,'Cash Balance'!$A$2)</f>
        <v>0</v>
      </c>
      <c r="J548" s="1318">
        <f>SUMIFS(Movement!$G$4:$G$2136,Movement!$M$4:$M$2136,"VND",Movement!$C$4:$C$2136,Table11[[#This Row],[ACCOUNT NUMBER]],Movement!$J$4:$J$2136,Table11[[#This Row],[ENTITY]],Movement!$O$4:$O$2136,'Cash Balance'!$A$2)</f>
        <v>0</v>
      </c>
      <c r="K548" s="1084">
        <f>Table11[[#This Row],[CASH IN - CREDIT (VND)]]-Table11[[#This Row],[CASH OUT - DEBIT (VND)]]</f>
        <v>0</v>
      </c>
      <c r="L548" s="1095">
        <f t="shared" si="48"/>
        <v>0</v>
      </c>
      <c r="M548" s="1184" t="e">
        <f>VLOOKUP(C548,'Cash balance (BS)'!A:D,4,)</f>
        <v>#N/A</v>
      </c>
      <c r="N548" s="1095" t="e">
        <f>Table11[[#This Row],[CLOSING BALANCE (VND)2]]-Table11[[#This Row],[CB_BS (VND)]]</f>
        <v>#N/A</v>
      </c>
      <c r="O548" s="1094">
        <v>0</v>
      </c>
      <c r="P548" s="1095">
        <f t="shared" si="49"/>
        <v>0</v>
      </c>
      <c r="Q548" s="817">
        <f>SUMIFS('Cash balance (Prior period)'!G:G,'Cash balance (Prior period)'!C:C,Table11[[#This Row],[ACCOUNT NUMBER]],'Cash balance (Prior period)'!E:E,Table11[[#This Row],[CURRENCY]])</f>
        <v>0</v>
      </c>
      <c r="R548" s="817">
        <f>SUMIFS(Movement!$F$4:$F$2136,Movement!$M$4:$M$2136,"USD",Movement!$C$4:$C$2136,Table11[[#This Row],[ACCOUNT NUMBER]],Movement!$J$4:$J$2136,Table11[[#This Row],[ENTITY]],Movement!$O$4:$O$2136,'Cash Balance'!$A$2)</f>
        <v>0</v>
      </c>
      <c r="S548" s="817">
        <f>SUMIFS(Movement!$G$4:$G$2136,Movement!$M$4:$M$2136,"USD",Movement!$C$4:$C$2136,Table11[[#This Row],[ACCOUNT NUMBER]],Movement!$J$4:$J$2136,Table11[[#This Row],[ENTITY]],Movement!$O$4:$O$2136,'Cash Balance'!$A$2)</f>
        <v>0</v>
      </c>
      <c r="T548" s="1087">
        <f t="shared" si="50"/>
        <v>0</v>
      </c>
      <c r="U548" s="817"/>
      <c r="V548" s="817">
        <f>Table11[[#This Row],[CLOSING BALANCE (USD)]]-Table11[[#This Row],[CB_BS (USD)]]</f>
        <v>0</v>
      </c>
      <c r="W548" s="1156" t="str">
        <f>VLOOKUP('Cash Balance'!$C548,Table2[#All],MATCH('Cash Balance'!W$3,Acc_Char!$B$1:$I$1,0),0)</f>
        <v>Subsidiaries</v>
      </c>
      <c r="X548" s="1156" t="str">
        <f>VLOOKUP(IFERROR(MID($Y548,1,FIND("-",$Y548)-2),$Y548),Table3[#All],2,0)</f>
        <v>KEB Hana</v>
      </c>
      <c r="Y548" s="1156" t="str">
        <f>VLOOKUP($B548,Table4[#All],2,0)</f>
        <v>KEB Hana - HCM</v>
      </c>
      <c r="Z548" s="1151"/>
      <c r="AA548" s="49"/>
    </row>
    <row r="549" spans="1:27">
      <c r="A549" s="1153" t="str">
        <f>VLOOKUP('Cash Balance'!$C549,Table2[#All],MATCH('Cash Balance'!A$3,Acc_Char!$B$1:$I$1,0),0)</f>
        <v>BWID Tan Phu Trung</v>
      </c>
      <c r="B549" s="1154" t="str">
        <f>VLOOKUP('Cash Balance'!$C549,Table2[#All],MATCH('Cash Balance'!B$3,Acc_Char!$B$1:$I$1,0),0)</f>
        <v>KEB Hana - HCM</v>
      </c>
      <c r="C549" s="1190" t="s">
        <v>1162</v>
      </c>
      <c r="D549" s="1156" t="str">
        <f>VLOOKUP('Cash Balance'!$C549,Table2[#All],MATCH('Cash Balance'!D$3,Acc_Char!$B$1:$I$1,0),0)</f>
        <v>Saving Account</v>
      </c>
      <c r="E549" s="384" t="str">
        <f>VLOOKUP('Cash Balance'!$C549,Table2[#All],MATCH('Cash Balance'!E$3,Acc_Char!$B$1:$I$1,0),0)</f>
        <v>VND</v>
      </c>
      <c r="F549" s="1094" t="e">
        <f>VLOOKUP(C549,'Cash balance (BS)'!A:C,3,)</f>
        <v>#N/A</v>
      </c>
      <c r="G549" s="1157" t="e">
        <f t="shared" si="47"/>
        <v>#N/A</v>
      </c>
      <c r="H549" s="1318">
        <f>SUMIFS('Cash balance (Prior period)'!F:F,'Cash balance (Prior period)'!C:C,Table11[[#This Row],[ACCOUNT NUMBER]],'Cash balance (Prior period)'!E:E,Table11[[#This Row],[CURRENCY]])</f>
        <v>0</v>
      </c>
      <c r="I549" s="1318">
        <f>SUMIFS(Movement!$F$4:$F$2136,Movement!$M$4:$M$2136,"VND",Movement!$C$4:$C$2136,Table11[[#This Row],[ACCOUNT NUMBER]],Movement!$J$4:$J$2136,Table11[[#This Row],[ENTITY]],Movement!$O$4:$O$2136,'Cash Balance'!$A$2)</f>
        <v>0</v>
      </c>
      <c r="J549" s="1318">
        <f>SUMIFS(Movement!$G$4:$G$2136,Movement!$M$4:$M$2136,"VND",Movement!$C$4:$C$2136,Table11[[#This Row],[ACCOUNT NUMBER]],Movement!$J$4:$J$2136,Table11[[#This Row],[ENTITY]],Movement!$O$4:$O$2136,'Cash Balance'!$A$2)</f>
        <v>0</v>
      </c>
      <c r="K549" s="1084">
        <f>Table11[[#This Row],[CASH IN - CREDIT (VND)]]-Table11[[#This Row],[CASH OUT - DEBIT (VND)]]</f>
        <v>0</v>
      </c>
      <c r="L549" s="1095">
        <f t="shared" si="48"/>
        <v>0</v>
      </c>
      <c r="M549" s="1184" t="e">
        <f>VLOOKUP(C549,'Cash balance (BS)'!A:D,4,)</f>
        <v>#N/A</v>
      </c>
      <c r="N549" s="1095" t="e">
        <f>Table11[[#This Row],[CLOSING BALANCE (VND)2]]-Table11[[#This Row],[CB_BS (VND)]]</f>
        <v>#N/A</v>
      </c>
      <c r="O549" s="1094">
        <v>0</v>
      </c>
      <c r="P549" s="1095">
        <f t="shared" si="49"/>
        <v>0</v>
      </c>
      <c r="Q549" s="817">
        <f>SUMIFS('Cash balance (Prior period)'!G:G,'Cash balance (Prior period)'!C:C,Table11[[#This Row],[ACCOUNT NUMBER]],'Cash balance (Prior period)'!E:E,Table11[[#This Row],[CURRENCY]])</f>
        <v>0</v>
      </c>
      <c r="R549" s="817">
        <f>SUMIFS(Movement!$F$4:$F$2136,Movement!$M$4:$M$2136,"USD",Movement!$C$4:$C$2136,Table11[[#This Row],[ACCOUNT NUMBER]],Movement!$J$4:$J$2136,Table11[[#This Row],[ENTITY]],Movement!$O$4:$O$2136,'Cash Balance'!$A$2)</f>
        <v>0</v>
      </c>
      <c r="S549" s="817">
        <f>SUMIFS(Movement!$G$4:$G$2136,Movement!$M$4:$M$2136,"USD",Movement!$C$4:$C$2136,Table11[[#This Row],[ACCOUNT NUMBER]],Movement!$J$4:$J$2136,Table11[[#This Row],[ENTITY]],Movement!$O$4:$O$2136,'Cash Balance'!$A$2)</f>
        <v>0</v>
      </c>
      <c r="T549" s="1087">
        <f t="shared" si="50"/>
        <v>0</v>
      </c>
      <c r="U549" s="817"/>
      <c r="V549" s="817">
        <f>Table11[[#This Row],[CLOSING BALANCE (USD)]]-Table11[[#This Row],[CB_BS (USD)]]</f>
        <v>0</v>
      </c>
      <c r="W549" s="1156" t="str">
        <f>VLOOKUP('Cash Balance'!$C549,Table2[#All],MATCH('Cash Balance'!W$3,Acc_Char!$B$1:$I$1,0),0)</f>
        <v>Subsidiaries</v>
      </c>
      <c r="X549" s="1156" t="str">
        <f>VLOOKUP(IFERROR(MID($Y549,1,FIND("-",$Y549)-2),$Y549),Table3[#All],2,0)</f>
        <v>KEB Hana</v>
      </c>
      <c r="Y549" s="1156" t="str">
        <f>VLOOKUP($B549,Table4[#All],2,0)</f>
        <v>KEB Hana - HCM</v>
      </c>
      <c r="Z549" s="1151"/>
      <c r="AA549" s="49"/>
    </row>
    <row r="550" spans="1:27">
      <c r="A550" s="1153" t="str">
        <f>VLOOKUP('Cash Balance'!$C550,Table2[#All],MATCH('Cash Balance'!A$3,Acc_Char!$B$1:$I$1,0),0)</f>
        <v>BWID Tan Phu Trung</v>
      </c>
      <c r="B550" s="1154" t="str">
        <f>VLOOKUP('Cash Balance'!$C550,Table2[#All],MATCH('Cash Balance'!B$3,Acc_Char!$B$1:$I$1,0),0)</f>
        <v>VIETINBANK - TIEN SON</v>
      </c>
      <c r="C550" s="1190" t="s">
        <v>1163</v>
      </c>
      <c r="D550" s="1156" t="str">
        <f>VLOOKUP('Cash Balance'!$C550,Table2[#All],MATCH('Cash Balance'!D$3,Acc_Char!$B$1:$I$1,0),0)</f>
        <v>Saving Account</v>
      </c>
      <c r="E550" s="384" t="str">
        <f>VLOOKUP('Cash Balance'!$C550,Table2[#All],MATCH('Cash Balance'!E$3,Acc_Char!$B$1:$I$1,0),0)</f>
        <v>VND</v>
      </c>
      <c r="F550" s="1094" t="e">
        <f>VLOOKUP(C550,'Cash balance (BS)'!A:C,3,)</f>
        <v>#N/A</v>
      </c>
      <c r="G550" s="1157" t="e">
        <f t="shared" si="47"/>
        <v>#N/A</v>
      </c>
      <c r="H550" s="1318">
        <f>SUMIFS('Cash balance (Prior period)'!F:F,'Cash balance (Prior period)'!C:C,Table11[[#This Row],[ACCOUNT NUMBER]],'Cash balance (Prior period)'!E:E,Table11[[#This Row],[CURRENCY]])</f>
        <v>0</v>
      </c>
      <c r="I550" s="1318">
        <f>SUMIFS(Movement!$F$4:$F$2136,Movement!$M$4:$M$2136,"VND",Movement!$C$4:$C$2136,Table11[[#This Row],[ACCOUNT NUMBER]],Movement!$J$4:$J$2136,Table11[[#This Row],[ENTITY]],Movement!$O$4:$O$2136,'Cash Balance'!$A$2)</f>
        <v>0</v>
      </c>
      <c r="J550" s="1318">
        <f>SUMIFS(Movement!$G$4:$G$2136,Movement!$M$4:$M$2136,"VND",Movement!$C$4:$C$2136,Table11[[#This Row],[ACCOUNT NUMBER]],Movement!$J$4:$J$2136,Table11[[#This Row],[ENTITY]],Movement!$O$4:$O$2136,'Cash Balance'!$A$2)</f>
        <v>0</v>
      </c>
      <c r="K550" s="1084">
        <f>Table11[[#This Row],[CASH IN - CREDIT (VND)]]-Table11[[#This Row],[CASH OUT - DEBIT (VND)]]</f>
        <v>0</v>
      </c>
      <c r="L550" s="1095">
        <f t="shared" si="48"/>
        <v>0</v>
      </c>
      <c r="M550" s="1184" t="e">
        <f>VLOOKUP(C550,'Cash balance (BS)'!A:D,4,)</f>
        <v>#N/A</v>
      </c>
      <c r="N550" s="1095" t="e">
        <f>Table11[[#This Row],[CLOSING BALANCE (VND)2]]-Table11[[#This Row],[CB_BS (VND)]]</f>
        <v>#N/A</v>
      </c>
      <c r="O550" s="1094">
        <v>0</v>
      </c>
      <c r="P550" s="1095">
        <f t="shared" si="49"/>
        <v>0</v>
      </c>
      <c r="Q550" s="817">
        <f>SUMIFS('Cash balance (Prior period)'!G:G,'Cash balance (Prior period)'!C:C,Table11[[#This Row],[ACCOUNT NUMBER]],'Cash balance (Prior period)'!E:E,Table11[[#This Row],[CURRENCY]])</f>
        <v>0</v>
      </c>
      <c r="R550" s="817">
        <f>SUMIFS(Movement!$F$4:$F$2136,Movement!$M$4:$M$2136,"USD",Movement!$C$4:$C$2136,Table11[[#This Row],[ACCOUNT NUMBER]],Movement!$J$4:$J$2136,Table11[[#This Row],[ENTITY]],Movement!$O$4:$O$2136,'Cash Balance'!$A$2)</f>
        <v>0</v>
      </c>
      <c r="S550" s="817">
        <f>SUMIFS(Movement!$G$4:$G$2136,Movement!$M$4:$M$2136,"USD",Movement!$C$4:$C$2136,Table11[[#This Row],[ACCOUNT NUMBER]],Movement!$J$4:$J$2136,Table11[[#This Row],[ENTITY]],Movement!$O$4:$O$2136,'Cash Balance'!$A$2)</f>
        <v>0</v>
      </c>
      <c r="T550" s="1087">
        <f t="shared" si="50"/>
        <v>0</v>
      </c>
      <c r="U550" s="817"/>
      <c r="V550" s="817">
        <f>Table11[[#This Row],[CLOSING BALANCE (USD)]]-Table11[[#This Row],[CB_BS (USD)]]</f>
        <v>0</v>
      </c>
      <c r="W550" s="1156" t="str">
        <f>VLOOKUP('Cash Balance'!$C550,Table2[#All],MATCH('Cash Balance'!W$3,Acc_Char!$B$1:$I$1,0),0)</f>
        <v>Subsidiaries</v>
      </c>
      <c r="X550" s="1156" t="str">
        <f>VLOOKUP(IFERROR(MID($Y550,1,FIND("-",$Y550)-2),$Y550),Table3[#All],2,0)</f>
        <v>VTB</v>
      </c>
      <c r="Y550" s="1156" t="str">
        <f>VLOOKUP($B550,Table4[#All],2,0)</f>
        <v>VIETINBANK - TIEN SON</v>
      </c>
      <c r="Z550" s="1151"/>
      <c r="AA550" s="49"/>
    </row>
    <row r="551" spans="1:27">
      <c r="A551" s="1153" t="str">
        <f>VLOOKUP('Cash Balance'!$C551,Table2[#All],MATCH('Cash Balance'!A$3,Acc_Char!$B$1:$I$1,0),0)</f>
        <v>KIM TRUC DN</v>
      </c>
      <c r="B551" s="1154" t="str">
        <f>VLOOKUP('Cash Balance'!$C551,Table2[#All],MATCH('Cash Balance'!B$3,Acc_Char!$B$1:$I$1,0),0)</f>
        <v>BIDV - NAM SAI GON</v>
      </c>
      <c r="C551" s="1190" t="s">
        <v>1164</v>
      </c>
      <c r="D551" s="1156" t="str">
        <f>VLOOKUP('Cash Balance'!$C551,Table2[#All],MATCH('Cash Balance'!D$3,Acc_Char!$B$1:$I$1,0),0)</f>
        <v>Saving Account</v>
      </c>
      <c r="E551" s="384" t="str">
        <f>VLOOKUP('Cash Balance'!$C551,Table2[#All],MATCH('Cash Balance'!E$3,Acc_Char!$B$1:$I$1,0),0)</f>
        <v>VND</v>
      </c>
      <c r="F551" s="1094" t="e">
        <f>VLOOKUP(C551,'Cash balance (BS)'!A:C,3,)</f>
        <v>#N/A</v>
      </c>
      <c r="G551" s="1157" t="e">
        <f t="shared" si="47"/>
        <v>#N/A</v>
      </c>
      <c r="H551" s="1318">
        <f>SUMIFS('Cash balance (Prior period)'!F:F,'Cash balance (Prior period)'!C:C,Table11[[#This Row],[ACCOUNT NUMBER]],'Cash balance (Prior period)'!E:E,Table11[[#This Row],[CURRENCY]])</f>
        <v>0</v>
      </c>
      <c r="I551" s="1318">
        <f>SUMIFS(Movement!$F$4:$F$2136,Movement!$M$4:$M$2136,"VND",Movement!$C$4:$C$2136,Table11[[#This Row],[ACCOUNT NUMBER]],Movement!$J$4:$J$2136,Table11[[#This Row],[ENTITY]],Movement!$O$4:$O$2136,'Cash Balance'!$A$2)</f>
        <v>0</v>
      </c>
      <c r="J551" s="1318">
        <f>SUMIFS(Movement!$G$4:$G$2136,Movement!$M$4:$M$2136,"VND",Movement!$C$4:$C$2136,Table11[[#This Row],[ACCOUNT NUMBER]],Movement!$J$4:$J$2136,Table11[[#This Row],[ENTITY]],Movement!$O$4:$O$2136,'Cash Balance'!$A$2)</f>
        <v>0</v>
      </c>
      <c r="K551" s="1084">
        <f>Table11[[#This Row],[CASH IN - CREDIT (VND)]]-Table11[[#This Row],[CASH OUT - DEBIT (VND)]]</f>
        <v>0</v>
      </c>
      <c r="L551" s="1095">
        <f t="shared" si="48"/>
        <v>0</v>
      </c>
      <c r="M551" s="1184" t="e">
        <f>VLOOKUP(C551,'Cash balance (BS)'!A:D,4,)</f>
        <v>#N/A</v>
      </c>
      <c r="N551" s="1095" t="e">
        <f>Table11[[#This Row],[CLOSING BALANCE (VND)2]]-Table11[[#This Row],[CB_BS (VND)]]</f>
        <v>#N/A</v>
      </c>
      <c r="O551" s="1094">
        <v>0</v>
      </c>
      <c r="P551" s="1095">
        <f t="shared" si="49"/>
        <v>0</v>
      </c>
      <c r="Q551" s="817">
        <f>SUMIFS('Cash balance (Prior period)'!G:G,'Cash balance (Prior period)'!C:C,Table11[[#This Row],[ACCOUNT NUMBER]],'Cash balance (Prior period)'!E:E,Table11[[#This Row],[CURRENCY]])</f>
        <v>0</v>
      </c>
      <c r="R551" s="817">
        <f>SUMIFS(Movement!$F$4:$F$2136,Movement!$M$4:$M$2136,"USD",Movement!$C$4:$C$2136,Table11[[#This Row],[ACCOUNT NUMBER]],Movement!$J$4:$J$2136,Table11[[#This Row],[ENTITY]],Movement!$O$4:$O$2136,'Cash Balance'!$A$2)</f>
        <v>0</v>
      </c>
      <c r="S551" s="817">
        <f>SUMIFS(Movement!$G$4:$G$2136,Movement!$M$4:$M$2136,"USD",Movement!$C$4:$C$2136,Table11[[#This Row],[ACCOUNT NUMBER]],Movement!$J$4:$J$2136,Table11[[#This Row],[ENTITY]],Movement!$O$4:$O$2136,'Cash Balance'!$A$2)</f>
        <v>0</v>
      </c>
      <c r="T551" s="1087">
        <f t="shared" si="50"/>
        <v>0</v>
      </c>
      <c r="U551" s="817"/>
      <c r="V551" s="817">
        <f>Table11[[#This Row],[CLOSING BALANCE (USD)]]-Table11[[#This Row],[CB_BS (USD)]]</f>
        <v>0</v>
      </c>
      <c r="W551" s="1156" t="str">
        <f>VLOOKUP('Cash Balance'!$C551,Table2[#All],MATCH('Cash Balance'!W$3,Acc_Char!$B$1:$I$1,0),0)</f>
        <v>Subsidiaries</v>
      </c>
      <c r="X551" s="1156" t="str">
        <f>VLOOKUP(IFERROR(MID($Y551,1,FIND("-",$Y551)-2),$Y551),Table3[#All],2,0)</f>
        <v>BIDV</v>
      </c>
      <c r="Y551" s="1156" t="str">
        <f>VLOOKUP($B551,Table4[#All],2,0)</f>
        <v>BIDV - NAM SAI GON</v>
      </c>
      <c r="Z551" s="1151"/>
      <c r="AA551" s="49"/>
    </row>
    <row r="552" spans="1:27">
      <c r="A552" s="1153" t="str">
        <f>VLOOKUP('Cash Balance'!$C552,Table2[#All],MATCH('Cash Balance'!A$3,Acc_Char!$B$1:$I$1,0),0)</f>
        <v>BW NAM DINH VU</v>
      </c>
      <c r="B552" s="1154" t="str">
        <f>VLOOKUP('Cash Balance'!$C552,Table2[#All],MATCH('Cash Balance'!B$3,Acc_Char!$B$1:$I$1,0),0)</f>
        <v>BIDV - LONG BIEN</v>
      </c>
      <c r="C552" s="1190" t="s">
        <v>1165</v>
      </c>
      <c r="D552" s="1156" t="str">
        <f>VLOOKUP('Cash Balance'!$C552,Table2[#All],MATCH('Cash Balance'!D$3,Acc_Char!$B$1:$I$1,0),0)</f>
        <v>Saving Account</v>
      </c>
      <c r="E552" s="384" t="str">
        <f>VLOOKUP('Cash Balance'!$C552,Table2[#All],MATCH('Cash Balance'!E$3,Acc_Char!$B$1:$I$1,0),0)</f>
        <v>VND</v>
      </c>
      <c r="F552" s="1094" t="e">
        <f>VLOOKUP(C552,'Cash balance (BS)'!A:C,3,)</f>
        <v>#N/A</v>
      </c>
      <c r="G552" s="1157" t="e">
        <f t="shared" si="47"/>
        <v>#N/A</v>
      </c>
      <c r="H552" s="1318">
        <f>SUMIFS('Cash balance (Prior period)'!F:F,'Cash balance (Prior period)'!C:C,Table11[[#This Row],[ACCOUNT NUMBER]],'Cash balance (Prior period)'!E:E,Table11[[#This Row],[CURRENCY]])</f>
        <v>0</v>
      </c>
      <c r="I552" s="1318">
        <f>SUMIFS(Movement!$F$4:$F$2136,Movement!$M$4:$M$2136,"VND",Movement!$C$4:$C$2136,Table11[[#This Row],[ACCOUNT NUMBER]],Movement!$J$4:$J$2136,Table11[[#This Row],[ENTITY]],Movement!$O$4:$O$2136,'Cash Balance'!$A$2)</f>
        <v>0</v>
      </c>
      <c r="J552" s="1318">
        <f>SUMIFS(Movement!$G$4:$G$2136,Movement!$M$4:$M$2136,"VND",Movement!$C$4:$C$2136,Table11[[#This Row],[ACCOUNT NUMBER]],Movement!$J$4:$J$2136,Table11[[#This Row],[ENTITY]],Movement!$O$4:$O$2136,'Cash Balance'!$A$2)</f>
        <v>0</v>
      </c>
      <c r="K552" s="1084">
        <f>Table11[[#This Row],[CASH IN - CREDIT (VND)]]-Table11[[#This Row],[CASH OUT - DEBIT (VND)]]</f>
        <v>0</v>
      </c>
      <c r="L552" s="1095">
        <f t="shared" si="48"/>
        <v>0</v>
      </c>
      <c r="M552" s="1184" t="e">
        <f>VLOOKUP(C552,'Cash balance (BS)'!A:D,4,)</f>
        <v>#N/A</v>
      </c>
      <c r="N552" s="1095" t="e">
        <f>Table11[[#This Row],[CLOSING BALANCE (VND)2]]-Table11[[#This Row],[CB_BS (VND)]]</f>
        <v>#N/A</v>
      </c>
      <c r="O552" s="1094">
        <v>0</v>
      </c>
      <c r="P552" s="1095">
        <f t="shared" si="49"/>
        <v>0</v>
      </c>
      <c r="Q552" s="817">
        <f>SUMIFS('Cash balance (Prior period)'!G:G,'Cash balance (Prior period)'!C:C,Table11[[#This Row],[ACCOUNT NUMBER]],'Cash balance (Prior period)'!E:E,Table11[[#This Row],[CURRENCY]])</f>
        <v>0</v>
      </c>
      <c r="R552" s="817">
        <f>SUMIFS(Movement!$F$4:$F$2136,Movement!$M$4:$M$2136,"USD",Movement!$C$4:$C$2136,Table11[[#This Row],[ACCOUNT NUMBER]],Movement!$J$4:$J$2136,Table11[[#This Row],[ENTITY]],Movement!$O$4:$O$2136,'Cash Balance'!$A$2)</f>
        <v>0</v>
      </c>
      <c r="S552" s="817">
        <f>SUMIFS(Movement!$G$4:$G$2136,Movement!$M$4:$M$2136,"USD",Movement!$C$4:$C$2136,Table11[[#This Row],[ACCOUNT NUMBER]],Movement!$J$4:$J$2136,Table11[[#This Row],[ENTITY]],Movement!$O$4:$O$2136,'Cash Balance'!$A$2)</f>
        <v>0</v>
      </c>
      <c r="T552" s="1087">
        <f t="shared" si="50"/>
        <v>0</v>
      </c>
      <c r="U552" s="817"/>
      <c r="V552" s="817">
        <f>Table11[[#This Row],[CLOSING BALANCE (USD)]]-Table11[[#This Row],[CB_BS (USD)]]</f>
        <v>0</v>
      </c>
      <c r="W552" s="1156" t="str">
        <f>VLOOKUP('Cash Balance'!$C552,Table2[#All],MATCH('Cash Balance'!W$3,Acc_Char!$B$1:$I$1,0),0)</f>
        <v>Subsidiaries</v>
      </c>
      <c r="X552" s="1156" t="str">
        <f>VLOOKUP(IFERROR(MID($Y552,1,FIND("-",$Y552)-2),$Y552),Table3[#All],2,0)</f>
        <v>BIDV</v>
      </c>
      <c r="Y552" s="1156" t="str">
        <f>VLOOKUP($B552,Table4[#All],2,0)</f>
        <v>BIDV - LONG BIEN</v>
      </c>
      <c r="Z552" s="1151"/>
      <c r="AA552" s="49"/>
    </row>
    <row r="553" spans="1:27">
      <c r="A553" s="1153" t="str">
        <f>VLOOKUP('Cash Balance'!$C553,Table2[#All],MATCH('Cash Balance'!A$3,Acc_Char!$B$1:$I$1,0),0)</f>
        <v>BWID BINH DUONG</v>
      </c>
      <c r="B553" s="1154" t="str">
        <f>VLOOKUP('Cash Balance'!$C553,Table2[#All],MATCH('Cash Balance'!B$3,Acc_Char!$B$1:$I$1,0),0)</f>
        <v>SINOPAC</v>
      </c>
      <c r="C553" s="1190" t="s">
        <v>1166</v>
      </c>
      <c r="D553" s="1156" t="str">
        <f>VLOOKUP('Cash Balance'!$C553,Table2[#All],MATCH('Cash Balance'!D$3,Acc_Char!$B$1:$I$1,0),0)</f>
        <v>Saving Account</v>
      </c>
      <c r="E553" s="384" t="str">
        <f>VLOOKUP('Cash Balance'!$C553,Table2[#All],MATCH('Cash Balance'!E$3,Acc_Char!$B$1:$I$1,0),0)</f>
        <v>VND</v>
      </c>
      <c r="F553" s="1094" t="e">
        <f>VLOOKUP(C553,'Cash balance (BS)'!A:C,3,)</f>
        <v>#N/A</v>
      </c>
      <c r="G553" s="1157" t="e">
        <f t="shared" si="47"/>
        <v>#N/A</v>
      </c>
      <c r="H553" s="1318">
        <f>SUMIFS('Cash balance (Prior period)'!F:F,'Cash balance (Prior period)'!C:C,Table11[[#This Row],[ACCOUNT NUMBER]],'Cash balance (Prior period)'!E:E,Table11[[#This Row],[CURRENCY]])</f>
        <v>0</v>
      </c>
      <c r="I553" s="1318">
        <f>SUMIFS(Movement!$F$4:$F$2136,Movement!$M$4:$M$2136,"VND",Movement!$C$4:$C$2136,Table11[[#This Row],[ACCOUNT NUMBER]],Movement!$J$4:$J$2136,Table11[[#This Row],[ENTITY]],Movement!$O$4:$O$2136,'Cash Balance'!$A$2)</f>
        <v>0</v>
      </c>
      <c r="J553" s="1318">
        <f>SUMIFS(Movement!$G$4:$G$2136,Movement!$M$4:$M$2136,"VND",Movement!$C$4:$C$2136,Table11[[#This Row],[ACCOUNT NUMBER]],Movement!$J$4:$J$2136,Table11[[#This Row],[ENTITY]],Movement!$O$4:$O$2136,'Cash Balance'!$A$2)</f>
        <v>0</v>
      </c>
      <c r="K553" s="1084">
        <f>Table11[[#This Row],[CASH IN - CREDIT (VND)]]-Table11[[#This Row],[CASH OUT - DEBIT (VND)]]</f>
        <v>0</v>
      </c>
      <c r="L553" s="1095">
        <f t="shared" si="48"/>
        <v>0</v>
      </c>
      <c r="M553" s="1184" t="e">
        <f>VLOOKUP(C553,'Cash balance (BS)'!A:D,4,)</f>
        <v>#N/A</v>
      </c>
      <c r="N553" s="1095" t="e">
        <f>Table11[[#This Row],[CLOSING BALANCE (VND)2]]-Table11[[#This Row],[CB_BS (VND)]]</f>
        <v>#N/A</v>
      </c>
      <c r="O553" s="1094">
        <v>0</v>
      </c>
      <c r="P553" s="1095">
        <f t="shared" si="49"/>
        <v>0</v>
      </c>
      <c r="Q553" s="817">
        <f>SUMIFS('Cash balance (Prior period)'!G:G,'Cash balance (Prior period)'!C:C,Table11[[#This Row],[ACCOUNT NUMBER]],'Cash balance (Prior period)'!E:E,Table11[[#This Row],[CURRENCY]])</f>
        <v>0</v>
      </c>
      <c r="R553" s="817">
        <f>SUMIFS(Movement!$F$4:$F$2136,Movement!$M$4:$M$2136,"USD",Movement!$C$4:$C$2136,Table11[[#This Row],[ACCOUNT NUMBER]],Movement!$J$4:$J$2136,Table11[[#This Row],[ENTITY]],Movement!$O$4:$O$2136,'Cash Balance'!$A$2)</f>
        <v>0</v>
      </c>
      <c r="S553" s="817">
        <f>SUMIFS(Movement!$G$4:$G$2136,Movement!$M$4:$M$2136,"USD",Movement!$C$4:$C$2136,Table11[[#This Row],[ACCOUNT NUMBER]],Movement!$J$4:$J$2136,Table11[[#This Row],[ENTITY]],Movement!$O$4:$O$2136,'Cash Balance'!$A$2)</f>
        <v>0</v>
      </c>
      <c r="T553" s="1087">
        <f t="shared" si="50"/>
        <v>0</v>
      </c>
      <c r="U553" s="817"/>
      <c r="V553" s="817">
        <f>Table11[[#This Row],[CLOSING BALANCE (USD)]]-Table11[[#This Row],[CB_BS (USD)]]</f>
        <v>0</v>
      </c>
      <c r="W553" s="1156" t="str">
        <f>VLOOKUP('Cash Balance'!$C553,Table2[#All],MATCH('Cash Balance'!W$3,Acc_Char!$B$1:$I$1,0),0)</f>
        <v>BWID JSC</v>
      </c>
      <c r="X553" s="1156" t="str">
        <f>VLOOKUP(IFERROR(MID($Y553,1,FIND("-",$Y553)-2),$Y553),Table3[#All],2,0)</f>
        <v>SNP</v>
      </c>
      <c r="Y553" s="1156" t="str">
        <f>VLOOKUP($B553,Table4[#All],2,0)</f>
        <v>SINOPAC</v>
      </c>
      <c r="Z553" s="1151"/>
      <c r="AA553" s="49"/>
    </row>
    <row r="554" spans="1:27">
      <c r="A554" s="1153" t="str">
        <f>VLOOKUP('Cash Balance'!$C554,Table2[#All],MATCH('Cash Balance'!A$3,Acc_Char!$B$1:$I$1,0),0)</f>
        <v>WINLOCK 2A</v>
      </c>
      <c r="B554" s="1154" t="str">
        <f>VLOOKUP('Cash Balance'!$C554,Table2[#All],MATCH('Cash Balance'!B$3,Acc_Char!$B$1:$I$1,0),0)</f>
        <v>VIETINBANK - TIEN SON</v>
      </c>
      <c r="C554" s="1190" t="s">
        <v>1167</v>
      </c>
      <c r="D554" s="1156" t="str">
        <f>VLOOKUP('Cash Balance'!$C554,Table2[#All],MATCH('Cash Balance'!D$3,Acc_Char!$B$1:$I$1,0),0)</f>
        <v>Saving Account</v>
      </c>
      <c r="E554" s="384" t="str">
        <f>VLOOKUP('Cash Balance'!$C554,Table2[#All],MATCH('Cash Balance'!E$3,Acc_Char!$B$1:$I$1,0),0)</f>
        <v>VND</v>
      </c>
      <c r="F554" s="1094" t="e">
        <f>VLOOKUP(C554,'Cash balance (BS)'!A:C,3,)</f>
        <v>#N/A</v>
      </c>
      <c r="G554" s="1157" t="e">
        <f t="shared" si="47"/>
        <v>#N/A</v>
      </c>
      <c r="H554" s="1318">
        <f>SUMIFS('Cash balance (Prior period)'!F:F,'Cash balance (Prior period)'!C:C,Table11[[#This Row],[ACCOUNT NUMBER]],'Cash balance (Prior period)'!E:E,Table11[[#This Row],[CURRENCY]])</f>
        <v>2647867968</v>
      </c>
      <c r="I554" s="1318">
        <f>SUMIFS(Movement!$F$4:$F$2136,Movement!$M$4:$M$2136,"VND",Movement!$C$4:$C$2136,Table11[[#This Row],[ACCOUNT NUMBER]],Movement!$J$4:$J$2136,Table11[[#This Row],[ENTITY]],Movement!$O$4:$O$2136,'Cash Balance'!$A$2)</f>
        <v>0</v>
      </c>
      <c r="J554" s="1318">
        <f>SUMIFS(Movement!$G$4:$G$2136,Movement!$M$4:$M$2136,"VND",Movement!$C$4:$C$2136,Table11[[#This Row],[ACCOUNT NUMBER]],Movement!$J$4:$J$2136,Table11[[#This Row],[ENTITY]],Movement!$O$4:$O$2136,'Cash Balance'!$A$2)</f>
        <v>0</v>
      </c>
      <c r="K554" s="1084">
        <f>Table11[[#This Row],[CASH IN - CREDIT (VND)]]-Table11[[#This Row],[CASH OUT - DEBIT (VND)]]</f>
        <v>0</v>
      </c>
      <c r="L554" s="1095">
        <f t="shared" si="48"/>
        <v>2647867968</v>
      </c>
      <c r="M554" s="1184" t="e">
        <f>VLOOKUP(C554,'Cash balance (BS)'!A:D,4,)</f>
        <v>#N/A</v>
      </c>
      <c r="N554" s="1095" t="e">
        <f>Table11[[#This Row],[CLOSING BALANCE (VND)2]]-Table11[[#This Row],[CB_BS (VND)]]</f>
        <v>#N/A</v>
      </c>
      <c r="O554" s="1094">
        <v>0</v>
      </c>
      <c r="P554" s="1095">
        <f t="shared" si="49"/>
        <v>0</v>
      </c>
      <c r="Q554" s="817">
        <f>SUMIFS('Cash balance (Prior period)'!G:G,'Cash balance (Prior period)'!C:C,Table11[[#This Row],[ACCOUNT NUMBER]],'Cash balance (Prior period)'!E:E,Table11[[#This Row],[CURRENCY]])</f>
        <v>0</v>
      </c>
      <c r="R554" s="817">
        <f>SUMIFS(Movement!$F$4:$F$2136,Movement!$M$4:$M$2136,"USD",Movement!$C$4:$C$2136,Table11[[#This Row],[ACCOUNT NUMBER]],Movement!$J$4:$J$2136,Table11[[#This Row],[ENTITY]],Movement!$O$4:$O$2136,'Cash Balance'!$A$2)</f>
        <v>0</v>
      </c>
      <c r="S554" s="817">
        <f>SUMIFS(Movement!$G$4:$G$2136,Movement!$M$4:$M$2136,"USD",Movement!$C$4:$C$2136,Table11[[#This Row],[ACCOUNT NUMBER]],Movement!$J$4:$J$2136,Table11[[#This Row],[ENTITY]],Movement!$O$4:$O$2136,'Cash Balance'!$A$2)</f>
        <v>0</v>
      </c>
      <c r="T554" s="1087">
        <f t="shared" si="50"/>
        <v>0</v>
      </c>
      <c r="U554" s="817"/>
      <c r="V554" s="817">
        <f>Table11[[#This Row],[CLOSING BALANCE (USD)]]-Table11[[#This Row],[CB_BS (USD)]]</f>
        <v>0</v>
      </c>
      <c r="W554" s="1156" t="str">
        <f>VLOOKUP('Cash Balance'!$C554,Table2[#All],MATCH('Cash Balance'!W$3,Acc_Char!$B$1:$I$1,0),0)</f>
        <v>Subsidiaries</v>
      </c>
      <c r="X554" s="1156" t="str">
        <f>VLOOKUP(IFERROR(MID($Y554,1,FIND("-",$Y554)-2),$Y554),Table3[#All],2,0)</f>
        <v>VTB</v>
      </c>
      <c r="Y554" s="1156" t="str">
        <f>VLOOKUP($B554,Table4[#All],2,0)</f>
        <v>VIETINBANK - TIEN SON</v>
      </c>
      <c r="Z554" s="1151"/>
      <c r="AA554" s="49"/>
    </row>
    <row r="555" spans="1:27">
      <c r="A555" s="1153" t="str">
        <f>VLOOKUP('Cash Balance'!$C555,Table2[#All],MATCH('Cash Balance'!A$3,Acc_Char!$B$1:$I$1,0),0)</f>
        <v>WINLOCK 2A</v>
      </c>
      <c r="B555" s="1154" t="str">
        <f>VLOOKUP('Cash Balance'!$C555,Table2[#All],MATCH('Cash Balance'!B$3,Acc_Char!$B$1:$I$1,0),0)</f>
        <v>VIETINBANK - TIEN SON</v>
      </c>
      <c r="C555" s="1190" t="s">
        <v>1168</v>
      </c>
      <c r="D555" s="1156" t="str">
        <f>VLOOKUP('Cash Balance'!$C555,Table2[#All],MATCH('Cash Balance'!D$3,Acc_Char!$B$1:$I$1,0),0)</f>
        <v>Saving Account</v>
      </c>
      <c r="E555" s="384" t="str">
        <f>VLOOKUP('Cash Balance'!$C555,Table2[#All],MATCH('Cash Balance'!E$3,Acc_Char!$B$1:$I$1,0),0)</f>
        <v>VND</v>
      </c>
      <c r="F555" s="1094" t="e">
        <f>VLOOKUP(C555,'Cash balance (BS)'!A:C,3,)</f>
        <v>#N/A</v>
      </c>
      <c r="G555" s="1157" t="e">
        <f t="shared" si="47"/>
        <v>#N/A</v>
      </c>
      <c r="H555" s="1318">
        <f>SUMIFS('Cash balance (Prior period)'!F:F,'Cash balance (Prior period)'!C:C,Table11[[#This Row],[ACCOUNT NUMBER]],'Cash balance (Prior period)'!E:E,Table11[[#This Row],[CURRENCY]])</f>
        <v>3277700640</v>
      </c>
      <c r="I555" s="1318">
        <f>SUMIFS(Movement!$F$4:$F$2136,Movement!$M$4:$M$2136,"VND",Movement!$C$4:$C$2136,Table11[[#This Row],[ACCOUNT NUMBER]],Movement!$J$4:$J$2136,Table11[[#This Row],[ENTITY]],Movement!$O$4:$O$2136,'Cash Balance'!$A$2)</f>
        <v>0</v>
      </c>
      <c r="J555" s="1318">
        <f>SUMIFS(Movement!$G$4:$G$2136,Movement!$M$4:$M$2136,"VND",Movement!$C$4:$C$2136,Table11[[#This Row],[ACCOUNT NUMBER]],Movement!$J$4:$J$2136,Table11[[#This Row],[ENTITY]],Movement!$O$4:$O$2136,'Cash Balance'!$A$2)</f>
        <v>0</v>
      </c>
      <c r="K555" s="1084">
        <f>Table11[[#This Row],[CASH IN - CREDIT (VND)]]-Table11[[#This Row],[CASH OUT - DEBIT (VND)]]</f>
        <v>0</v>
      </c>
      <c r="L555" s="1095">
        <f t="shared" si="48"/>
        <v>3277700640</v>
      </c>
      <c r="M555" s="1184" t="e">
        <f>VLOOKUP(C555,'Cash balance (BS)'!A:D,4,)</f>
        <v>#N/A</v>
      </c>
      <c r="N555" s="1095" t="e">
        <f>Table11[[#This Row],[CLOSING BALANCE (VND)2]]-Table11[[#This Row],[CB_BS (VND)]]</f>
        <v>#N/A</v>
      </c>
      <c r="O555" s="1094">
        <v>0</v>
      </c>
      <c r="P555" s="1095">
        <f t="shared" si="49"/>
        <v>0</v>
      </c>
      <c r="Q555" s="817">
        <f>SUMIFS('Cash balance (Prior period)'!G:G,'Cash balance (Prior period)'!C:C,Table11[[#This Row],[ACCOUNT NUMBER]],'Cash balance (Prior period)'!E:E,Table11[[#This Row],[CURRENCY]])</f>
        <v>0</v>
      </c>
      <c r="R555" s="817">
        <f>SUMIFS(Movement!$F$4:$F$2136,Movement!$M$4:$M$2136,"USD",Movement!$C$4:$C$2136,Table11[[#This Row],[ACCOUNT NUMBER]],Movement!$J$4:$J$2136,Table11[[#This Row],[ENTITY]],Movement!$O$4:$O$2136,'Cash Balance'!$A$2)</f>
        <v>0</v>
      </c>
      <c r="S555" s="817">
        <f>SUMIFS(Movement!$G$4:$G$2136,Movement!$M$4:$M$2136,"USD",Movement!$C$4:$C$2136,Table11[[#This Row],[ACCOUNT NUMBER]],Movement!$J$4:$J$2136,Table11[[#This Row],[ENTITY]],Movement!$O$4:$O$2136,'Cash Balance'!$A$2)</f>
        <v>0</v>
      </c>
      <c r="T555" s="1087">
        <f t="shared" si="50"/>
        <v>0</v>
      </c>
      <c r="U555" s="817"/>
      <c r="V555" s="817">
        <f>Table11[[#This Row],[CLOSING BALANCE (USD)]]-Table11[[#This Row],[CB_BS (USD)]]</f>
        <v>0</v>
      </c>
      <c r="W555" s="1156" t="str">
        <f>VLOOKUP('Cash Balance'!$C555,Table2[#All],MATCH('Cash Balance'!W$3,Acc_Char!$B$1:$I$1,0),0)</f>
        <v>Subsidiaries</v>
      </c>
      <c r="X555" s="1156" t="str">
        <f>VLOOKUP(IFERROR(MID($Y555,1,FIND("-",$Y555)-2),$Y555),Table3[#All],2,0)</f>
        <v>VTB</v>
      </c>
      <c r="Y555" s="1156" t="str">
        <f>VLOOKUP($B555,Table4[#All],2,0)</f>
        <v>VIETINBANK - TIEN SON</v>
      </c>
      <c r="Z555" s="1151"/>
      <c r="AA555" s="49"/>
    </row>
    <row r="556" spans="1:27">
      <c r="A556" s="1153" t="str">
        <f>VLOOKUP('Cash Balance'!$C556,Table2[#All],MATCH('Cash Balance'!A$3,Acc_Char!$B$1:$I$1,0),0)</f>
        <v>BW MY PHUOC 3</v>
      </c>
      <c r="B556" s="1154" t="str">
        <f>VLOOKUP('Cash Balance'!$C556,Table2[#All],MATCH('Cash Balance'!B$3,Acc_Char!$B$1:$I$1,0),0)</f>
        <v>VIETINBANK - BINH DUONG</v>
      </c>
      <c r="C556" s="1190" t="s">
        <v>1169</v>
      </c>
      <c r="D556" s="1156" t="str">
        <f>VLOOKUP('Cash Balance'!$C556,Table2[#All],MATCH('Cash Balance'!D$3,Acc_Char!$B$1:$I$1,0),0)</f>
        <v>Saving Account</v>
      </c>
      <c r="E556" s="384" t="str">
        <f>VLOOKUP('Cash Balance'!$C556,Table2[#All],MATCH('Cash Balance'!E$3,Acc_Char!$B$1:$I$1,0),0)</f>
        <v>VND</v>
      </c>
      <c r="F556" s="1094" t="e">
        <f>VLOOKUP(C556,'Cash balance (BS)'!A:C,3,)</f>
        <v>#N/A</v>
      </c>
      <c r="G556" s="1157" t="e">
        <f t="shared" si="47"/>
        <v>#N/A</v>
      </c>
      <c r="H556" s="1318">
        <f>SUMIFS('Cash balance (Prior period)'!F:F,'Cash balance (Prior period)'!C:C,Table11[[#This Row],[ACCOUNT NUMBER]],'Cash balance (Prior period)'!E:E,Table11[[#This Row],[CURRENCY]])</f>
        <v>0</v>
      </c>
      <c r="I556" s="1318">
        <f>SUMIFS(Movement!$F$4:$F$2136,Movement!$M$4:$M$2136,"VND",Movement!$C$4:$C$2136,Table11[[#This Row],[ACCOUNT NUMBER]],Movement!$J$4:$J$2136,Table11[[#This Row],[ENTITY]],Movement!$O$4:$O$2136,'Cash Balance'!$A$2)</f>
        <v>0</v>
      </c>
      <c r="J556" s="1318">
        <f>SUMIFS(Movement!$G$4:$G$2136,Movement!$M$4:$M$2136,"VND",Movement!$C$4:$C$2136,Table11[[#This Row],[ACCOUNT NUMBER]],Movement!$J$4:$J$2136,Table11[[#This Row],[ENTITY]],Movement!$O$4:$O$2136,'Cash Balance'!$A$2)</f>
        <v>0</v>
      </c>
      <c r="K556" s="1084">
        <f>Table11[[#This Row],[CASH IN - CREDIT (VND)]]-Table11[[#This Row],[CASH OUT - DEBIT (VND)]]</f>
        <v>0</v>
      </c>
      <c r="L556" s="1095">
        <f t="shared" si="48"/>
        <v>0</v>
      </c>
      <c r="M556" s="1184" t="e">
        <f>VLOOKUP(C556,'Cash balance (BS)'!A:D,4,)</f>
        <v>#N/A</v>
      </c>
      <c r="N556" s="1095" t="e">
        <f>Table11[[#This Row],[CLOSING BALANCE (VND)2]]-Table11[[#This Row],[CB_BS (VND)]]</f>
        <v>#N/A</v>
      </c>
      <c r="O556" s="1094">
        <v>0</v>
      </c>
      <c r="P556" s="1095">
        <f t="shared" si="49"/>
        <v>0</v>
      </c>
      <c r="Q556" s="817">
        <f>SUMIFS('Cash balance (Prior period)'!G:G,'Cash balance (Prior period)'!C:C,Table11[[#This Row],[ACCOUNT NUMBER]],'Cash balance (Prior period)'!E:E,Table11[[#This Row],[CURRENCY]])</f>
        <v>0</v>
      </c>
      <c r="R556" s="817">
        <f>SUMIFS(Movement!$F$4:$F$2136,Movement!$M$4:$M$2136,"USD",Movement!$C$4:$C$2136,Table11[[#This Row],[ACCOUNT NUMBER]],Movement!$J$4:$J$2136,Table11[[#This Row],[ENTITY]],Movement!$O$4:$O$2136,'Cash Balance'!$A$2)</f>
        <v>0</v>
      </c>
      <c r="S556" s="817">
        <f>SUMIFS(Movement!$G$4:$G$2136,Movement!$M$4:$M$2136,"USD",Movement!$C$4:$C$2136,Table11[[#This Row],[ACCOUNT NUMBER]],Movement!$J$4:$J$2136,Table11[[#This Row],[ENTITY]],Movement!$O$4:$O$2136,'Cash Balance'!$A$2)</f>
        <v>0</v>
      </c>
      <c r="T556" s="1087">
        <f t="shared" si="50"/>
        <v>0</v>
      </c>
      <c r="U556" s="817"/>
      <c r="V556" s="817">
        <f>Table11[[#This Row],[CLOSING BALANCE (USD)]]-Table11[[#This Row],[CB_BS (USD)]]</f>
        <v>0</v>
      </c>
      <c r="W556" s="1156" t="str">
        <f>VLOOKUP('Cash Balance'!$C556,Table2[#All],MATCH('Cash Balance'!W$3,Acc_Char!$B$1:$I$1,0),0)</f>
        <v>Subsidiaries</v>
      </c>
      <c r="X556" s="1156" t="str">
        <f>VLOOKUP(IFERROR(MID($Y556,1,FIND("-",$Y556)-2),$Y556),Table3[#All],2,0)</f>
        <v>VTB</v>
      </c>
      <c r="Y556" s="1156" t="str">
        <f>VLOOKUP($B556,Table4[#All],2,0)</f>
        <v>VIETINBANK - BINH DUONG + QM</v>
      </c>
      <c r="Z556" s="1151"/>
      <c r="AA556" s="49"/>
    </row>
    <row r="557" spans="1:27">
      <c r="A557" s="1153" t="str">
        <f>VLOOKUP('Cash Balance'!$C557,Table2[#All],MATCH('Cash Balance'!A$3,Acc_Char!$B$1:$I$1,0),0)</f>
        <v>BAU BANG 3</v>
      </c>
      <c r="B557" s="1154" t="str">
        <f>VLOOKUP('Cash Balance'!$C557,Table2[#All],MATCH('Cash Balance'!B$3,Acc_Char!$B$1:$I$1,0),0)</f>
        <v>UOB - HCM</v>
      </c>
      <c r="C557" s="1190" t="s">
        <v>1170</v>
      </c>
      <c r="D557" s="1156" t="str">
        <f>VLOOKUP('Cash Balance'!$C557,Table2[#All],MATCH('Cash Balance'!D$3,Acc_Char!$B$1:$I$1,0),0)</f>
        <v>Current Account</v>
      </c>
      <c r="E557" s="384" t="str">
        <f>VLOOKUP('Cash Balance'!$C557,Table2[#All],MATCH('Cash Balance'!E$3,Acc_Char!$B$1:$I$1,0),0)</f>
        <v>VND</v>
      </c>
      <c r="F557" s="1094" t="e">
        <f>VLOOKUP(C557,'Cash balance (BS)'!A:C,3,)</f>
        <v>#N/A</v>
      </c>
      <c r="G557" s="1157" t="e">
        <f t="shared" si="47"/>
        <v>#N/A</v>
      </c>
      <c r="H557" s="1318">
        <f>SUMIFS('Cash balance (Prior period)'!F:F,'Cash balance (Prior period)'!C:C,Table11[[#This Row],[ACCOUNT NUMBER]],'Cash balance (Prior period)'!E:E,Table11[[#This Row],[CURRENCY]])</f>
        <v>3000000</v>
      </c>
      <c r="I557" s="1318">
        <f>SUMIFS(Movement!$F$4:$F$2136,Movement!$M$4:$M$2136,"VND",Movement!$C$4:$C$2136,Table11[[#This Row],[ACCOUNT NUMBER]],Movement!$J$4:$J$2136,Table11[[#This Row],[ENTITY]],Movement!$O$4:$O$2136,'Cash Balance'!$A$2)</f>
        <v>0</v>
      </c>
      <c r="J557" s="1318">
        <f>SUMIFS(Movement!$G$4:$G$2136,Movement!$M$4:$M$2136,"VND",Movement!$C$4:$C$2136,Table11[[#This Row],[ACCOUNT NUMBER]],Movement!$J$4:$J$2136,Table11[[#This Row],[ENTITY]],Movement!$O$4:$O$2136,'Cash Balance'!$A$2)</f>
        <v>0</v>
      </c>
      <c r="K557" s="1084">
        <f>Table11[[#This Row],[CASH IN - CREDIT (VND)]]-Table11[[#This Row],[CASH OUT - DEBIT (VND)]]</f>
        <v>0</v>
      </c>
      <c r="L557" s="1095">
        <f t="shared" si="48"/>
        <v>3000000</v>
      </c>
      <c r="M557" s="1184" t="e">
        <f>VLOOKUP(C557,'Cash balance (BS)'!A:D,4,)</f>
        <v>#N/A</v>
      </c>
      <c r="N557" s="1095" t="e">
        <f>Table11[[#This Row],[CLOSING BALANCE (VND)2]]-Table11[[#This Row],[CB_BS (VND)]]</f>
        <v>#N/A</v>
      </c>
      <c r="O557" s="1094">
        <v>0</v>
      </c>
      <c r="P557" s="1095">
        <f t="shared" si="49"/>
        <v>0</v>
      </c>
      <c r="Q557" s="817">
        <f>SUMIFS('Cash balance (Prior period)'!G:G,'Cash balance (Prior period)'!C:C,Table11[[#This Row],[ACCOUNT NUMBER]],'Cash balance (Prior period)'!E:E,Table11[[#This Row],[CURRENCY]])</f>
        <v>0</v>
      </c>
      <c r="R557" s="817">
        <f>SUMIFS(Movement!$F$4:$F$2136,Movement!$M$4:$M$2136,"USD",Movement!$C$4:$C$2136,Table11[[#This Row],[ACCOUNT NUMBER]],Movement!$J$4:$J$2136,Table11[[#This Row],[ENTITY]],Movement!$O$4:$O$2136,'Cash Balance'!$A$2)</f>
        <v>0</v>
      </c>
      <c r="S557" s="817">
        <f>SUMIFS(Movement!$G$4:$G$2136,Movement!$M$4:$M$2136,"USD",Movement!$C$4:$C$2136,Table11[[#This Row],[ACCOUNT NUMBER]],Movement!$J$4:$J$2136,Table11[[#This Row],[ENTITY]],Movement!$O$4:$O$2136,'Cash Balance'!$A$2)</f>
        <v>0</v>
      </c>
      <c r="T557" s="1087">
        <f t="shared" si="50"/>
        <v>0</v>
      </c>
      <c r="U557" s="817"/>
      <c r="V557" s="817">
        <f>Table11[[#This Row],[CLOSING BALANCE (USD)]]-Table11[[#This Row],[CB_BS (USD)]]</f>
        <v>0</v>
      </c>
      <c r="W557" s="1156" t="str">
        <f>VLOOKUP('Cash Balance'!$C557,Table2[#All],MATCH('Cash Balance'!W$3,Acc_Char!$B$1:$I$1,0),0)</f>
        <v>Subsidiaries</v>
      </c>
      <c r="X557" s="1156" t="str">
        <f>VLOOKUP(IFERROR(MID($Y557,1,FIND("-",$Y557)-2),$Y557),Table3[#All],2,0)</f>
        <v>UOB</v>
      </c>
      <c r="Y557" s="1156" t="str">
        <f>VLOOKUP($B557,Table4[#All],2,0)</f>
        <v>UOB</v>
      </c>
      <c r="Z557" s="1151"/>
      <c r="AA557" s="49"/>
    </row>
    <row r="558" spans="1:27">
      <c r="A558" s="1153" t="str">
        <f>VLOOKUP('Cash Balance'!$C558,Table2[#All],MATCH('Cash Balance'!A$3,Acc_Char!$B$1:$I$1,0),0)</f>
        <v>BWID HAI DUONG</v>
      </c>
      <c r="B558" s="1154" t="str">
        <f>VLOOKUP('Cash Balance'!$C558,Table2[#All],MATCH('Cash Balance'!B$3,Acc_Char!$B$1:$I$1,0),0)</f>
        <v>VIETINBANK - TIEN SON</v>
      </c>
      <c r="C558" s="1190" t="s">
        <v>1171</v>
      </c>
      <c r="D558" s="1156" t="str">
        <f>VLOOKUP('Cash Balance'!$C558,Table2[#All],MATCH('Cash Balance'!D$3,Acc_Char!$B$1:$I$1,0),0)</f>
        <v>Saving Account</v>
      </c>
      <c r="E558" s="384" t="str">
        <f>VLOOKUP('Cash Balance'!$C558,Table2[#All],MATCH('Cash Balance'!E$3,Acc_Char!$B$1:$I$1,0),0)</f>
        <v>VND</v>
      </c>
      <c r="F558" s="1094" t="e">
        <f>VLOOKUP(C558,'Cash balance (BS)'!A:C,3,)</f>
        <v>#N/A</v>
      </c>
      <c r="G558" s="1157" t="e">
        <f t="shared" si="47"/>
        <v>#N/A</v>
      </c>
      <c r="H558" s="1318">
        <f>SUMIFS('Cash balance (Prior period)'!F:F,'Cash balance (Prior period)'!C:C,Table11[[#This Row],[ACCOUNT NUMBER]],'Cash balance (Prior period)'!E:E,Table11[[#This Row],[CURRENCY]])</f>
        <v>16000000000</v>
      </c>
      <c r="I558" s="1318">
        <f>SUMIFS(Movement!$F$4:$F$2136,Movement!$M$4:$M$2136,"VND",Movement!$C$4:$C$2136,Table11[[#This Row],[ACCOUNT NUMBER]],Movement!$J$4:$J$2136,Table11[[#This Row],[ENTITY]],Movement!$O$4:$O$2136,'Cash Balance'!$A$2)</f>
        <v>0</v>
      </c>
      <c r="J558" s="1318">
        <f>SUMIFS(Movement!$G$4:$G$2136,Movement!$M$4:$M$2136,"VND",Movement!$C$4:$C$2136,Table11[[#This Row],[ACCOUNT NUMBER]],Movement!$J$4:$J$2136,Table11[[#This Row],[ENTITY]],Movement!$O$4:$O$2136,'Cash Balance'!$A$2)</f>
        <v>0</v>
      </c>
      <c r="K558" s="1084">
        <f>Table11[[#This Row],[CASH IN - CREDIT (VND)]]-Table11[[#This Row],[CASH OUT - DEBIT (VND)]]</f>
        <v>0</v>
      </c>
      <c r="L558" s="1095">
        <f t="shared" si="48"/>
        <v>16000000000</v>
      </c>
      <c r="M558" s="1184" t="e">
        <f>VLOOKUP(C558,'Cash balance (BS)'!A:D,4,)</f>
        <v>#N/A</v>
      </c>
      <c r="N558" s="1095" t="e">
        <f>Table11[[#This Row],[CLOSING BALANCE (VND)2]]-Table11[[#This Row],[CB_BS (VND)]]</f>
        <v>#N/A</v>
      </c>
      <c r="O558" s="1094">
        <v>0</v>
      </c>
      <c r="P558" s="1095">
        <f t="shared" si="49"/>
        <v>0</v>
      </c>
      <c r="Q558" s="817">
        <f>SUMIFS('Cash balance (Prior period)'!G:G,'Cash balance (Prior period)'!C:C,Table11[[#This Row],[ACCOUNT NUMBER]],'Cash balance (Prior period)'!E:E,Table11[[#This Row],[CURRENCY]])</f>
        <v>0</v>
      </c>
      <c r="R558" s="817">
        <f>SUMIFS(Movement!$F$4:$F$2136,Movement!$M$4:$M$2136,"USD",Movement!$C$4:$C$2136,Table11[[#This Row],[ACCOUNT NUMBER]],Movement!$J$4:$J$2136,Table11[[#This Row],[ENTITY]],Movement!$O$4:$O$2136,'Cash Balance'!$A$2)</f>
        <v>0</v>
      </c>
      <c r="S558" s="817">
        <f>SUMIFS(Movement!$G$4:$G$2136,Movement!$M$4:$M$2136,"USD",Movement!$C$4:$C$2136,Table11[[#This Row],[ACCOUNT NUMBER]],Movement!$J$4:$J$2136,Table11[[#This Row],[ENTITY]],Movement!$O$4:$O$2136,'Cash Balance'!$A$2)</f>
        <v>0</v>
      </c>
      <c r="T558" s="1087">
        <f t="shared" si="50"/>
        <v>0</v>
      </c>
      <c r="U558" s="817"/>
      <c r="V558" s="817">
        <f>Table11[[#This Row],[CLOSING BALANCE (USD)]]-Table11[[#This Row],[CB_BS (USD)]]</f>
        <v>0</v>
      </c>
      <c r="W558" s="1156" t="str">
        <f>VLOOKUP('Cash Balance'!$C558,Table2[#All],MATCH('Cash Balance'!W$3,Acc_Char!$B$1:$I$1,0),0)</f>
        <v>Subsidiaries</v>
      </c>
      <c r="X558" s="1156" t="str">
        <f>VLOOKUP(IFERROR(MID($Y558,1,FIND("-",$Y558)-2),$Y558),Table3[#All],2,0)</f>
        <v>VTB</v>
      </c>
      <c r="Y558" s="1156" t="str">
        <f>VLOOKUP($B558,Table4[#All],2,0)</f>
        <v>VIETINBANK - TIEN SON</v>
      </c>
      <c r="Z558" s="1151"/>
      <c r="AA558" s="49"/>
    </row>
    <row r="559" spans="1:27">
      <c r="A559" s="1153" t="str">
        <f>VLOOKUP('Cash Balance'!$C559,Table2[#All],MATCH('Cash Balance'!A$3,Acc_Char!$B$1:$I$1,0),0)</f>
        <v>SAO HOA</v>
      </c>
      <c r="B559" s="1154" t="str">
        <f>VLOOKUP('Cash Balance'!$C559,Table2[#All],MATCH('Cash Balance'!B$3,Acc_Char!$B$1:$I$1,0),0)</f>
        <v>VIETINBANK - TPHCM</v>
      </c>
      <c r="C559" s="1190" t="s">
        <v>1172</v>
      </c>
      <c r="D559" s="1156" t="str">
        <f>VLOOKUP('Cash Balance'!$C559,Table2[#All],MATCH('Cash Balance'!D$3,Acc_Char!$B$1:$I$1,0),0)</f>
        <v>Saving Account</v>
      </c>
      <c r="E559" s="384" t="str">
        <f>VLOOKUP('Cash Balance'!$C559,Table2[#All],MATCH('Cash Balance'!E$3,Acc_Char!$B$1:$I$1,0),0)</f>
        <v>VND</v>
      </c>
      <c r="F559" s="1094" t="e">
        <f>VLOOKUP(C559,'Cash balance (BS)'!A:C,3,)</f>
        <v>#N/A</v>
      </c>
      <c r="G559" s="1157" t="e">
        <f t="shared" si="47"/>
        <v>#N/A</v>
      </c>
      <c r="H559" s="1318">
        <f>SUMIFS('Cash balance (Prior period)'!F:F,'Cash balance (Prior period)'!C:C,Table11[[#This Row],[ACCOUNT NUMBER]],'Cash balance (Prior period)'!E:E,Table11[[#This Row],[CURRENCY]])</f>
        <v>0</v>
      </c>
      <c r="I559" s="1318">
        <f>SUMIFS(Movement!$F$4:$F$2136,Movement!$M$4:$M$2136,"VND",Movement!$C$4:$C$2136,Table11[[#This Row],[ACCOUNT NUMBER]],Movement!$J$4:$J$2136,Table11[[#This Row],[ENTITY]],Movement!$O$4:$O$2136,'Cash Balance'!$A$2)</f>
        <v>0</v>
      </c>
      <c r="J559" s="1318">
        <f>SUMIFS(Movement!$G$4:$G$2136,Movement!$M$4:$M$2136,"VND",Movement!$C$4:$C$2136,Table11[[#This Row],[ACCOUNT NUMBER]],Movement!$J$4:$J$2136,Table11[[#This Row],[ENTITY]],Movement!$O$4:$O$2136,'Cash Balance'!$A$2)</f>
        <v>0</v>
      </c>
      <c r="K559" s="1084">
        <f>Table11[[#This Row],[CASH IN - CREDIT (VND)]]-Table11[[#This Row],[CASH OUT - DEBIT (VND)]]</f>
        <v>0</v>
      </c>
      <c r="L559" s="1095">
        <f t="shared" si="48"/>
        <v>0</v>
      </c>
      <c r="M559" s="1184" t="e">
        <f>VLOOKUP(C559,'Cash balance (BS)'!A:D,4,)</f>
        <v>#N/A</v>
      </c>
      <c r="N559" s="1095" t="e">
        <f>Table11[[#This Row],[CLOSING BALANCE (VND)2]]-Table11[[#This Row],[CB_BS (VND)]]</f>
        <v>#N/A</v>
      </c>
      <c r="O559" s="1094">
        <v>0</v>
      </c>
      <c r="P559" s="1095">
        <f t="shared" si="49"/>
        <v>0</v>
      </c>
      <c r="Q559" s="817">
        <f>SUMIFS('Cash balance (Prior period)'!G:G,'Cash balance (Prior period)'!C:C,Table11[[#This Row],[ACCOUNT NUMBER]],'Cash balance (Prior period)'!E:E,Table11[[#This Row],[CURRENCY]])</f>
        <v>0</v>
      </c>
      <c r="R559" s="817">
        <f>SUMIFS(Movement!$F$4:$F$2136,Movement!$M$4:$M$2136,"USD",Movement!$C$4:$C$2136,Table11[[#This Row],[ACCOUNT NUMBER]],Movement!$J$4:$J$2136,Table11[[#This Row],[ENTITY]],Movement!$O$4:$O$2136,'Cash Balance'!$A$2)</f>
        <v>0</v>
      </c>
      <c r="S559" s="817">
        <f>SUMIFS(Movement!$G$4:$G$2136,Movement!$M$4:$M$2136,"USD",Movement!$C$4:$C$2136,Table11[[#This Row],[ACCOUNT NUMBER]],Movement!$J$4:$J$2136,Table11[[#This Row],[ENTITY]],Movement!$O$4:$O$2136,'Cash Balance'!$A$2)</f>
        <v>0</v>
      </c>
      <c r="T559" s="1087">
        <f t="shared" si="50"/>
        <v>0</v>
      </c>
      <c r="U559" s="817"/>
      <c r="V559" s="817">
        <f>Table11[[#This Row],[CLOSING BALANCE (USD)]]-Table11[[#This Row],[CB_BS (USD)]]</f>
        <v>0</v>
      </c>
      <c r="W559" s="1156" t="str">
        <f>VLOOKUP('Cash Balance'!$C559,Table2[#All],MATCH('Cash Balance'!W$3,Acc_Char!$B$1:$I$1,0),0)</f>
        <v>VC3</v>
      </c>
      <c r="X559" s="1156" t="str">
        <f>VLOOKUP(IFERROR(MID($Y559,1,FIND("-",$Y559)-2),$Y559),Table3[#All],2,0)</f>
        <v>VTB</v>
      </c>
      <c r="Y559" s="1156" t="str">
        <f>VLOOKUP($B559,Table4[#All],2,0)</f>
        <v>VIETINBANK - TPHCM</v>
      </c>
      <c r="Z559" s="1151"/>
      <c r="AA559" s="49"/>
    </row>
    <row r="560" spans="1:27">
      <c r="A560" s="1153" t="str">
        <f>VLOOKUP('Cash Balance'!$C560,Table2[#All],MATCH('Cash Balance'!A$3,Acc_Char!$B$1:$I$1,0),0)</f>
        <v>SONG THAN 2</v>
      </c>
      <c r="B560" s="1154" t="str">
        <f>VLOOKUP('Cash Balance'!$C560,Table2[#All],MATCH('Cash Balance'!B$3,Acc_Char!$B$1:$I$1,0),0)</f>
        <v>VIETINBANK - TPHCM</v>
      </c>
      <c r="C560" s="1190" t="s">
        <v>1173</v>
      </c>
      <c r="D560" s="1156" t="str">
        <f>VLOOKUP('Cash Balance'!$C560,Table2[#All],MATCH('Cash Balance'!D$3,Acc_Char!$B$1:$I$1,0),0)</f>
        <v>Saving Account</v>
      </c>
      <c r="E560" s="384" t="str">
        <f>VLOOKUP('Cash Balance'!$C560,Table2[#All],MATCH('Cash Balance'!E$3,Acc_Char!$B$1:$I$1,0),0)</f>
        <v>VND</v>
      </c>
      <c r="F560" s="1094" t="e">
        <f>VLOOKUP(C560,'Cash balance (BS)'!A:C,3,)</f>
        <v>#N/A</v>
      </c>
      <c r="G560" s="1157" t="e">
        <f t="shared" si="47"/>
        <v>#N/A</v>
      </c>
      <c r="H560" s="1318">
        <f>SUMIFS('Cash balance (Prior period)'!F:F,'Cash balance (Prior period)'!C:C,Table11[[#This Row],[ACCOUNT NUMBER]],'Cash balance (Prior period)'!E:E,Table11[[#This Row],[CURRENCY]])</f>
        <v>0</v>
      </c>
      <c r="I560" s="1318">
        <f>SUMIFS(Movement!$F$4:$F$2136,Movement!$M$4:$M$2136,"VND",Movement!$C$4:$C$2136,Table11[[#This Row],[ACCOUNT NUMBER]],Movement!$J$4:$J$2136,Table11[[#This Row],[ENTITY]],Movement!$O$4:$O$2136,'Cash Balance'!$A$2)</f>
        <v>0</v>
      </c>
      <c r="J560" s="1318">
        <f>SUMIFS(Movement!$G$4:$G$2136,Movement!$M$4:$M$2136,"VND",Movement!$C$4:$C$2136,Table11[[#This Row],[ACCOUNT NUMBER]],Movement!$J$4:$J$2136,Table11[[#This Row],[ENTITY]],Movement!$O$4:$O$2136,'Cash Balance'!$A$2)</f>
        <v>0</v>
      </c>
      <c r="K560" s="1084">
        <f>Table11[[#This Row],[CASH IN - CREDIT (VND)]]-Table11[[#This Row],[CASH OUT - DEBIT (VND)]]</f>
        <v>0</v>
      </c>
      <c r="L560" s="1095">
        <f t="shared" si="48"/>
        <v>0</v>
      </c>
      <c r="M560" s="1184" t="e">
        <f>VLOOKUP(C560,'Cash balance (BS)'!A:D,4,)</f>
        <v>#N/A</v>
      </c>
      <c r="N560" s="1095" t="e">
        <f>Table11[[#This Row],[CLOSING BALANCE (VND)2]]-Table11[[#This Row],[CB_BS (VND)]]</f>
        <v>#N/A</v>
      </c>
      <c r="O560" s="1094">
        <v>0</v>
      </c>
      <c r="P560" s="1095">
        <f t="shared" si="49"/>
        <v>0</v>
      </c>
      <c r="Q560" s="817">
        <f>SUMIFS('Cash balance (Prior period)'!G:G,'Cash balance (Prior period)'!C:C,Table11[[#This Row],[ACCOUNT NUMBER]],'Cash balance (Prior period)'!E:E,Table11[[#This Row],[CURRENCY]])</f>
        <v>0</v>
      </c>
      <c r="R560" s="817">
        <f>SUMIFS(Movement!$F$4:$F$2136,Movement!$M$4:$M$2136,"USD",Movement!$C$4:$C$2136,Table11[[#This Row],[ACCOUNT NUMBER]],Movement!$J$4:$J$2136,Table11[[#This Row],[ENTITY]],Movement!$O$4:$O$2136,'Cash Balance'!$A$2)</f>
        <v>0</v>
      </c>
      <c r="S560" s="817">
        <f>SUMIFS(Movement!$G$4:$G$2136,Movement!$M$4:$M$2136,"USD",Movement!$C$4:$C$2136,Table11[[#This Row],[ACCOUNT NUMBER]],Movement!$J$4:$J$2136,Table11[[#This Row],[ENTITY]],Movement!$O$4:$O$2136,'Cash Balance'!$A$2)</f>
        <v>0</v>
      </c>
      <c r="T560" s="1087">
        <f t="shared" si="50"/>
        <v>0</v>
      </c>
      <c r="U560" s="817"/>
      <c r="V560" s="817">
        <f>Table11[[#This Row],[CLOSING BALANCE (USD)]]-Table11[[#This Row],[CB_BS (USD)]]</f>
        <v>0</v>
      </c>
      <c r="W560" s="1156" t="str">
        <f>VLOOKUP('Cash Balance'!$C560,Table2[#All],MATCH('Cash Balance'!W$3,Acc_Char!$B$1:$I$1,0),0)</f>
        <v>Subsidiaries</v>
      </c>
      <c r="X560" s="1156" t="str">
        <f>VLOOKUP(IFERROR(MID($Y560,1,FIND("-",$Y560)-2),$Y560),Table3[#All],2,0)</f>
        <v>VTB</v>
      </c>
      <c r="Y560" s="1156" t="str">
        <f>VLOOKUP($B560,Table4[#All],2,0)</f>
        <v>VIETINBANK - TPHCM</v>
      </c>
      <c r="Z560" s="1151"/>
      <c r="AA560" s="49"/>
    </row>
    <row r="561" spans="1:27">
      <c r="A561" s="1153" t="str">
        <f>VLOOKUP('Cash Balance'!$C561,Table2[#All],MATCH('Cash Balance'!A$3,Acc_Char!$B$1:$I$1,0),0)</f>
        <v>BW NAM HAI</v>
      </c>
      <c r="B561" s="1154" t="str">
        <f>VLOOKUP('Cash Balance'!$C561,Table2[#All],MATCH('Cash Balance'!B$3,Acc_Char!$B$1:$I$1,0),0)</f>
        <v>VIETCOMBANK - BA DINH</v>
      </c>
      <c r="C561" s="1190" t="s">
        <v>1174</v>
      </c>
      <c r="D561" s="1156" t="str">
        <f>VLOOKUP('Cash Balance'!$C561,Table2[#All],MATCH('Cash Balance'!D$3,Acc_Char!$B$1:$I$1,0),0)</f>
        <v>Saving Account</v>
      </c>
      <c r="E561" s="384" t="str">
        <f>VLOOKUP('Cash Balance'!$C561,Table2[#All],MATCH('Cash Balance'!E$3,Acc_Char!$B$1:$I$1,0),0)</f>
        <v>VND</v>
      </c>
      <c r="F561" s="1094" t="e">
        <f>VLOOKUP(C561,'Cash balance (BS)'!A:C,3,)</f>
        <v>#N/A</v>
      </c>
      <c r="G561" s="1157" t="e">
        <f t="shared" si="47"/>
        <v>#N/A</v>
      </c>
      <c r="H561" s="1318">
        <f>SUMIFS('Cash balance (Prior period)'!F:F,'Cash balance (Prior period)'!C:C,Table11[[#This Row],[ACCOUNT NUMBER]],'Cash balance (Prior period)'!E:E,Table11[[#This Row],[CURRENCY]])</f>
        <v>0</v>
      </c>
      <c r="I561" s="1318">
        <f>SUMIFS(Movement!$F$4:$F$2136,Movement!$M$4:$M$2136,"VND",Movement!$C$4:$C$2136,Table11[[#This Row],[ACCOUNT NUMBER]],Movement!$J$4:$J$2136,Table11[[#This Row],[ENTITY]],Movement!$O$4:$O$2136,'Cash Balance'!$A$2)</f>
        <v>0</v>
      </c>
      <c r="J561" s="1318">
        <f>SUMIFS(Movement!$G$4:$G$2136,Movement!$M$4:$M$2136,"VND",Movement!$C$4:$C$2136,Table11[[#This Row],[ACCOUNT NUMBER]],Movement!$J$4:$J$2136,Table11[[#This Row],[ENTITY]],Movement!$O$4:$O$2136,'Cash Balance'!$A$2)</f>
        <v>0</v>
      </c>
      <c r="K561" s="1084">
        <f>Table11[[#This Row],[CASH IN - CREDIT (VND)]]-Table11[[#This Row],[CASH OUT - DEBIT (VND)]]</f>
        <v>0</v>
      </c>
      <c r="L561" s="1095">
        <f t="shared" si="48"/>
        <v>0</v>
      </c>
      <c r="M561" s="1184" t="e">
        <f>VLOOKUP(C561,'Cash balance (BS)'!A:D,4,)</f>
        <v>#N/A</v>
      </c>
      <c r="N561" s="1095" t="e">
        <f>Table11[[#This Row],[CLOSING BALANCE (VND)2]]-Table11[[#This Row],[CB_BS (VND)]]</f>
        <v>#N/A</v>
      </c>
      <c r="O561" s="1094">
        <v>0</v>
      </c>
      <c r="P561" s="1095">
        <f t="shared" si="49"/>
        <v>0</v>
      </c>
      <c r="Q561" s="817">
        <f>SUMIFS('Cash balance (Prior period)'!G:G,'Cash balance (Prior period)'!C:C,Table11[[#This Row],[ACCOUNT NUMBER]],'Cash balance (Prior period)'!E:E,Table11[[#This Row],[CURRENCY]])</f>
        <v>0</v>
      </c>
      <c r="R561" s="817">
        <f>SUMIFS(Movement!$F$4:$F$2136,Movement!$M$4:$M$2136,"USD",Movement!$C$4:$C$2136,Table11[[#This Row],[ACCOUNT NUMBER]],Movement!$J$4:$J$2136,Table11[[#This Row],[ENTITY]],Movement!$O$4:$O$2136,'Cash Balance'!$A$2)</f>
        <v>0</v>
      </c>
      <c r="S561" s="817">
        <f>SUMIFS(Movement!$G$4:$G$2136,Movement!$M$4:$M$2136,"USD",Movement!$C$4:$C$2136,Table11[[#This Row],[ACCOUNT NUMBER]],Movement!$J$4:$J$2136,Table11[[#This Row],[ENTITY]],Movement!$O$4:$O$2136,'Cash Balance'!$A$2)</f>
        <v>0</v>
      </c>
      <c r="T561" s="1087">
        <f t="shared" si="50"/>
        <v>0</v>
      </c>
      <c r="U561" s="817"/>
      <c r="V561" s="817">
        <f>Table11[[#This Row],[CLOSING BALANCE (USD)]]-Table11[[#This Row],[CB_BS (USD)]]</f>
        <v>0</v>
      </c>
      <c r="W561" s="1156" t="str">
        <f>VLOOKUP('Cash Balance'!$C561,Table2[#All],MATCH('Cash Balance'!W$3,Acc_Char!$B$1:$I$1,0),0)</f>
        <v>Subsidiaries</v>
      </c>
      <c r="X561" s="1156" t="str">
        <f>VLOOKUP(IFERROR(MID($Y561,1,FIND("-",$Y561)-2),$Y561),Table3[#All],2,0)</f>
        <v>VCB</v>
      </c>
      <c r="Y561" s="1156" t="str">
        <f>VLOOKUP($B561,Table4[#All],2,0)</f>
        <v>VIETCOMBANK - BA DINH</v>
      </c>
      <c r="Z561" s="1151"/>
      <c r="AA561" s="49"/>
    </row>
    <row r="562" spans="1:27">
      <c r="A562" s="1153" t="str">
        <f>VLOOKUP('Cash Balance'!$C562,Table2[#All],MATCH('Cash Balance'!A$3,Acc_Char!$B$1:$I$1,0),0)</f>
        <v>BW NAM HAI</v>
      </c>
      <c r="B562" s="1154" t="str">
        <f>VLOOKUP('Cash Balance'!$C562,Table2[#All],MATCH('Cash Balance'!B$3,Acc_Char!$B$1:$I$1,0),0)</f>
        <v>VIETCOMBANK - BA DINH</v>
      </c>
      <c r="C562" s="1190" t="s">
        <v>1175</v>
      </c>
      <c r="D562" s="1156" t="str">
        <f>VLOOKUP('Cash Balance'!$C562,Table2[#All],MATCH('Cash Balance'!D$3,Acc_Char!$B$1:$I$1,0),0)</f>
        <v>Saving Account</v>
      </c>
      <c r="E562" s="384" t="str">
        <f>VLOOKUP('Cash Balance'!$C562,Table2[#All],MATCH('Cash Balance'!E$3,Acc_Char!$B$1:$I$1,0),0)</f>
        <v>VND</v>
      </c>
      <c r="F562" s="1094" t="e">
        <f>VLOOKUP(C562,'Cash balance (BS)'!A:C,3,)</f>
        <v>#N/A</v>
      </c>
      <c r="G562" s="1157" t="e">
        <f t="shared" si="47"/>
        <v>#N/A</v>
      </c>
      <c r="H562" s="1318">
        <f>SUMIFS('Cash balance (Prior period)'!F:F,'Cash balance (Prior period)'!C:C,Table11[[#This Row],[ACCOUNT NUMBER]],'Cash balance (Prior period)'!E:E,Table11[[#This Row],[CURRENCY]])</f>
        <v>0</v>
      </c>
      <c r="I562" s="1318">
        <f>SUMIFS(Movement!$F$4:$F$2136,Movement!$M$4:$M$2136,"VND",Movement!$C$4:$C$2136,Table11[[#This Row],[ACCOUNT NUMBER]],Movement!$J$4:$J$2136,Table11[[#This Row],[ENTITY]],Movement!$O$4:$O$2136,'Cash Balance'!$A$2)</f>
        <v>0</v>
      </c>
      <c r="J562" s="1318">
        <f>SUMIFS(Movement!$G$4:$G$2136,Movement!$M$4:$M$2136,"VND",Movement!$C$4:$C$2136,Table11[[#This Row],[ACCOUNT NUMBER]],Movement!$J$4:$J$2136,Table11[[#This Row],[ENTITY]],Movement!$O$4:$O$2136,'Cash Balance'!$A$2)</f>
        <v>0</v>
      </c>
      <c r="K562" s="1084">
        <f>Table11[[#This Row],[CASH IN - CREDIT (VND)]]-Table11[[#This Row],[CASH OUT - DEBIT (VND)]]</f>
        <v>0</v>
      </c>
      <c r="L562" s="1095">
        <f t="shared" si="48"/>
        <v>0</v>
      </c>
      <c r="M562" s="1184" t="e">
        <f>VLOOKUP(C562,'Cash balance (BS)'!A:D,4,)</f>
        <v>#N/A</v>
      </c>
      <c r="N562" s="1095" t="e">
        <f>Table11[[#This Row],[CLOSING BALANCE (VND)2]]-Table11[[#This Row],[CB_BS (VND)]]</f>
        <v>#N/A</v>
      </c>
      <c r="O562" s="1094">
        <v>0</v>
      </c>
      <c r="P562" s="1095">
        <f t="shared" si="49"/>
        <v>0</v>
      </c>
      <c r="Q562" s="817">
        <f>SUMIFS('Cash balance (Prior period)'!G:G,'Cash balance (Prior period)'!C:C,Table11[[#This Row],[ACCOUNT NUMBER]],'Cash balance (Prior period)'!E:E,Table11[[#This Row],[CURRENCY]])</f>
        <v>0</v>
      </c>
      <c r="R562" s="817">
        <f>SUMIFS(Movement!$F$4:$F$2136,Movement!$M$4:$M$2136,"USD",Movement!$C$4:$C$2136,Table11[[#This Row],[ACCOUNT NUMBER]],Movement!$J$4:$J$2136,Table11[[#This Row],[ENTITY]],Movement!$O$4:$O$2136,'Cash Balance'!$A$2)</f>
        <v>0</v>
      </c>
      <c r="S562" s="817">
        <f>SUMIFS(Movement!$G$4:$G$2136,Movement!$M$4:$M$2136,"USD",Movement!$C$4:$C$2136,Table11[[#This Row],[ACCOUNT NUMBER]],Movement!$J$4:$J$2136,Table11[[#This Row],[ENTITY]],Movement!$O$4:$O$2136,'Cash Balance'!$A$2)</f>
        <v>0</v>
      </c>
      <c r="T562" s="1087">
        <f t="shared" si="50"/>
        <v>0</v>
      </c>
      <c r="U562" s="817"/>
      <c r="V562" s="817">
        <f>Table11[[#This Row],[CLOSING BALANCE (USD)]]-Table11[[#This Row],[CB_BS (USD)]]</f>
        <v>0</v>
      </c>
      <c r="W562" s="1156" t="str">
        <f>VLOOKUP('Cash Balance'!$C562,Table2[#All],MATCH('Cash Balance'!W$3,Acc_Char!$B$1:$I$1,0),0)</f>
        <v>Subsidiaries</v>
      </c>
      <c r="X562" s="1156" t="str">
        <f>VLOOKUP(IFERROR(MID($Y562,1,FIND("-",$Y562)-2),$Y562),Table3[#All],2,0)</f>
        <v>VCB</v>
      </c>
      <c r="Y562" s="1156" t="str">
        <f>VLOOKUP($B562,Table4[#All],2,0)</f>
        <v>VIETCOMBANK - BA DINH</v>
      </c>
      <c r="Z562" s="1151"/>
      <c r="AA562" s="49"/>
    </row>
    <row r="563" spans="1:27">
      <c r="A563" s="1153" t="str">
        <f>VLOOKUP('Cash Balance'!$C563,Table2[#All],MATCH('Cash Balance'!A$3,Acc_Char!$B$1:$I$1,0),0)</f>
        <v>BW NAM HAI</v>
      </c>
      <c r="B563" s="1154" t="str">
        <f>VLOOKUP('Cash Balance'!$C563,Table2[#All],MATCH('Cash Balance'!B$3,Acc_Char!$B$1:$I$1,0),0)</f>
        <v>VIETCOMBANK - BA DINH</v>
      </c>
      <c r="C563" s="1190" t="s">
        <v>1176</v>
      </c>
      <c r="D563" s="1156" t="str">
        <f>VLOOKUP('Cash Balance'!$C563,Table2[#All],MATCH('Cash Balance'!D$3,Acc_Char!$B$1:$I$1,0),0)</f>
        <v>Saving Account</v>
      </c>
      <c r="E563" s="384" t="str">
        <f>VLOOKUP('Cash Balance'!$C563,Table2[#All],MATCH('Cash Balance'!E$3,Acc_Char!$B$1:$I$1,0),0)</f>
        <v>VND</v>
      </c>
      <c r="F563" s="1094" t="e">
        <f>VLOOKUP(C563,'Cash balance (BS)'!A:C,3,)</f>
        <v>#N/A</v>
      </c>
      <c r="G563" s="1157" t="e">
        <f t="shared" si="47"/>
        <v>#N/A</v>
      </c>
      <c r="H563" s="1318">
        <f>SUMIFS('Cash balance (Prior period)'!F:F,'Cash balance (Prior period)'!C:C,Table11[[#This Row],[ACCOUNT NUMBER]],'Cash balance (Prior period)'!E:E,Table11[[#This Row],[CURRENCY]])</f>
        <v>5000000000</v>
      </c>
      <c r="I563" s="1318">
        <f>SUMIFS(Movement!$F$4:$F$2136,Movement!$M$4:$M$2136,"VND",Movement!$C$4:$C$2136,Table11[[#This Row],[ACCOUNT NUMBER]],Movement!$J$4:$J$2136,Table11[[#This Row],[ENTITY]],Movement!$O$4:$O$2136,'Cash Balance'!$A$2)</f>
        <v>0</v>
      </c>
      <c r="J563" s="1318">
        <f>SUMIFS(Movement!$G$4:$G$2136,Movement!$M$4:$M$2136,"VND",Movement!$C$4:$C$2136,Table11[[#This Row],[ACCOUNT NUMBER]],Movement!$J$4:$J$2136,Table11[[#This Row],[ENTITY]],Movement!$O$4:$O$2136,'Cash Balance'!$A$2)</f>
        <v>0</v>
      </c>
      <c r="K563" s="1084">
        <f>Table11[[#This Row],[CASH IN - CREDIT (VND)]]-Table11[[#This Row],[CASH OUT - DEBIT (VND)]]</f>
        <v>0</v>
      </c>
      <c r="L563" s="1095">
        <f t="shared" si="48"/>
        <v>5000000000</v>
      </c>
      <c r="M563" s="1184" t="e">
        <f>VLOOKUP(C563,'Cash balance (BS)'!A:D,4,)</f>
        <v>#N/A</v>
      </c>
      <c r="N563" s="1095" t="e">
        <f>Table11[[#This Row],[CLOSING BALANCE (VND)2]]-Table11[[#This Row],[CB_BS (VND)]]</f>
        <v>#N/A</v>
      </c>
      <c r="O563" s="1094">
        <v>0</v>
      </c>
      <c r="P563" s="1095">
        <f t="shared" si="49"/>
        <v>0</v>
      </c>
      <c r="Q563" s="817">
        <f>SUMIFS('Cash balance (Prior period)'!G:G,'Cash balance (Prior period)'!C:C,Table11[[#This Row],[ACCOUNT NUMBER]],'Cash balance (Prior period)'!E:E,Table11[[#This Row],[CURRENCY]])</f>
        <v>0</v>
      </c>
      <c r="R563" s="817">
        <f>SUMIFS(Movement!$F$4:$F$2136,Movement!$M$4:$M$2136,"USD",Movement!$C$4:$C$2136,Table11[[#This Row],[ACCOUNT NUMBER]],Movement!$J$4:$J$2136,Table11[[#This Row],[ENTITY]],Movement!$O$4:$O$2136,'Cash Balance'!$A$2)</f>
        <v>0</v>
      </c>
      <c r="S563" s="817">
        <f>SUMIFS(Movement!$G$4:$G$2136,Movement!$M$4:$M$2136,"USD",Movement!$C$4:$C$2136,Table11[[#This Row],[ACCOUNT NUMBER]],Movement!$J$4:$J$2136,Table11[[#This Row],[ENTITY]],Movement!$O$4:$O$2136,'Cash Balance'!$A$2)</f>
        <v>0</v>
      </c>
      <c r="T563" s="1087">
        <f t="shared" si="50"/>
        <v>0</v>
      </c>
      <c r="U563" s="817"/>
      <c r="V563" s="817">
        <f>Table11[[#This Row],[CLOSING BALANCE (USD)]]-Table11[[#This Row],[CB_BS (USD)]]</f>
        <v>0</v>
      </c>
      <c r="W563" s="1156" t="str">
        <f>VLOOKUP('Cash Balance'!$C563,Table2[#All],MATCH('Cash Balance'!W$3,Acc_Char!$B$1:$I$1,0),0)</f>
        <v>Subsidiaries</v>
      </c>
      <c r="X563" s="1156" t="str">
        <f>VLOOKUP(IFERROR(MID($Y563,1,FIND("-",$Y563)-2),$Y563),Table3[#All],2,0)</f>
        <v>VCB</v>
      </c>
      <c r="Y563" s="1156" t="str">
        <f>VLOOKUP($B563,Table4[#All],2,0)</f>
        <v>VIETCOMBANK - BA DINH</v>
      </c>
      <c r="Z563" s="1151"/>
      <c r="AA563" s="49"/>
    </row>
    <row r="564" spans="1:27">
      <c r="A564" s="1153" t="str">
        <f>VLOOKUP('Cash Balance'!$C564,Table2[#All],MATCH('Cash Balance'!A$3,Acc_Char!$B$1:$I$1,0),0)</f>
        <v>BWID BINH DUONG</v>
      </c>
      <c r="B564" s="1154" t="str">
        <f>VLOOKUP('Cash Balance'!$C564,Table2[#All],MATCH('Cash Balance'!B$3,Acc_Char!$B$1:$I$1,0),0)</f>
        <v>VIETINBANK - BINH DUONG</v>
      </c>
      <c r="C564" s="1190" t="s">
        <v>1177</v>
      </c>
      <c r="D564" s="1156" t="str">
        <f>VLOOKUP('Cash Balance'!$C564,Table2[#All],MATCH('Cash Balance'!D$3,Acc_Char!$B$1:$I$1,0),0)</f>
        <v>Saving Account</v>
      </c>
      <c r="E564" s="384" t="str">
        <f>VLOOKUP('Cash Balance'!$C564,Table2[#All],MATCH('Cash Balance'!E$3,Acc_Char!$B$1:$I$1,0),0)</f>
        <v>VND</v>
      </c>
      <c r="F564" s="1094" t="e">
        <f>VLOOKUP(C564,'Cash balance (BS)'!A:C,3,)</f>
        <v>#N/A</v>
      </c>
      <c r="G564" s="1191" t="e">
        <f t="shared" si="47"/>
        <v>#N/A</v>
      </c>
      <c r="H564" s="1318">
        <f>SUMIFS('Cash balance (Prior period)'!F:F,'Cash balance (Prior period)'!C:C,Table11[[#This Row],[ACCOUNT NUMBER]],'Cash balance (Prior period)'!E:E,Table11[[#This Row],[CURRENCY]])</f>
        <v>0</v>
      </c>
      <c r="I564" s="1318">
        <f>SUMIFS(Movement!$F$4:$F$2136,Movement!$M$4:$M$2136,"VND",Movement!$C$4:$C$2136,Table11[[#This Row],[ACCOUNT NUMBER]],Movement!$J$4:$J$2136,Table11[[#This Row],[ENTITY]],Movement!$O$4:$O$2136,'Cash Balance'!$A$2)</f>
        <v>0</v>
      </c>
      <c r="J564" s="1318">
        <f>SUMIFS(Movement!$G$4:$G$2136,Movement!$M$4:$M$2136,"VND",Movement!$C$4:$C$2136,Table11[[#This Row],[ACCOUNT NUMBER]],Movement!$J$4:$J$2136,Table11[[#This Row],[ENTITY]],Movement!$O$4:$O$2136,'Cash Balance'!$A$2)</f>
        <v>0</v>
      </c>
      <c r="K564" s="1084">
        <f>Table11[[#This Row],[CASH IN - CREDIT (VND)]]-Table11[[#This Row],[CASH OUT - DEBIT (VND)]]</f>
        <v>0</v>
      </c>
      <c r="L564" s="1095">
        <f t="shared" si="48"/>
        <v>0</v>
      </c>
      <c r="M564" s="1184" t="e">
        <f>VLOOKUP(C564,'Cash balance (BS)'!A:D,4,)</f>
        <v>#N/A</v>
      </c>
      <c r="N564" s="1095" t="e">
        <f>Table11[[#This Row],[CLOSING BALANCE (VND)2]]-Table11[[#This Row],[CB_BS (VND)]]</f>
        <v>#N/A</v>
      </c>
      <c r="O564" s="1094">
        <v>0</v>
      </c>
      <c r="P564" s="1095">
        <f t="shared" si="49"/>
        <v>0</v>
      </c>
      <c r="Q564" s="817">
        <f>SUMIFS('Cash balance (Prior period)'!G:G,'Cash balance (Prior period)'!C:C,Table11[[#This Row],[ACCOUNT NUMBER]],'Cash balance (Prior period)'!E:E,Table11[[#This Row],[CURRENCY]])</f>
        <v>0</v>
      </c>
      <c r="R564" s="817">
        <f>SUMIFS(Movement!$F$4:$F$2136,Movement!$M$4:$M$2136,"USD",Movement!$C$4:$C$2136,Table11[[#This Row],[ACCOUNT NUMBER]],Movement!$J$4:$J$2136,Table11[[#This Row],[ENTITY]],Movement!$O$4:$O$2136,'Cash Balance'!$A$2)</f>
        <v>0</v>
      </c>
      <c r="S564" s="817">
        <f>SUMIFS(Movement!$G$4:$G$2136,Movement!$M$4:$M$2136,"USD",Movement!$C$4:$C$2136,Table11[[#This Row],[ACCOUNT NUMBER]],Movement!$J$4:$J$2136,Table11[[#This Row],[ENTITY]],Movement!$O$4:$O$2136,'Cash Balance'!$A$2)</f>
        <v>0</v>
      </c>
      <c r="T564" s="1087">
        <f t="shared" si="50"/>
        <v>0</v>
      </c>
      <c r="U564" s="1089"/>
      <c r="V564" s="817">
        <f>Table11[[#This Row],[CLOSING BALANCE (USD)]]-Table11[[#This Row],[CB_BS (USD)]]</f>
        <v>0</v>
      </c>
      <c r="W564" s="1156" t="str">
        <f>VLOOKUP('Cash Balance'!$C564,Table2[#All],MATCH('Cash Balance'!W$3,Acc_Char!$B$1:$I$1,0),0)</f>
        <v>BWID JSC</v>
      </c>
      <c r="X564" s="1156" t="str">
        <f>VLOOKUP(IFERROR(MID($Y564,1,FIND("-",$Y564)-2),$Y564),Table3[#All],2,0)</f>
        <v>VTB</v>
      </c>
      <c r="Y564" s="1156" t="str">
        <f>VLOOKUP($B564,Table4[#All],2,0)</f>
        <v>VIETINBANK - BINH DUONG + QM</v>
      </c>
      <c r="Z564" s="1151"/>
      <c r="AA564" s="49"/>
    </row>
    <row r="565" spans="1:27">
      <c r="A565" s="1153" t="str">
        <f>VLOOKUP('Cash Balance'!$C565,Table2[#All],MATCH('Cash Balance'!A$3,Acc_Char!$B$1:$I$1,0),0)</f>
        <v>BCI JSC</v>
      </c>
      <c r="B565" s="1154" t="str">
        <f>VLOOKUP('Cash Balance'!$C565,Table2[#All],MATCH('Cash Balance'!B$3,Acc_Char!$B$1:$I$1,0),0)</f>
        <v>VIETINBANK - TIEN SON</v>
      </c>
      <c r="C565" s="1190" t="s">
        <v>1178</v>
      </c>
      <c r="D565" s="1156" t="str">
        <f>VLOOKUP('Cash Balance'!$C565,Table2[#All],MATCH('Cash Balance'!D$3,Acc_Char!$B$1:$I$1,0),0)</f>
        <v>Saving Account</v>
      </c>
      <c r="E565" s="384" t="str">
        <f>VLOOKUP('Cash Balance'!$C565,Table2[#All],MATCH('Cash Balance'!E$3,Acc_Char!$B$1:$I$1,0),0)</f>
        <v>VND</v>
      </c>
      <c r="F565" s="1094" t="e">
        <f>VLOOKUP(C565,'Cash balance (BS)'!A:C,3,)</f>
        <v>#N/A</v>
      </c>
      <c r="G565" s="1191" t="e">
        <f t="shared" si="47"/>
        <v>#N/A</v>
      </c>
      <c r="H565" s="1318">
        <f>SUMIFS('Cash balance (Prior period)'!F:F,'Cash balance (Prior period)'!C:C,Table11[[#This Row],[ACCOUNT NUMBER]],'Cash balance (Prior period)'!E:E,Table11[[#This Row],[CURRENCY]])</f>
        <v>0</v>
      </c>
      <c r="I565" s="1318">
        <f>SUMIFS(Movement!$F$4:$F$2136,Movement!$M$4:$M$2136,"VND",Movement!$C$4:$C$2136,Table11[[#This Row],[ACCOUNT NUMBER]],Movement!$J$4:$J$2136,Table11[[#This Row],[ENTITY]],Movement!$O$4:$O$2136,'Cash Balance'!$A$2)</f>
        <v>0</v>
      </c>
      <c r="J565" s="1318">
        <f>SUMIFS(Movement!$G$4:$G$2136,Movement!$M$4:$M$2136,"VND",Movement!$C$4:$C$2136,Table11[[#This Row],[ACCOUNT NUMBER]],Movement!$J$4:$J$2136,Table11[[#This Row],[ENTITY]],Movement!$O$4:$O$2136,'Cash Balance'!$A$2)</f>
        <v>0</v>
      </c>
      <c r="K565" s="1084">
        <f>Table11[[#This Row],[CASH IN - CREDIT (VND)]]-Table11[[#This Row],[CASH OUT - DEBIT (VND)]]</f>
        <v>0</v>
      </c>
      <c r="L565" s="1095">
        <f t="shared" si="48"/>
        <v>0</v>
      </c>
      <c r="M565" s="1184" t="e">
        <f>VLOOKUP(C565,'Cash balance (BS)'!A:D,4,)</f>
        <v>#N/A</v>
      </c>
      <c r="N565" s="1095" t="e">
        <f>Table11[[#This Row],[CLOSING BALANCE (VND)2]]-Table11[[#This Row],[CB_BS (VND)]]</f>
        <v>#N/A</v>
      </c>
      <c r="O565" s="1094">
        <v>0</v>
      </c>
      <c r="P565" s="1095">
        <f t="shared" si="49"/>
        <v>0</v>
      </c>
      <c r="Q565" s="817">
        <f>SUMIFS('Cash balance (Prior period)'!G:G,'Cash balance (Prior period)'!C:C,Table11[[#This Row],[ACCOUNT NUMBER]],'Cash balance (Prior period)'!E:E,Table11[[#This Row],[CURRENCY]])</f>
        <v>0</v>
      </c>
      <c r="R565" s="817">
        <f>SUMIFS(Movement!$F$4:$F$2136,Movement!$M$4:$M$2136,"USD",Movement!$C$4:$C$2136,Table11[[#This Row],[ACCOUNT NUMBER]],Movement!$J$4:$J$2136,Table11[[#This Row],[ENTITY]],Movement!$O$4:$O$2136,'Cash Balance'!$A$2)</f>
        <v>0</v>
      </c>
      <c r="S565" s="817">
        <f>SUMIFS(Movement!$G$4:$G$2136,Movement!$M$4:$M$2136,"USD",Movement!$C$4:$C$2136,Table11[[#This Row],[ACCOUNT NUMBER]],Movement!$J$4:$J$2136,Table11[[#This Row],[ENTITY]],Movement!$O$4:$O$2136,'Cash Balance'!$A$2)</f>
        <v>0</v>
      </c>
      <c r="T565" s="1087">
        <f t="shared" si="50"/>
        <v>0</v>
      </c>
      <c r="U565" s="1089"/>
      <c r="V565" s="817">
        <f>Table11[[#This Row],[CLOSING BALANCE (USD)]]-Table11[[#This Row],[CB_BS (USD)]]</f>
        <v>0</v>
      </c>
      <c r="W565" s="1156" t="str">
        <f>VLOOKUP('Cash Balance'!$C565,Table2[#All],MATCH('Cash Balance'!W$3,Acc_Char!$B$1:$I$1,0),0)</f>
        <v>Subsidiaries</v>
      </c>
      <c r="X565" s="1156" t="str">
        <f>VLOOKUP(IFERROR(MID($Y565,1,FIND("-",$Y565)-2),$Y565),Table3[#All],2,0)</f>
        <v>VTB</v>
      </c>
      <c r="Y565" s="1156" t="str">
        <f>VLOOKUP($B565,Table4[#All],2,0)</f>
        <v>VIETINBANK - TIEN SON</v>
      </c>
      <c r="Z565" s="1151"/>
      <c r="AA565" s="49"/>
    </row>
    <row r="566" spans="1:27">
      <c r="A566" s="1153" t="str">
        <f>VLOOKUP('Cash Balance'!$C566,Table2[#All],MATCH('Cash Balance'!A$3,Acc_Char!$B$1:$I$1,0),0)</f>
        <v>BCI JSC</v>
      </c>
      <c r="B566" s="1154" t="str">
        <f>VLOOKUP('Cash Balance'!$C566,Table2[#All],MATCH('Cash Balance'!B$3,Acc_Char!$B$1:$I$1,0),0)</f>
        <v>VIETINBANK - TIEN SON</v>
      </c>
      <c r="C566" s="1190" t="s">
        <v>1179</v>
      </c>
      <c r="D566" s="1156" t="str">
        <f>VLOOKUP('Cash Balance'!$C566,Table2[#All],MATCH('Cash Balance'!D$3,Acc_Char!$B$1:$I$1,0),0)</f>
        <v>Saving Account</v>
      </c>
      <c r="E566" s="384" t="str">
        <f>VLOOKUP('Cash Balance'!$C566,Table2[#All],MATCH('Cash Balance'!E$3,Acc_Char!$B$1:$I$1,0),0)</f>
        <v>VND</v>
      </c>
      <c r="F566" s="1094" t="e">
        <f>VLOOKUP(C566,'Cash balance (BS)'!A:C,3,)</f>
        <v>#N/A</v>
      </c>
      <c r="G566" s="1191" t="e">
        <f t="shared" si="47"/>
        <v>#N/A</v>
      </c>
      <c r="H566" s="1318">
        <f>SUMIFS('Cash balance (Prior period)'!F:F,'Cash balance (Prior period)'!C:C,Table11[[#This Row],[ACCOUNT NUMBER]],'Cash balance (Prior period)'!E:E,Table11[[#This Row],[CURRENCY]])</f>
        <v>3000000000</v>
      </c>
      <c r="I566" s="1318">
        <f>SUMIFS(Movement!$F$4:$F$2136,Movement!$M$4:$M$2136,"VND",Movement!$C$4:$C$2136,Table11[[#This Row],[ACCOUNT NUMBER]],Movement!$J$4:$J$2136,Table11[[#This Row],[ENTITY]],Movement!$O$4:$O$2136,'Cash Balance'!$A$2)</f>
        <v>0</v>
      </c>
      <c r="J566" s="1318">
        <f>SUMIFS(Movement!$G$4:$G$2136,Movement!$M$4:$M$2136,"VND",Movement!$C$4:$C$2136,Table11[[#This Row],[ACCOUNT NUMBER]],Movement!$J$4:$J$2136,Table11[[#This Row],[ENTITY]],Movement!$O$4:$O$2136,'Cash Balance'!$A$2)</f>
        <v>0</v>
      </c>
      <c r="K566" s="1084">
        <f>Table11[[#This Row],[CASH IN - CREDIT (VND)]]-Table11[[#This Row],[CASH OUT - DEBIT (VND)]]</f>
        <v>0</v>
      </c>
      <c r="L566" s="1095">
        <f t="shared" si="48"/>
        <v>3000000000</v>
      </c>
      <c r="M566" s="1184" t="e">
        <f>VLOOKUP(C566,'Cash balance (BS)'!A:D,4,)</f>
        <v>#N/A</v>
      </c>
      <c r="N566" s="1095" t="e">
        <f>Table11[[#This Row],[CLOSING BALANCE (VND)2]]-Table11[[#This Row],[CB_BS (VND)]]</f>
        <v>#N/A</v>
      </c>
      <c r="O566" s="1094">
        <v>0</v>
      </c>
      <c r="P566" s="1095">
        <f t="shared" si="49"/>
        <v>0</v>
      </c>
      <c r="Q566" s="817">
        <f>SUMIFS('Cash balance (Prior period)'!G:G,'Cash balance (Prior period)'!C:C,Table11[[#This Row],[ACCOUNT NUMBER]],'Cash balance (Prior period)'!E:E,Table11[[#This Row],[CURRENCY]])</f>
        <v>0</v>
      </c>
      <c r="R566" s="817">
        <f>SUMIFS(Movement!$F$4:$F$2136,Movement!$M$4:$M$2136,"USD",Movement!$C$4:$C$2136,Table11[[#This Row],[ACCOUNT NUMBER]],Movement!$J$4:$J$2136,Table11[[#This Row],[ENTITY]],Movement!$O$4:$O$2136,'Cash Balance'!$A$2)</f>
        <v>0</v>
      </c>
      <c r="S566" s="817">
        <f>SUMIFS(Movement!$G$4:$G$2136,Movement!$M$4:$M$2136,"USD",Movement!$C$4:$C$2136,Table11[[#This Row],[ACCOUNT NUMBER]],Movement!$J$4:$J$2136,Table11[[#This Row],[ENTITY]],Movement!$O$4:$O$2136,'Cash Balance'!$A$2)</f>
        <v>0</v>
      </c>
      <c r="T566" s="1087">
        <f t="shared" si="50"/>
        <v>0</v>
      </c>
      <c r="U566" s="1089"/>
      <c r="V566" s="817">
        <f>Table11[[#This Row],[CLOSING BALANCE (USD)]]-Table11[[#This Row],[CB_BS (USD)]]</f>
        <v>0</v>
      </c>
      <c r="W566" s="1156" t="str">
        <f>VLOOKUP('Cash Balance'!$C566,Table2[#All],MATCH('Cash Balance'!W$3,Acc_Char!$B$1:$I$1,0),0)</f>
        <v>Subsidiaries</v>
      </c>
      <c r="X566" s="1156" t="str">
        <f>VLOOKUP(IFERROR(MID($Y566,1,FIND("-",$Y566)-2),$Y566),Table3[#All],2,0)</f>
        <v>VTB</v>
      </c>
      <c r="Y566" s="1156" t="str">
        <f>VLOOKUP($B566,Table4[#All],2,0)</f>
        <v>VIETINBANK - TIEN SON</v>
      </c>
      <c r="Z566" s="1151"/>
      <c r="AA566" s="49"/>
    </row>
    <row r="567" spans="1:27">
      <c r="A567" s="1153" t="str">
        <f>VLOOKUP('Cash Balance'!$C567,Table2[#All],MATCH('Cash Balance'!A$3,Acc_Char!$B$1:$I$1,0),0)</f>
        <v>TAN DONG HIEP B ELECTRON</v>
      </c>
      <c r="B567" s="1154" t="str">
        <f>VLOOKUP('Cash Balance'!$C567,Table2[#All],MATCH('Cash Balance'!B$3,Acc_Char!$B$1:$I$1,0),0)</f>
        <v>VIETINBANK - TPHCM</v>
      </c>
      <c r="C567" s="1190" t="s">
        <v>1180</v>
      </c>
      <c r="D567" s="1156" t="str">
        <f>VLOOKUP('Cash Balance'!$C567,Table2[#All],MATCH('Cash Balance'!D$3,Acc_Char!$B$1:$I$1,0),0)</f>
        <v>Saving Account</v>
      </c>
      <c r="E567" s="384" t="str">
        <f>VLOOKUP('Cash Balance'!$C567,Table2[#All],MATCH('Cash Balance'!E$3,Acc_Char!$B$1:$I$1,0),0)</f>
        <v>VND</v>
      </c>
      <c r="F567" s="1094" t="e">
        <f>VLOOKUP(C567,'Cash balance (BS)'!A:C,3,)</f>
        <v>#N/A</v>
      </c>
      <c r="G567" s="1191" t="e">
        <f t="shared" si="47"/>
        <v>#N/A</v>
      </c>
      <c r="H567" s="1318">
        <f>SUMIFS('Cash balance (Prior period)'!F:F,'Cash balance (Prior period)'!C:C,Table11[[#This Row],[ACCOUNT NUMBER]],'Cash balance (Prior period)'!E:E,Table11[[#This Row],[CURRENCY]])</f>
        <v>0</v>
      </c>
      <c r="I567" s="1318">
        <f>SUMIFS(Movement!$F$4:$F$2136,Movement!$M$4:$M$2136,"VND",Movement!$C$4:$C$2136,Table11[[#This Row],[ACCOUNT NUMBER]],Movement!$J$4:$J$2136,Table11[[#This Row],[ENTITY]],Movement!$O$4:$O$2136,'Cash Balance'!$A$2)</f>
        <v>0</v>
      </c>
      <c r="J567" s="1318">
        <f>SUMIFS(Movement!$G$4:$G$2136,Movement!$M$4:$M$2136,"VND",Movement!$C$4:$C$2136,Table11[[#This Row],[ACCOUNT NUMBER]],Movement!$J$4:$J$2136,Table11[[#This Row],[ENTITY]],Movement!$O$4:$O$2136,'Cash Balance'!$A$2)</f>
        <v>0</v>
      </c>
      <c r="K567" s="1084">
        <f>Table11[[#This Row],[CASH IN - CREDIT (VND)]]-Table11[[#This Row],[CASH OUT - DEBIT (VND)]]</f>
        <v>0</v>
      </c>
      <c r="L567" s="1095">
        <f t="shared" si="48"/>
        <v>0</v>
      </c>
      <c r="M567" s="1184" t="e">
        <f>VLOOKUP(C567,'Cash balance (BS)'!A:D,4,)</f>
        <v>#N/A</v>
      </c>
      <c r="N567" s="1095" t="e">
        <f>Table11[[#This Row],[CLOSING BALANCE (VND)2]]-Table11[[#This Row],[CB_BS (VND)]]</f>
        <v>#N/A</v>
      </c>
      <c r="O567" s="1094">
        <v>0</v>
      </c>
      <c r="P567" s="1095">
        <f t="shared" si="49"/>
        <v>0</v>
      </c>
      <c r="Q567" s="817">
        <f>SUMIFS('Cash balance (Prior period)'!G:G,'Cash balance (Prior period)'!C:C,Table11[[#This Row],[ACCOUNT NUMBER]],'Cash balance (Prior period)'!E:E,Table11[[#This Row],[CURRENCY]])</f>
        <v>0</v>
      </c>
      <c r="R567" s="817">
        <f>SUMIFS(Movement!$F$4:$F$2136,Movement!$M$4:$M$2136,"USD",Movement!$C$4:$C$2136,Table11[[#This Row],[ACCOUNT NUMBER]],Movement!$J$4:$J$2136,Table11[[#This Row],[ENTITY]],Movement!$O$4:$O$2136,'Cash Balance'!$A$2)</f>
        <v>0</v>
      </c>
      <c r="S567" s="817">
        <f>SUMIFS(Movement!$G$4:$G$2136,Movement!$M$4:$M$2136,"USD",Movement!$C$4:$C$2136,Table11[[#This Row],[ACCOUNT NUMBER]],Movement!$J$4:$J$2136,Table11[[#This Row],[ENTITY]],Movement!$O$4:$O$2136,'Cash Balance'!$A$2)</f>
        <v>0</v>
      </c>
      <c r="T567" s="1087">
        <f t="shared" si="50"/>
        <v>0</v>
      </c>
      <c r="U567" s="1089"/>
      <c r="V567" s="817">
        <f>Table11[[#This Row],[CLOSING BALANCE (USD)]]-Table11[[#This Row],[CB_BS (USD)]]</f>
        <v>0</v>
      </c>
      <c r="W567" s="1156" t="str">
        <f>VLOOKUP('Cash Balance'!$C567,Table2[#All],MATCH('Cash Balance'!W$3,Acc_Char!$B$1:$I$1,0),0)</f>
        <v>Subsidiaries</v>
      </c>
      <c r="X567" s="1156" t="str">
        <f>VLOOKUP(IFERROR(MID($Y567,1,FIND("-",$Y567)-2),$Y567),Table3[#All],2,0)</f>
        <v>VTB</v>
      </c>
      <c r="Y567" s="1156" t="str">
        <f>VLOOKUP($B567,Table4[#All],2,0)</f>
        <v>VIETINBANK - TPHCM</v>
      </c>
      <c r="Z567" s="1151"/>
      <c r="AA567" s="49"/>
    </row>
    <row r="568" spans="1:27">
      <c r="A568" s="1153" t="str">
        <f>VLOOKUP('Cash Balance'!$C568,Table2[#All],MATCH('Cash Balance'!A$3,Acc_Char!$B$1:$I$1,0),0)</f>
        <v>LONG BINH</v>
      </c>
      <c r="B568" s="1154" t="str">
        <f>VLOOKUP('Cash Balance'!$C568,Table2[#All],MATCH('Cash Balance'!B$3,Acc_Char!$B$1:$I$1,0),0)</f>
        <v>VIETINBANK - CN1</v>
      </c>
      <c r="C568" s="1190" t="s">
        <v>1181</v>
      </c>
      <c r="D568" s="1156" t="str">
        <f>VLOOKUP('Cash Balance'!$C568,Table2[#All],MATCH('Cash Balance'!D$3,Acc_Char!$B$1:$I$1,0),0)</f>
        <v>Saving Account</v>
      </c>
      <c r="E568" s="384" t="str">
        <f>VLOOKUP('Cash Balance'!$C568,Table2[#All],MATCH('Cash Balance'!E$3,Acc_Char!$B$1:$I$1,0),0)</f>
        <v>VND</v>
      </c>
      <c r="F568" s="1094" t="e">
        <f>VLOOKUP(C568,'Cash balance (BS)'!A:C,3,)</f>
        <v>#N/A</v>
      </c>
      <c r="G568" s="1191" t="e">
        <f t="shared" si="47"/>
        <v>#N/A</v>
      </c>
      <c r="H568" s="1318">
        <f>SUMIFS('Cash balance (Prior period)'!F:F,'Cash balance (Prior period)'!C:C,Table11[[#This Row],[ACCOUNT NUMBER]],'Cash balance (Prior period)'!E:E,Table11[[#This Row],[CURRENCY]])</f>
        <v>0</v>
      </c>
      <c r="I568" s="1318">
        <f>SUMIFS(Movement!$F$4:$F$2136,Movement!$M$4:$M$2136,"VND",Movement!$C$4:$C$2136,Table11[[#This Row],[ACCOUNT NUMBER]],Movement!$J$4:$J$2136,Table11[[#This Row],[ENTITY]],Movement!$O$4:$O$2136,'Cash Balance'!$A$2)</f>
        <v>0</v>
      </c>
      <c r="J568" s="1318">
        <f>SUMIFS(Movement!$G$4:$G$2136,Movement!$M$4:$M$2136,"VND",Movement!$C$4:$C$2136,Table11[[#This Row],[ACCOUNT NUMBER]],Movement!$J$4:$J$2136,Table11[[#This Row],[ENTITY]],Movement!$O$4:$O$2136,'Cash Balance'!$A$2)</f>
        <v>0</v>
      </c>
      <c r="K568" s="1084">
        <f>Table11[[#This Row],[CASH IN - CREDIT (VND)]]-Table11[[#This Row],[CASH OUT - DEBIT (VND)]]</f>
        <v>0</v>
      </c>
      <c r="L568" s="1095">
        <f t="shared" si="48"/>
        <v>0</v>
      </c>
      <c r="M568" s="1184" t="e">
        <f>VLOOKUP(C568,'Cash balance (BS)'!A:D,4,)</f>
        <v>#N/A</v>
      </c>
      <c r="N568" s="1095" t="e">
        <f>Table11[[#This Row],[CLOSING BALANCE (VND)2]]-Table11[[#This Row],[CB_BS (VND)]]</f>
        <v>#N/A</v>
      </c>
      <c r="O568" s="1094">
        <v>0</v>
      </c>
      <c r="P568" s="1095">
        <f t="shared" si="49"/>
        <v>0</v>
      </c>
      <c r="Q568" s="817">
        <f>SUMIFS('Cash balance (Prior period)'!G:G,'Cash balance (Prior period)'!C:C,Table11[[#This Row],[ACCOUNT NUMBER]],'Cash balance (Prior period)'!E:E,Table11[[#This Row],[CURRENCY]])</f>
        <v>0</v>
      </c>
      <c r="R568" s="817">
        <f>SUMIFS(Movement!$F$4:$F$2136,Movement!$M$4:$M$2136,"USD",Movement!$C$4:$C$2136,Table11[[#This Row],[ACCOUNT NUMBER]],Movement!$J$4:$J$2136,Table11[[#This Row],[ENTITY]],Movement!$O$4:$O$2136,'Cash Balance'!$A$2)</f>
        <v>0</v>
      </c>
      <c r="S568" s="817">
        <f>SUMIFS(Movement!$G$4:$G$2136,Movement!$M$4:$M$2136,"USD",Movement!$C$4:$C$2136,Table11[[#This Row],[ACCOUNT NUMBER]],Movement!$J$4:$J$2136,Table11[[#This Row],[ENTITY]],Movement!$O$4:$O$2136,'Cash Balance'!$A$2)</f>
        <v>0</v>
      </c>
      <c r="T568" s="1087">
        <f t="shared" si="50"/>
        <v>0</v>
      </c>
      <c r="U568" s="1089"/>
      <c r="V568" s="817">
        <f>Table11[[#This Row],[CLOSING BALANCE (USD)]]-Table11[[#This Row],[CB_BS (USD)]]</f>
        <v>0</v>
      </c>
      <c r="W568" s="1156" t="str">
        <f>VLOOKUP('Cash Balance'!$C568,Table2[#All],MATCH('Cash Balance'!W$3,Acc_Char!$B$1:$I$1,0),0)</f>
        <v>Subsidiaries</v>
      </c>
      <c r="X568" s="1156" t="str">
        <f>VLOOKUP(IFERROR(MID($Y568,1,FIND("-",$Y568)-2),$Y568),Table3[#All],2,0)</f>
        <v>VTB</v>
      </c>
      <c r="Y568" s="1156" t="str">
        <f>VLOOKUP($B568,Table4[#All],2,0)</f>
        <v>VIETINBANK - CN1</v>
      </c>
      <c r="Z568" s="1151"/>
      <c r="AA568" s="49"/>
    </row>
    <row r="569" spans="1:27" s="1368" customFormat="1">
      <c r="A569" s="1153" t="str">
        <f>VLOOKUP('Cash Balance'!$C569,Table2[#All],MATCH('Cash Balance'!A$3,Acc_Char!$B$1:$I$1,0),0)</f>
        <v>BWID HAI DUONG</v>
      </c>
      <c r="B569" s="1154" t="str">
        <f>VLOOKUP('Cash Balance'!$C569,Table2[#All],MATCH('Cash Balance'!B$3,Acc_Char!$B$1:$I$1,0),0)</f>
        <v>VIETINBANK - TIEN SON</v>
      </c>
      <c r="C569" s="1190" t="s">
        <v>1182</v>
      </c>
      <c r="D569" s="1156" t="str">
        <f>VLOOKUP('Cash Balance'!$C569,Table2[#All],MATCH('Cash Balance'!D$3,Acc_Char!$B$1:$I$1,0),0)</f>
        <v>Saving Account</v>
      </c>
      <c r="E569" s="384" t="str">
        <f>VLOOKUP('Cash Balance'!$C569,Table2[#All],MATCH('Cash Balance'!E$3,Acc_Char!$B$1:$I$1,0),0)</f>
        <v>VND</v>
      </c>
      <c r="F569" s="1230" t="e">
        <f>VLOOKUP(C569,'Cash balance (BS)'!A:C,3,)</f>
        <v>#N/A</v>
      </c>
      <c r="G569" s="1191" t="e">
        <f>F569-H569</f>
        <v>#N/A</v>
      </c>
      <c r="H569" s="1319">
        <f>SUMIFS('Cash balance (Prior period)'!F:F,'Cash balance (Prior period)'!C:C,Table11[[#This Row],[ACCOUNT NUMBER]],'Cash balance (Prior period)'!E:E,Table11[[#This Row],[CURRENCY]])</f>
        <v>0</v>
      </c>
      <c r="I569" s="1319">
        <f>SUMIFS(Movement!$F$4:$F$2136,Movement!$M$4:$M$2136,"VND",Movement!$C$4:$C$2136,Table11[[#This Row],[ACCOUNT NUMBER]],Movement!$J$4:$J$2136,Table11[[#This Row],[ENTITY]],Movement!$O$4:$O$2136,'Cash Balance'!$A$2)</f>
        <v>0</v>
      </c>
      <c r="J569" s="1319">
        <f>SUMIFS(Movement!$G$4:$G$2136,Movement!$M$4:$M$2136,"VND",Movement!$C$4:$C$2136,Table11[[#This Row],[ACCOUNT NUMBER]],Movement!$J$4:$J$2136,Table11[[#This Row],[ENTITY]],Movement!$O$4:$O$2136,'Cash Balance'!$A$2)</f>
        <v>0</v>
      </c>
      <c r="K569" s="1224">
        <f>Table11[[#This Row],[CASH IN - CREDIT (VND)]]-Table11[[#This Row],[CASH OUT - DEBIT (VND)]]</f>
        <v>0</v>
      </c>
      <c r="L569" s="1225">
        <f>H569+I569-J569</f>
        <v>0</v>
      </c>
      <c r="M569" s="1184" t="e">
        <f>VLOOKUP(C569,'Cash balance (BS)'!A:D,4,)</f>
        <v>#N/A</v>
      </c>
      <c r="N569" s="1225" t="e">
        <f>Table11[[#This Row],[CLOSING BALANCE (VND)2]]-Table11[[#This Row],[CB_BS (VND)]]</f>
        <v>#N/A</v>
      </c>
      <c r="O569" s="1230">
        <v>0</v>
      </c>
      <c r="P569" s="1225">
        <f>O569-Q569</f>
        <v>0</v>
      </c>
      <c r="Q569" s="1285">
        <f>SUMIFS('Cash balance (Prior period)'!G:G,'Cash balance (Prior period)'!C:C,Table11[[#This Row],[ACCOUNT NUMBER]],'Cash balance (Prior period)'!E:E,Table11[[#This Row],[CURRENCY]])</f>
        <v>0</v>
      </c>
      <c r="R569" s="1285">
        <f>SUMIFS(Movement!$F$4:$F$2136,Movement!$M$4:$M$2136,"USD",Movement!$C$4:$C$2136,Table11[[#This Row],[ACCOUNT NUMBER]],Movement!$J$4:$J$2136,Table11[[#This Row],[ENTITY]],Movement!$O$4:$O$2136,'Cash Balance'!$A$2)</f>
        <v>0</v>
      </c>
      <c r="S569" s="1285">
        <f>SUMIFS(Movement!$G$4:$G$2136,Movement!$M$4:$M$2136,"USD",Movement!$C$4:$C$2136,Table11[[#This Row],[ACCOUNT NUMBER]],Movement!$J$4:$J$2136,Table11[[#This Row],[ENTITY]],Movement!$O$4:$O$2136,'Cash Balance'!$A$2)</f>
        <v>0</v>
      </c>
      <c r="T569" s="1236">
        <f>Q569+R569-S569</f>
        <v>0</v>
      </c>
      <c r="U569" s="1226"/>
      <c r="V569" s="1285">
        <f>Table11[[#This Row],[CLOSING BALANCE (USD)]]-Table11[[#This Row],[CB_BS (USD)]]</f>
        <v>0</v>
      </c>
      <c r="W569" s="1156" t="str">
        <f>VLOOKUP('Cash Balance'!$C569,Table2[#All],MATCH('Cash Balance'!W$3,Acc_Char!$B$1:$I$1,0),0)</f>
        <v>Subsidiaries</v>
      </c>
      <c r="X569" s="1156" t="str">
        <f>VLOOKUP(IFERROR(MID($Y569,1,FIND("-",$Y569)-2),$Y569),Table3[#All],2,0)</f>
        <v>VTB</v>
      </c>
      <c r="Y569" s="1156" t="str">
        <f>VLOOKUP($B569,Table4[#All],2,0)</f>
        <v>VIETINBANK - TIEN SON</v>
      </c>
      <c r="Z569" s="1151"/>
      <c r="AA569" s="49"/>
    </row>
    <row r="570" spans="1:27" s="1368" customFormat="1">
      <c r="A570" s="1153" t="str">
        <f>VLOOKUP('Cash Balance'!$C570,Table2[#All],MATCH('Cash Balance'!A$3,Acc_Char!$B$1:$I$1,0),0)</f>
        <v>BWID HAI DUONG</v>
      </c>
      <c r="B570" s="1154" t="str">
        <f>VLOOKUP('Cash Balance'!$C570,Table2[#All],MATCH('Cash Balance'!B$3,Acc_Char!$B$1:$I$1,0),0)</f>
        <v>VIETINBANK - TIEN SON</v>
      </c>
      <c r="C570" s="1190" t="s">
        <v>1183</v>
      </c>
      <c r="D570" s="1156" t="str">
        <f>VLOOKUP('Cash Balance'!$C570,Table2[#All],MATCH('Cash Balance'!D$3,Acc_Char!$B$1:$I$1,0),0)</f>
        <v>Saving Account</v>
      </c>
      <c r="E570" s="384" t="str">
        <f>VLOOKUP('Cash Balance'!$C570,Table2[#All],MATCH('Cash Balance'!E$3,Acc_Char!$B$1:$I$1,0),0)</f>
        <v>VND</v>
      </c>
      <c r="F570" s="1230" t="e">
        <f>VLOOKUP(C570,'Cash balance (BS)'!A:C,3,)</f>
        <v>#N/A</v>
      </c>
      <c r="G570" s="1191" t="e">
        <f>F570-H570</f>
        <v>#N/A</v>
      </c>
      <c r="H570" s="1319">
        <f>SUMIFS('Cash balance (Prior period)'!F:F,'Cash balance (Prior period)'!C:C,Table11[[#This Row],[ACCOUNT NUMBER]],'Cash balance (Prior period)'!E:E,Table11[[#This Row],[CURRENCY]])</f>
        <v>0</v>
      </c>
      <c r="I570" s="1319">
        <f>SUMIFS(Movement!$F$4:$F$2136,Movement!$M$4:$M$2136,"VND",Movement!$C$4:$C$2136,Table11[[#This Row],[ACCOUNT NUMBER]],Movement!$J$4:$J$2136,Table11[[#This Row],[ENTITY]],Movement!$O$4:$O$2136,'Cash Balance'!$A$2)</f>
        <v>0</v>
      </c>
      <c r="J570" s="1319">
        <f>SUMIFS(Movement!$G$4:$G$2136,Movement!$M$4:$M$2136,"VND",Movement!$C$4:$C$2136,Table11[[#This Row],[ACCOUNT NUMBER]],Movement!$J$4:$J$2136,Table11[[#This Row],[ENTITY]],Movement!$O$4:$O$2136,'Cash Balance'!$A$2)</f>
        <v>0</v>
      </c>
      <c r="K570" s="1224">
        <f>Table11[[#This Row],[CASH IN - CREDIT (VND)]]-Table11[[#This Row],[CASH OUT - DEBIT (VND)]]</f>
        <v>0</v>
      </c>
      <c r="L570" s="1225">
        <f>H570+I570-J570</f>
        <v>0</v>
      </c>
      <c r="M570" s="1184" t="e">
        <f>VLOOKUP(C570,'Cash balance (BS)'!A:D,4,)</f>
        <v>#N/A</v>
      </c>
      <c r="N570" s="1225" t="e">
        <f>Table11[[#This Row],[CLOSING BALANCE (VND)2]]-Table11[[#This Row],[CB_BS (VND)]]</f>
        <v>#N/A</v>
      </c>
      <c r="O570" s="1230">
        <v>0</v>
      </c>
      <c r="P570" s="1225">
        <f>O570-Q570</f>
        <v>0</v>
      </c>
      <c r="Q570" s="1285">
        <f>SUMIFS('Cash balance (Prior period)'!G:G,'Cash balance (Prior period)'!C:C,Table11[[#This Row],[ACCOUNT NUMBER]],'Cash balance (Prior period)'!E:E,Table11[[#This Row],[CURRENCY]])</f>
        <v>0</v>
      </c>
      <c r="R570" s="1285">
        <f>SUMIFS(Movement!$F$4:$F$2136,Movement!$M$4:$M$2136,"USD",Movement!$C$4:$C$2136,Table11[[#This Row],[ACCOUNT NUMBER]],Movement!$J$4:$J$2136,Table11[[#This Row],[ENTITY]],Movement!$O$4:$O$2136,'Cash Balance'!$A$2)</f>
        <v>0</v>
      </c>
      <c r="S570" s="1285">
        <f>SUMIFS(Movement!$G$4:$G$2136,Movement!$M$4:$M$2136,"USD",Movement!$C$4:$C$2136,Table11[[#This Row],[ACCOUNT NUMBER]],Movement!$J$4:$J$2136,Table11[[#This Row],[ENTITY]],Movement!$O$4:$O$2136,'Cash Balance'!$A$2)</f>
        <v>0</v>
      </c>
      <c r="T570" s="1236">
        <f>Q570+R570-S570</f>
        <v>0</v>
      </c>
      <c r="U570" s="1226"/>
      <c r="V570" s="1285">
        <f>Table11[[#This Row],[CLOSING BALANCE (USD)]]-Table11[[#This Row],[CB_BS (USD)]]</f>
        <v>0</v>
      </c>
      <c r="W570" s="1156" t="str">
        <f>VLOOKUP('Cash Balance'!$C570,Table2[#All],MATCH('Cash Balance'!W$3,Acc_Char!$B$1:$I$1,0),0)</f>
        <v>Subsidiaries</v>
      </c>
      <c r="X570" s="1156" t="str">
        <f>VLOOKUP(IFERROR(MID($Y570,1,FIND("-",$Y570)-2),$Y570),Table3[#All],2,0)</f>
        <v>VTB</v>
      </c>
      <c r="Y570" s="1156" t="str">
        <f>VLOOKUP($B570,Table4[#All],2,0)</f>
        <v>VIETINBANK - TIEN SON</v>
      </c>
      <c r="Z570" s="1151"/>
      <c r="AA570" s="49"/>
    </row>
    <row r="571" spans="1:27">
      <c r="A571" s="1153" t="str">
        <f>VLOOKUP('Cash Balance'!$C571,Table2[#All],MATCH('Cash Balance'!A$3,Acc_Char!$B$1:$I$1,0),0)</f>
        <v>GREAT KINGDOM NT 2</v>
      </c>
      <c r="B571" s="1154" t="str">
        <f>VLOOKUP('Cash Balance'!$C571,Table2[#All],MATCH('Cash Balance'!B$3,Acc_Char!$B$1:$I$1,0),0)</f>
        <v>VIETINBANK - CN1</v>
      </c>
      <c r="C571" s="1190" t="s">
        <v>1184</v>
      </c>
      <c r="D571" s="1156" t="str">
        <f>VLOOKUP('Cash Balance'!$C571,Table2[#All],MATCH('Cash Balance'!D$3,Acc_Char!$B$1:$I$1,0),0)</f>
        <v>Saving Account</v>
      </c>
      <c r="E571" s="384" t="str">
        <f>VLOOKUP('Cash Balance'!$C571,Table2[#All],MATCH('Cash Balance'!E$3,Acc_Char!$B$1:$I$1,0),0)</f>
        <v>VND</v>
      </c>
      <c r="F571" s="1094" t="e">
        <f>VLOOKUP(C571,'Cash balance (BS)'!A:C,3,)</f>
        <v>#N/A</v>
      </c>
      <c r="G571" s="1191" t="e">
        <f t="shared" ref="G571:G627" si="51">F571-H571</f>
        <v>#N/A</v>
      </c>
      <c r="H571" s="1318">
        <f>SUMIFS('Cash balance (Prior period)'!F:F,'Cash balance (Prior period)'!C:C,Table11[[#This Row],[ACCOUNT NUMBER]],'Cash balance (Prior period)'!E:E,Table11[[#This Row],[CURRENCY]])</f>
        <v>0</v>
      </c>
      <c r="I571" s="1318">
        <f>SUMIFS(Movement!$F$4:$F$2136,Movement!$M$4:$M$2136,"VND",Movement!$C$4:$C$2136,Table11[[#This Row],[ACCOUNT NUMBER]],Movement!$J$4:$J$2136,Table11[[#This Row],[ENTITY]],Movement!$O$4:$O$2136,'Cash Balance'!$A$2)</f>
        <v>0</v>
      </c>
      <c r="J571" s="1318">
        <f>SUMIFS(Movement!$G$4:$G$2136,Movement!$M$4:$M$2136,"VND",Movement!$C$4:$C$2136,Table11[[#This Row],[ACCOUNT NUMBER]],Movement!$J$4:$J$2136,Table11[[#This Row],[ENTITY]],Movement!$O$4:$O$2136,'Cash Balance'!$A$2)</f>
        <v>0</v>
      </c>
      <c r="K571" s="1084">
        <f>Table11[[#This Row],[CASH IN - CREDIT (VND)]]-Table11[[#This Row],[CASH OUT - DEBIT (VND)]]</f>
        <v>0</v>
      </c>
      <c r="L571" s="1095">
        <f t="shared" si="48"/>
        <v>0</v>
      </c>
      <c r="M571" s="1184" t="e">
        <f>VLOOKUP(C571,'Cash balance (BS)'!A:D,4,)</f>
        <v>#N/A</v>
      </c>
      <c r="N571" s="1095" t="e">
        <f>Table11[[#This Row],[CLOSING BALANCE (VND)2]]-Table11[[#This Row],[CB_BS (VND)]]</f>
        <v>#N/A</v>
      </c>
      <c r="O571" s="1094">
        <v>0</v>
      </c>
      <c r="P571" s="1095">
        <f t="shared" si="49"/>
        <v>0</v>
      </c>
      <c r="Q571" s="817">
        <f>SUMIFS('Cash balance (Prior period)'!G:G,'Cash balance (Prior period)'!C:C,Table11[[#This Row],[ACCOUNT NUMBER]],'Cash balance (Prior period)'!E:E,Table11[[#This Row],[CURRENCY]])</f>
        <v>0</v>
      </c>
      <c r="R571" s="817">
        <f>SUMIFS(Movement!$F$4:$F$2136,Movement!$M$4:$M$2136,"USD",Movement!$C$4:$C$2136,Table11[[#This Row],[ACCOUNT NUMBER]],Movement!$J$4:$J$2136,Table11[[#This Row],[ENTITY]],Movement!$O$4:$O$2136,'Cash Balance'!$A$2)</f>
        <v>0</v>
      </c>
      <c r="S571" s="817">
        <f>SUMIFS(Movement!$G$4:$G$2136,Movement!$M$4:$M$2136,"USD",Movement!$C$4:$C$2136,Table11[[#This Row],[ACCOUNT NUMBER]],Movement!$J$4:$J$2136,Table11[[#This Row],[ENTITY]],Movement!$O$4:$O$2136,'Cash Balance'!$A$2)</f>
        <v>0</v>
      </c>
      <c r="T571" s="1087">
        <f t="shared" si="50"/>
        <v>0</v>
      </c>
      <c r="U571" s="1089"/>
      <c r="V571" s="817">
        <f>Table11[[#This Row],[CLOSING BALANCE (USD)]]-Table11[[#This Row],[CB_BS (USD)]]</f>
        <v>0</v>
      </c>
      <c r="W571" s="1156" t="str">
        <f>VLOOKUP('Cash Balance'!$C571,Table2[#All],MATCH('Cash Balance'!W$3,Acc_Char!$B$1:$I$1,0),0)</f>
        <v>Subsidiaries</v>
      </c>
      <c r="X571" s="1156" t="str">
        <f>VLOOKUP(IFERROR(MID($Y571,1,FIND("-",$Y571)-2),$Y571),Table3[#All],2,0)</f>
        <v>VTB</v>
      </c>
      <c r="Y571" s="1156" t="str">
        <f>VLOOKUP($B571,Table4[#All],2,0)</f>
        <v>VIETINBANK - CN1</v>
      </c>
      <c r="Z571" s="1151"/>
      <c r="AA571" s="49"/>
    </row>
    <row r="572" spans="1:27">
      <c r="A572" s="1153" t="str">
        <f>VLOOKUP('Cash Balance'!$C572,Table2[#All],MATCH('Cash Balance'!A$3,Acc_Char!$B$1:$I$1,0),0)</f>
        <v>DEEP C 2B</v>
      </c>
      <c r="B572" s="1154" t="str">
        <f>VLOOKUP('Cash Balance'!$C572,Table2[#All],MATCH('Cash Balance'!B$3,Acc_Char!$B$1:$I$1,0),0)</f>
        <v>VIETINBANK - TPHCM</v>
      </c>
      <c r="C572" s="1190" t="s">
        <v>1185</v>
      </c>
      <c r="D572" s="1156" t="str">
        <f>VLOOKUP('Cash Balance'!$C572,Table2[#All],MATCH('Cash Balance'!D$3,Acc_Char!$B$1:$I$1,0),0)</f>
        <v>Saving Account</v>
      </c>
      <c r="E572" s="384" t="str">
        <f>VLOOKUP('Cash Balance'!$C572,Table2[#All],MATCH('Cash Balance'!E$3,Acc_Char!$B$1:$I$1,0),0)</f>
        <v>VND</v>
      </c>
      <c r="F572" s="1094" t="e">
        <f>VLOOKUP(C572,'Cash balance (BS)'!A:C,3,)</f>
        <v>#N/A</v>
      </c>
      <c r="G572" s="1191" t="e">
        <f t="shared" si="51"/>
        <v>#N/A</v>
      </c>
      <c r="H572" s="1318">
        <f>SUMIFS('Cash balance (Prior period)'!F:F,'Cash balance (Prior period)'!C:C,Table11[[#This Row],[ACCOUNT NUMBER]],'Cash balance (Prior period)'!E:E,Table11[[#This Row],[CURRENCY]])</f>
        <v>9000000000</v>
      </c>
      <c r="I572" s="1318">
        <f>SUMIFS(Movement!$F$4:$F$2136,Movement!$M$4:$M$2136,"VND",Movement!$C$4:$C$2136,Table11[[#This Row],[ACCOUNT NUMBER]],Movement!$J$4:$J$2136,Table11[[#This Row],[ENTITY]],Movement!$O$4:$O$2136,'Cash Balance'!$A$2)</f>
        <v>0</v>
      </c>
      <c r="J572" s="1318">
        <f>SUMIFS(Movement!$G$4:$G$2136,Movement!$M$4:$M$2136,"VND",Movement!$C$4:$C$2136,Table11[[#This Row],[ACCOUNT NUMBER]],Movement!$J$4:$J$2136,Table11[[#This Row],[ENTITY]],Movement!$O$4:$O$2136,'Cash Balance'!$A$2)</f>
        <v>0</v>
      </c>
      <c r="K572" s="1084">
        <f>Table11[[#This Row],[CASH IN - CREDIT (VND)]]-Table11[[#This Row],[CASH OUT - DEBIT (VND)]]</f>
        <v>0</v>
      </c>
      <c r="L572" s="1095">
        <f t="shared" si="48"/>
        <v>9000000000</v>
      </c>
      <c r="M572" s="1184" t="e">
        <f>VLOOKUP(C572,'Cash balance (BS)'!A:D,4,)</f>
        <v>#N/A</v>
      </c>
      <c r="N572" s="1095" t="e">
        <f>Table11[[#This Row],[CLOSING BALANCE (VND)2]]-Table11[[#This Row],[CB_BS (VND)]]</f>
        <v>#N/A</v>
      </c>
      <c r="O572" s="1094">
        <v>0</v>
      </c>
      <c r="P572" s="1095">
        <f t="shared" si="49"/>
        <v>0</v>
      </c>
      <c r="Q572" s="817">
        <f>SUMIFS('Cash balance (Prior period)'!G:G,'Cash balance (Prior period)'!C:C,Table11[[#This Row],[ACCOUNT NUMBER]],'Cash balance (Prior period)'!E:E,Table11[[#This Row],[CURRENCY]])</f>
        <v>0</v>
      </c>
      <c r="R572" s="817">
        <f>SUMIFS(Movement!$F$4:$F$2136,Movement!$M$4:$M$2136,"USD",Movement!$C$4:$C$2136,Table11[[#This Row],[ACCOUNT NUMBER]],Movement!$J$4:$J$2136,Table11[[#This Row],[ENTITY]],Movement!$O$4:$O$2136,'Cash Balance'!$A$2)</f>
        <v>0</v>
      </c>
      <c r="S572" s="817">
        <f>SUMIFS(Movement!$G$4:$G$2136,Movement!$M$4:$M$2136,"USD",Movement!$C$4:$C$2136,Table11[[#This Row],[ACCOUNT NUMBER]],Movement!$J$4:$J$2136,Table11[[#This Row],[ENTITY]],Movement!$O$4:$O$2136,'Cash Balance'!$A$2)</f>
        <v>0</v>
      </c>
      <c r="T572" s="1087">
        <f t="shared" si="50"/>
        <v>0</v>
      </c>
      <c r="U572" s="1089"/>
      <c r="V572" s="817">
        <f>Table11[[#This Row],[CLOSING BALANCE (USD)]]-Table11[[#This Row],[CB_BS (USD)]]</f>
        <v>0</v>
      </c>
      <c r="W572" s="1156" t="str">
        <f>VLOOKUP('Cash Balance'!$C572,Table2[#All],MATCH('Cash Balance'!W$3,Acc_Char!$B$1:$I$1,0),0)</f>
        <v>Subsidiaries</v>
      </c>
      <c r="X572" s="1156" t="str">
        <f>VLOOKUP(IFERROR(MID($Y572,1,FIND("-",$Y572)-2),$Y572),Table3[#All],2,0)</f>
        <v>VTB</v>
      </c>
      <c r="Y572" s="1156" t="str">
        <f>VLOOKUP($B572,Table4[#All],2,0)</f>
        <v>VIETINBANK - TPHCM</v>
      </c>
      <c r="Z572" s="1151"/>
      <c r="AA572" s="49"/>
    </row>
    <row r="573" spans="1:27">
      <c r="A573" s="1153" t="str">
        <f>VLOOKUP('Cash Balance'!$C573,Table2[#All],MATCH('Cash Balance'!A$3,Acc_Char!$B$1:$I$1,0),0)</f>
        <v>BWID BAC NINH</v>
      </c>
      <c r="B573" s="1154" t="str">
        <f>VLOOKUP('Cash Balance'!$C573,Table2[#All],MATCH('Cash Balance'!B$3,Acc_Char!$B$1:$I$1,0),0)</f>
        <v>VIETINBANK - TIEN SON</v>
      </c>
      <c r="C573" s="1190" t="s">
        <v>1186</v>
      </c>
      <c r="D573" s="1156" t="str">
        <f>VLOOKUP('Cash Balance'!$C573,Table2[#All],MATCH('Cash Balance'!D$3,Acc_Char!$B$1:$I$1,0),0)</f>
        <v>Saving Account</v>
      </c>
      <c r="E573" s="384" t="str">
        <f>VLOOKUP('Cash Balance'!$C573,Table2[#All],MATCH('Cash Balance'!E$3,Acc_Char!$B$1:$I$1,0),0)</f>
        <v>VND</v>
      </c>
      <c r="F573" s="1094" t="e">
        <f>VLOOKUP(C573,'Cash balance (BS)'!A:C,3,)</f>
        <v>#N/A</v>
      </c>
      <c r="G573" s="1191" t="e">
        <f t="shared" si="51"/>
        <v>#N/A</v>
      </c>
      <c r="H573" s="1318">
        <f>SUMIFS('Cash balance (Prior period)'!F:F,'Cash balance (Prior period)'!C:C,Table11[[#This Row],[ACCOUNT NUMBER]],'Cash balance (Prior period)'!E:E,Table11[[#This Row],[CURRENCY]])</f>
        <v>4000000000</v>
      </c>
      <c r="I573" s="1318">
        <f>SUMIFS(Movement!$F$4:$F$2136,Movement!$M$4:$M$2136,"VND",Movement!$C$4:$C$2136,Table11[[#This Row],[ACCOUNT NUMBER]],Movement!$J$4:$J$2136,Table11[[#This Row],[ENTITY]],Movement!$O$4:$O$2136,'Cash Balance'!$A$2)</f>
        <v>0</v>
      </c>
      <c r="J573" s="1318">
        <f>SUMIFS(Movement!$G$4:$G$2136,Movement!$M$4:$M$2136,"VND",Movement!$C$4:$C$2136,Table11[[#This Row],[ACCOUNT NUMBER]],Movement!$J$4:$J$2136,Table11[[#This Row],[ENTITY]],Movement!$O$4:$O$2136,'Cash Balance'!$A$2)</f>
        <v>0</v>
      </c>
      <c r="K573" s="1084">
        <f>Table11[[#This Row],[CASH IN - CREDIT (VND)]]-Table11[[#This Row],[CASH OUT - DEBIT (VND)]]</f>
        <v>0</v>
      </c>
      <c r="L573" s="1095">
        <f t="shared" si="48"/>
        <v>4000000000</v>
      </c>
      <c r="M573" s="1184" t="e">
        <f>VLOOKUP(C573,'Cash balance (BS)'!A:D,4,)</f>
        <v>#N/A</v>
      </c>
      <c r="N573" s="1095" t="e">
        <f>Table11[[#This Row],[CLOSING BALANCE (VND)2]]-Table11[[#This Row],[CB_BS (VND)]]</f>
        <v>#N/A</v>
      </c>
      <c r="O573" s="1094">
        <v>0</v>
      </c>
      <c r="P573" s="1095">
        <f t="shared" si="49"/>
        <v>0</v>
      </c>
      <c r="Q573" s="817">
        <f>SUMIFS('Cash balance (Prior period)'!G:G,'Cash balance (Prior period)'!C:C,Table11[[#This Row],[ACCOUNT NUMBER]],'Cash balance (Prior period)'!E:E,Table11[[#This Row],[CURRENCY]])</f>
        <v>0</v>
      </c>
      <c r="R573" s="817">
        <f>SUMIFS(Movement!$F$4:$F$2136,Movement!$M$4:$M$2136,"USD",Movement!$C$4:$C$2136,Table11[[#This Row],[ACCOUNT NUMBER]],Movement!$J$4:$J$2136,Table11[[#This Row],[ENTITY]],Movement!$O$4:$O$2136,'Cash Balance'!$A$2)</f>
        <v>0</v>
      </c>
      <c r="S573" s="817">
        <f>SUMIFS(Movement!$G$4:$G$2136,Movement!$M$4:$M$2136,"USD",Movement!$C$4:$C$2136,Table11[[#This Row],[ACCOUNT NUMBER]],Movement!$J$4:$J$2136,Table11[[#This Row],[ENTITY]],Movement!$O$4:$O$2136,'Cash Balance'!$A$2)</f>
        <v>0</v>
      </c>
      <c r="T573" s="1087">
        <f t="shared" si="50"/>
        <v>0</v>
      </c>
      <c r="U573" s="1089"/>
      <c r="V573" s="817">
        <f>Table11[[#This Row],[CLOSING BALANCE (USD)]]-Table11[[#This Row],[CB_BS (USD)]]</f>
        <v>0</v>
      </c>
      <c r="W573" s="1156" t="str">
        <f>VLOOKUP('Cash Balance'!$C573,Table2[#All],MATCH('Cash Balance'!W$3,Acc_Char!$B$1:$I$1,0),0)</f>
        <v>Subsidiaries</v>
      </c>
      <c r="X573" s="1156" t="str">
        <f>VLOOKUP(IFERROR(MID($Y573,1,FIND("-",$Y573)-2),$Y573),Table3[#All],2,0)</f>
        <v>VTB</v>
      </c>
      <c r="Y573" s="1156" t="str">
        <f>VLOOKUP($B573,Table4[#All],2,0)</f>
        <v>VIETINBANK - TIEN SON</v>
      </c>
      <c r="Z573" s="1151"/>
      <c r="AA573" s="49"/>
    </row>
    <row r="574" spans="1:27">
      <c r="A574" s="1153" t="str">
        <f>VLOOKUP('Cash Balance'!$C574,Table2[#All],MATCH('Cash Balance'!A$3,Acc_Char!$B$1:$I$1,0),0)</f>
        <v>BWID BAC NINH</v>
      </c>
      <c r="B574" s="1154" t="str">
        <f>VLOOKUP('Cash Balance'!$C574,Table2[#All],MATCH('Cash Balance'!B$3,Acc_Char!$B$1:$I$1,0),0)</f>
        <v>VIETINBANK - TIEN SON</v>
      </c>
      <c r="C574" s="1190" t="s">
        <v>1187</v>
      </c>
      <c r="D574" s="1156" t="str">
        <f>VLOOKUP('Cash Balance'!$C574,Table2[#All],MATCH('Cash Balance'!D$3,Acc_Char!$B$1:$I$1,0),0)</f>
        <v>Saving Account</v>
      </c>
      <c r="E574" s="384" t="str">
        <f>VLOOKUP('Cash Balance'!$C574,Table2[#All],MATCH('Cash Balance'!E$3,Acc_Char!$B$1:$I$1,0),0)</f>
        <v>VND</v>
      </c>
      <c r="F574" s="1094" t="e">
        <f>VLOOKUP(C574,'Cash balance (BS)'!A:C,3,)</f>
        <v>#N/A</v>
      </c>
      <c r="G574" s="1191" t="e">
        <f t="shared" si="51"/>
        <v>#N/A</v>
      </c>
      <c r="H574" s="1318">
        <f>SUMIFS('Cash balance (Prior period)'!F:F,'Cash balance (Prior period)'!C:C,Table11[[#This Row],[ACCOUNT NUMBER]],'Cash balance (Prior period)'!E:E,Table11[[#This Row],[CURRENCY]])</f>
        <v>0</v>
      </c>
      <c r="I574" s="1318">
        <f>SUMIFS(Movement!$F$4:$F$2136,Movement!$M$4:$M$2136,"VND",Movement!$C$4:$C$2136,Table11[[#This Row],[ACCOUNT NUMBER]],Movement!$J$4:$J$2136,Table11[[#This Row],[ENTITY]],Movement!$O$4:$O$2136,'Cash Balance'!$A$2)</f>
        <v>0</v>
      </c>
      <c r="J574" s="1318">
        <f>SUMIFS(Movement!$G$4:$G$2136,Movement!$M$4:$M$2136,"VND",Movement!$C$4:$C$2136,Table11[[#This Row],[ACCOUNT NUMBER]],Movement!$J$4:$J$2136,Table11[[#This Row],[ENTITY]],Movement!$O$4:$O$2136,'Cash Balance'!$A$2)</f>
        <v>0</v>
      </c>
      <c r="K574" s="1084">
        <f>Table11[[#This Row],[CASH IN - CREDIT (VND)]]-Table11[[#This Row],[CASH OUT - DEBIT (VND)]]</f>
        <v>0</v>
      </c>
      <c r="L574" s="1095">
        <f t="shared" si="48"/>
        <v>0</v>
      </c>
      <c r="M574" s="1184" t="e">
        <f>VLOOKUP(C574,'Cash balance (BS)'!A:D,4,)</f>
        <v>#N/A</v>
      </c>
      <c r="N574" s="1095" t="e">
        <f>Table11[[#This Row],[CLOSING BALANCE (VND)2]]-Table11[[#This Row],[CB_BS (VND)]]</f>
        <v>#N/A</v>
      </c>
      <c r="O574" s="1094">
        <v>0</v>
      </c>
      <c r="P574" s="1095">
        <f t="shared" si="49"/>
        <v>0</v>
      </c>
      <c r="Q574" s="817">
        <f>SUMIFS('Cash balance (Prior period)'!G:G,'Cash balance (Prior period)'!C:C,Table11[[#This Row],[ACCOUNT NUMBER]],'Cash balance (Prior period)'!E:E,Table11[[#This Row],[CURRENCY]])</f>
        <v>0</v>
      </c>
      <c r="R574" s="817">
        <f>SUMIFS(Movement!$F$4:$F$2136,Movement!$M$4:$M$2136,"USD",Movement!$C$4:$C$2136,Table11[[#This Row],[ACCOUNT NUMBER]],Movement!$J$4:$J$2136,Table11[[#This Row],[ENTITY]],Movement!$O$4:$O$2136,'Cash Balance'!$A$2)</f>
        <v>0</v>
      </c>
      <c r="S574" s="817">
        <f>SUMIFS(Movement!$G$4:$G$2136,Movement!$M$4:$M$2136,"USD",Movement!$C$4:$C$2136,Table11[[#This Row],[ACCOUNT NUMBER]],Movement!$J$4:$J$2136,Table11[[#This Row],[ENTITY]],Movement!$O$4:$O$2136,'Cash Balance'!$A$2)</f>
        <v>0</v>
      </c>
      <c r="T574" s="1087">
        <f t="shared" si="50"/>
        <v>0</v>
      </c>
      <c r="U574" s="1089"/>
      <c r="V574" s="817">
        <f>Table11[[#This Row],[CLOSING BALANCE (USD)]]-Table11[[#This Row],[CB_BS (USD)]]</f>
        <v>0</v>
      </c>
      <c r="W574" s="1156" t="str">
        <f>VLOOKUP('Cash Balance'!$C574,Table2[#All],MATCH('Cash Balance'!W$3,Acc_Char!$B$1:$I$1,0),0)</f>
        <v>Subsidiaries</v>
      </c>
      <c r="X574" s="1156" t="str">
        <f>VLOOKUP(IFERROR(MID($Y574,1,FIND("-",$Y574)-2),$Y574),Table3[#All],2,0)</f>
        <v>VTB</v>
      </c>
      <c r="Y574" s="1156" t="str">
        <f>VLOOKUP($B574,Table4[#All],2,0)</f>
        <v>VIETINBANK - TIEN SON</v>
      </c>
      <c r="Z574" s="1151"/>
      <c r="AA574" s="49"/>
    </row>
    <row r="575" spans="1:27">
      <c r="A575" s="1153" t="str">
        <f>VLOOKUP('Cash Balance'!$C575,Table2[#All],MATCH('Cash Balance'!A$3,Acc_Char!$B$1:$I$1,0),0)</f>
        <v>BWID HAI DUONG 2</v>
      </c>
      <c r="B575" s="1154" t="str">
        <f>VLOOKUP('Cash Balance'!$C575,Table2[#All],MATCH('Cash Balance'!B$3,Acc_Char!$B$1:$I$1,0),0)</f>
        <v>VIETINBANK - TIEN SON</v>
      </c>
      <c r="C575" s="1190" t="s">
        <v>1188</v>
      </c>
      <c r="D575" s="1156" t="str">
        <f>VLOOKUP('Cash Balance'!$C575,Table2[#All],MATCH('Cash Balance'!D$3,Acc_Char!$B$1:$I$1,0),0)</f>
        <v>Saving Account</v>
      </c>
      <c r="E575" s="384" t="str">
        <f>VLOOKUP('Cash Balance'!$C575,Table2[#All],MATCH('Cash Balance'!E$3,Acc_Char!$B$1:$I$1,0),0)</f>
        <v>VND</v>
      </c>
      <c r="F575" s="1094" t="e">
        <f>VLOOKUP(C575,'Cash balance (BS)'!A:C,3,)</f>
        <v>#N/A</v>
      </c>
      <c r="G575" s="1191" t="e">
        <f t="shared" si="51"/>
        <v>#N/A</v>
      </c>
      <c r="H575" s="1318">
        <f>SUMIFS('Cash balance (Prior period)'!F:F,'Cash balance (Prior period)'!C:C,Table11[[#This Row],[ACCOUNT NUMBER]],'Cash balance (Prior period)'!E:E,Table11[[#This Row],[CURRENCY]])</f>
        <v>0</v>
      </c>
      <c r="I575" s="1318">
        <f>SUMIFS(Movement!$F$4:$F$2136,Movement!$M$4:$M$2136,"VND",Movement!$C$4:$C$2136,Table11[[#This Row],[ACCOUNT NUMBER]],Movement!$J$4:$J$2136,Table11[[#This Row],[ENTITY]],Movement!$O$4:$O$2136,'Cash Balance'!$A$2)</f>
        <v>0</v>
      </c>
      <c r="J575" s="1318">
        <f>SUMIFS(Movement!$G$4:$G$2136,Movement!$M$4:$M$2136,"VND",Movement!$C$4:$C$2136,Table11[[#This Row],[ACCOUNT NUMBER]],Movement!$J$4:$J$2136,Table11[[#This Row],[ENTITY]],Movement!$O$4:$O$2136,'Cash Balance'!$A$2)</f>
        <v>0</v>
      </c>
      <c r="K575" s="1084">
        <f>Table11[[#This Row],[CASH IN - CREDIT (VND)]]-Table11[[#This Row],[CASH OUT - DEBIT (VND)]]</f>
        <v>0</v>
      </c>
      <c r="L575" s="1095">
        <f t="shared" si="48"/>
        <v>0</v>
      </c>
      <c r="M575" s="1184" t="e">
        <f>VLOOKUP(C575,'Cash balance (BS)'!A:D,4,)</f>
        <v>#N/A</v>
      </c>
      <c r="N575" s="1095" t="e">
        <f>Table11[[#This Row],[CLOSING BALANCE (VND)2]]-Table11[[#This Row],[CB_BS (VND)]]</f>
        <v>#N/A</v>
      </c>
      <c r="O575" s="1094">
        <v>0</v>
      </c>
      <c r="P575" s="1095">
        <f t="shared" si="49"/>
        <v>0</v>
      </c>
      <c r="Q575" s="817">
        <f>SUMIFS('Cash balance (Prior period)'!G:G,'Cash balance (Prior period)'!C:C,Table11[[#This Row],[ACCOUNT NUMBER]],'Cash balance (Prior period)'!E:E,Table11[[#This Row],[CURRENCY]])</f>
        <v>0</v>
      </c>
      <c r="R575" s="817">
        <f>SUMIFS(Movement!$F$4:$F$2136,Movement!$M$4:$M$2136,"USD",Movement!$C$4:$C$2136,Table11[[#This Row],[ACCOUNT NUMBER]],Movement!$J$4:$J$2136,Table11[[#This Row],[ENTITY]],Movement!$O$4:$O$2136,'Cash Balance'!$A$2)</f>
        <v>0</v>
      </c>
      <c r="S575" s="817">
        <f>SUMIFS(Movement!$G$4:$G$2136,Movement!$M$4:$M$2136,"USD",Movement!$C$4:$C$2136,Table11[[#This Row],[ACCOUNT NUMBER]],Movement!$J$4:$J$2136,Table11[[#This Row],[ENTITY]],Movement!$O$4:$O$2136,'Cash Balance'!$A$2)</f>
        <v>0</v>
      </c>
      <c r="T575" s="1087">
        <f t="shared" si="50"/>
        <v>0</v>
      </c>
      <c r="U575" s="1089"/>
      <c r="V575" s="817">
        <f>Table11[[#This Row],[CLOSING BALANCE (USD)]]-Table11[[#This Row],[CB_BS (USD)]]</f>
        <v>0</v>
      </c>
      <c r="W575" s="1156" t="str">
        <f>VLOOKUP('Cash Balance'!$C575,Table2[#All],MATCH('Cash Balance'!W$3,Acc_Char!$B$1:$I$1,0),0)</f>
        <v>Subsidiaries</v>
      </c>
      <c r="X575" s="1156" t="str">
        <f>VLOOKUP(IFERROR(MID($Y575,1,FIND("-",$Y575)-2),$Y575),Table3[#All],2,0)</f>
        <v>VTB</v>
      </c>
      <c r="Y575" s="1156" t="str">
        <f>VLOOKUP($B575,Table4[#All],2,0)</f>
        <v>VIETINBANK - TIEN SON</v>
      </c>
      <c r="Z575" s="1151"/>
      <c r="AA575" s="49"/>
    </row>
    <row r="576" spans="1:27">
      <c r="A576" s="1153" t="str">
        <f>VLOOKUP('Cash Balance'!$C576,Table2[#All],MATCH('Cash Balance'!A$3,Acc_Char!$B$1:$I$1,0),0)</f>
        <v>BWID Tan Phu Trung</v>
      </c>
      <c r="B576" s="1154" t="str">
        <f>VLOOKUP('Cash Balance'!$C576,Table2[#All],MATCH('Cash Balance'!B$3,Acc_Char!$B$1:$I$1,0),0)</f>
        <v>VIETINBANK - TIEN SON</v>
      </c>
      <c r="C576" s="1190" t="s">
        <v>1189</v>
      </c>
      <c r="D576" s="1156" t="str">
        <f>VLOOKUP('Cash Balance'!$C576,Table2[#All],MATCH('Cash Balance'!D$3,Acc_Char!$B$1:$I$1,0),0)</f>
        <v>Saving Account</v>
      </c>
      <c r="E576" s="384" t="str">
        <f>VLOOKUP('Cash Balance'!$C576,Table2[#All],MATCH('Cash Balance'!E$3,Acc_Char!$B$1:$I$1,0),0)</f>
        <v>VND</v>
      </c>
      <c r="F576" s="1094" t="e">
        <f>VLOOKUP(C576,'Cash balance (BS)'!A:C,3,)</f>
        <v>#N/A</v>
      </c>
      <c r="G576" s="1191" t="e">
        <f t="shared" si="51"/>
        <v>#N/A</v>
      </c>
      <c r="H576" s="1318">
        <f>SUMIFS('Cash balance (Prior period)'!F:F,'Cash balance (Prior period)'!C:C,Table11[[#This Row],[ACCOUNT NUMBER]],'Cash balance (Prior period)'!E:E,Table11[[#This Row],[CURRENCY]])</f>
        <v>0</v>
      </c>
      <c r="I576" s="1318">
        <f>SUMIFS(Movement!$F$4:$F$2136,Movement!$M$4:$M$2136,"VND",Movement!$C$4:$C$2136,Table11[[#This Row],[ACCOUNT NUMBER]],Movement!$J$4:$J$2136,Table11[[#This Row],[ENTITY]],Movement!$O$4:$O$2136,'Cash Balance'!$A$2)</f>
        <v>0</v>
      </c>
      <c r="J576" s="1318">
        <f>SUMIFS(Movement!$G$4:$G$2136,Movement!$M$4:$M$2136,"VND",Movement!$C$4:$C$2136,Table11[[#This Row],[ACCOUNT NUMBER]],Movement!$J$4:$J$2136,Table11[[#This Row],[ENTITY]],Movement!$O$4:$O$2136,'Cash Balance'!$A$2)</f>
        <v>0</v>
      </c>
      <c r="K576" s="1084">
        <f>Table11[[#This Row],[CASH IN - CREDIT (VND)]]-Table11[[#This Row],[CASH OUT - DEBIT (VND)]]</f>
        <v>0</v>
      </c>
      <c r="L576" s="1095">
        <f t="shared" si="48"/>
        <v>0</v>
      </c>
      <c r="M576" s="1184" t="e">
        <f>VLOOKUP(C576,'Cash balance (BS)'!A:D,4,)</f>
        <v>#N/A</v>
      </c>
      <c r="N576" s="1095" t="e">
        <f>Table11[[#This Row],[CLOSING BALANCE (VND)2]]-Table11[[#This Row],[CB_BS (VND)]]</f>
        <v>#N/A</v>
      </c>
      <c r="O576" s="1094">
        <v>0</v>
      </c>
      <c r="P576" s="1095">
        <f t="shared" si="49"/>
        <v>0</v>
      </c>
      <c r="Q576" s="817">
        <f>SUMIFS('Cash balance (Prior period)'!G:G,'Cash balance (Prior period)'!C:C,Table11[[#This Row],[ACCOUNT NUMBER]],'Cash balance (Prior period)'!E:E,Table11[[#This Row],[CURRENCY]])</f>
        <v>0</v>
      </c>
      <c r="R576" s="817">
        <f>SUMIFS(Movement!$F$4:$F$2136,Movement!$M$4:$M$2136,"USD",Movement!$C$4:$C$2136,Table11[[#This Row],[ACCOUNT NUMBER]],Movement!$J$4:$J$2136,Table11[[#This Row],[ENTITY]],Movement!$O$4:$O$2136,'Cash Balance'!$A$2)</f>
        <v>0</v>
      </c>
      <c r="S576" s="817">
        <f>SUMIFS(Movement!$G$4:$G$2136,Movement!$M$4:$M$2136,"USD",Movement!$C$4:$C$2136,Table11[[#This Row],[ACCOUNT NUMBER]],Movement!$J$4:$J$2136,Table11[[#This Row],[ENTITY]],Movement!$O$4:$O$2136,'Cash Balance'!$A$2)</f>
        <v>0</v>
      </c>
      <c r="T576" s="1087">
        <f t="shared" si="50"/>
        <v>0</v>
      </c>
      <c r="U576" s="1089"/>
      <c r="V576" s="817">
        <f>Table11[[#This Row],[CLOSING BALANCE (USD)]]-Table11[[#This Row],[CB_BS (USD)]]</f>
        <v>0</v>
      </c>
      <c r="W576" s="1156" t="str">
        <f>VLOOKUP('Cash Balance'!$C576,Table2[#All],MATCH('Cash Balance'!W$3,Acc_Char!$B$1:$I$1,0),0)</f>
        <v>Subsidiaries</v>
      </c>
      <c r="X576" s="1156" t="str">
        <f>VLOOKUP(IFERROR(MID($Y576,1,FIND("-",$Y576)-2),$Y576),Table3[#All],2,0)</f>
        <v>VTB</v>
      </c>
      <c r="Y576" s="1156" t="str">
        <f>VLOOKUP($B576,Table4[#All],2,0)</f>
        <v>VIETINBANK - TIEN SON</v>
      </c>
      <c r="Z576" s="1151"/>
      <c r="AA576" s="49"/>
    </row>
    <row r="577" spans="1:27">
      <c r="A577" s="1153" t="str">
        <f>VLOOKUP('Cash Balance'!$C577,Table2[#All],MATCH('Cash Balance'!A$3,Acc_Char!$B$1:$I$1,0),0)</f>
        <v>KIM TRUC DN</v>
      </c>
      <c r="B577" s="1154" t="str">
        <f>VLOOKUP('Cash Balance'!$C577,Table2[#All],MATCH('Cash Balance'!B$3,Acc_Char!$B$1:$I$1,0),0)</f>
        <v>BIDV - NAM SAI GON</v>
      </c>
      <c r="C577" s="1190" t="s">
        <v>1190</v>
      </c>
      <c r="D577" s="1156" t="str">
        <f>VLOOKUP('Cash Balance'!$C577,Table2[#All],MATCH('Cash Balance'!D$3,Acc_Char!$B$1:$I$1,0),0)</f>
        <v>Saving Account</v>
      </c>
      <c r="E577" s="384" t="str">
        <f>VLOOKUP('Cash Balance'!$C577,Table2[#All],MATCH('Cash Balance'!E$3,Acc_Char!$B$1:$I$1,0),0)</f>
        <v>VND</v>
      </c>
      <c r="F577" s="1094" t="e">
        <f>VLOOKUP(C577,'Cash balance (BS)'!A:C,3,)</f>
        <v>#N/A</v>
      </c>
      <c r="G577" s="1191" t="e">
        <f t="shared" si="51"/>
        <v>#N/A</v>
      </c>
      <c r="H577" s="1318">
        <f>SUMIFS('Cash balance (Prior period)'!F:F,'Cash balance (Prior period)'!C:C,Table11[[#This Row],[ACCOUNT NUMBER]],'Cash balance (Prior period)'!E:E,Table11[[#This Row],[CURRENCY]])</f>
        <v>4000000000</v>
      </c>
      <c r="I577" s="1318">
        <f>SUMIFS(Movement!$F$4:$F$2136,Movement!$M$4:$M$2136,"VND",Movement!$C$4:$C$2136,Table11[[#This Row],[ACCOUNT NUMBER]],Movement!$J$4:$J$2136,Table11[[#This Row],[ENTITY]],Movement!$O$4:$O$2136,'Cash Balance'!$A$2)</f>
        <v>0</v>
      </c>
      <c r="J577" s="1318">
        <f>SUMIFS(Movement!$G$4:$G$2136,Movement!$M$4:$M$2136,"VND",Movement!$C$4:$C$2136,Table11[[#This Row],[ACCOUNT NUMBER]],Movement!$J$4:$J$2136,Table11[[#This Row],[ENTITY]],Movement!$O$4:$O$2136,'Cash Balance'!$A$2)</f>
        <v>0</v>
      </c>
      <c r="K577" s="1084">
        <f>Table11[[#This Row],[CASH IN - CREDIT (VND)]]-Table11[[#This Row],[CASH OUT - DEBIT (VND)]]</f>
        <v>0</v>
      </c>
      <c r="L577" s="1095">
        <f t="shared" si="48"/>
        <v>4000000000</v>
      </c>
      <c r="M577" s="1184" t="e">
        <f>VLOOKUP(C577,'Cash balance (BS)'!A:D,4,)</f>
        <v>#N/A</v>
      </c>
      <c r="N577" s="1095" t="e">
        <f>Table11[[#This Row],[CLOSING BALANCE (VND)2]]-Table11[[#This Row],[CB_BS (VND)]]</f>
        <v>#N/A</v>
      </c>
      <c r="O577" s="1094">
        <v>0</v>
      </c>
      <c r="P577" s="1095">
        <f t="shared" si="49"/>
        <v>0</v>
      </c>
      <c r="Q577" s="817">
        <f>SUMIFS('Cash balance (Prior period)'!G:G,'Cash balance (Prior period)'!C:C,Table11[[#This Row],[ACCOUNT NUMBER]],'Cash balance (Prior period)'!E:E,Table11[[#This Row],[CURRENCY]])</f>
        <v>0</v>
      </c>
      <c r="R577" s="817">
        <f>SUMIFS(Movement!$F$4:$F$2136,Movement!$M$4:$M$2136,"USD",Movement!$C$4:$C$2136,Table11[[#This Row],[ACCOUNT NUMBER]],Movement!$J$4:$J$2136,Table11[[#This Row],[ENTITY]],Movement!$O$4:$O$2136,'Cash Balance'!$A$2)</f>
        <v>0</v>
      </c>
      <c r="S577" s="817">
        <f>SUMIFS(Movement!$G$4:$G$2136,Movement!$M$4:$M$2136,"USD",Movement!$C$4:$C$2136,Table11[[#This Row],[ACCOUNT NUMBER]],Movement!$J$4:$J$2136,Table11[[#This Row],[ENTITY]],Movement!$O$4:$O$2136,'Cash Balance'!$A$2)</f>
        <v>0</v>
      </c>
      <c r="T577" s="1087">
        <f t="shared" si="50"/>
        <v>0</v>
      </c>
      <c r="U577" s="1089"/>
      <c r="V577" s="817">
        <f>Table11[[#This Row],[CLOSING BALANCE (USD)]]-Table11[[#This Row],[CB_BS (USD)]]</f>
        <v>0</v>
      </c>
      <c r="W577" s="1156" t="str">
        <f>VLOOKUP('Cash Balance'!$C577,Table2[#All],MATCH('Cash Balance'!W$3,Acc_Char!$B$1:$I$1,0),0)</f>
        <v>Subsidiaries</v>
      </c>
      <c r="X577" s="1156" t="str">
        <f>VLOOKUP(IFERROR(MID($Y577,1,FIND("-",$Y577)-2),$Y577),Table3[#All],2,0)</f>
        <v>BIDV</v>
      </c>
      <c r="Y577" s="1156" t="str">
        <f>VLOOKUP($B577,Table4[#All],2,0)</f>
        <v>BIDV - NAM SAI GON</v>
      </c>
      <c r="Z577" s="1151"/>
      <c r="AA577" s="49"/>
    </row>
    <row r="578" spans="1:27">
      <c r="A578" s="1153" t="str">
        <f>VLOOKUP('Cash Balance'!$C578,Table2[#All],MATCH('Cash Balance'!A$3,Acc_Char!$B$1:$I$1,0),0)</f>
        <v>BW NAM DINH VU</v>
      </c>
      <c r="B578" s="1154" t="str">
        <f>VLOOKUP('Cash Balance'!$C578,Table2[#All],MATCH('Cash Balance'!B$3,Acc_Char!$B$1:$I$1,0),0)</f>
        <v>BIDV - LONG BIEN</v>
      </c>
      <c r="C578" s="1190" t="s">
        <v>1191</v>
      </c>
      <c r="D578" s="1156" t="str">
        <f>VLOOKUP('Cash Balance'!$C578,Table2[#All],MATCH('Cash Balance'!D$3,Acc_Char!$B$1:$I$1,0),0)</f>
        <v>Saving Account</v>
      </c>
      <c r="E578" s="384" t="str">
        <f>VLOOKUP('Cash Balance'!$C578,Table2[#All],MATCH('Cash Balance'!E$3,Acc_Char!$B$1:$I$1,0),0)</f>
        <v>VND</v>
      </c>
      <c r="F578" s="1094" t="e">
        <f>VLOOKUP(C578,'Cash balance (BS)'!A:C,3,)</f>
        <v>#N/A</v>
      </c>
      <c r="G578" s="1191" t="e">
        <f t="shared" si="51"/>
        <v>#N/A</v>
      </c>
      <c r="H578" s="1318">
        <f>SUMIFS('Cash balance (Prior period)'!F:F,'Cash balance (Prior period)'!C:C,Table11[[#This Row],[ACCOUNT NUMBER]],'Cash balance (Prior period)'!E:E,Table11[[#This Row],[CURRENCY]])</f>
        <v>0</v>
      </c>
      <c r="I578" s="1318">
        <f>SUMIFS(Movement!$F$4:$F$2136,Movement!$M$4:$M$2136,"VND",Movement!$C$4:$C$2136,Table11[[#This Row],[ACCOUNT NUMBER]],Movement!$J$4:$J$2136,Table11[[#This Row],[ENTITY]],Movement!$O$4:$O$2136,'Cash Balance'!$A$2)</f>
        <v>0</v>
      </c>
      <c r="J578" s="1318">
        <f>SUMIFS(Movement!$G$4:$G$2136,Movement!$M$4:$M$2136,"VND",Movement!$C$4:$C$2136,Table11[[#This Row],[ACCOUNT NUMBER]],Movement!$J$4:$J$2136,Table11[[#This Row],[ENTITY]],Movement!$O$4:$O$2136,'Cash Balance'!$A$2)</f>
        <v>0</v>
      </c>
      <c r="K578" s="1084">
        <f>Table11[[#This Row],[CASH IN - CREDIT (VND)]]-Table11[[#This Row],[CASH OUT - DEBIT (VND)]]</f>
        <v>0</v>
      </c>
      <c r="L578" s="1095">
        <f t="shared" si="48"/>
        <v>0</v>
      </c>
      <c r="M578" s="1184" t="e">
        <f>VLOOKUP(C578,'Cash balance (BS)'!A:D,4,)</f>
        <v>#N/A</v>
      </c>
      <c r="N578" s="1095" t="e">
        <f>Table11[[#This Row],[CLOSING BALANCE (VND)2]]-Table11[[#This Row],[CB_BS (VND)]]</f>
        <v>#N/A</v>
      </c>
      <c r="O578" s="1094">
        <v>0</v>
      </c>
      <c r="P578" s="1095">
        <f t="shared" si="49"/>
        <v>0</v>
      </c>
      <c r="Q578" s="817">
        <f>SUMIFS('Cash balance (Prior period)'!G:G,'Cash balance (Prior period)'!C:C,Table11[[#This Row],[ACCOUNT NUMBER]],'Cash balance (Prior period)'!E:E,Table11[[#This Row],[CURRENCY]])</f>
        <v>0</v>
      </c>
      <c r="R578" s="817">
        <f>SUMIFS(Movement!$F$4:$F$2136,Movement!$M$4:$M$2136,"USD",Movement!$C$4:$C$2136,Table11[[#This Row],[ACCOUNT NUMBER]],Movement!$J$4:$J$2136,Table11[[#This Row],[ENTITY]],Movement!$O$4:$O$2136,'Cash Balance'!$A$2)</f>
        <v>0</v>
      </c>
      <c r="S578" s="817">
        <f>SUMIFS(Movement!$G$4:$G$2136,Movement!$M$4:$M$2136,"USD",Movement!$C$4:$C$2136,Table11[[#This Row],[ACCOUNT NUMBER]],Movement!$J$4:$J$2136,Table11[[#This Row],[ENTITY]],Movement!$O$4:$O$2136,'Cash Balance'!$A$2)</f>
        <v>0</v>
      </c>
      <c r="T578" s="1087">
        <f t="shared" si="50"/>
        <v>0</v>
      </c>
      <c r="U578" s="1089"/>
      <c r="V578" s="817">
        <f>Table11[[#This Row],[CLOSING BALANCE (USD)]]-Table11[[#This Row],[CB_BS (USD)]]</f>
        <v>0</v>
      </c>
      <c r="W578" s="1156" t="str">
        <f>VLOOKUP('Cash Balance'!$C578,Table2[#All],MATCH('Cash Balance'!W$3,Acc_Char!$B$1:$I$1,0),0)</f>
        <v>Subsidiaries</v>
      </c>
      <c r="X578" s="1156" t="str">
        <f>VLOOKUP(IFERROR(MID($Y578,1,FIND("-",$Y578)-2),$Y578),Table3[#All],2,0)</f>
        <v>BIDV</v>
      </c>
      <c r="Y578" s="1156" t="str">
        <f>VLOOKUP($B578,Table4[#All],2,0)</f>
        <v>BIDV - LONG BIEN</v>
      </c>
      <c r="Z578" s="1151"/>
      <c r="AA578" s="49"/>
    </row>
    <row r="579" spans="1:27">
      <c r="A579" s="1153" t="str">
        <f>VLOOKUP('Cash Balance'!$C579,Table2[#All],MATCH('Cash Balance'!A$3,Acc_Char!$B$1:$I$1,0),0)</f>
        <v>BW DINH VU</v>
      </c>
      <c r="B579" s="1154" t="str">
        <f>VLOOKUP('Cash Balance'!$C579,Table2[#All],MATCH('Cash Balance'!B$3,Acc_Char!$B$1:$I$1,0),0)</f>
        <v>BIDV - THANH XUAN</v>
      </c>
      <c r="C579" s="1190" t="s">
        <v>1192</v>
      </c>
      <c r="D579" s="1156" t="str">
        <f>VLOOKUP('Cash Balance'!$C579,Table2[#All],MATCH('Cash Balance'!D$3,Acc_Char!$B$1:$I$1,0),0)</f>
        <v>Saving Account</v>
      </c>
      <c r="E579" s="384" t="str">
        <f>VLOOKUP('Cash Balance'!$C579,Table2[#All],MATCH('Cash Balance'!E$3,Acc_Char!$B$1:$I$1,0),0)</f>
        <v>VND</v>
      </c>
      <c r="F579" s="1094" t="e">
        <f>VLOOKUP(C579,'Cash balance (BS)'!A:C,3,)</f>
        <v>#N/A</v>
      </c>
      <c r="G579" s="1191" t="e">
        <f t="shared" si="51"/>
        <v>#N/A</v>
      </c>
      <c r="H579" s="1318">
        <f>SUMIFS('Cash balance (Prior period)'!F:F,'Cash balance (Prior period)'!C:C,Table11[[#This Row],[ACCOUNT NUMBER]],'Cash balance (Prior period)'!E:E,Table11[[#This Row],[CURRENCY]])</f>
        <v>8000000000</v>
      </c>
      <c r="I579" s="1318">
        <f>SUMIFS(Movement!$F$4:$F$2136,Movement!$M$4:$M$2136,"VND",Movement!$C$4:$C$2136,Table11[[#This Row],[ACCOUNT NUMBER]],Movement!$J$4:$J$2136,Table11[[#This Row],[ENTITY]],Movement!$O$4:$O$2136,'Cash Balance'!$A$2)</f>
        <v>0</v>
      </c>
      <c r="J579" s="1318">
        <f>SUMIFS(Movement!$G$4:$G$2136,Movement!$M$4:$M$2136,"VND",Movement!$C$4:$C$2136,Table11[[#This Row],[ACCOUNT NUMBER]],Movement!$J$4:$J$2136,Table11[[#This Row],[ENTITY]],Movement!$O$4:$O$2136,'Cash Balance'!$A$2)</f>
        <v>0</v>
      </c>
      <c r="K579" s="1084">
        <f>Table11[[#This Row],[CASH IN - CREDIT (VND)]]-Table11[[#This Row],[CASH OUT - DEBIT (VND)]]</f>
        <v>0</v>
      </c>
      <c r="L579" s="1095">
        <f t="shared" si="48"/>
        <v>8000000000</v>
      </c>
      <c r="M579" s="1184" t="e">
        <f>VLOOKUP(C579,'Cash balance (BS)'!A:D,4,)</f>
        <v>#N/A</v>
      </c>
      <c r="N579" s="1095" t="e">
        <f>Table11[[#This Row],[CLOSING BALANCE (VND)2]]-Table11[[#This Row],[CB_BS (VND)]]</f>
        <v>#N/A</v>
      </c>
      <c r="O579" s="1094">
        <v>0</v>
      </c>
      <c r="P579" s="1095">
        <f t="shared" si="49"/>
        <v>0</v>
      </c>
      <c r="Q579" s="817">
        <f>SUMIFS('Cash balance (Prior period)'!G:G,'Cash balance (Prior period)'!C:C,Table11[[#This Row],[ACCOUNT NUMBER]],'Cash balance (Prior period)'!E:E,Table11[[#This Row],[CURRENCY]])</f>
        <v>0</v>
      </c>
      <c r="R579" s="817">
        <f>SUMIFS(Movement!$F$4:$F$2136,Movement!$M$4:$M$2136,"USD",Movement!$C$4:$C$2136,Table11[[#This Row],[ACCOUNT NUMBER]],Movement!$J$4:$J$2136,Table11[[#This Row],[ENTITY]],Movement!$O$4:$O$2136,'Cash Balance'!$A$2)</f>
        <v>0</v>
      </c>
      <c r="S579" s="817">
        <f>SUMIFS(Movement!$G$4:$G$2136,Movement!$M$4:$M$2136,"USD",Movement!$C$4:$C$2136,Table11[[#This Row],[ACCOUNT NUMBER]],Movement!$J$4:$J$2136,Table11[[#This Row],[ENTITY]],Movement!$O$4:$O$2136,'Cash Balance'!$A$2)</f>
        <v>0</v>
      </c>
      <c r="T579" s="1087">
        <f t="shared" si="50"/>
        <v>0</v>
      </c>
      <c r="U579" s="1089"/>
      <c r="V579" s="817">
        <f>Table11[[#This Row],[CLOSING BALANCE (USD)]]-Table11[[#This Row],[CB_BS (USD)]]</f>
        <v>0</v>
      </c>
      <c r="W579" s="1156" t="str">
        <f>VLOOKUP('Cash Balance'!$C579,Table2[#All],MATCH('Cash Balance'!W$3,Acc_Char!$B$1:$I$1,0),0)</f>
        <v>Subsidiaries</v>
      </c>
      <c r="X579" s="1156" t="str">
        <f>VLOOKUP(IFERROR(MID($Y579,1,FIND("-",$Y579)-2),$Y579),Table3[#All],2,0)</f>
        <v>BIDV</v>
      </c>
      <c r="Y579" s="1156" t="str">
        <f>VLOOKUP($B579,Table4[#All],2,0)</f>
        <v>BIDV - THANH XUAN</v>
      </c>
      <c r="Z579" s="1151"/>
      <c r="AA579" s="49"/>
    </row>
    <row r="580" spans="1:27">
      <c r="A580" s="1153" t="str">
        <f>VLOOKUP('Cash Balance'!$C580,Table2[#All],MATCH('Cash Balance'!A$3,Acc_Char!$B$1:$I$1,0),0)</f>
        <v>BAC TIEN PHONG</v>
      </c>
      <c r="B580" s="1154" t="str">
        <f>VLOOKUP('Cash Balance'!$C580,Table2[#All],MATCH('Cash Balance'!B$3,Acc_Char!$B$1:$I$1,0),0)</f>
        <v>BIDV - THANH XUAN</v>
      </c>
      <c r="C580" s="1190" t="s">
        <v>1193</v>
      </c>
      <c r="D580" s="1156" t="str">
        <f>VLOOKUP('Cash Balance'!$C580,Table2[#All],MATCH('Cash Balance'!D$3,Acc_Char!$B$1:$I$1,0),0)</f>
        <v>Saving Account</v>
      </c>
      <c r="E580" s="384" t="str">
        <f>VLOOKUP('Cash Balance'!$C580,Table2[#All],MATCH('Cash Balance'!E$3,Acc_Char!$B$1:$I$1,0),0)</f>
        <v>VND</v>
      </c>
      <c r="F580" s="1094" t="e">
        <f>VLOOKUP(C580,'Cash balance (BS)'!A:C,3,)</f>
        <v>#N/A</v>
      </c>
      <c r="G580" s="1191" t="e">
        <f t="shared" si="51"/>
        <v>#N/A</v>
      </c>
      <c r="H580" s="1318">
        <f>SUMIFS('Cash balance (Prior period)'!F:F,'Cash balance (Prior period)'!C:C,Table11[[#This Row],[ACCOUNT NUMBER]],'Cash balance (Prior period)'!E:E,Table11[[#This Row],[CURRENCY]])</f>
        <v>0</v>
      </c>
      <c r="I580" s="1318">
        <f>SUMIFS(Movement!$F$4:$F$2136,Movement!$M$4:$M$2136,"VND",Movement!$C$4:$C$2136,Table11[[#This Row],[ACCOUNT NUMBER]],Movement!$J$4:$J$2136,Table11[[#This Row],[ENTITY]],Movement!$O$4:$O$2136,'Cash Balance'!$A$2)</f>
        <v>0</v>
      </c>
      <c r="J580" s="1318">
        <f>SUMIFS(Movement!$G$4:$G$2136,Movement!$M$4:$M$2136,"VND",Movement!$C$4:$C$2136,Table11[[#This Row],[ACCOUNT NUMBER]],Movement!$J$4:$J$2136,Table11[[#This Row],[ENTITY]],Movement!$O$4:$O$2136,'Cash Balance'!$A$2)</f>
        <v>0</v>
      </c>
      <c r="K580" s="1084">
        <f>Table11[[#This Row],[CASH IN - CREDIT (VND)]]-Table11[[#This Row],[CASH OUT - DEBIT (VND)]]</f>
        <v>0</v>
      </c>
      <c r="L580" s="1095">
        <f t="shared" ref="L580:L639" si="52">H580+I580-J580</f>
        <v>0</v>
      </c>
      <c r="M580" s="1184" t="e">
        <f>VLOOKUP(C580,'Cash balance (BS)'!A:D,4,)</f>
        <v>#N/A</v>
      </c>
      <c r="N580" s="1095" t="e">
        <f>Table11[[#This Row],[CLOSING BALANCE (VND)2]]-Table11[[#This Row],[CB_BS (VND)]]</f>
        <v>#N/A</v>
      </c>
      <c r="O580" s="1094">
        <v>0</v>
      </c>
      <c r="P580" s="1095">
        <f t="shared" ref="P580:P639" si="53">O580-Q580</f>
        <v>0</v>
      </c>
      <c r="Q580" s="817">
        <f>SUMIFS('Cash balance (Prior period)'!G:G,'Cash balance (Prior period)'!C:C,Table11[[#This Row],[ACCOUNT NUMBER]],'Cash balance (Prior period)'!E:E,Table11[[#This Row],[CURRENCY]])</f>
        <v>0</v>
      </c>
      <c r="R580" s="817">
        <f>SUMIFS(Movement!$F$4:$F$2136,Movement!$M$4:$M$2136,"USD",Movement!$C$4:$C$2136,Table11[[#This Row],[ACCOUNT NUMBER]],Movement!$J$4:$J$2136,Table11[[#This Row],[ENTITY]],Movement!$O$4:$O$2136,'Cash Balance'!$A$2)</f>
        <v>0</v>
      </c>
      <c r="S580" s="817">
        <f>SUMIFS(Movement!$G$4:$G$2136,Movement!$M$4:$M$2136,"USD",Movement!$C$4:$C$2136,Table11[[#This Row],[ACCOUNT NUMBER]],Movement!$J$4:$J$2136,Table11[[#This Row],[ENTITY]],Movement!$O$4:$O$2136,'Cash Balance'!$A$2)</f>
        <v>0</v>
      </c>
      <c r="T580" s="1087">
        <f t="shared" ref="T580:T639" si="54">Q580+R580-S580</f>
        <v>0</v>
      </c>
      <c r="U580" s="1089"/>
      <c r="V580" s="817">
        <f>Table11[[#This Row],[CLOSING BALANCE (USD)]]-Table11[[#This Row],[CB_BS (USD)]]</f>
        <v>0</v>
      </c>
      <c r="W580" s="1156" t="str">
        <f>VLOOKUP('Cash Balance'!$C580,Table2[#All],MATCH('Cash Balance'!W$3,Acc_Char!$B$1:$I$1,0),0)</f>
        <v>Subsidiaries</v>
      </c>
      <c r="X580" s="1156" t="str">
        <f>VLOOKUP(IFERROR(MID($Y580,1,FIND("-",$Y580)-2),$Y580),Table3[#All],2,0)</f>
        <v>BIDV</v>
      </c>
      <c r="Y580" s="1156" t="str">
        <f>VLOOKUP($B580,Table4[#All],2,0)</f>
        <v>BIDV - THANH XUAN</v>
      </c>
      <c r="Z580" s="1151"/>
      <c r="AA580" s="49"/>
    </row>
    <row r="581" spans="1:27">
      <c r="A581" s="1153" t="str">
        <f>VLOOKUP('Cash Balance'!$C581,Table2[#All],MATCH('Cash Balance'!A$3,Acc_Char!$B$1:$I$1,0),0)</f>
        <v>BAC TIEN PHONG</v>
      </c>
      <c r="B581" s="1154" t="str">
        <f>VLOOKUP('Cash Balance'!$C581,Table2[#All],MATCH('Cash Balance'!B$3,Acc_Char!$B$1:$I$1,0),0)</f>
        <v>BIDV - THANH XUAN</v>
      </c>
      <c r="C581" s="1190" t="s">
        <v>1194</v>
      </c>
      <c r="D581" s="1156" t="str">
        <f>VLOOKUP('Cash Balance'!$C581,Table2[#All],MATCH('Cash Balance'!D$3,Acc_Char!$B$1:$I$1,0),0)</f>
        <v>Saving Account</v>
      </c>
      <c r="E581" s="384" t="str">
        <f>VLOOKUP('Cash Balance'!$C581,Table2[#All],MATCH('Cash Balance'!E$3,Acc_Char!$B$1:$I$1,0),0)</f>
        <v>VND</v>
      </c>
      <c r="F581" s="1094" t="e">
        <f>VLOOKUP(C581,'Cash balance (BS)'!A:C,3,)</f>
        <v>#N/A</v>
      </c>
      <c r="G581" s="1191" t="e">
        <f t="shared" si="51"/>
        <v>#N/A</v>
      </c>
      <c r="H581" s="1318">
        <f>SUMIFS('Cash balance (Prior period)'!F:F,'Cash balance (Prior period)'!C:C,Table11[[#This Row],[ACCOUNT NUMBER]],'Cash balance (Prior period)'!E:E,Table11[[#This Row],[CURRENCY]])</f>
        <v>0</v>
      </c>
      <c r="I581" s="1318">
        <f>SUMIFS(Movement!$F$4:$F$2136,Movement!$M$4:$M$2136,"VND",Movement!$C$4:$C$2136,Table11[[#This Row],[ACCOUNT NUMBER]],Movement!$J$4:$J$2136,Table11[[#This Row],[ENTITY]],Movement!$O$4:$O$2136,'Cash Balance'!$A$2)</f>
        <v>0</v>
      </c>
      <c r="J581" s="1318">
        <f>SUMIFS(Movement!$G$4:$G$2136,Movement!$M$4:$M$2136,"VND",Movement!$C$4:$C$2136,Table11[[#This Row],[ACCOUNT NUMBER]],Movement!$J$4:$J$2136,Table11[[#This Row],[ENTITY]],Movement!$O$4:$O$2136,'Cash Balance'!$A$2)</f>
        <v>0</v>
      </c>
      <c r="K581" s="1084">
        <f>Table11[[#This Row],[CASH IN - CREDIT (VND)]]-Table11[[#This Row],[CASH OUT - DEBIT (VND)]]</f>
        <v>0</v>
      </c>
      <c r="L581" s="1095">
        <f t="shared" si="52"/>
        <v>0</v>
      </c>
      <c r="M581" s="1184" t="e">
        <f>VLOOKUP(C581,'Cash balance (BS)'!A:D,4,)</f>
        <v>#N/A</v>
      </c>
      <c r="N581" s="1095" t="e">
        <f>Table11[[#This Row],[CLOSING BALANCE (VND)2]]-Table11[[#This Row],[CB_BS (VND)]]</f>
        <v>#N/A</v>
      </c>
      <c r="O581" s="1094">
        <v>0</v>
      </c>
      <c r="P581" s="1095">
        <f t="shared" si="53"/>
        <v>0</v>
      </c>
      <c r="Q581" s="817">
        <f>SUMIFS('Cash balance (Prior period)'!G:G,'Cash balance (Prior period)'!C:C,Table11[[#This Row],[ACCOUNT NUMBER]],'Cash balance (Prior period)'!E:E,Table11[[#This Row],[CURRENCY]])</f>
        <v>0</v>
      </c>
      <c r="R581" s="817">
        <f>SUMIFS(Movement!$F$4:$F$2136,Movement!$M$4:$M$2136,"USD",Movement!$C$4:$C$2136,Table11[[#This Row],[ACCOUNT NUMBER]],Movement!$J$4:$J$2136,Table11[[#This Row],[ENTITY]],Movement!$O$4:$O$2136,'Cash Balance'!$A$2)</f>
        <v>0</v>
      </c>
      <c r="S581" s="817">
        <f>SUMIFS(Movement!$G$4:$G$2136,Movement!$M$4:$M$2136,"USD",Movement!$C$4:$C$2136,Table11[[#This Row],[ACCOUNT NUMBER]],Movement!$J$4:$J$2136,Table11[[#This Row],[ENTITY]],Movement!$O$4:$O$2136,'Cash Balance'!$A$2)</f>
        <v>0</v>
      </c>
      <c r="T581" s="1087">
        <f t="shared" si="54"/>
        <v>0</v>
      </c>
      <c r="U581" s="1089"/>
      <c r="V581" s="817">
        <f>Table11[[#This Row],[CLOSING BALANCE (USD)]]-Table11[[#This Row],[CB_BS (USD)]]</f>
        <v>0</v>
      </c>
      <c r="W581" s="1156" t="str">
        <f>VLOOKUP('Cash Balance'!$C581,Table2[#All],MATCH('Cash Balance'!W$3,Acc_Char!$B$1:$I$1,0),0)</f>
        <v>Subsidiaries</v>
      </c>
      <c r="X581" s="1156" t="str">
        <f>VLOOKUP(IFERROR(MID($Y581,1,FIND("-",$Y581)-2),$Y581),Table3[#All],2,0)</f>
        <v>BIDV</v>
      </c>
      <c r="Y581" s="1156" t="str">
        <f>VLOOKUP($B581,Table4[#All],2,0)</f>
        <v>BIDV - THANH XUAN</v>
      </c>
      <c r="Z581" s="1151"/>
      <c r="AA581" s="49"/>
    </row>
    <row r="582" spans="1:27">
      <c r="A582" s="1153" t="str">
        <f>VLOOKUP('Cash Balance'!$C582,Table2[#All],MATCH('Cash Balance'!A$3,Acc_Char!$B$1:$I$1,0),0)</f>
        <v>BAC TIEN PHONG</v>
      </c>
      <c r="B582" s="1154" t="str">
        <f>VLOOKUP('Cash Balance'!$C582,Table2[#All],MATCH('Cash Balance'!B$3,Acc_Char!$B$1:$I$1,0),0)</f>
        <v>BIDV - THANH XUAN</v>
      </c>
      <c r="C582" s="1190" t="s">
        <v>1195</v>
      </c>
      <c r="D582" s="1156" t="str">
        <f>VLOOKUP('Cash Balance'!$C582,Table2[#All],MATCH('Cash Balance'!D$3,Acc_Char!$B$1:$I$1,0),0)</f>
        <v>Saving Account</v>
      </c>
      <c r="E582" s="384" t="str">
        <f>VLOOKUP('Cash Balance'!$C582,Table2[#All],MATCH('Cash Balance'!E$3,Acc_Char!$B$1:$I$1,0),0)</f>
        <v>VND</v>
      </c>
      <c r="F582" s="1094" t="e">
        <f>VLOOKUP(C582,'Cash balance (BS)'!A:C,3,)</f>
        <v>#N/A</v>
      </c>
      <c r="G582" s="1191" t="e">
        <f t="shared" si="51"/>
        <v>#N/A</v>
      </c>
      <c r="H582" s="1318">
        <f>SUMIFS('Cash balance (Prior period)'!F:F,'Cash balance (Prior period)'!C:C,Table11[[#This Row],[ACCOUNT NUMBER]],'Cash balance (Prior period)'!E:E,Table11[[#This Row],[CURRENCY]])</f>
        <v>0</v>
      </c>
      <c r="I582" s="1318">
        <f>SUMIFS(Movement!$F$4:$F$2136,Movement!$M$4:$M$2136,"VND",Movement!$C$4:$C$2136,Table11[[#This Row],[ACCOUNT NUMBER]],Movement!$J$4:$J$2136,Table11[[#This Row],[ENTITY]],Movement!$O$4:$O$2136,'Cash Balance'!$A$2)</f>
        <v>0</v>
      </c>
      <c r="J582" s="1318">
        <f>SUMIFS(Movement!$G$4:$G$2136,Movement!$M$4:$M$2136,"VND",Movement!$C$4:$C$2136,Table11[[#This Row],[ACCOUNT NUMBER]],Movement!$J$4:$J$2136,Table11[[#This Row],[ENTITY]],Movement!$O$4:$O$2136,'Cash Balance'!$A$2)</f>
        <v>0</v>
      </c>
      <c r="K582" s="1084">
        <f>Table11[[#This Row],[CASH IN - CREDIT (VND)]]-Table11[[#This Row],[CASH OUT - DEBIT (VND)]]</f>
        <v>0</v>
      </c>
      <c r="L582" s="1095">
        <f t="shared" si="52"/>
        <v>0</v>
      </c>
      <c r="M582" s="1184" t="e">
        <f>VLOOKUP(C582,'Cash balance (BS)'!A:D,4,)</f>
        <v>#N/A</v>
      </c>
      <c r="N582" s="1095" t="e">
        <f>Table11[[#This Row],[CLOSING BALANCE (VND)2]]-Table11[[#This Row],[CB_BS (VND)]]</f>
        <v>#N/A</v>
      </c>
      <c r="O582" s="1094">
        <v>0</v>
      </c>
      <c r="P582" s="1095">
        <f t="shared" si="53"/>
        <v>0</v>
      </c>
      <c r="Q582" s="817">
        <f>SUMIFS('Cash balance (Prior period)'!G:G,'Cash balance (Prior period)'!C:C,Table11[[#This Row],[ACCOUNT NUMBER]],'Cash balance (Prior period)'!E:E,Table11[[#This Row],[CURRENCY]])</f>
        <v>0</v>
      </c>
      <c r="R582" s="817">
        <f>SUMIFS(Movement!$F$4:$F$2136,Movement!$M$4:$M$2136,"USD",Movement!$C$4:$C$2136,Table11[[#This Row],[ACCOUNT NUMBER]],Movement!$J$4:$J$2136,Table11[[#This Row],[ENTITY]],Movement!$O$4:$O$2136,'Cash Balance'!$A$2)</f>
        <v>0</v>
      </c>
      <c r="S582" s="817">
        <f>SUMIFS(Movement!$G$4:$G$2136,Movement!$M$4:$M$2136,"USD",Movement!$C$4:$C$2136,Table11[[#This Row],[ACCOUNT NUMBER]],Movement!$J$4:$J$2136,Table11[[#This Row],[ENTITY]],Movement!$O$4:$O$2136,'Cash Balance'!$A$2)</f>
        <v>0</v>
      </c>
      <c r="T582" s="1087">
        <f t="shared" si="54"/>
        <v>0</v>
      </c>
      <c r="U582" s="1089"/>
      <c r="V582" s="817">
        <f>Table11[[#This Row],[CLOSING BALANCE (USD)]]-Table11[[#This Row],[CB_BS (USD)]]</f>
        <v>0</v>
      </c>
      <c r="W582" s="1156" t="str">
        <f>VLOOKUP('Cash Balance'!$C582,Table2[#All],MATCH('Cash Balance'!W$3,Acc_Char!$B$1:$I$1,0),0)</f>
        <v>Subsidiaries</v>
      </c>
      <c r="X582" s="1156" t="str">
        <f>VLOOKUP(IFERROR(MID($Y582,1,FIND("-",$Y582)-2),$Y582),Table3[#All],2,0)</f>
        <v>BIDV</v>
      </c>
      <c r="Y582" s="1156" t="str">
        <f>VLOOKUP($B582,Table4[#All],2,0)</f>
        <v>BIDV - THANH XUAN</v>
      </c>
      <c r="Z582" s="1151"/>
      <c r="AA582" s="49"/>
    </row>
    <row r="583" spans="1:27">
      <c r="A583" s="1153" t="str">
        <f>VLOOKUP('Cash Balance'!$C583,Table2[#All],MATCH('Cash Balance'!A$3,Acc_Char!$B$1:$I$1,0),0)</f>
        <v>BWID HAI DUONG 3</v>
      </c>
      <c r="B583" s="1154" t="str">
        <f>VLOOKUP('Cash Balance'!$C583,Table2[#All],MATCH('Cash Balance'!B$3,Acc_Char!$B$1:$I$1,0),0)</f>
        <v>BIDV - THANH XUAN</v>
      </c>
      <c r="C583" s="1190" t="s">
        <v>1196</v>
      </c>
      <c r="D583" s="1156" t="str">
        <f>VLOOKUP('Cash Balance'!$C583,Table2[#All],MATCH('Cash Balance'!D$3,Acc_Char!$B$1:$I$1,0),0)</f>
        <v>Saving Account</v>
      </c>
      <c r="E583" s="384" t="str">
        <f>VLOOKUP('Cash Balance'!$C583,Table2[#All],MATCH('Cash Balance'!E$3,Acc_Char!$B$1:$I$1,0),0)</f>
        <v>VND</v>
      </c>
      <c r="F583" s="1094" t="e">
        <f>VLOOKUP(C583,'Cash balance (BS)'!A:C,3,)</f>
        <v>#N/A</v>
      </c>
      <c r="G583" s="1191" t="e">
        <f t="shared" si="51"/>
        <v>#N/A</v>
      </c>
      <c r="H583" s="1318">
        <f>SUMIFS('Cash balance (Prior period)'!F:F,'Cash balance (Prior period)'!C:C,Table11[[#This Row],[ACCOUNT NUMBER]],'Cash balance (Prior period)'!E:E,Table11[[#This Row],[CURRENCY]])</f>
        <v>0</v>
      </c>
      <c r="I583" s="1318">
        <f>SUMIFS(Movement!$F$4:$F$2136,Movement!$M$4:$M$2136,"VND",Movement!$C$4:$C$2136,Table11[[#This Row],[ACCOUNT NUMBER]],Movement!$J$4:$J$2136,Table11[[#This Row],[ENTITY]],Movement!$O$4:$O$2136,'Cash Balance'!$A$2)</f>
        <v>0</v>
      </c>
      <c r="J583" s="1318">
        <f>SUMIFS(Movement!$G$4:$G$2136,Movement!$M$4:$M$2136,"VND",Movement!$C$4:$C$2136,Table11[[#This Row],[ACCOUNT NUMBER]],Movement!$J$4:$J$2136,Table11[[#This Row],[ENTITY]],Movement!$O$4:$O$2136,'Cash Balance'!$A$2)</f>
        <v>0</v>
      </c>
      <c r="K583" s="1084">
        <f>Table11[[#This Row],[CASH IN - CREDIT (VND)]]-Table11[[#This Row],[CASH OUT - DEBIT (VND)]]</f>
        <v>0</v>
      </c>
      <c r="L583" s="1095">
        <f t="shared" si="52"/>
        <v>0</v>
      </c>
      <c r="M583" s="1184" t="e">
        <f>VLOOKUP(C583,'Cash balance (BS)'!A:D,4,)</f>
        <v>#N/A</v>
      </c>
      <c r="N583" s="1095" t="e">
        <f>Table11[[#This Row],[CLOSING BALANCE (VND)2]]-Table11[[#This Row],[CB_BS (VND)]]</f>
        <v>#N/A</v>
      </c>
      <c r="O583" s="1094">
        <v>0</v>
      </c>
      <c r="P583" s="1095">
        <f t="shared" si="53"/>
        <v>0</v>
      </c>
      <c r="Q583" s="817">
        <f>SUMIFS('Cash balance (Prior period)'!G:G,'Cash balance (Prior period)'!C:C,Table11[[#This Row],[ACCOUNT NUMBER]],'Cash balance (Prior period)'!E:E,Table11[[#This Row],[CURRENCY]])</f>
        <v>0</v>
      </c>
      <c r="R583" s="817">
        <f>SUMIFS(Movement!$F$4:$F$2136,Movement!$M$4:$M$2136,"USD",Movement!$C$4:$C$2136,Table11[[#This Row],[ACCOUNT NUMBER]],Movement!$J$4:$J$2136,Table11[[#This Row],[ENTITY]],Movement!$O$4:$O$2136,'Cash Balance'!$A$2)</f>
        <v>0</v>
      </c>
      <c r="S583" s="817">
        <f>SUMIFS(Movement!$G$4:$G$2136,Movement!$M$4:$M$2136,"USD",Movement!$C$4:$C$2136,Table11[[#This Row],[ACCOUNT NUMBER]],Movement!$J$4:$J$2136,Table11[[#This Row],[ENTITY]],Movement!$O$4:$O$2136,'Cash Balance'!$A$2)</f>
        <v>0</v>
      </c>
      <c r="T583" s="1087">
        <f t="shared" si="54"/>
        <v>0</v>
      </c>
      <c r="U583" s="1089"/>
      <c r="V583" s="817">
        <f>Table11[[#This Row],[CLOSING BALANCE (USD)]]-Table11[[#This Row],[CB_BS (USD)]]</f>
        <v>0</v>
      </c>
      <c r="W583" s="1156" t="str">
        <f>VLOOKUP('Cash Balance'!$C583,Table2[#All],MATCH('Cash Balance'!W$3,Acc_Char!$B$1:$I$1,0),0)</f>
        <v>Subsidiaries</v>
      </c>
      <c r="X583" s="1156" t="str">
        <f>VLOOKUP(IFERROR(MID($Y583,1,FIND("-",$Y583)-2),$Y583),Table3[#All],2,0)</f>
        <v>BIDV</v>
      </c>
      <c r="Y583" s="1156" t="str">
        <f>VLOOKUP($B583,Table4[#All],2,0)</f>
        <v>BIDV - THANH XUAN</v>
      </c>
      <c r="Z583" s="1151"/>
      <c r="AA583" s="49"/>
    </row>
    <row r="584" spans="1:27">
      <c r="A584" s="1153" t="str">
        <f>VLOOKUP('Cash Balance'!$C584,Table2[#All],MATCH('Cash Balance'!A$3,Acc_Char!$B$1:$I$1,0),0)</f>
        <v>BWID HAI DUONG 3</v>
      </c>
      <c r="B584" s="1154" t="str">
        <f>VLOOKUP('Cash Balance'!$C584,Table2[#All],MATCH('Cash Balance'!B$3,Acc_Char!$B$1:$I$1,0),0)</f>
        <v>BIDV - THANH XUAN</v>
      </c>
      <c r="C584" s="1190" t="s">
        <v>1197</v>
      </c>
      <c r="D584" s="1156" t="str">
        <f>VLOOKUP('Cash Balance'!$C584,Table2[#All],MATCH('Cash Balance'!D$3,Acc_Char!$B$1:$I$1,0),0)</f>
        <v>Saving Account</v>
      </c>
      <c r="E584" s="384" t="str">
        <f>VLOOKUP('Cash Balance'!$C584,Table2[#All],MATCH('Cash Balance'!E$3,Acc_Char!$B$1:$I$1,0),0)</f>
        <v>VND</v>
      </c>
      <c r="F584" s="1094" t="e">
        <f>VLOOKUP(C584,'Cash balance (BS)'!A:C,3,)</f>
        <v>#N/A</v>
      </c>
      <c r="G584" s="1191" t="e">
        <f t="shared" si="51"/>
        <v>#N/A</v>
      </c>
      <c r="H584" s="1318">
        <f>SUMIFS('Cash balance (Prior period)'!F:F,'Cash balance (Prior period)'!C:C,Table11[[#This Row],[ACCOUNT NUMBER]],'Cash balance (Prior period)'!E:E,Table11[[#This Row],[CURRENCY]])</f>
        <v>0</v>
      </c>
      <c r="I584" s="1318">
        <f>SUMIFS(Movement!$F$4:$F$2136,Movement!$M$4:$M$2136,"VND",Movement!$C$4:$C$2136,Table11[[#This Row],[ACCOUNT NUMBER]],Movement!$J$4:$J$2136,Table11[[#This Row],[ENTITY]],Movement!$O$4:$O$2136,'Cash Balance'!$A$2)</f>
        <v>0</v>
      </c>
      <c r="J584" s="1318">
        <f>SUMIFS(Movement!$G$4:$G$2136,Movement!$M$4:$M$2136,"VND",Movement!$C$4:$C$2136,Table11[[#This Row],[ACCOUNT NUMBER]],Movement!$J$4:$J$2136,Table11[[#This Row],[ENTITY]],Movement!$O$4:$O$2136,'Cash Balance'!$A$2)</f>
        <v>0</v>
      </c>
      <c r="K584" s="1084">
        <f>Table11[[#This Row],[CASH IN - CREDIT (VND)]]-Table11[[#This Row],[CASH OUT - DEBIT (VND)]]</f>
        <v>0</v>
      </c>
      <c r="L584" s="1095">
        <f t="shared" si="52"/>
        <v>0</v>
      </c>
      <c r="M584" s="1184" t="e">
        <f>VLOOKUP(C584,'Cash balance (BS)'!A:D,4,)</f>
        <v>#N/A</v>
      </c>
      <c r="N584" s="1095" t="e">
        <f>Table11[[#This Row],[CLOSING BALANCE (VND)2]]-Table11[[#This Row],[CB_BS (VND)]]</f>
        <v>#N/A</v>
      </c>
      <c r="O584" s="1094">
        <v>0</v>
      </c>
      <c r="P584" s="1095">
        <f t="shared" si="53"/>
        <v>0</v>
      </c>
      <c r="Q584" s="817">
        <f>SUMIFS('Cash balance (Prior period)'!G:G,'Cash balance (Prior period)'!C:C,Table11[[#This Row],[ACCOUNT NUMBER]],'Cash balance (Prior period)'!E:E,Table11[[#This Row],[CURRENCY]])</f>
        <v>0</v>
      </c>
      <c r="R584" s="817">
        <f>SUMIFS(Movement!$F$4:$F$2136,Movement!$M$4:$M$2136,"USD",Movement!$C$4:$C$2136,Table11[[#This Row],[ACCOUNT NUMBER]],Movement!$J$4:$J$2136,Table11[[#This Row],[ENTITY]],Movement!$O$4:$O$2136,'Cash Balance'!$A$2)</f>
        <v>0</v>
      </c>
      <c r="S584" s="817">
        <f>SUMIFS(Movement!$G$4:$G$2136,Movement!$M$4:$M$2136,"USD",Movement!$C$4:$C$2136,Table11[[#This Row],[ACCOUNT NUMBER]],Movement!$J$4:$J$2136,Table11[[#This Row],[ENTITY]],Movement!$O$4:$O$2136,'Cash Balance'!$A$2)</f>
        <v>0</v>
      </c>
      <c r="T584" s="1087">
        <f t="shared" si="54"/>
        <v>0</v>
      </c>
      <c r="U584" s="1089"/>
      <c r="V584" s="817">
        <f>Table11[[#This Row],[CLOSING BALANCE (USD)]]-Table11[[#This Row],[CB_BS (USD)]]</f>
        <v>0</v>
      </c>
      <c r="W584" s="1156" t="str">
        <f>VLOOKUP('Cash Balance'!$C584,Table2[#All],MATCH('Cash Balance'!W$3,Acc_Char!$B$1:$I$1,0),0)</f>
        <v>Subsidiaries</v>
      </c>
      <c r="X584" s="1156" t="str">
        <f>VLOOKUP(IFERROR(MID($Y584,1,FIND("-",$Y584)-2),$Y584),Table3[#All],2,0)</f>
        <v>BIDV</v>
      </c>
      <c r="Y584" s="1156" t="str">
        <f>VLOOKUP($B584,Table4[#All],2,0)</f>
        <v>BIDV - THANH XUAN</v>
      </c>
      <c r="Z584" s="1151"/>
      <c r="AA584" s="49"/>
    </row>
    <row r="585" spans="1:27">
      <c r="A585" s="1153" t="str">
        <f>VLOOKUP('Cash Balance'!$C585,Table2[#All],MATCH('Cash Balance'!A$3,Acc_Char!$B$1:$I$1,0),0)</f>
        <v>BWID HAI DUONG 3</v>
      </c>
      <c r="B585" s="1154" t="str">
        <f>VLOOKUP('Cash Balance'!$C585,Table2[#All],MATCH('Cash Balance'!B$3,Acc_Char!$B$1:$I$1,0),0)</f>
        <v>BIDV - THANH XUAN</v>
      </c>
      <c r="C585" s="1190" t="s">
        <v>1198</v>
      </c>
      <c r="D585" s="1156" t="str">
        <f>VLOOKUP('Cash Balance'!$C585,Table2[#All],MATCH('Cash Balance'!D$3,Acc_Char!$B$1:$I$1,0),0)</f>
        <v>Saving Account</v>
      </c>
      <c r="E585" s="384" t="str">
        <f>VLOOKUP('Cash Balance'!$C585,Table2[#All],MATCH('Cash Balance'!E$3,Acc_Char!$B$1:$I$1,0),0)</f>
        <v>VND</v>
      </c>
      <c r="F585" s="1094" t="e">
        <f>VLOOKUP(C585,'Cash balance (BS)'!A:C,3,)</f>
        <v>#N/A</v>
      </c>
      <c r="G585" s="1191" t="e">
        <f t="shared" si="51"/>
        <v>#N/A</v>
      </c>
      <c r="H585" s="1318">
        <f>SUMIFS('Cash balance (Prior period)'!F:F,'Cash balance (Prior period)'!C:C,Table11[[#This Row],[ACCOUNT NUMBER]],'Cash balance (Prior period)'!E:E,Table11[[#This Row],[CURRENCY]])</f>
        <v>0</v>
      </c>
      <c r="I585" s="1318">
        <f>SUMIFS(Movement!$F$4:$F$2136,Movement!$M$4:$M$2136,"VND",Movement!$C$4:$C$2136,Table11[[#This Row],[ACCOUNT NUMBER]],Movement!$J$4:$J$2136,Table11[[#This Row],[ENTITY]],Movement!$O$4:$O$2136,'Cash Balance'!$A$2)</f>
        <v>0</v>
      </c>
      <c r="J585" s="1318">
        <f>SUMIFS(Movement!$G$4:$G$2136,Movement!$M$4:$M$2136,"VND",Movement!$C$4:$C$2136,Table11[[#This Row],[ACCOUNT NUMBER]],Movement!$J$4:$J$2136,Table11[[#This Row],[ENTITY]],Movement!$O$4:$O$2136,'Cash Balance'!$A$2)</f>
        <v>0</v>
      </c>
      <c r="K585" s="1084">
        <f>Table11[[#This Row],[CASH IN - CREDIT (VND)]]-Table11[[#This Row],[CASH OUT - DEBIT (VND)]]</f>
        <v>0</v>
      </c>
      <c r="L585" s="1095">
        <f t="shared" si="52"/>
        <v>0</v>
      </c>
      <c r="M585" s="1184" t="e">
        <f>VLOOKUP(C585,'Cash balance (BS)'!A:D,4,)</f>
        <v>#N/A</v>
      </c>
      <c r="N585" s="1095" t="e">
        <f>Table11[[#This Row],[CLOSING BALANCE (VND)2]]-Table11[[#This Row],[CB_BS (VND)]]</f>
        <v>#N/A</v>
      </c>
      <c r="O585" s="1094">
        <v>0</v>
      </c>
      <c r="P585" s="1095">
        <f t="shared" si="53"/>
        <v>0</v>
      </c>
      <c r="Q585" s="817">
        <f>SUMIFS('Cash balance (Prior period)'!G:G,'Cash balance (Prior period)'!C:C,Table11[[#This Row],[ACCOUNT NUMBER]],'Cash balance (Prior period)'!E:E,Table11[[#This Row],[CURRENCY]])</f>
        <v>0</v>
      </c>
      <c r="R585" s="817">
        <f>SUMIFS(Movement!$F$4:$F$2136,Movement!$M$4:$M$2136,"USD",Movement!$C$4:$C$2136,Table11[[#This Row],[ACCOUNT NUMBER]],Movement!$J$4:$J$2136,Table11[[#This Row],[ENTITY]],Movement!$O$4:$O$2136,'Cash Balance'!$A$2)</f>
        <v>0</v>
      </c>
      <c r="S585" s="817">
        <f>SUMIFS(Movement!$G$4:$G$2136,Movement!$M$4:$M$2136,"USD",Movement!$C$4:$C$2136,Table11[[#This Row],[ACCOUNT NUMBER]],Movement!$J$4:$J$2136,Table11[[#This Row],[ENTITY]],Movement!$O$4:$O$2136,'Cash Balance'!$A$2)</f>
        <v>0</v>
      </c>
      <c r="T585" s="1087">
        <f t="shared" si="54"/>
        <v>0</v>
      </c>
      <c r="U585" s="1089"/>
      <c r="V585" s="817">
        <f>Table11[[#This Row],[CLOSING BALANCE (USD)]]-Table11[[#This Row],[CB_BS (USD)]]</f>
        <v>0</v>
      </c>
      <c r="W585" s="1156" t="str">
        <f>VLOOKUP('Cash Balance'!$C585,Table2[#All],MATCH('Cash Balance'!W$3,Acc_Char!$B$1:$I$1,0),0)</f>
        <v>Subsidiaries</v>
      </c>
      <c r="X585" s="1156" t="str">
        <f>VLOOKUP(IFERROR(MID($Y585,1,FIND("-",$Y585)-2),$Y585),Table3[#All],2,0)</f>
        <v>BIDV</v>
      </c>
      <c r="Y585" s="1156" t="str">
        <f>VLOOKUP($B585,Table4[#All],2,0)</f>
        <v>BIDV - THANH XUAN</v>
      </c>
      <c r="Z585" s="1151"/>
      <c r="AA585" s="49"/>
    </row>
    <row r="586" spans="1:27">
      <c r="A586" s="1153" t="str">
        <f>VLOOKUP('Cash Balance'!$C586,Table2[#All],MATCH('Cash Balance'!A$3,Acc_Char!$B$1:$I$1,0),0)</f>
        <v>THUAN THANH 3B</v>
      </c>
      <c r="B586" s="1154" t="str">
        <f>VLOOKUP('Cash Balance'!$C586,Table2[#All],MATCH('Cash Balance'!B$3,Acc_Char!$B$1:$I$1,0),0)</f>
        <v>VIETCOMBANK - BA DINH</v>
      </c>
      <c r="C586" s="1190" t="s">
        <v>1199</v>
      </c>
      <c r="D586" s="1156" t="str">
        <f>VLOOKUP('Cash Balance'!$C586,Table2[#All],MATCH('Cash Balance'!D$3,Acc_Char!$B$1:$I$1,0),0)</f>
        <v>Saving Account</v>
      </c>
      <c r="E586" s="384" t="str">
        <f>VLOOKUP('Cash Balance'!$C586,Table2[#All],MATCH('Cash Balance'!E$3,Acc_Char!$B$1:$I$1,0),0)</f>
        <v>VND</v>
      </c>
      <c r="F586" s="1094" t="e">
        <f>VLOOKUP(C586,'Cash balance (BS)'!A:C,3,)</f>
        <v>#N/A</v>
      </c>
      <c r="G586" s="1191" t="e">
        <f t="shared" si="51"/>
        <v>#N/A</v>
      </c>
      <c r="H586" s="1318">
        <f>SUMIFS('Cash balance (Prior period)'!F:F,'Cash balance (Prior period)'!C:C,Table11[[#This Row],[ACCOUNT NUMBER]],'Cash balance (Prior period)'!E:E,Table11[[#This Row],[CURRENCY]])</f>
        <v>0</v>
      </c>
      <c r="I586" s="1318">
        <f>SUMIFS(Movement!$F$4:$F$2136,Movement!$M$4:$M$2136,"VND",Movement!$C$4:$C$2136,Table11[[#This Row],[ACCOUNT NUMBER]],Movement!$J$4:$J$2136,Table11[[#This Row],[ENTITY]],Movement!$O$4:$O$2136,'Cash Balance'!$A$2)</f>
        <v>0</v>
      </c>
      <c r="J586" s="1318">
        <f>SUMIFS(Movement!$G$4:$G$2136,Movement!$M$4:$M$2136,"VND",Movement!$C$4:$C$2136,Table11[[#This Row],[ACCOUNT NUMBER]],Movement!$J$4:$J$2136,Table11[[#This Row],[ENTITY]],Movement!$O$4:$O$2136,'Cash Balance'!$A$2)</f>
        <v>0</v>
      </c>
      <c r="K586" s="1084">
        <f>Table11[[#This Row],[CASH IN - CREDIT (VND)]]-Table11[[#This Row],[CASH OUT - DEBIT (VND)]]</f>
        <v>0</v>
      </c>
      <c r="L586" s="1095">
        <f t="shared" si="52"/>
        <v>0</v>
      </c>
      <c r="M586" s="1184" t="e">
        <f>VLOOKUP(C586,'Cash balance (BS)'!A:D,4,)</f>
        <v>#N/A</v>
      </c>
      <c r="N586" s="1095" t="e">
        <f>Table11[[#This Row],[CLOSING BALANCE (VND)2]]-Table11[[#This Row],[CB_BS (VND)]]</f>
        <v>#N/A</v>
      </c>
      <c r="O586" s="1094">
        <v>0</v>
      </c>
      <c r="P586" s="1095">
        <f t="shared" si="53"/>
        <v>0</v>
      </c>
      <c r="Q586" s="817">
        <f>SUMIFS('Cash balance (Prior period)'!G:G,'Cash balance (Prior period)'!C:C,Table11[[#This Row],[ACCOUNT NUMBER]],'Cash balance (Prior period)'!E:E,Table11[[#This Row],[CURRENCY]])</f>
        <v>0</v>
      </c>
      <c r="R586" s="817">
        <f>SUMIFS(Movement!$F$4:$F$2136,Movement!$M$4:$M$2136,"USD",Movement!$C$4:$C$2136,Table11[[#This Row],[ACCOUNT NUMBER]],Movement!$J$4:$J$2136,Table11[[#This Row],[ENTITY]],Movement!$O$4:$O$2136,'Cash Balance'!$A$2)</f>
        <v>0</v>
      </c>
      <c r="S586" s="817">
        <f>SUMIFS(Movement!$G$4:$G$2136,Movement!$M$4:$M$2136,"USD",Movement!$C$4:$C$2136,Table11[[#This Row],[ACCOUNT NUMBER]],Movement!$J$4:$J$2136,Table11[[#This Row],[ENTITY]],Movement!$O$4:$O$2136,'Cash Balance'!$A$2)</f>
        <v>0</v>
      </c>
      <c r="T586" s="1087">
        <f t="shared" si="54"/>
        <v>0</v>
      </c>
      <c r="U586" s="1089"/>
      <c r="V586" s="817">
        <f>Table11[[#This Row],[CLOSING BALANCE (USD)]]-Table11[[#This Row],[CB_BS (USD)]]</f>
        <v>0</v>
      </c>
      <c r="W586" s="1156" t="str">
        <f>VLOOKUP('Cash Balance'!$C586,Table2[#All],MATCH('Cash Balance'!W$3,Acc_Char!$B$1:$I$1,0),0)</f>
        <v>Subsidiaries</v>
      </c>
      <c r="X586" s="1156" t="str">
        <f>VLOOKUP(IFERROR(MID($Y586,1,FIND("-",$Y586)-2),$Y586),Table3[#All],2,0)</f>
        <v>VCB</v>
      </c>
      <c r="Y586" s="1156" t="str">
        <f>VLOOKUP($B586,Table4[#All],2,0)</f>
        <v>VIETCOMBANK - BA DINH</v>
      </c>
      <c r="Z586" s="1151"/>
      <c r="AA586" s="49"/>
    </row>
    <row r="587" spans="1:27">
      <c r="A587" s="1153" t="str">
        <f>VLOOKUP('Cash Balance'!$C587,Table2[#All],MATCH('Cash Balance'!A$3,Acc_Char!$B$1:$I$1,0),0)</f>
        <v>THUAN THANH 3B</v>
      </c>
      <c r="B587" s="1154" t="str">
        <f>VLOOKUP('Cash Balance'!$C587,Table2[#All],MATCH('Cash Balance'!B$3,Acc_Char!$B$1:$I$1,0),0)</f>
        <v>VIETCOMBANK - BA DINH</v>
      </c>
      <c r="C587" s="1190" t="s">
        <v>1200</v>
      </c>
      <c r="D587" s="1156" t="str">
        <f>VLOOKUP('Cash Balance'!$C587,Table2[#All],MATCH('Cash Balance'!D$3,Acc_Char!$B$1:$I$1,0),0)</f>
        <v>Saving Account</v>
      </c>
      <c r="E587" s="384" t="str">
        <f>VLOOKUP('Cash Balance'!$C587,Table2[#All],MATCH('Cash Balance'!E$3,Acc_Char!$B$1:$I$1,0),0)</f>
        <v>VND</v>
      </c>
      <c r="F587" s="1094" t="e">
        <f>VLOOKUP(C587,'Cash balance (BS)'!A:C,3,)</f>
        <v>#N/A</v>
      </c>
      <c r="G587" s="1191" t="e">
        <f t="shared" si="51"/>
        <v>#N/A</v>
      </c>
      <c r="H587" s="1318">
        <f>SUMIFS('Cash balance (Prior period)'!F:F,'Cash balance (Prior period)'!C:C,Table11[[#This Row],[ACCOUNT NUMBER]],'Cash balance (Prior period)'!E:E,Table11[[#This Row],[CURRENCY]])</f>
        <v>0</v>
      </c>
      <c r="I587" s="1318">
        <f>SUMIFS(Movement!$F$4:$F$2136,Movement!$M$4:$M$2136,"VND",Movement!$C$4:$C$2136,Table11[[#This Row],[ACCOUNT NUMBER]],Movement!$J$4:$J$2136,Table11[[#This Row],[ENTITY]],Movement!$O$4:$O$2136,'Cash Balance'!$A$2)</f>
        <v>0</v>
      </c>
      <c r="J587" s="1318">
        <f>SUMIFS(Movement!$G$4:$G$2136,Movement!$M$4:$M$2136,"VND",Movement!$C$4:$C$2136,Table11[[#This Row],[ACCOUNT NUMBER]],Movement!$J$4:$J$2136,Table11[[#This Row],[ENTITY]],Movement!$O$4:$O$2136,'Cash Balance'!$A$2)</f>
        <v>0</v>
      </c>
      <c r="K587" s="1084">
        <f>Table11[[#This Row],[CASH IN - CREDIT (VND)]]-Table11[[#This Row],[CASH OUT - DEBIT (VND)]]</f>
        <v>0</v>
      </c>
      <c r="L587" s="1095">
        <f t="shared" si="52"/>
        <v>0</v>
      </c>
      <c r="M587" s="1184" t="e">
        <f>VLOOKUP(C587,'Cash balance (BS)'!A:D,4,)</f>
        <v>#N/A</v>
      </c>
      <c r="N587" s="1095" t="e">
        <f>Table11[[#This Row],[CLOSING BALANCE (VND)2]]-Table11[[#This Row],[CB_BS (VND)]]</f>
        <v>#N/A</v>
      </c>
      <c r="O587" s="1094">
        <v>0</v>
      </c>
      <c r="P587" s="1095">
        <f t="shared" si="53"/>
        <v>0</v>
      </c>
      <c r="Q587" s="817">
        <f>SUMIFS('Cash balance (Prior period)'!G:G,'Cash balance (Prior period)'!C:C,Table11[[#This Row],[ACCOUNT NUMBER]],'Cash balance (Prior period)'!E:E,Table11[[#This Row],[CURRENCY]])</f>
        <v>0</v>
      </c>
      <c r="R587" s="817">
        <f>SUMIFS(Movement!$F$4:$F$2136,Movement!$M$4:$M$2136,"USD",Movement!$C$4:$C$2136,Table11[[#This Row],[ACCOUNT NUMBER]],Movement!$J$4:$J$2136,Table11[[#This Row],[ENTITY]],Movement!$O$4:$O$2136,'Cash Balance'!$A$2)</f>
        <v>0</v>
      </c>
      <c r="S587" s="817">
        <f>SUMIFS(Movement!$G$4:$G$2136,Movement!$M$4:$M$2136,"USD",Movement!$C$4:$C$2136,Table11[[#This Row],[ACCOUNT NUMBER]],Movement!$J$4:$J$2136,Table11[[#This Row],[ENTITY]],Movement!$O$4:$O$2136,'Cash Balance'!$A$2)</f>
        <v>0</v>
      </c>
      <c r="T587" s="1087">
        <f t="shared" si="54"/>
        <v>0</v>
      </c>
      <c r="U587" s="1089"/>
      <c r="V587" s="817">
        <f>Table11[[#This Row],[CLOSING BALANCE (USD)]]-Table11[[#This Row],[CB_BS (USD)]]</f>
        <v>0</v>
      </c>
      <c r="W587" s="1156" t="str">
        <f>VLOOKUP('Cash Balance'!$C587,Table2[#All],MATCH('Cash Balance'!W$3,Acc_Char!$B$1:$I$1,0),0)</f>
        <v>Subsidiaries</v>
      </c>
      <c r="X587" s="1156" t="str">
        <f>VLOOKUP(IFERROR(MID($Y587,1,FIND("-",$Y587)-2),$Y587),Table3[#All],2,0)</f>
        <v>VCB</v>
      </c>
      <c r="Y587" s="1156" t="str">
        <f>VLOOKUP($B587,Table4[#All],2,0)</f>
        <v>VIETCOMBANK - BA DINH</v>
      </c>
      <c r="Z587" s="1151"/>
      <c r="AA587" s="49"/>
    </row>
    <row r="588" spans="1:27">
      <c r="A588" s="1153" t="str">
        <f>VLOOKUP('Cash Balance'!$C588,Table2[#All],MATCH('Cash Balance'!A$3,Acc_Char!$B$1:$I$1,0),0)</f>
        <v>THUAN THANH 3B</v>
      </c>
      <c r="B588" s="1154" t="str">
        <f>VLOOKUP('Cash Balance'!$C588,Table2[#All],MATCH('Cash Balance'!B$3,Acc_Char!$B$1:$I$1,0),0)</f>
        <v>VIETCOMBANK - BA DINH</v>
      </c>
      <c r="C588" s="1190" t="s">
        <v>1201</v>
      </c>
      <c r="D588" s="1156" t="str">
        <f>VLOOKUP('Cash Balance'!$C588,Table2[#All],MATCH('Cash Balance'!D$3,Acc_Char!$B$1:$I$1,0),0)</f>
        <v>Saving Account</v>
      </c>
      <c r="E588" s="384" t="str">
        <f>VLOOKUP('Cash Balance'!$C588,Table2[#All],MATCH('Cash Balance'!E$3,Acc_Char!$B$1:$I$1,0),0)</f>
        <v>VND</v>
      </c>
      <c r="F588" s="1094" t="e">
        <f>VLOOKUP(C588,'Cash balance (BS)'!A:C,3,)</f>
        <v>#N/A</v>
      </c>
      <c r="G588" s="1191" t="e">
        <f t="shared" si="51"/>
        <v>#N/A</v>
      </c>
      <c r="H588" s="1318">
        <f>SUMIFS('Cash balance (Prior period)'!F:F,'Cash balance (Prior period)'!C:C,Table11[[#This Row],[ACCOUNT NUMBER]],'Cash balance (Prior period)'!E:E,Table11[[#This Row],[CURRENCY]])</f>
        <v>0</v>
      </c>
      <c r="I588" s="1318">
        <f>SUMIFS(Movement!$F$4:$F$2136,Movement!$M$4:$M$2136,"VND",Movement!$C$4:$C$2136,Table11[[#This Row],[ACCOUNT NUMBER]],Movement!$J$4:$J$2136,Table11[[#This Row],[ENTITY]],Movement!$O$4:$O$2136,'Cash Balance'!$A$2)</f>
        <v>0</v>
      </c>
      <c r="J588" s="1318">
        <f>SUMIFS(Movement!$G$4:$G$2136,Movement!$M$4:$M$2136,"VND",Movement!$C$4:$C$2136,Table11[[#This Row],[ACCOUNT NUMBER]],Movement!$J$4:$J$2136,Table11[[#This Row],[ENTITY]],Movement!$O$4:$O$2136,'Cash Balance'!$A$2)</f>
        <v>0</v>
      </c>
      <c r="K588" s="1084">
        <f>Table11[[#This Row],[CASH IN - CREDIT (VND)]]-Table11[[#This Row],[CASH OUT - DEBIT (VND)]]</f>
        <v>0</v>
      </c>
      <c r="L588" s="1095">
        <f t="shared" si="52"/>
        <v>0</v>
      </c>
      <c r="M588" s="1184" t="e">
        <f>VLOOKUP(C588,'Cash balance (BS)'!A:D,4,)</f>
        <v>#N/A</v>
      </c>
      <c r="N588" s="1095" t="e">
        <f>Table11[[#This Row],[CLOSING BALANCE (VND)2]]-Table11[[#This Row],[CB_BS (VND)]]</f>
        <v>#N/A</v>
      </c>
      <c r="O588" s="1094">
        <v>0</v>
      </c>
      <c r="P588" s="1095">
        <f t="shared" si="53"/>
        <v>0</v>
      </c>
      <c r="Q588" s="817">
        <f>SUMIFS('Cash balance (Prior period)'!G:G,'Cash balance (Prior period)'!C:C,Table11[[#This Row],[ACCOUNT NUMBER]],'Cash balance (Prior period)'!E:E,Table11[[#This Row],[CURRENCY]])</f>
        <v>0</v>
      </c>
      <c r="R588" s="817">
        <f>SUMIFS(Movement!$F$4:$F$2136,Movement!$M$4:$M$2136,"USD",Movement!$C$4:$C$2136,Table11[[#This Row],[ACCOUNT NUMBER]],Movement!$J$4:$J$2136,Table11[[#This Row],[ENTITY]],Movement!$O$4:$O$2136,'Cash Balance'!$A$2)</f>
        <v>0</v>
      </c>
      <c r="S588" s="817">
        <f>SUMIFS(Movement!$G$4:$G$2136,Movement!$M$4:$M$2136,"USD",Movement!$C$4:$C$2136,Table11[[#This Row],[ACCOUNT NUMBER]],Movement!$J$4:$J$2136,Table11[[#This Row],[ENTITY]],Movement!$O$4:$O$2136,'Cash Balance'!$A$2)</f>
        <v>0</v>
      </c>
      <c r="T588" s="1087">
        <f t="shared" si="54"/>
        <v>0</v>
      </c>
      <c r="U588" s="1089"/>
      <c r="V588" s="817">
        <f>Table11[[#This Row],[CLOSING BALANCE (USD)]]-Table11[[#This Row],[CB_BS (USD)]]</f>
        <v>0</v>
      </c>
      <c r="W588" s="1156" t="str">
        <f>VLOOKUP('Cash Balance'!$C588,Table2[#All],MATCH('Cash Balance'!W$3,Acc_Char!$B$1:$I$1,0),0)</f>
        <v>Subsidiaries</v>
      </c>
      <c r="X588" s="1156" t="str">
        <f>VLOOKUP(IFERROR(MID($Y588,1,FIND("-",$Y588)-2),$Y588),Table3[#All],2,0)</f>
        <v>VCB</v>
      </c>
      <c r="Y588" s="1156" t="str">
        <f>VLOOKUP($B588,Table4[#All],2,0)</f>
        <v>VIETCOMBANK - BA DINH</v>
      </c>
      <c r="Z588" s="1151"/>
      <c r="AA588" s="49"/>
    </row>
    <row r="589" spans="1:27">
      <c r="A589" s="1153" t="str">
        <f>VLOOKUP('Cash Balance'!$C589,Table2[#All],MATCH('Cash Balance'!A$3,Acc_Char!$B$1:$I$1,0),0)</f>
        <v>THUAN THANH 3B</v>
      </c>
      <c r="B589" s="1154" t="str">
        <f>VLOOKUP('Cash Balance'!$C589,Table2[#All],MATCH('Cash Balance'!B$3,Acc_Char!$B$1:$I$1,0),0)</f>
        <v>VIETCOMBANK - BA DINH</v>
      </c>
      <c r="C589" s="1190" t="s">
        <v>1202</v>
      </c>
      <c r="D589" s="1156" t="str">
        <f>VLOOKUP('Cash Balance'!$C589,Table2[#All],MATCH('Cash Balance'!D$3,Acc_Char!$B$1:$I$1,0),0)</f>
        <v>Saving Account</v>
      </c>
      <c r="E589" s="384" t="str">
        <f>VLOOKUP('Cash Balance'!$C589,Table2[#All],MATCH('Cash Balance'!E$3,Acc_Char!$B$1:$I$1,0),0)</f>
        <v>VND</v>
      </c>
      <c r="F589" s="1094" t="e">
        <f>VLOOKUP(C589,'Cash balance (BS)'!A:C,3,)</f>
        <v>#N/A</v>
      </c>
      <c r="G589" s="1191" t="e">
        <f t="shared" si="51"/>
        <v>#N/A</v>
      </c>
      <c r="H589" s="1318">
        <f>SUMIFS('Cash balance (Prior period)'!F:F,'Cash balance (Prior period)'!C:C,Table11[[#This Row],[ACCOUNT NUMBER]],'Cash balance (Prior period)'!E:E,Table11[[#This Row],[CURRENCY]])</f>
        <v>0</v>
      </c>
      <c r="I589" s="1318">
        <f>SUMIFS(Movement!$F$4:$F$2136,Movement!$M$4:$M$2136,"VND",Movement!$C$4:$C$2136,Table11[[#This Row],[ACCOUNT NUMBER]],Movement!$J$4:$J$2136,Table11[[#This Row],[ENTITY]],Movement!$O$4:$O$2136,'Cash Balance'!$A$2)</f>
        <v>0</v>
      </c>
      <c r="J589" s="1318">
        <f>SUMIFS(Movement!$G$4:$G$2136,Movement!$M$4:$M$2136,"VND",Movement!$C$4:$C$2136,Table11[[#This Row],[ACCOUNT NUMBER]],Movement!$J$4:$J$2136,Table11[[#This Row],[ENTITY]],Movement!$O$4:$O$2136,'Cash Balance'!$A$2)</f>
        <v>0</v>
      </c>
      <c r="K589" s="1084">
        <f>Table11[[#This Row],[CASH IN - CREDIT (VND)]]-Table11[[#This Row],[CASH OUT - DEBIT (VND)]]</f>
        <v>0</v>
      </c>
      <c r="L589" s="1095">
        <f t="shared" si="52"/>
        <v>0</v>
      </c>
      <c r="M589" s="1184" t="e">
        <f>VLOOKUP(C589,'Cash balance (BS)'!A:D,4,)</f>
        <v>#N/A</v>
      </c>
      <c r="N589" s="1095" t="e">
        <f>Table11[[#This Row],[CLOSING BALANCE (VND)2]]-Table11[[#This Row],[CB_BS (VND)]]</f>
        <v>#N/A</v>
      </c>
      <c r="O589" s="1094">
        <v>0</v>
      </c>
      <c r="P589" s="1095">
        <f t="shared" si="53"/>
        <v>0</v>
      </c>
      <c r="Q589" s="817">
        <f>SUMIFS('Cash balance (Prior period)'!G:G,'Cash balance (Prior period)'!C:C,Table11[[#This Row],[ACCOUNT NUMBER]],'Cash balance (Prior period)'!E:E,Table11[[#This Row],[CURRENCY]])</f>
        <v>0</v>
      </c>
      <c r="R589" s="817">
        <f>SUMIFS(Movement!$F$4:$F$2136,Movement!$M$4:$M$2136,"USD",Movement!$C$4:$C$2136,Table11[[#This Row],[ACCOUNT NUMBER]],Movement!$J$4:$J$2136,Table11[[#This Row],[ENTITY]],Movement!$O$4:$O$2136,'Cash Balance'!$A$2)</f>
        <v>0</v>
      </c>
      <c r="S589" s="817">
        <f>SUMIFS(Movement!$G$4:$G$2136,Movement!$M$4:$M$2136,"USD",Movement!$C$4:$C$2136,Table11[[#This Row],[ACCOUNT NUMBER]],Movement!$J$4:$J$2136,Table11[[#This Row],[ENTITY]],Movement!$O$4:$O$2136,'Cash Balance'!$A$2)</f>
        <v>0</v>
      </c>
      <c r="T589" s="1087">
        <f t="shared" si="54"/>
        <v>0</v>
      </c>
      <c r="U589" s="1089"/>
      <c r="V589" s="817">
        <f>Table11[[#This Row],[CLOSING BALANCE (USD)]]-Table11[[#This Row],[CB_BS (USD)]]</f>
        <v>0</v>
      </c>
      <c r="W589" s="1156" t="str">
        <f>VLOOKUP('Cash Balance'!$C589,Table2[#All],MATCH('Cash Balance'!W$3,Acc_Char!$B$1:$I$1,0),0)</f>
        <v>Subsidiaries</v>
      </c>
      <c r="X589" s="1156" t="str">
        <f>VLOOKUP(IFERROR(MID($Y589,1,FIND("-",$Y589)-2),$Y589),Table3[#All],2,0)</f>
        <v>VCB</v>
      </c>
      <c r="Y589" s="1156" t="str">
        <f>VLOOKUP($B589,Table4[#All],2,0)</f>
        <v>VIETCOMBANK - BA DINH</v>
      </c>
      <c r="Z589" s="1151"/>
      <c r="AA589" s="49"/>
    </row>
    <row r="590" spans="1:27">
      <c r="A590" s="1153" t="str">
        <f>VLOOKUP('Cash Balance'!$C590,Table2[#All],MATCH('Cash Balance'!A$3,Acc_Char!$B$1:$I$1,0),0)</f>
        <v>BWID THOI HOA</v>
      </c>
      <c r="B590" s="1154" t="str">
        <f>VLOOKUP('Cash Balance'!$C590,Table2[#All],MATCH('Cash Balance'!B$3,Acc_Char!$B$1:$I$1,0),0)</f>
        <v>OCB - BINH DUONG</v>
      </c>
      <c r="C590" s="1189" t="s">
        <v>1203</v>
      </c>
      <c r="D590" s="1156" t="str">
        <f>VLOOKUP('Cash Balance'!$C590,Table2[#All],MATCH('Cash Balance'!D$3,Acc_Char!$B$1:$I$1,0),0)</f>
        <v>Saving Account</v>
      </c>
      <c r="E590" s="384" t="str">
        <f>VLOOKUP('Cash Balance'!$C590,Table2[#All],MATCH('Cash Balance'!E$3,Acc_Char!$B$1:$I$1,0),0)</f>
        <v>VND</v>
      </c>
      <c r="F590" s="1094" t="e">
        <f>VLOOKUP(C590,'Cash balance (BS)'!A:C,3,)</f>
        <v>#N/A</v>
      </c>
      <c r="G590" s="1191" t="e">
        <f t="shared" si="51"/>
        <v>#N/A</v>
      </c>
      <c r="H590" s="1318">
        <f>SUMIFS('Cash balance (Prior period)'!F:F,'Cash balance (Prior period)'!C:C,Table11[[#This Row],[ACCOUNT NUMBER]],'Cash balance (Prior period)'!E:E,Table11[[#This Row],[CURRENCY]])</f>
        <v>0</v>
      </c>
      <c r="I590" s="1318">
        <f>SUMIFS(Movement!$F$4:$F$2136,Movement!$M$4:$M$2136,"VND",Movement!$C$4:$C$2136,Table11[[#This Row],[ACCOUNT NUMBER]],Movement!$J$4:$J$2136,Table11[[#This Row],[ENTITY]],Movement!$O$4:$O$2136,'Cash Balance'!$A$2)</f>
        <v>0</v>
      </c>
      <c r="J590" s="1318">
        <f>SUMIFS(Movement!$G$4:$G$2136,Movement!$M$4:$M$2136,"VND",Movement!$C$4:$C$2136,Table11[[#This Row],[ACCOUNT NUMBER]],Movement!$J$4:$J$2136,Table11[[#This Row],[ENTITY]],Movement!$O$4:$O$2136,'Cash Balance'!$A$2)</f>
        <v>0</v>
      </c>
      <c r="K590" s="1084">
        <f>Table11[[#This Row],[CASH IN - CREDIT (VND)]]-Table11[[#This Row],[CASH OUT - DEBIT (VND)]]</f>
        <v>0</v>
      </c>
      <c r="L590" s="1095">
        <f t="shared" si="52"/>
        <v>0</v>
      </c>
      <c r="M590" s="1184" t="e">
        <f>VLOOKUP(C590,'Cash balance (BS)'!A:D,4,)</f>
        <v>#N/A</v>
      </c>
      <c r="N590" s="1095" t="e">
        <f>Table11[[#This Row],[CLOSING BALANCE (VND)2]]-Table11[[#This Row],[CB_BS (VND)]]</f>
        <v>#N/A</v>
      </c>
      <c r="O590" s="1094">
        <v>0</v>
      </c>
      <c r="P590" s="1095">
        <f t="shared" si="53"/>
        <v>0</v>
      </c>
      <c r="Q590" s="817">
        <f>SUMIFS('Cash balance (Prior period)'!G:G,'Cash balance (Prior period)'!C:C,Table11[[#This Row],[ACCOUNT NUMBER]],'Cash balance (Prior period)'!E:E,Table11[[#This Row],[CURRENCY]])</f>
        <v>0</v>
      </c>
      <c r="R590" s="817">
        <f>SUMIFS(Movement!$F$4:$F$2136,Movement!$M$4:$M$2136,"USD",Movement!$C$4:$C$2136,Table11[[#This Row],[ACCOUNT NUMBER]],Movement!$J$4:$J$2136,Table11[[#This Row],[ENTITY]],Movement!$O$4:$O$2136,'Cash Balance'!$A$2)</f>
        <v>0</v>
      </c>
      <c r="S590" s="817">
        <f>SUMIFS(Movement!$G$4:$G$2136,Movement!$M$4:$M$2136,"USD",Movement!$C$4:$C$2136,Table11[[#This Row],[ACCOUNT NUMBER]],Movement!$J$4:$J$2136,Table11[[#This Row],[ENTITY]],Movement!$O$4:$O$2136,'Cash Balance'!$A$2)</f>
        <v>0</v>
      </c>
      <c r="T590" s="1087">
        <f t="shared" si="54"/>
        <v>0</v>
      </c>
      <c r="U590" s="1089"/>
      <c r="V590" s="817">
        <f>Table11[[#This Row],[CLOSING BALANCE (USD)]]-Table11[[#This Row],[CB_BS (USD)]]</f>
        <v>0</v>
      </c>
      <c r="W590" s="1156" t="str">
        <f>VLOOKUP('Cash Balance'!$C590,Table2[#All],MATCH('Cash Balance'!W$3,Acc_Char!$B$1:$I$1,0),0)</f>
        <v>Subsidiaries</v>
      </c>
      <c r="X590" s="1156" t="str">
        <f>VLOOKUP(IFERROR(MID($Y590,1,FIND("-",$Y590)-2),$Y590),Table3[#All],2,0)</f>
        <v>OCB</v>
      </c>
      <c r="Y590" s="1156" t="str">
        <f>VLOOKUP($B590,Table4[#All],2,0)</f>
        <v>OCB - BINH DUONG</v>
      </c>
      <c r="Z590" s="1151"/>
      <c r="AA590" s="49"/>
    </row>
    <row r="591" spans="1:27">
      <c r="A591" s="1153" t="str">
        <f>VLOOKUP('Cash Balance'!$C591,Table2[#All],MATCH('Cash Balance'!A$3,Acc_Char!$B$1:$I$1,0),0)</f>
        <v>BWID THOI HOA</v>
      </c>
      <c r="B591" s="1154" t="str">
        <f>VLOOKUP('Cash Balance'!$C591,Table2[#All],MATCH('Cash Balance'!B$3,Acc_Char!$B$1:$I$1,0),0)</f>
        <v>OCB - BINH DUONG</v>
      </c>
      <c r="C591" s="1190" t="s">
        <v>1204</v>
      </c>
      <c r="D591" s="1156" t="str">
        <f>VLOOKUP('Cash Balance'!$C591,Table2[#All],MATCH('Cash Balance'!D$3,Acc_Char!$B$1:$I$1,0),0)</f>
        <v>Saving Account</v>
      </c>
      <c r="E591" s="384" t="str">
        <f>VLOOKUP('Cash Balance'!$C591,Table2[#All],MATCH('Cash Balance'!E$3,Acc_Char!$B$1:$I$1,0),0)</f>
        <v>VND</v>
      </c>
      <c r="F591" s="1094" t="e">
        <f>VLOOKUP(C591,'Cash balance (BS)'!A:C,3,)</f>
        <v>#N/A</v>
      </c>
      <c r="G591" s="1191" t="e">
        <f t="shared" si="51"/>
        <v>#N/A</v>
      </c>
      <c r="H591" s="1318">
        <f>SUMIFS('Cash balance (Prior period)'!F:F,'Cash balance (Prior period)'!C:C,Table11[[#This Row],[ACCOUNT NUMBER]],'Cash balance (Prior period)'!E:E,Table11[[#This Row],[CURRENCY]])</f>
        <v>0</v>
      </c>
      <c r="I591" s="1318">
        <f>SUMIFS(Movement!$F$4:$F$2136,Movement!$M$4:$M$2136,"VND",Movement!$C$4:$C$2136,Table11[[#This Row],[ACCOUNT NUMBER]],Movement!$J$4:$J$2136,Table11[[#This Row],[ENTITY]],Movement!$O$4:$O$2136,'Cash Balance'!$A$2)</f>
        <v>0</v>
      </c>
      <c r="J591" s="1318">
        <f>SUMIFS(Movement!$G$4:$G$2136,Movement!$M$4:$M$2136,"VND",Movement!$C$4:$C$2136,Table11[[#This Row],[ACCOUNT NUMBER]],Movement!$J$4:$J$2136,Table11[[#This Row],[ENTITY]],Movement!$O$4:$O$2136,'Cash Balance'!$A$2)</f>
        <v>0</v>
      </c>
      <c r="K591" s="1084">
        <f>Table11[[#This Row],[CASH IN - CREDIT (VND)]]-Table11[[#This Row],[CASH OUT - DEBIT (VND)]]</f>
        <v>0</v>
      </c>
      <c r="L591" s="1095">
        <f t="shared" si="52"/>
        <v>0</v>
      </c>
      <c r="M591" s="1184" t="e">
        <f>VLOOKUP(C591,'Cash balance (BS)'!A:D,4,)</f>
        <v>#N/A</v>
      </c>
      <c r="N591" s="1095" t="e">
        <f>Table11[[#This Row],[CLOSING BALANCE (VND)2]]-Table11[[#This Row],[CB_BS (VND)]]</f>
        <v>#N/A</v>
      </c>
      <c r="O591" s="1094">
        <v>0</v>
      </c>
      <c r="P591" s="1095">
        <f t="shared" si="53"/>
        <v>0</v>
      </c>
      <c r="Q591" s="817">
        <f>SUMIFS('Cash balance (Prior period)'!G:G,'Cash balance (Prior period)'!C:C,Table11[[#This Row],[ACCOUNT NUMBER]],'Cash balance (Prior period)'!E:E,Table11[[#This Row],[CURRENCY]])</f>
        <v>0</v>
      </c>
      <c r="R591" s="817">
        <f>SUMIFS(Movement!$F$4:$F$2136,Movement!$M$4:$M$2136,"USD",Movement!$C$4:$C$2136,Table11[[#This Row],[ACCOUNT NUMBER]],Movement!$J$4:$J$2136,Table11[[#This Row],[ENTITY]],Movement!$O$4:$O$2136,'Cash Balance'!$A$2)</f>
        <v>0</v>
      </c>
      <c r="S591" s="817">
        <f>SUMIFS(Movement!$G$4:$G$2136,Movement!$M$4:$M$2136,"USD",Movement!$C$4:$C$2136,Table11[[#This Row],[ACCOUNT NUMBER]],Movement!$J$4:$J$2136,Table11[[#This Row],[ENTITY]],Movement!$O$4:$O$2136,'Cash Balance'!$A$2)</f>
        <v>0</v>
      </c>
      <c r="T591" s="1087">
        <f t="shared" si="54"/>
        <v>0</v>
      </c>
      <c r="U591" s="1089"/>
      <c r="V591" s="817">
        <f>Table11[[#This Row],[CLOSING BALANCE (USD)]]-Table11[[#This Row],[CB_BS (USD)]]</f>
        <v>0</v>
      </c>
      <c r="W591" s="1156" t="str">
        <f>VLOOKUP('Cash Balance'!$C591,Table2[#All],MATCH('Cash Balance'!W$3,Acc_Char!$B$1:$I$1,0),0)</f>
        <v>Subsidiaries</v>
      </c>
      <c r="X591" s="1156" t="str">
        <f>VLOOKUP(IFERROR(MID($Y591,1,FIND("-",$Y591)-2),$Y591),Table3[#All],2,0)</f>
        <v>OCB</v>
      </c>
      <c r="Y591" s="1156" t="str">
        <f>VLOOKUP($B591,Table4[#All],2,0)</f>
        <v>OCB - BINH DUONG</v>
      </c>
      <c r="Z591" s="1151"/>
      <c r="AA591" s="49"/>
    </row>
    <row r="592" spans="1:27">
      <c r="A592" s="1153" t="str">
        <f>VLOOKUP('Cash Balance'!$C592,Table2[#All],MATCH('Cash Balance'!A$3,Acc_Char!$B$1:$I$1,0),0)</f>
        <v>BW SAI GON</v>
      </c>
      <c r="B592" s="1154" t="str">
        <f>VLOOKUP('Cash Balance'!$C592,Table2[#All],MATCH('Cash Balance'!B$3,Acc_Char!$B$1:$I$1,0),0)</f>
        <v>SINOPAC</v>
      </c>
      <c r="C592" s="1190" t="s">
        <v>1205</v>
      </c>
      <c r="D592" s="1156" t="str">
        <f>VLOOKUP('Cash Balance'!$C592,Table2[#All],MATCH('Cash Balance'!D$3,Acc_Char!$B$1:$I$1,0),0)</f>
        <v>Saving Account</v>
      </c>
      <c r="E592" s="384" t="str">
        <f>VLOOKUP('Cash Balance'!$C592,Table2[#All],MATCH('Cash Balance'!E$3,Acc_Char!$B$1:$I$1,0),0)</f>
        <v>VND</v>
      </c>
      <c r="F592" s="1094" t="e">
        <f>VLOOKUP(C592,'Cash balance (BS)'!A:C,3,)</f>
        <v>#N/A</v>
      </c>
      <c r="G592" s="1191" t="e">
        <f t="shared" si="51"/>
        <v>#N/A</v>
      </c>
      <c r="H592" s="1318">
        <f>SUMIFS('Cash balance (Prior period)'!F:F,'Cash balance (Prior period)'!C:C,Table11[[#This Row],[ACCOUNT NUMBER]],'Cash balance (Prior period)'!E:E,Table11[[#This Row],[CURRENCY]])</f>
        <v>0</v>
      </c>
      <c r="I592" s="1318">
        <f>SUMIFS(Movement!$F$4:$F$2136,Movement!$M$4:$M$2136,"VND",Movement!$C$4:$C$2136,Table11[[#This Row],[ACCOUNT NUMBER]],Movement!$J$4:$J$2136,Table11[[#This Row],[ENTITY]],Movement!$O$4:$O$2136,'Cash Balance'!$A$2)</f>
        <v>0</v>
      </c>
      <c r="J592" s="1318">
        <f>SUMIFS(Movement!$G$4:$G$2136,Movement!$M$4:$M$2136,"VND",Movement!$C$4:$C$2136,Table11[[#This Row],[ACCOUNT NUMBER]],Movement!$J$4:$J$2136,Table11[[#This Row],[ENTITY]],Movement!$O$4:$O$2136,'Cash Balance'!$A$2)</f>
        <v>0</v>
      </c>
      <c r="K592" s="1084">
        <f>Table11[[#This Row],[CASH IN - CREDIT (VND)]]-Table11[[#This Row],[CASH OUT - DEBIT (VND)]]</f>
        <v>0</v>
      </c>
      <c r="L592" s="1095">
        <f t="shared" si="52"/>
        <v>0</v>
      </c>
      <c r="M592" s="1184" t="e">
        <f>VLOOKUP(C592,'Cash balance (BS)'!A:D,4,)</f>
        <v>#N/A</v>
      </c>
      <c r="N592" s="1095" t="e">
        <f>Table11[[#This Row],[CLOSING BALANCE (VND)2]]-Table11[[#This Row],[CB_BS (VND)]]</f>
        <v>#N/A</v>
      </c>
      <c r="O592" s="1094">
        <v>0</v>
      </c>
      <c r="P592" s="1095">
        <f t="shared" si="53"/>
        <v>0</v>
      </c>
      <c r="Q592" s="817">
        <f>SUMIFS('Cash balance (Prior period)'!G:G,'Cash balance (Prior period)'!C:C,Table11[[#This Row],[ACCOUNT NUMBER]],'Cash balance (Prior period)'!E:E,Table11[[#This Row],[CURRENCY]])</f>
        <v>0</v>
      </c>
      <c r="R592" s="817">
        <f>SUMIFS(Movement!$F$4:$F$2136,Movement!$M$4:$M$2136,"USD",Movement!$C$4:$C$2136,Table11[[#This Row],[ACCOUNT NUMBER]],Movement!$J$4:$J$2136,Table11[[#This Row],[ENTITY]],Movement!$O$4:$O$2136,'Cash Balance'!$A$2)</f>
        <v>0</v>
      </c>
      <c r="S592" s="817">
        <f>SUMIFS(Movement!$G$4:$G$2136,Movement!$M$4:$M$2136,"USD",Movement!$C$4:$C$2136,Table11[[#This Row],[ACCOUNT NUMBER]],Movement!$J$4:$J$2136,Table11[[#This Row],[ENTITY]],Movement!$O$4:$O$2136,'Cash Balance'!$A$2)</f>
        <v>0</v>
      </c>
      <c r="T592" s="1087">
        <f t="shared" si="54"/>
        <v>0</v>
      </c>
      <c r="U592" s="1089"/>
      <c r="V592" s="817">
        <f>Table11[[#This Row],[CLOSING BALANCE (USD)]]-Table11[[#This Row],[CB_BS (USD)]]</f>
        <v>0</v>
      </c>
      <c r="W592" s="1156" t="str">
        <f>VLOOKUP('Cash Balance'!$C592,Table2[#All],MATCH('Cash Balance'!W$3,Acc_Char!$B$1:$I$1,0),0)</f>
        <v>Subsidiaries</v>
      </c>
      <c r="X592" s="1156" t="str">
        <f>VLOOKUP(IFERROR(MID($Y592,1,FIND("-",$Y592)-2),$Y592),Table3[#All],2,0)</f>
        <v>SNP</v>
      </c>
      <c r="Y592" s="1156" t="str">
        <f>VLOOKUP($B592,Table4[#All],2,0)</f>
        <v>SINOPAC</v>
      </c>
      <c r="Z592" s="1151"/>
      <c r="AA592" s="49"/>
    </row>
    <row r="593" spans="1:27">
      <c r="A593" s="1153" t="str">
        <f>VLOOKUP('Cash Balance'!$C593,Table2[#All],MATCH('Cash Balance'!A$3,Acc_Char!$B$1:$I$1,0),0)</f>
        <v>BWID THOI HOA 2</v>
      </c>
      <c r="B593" s="1154" t="str">
        <f>VLOOKUP('Cash Balance'!$C593,Table2[#All],MATCH('Cash Balance'!B$3,Acc_Char!$B$1:$I$1,0),0)</f>
        <v>KBank - HCM</v>
      </c>
      <c r="C593" s="1190" t="s">
        <v>1206</v>
      </c>
      <c r="D593" s="1156" t="str">
        <f>VLOOKUP('Cash Balance'!$C593,Table2[#All],MATCH('Cash Balance'!D$3,Acc_Char!$B$1:$I$1,0),0)</f>
        <v>Saving Account</v>
      </c>
      <c r="E593" s="384" t="str">
        <f>VLOOKUP('Cash Balance'!$C593,Table2[#All],MATCH('Cash Balance'!E$3,Acc_Char!$B$1:$I$1,0),0)</f>
        <v>VND</v>
      </c>
      <c r="F593" s="1094" t="e">
        <f>VLOOKUP(C593,'Cash balance (BS)'!A:C,3,)</f>
        <v>#N/A</v>
      </c>
      <c r="G593" s="1191" t="e">
        <f t="shared" si="51"/>
        <v>#N/A</v>
      </c>
      <c r="H593" s="1318">
        <f>SUMIFS('Cash balance (Prior period)'!F:F,'Cash balance (Prior period)'!C:C,Table11[[#This Row],[ACCOUNT NUMBER]],'Cash balance (Prior period)'!E:E,Table11[[#This Row],[CURRENCY]])</f>
        <v>0</v>
      </c>
      <c r="I593" s="1318">
        <f>SUMIFS(Movement!$F$4:$F$2136,Movement!$M$4:$M$2136,"VND",Movement!$C$4:$C$2136,Table11[[#This Row],[ACCOUNT NUMBER]],Movement!$J$4:$J$2136,Table11[[#This Row],[ENTITY]],Movement!$O$4:$O$2136,'Cash Balance'!$A$2)</f>
        <v>0</v>
      </c>
      <c r="J593" s="1318">
        <f>SUMIFS(Movement!$G$4:$G$2136,Movement!$M$4:$M$2136,"VND",Movement!$C$4:$C$2136,Table11[[#This Row],[ACCOUNT NUMBER]],Movement!$J$4:$J$2136,Table11[[#This Row],[ENTITY]],Movement!$O$4:$O$2136,'Cash Balance'!$A$2)</f>
        <v>0</v>
      </c>
      <c r="K593" s="1084">
        <f>Table11[[#This Row],[CASH IN - CREDIT (VND)]]-Table11[[#This Row],[CASH OUT - DEBIT (VND)]]</f>
        <v>0</v>
      </c>
      <c r="L593" s="1095">
        <f t="shared" si="52"/>
        <v>0</v>
      </c>
      <c r="M593" s="1184" t="e">
        <f>VLOOKUP(C593,'Cash balance (BS)'!A:D,4,)</f>
        <v>#N/A</v>
      </c>
      <c r="N593" s="1095" t="e">
        <f>Table11[[#This Row],[CLOSING BALANCE (VND)2]]-Table11[[#This Row],[CB_BS (VND)]]</f>
        <v>#N/A</v>
      </c>
      <c r="O593" s="1094">
        <v>0</v>
      </c>
      <c r="P593" s="1095">
        <f t="shared" si="53"/>
        <v>0</v>
      </c>
      <c r="Q593" s="817">
        <f>SUMIFS('Cash balance (Prior period)'!G:G,'Cash balance (Prior period)'!C:C,Table11[[#This Row],[ACCOUNT NUMBER]],'Cash balance (Prior period)'!E:E,Table11[[#This Row],[CURRENCY]])</f>
        <v>0</v>
      </c>
      <c r="R593" s="817">
        <f>SUMIFS(Movement!$F$4:$F$2136,Movement!$M$4:$M$2136,"USD",Movement!$C$4:$C$2136,Table11[[#This Row],[ACCOUNT NUMBER]],Movement!$J$4:$J$2136,Table11[[#This Row],[ENTITY]],Movement!$O$4:$O$2136,'Cash Balance'!$A$2)</f>
        <v>0</v>
      </c>
      <c r="S593" s="817">
        <f>SUMIFS(Movement!$G$4:$G$2136,Movement!$M$4:$M$2136,"USD",Movement!$C$4:$C$2136,Table11[[#This Row],[ACCOUNT NUMBER]],Movement!$J$4:$J$2136,Table11[[#This Row],[ENTITY]],Movement!$O$4:$O$2136,'Cash Balance'!$A$2)</f>
        <v>0</v>
      </c>
      <c r="T593" s="1087">
        <f t="shared" si="54"/>
        <v>0</v>
      </c>
      <c r="U593" s="1089"/>
      <c r="V593" s="817">
        <f>Table11[[#This Row],[CLOSING BALANCE (USD)]]-Table11[[#This Row],[CB_BS (USD)]]</f>
        <v>0</v>
      </c>
      <c r="W593" s="1156" t="str">
        <f>VLOOKUP('Cash Balance'!$C593,Table2[#All],MATCH('Cash Balance'!W$3,Acc_Char!$B$1:$I$1,0),0)</f>
        <v>Subsidiaries</v>
      </c>
      <c r="X593" s="1156" t="str">
        <f>VLOOKUP(IFERROR(MID($Y593,1,FIND("-",$Y593)-2),$Y593),Table3[#All],2,0)</f>
        <v>Others</v>
      </c>
      <c r="Y593" s="1156" t="str">
        <f>VLOOKUP($B593,Table4[#All],2,0)</f>
        <v>OTHERS</v>
      </c>
      <c r="Z593" s="1151"/>
      <c r="AA593" s="49"/>
    </row>
    <row r="594" spans="1:27">
      <c r="A594" s="1153" t="str">
        <f>VLOOKUP('Cash Balance'!$C594,Table2[#All],MATCH('Cash Balance'!A$3,Acc_Char!$B$1:$I$1,0),0)</f>
        <v>BWID TAN DONG HIEP</v>
      </c>
      <c r="B594" s="1154" t="str">
        <f>VLOOKUP('Cash Balance'!$C594,Table2[#All],MATCH('Cash Balance'!B$3,Acc_Char!$B$1:$I$1,0),0)</f>
        <v>SINOPAC</v>
      </c>
      <c r="C594" s="1190" t="s">
        <v>1207</v>
      </c>
      <c r="D594" s="1156" t="str">
        <f>VLOOKUP('Cash Balance'!$C594,Table2[#All],MATCH('Cash Balance'!D$3,Acc_Char!$B$1:$I$1,0),0)</f>
        <v>Reserve Account</v>
      </c>
      <c r="E594" s="384" t="str">
        <f>VLOOKUP('Cash Balance'!$C594,Table2[#All],MATCH('Cash Balance'!E$3,Acc_Char!$B$1:$I$1,0),0)</f>
        <v>VND</v>
      </c>
      <c r="F594" s="1094" t="e">
        <f>VLOOKUP(C594,'Cash balance (BS)'!A:C,3,)</f>
        <v>#N/A</v>
      </c>
      <c r="G594" s="1191" t="e">
        <f t="shared" si="51"/>
        <v>#N/A</v>
      </c>
      <c r="H594" s="1318">
        <f>SUMIFS('Cash balance (Prior period)'!F:F,'Cash balance (Prior period)'!C:C,Table11[[#This Row],[ACCOUNT NUMBER]],'Cash balance (Prior period)'!E:E,Table11[[#This Row],[CURRENCY]])</f>
        <v>166362241</v>
      </c>
      <c r="I594" s="1318">
        <f>SUMIFS(Movement!$F$4:$F$2136,Movement!$M$4:$M$2136,"VND",Movement!$C$4:$C$2136,Table11[[#This Row],[ACCOUNT NUMBER]],Movement!$J$4:$J$2136,Table11[[#This Row],[ENTITY]],Movement!$O$4:$O$2136,'Cash Balance'!$A$2)</f>
        <v>0</v>
      </c>
      <c r="J594" s="1318">
        <f>SUMIFS(Movement!$G$4:$G$2136,Movement!$M$4:$M$2136,"VND",Movement!$C$4:$C$2136,Table11[[#This Row],[ACCOUNT NUMBER]],Movement!$J$4:$J$2136,Table11[[#This Row],[ENTITY]],Movement!$O$4:$O$2136,'Cash Balance'!$A$2)</f>
        <v>0</v>
      </c>
      <c r="K594" s="1084">
        <f>Table11[[#This Row],[CASH IN - CREDIT (VND)]]-Table11[[#This Row],[CASH OUT - DEBIT (VND)]]</f>
        <v>0</v>
      </c>
      <c r="L594" s="1095">
        <f t="shared" si="52"/>
        <v>166362241</v>
      </c>
      <c r="M594" s="1184" t="e">
        <f>VLOOKUP(C594,'Cash balance (BS)'!A:D,4,)</f>
        <v>#N/A</v>
      </c>
      <c r="N594" s="1095" t="e">
        <f>Table11[[#This Row],[CLOSING BALANCE (VND)2]]-Table11[[#This Row],[CB_BS (VND)]]</f>
        <v>#N/A</v>
      </c>
      <c r="O594" s="1094">
        <v>0</v>
      </c>
      <c r="P594" s="1095">
        <f t="shared" si="53"/>
        <v>0</v>
      </c>
      <c r="Q594" s="817">
        <f>SUMIFS('Cash balance (Prior period)'!G:G,'Cash balance (Prior period)'!C:C,Table11[[#This Row],[ACCOUNT NUMBER]],'Cash balance (Prior period)'!E:E,Table11[[#This Row],[CURRENCY]])</f>
        <v>0</v>
      </c>
      <c r="R594" s="817">
        <f>SUMIFS(Movement!$F$4:$F$2136,Movement!$M$4:$M$2136,"USD",Movement!$C$4:$C$2136,Table11[[#This Row],[ACCOUNT NUMBER]],Movement!$J$4:$J$2136,Table11[[#This Row],[ENTITY]],Movement!$O$4:$O$2136,'Cash Balance'!$A$2)</f>
        <v>0</v>
      </c>
      <c r="S594" s="817">
        <f>SUMIFS(Movement!$G$4:$G$2136,Movement!$M$4:$M$2136,"USD",Movement!$C$4:$C$2136,Table11[[#This Row],[ACCOUNT NUMBER]],Movement!$J$4:$J$2136,Table11[[#This Row],[ENTITY]],Movement!$O$4:$O$2136,'Cash Balance'!$A$2)</f>
        <v>0</v>
      </c>
      <c r="T594" s="1087">
        <f t="shared" si="54"/>
        <v>0</v>
      </c>
      <c r="U594" s="1089"/>
      <c r="V594" s="817">
        <f>Table11[[#This Row],[CLOSING BALANCE (USD)]]-Table11[[#This Row],[CB_BS (USD)]]</f>
        <v>0</v>
      </c>
      <c r="W594" s="1156" t="str">
        <f>VLOOKUP('Cash Balance'!$C594,Table2[#All],MATCH('Cash Balance'!W$3,Acc_Char!$B$1:$I$1,0),0)</f>
        <v>Subsidiaries</v>
      </c>
      <c r="X594" s="1156" t="str">
        <f>VLOOKUP(IFERROR(MID($Y594,1,FIND("-",$Y594)-2),$Y594),Table3[#All],2,0)</f>
        <v>SNP</v>
      </c>
      <c r="Y594" s="1156" t="str">
        <f>VLOOKUP($B594,Table4[#All],2,0)</f>
        <v>SINOPAC</v>
      </c>
      <c r="Z594" s="1151"/>
      <c r="AA594" s="49"/>
    </row>
    <row r="595" spans="1:27">
      <c r="A595" s="1153" t="str">
        <f>VLOOKUP('Cash Balance'!$C595,Table2[#All],MATCH('Cash Balance'!A$3,Acc_Char!$B$1:$I$1,0),0)</f>
        <v>SPV5B</v>
      </c>
      <c r="B595" s="1154" t="str">
        <f>VLOOKUP('Cash Balance'!$C595,Table2[#All],MATCH('Cash Balance'!B$3,Acc_Char!$B$1:$I$1,0),0)</f>
        <v>VIETINBANK - TIEN SON</v>
      </c>
      <c r="C595" s="1190" t="s">
        <v>1208</v>
      </c>
      <c r="D595" s="1156" t="str">
        <f>VLOOKUP('Cash Balance'!$C595,Table2[#All],MATCH('Cash Balance'!D$3,Acc_Char!$B$1:$I$1,0),0)</f>
        <v>Saving Account</v>
      </c>
      <c r="E595" s="384" t="str">
        <f>VLOOKUP('Cash Balance'!$C595,Table2[#All],MATCH('Cash Balance'!E$3,Acc_Char!$B$1:$I$1,0),0)</f>
        <v>VND</v>
      </c>
      <c r="F595" s="1094" t="e">
        <f>VLOOKUP(C595,'Cash balance (BS)'!A:C,3,)</f>
        <v>#N/A</v>
      </c>
      <c r="G595" s="1191" t="e">
        <f t="shared" si="51"/>
        <v>#N/A</v>
      </c>
      <c r="H595" s="1318">
        <f>SUMIFS('Cash balance (Prior period)'!F:F,'Cash balance (Prior period)'!C:C,Table11[[#This Row],[ACCOUNT NUMBER]],'Cash balance (Prior period)'!E:E,Table11[[#This Row],[CURRENCY]])</f>
        <v>4000000000</v>
      </c>
      <c r="I595" s="1318">
        <f>SUMIFS(Movement!$F$4:$F$2136,Movement!$M$4:$M$2136,"VND",Movement!$C$4:$C$2136,Table11[[#This Row],[ACCOUNT NUMBER]],Movement!$J$4:$J$2136,Table11[[#This Row],[ENTITY]],Movement!$O$4:$O$2136,'Cash Balance'!$A$2)</f>
        <v>0</v>
      </c>
      <c r="J595" s="1318">
        <f>SUMIFS(Movement!$G$4:$G$2136,Movement!$M$4:$M$2136,"VND",Movement!$C$4:$C$2136,Table11[[#This Row],[ACCOUNT NUMBER]],Movement!$J$4:$J$2136,Table11[[#This Row],[ENTITY]],Movement!$O$4:$O$2136,'Cash Balance'!$A$2)</f>
        <v>0</v>
      </c>
      <c r="K595" s="1084">
        <f>Table11[[#This Row],[CASH IN - CREDIT (VND)]]-Table11[[#This Row],[CASH OUT - DEBIT (VND)]]</f>
        <v>0</v>
      </c>
      <c r="L595" s="1095">
        <f t="shared" si="52"/>
        <v>4000000000</v>
      </c>
      <c r="M595" s="1184" t="e">
        <f>VLOOKUP(C595,'Cash balance (BS)'!A:D,4,)</f>
        <v>#N/A</v>
      </c>
      <c r="N595" s="1095" t="e">
        <f>Table11[[#This Row],[CLOSING BALANCE (VND)2]]-Table11[[#This Row],[CB_BS (VND)]]</f>
        <v>#N/A</v>
      </c>
      <c r="O595" s="1094">
        <v>0</v>
      </c>
      <c r="P595" s="1095">
        <f t="shared" si="53"/>
        <v>0</v>
      </c>
      <c r="Q595" s="817">
        <f>SUMIFS('Cash balance (Prior period)'!G:G,'Cash balance (Prior period)'!C:C,Table11[[#This Row],[ACCOUNT NUMBER]],'Cash balance (Prior period)'!E:E,Table11[[#This Row],[CURRENCY]])</f>
        <v>0</v>
      </c>
      <c r="R595" s="817">
        <f>SUMIFS(Movement!$F$4:$F$2136,Movement!$M$4:$M$2136,"USD",Movement!$C$4:$C$2136,Table11[[#This Row],[ACCOUNT NUMBER]],Movement!$J$4:$J$2136,Table11[[#This Row],[ENTITY]],Movement!$O$4:$O$2136,'Cash Balance'!$A$2)</f>
        <v>0</v>
      </c>
      <c r="S595" s="817">
        <f>SUMIFS(Movement!$G$4:$G$2136,Movement!$M$4:$M$2136,"USD",Movement!$C$4:$C$2136,Table11[[#This Row],[ACCOUNT NUMBER]],Movement!$J$4:$J$2136,Table11[[#This Row],[ENTITY]],Movement!$O$4:$O$2136,'Cash Balance'!$A$2)</f>
        <v>0</v>
      </c>
      <c r="T595" s="1087">
        <f t="shared" si="54"/>
        <v>0</v>
      </c>
      <c r="U595" s="1089"/>
      <c r="V595" s="817">
        <f>Table11[[#This Row],[CLOSING BALANCE (USD)]]-Table11[[#This Row],[CB_BS (USD)]]</f>
        <v>0</v>
      </c>
      <c r="W595" s="1156" t="str">
        <f>VLOOKUP('Cash Balance'!$C595,Table2[#All],MATCH('Cash Balance'!W$3,Acc_Char!$B$1:$I$1,0),0)</f>
        <v>Subsidiaries</v>
      </c>
      <c r="X595" s="1156" t="str">
        <f>VLOOKUP(IFERROR(MID($Y595,1,FIND("-",$Y595)-2),$Y595),Table3[#All],2,0)</f>
        <v>VTB</v>
      </c>
      <c r="Y595" s="1156" t="str">
        <f>VLOOKUP($B595,Table4[#All],2,0)</f>
        <v>VIETINBANK - TIEN SON</v>
      </c>
      <c r="Z595" s="1151"/>
      <c r="AA595" s="49"/>
    </row>
    <row r="596" spans="1:27">
      <c r="A596" s="1153" t="str">
        <f>VLOOKUP('Cash Balance'!$C596,Table2[#All],MATCH('Cash Balance'!A$3,Acc_Char!$B$1:$I$1,0),0)</f>
        <v>LONG BINH</v>
      </c>
      <c r="B596" s="1154" t="str">
        <f>VLOOKUP('Cash Balance'!$C596,Table2[#All],MATCH('Cash Balance'!B$3,Acc_Char!$B$1:$I$1,0),0)</f>
        <v>VIETINBANK - CN1</v>
      </c>
      <c r="C596" s="1190" t="s">
        <v>1209</v>
      </c>
      <c r="D596" s="1156" t="str">
        <f>VLOOKUP('Cash Balance'!$C596,Table2[#All],MATCH('Cash Balance'!D$3,Acc_Char!$B$1:$I$1,0),0)</f>
        <v>Saving Account</v>
      </c>
      <c r="E596" s="384" t="str">
        <f>VLOOKUP('Cash Balance'!$C596,Table2[#All],MATCH('Cash Balance'!E$3,Acc_Char!$B$1:$I$1,0),0)</f>
        <v>VND</v>
      </c>
      <c r="F596" s="1094" t="e">
        <f>VLOOKUP(C596,'Cash balance (BS)'!A:C,3,)</f>
        <v>#N/A</v>
      </c>
      <c r="G596" s="1191" t="e">
        <f t="shared" si="51"/>
        <v>#N/A</v>
      </c>
      <c r="H596" s="1318">
        <f>SUMIFS('Cash balance (Prior period)'!F:F,'Cash balance (Prior period)'!C:C,Table11[[#This Row],[ACCOUNT NUMBER]],'Cash balance (Prior period)'!E:E,Table11[[#This Row],[CURRENCY]])</f>
        <v>0</v>
      </c>
      <c r="I596" s="1318">
        <f>SUMIFS(Movement!$F$4:$F$2136,Movement!$M$4:$M$2136,"VND",Movement!$C$4:$C$2136,Table11[[#This Row],[ACCOUNT NUMBER]],Movement!$J$4:$J$2136,Table11[[#This Row],[ENTITY]],Movement!$O$4:$O$2136,'Cash Balance'!$A$2)</f>
        <v>0</v>
      </c>
      <c r="J596" s="1318">
        <f>SUMIFS(Movement!$G$4:$G$2136,Movement!$M$4:$M$2136,"VND",Movement!$C$4:$C$2136,Table11[[#This Row],[ACCOUNT NUMBER]],Movement!$J$4:$J$2136,Table11[[#This Row],[ENTITY]],Movement!$O$4:$O$2136,'Cash Balance'!$A$2)</f>
        <v>0</v>
      </c>
      <c r="K596" s="1084">
        <f>Table11[[#This Row],[CASH IN - CREDIT (VND)]]-Table11[[#This Row],[CASH OUT - DEBIT (VND)]]</f>
        <v>0</v>
      </c>
      <c r="L596" s="1095">
        <f t="shared" si="52"/>
        <v>0</v>
      </c>
      <c r="M596" s="1184" t="e">
        <f>VLOOKUP(C596,'Cash balance (BS)'!A:D,4,)</f>
        <v>#N/A</v>
      </c>
      <c r="N596" s="1095" t="e">
        <f>Table11[[#This Row],[CLOSING BALANCE (VND)2]]-Table11[[#This Row],[CB_BS (VND)]]</f>
        <v>#N/A</v>
      </c>
      <c r="O596" s="1094">
        <v>0</v>
      </c>
      <c r="P596" s="1095">
        <f t="shared" si="53"/>
        <v>0</v>
      </c>
      <c r="Q596" s="817">
        <f>SUMIFS('Cash balance (Prior period)'!G:G,'Cash balance (Prior period)'!C:C,Table11[[#This Row],[ACCOUNT NUMBER]],'Cash balance (Prior period)'!E:E,Table11[[#This Row],[CURRENCY]])</f>
        <v>0</v>
      </c>
      <c r="R596" s="817">
        <f>SUMIFS(Movement!$F$4:$F$2136,Movement!$M$4:$M$2136,"USD",Movement!$C$4:$C$2136,Table11[[#This Row],[ACCOUNT NUMBER]],Movement!$J$4:$J$2136,Table11[[#This Row],[ENTITY]],Movement!$O$4:$O$2136,'Cash Balance'!$A$2)</f>
        <v>0</v>
      </c>
      <c r="S596" s="817">
        <f>SUMIFS(Movement!$G$4:$G$2136,Movement!$M$4:$M$2136,"USD",Movement!$C$4:$C$2136,Table11[[#This Row],[ACCOUNT NUMBER]],Movement!$J$4:$J$2136,Table11[[#This Row],[ENTITY]],Movement!$O$4:$O$2136,'Cash Balance'!$A$2)</f>
        <v>0</v>
      </c>
      <c r="T596" s="1087">
        <f t="shared" si="54"/>
        <v>0</v>
      </c>
      <c r="U596" s="1089"/>
      <c r="V596" s="817">
        <f>Table11[[#This Row],[CLOSING BALANCE (USD)]]-Table11[[#This Row],[CB_BS (USD)]]</f>
        <v>0</v>
      </c>
      <c r="W596" s="1156" t="str">
        <f>VLOOKUP('Cash Balance'!$C596,Table2[#All],MATCH('Cash Balance'!W$3,Acc_Char!$B$1:$I$1,0),0)</f>
        <v>Subsidiaries</v>
      </c>
      <c r="X596" s="1156" t="str">
        <f>VLOOKUP(IFERROR(MID($Y596,1,FIND("-",$Y596)-2),$Y596),Table3[#All],2,0)</f>
        <v>VTB</v>
      </c>
      <c r="Y596" s="1156" t="str">
        <f>VLOOKUP($B596,Table4[#All],2,0)</f>
        <v>VIETINBANK - CN1</v>
      </c>
      <c r="Z596" s="1151"/>
      <c r="AA596" s="49"/>
    </row>
    <row r="597" spans="1:27">
      <c r="A597" s="1153" t="str">
        <f>VLOOKUP('Cash Balance'!$C597,Table2[#All],MATCH('Cash Balance'!A$3,Acc_Char!$B$1:$I$1,0),0)</f>
        <v>GREAT KINGDOM NT 2</v>
      </c>
      <c r="B597" s="1154" t="str">
        <f>VLOOKUP('Cash Balance'!$C597,Table2[#All],MATCH('Cash Balance'!B$3,Acc_Char!$B$1:$I$1,0),0)</f>
        <v>VIETINBANK - CN1</v>
      </c>
      <c r="C597" s="1190" t="s">
        <v>1210</v>
      </c>
      <c r="D597" s="1156" t="str">
        <f>VLOOKUP('Cash Balance'!$C597,Table2[#All],MATCH('Cash Balance'!D$3,Acc_Char!$B$1:$I$1,0),0)</f>
        <v>Saving Account</v>
      </c>
      <c r="E597" s="384" t="str">
        <f>VLOOKUP('Cash Balance'!$C597,Table2[#All],MATCH('Cash Balance'!E$3,Acc_Char!$B$1:$I$1,0),0)</f>
        <v>VND</v>
      </c>
      <c r="F597" s="1094" t="e">
        <f>VLOOKUP(C597,'Cash balance (BS)'!A:C,3,)</f>
        <v>#N/A</v>
      </c>
      <c r="G597" s="1191" t="e">
        <f t="shared" si="51"/>
        <v>#N/A</v>
      </c>
      <c r="H597" s="1318">
        <f>SUMIFS('Cash balance (Prior period)'!F:F,'Cash balance (Prior period)'!C:C,Table11[[#This Row],[ACCOUNT NUMBER]],'Cash balance (Prior period)'!E:E,Table11[[#This Row],[CURRENCY]])</f>
        <v>0</v>
      </c>
      <c r="I597" s="1318">
        <f>SUMIFS(Movement!$F$4:$F$2136,Movement!$M$4:$M$2136,"VND",Movement!$C$4:$C$2136,Table11[[#This Row],[ACCOUNT NUMBER]],Movement!$J$4:$J$2136,Table11[[#This Row],[ENTITY]],Movement!$O$4:$O$2136,'Cash Balance'!$A$2)</f>
        <v>0</v>
      </c>
      <c r="J597" s="1318">
        <f>SUMIFS(Movement!$G$4:$G$2136,Movement!$M$4:$M$2136,"VND",Movement!$C$4:$C$2136,Table11[[#This Row],[ACCOUNT NUMBER]],Movement!$J$4:$J$2136,Table11[[#This Row],[ENTITY]],Movement!$O$4:$O$2136,'Cash Balance'!$A$2)</f>
        <v>0</v>
      </c>
      <c r="K597" s="1084">
        <f>Table11[[#This Row],[CASH IN - CREDIT (VND)]]-Table11[[#This Row],[CASH OUT - DEBIT (VND)]]</f>
        <v>0</v>
      </c>
      <c r="L597" s="1095">
        <f t="shared" si="52"/>
        <v>0</v>
      </c>
      <c r="M597" s="1184" t="e">
        <f>VLOOKUP(C597,'Cash balance (BS)'!A:D,4,)</f>
        <v>#N/A</v>
      </c>
      <c r="N597" s="1095" t="e">
        <f>Table11[[#This Row],[CLOSING BALANCE (VND)2]]-Table11[[#This Row],[CB_BS (VND)]]</f>
        <v>#N/A</v>
      </c>
      <c r="O597" s="1094">
        <v>0</v>
      </c>
      <c r="P597" s="1095">
        <f t="shared" si="53"/>
        <v>0</v>
      </c>
      <c r="Q597" s="817">
        <f>SUMIFS('Cash balance (Prior period)'!G:G,'Cash balance (Prior period)'!C:C,Table11[[#This Row],[ACCOUNT NUMBER]],'Cash balance (Prior period)'!E:E,Table11[[#This Row],[CURRENCY]])</f>
        <v>0</v>
      </c>
      <c r="R597" s="817">
        <f>SUMIFS(Movement!$F$4:$F$2136,Movement!$M$4:$M$2136,"USD",Movement!$C$4:$C$2136,Table11[[#This Row],[ACCOUNT NUMBER]],Movement!$J$4:$J$2136,Table11[[#This Row],[ENTITY]],Movement!$O$4:$O$2136,'Cash Balance'!$A$2)</f>
        <v>0</v>
      </c>
      <c r="S597" s="817">
        <f>SUMIFS(Movement!$G$4:$G$2136,Movement!$M$4:$M$2136,"USD",Movement!$C$4:$C$2136,Table11[[#This Row],[ACCOUNT NUMBER]],Movement!$J$4:$J$2136,Table11[[#This Row],[ENTITY]],Movement!$O$4:$O$2136,'Cash Balance'!$A$2)</f>
        <v>0</v>
      </c>
      <c r="T597" s="1087">
        <f t="shared" si="54"/>
        <v>0</v>
      </c>
      <c r="U597" s="1089"/>
      <c r="V597" s="817">
        <f>Table11[[#This Row],[CLOSING BALANCE (USD)]]-Table11[[#This Row],[CB_BS (USD)]]</f>
        <v>0</v>
      </c>
      <c r="W597" s="1156" t="str">
        <f>VLOOKUP('Cash Balance'!$C597,Table2[#All],MATCH('Cash Balance'!W$3,Acc_Char!$B$1:$I$1,0),0)</f>
        <v>Subsidiaries</v>
      </c>
      <c r="X597" s="1156" t="str">
        <f>VLOOKUP(IFERROR(MID($Y597,1,FIND("-",$Y597)-2),$Y597),Table3[#All],2,0)</f>
        <v>VTB</v>
      </c>
      <c r="Y597" s="1156" t="str">
        <f>VLOOKUP($B597,Table4[#All],2,0)</f>
        <v>VIETINBANK - CN1</v>
      </c>
      <c r="Z597" s="1151"/>
      <c r="AA597" s="49"/>
    </row>
    <row r="598" spans="1:27">
      <c r="A598" s="1153" t="str">
        <f>VLOOKUP('Cash Balance'!$C598,Table2[#All],MATCH('Cash Balance'!A$3,Acc_Char!$B$1:$I$1,0),0)</f>
        <v>SONG THAN 2</v>
      </c>
      <c r="B598" s="1154" t="str">
        <f>VLOOKUP('Cash Balance'!$C598,Table2[#All],MATCH('Cash Balance'!B$3,Acc_Char!$B$1:$I$1,0),0)</f>
        <v>VIETINBANK - TPHCM</v>
      </c>
      <c r="C598" s="1190" t="s">
        <v>1211</v>
      </c>
      <c r="D598" s="1156" t="str">
        <f>VLOOKUP('Cash Balance'!$C598,Table2[#All],MATCH('Cash Balance'!D$3,Acc_Char!$B$1:$I$1,0),0)</f>
        <v>Saving Account</v>
      </c>
      <c r="E598" s="384" t="str">
        <f>VLOOKUP('Cash Balance'!$C598,Table2[#All],MATCH('Cash Balance'!E$3,Acc_Char!$B$1:$I$1,0),0)</f>
        <v>VND</v>
      </c>
      <c r="F598" s="1094" t="e">
        <f>VLOOKUP(C598,'Cash balance (BS)'!A:C,3,)</f>
        <v>#N/A</v>
      </c>
      <c r="G598" s="1191" t="e">
        <f t="shared" si="51"/>
        <v>#N/A</v>
      </c>
      <c r="H598" s="1318">
        <f>SUMIFS('Cash balance (Prior period)'!F:F,'Cash balance (Prior period)'!C:C,Table11[[#This Row],[ACCOUNT NUMBER]],'Cash balance (Prior period)'!E:E,Table11[[#This Row],[CURRENCY]])</f>
        <v>0</v>
      </c>
      <c r="I598" s="1318">
        <f>SUMIFS(Movement!$F$4:$F$2136,Movement!$M$4:$M$2136,"VND",Movement!$C$4:$C$2136,Table11[[#This Row],[ACCOUNT NUMBER]],Movement!$J$4:$J$2136,Table11[[#This Row],[ENTITY]],Movement!$O$4:$O$2136,'Cash Balance'!$A$2)</f>
        <v>0</v>
      </c>
      <c r="J598" s="1318">
        <f>SUMIFS(Movement!$G$4:$G$2136,Movement!$M$4:$M$2136,"VND",Movement!$C$4:$C$2136,Table11[[#This Row],[ACCOUNT NUMBER]],Movement!$J$4:$J$2136,Table11[[#This Row],[ENTITY]],Movement!$O$4:$O$2136,'Cash Balance'!$A$2)</f>
        <v>0</v>
      </c>
      <c r="K598" s="1084">
        <f>Table11[[#This Row],[CASH IN - CREDIT (VND)]]-Table11[[#This Row],[CASH OUT - DEBIT (VND)]]</f>
        <v>0</v>
      </c>
      <c r="L598" s="1095">
        <f t="shared" si="52"/>
        <v>0</v>
      </c>
      <c r="M598" s="1184" t="e">
        <f>VLOOKUP(C598,'Cash balance (BS)'!A:D,4,)</f>
        <v>#N/A</v>
      </c>
      <c r="N598" s="1095" t="e">
        <f>Table11[[#This Row],[CLOSING BALANCE (VND)2]]-Table11[[#This Row],[CB_BS (VND)]]</f>
        <v>#N/A</v>
      </c>
      <c r="O598" s="1094">
        <v>0</v>
      </c>
      <c r="P598" s="1095">
        <f t="shared" si="53"/>
        <v>0</v>
      </c>
      <c r="Q598" s="817">
        <f>SUMIFS('Cash balance (Prior period)'!G:G,'Cash balance (Prior period)'!C:C,Table11[[#This Row],[ACCOUNT NUMBER]],'Cash balance (Prior period)'!E:E,Table11[[#This Row],[CURRENCY]])</f>
        <v>0</v>
      </c>
      <c r="R598" s="817">
        <f>SUMIFS(Movement!$F$4:$F$2136,Movement!$M$4:$M$2136,"USD",Movement!$C$4:$C$2136,Table11[[#This Row],[ACCOUNT NUMBER]],Movement!$J$4:$J$2136,Table11[[#This Row],[ENTITY]],Movement!$O$4:$O$2136,'Cash Balance'!$A$2)</f>
        <v>0</v>
      </c>
      <c r="S598" s="817">
        <f>SUMIFS(Movement!$G$4:$G$2136,Movement!$M$4:$M$2136,"USD",Movement!$C$4:$C$2136,Table11[[#This Row],[ACCOUNT NUMBER]],Movement!$J$4:$J$2136,Table11[[#This Row],[ENTITY]],Movement!$O$4:$O$2136,'Cash Balance'!$A$2)</f>
        <v>0</v>
      </c>
      <c r="T598" s="1087">
        <f t="shared" si="54"/>
        <v>0</v>
      </c>
      <c r="U598" s="1089"/>
      <c r="V598" s="817">
        <f>Table11[[#This Row],[CLOSING BALANCE (USD)]]-Table11[[#This Row],[CB_BS (USD)]]</f>
        <v>0</v>
      </c>
      <c r="W598" s="1156" t="str">
        <f>VLOOKUP('Cash Balance'!$C598,Table2[#All],MATCH('Cash Balance'!W$3,Acc_Char!$B$1:$I$1,0),0)</f>
        <v>Subsidiaries</v>
      </c>
      <c r="X598" s="1156" t="str">
        <f>VLOOKUP(IFERROR(MID($Y598,1,FIND("-",$Y598)-2),$Y598),Table3[#All],2,0)</f>
        <v>VTB</v>
      </c>
      <c r="Y598" s="1156" t="str">
        <f>VLOOKUP($B598,Table4[#All],2,0)</f>
        <v>VIETINBANK - TPHCM</v>
      </c>
      <c r="Z598" s="1151"/>
      <c r="AA598" s="49"/>
    </row>
    <row r="599" spans="1:27">
      <c r="A599" s="1153" t="str">
        <f>VLOOKUP('Cash Balance'!$C599,Table2[#All],MATCH('Cash Balance'!A$3,Acc_Char!$B$1:$I$1,0),0)</f>
        <v>SONG THAN 2</v>
      </c>
      <c r="B599" s="1154" t="str">
        <f>VLOOKUP('Cash Balance'!$C599,Table2[#All],MATCH('Cash Balance'!B$3,Acc_Char!$B$1:$I$1,0),0)</f>
        <v>VIETINBANK - TPHCM</v>
      </c>
      <c r="C599" s="1190" t="s">
        <v>1212</v>
      </c>
      <c r="D599" s="1156" t="str">
        <f>VLOOKUP('Cash Balance'!$C599,Table2[#All],MATCH('Cash Balance'!D$3,Acc_Char!$B$1:$I$1,0),0)</f>
        <v>Saving Account</v>
      </c>
      <c r="E599" s="384" t="str">
        <f>VLOOKUP('Cash Balance'!$C599,Table2[#All],MATCH('Cash Balance'!E$3,Acc_Char!$B$1:$I$1,0),0)</f>
        <v>VND</v>
      </c>
      <c r="F599" s="1094" t="e">
        <f>VLOOKUP(C599,'Cash balance (BS)'!A:C,3,)</f>
        <v>#N/A</v>
      </c>
      <c r="G599" s="1191" t="e">
        <f t="shared" si="51"/>
        <v>#N/A</v>
      </c>
      <c r="H599" s="1318">
        <f>SUMIFS('Cash balance (Prior period)'!F:F,'Cash balance (Prior period)'!C:C,Table11[[#This Row],[ACCOUNT NUMBER]],'Cash balance (Prior period)'!E:E,Table11[[#This Row],[CURRENCY]])</f>
        <v>0</v>
      </c>
      <c r="I599" s="1318">
        <f>SUMIFS(Movement!$F$4:$F$2136,Movement!$M$4:$M$2136,"VND",Movement!$C$4:$C$2136,Table11[[#This Row],[ACCOUNT NUMBER]],Movement!$J$4:$J$2136,Table11[[#This Row],[ENTITY]],Movement!$O$4:$O$2136,'Cash Balance'!$A$2)</f>
        <v>0</v>
      </c>
      <c r="J599" s="1318">
        <f>SUMIFS(Movement!$G$4:$G$2136,Movement!$M$4:$M$2136,"VND",Movement!$C$4:$C$2136,Table11[[#This Row],[ACCOUNT NUMBER]],Movement!$J$4:$J$2136,Table11[[#This Row],[ENTITY]],Movement!$O$4:$O$2136,'Cash Balance'!$A$2)</f>
        <v>0</v>
      </c>
      <c r="K599" s="1084">
        <f>Table11[[#This Row],[CASH IN - CREDIT (VND)]]-Table11[[#This Row],[CASH OUT - DEBIT (VND)]]</f>
        <v>0</v>
      </c>
      <c r="L599" s="1095">
        <f t="shared" si="52"/>
        <v>0</v>
      </c>
      <c r="M599" s="1184" t="e">
        <f>VLOOKUP(C599,'Cash balance (BS)'!A:D,4,)</f>
        <v>#N/A</v>
      </c>
      <c r="N599" s="1095" t="e">
        <f>Table11[[#This Row],[CLOSING BALANCE (VND)2]]-Table11[[#This Row],[CB_BS (VND)]]</f>
        <v>#N/A</v>
      </c>
      <c r="O599" s="1094">
        <v>0</v>
      </c>
      <c r="P599" s="1095">
        <f t="shared" si="53"/>
        <v>0</v>
      </c>
      <c r="Q599" s="817">
        <f>SUMIFS('Cash balance (Prior period)'!G:G,'Cash balance (Prior period)'!C:C,Table11[[#This Row],[ACCOUNT NUMBER]],'Cash balance (Prior period)'!E:E,Table11[[#This Row],[CURRENCY]])</f>
        <v>0</v>
      </c>
      <c r="R599" s="817">
        <f>SUMIFS(Movement!$F$4:$F$2136,Movement!$M$4:$M$2136,"USD",Movement!$C$4:$C$2136,Table11[[#This Row],[ACCOUNT NUMBER]],Movement!$J$4:$J$2136,Table11[[#This Row],[ENTITY]],Movement!$O$4:$O$2136,'Cash Balance'!$A$2)</f>
        <v>0</v>
      </c>
      <c r="S599" s="817">
        <f>SUMIFS(Movement!$G$4:$G$2136,Movement!$M$4:$M$2136,"USD",Movement!$C$4:$C$2136,Table11[[#This Row],[ACCOUNT NUMBER]],Movement!$J$4:$J$2136,Table11[[#This Row],[ENTITY]],Movement!$O$4:$O$2136,'Cash Balance'!$A$2)</f>
        <v>0</v>
      </c>
      <c r="T599" s="1087">
        <f t="shared" si="54"/>
        <v>0</v>
      </c>
      <c r="U599" s="1089"/>
      <c r="V599" s="817">
        <f>Table11[[#This Row],[CLOSING BALANCE (USD)]]-Table11[[#This Row],[CB_BS (USD)]]</f>
        <v>0</v>
      </c>
      <c r="W599" s="1156" t="str">
        <f>VLOOKUP('Cash Balance'!$C599,Table2[#All],MATCH('Cash Balance'!W$3,Acc_Char!$B$1:$I$1,0),0)</f>
        <v>Subsidiaries</v>
      </c>
      <c r="X599" s="1156" t="str">
        <f>VLOOKUP(IFERROR(MID($Y599,1,FIND("-",$Y599)-2),$Y599),Table3[#All],2,0)</f>
        <v>VTB</v>
      </c>
      <c r="Y599" s="1156" t="str">
        <f>VLOOKUP($B599,Table4[#All],2,0)</f>
        <v>VIETINBANK - TPHCM</v>
      </c>
      <c r="Z599" s="1151"/>
      <c r="AA599" s="49"/>
    </row>
    <row r="600" spans="1:27">
      <c r="A600" s="1153" t="str">
        <f>VLOOKUP('Cash Balance'!$C600,Table2[#All],MATCH('Cash Balance'!A$3,Acc_Char!$B$1:$I$1,0),0)</f>
        <v>BWID Tan Phu Trung</v>
      </c>
      <c r="B600" s="1154" t="str">
        <f>VLOOKUP('Cash Balance'!$C600,Table2[#All],MATCH('Cash Balance'!B$3,Acc_Char!$B$1:$I$1,0),0)</f>
        <v>VIETINBANK - TIEN SON</v>
      </c>
      <c r="C600" s="1190" t="s">
        <v>1213</v>
      </c>
      <c r="D600" s="1156" t="str">
        <f>VLOOKUP('Cash Balance'!$C600,Table2[#All],MATCH('Cash Balance'!D$3,Acc_Char!$B$1:$I$1,0),0)</f>
        <v>Saving Account</v>
      </c>
      <c r="E600" s="384" t="str">
        <f>VLOOKUP('Cash Balance'!$C600,Table2[#All],MATCH('Cash Balance'!E$3,Acc_Char!$B$1:$I$1,0),0)</f>
        <v>VND</v>
      </c>
      <c r="F600" s="1094" t="e">
        <f>VLOOKUP(C600,'Cash balance (BS)'!A:C,3,)</f>
        <v>#N/A</v>
      </c>
      <c r="G600" s="1191" t="e">
        <f t="shared" si="51"/>
        <v>#N/A</v>
      </c>
      <c r="H600" s="1318">
        <f>SUMIFS('Cash balance (Prior period)'!F:F,'Cash balance (Prior period)'!C:C,Table11[[#This Row],[ACCOUNT NUMBER]],'Cash balance (Prior period)'!E:E,Table11[[#This Row],[CURRENCY]])</f>
        <v>0</v>
      </c>
      <c r="I600" s="1318">
        <f>SUMIFS(Movement!$F$4:$F$2136,Movement!$M$4:$M$2136,"VND",Movement!$C$4:$C$2136,Table11[[#This Row],[ACCOUNT NUMBER]],Movement!$J$4:$J$2136,Table11[[#This Row],[ENTITY]],Movement!$O$4:$O$2136,'Cash Balance'!$A$2)</f>
        <v>0</v>
      </c>
      <c r="J600" s="1318">
        <f>SUMIFS(Movement!$G$4:$G$2136,Movement!$M$4:$M$2136,"VND",Movement!$C$4:$C$2136,Table11[[#This Row],[ACCOUNT NUMBER]],Movement!$J$4:$J$2136,Table11[[#This Row],[ENTITY]],Movement!$O$4:$O$2136,'Cash Balance'!$A$2)</f>
        <v>0</v>
      </c>
      <c r="K600" s="1084">
        <f>Table11[[#This Row],[CASH IN - CREDIT (VND)]]-Table11[[#This Row],[CASH OUT - DEBIT (VND)]]</f>
        <v>0</v>
      </c>
      <c r="L600" s="1095">
        <f t="shared" si="52"/>
        <v>0</v>
      </c>
      <c r="M600" s="1184" t="e">
        <f>VLOOKUP(C600,'Cash balance (BS)'!A:D,4,)</f>
        <v>#N/A</v>
      </c>
      <c r="N600" s="1095" t="e">
        <f>Table11[[#This Row],[CLOSING BALANCE (VND)2]]-Table11[[#This Row],[CB_BS (VND)]]</f>
        <v>#N/A</v>
      </c>
      <c r="O600" s="1094">
        <v>0</v>
      </c>
      <c r="P600" s="1095">
        <f t="shared" si="53"/>
        <v>0</v>
      </c>
      <c r="Q600" s="817">
        <f>SUMIFS('Cash balance (Prior period)'!G:G,'Cash balance (Prior period)'!C:C,Table11[[#This Row],[ACCOUNT NUMBER]],'Cash balance (Prior period)'!E:E,Table11[[#This Row],[CURRENCY]])</f>
        <v>0</v>
      </c>
      <c r="R600" s="817">
        <f>SUMIFS(Movement!$F$4:$F$2136,Movement!$M$4:$M$2136,"USD",Movement!$C$4:$C$2136,Table11[[#This Row],[ACCOUNT NUMBER]],Movement!$J$4:$J$2136,Table11[[#This Row],[ENTITY]],Movement!$O$4:$O$2136,'Cash Balance'!$A$2)</f>
        <v>0</v>
      </c>
      <c r="S600" s="817">
        <f>SUMIFS(Movement!$G$4:$G$2136,Movement!$M$4:$M$2136,"USD",Movement!$C$4:$C$2136,Table11[[#This Row],[ACCOUNT NUMBER]],Movement!$J$4:$J$2136,Table11[[#This Row],[ENTITY]],Movement!$O$4:$O$2136,'Cash Balance'!$A$2)</f>
        <v>0</v>
      </c>
      <c r="T600" s="1087">
        <f t="shared" si="54"/>
        <v>0</v>
      </c>
      <c r="U600" s="1089"/>
      <c r="V600" s="817">
        <f>Table11[[#This Row],[CLOSING BALANCE (USD)]]-Table11[[#This Row],[CB_BS (USD)]]</f>
        <v>0</v>
      </c>
      <c r="W600" s="1156" t="str">
        <f>VLOOKUP('Cash Balance'!$C600,Table2[#All],MATCH('Cash Balance'!W$3,Acc_Char!$B$1:$I$1,0),0)</f>
        <v>Subsidiaries</v>
      </c>
      <c r="X600" s="1156" t="str">
        <f>VLOOKUP(IFERROR(MID($Y600,1,FIND("-",$Y600)-2),$Y600),Table3[#All],2,0)</f>
        <v>VTB</v>
      </c>
      <c r="Y600" s="1156" t="str">
        <f>VLOOKUP($B600,Table4[#All],2,0)</f>
        <v>VIETINBANK - TIEN SON</v>
      </c>
      <c r="Z600" s="1151"/>
      <c r="AA600" s="49"/>
    </row>
    <row r="601" spans="1:27">
      <c r="A601" s="1153" t="str">
        <f>VLOOKUP('Cash Balance'!$C601,Table2[#All],MATCH('Cash Balance'!A$3,Acc_Char!$B$1:$I$1,0),0)</f>
        <v>BWID Tan Phu Trung</v>
      </c>
      <c r="B601" s="1154" t="str">
        <f>VLOOKUP('Cash Balance'!$C601,Table2[#All],MATCH('Cash Balance'!B$3,Acc_Char!$B$1:$I$1,0),0)</f>
        <v>KEB Hana - HCM</v>
      </c>
      <c r="C601" s="1190" t="s">
        <v>1214</v>
      </c>
      <c r="D601" s="1156" t="str">
        <f>VLOOKUP('Cash Balance'!$C601,Table2[#All],MATCH('Cash Balance'!D$3,Acc_Char!$B$1:$I$1,0),0)</f>
        <v>Current Account</v>
      </c>
      <c r="E601" s="384" t="str">
        <f>VLOOKUP('Cash Balance'!$C601,Table2[#All],MATCH('Cash Balance'!E$3,Acc_Char!$B$1:$I$1,0),0)</f>
        <v>VND</v>
      </c>
      <c r="F601" s="1094" t="e">
        <f>VLOOKUP(C601,'Cash balance (BS)'!A:C,3,)</f>
        <v>#N/A</v>
      </c>
      <c r="G601" s="1191" t="e">
        <f t="shared" si="51"/>
        <v>#N/A</v>
      </c>
      <c r="H601" s="1318">
        <f>SUMIFS('Cash balance (Prior period)'!F:F,'Cash balance (Prior period)'!C:C,Table11[[#This Row],[ACCOUNT NUMBER]],'Cash balance (Prior period)'!E:E,Table11[[#This Row],[CURRENCY]])</f>
        <v>36723090671</v>
      </c>
      <c r="I601" s="1318">
        <f>SUMIFS(Movement!$F$4:$F$2136,Movement!$M$4:$M$2136,"VND",Movement!$C$4:$C$2136,Table11[[#This Row],[ACCOUNT NUMBER]],Movement!$J$4:$J$2136,Table11[[#This Row],[ENTITY]],Movement!$O$4:$O$2136,'Cash Balance'!$A$2)</f>
        <v>0</v>
      </c>
      <c r="J601" s="1318">
        <f>SUMIFS(Movement!$G$4:$G$2136,Movement!$M$4:$M$2136,"VND",Movement!$C$4:$C$2136,Table11[[#This Row],[ACCOUNT NUMBER]],Movement!$J$4:$J$2136,Table11[[#This Row],[ENTITY]],Movement!$O$4:$O$2136,'Cash Balance'!$A$2)</f>
        <v>0</v>
      </c>
      <c r="K601" s="1084">
        <f>Table11[[#This Row],[CASH IN - CREDIT (VND)]]-Table11[[#This Row],[CASH OUT - DEBIT (VND)]]</f>
        <v>0</v>
      </c>
      <c r="L601" s="1095">
        <f t="shared" si="52"/>
        <v>36723090671</v>
      </c>
      <c r="M601" s="1184" t="e">
        <f>VLOOKUP(C601,'Cash balance (BS)'!A:D,4,)</f>
        <v>#N/A</v>
      </c>
      <c r="N601" s="1095" t="e">
        <f>Table11[[#This Row],[CLOSING BALANCE (VND)2]]-Table11[[#This Row],[CB_BS (VND)]]</f>
        <v>#N/A</v>
      </c>
      <c r="O601" s="1094">
        <v>0</v>
      </c>
      <c r="P601" s="1095">
        <f t="shared" si="53"/>
        <v>0</v>
      </c>
      <c r="Q601" s="817">
        <f>SUMIFS('Cash balance (Prior period)'!G:G,'Cash balance (Prior period)'!C:C,Table11[[#This Row],[ACCOUNT NUMBER]],'Cash balance (Prior period)'!E:E,Table11[[#This Row],[CURRENCY]])</f>
        <v>0</v>
      </c>
      <c r="R601" s="817">
        <f>SUMIFS(Movement!$F$4:$F$2136,Movement!$M$4:$M$2136,"USD",Movement!$C$4:$C$2136,Table11[[#This Row],[ACCOUNT NUMBER]],Movement!$J$4:$J$2136,Table11[[#This Row],[ENTITY]],Movement!$O$4:$O$2136,'Cash Balance'!$A$2)</f>
        <v>0</v>
      </c>
      <c r="S601" s="817">
        <f>SUMIFS(Movement!$G$4:$G$2136,Movement!$M$4:$M$2136,"USD",Movement!$C$4:$C$2136,Table11[[#This Row],[ACCOUNT NUMBER]],Movement!$J$4:$J$2136,Table11[[#This Row],[ENTITY]],Movement!$O$4:$O$2136,'Cash Balance'!$A$2)</f>
        <v>0</v>
      </c>
      <c r="T601" s="1087">
        <f t="shared" si="54"/>
        <v>0</v>
      </c>
      <c r="U601" s="1089"/>
      <c r="V601" s="817">
        <f>Table11[[#This Row],[CLOSING BALANCE (USD)]]-Table11[[#This Row],[CB_BS (USD)]]</f>
        <v>0</v>
      </c>
      <c r="W601" s="1156" t="str">
        <f>VLOOKUP('Cash Balance'!$C601,Table2[#All],MATCH('Cash Balance'!W$3,Acc_Char!$B$1:$I$1,0),0)</f>
        <v>Subsidiaries</v>
      </c>
      <c r="X601" s="1156" t="str">
        <f>VLOOKUP(IFERROR(MID($Y601,1,FIND("-",$Y601)-2),$Y601),Table3[#All],2,0)</f>
        <v>KEB Hana</v>
      </c>
      <c r="Y601" s="1156" t="str">
        <f>VLOOKUP($B601,Table4[#All],2,0)</f>
        <v>KEB Hana - HCM</v>
      </c>
      <c r="Z601" s="1151"/>
      <c r="AA601" s="49"/>
    </row>
    <row r="602" spans="1:27">
      <c r="A602" s="1153" t="str">
        <f>VLOOKUP('Cash Balance'!$C602,Table2[#All],MATCH('Cash Balance'!A$3,Acc_Char!$B$1:$I$1,0),0)</f>
        <v>BWID Tan Phu Trung</v>
      </c>
      <c r="B602" s="1154" t="str">
        <f>VLOOKUP('Cash Balance'!$C602,Table2[#All],MATCH('Cash Balance'!B$3,Acc_Char!$B$1:$I$1,0),0)</f>
        <v>KEB Hana - HCM</v>
      </c>
      <c r="C602" s="1190" t="s">
        <v>1215</v>
      </c>
      <c r="D602" s="1156" t="str">
        <f>VLOOKUP('Cash Balance'!$C602,Table2[#All],MATCH('Cash Balance'!D$3,Acc_Char!$B$1:$I$1,0),0)</f>
        <v>Saving Account</v>
      </c>
      <c r="E602" s="384" t="str">
        <f>VLOOKUP('Cash Balance'!$C602,Table2[#All],MATCH('Cash Balance'!E$3,Acc_Char!$B$1:$I$1,0),0)</f>
        <v>VND</v>
      </c>
      <c r="F602" s="1094" t="e">
        <f>VLOOKUP(C602,'Cash balance (BS)'!A:C,3,)</f>
        <v>#N/A</v>
      </c>
      <c r="G602" s="1191" t="e">
        <f t="shared" si="51"/>
        <v>#N/A</v>
      </c>
      <c r="H602" s="1318">
        <f>SUMIFS('Cash balance (Prior period)'!F:F,'Cash balance (Prior period)'!C:C,Table11[[#This Row],[ACCOUNT NUMBER]],'Cash balance (Prior period)'!E:E,Table11[[#This Row],[CURRENCY]])</f>
        <v>0</v>
      </c>
      <c r="I602" s="1318">
        <f>SUMIFS(Movement!$F$4:$F$2136,Movement!$M$4:$M$2136,"VND",Movement!$C$4:$C$2136,Table11[[#This Row],[ACCOUNT NUMBER]],Movement!$J$4:$J$2136,Table11[[#This Row],[ENTITY]],Movement!$O$4:$O$2136,'Cash Balance'!$A$2)</f>
        <v>0</v>
      </c>
      <c r="J602" s="1318">
        <f>SUMIFS(Movement!$G$4:$G$2136,Movement!$M$4:$M$2136,"VND",Movement!$C$4:$C$2136,Table11[[#This Row],[ACCOUNT NUMBER]],Movement!$J$4:$J$2136,Table11[[#This Row],[ENTITY]],Movement!$O$4:$O$2136,'Cash Balance'!$A$2)</f>
        <v>0</v>
      </c>
      <c r="K602" s="1084">
        <f>Table11[[#This Row],[CASH IN - CREDIT (VND)]]-Table11[[#This Row],[CASH OUT - DEBIT (VND)]]</f>
        <v>0</v>
      </c>
      <c r="L602" s="1095">
        <f t="shared" si="52"/>
        <v>0</v>
      </c>
      <c r="M602" s="1184" t="e">
        <f>VLOOKUP(C602,'Cash balance (BS)'!A:D,4,)</f>
        <v>#N/A</v>
      </c>
      <c r="N602" s="1095" t="e">
        <f>Table11[[#This Row],[CLOSING BALANCE (VND)2]]-Table11[[#This Row],[CB_BS (VND)]]</f>
        <v>#N/A</v>
      </c>
      <c r="O602" s="1094">
        <v>0</v>
      </c>
      <c r="P602" s="1095">
        <f t="shared" si="53"/>
        <v>0</v>
      </c>
      <c r="Q602" s="817">
        <f>SUMIFS('Cash balance (Prior period)'!G:G,'Cash balance (Prior period)'!C:C,Table11[[#This Row],[ACCOUNT NUMBER]],'Cash balance (Prior period)'!E:E,Table11[[#This Row],[CURRENCY]])</f>
        <v>0</v>
      </c>
      <c r="R602" s="817">
        <f>SUMIFS(Movement!$F$4:$F$2136,Movement!$M$4:$M$2136,"USD",Movement!$C$4:$C$2136,Table11[[#This Row],[ACCOUNT NUMBER]],Movement!$J$4:$J$2136,Table11[[#This Row],[ENTITY]],Movement!$O$4:$O$2136,'Cash Balance'!$A$2)</f>
        <v>0</v>
      </c>
      <c r="S602" s="817">
        <f>SUMIFS(Movement!$G$4:$G$2136,Movement!$M$4:$M$2136,"USD",Movement!$C$4:$C$2136,Table11[[#This Row],[ACCOUNT NUMBER]],Movement!$J$4:$J$2136,Table11[[#This Row],[ENTITY]],Movement!$O$4:$O$2136,'Cash Balance'!$A$2)</f>
        <v>0</v>
      </c>
      <c r="T602" s="1087">
        <f t="shared" si="54"/>
        <v>0</v>
      </c>
      <c r="U602" s="1089"/>
      <c r="V602" s="817">
        <f>Table11[[#This Row],[CLOSING BALANCE (USD)]]-Table11[[#This Row],[CB_BS (USD)]]</f>
        <v>0</v>
      </c>
      <c r="W602" s="1156" t="str">
        <f>VLOOKUP('Cash Balance'!$C602,Table2[#All],MATCH('Cash Balance'!W$3,Acc_Char!$B$1:$I$1,0),0)</f>
        <v>Subsidiaries</v>
      </c>
      <c r="X602" s="1156" t="str">
        <f>VLOOKUP(IFERROR(MID($Y602,1,FIND("-",$Y602)-2),$Y602),Table3[#All],2,0)</f>
        <v>KEB Hana</v>
      </c>
      <c r="Y602" s="1156" t="str">
        <f>VLOOKUP($B602,Table4[#All],2,0)</f>
        <v>KEB Hana - HCM</v>
      </c>
      <c r="Z602" s="1151"/>
      <c r="AA602" s="49"/>
    </row>
    <row r="603" spans="1:27">
      <c r="A603" s="1153" t="str">
        <f>VLOOKUP('Cash Balance'!$C603,Table2[#All],MATCH('Cash Balance'!A$3,Acc_Char!$B$1:$I$1,0),0)</f>
        <v>BWID HAI DUONG 3</v>
      </c>
      <c r="B603" s="1154" t="str">
        <f>VLOOKUP('Cash Balance'!$C603,Table2[#All],MATCH('Cash Balance'!B$3,Acc_Char!$B$1:$I$1,0),0)</f>
        <v>BIDV - THANH XUAN</v>
      </c>
      <c r="C603" s="1190" t="s">
        <v>1216</v>
      </c>
      <c r="D603" s="1156" t="str">
        <f>VLOOKUP('Cash Balance'!$C603,Table2[#All],MATCH('Cash Balance'!D$3,Acc_Char!$B$1:$I$1,0),0)</f>
        <v>Saving Account</v>
      </c>
      <c r="E603" s="384" t="str">
        <f>VLOOKUP('Cash Balance'!$C603,Table2[#All],MATCH('Cash Balance'!E$3,Acc_Char!$B$1:$I$1,0),0)</f>
        <v>VND</v>
      </c>
      <c r="F603" s="1094" t="e">
        <f>VLOOKUP(C603,'Cash balance (BS)'!A:C,3,)</f>
        <v>#N/A</v>
      </c>
      <c r="G603" s="1191" t="e">
        <f t="shared" si="51"/>
        <v>#N/A</v>
      </c>
      <c r="H603" s="1318">
        <f>SUMIFS('Cash balance (Prior period)'!F:F,'Cash balance (Prior period)'!C:C,Table11[[#This Row],[ACCOUNT NUMBER]],'Cash balance (Prior period)'!E:E,Table11[[#This Row],[CURRENCY]])</f>
        <v>0</v>
      </c>
      <c r="I603" s="1318">
        <f>SUMIFS(Movement!$F$4:$F$2136,Movement!$M$4:$M$2136,"VND",Movement!$C$4:$C$2136,Table11[[#This Row],[ACCOUNT NUMBER]],Movement!$J$4:$J$2136,Table11[[#This Row],[ENTITY]],Movement!$O$4:$O$2136,'Cash Balance'!$A$2)</f>
        <v>0</v>
      </c>
      <c r="J603" s="1318">
        <f>SUMIFS(Movement!$G$4:$G$2136,Movement!$M$4:$M$2136,"VND",Movement!$C$4:$C$2136,Table11[[#This Row],[ACCOUNT NUMBER]],Movement!$J$4:$J$2136,Table11[[#This Row],[ENTITY]],Movement!$O$4:$O$2136,'Cash Balance'!$A$2)</f>
        <v>0</v>
      </c>
      <c r="K603" s="1084">
        <f>Table11[[#This Row],[CASH IN - CREDIT (VND)]]-Table11[[#This Row],[CASH OUT - DEBIT (VND)]]</f>
        <v>0</v>
      </c>
      <c r="L603" s="1095">
        <f t="shared" si="52"/>
        <v>0</v>
      </c>
      <c r="M603" s="1184" t="e">
        <f>VLOOKUP(C603,'Cash balance (BS)'!A:D,4,)</f>
        <v>#N/A</v>
      </c>
      <c r="N603" s="1095" t="e">
        <f>Table11[[#This Row],[CLOSING BALANCE (VND)2]]-Table11[[#This Row],[CB_BS (VND)]]</f>
        <v>#N/A</v>
      </c>
      <c r="O603" s="1094">
        <v>0</v>
      </c>
      <c r="P603" s="1095">
        <f t="shared" si="53"/>
        <v>0</v>
      </c>
      <c r="Q603" s="817">
        <f>SUMIFS('Cash balance (Prior period)'!G:G,'Cash balance (Prior period)'!C:C,Table11[[#This Row],[ACCOUNT NUMBER]],'Cash balance (Prior period)'!E:E,Table11[[#This Row],[CURRENCY]])</f>
        <v>0</v>
      </c>
      <c r="R603" s="817">
        <f>SUMIFS(Movement!$F$4:$F$2136,Movement!$M$4:$M$2136,"USD",Movement!$C$4:$C$2136,Table11[[#This Row],[ACCOUNT NUMBER]],Movement!$J$4:$J$2136,Table11[[#This Row],[ENTITY]],Movement!$O$4:$O$2136,'Cash Balance'!$A$2)</f>
        <v>0</v>
      </c>
      <c r="S603" s="817">
        <f>SUMIFS(Movement!$G$4:$G$2136,Movement!$M$4:$M$2136,"USD",Movement!$C$4:$C$2136,Table11[[#This Row],[ACCOUNT NUMBER]],Movement!$J$4:$J$2136,Table11[[#This Row],[ENTITY]],Movement!$O$4:$O$2136,'Cash Balance'!$A$2)</f>
        <v>0</v>
      </c>
      <c r="T603" s="1087">
        <f t="shared" si="54"/>
        <v>0</v>
      </c>
      <c r="U603" s="1089"/>
      <c r="V603" s="817">
        <f>Table11[[#This Row],[CLOSING BALANCE (USD)]]-Table11[[#This Row],[CB_BS (USD)]]</f>
        <v>0</v>
      </c>
      <c r="W603" s="1156" t="str">
        <f>VLOOKUP('Cash Balance'!$C603,Table2[#All],MATCH('Cash Balance'!W$3,Acc_Char!$B$1:$I$1,0),0)</f>
        <v>Subsidiaries</v>
      </c>
      <c r="X603" s="1156" t="str">
        <f>VLOOKUP(IFERROR(MID($Y603,1,FIND("-",$Y603)-2),$Y603),Table3[#All],2,0)</f>
        <v>BIDV</v>
      </c>
      <c r="Y603" s="1156" t="str">
        <f>VLOOKUP($B603,Table4[#All],2,0)</f>
        <v>BIDV - THANH XUAN</v>
      </c>
      <c r="Z603" s="1151"/>
      <c r="AA603" s="49"/>
    </row>
    <row r="604" spans="1:27">
      <c r="A604" s="1153" t="str">
        <f>VLOOKUP('Cash Balance'!$C604,Table2[#All],MATCH('Cash Balance'!A$3,Acc_Char!$B$1:$I$1,0),0)</f>
        <v>NDV PROJECT CO</v>
      </c>
      <c r="B604" s="1154" t="str">
        <f>VLOOKUP('Cash Balance'!$C604,Table2[#All],MATCH('Cash Balance'!B$3,Acc_Char!$B$1:$I$1,0),0)</f>
        <v>BIDV - THANH XUAN</v>
      </c>
      <c r="C604" s="1190" t="s">
        <v>1217</v>
      </c>
      <c r="D604" s="1156" t="str">
        <f>VLOOKUP('Cash Balance'!$C604,Table2[#All],MATCH('Cash Balance'!D$3,Acc_Char!$B$1:$I$1,0),0)</f>
        <v>Saving Account</v>
      </c>
      <c r="E604" s="384" t="str">
        <f>VLOOKUP('Cash Balance'!$C604,Table2[#All],MATCH('Cash Balance'!E$3,Acc_Char!$B$1:$I$1,0),0)</f>
        <v>VND</v>
      </c>
      <c r="F604" s="1094" t="e">
        <f>VLOOKUP(C604,'Cash balance (BS)'!A:C,3,)</f>
        <v>#N/A</v>
      </c>
      <c r="G604" s="1191" t="e">
        <f t="shared" si="51"/>
        <v>#N/A</v>
      </c>
      <c r="H604" s="1318">
        <f>SUMIFS('Cash balance (Prior period)'!F:F,'Cash balance (Prior period)'!C:C,Table11[[#This Row],[ACCOUNT NUMBER]],'Cash balance (Prior period)'!E:E,Table11[[#This Row],[CURRENCY]])</f>
        <v>0</v>
      </c>
      <c r="I604" s="1318">
        <f>SUMIFS(Movement!$F$4:$F$2136,Movement!$M$4:$M$2136,"VND",Movement!$C$4:$C$2136,Table11[[#This Row],[ACCOUNT NUMBER]],Movement!$J$4:$J$2136,Table11[[#This Row],[ENTITY]],Movement!$O$4:$O$2136,'Cash Balance'!$A$2)</f>
        <v>0</v>
      </c>
      <c r="J604" s="1318">
        <f>SUMIFS(Movement!$G$4:$G$2136,Movement!$M$4:$M$2136,"VND",Movement!$C$4:$C$2136,Table11[[#This Row],[ACCOUNT NUMBER]],Movement!$J$4:$J$2136,Table11[[#This Row],[ENTITY]],Movement!$O$4:$O$2136,'Cash Balance'!$A$2)</f>
        <v>0</v>
      </c>
      <c r="K604" s="1084">
        <f>Table11[[#This Row],[CASH IN - CREDIT (VND)]]-Table11[[#This Row],[CASH OUT - DEBIT (VND)]]</f>
        <v>0</v>
      </c>
      <c r="L604" s="1095">
        <f t="shared" si="52"/>
        <v>0</v>
      </c>
      <c r="M604" s="1184" t="e">
        <f>VLOOKUP(C604,'Cash balance (BS)'!A:D,4,)</f>
        <v>#N/A</v>
      </c>
      <c r="N604" s="1095" t="e">
        <f>Table11[[#This Row],[CLOSING BALANCE (VND)2]]-Table11[[#This Row],[CB_BS (VND)]]</f>
        <v>#N/A</v>
      </c>
      <c r="O604" s="1094">
        <v>0</v>
      </c>
      <c r="P604" s="1095">
        <f t="shared" si="53"/>
        <v>0</v>
      </c>
      <c r="Q604" s="817">
        <f>SUMIFS('Cash balance (Prior period)'!G:G,'Cash balance (Prior period)'!C:C,Table11[[#This Row],[ACCOUNT NUMBER]],'Cash balance (Prior period)'!E:E,Table11[[#This Row],[CURRENCY]])</f>
        <v>0</v>
      </c>
      <c r="R604" s="817">
        <f>SUMIFS(Movement!$F$4:$F$2136,Movement!$M$4:$M$2136,"USD",Movement!$C$4:$C$2136,Table11[[#This Row],[ACCOUNT NUMBER]],Movement!$J$4:$J$2136,Table11[[#This Row],[ENTITY]],Movement!$O$4:$O$2136,'Cash Balance'!$A$2)</f>
        <v>0</v>
      </c>
      <c r="S604" s="817">
        <f>SUMIFS(Movement!$G$4:$G$2136,Movement!$M$4:$M$2136,"USD",Movement!$C$4:$C$2136,Table11[[#This Row],[ACCOUNT NUMBER]],Movement!$J$4:$J$2136,Table11[[#This Row],[ENTITY]],Movement!$O$4:$O$2136,'Cash Balance'!$A$2)</f>
        <v>0</v>
      </c>
      <c r="T604" s="1087">
        <f t="shared" si="54"/>
        <v>0</v>
      </c>
      <c r="U604" s="1089"/>
      <c r="V604" s="817">
        <f>Table11[[#This Row],[CLOSING BALANCE (USD)]]-Table11[[#This Row],[CB_BS (USD)]]</f>
        <v>0</v>
      </c>
      <c r="W604" s="1156" t="str">
        <f>VLOOKUP('Cash Balance'!$C604,Table2[#All],MATCH('Cash Balance'!W$3,Acc_Char!$B$1:$I$1,0),0)</f>
        <v>Subsidiaries</v>
      </c>
      <c r="X604" s="1156" t="str">
        <f>VLOOKUP(IFERROR(MID($Y604,1,FIND("-",$Y604)-2),$Y604),Table3[#All],2,0)</f>
        <v>BIDV</v>
      </c>
      <c r="Y604" s="1156" t="str">
        <f>VLOOKUP($B604,Table4[#All],2,0)</f>
        <v>BIDV - THANH XUAN</v>
      </c>
      <c r="Z604" s="1151"/>
      <c r="AA604" s="49"/>
    </row>
    <row r="605" spans="1:27">
      <c r="A605" s="1153" t="str">
        <f>VLOOKUP('Cash Balance'!$C605,Table2[#All],MATCH('Cash Balance'!A$3,Acc_Char!$B$1:$I$1,0),0)</f>
        <v>BWID NHON TRACH</v>
      </c>
      <c r="B605" s="1154" t="str">
        <f>VLOOKUP('Cash Balance'!$C605,Table2[#All],MATCH('Cash Balance'!B$3,Acc_Char!$B$1:$I$1,0),0)</f>
        <v>VIETCOMBANK - HCM</v>
      </c>
      <c r="C605" s="1190" t="s">
        <v>1218</v>
      </c>
      <c r="D605" s="1156" t="str">
        <f>VLOOKUP('Cash Balance'!$C605,Table2[#All],MATCH('Cash Balance'!D$3,Acc_Char!$B$1:$I$1,0),0)</f>
        <v>Saving Account</v>
      </c>
      <c r="E605" s="384" t="str">
        <f>VLOOKUP('Cash Balance'!$C605,Table2[#All],MATCH('Cash Balance'!E$3,Acc_Char!$B$1:$I$1,0),0)</f>
        <v>VND</v>
      </c>
      <c r="F605" s="1094" t="e">
        <f>VLOOKUP(C605,'Cash balance (BS)'!A:C,3,)</f>
        <v>#N/A</v>
      </c>
      <c r="G605" s="1191" t="e">
        <f t="shared" si="51"/>
        <v>#N/A</v>
      </c>
      <c r="H605" s="1318">
        <f>SUMIFS('Cash balance (Prior period)'!F:F,'Cash balance (Prior period)'!C:C,Table11[[#This Row],[ACCOUNT NUMBER]],'Cash balance (Prior period)'!E:E,Table11[[#This Row],[CURRENCY]])</f>
        <v>0</v>
      </c>
      <c r="I605" s="1318">
        <f>SUMIFS(Movement!$F$4:$F$2136,Movement!$M$4:$M$2136,"VND",Movement!$C$4:$C$2136,Table11[[#This Row],[ACCOUNT NUMBER]],Movement!$J$4:$J$2136,Table11[[#This Row],[ENTITY]],Movement!$O$4:$O$2136,'Cash Balance'!$A$2)</f>
        <v>0</v>
      </c>
      <c r="J605" s="1318">
        <f>SUMIFS(Movement!$G$4:$G$2136,Movement!$M$4:$M$2136,"VND",Movement!$C$4:$C$2136,Table11[[#This Row],[ACCOUNT NUMBER]],Movement!$J$4:$J$2136,Table11[[#This Row],[ENTITY]],Movement!$O$4:$O$2136,'Cash Balance'!$A$2)</f>
        <v>0</v>
      </c>
      <c r="K605" s="1084">
        <f>Table11[[#This Row],[CASH IN - CREDIT (VND)]]-Table11[[#This Row],[CASH OUT - DEBIT (VND)]]</f>
        <v>0</v>
      </c>
      <c r="L605" s="1095">
        <f t="shared" si="52"/>
        <v>0</v>
      </c>
      <c r="M605" s="1184" t="e">
        <f>VLOOKUP(C605,'Cash balance (BS)'!A:D,4,)</f>
        <v>#N/A</v>
      </c>
      <c r="N605" s="1095" t="e">
        <f>Table11[[#This Row],[CLOSING BALANCE (VND)2]]-Table11[[#This Row],[CB_BS (VND)]]</f>
        <v>#N/A</v>
      </c>
      <c r="O605" s="1094">
        <v>0</v>
      </c>
      <c r="P605" s="1095">
        <f t="shared" si="53"/>
        <v>0</v>
      </c>
      <c r="Q605" s="817">
        <f>SUMIFS('Cash balance (Prior period)'!G:G,'Cash balance (Prior period)'!C:C,Table11[[#This Row],[ACCOUNT NUMBER]],'Cash balance (Prior period)'!E:E,Table11[[#This Row],[CURRENCY]])</f>
        <v>0</v>
      </c>
      <c r="R605" s="817">
        <f>SUMIFS(Movement!$F$4:$F$2136,Movement!$M$4:$M$2136,"USD",Movement!$C$4:$C$2136,Table11[[#This Row],[ACCOUNT NUMBER]],Movement!$J$4:$J$2136,Table11[[#This Row],[ENTITY]],Movement!$O$4:$O$2136,'Cash Balance'!$A$2)</f>
        <v>0</v>
      </c>
      <c r="S605" s="817">
        <f>SUMIFS(Movement!$G$4:$G$2136,Movement!$M$4:$M$2136,"USD",Movement!$C$4:$C$2136,Table11[[#This Row],[ACCOUNT NUMBER]],Movement!$J$4:$J$2136,Table11[[#This Row],[ENTITY]],Movement!$O$4:$O$2136,'Cash Balance'!$A$2)</f>
        <v>0</v>
      </c>
      <c r="T605" s="1087">
        <f t="shared" si="54"/>
        <v>0</v>
      </c>
      <c r="U605" s="1089"/>
      <c r="V605" s="817">
        <f>Table11[[#This Row],[CLOSING BALANCE (USD)]]-Table11[[#This Row],[CB_BS (USD)]]</f>
        <v>0</v>
      </c>
      <c r="W605" s="1156" t="str">
        <f>VLOOKUP('Cash Balance'!$C605,Table2[#All],MATCH('Cash Balance'!W$3,Acc_Char!$B$1:$I$1,0),0)</f>
        <v>Subsidiaries</v>
      </c>
      <c r="X605" s="1156" t="str">
        <f>VLOOKUP(IFERROR(MID($Y605,1,FIND("-",$Y605)-2),$Y605),Table3[#All],2,0)</f>
        <v>VCB</v>
      </c>
      <c r="Y605" s="1156" t="str">
        <f>VLOOKUP($B605,Table4[#All],2,0)</f>
        <v>VIETCOMBANK - HCM</v>
      </c>
      <c r="Z605" s="1151"/>
      <c r="AA605" s="49"/>
    </row>
    <row r="606" spans="1:27">
      <c r="A606" s="1153" t="str">
        <f>VLOOKUP('Cash Balance'!$C606,Table2[#All],MATCH('Cash Balance'!A$3,Acc_Char!$B$1:$I$1,0),0)</f>
        <v>BWID LOGISTICS TAN UYEN</v>
      </c>
      <c r="B606" s="1154" t="str">
        <f>VLOOKUP('Cash Balance'!$C606,Table2[#All],MATCH('Cash Balance'!B$3,Acc_Char!$B$1:$I$1,0),0)</f>
        <v>VIETCOMBANK - BA DINH</v>
      </c>
      <c r="C606" s="1190" t="s">
        <v>1219</v>
      </c>
      <c r="D606" s="1156" t="str">
        <f>VLOOKUP('Cash Balance'!$C606,Table2[#All],MATCH('Cash Balance'!D$3,Acc_Char!$B$1:$I$1,0),0)</f>
        <v>Saving Account</v>
      </c>
      <c r="E606" s="384" t="str">
        <f>VLOOKUP('Cash Balance'!$C606,Table2[#All],MATCH('Cash Balance'!E$3,Acc_Char!$B$1:$I$1,0),0)</f>
        <v>VND</v>
      </c>
      <c r="F606" s="1094" t="e">
        <f>VLOOKUP(C606,'Cash balance (BS)'!A:C,3,)</f>
        <v>#N/A</v>
      </c>
      <c r="G606" s="1191" t="e">
        <f t="shared" si="51"/>
        <v>#N/A</v>
      </c>
      <c r="H606" s="1318">
        <f>SUMIFS('Cash balance (Prior period)'!F:F,'Cash balance (Prior period)'!C:C,Table11[[#This Row],[ACCOUNT NUMBER]],'Cash balance (Prior period)'!E:E,Table11[[#This Row],[CURRENCY]])</f>
        <v>0</v>
      </c>
      <c r="I606" s="1318">
        <f>SUMIFS(Movement!$F$4:$F$2136,Movement!$M$4:$M$2136,"VND",Movement!$C$4:$C$2136,Table11[[#This Row],[ACCOUNT NUMBER]],Movement!$J$4:$J$2136,Table11[[#This Row],[ENTITY]],Movement!$O$4:$O$2136,'Cash Balance'!$A$2)</f>
        <v>0</v>
      </c>
      <c r="J606" s="1318">
        <f>SUMIFS(Movement!$G$4:$G$2136,Movement!$M$4:$M$2136,"VND",Movement!$C$4:$C$2136,Table11[[#This Row],[ACCOUNT NUMBER]],Movement!$J$4:$J$2136,Table11[[#This Row],[ENTITY]],Movement!$O$4:$O$2136,'Cash Balance'!$A$2)</f>
        <v>0</v>
      </c>
      <c r="K606" s="1084">
        <f>Table11[[#This Row],[CASH IN - CREDIT (VND)]]-Table11[[#This Row],[CASH OUT - DEBIT (VND)]]</f>
        <v>0</v>
      </c>
      <c r="L606" s="1095">
        <f t="shared" si="52"/>
        <v>0</v>
      </c>
      <c r="M606" s="1184" t="e">
        <f>VLOOKUP(C606,'Cash balance (BS)'!A:D,4,)</f>
        <v>#N/A</v>
      </c>
      <c r="N606" s="1095" t="e">
        <f>Table11[[#This Row],[CLOSING BALANCE (VND)2]]-Table11[[#This Row],[CB_BS (VND)]]</f>
        <v>#N/A</v>
      </c>
      <c r="O606" s="1094">
        <v>0</v>
      </c>
      <c r="P606" s="1095">
        <f t="shared" si="53"/>
        <v>0</v>
      </c>
      <c r="Q606" s="817">
        <f>SUMIFS('Cash balance (Prior period)'!G:G,'Cash balance (Prior period)'!C:C,Table11[[#This Row],[ACCOUNT NUMBER]],'Cash balance (Prior period)'!E:E,Table11[[#This Row],[CURRENCY]])</f>
        <v>0</v>
      </c>
      <c r="R606" s="817">
        <f>SUMIFS(Movement!$F$4:$F$2136,Movement!$M$4:$M$2136,"USD",Movement!$C$4:$C$2136,Table11[[#This Row],[ACCOUNT NUMBER]],Movement!$J$4:$J$2136,Table11[[#This Row],[ENTITY]],Movement!$O$4:$O$2136,'Cash Balance'!$A$2)</f>
        <v>0</v>
      </c>
      <c r="S606" s="817">
        <f>SUMIFS(Movement!$G$4:$G$2136,Movement!$M$4:$M$2136,"USD",Movement!$C$4:$C$2136,Table11[[#This Row],[ACCOUNT NUMBER]],Movement!$J$4:$J$2136,Table11[[#This Row],[ENTITY]],Movement!$O$4:$O$2136,'Cash Balance'!$A$2)</f>
        <v>0</v>
      </c>
      <c r="T606" s="1087">
        <f t="shared" si="54"/>
        <v>0</v>
      </c>
      <c r="U606" s="1089"/>
      <c r="V606" s="817">
        <f>Table11[[#This Row],[CLOSING BALANCE (USD)]]-Table11[[#This Row],[CB_BS (USD)]]</f>
        <v>0</v>
      </c>
      <c r="W606" s="1156" t="str">
        <f>VLOOKUP('Cash Balance'!$C606,Table2[#All],MATCH('Cash Balance'!W$3,Acc_Char!$B$1:$I$1,0),0)</f>
        <v>Subsidiaries</v>
      </c>
      <c r="X606" s="1156" t="str">
        <f>VLOOKUP(IFERROR(MID($Y606,1,FIND("-",$Y606)-2),$Y606),Table3[#All],2,0)</f>
        <v>VCB</v>
      </c>
      <c r="Y606" s="1156" t="str">
        <f>VLOOKUP($B606,Table4[#All],2,0)</f>
        <v>VIETCOMBANK - BA DINH</v>
      </c>
      <c r="Z606" s="1151"/>
      <c r="AA606" s="49"/>
    </row>
    <row r="607" spans="1:27">
      <c r="A607" s="1153" t="str">
        <f>VLOOKUP('Cash Balance'!$C607,Table2[#All],MATCH('Cash Balance'!A$3,Acc_Char!$B$1:$I$1,0),0)</f>
        <v>BW NAM HAI</v>
      </c>
      <c r="B607" s="1154" t="str">
        <f>VLOOKUP('Cash Balance'!$C607,Table2[#All],MATCH('Cash Balance'!B$3,Acc_Char!$B$1:$I$1,0),0)</f>
        <v>VIETCOMBANK - BA DINH</v>
      </c>
      <c r="C607" s="1190" t="s">
        <v>1220</v>
      </c>
      <c r="D607" s="1156" t="str">
        <f>VLOOKUP('Cash Balance'!$C607,Table2[#All],MATCH('Cash Balance'!D$3,Acc_Char!$B$1:$I$1,0),0)</f>
        <v>Saving Account</v>
      </c>
      <c r="E607" s="384" t="str">
        <f>VLOOKUP('Cash Balance'!$C607,Table2[#All],MATCH('Cash Balance'!E$3,Acc_Char!$B$1:$I$1,0),0)</f>
        <v>VND</v>
      </c>
      <c r="F607" s="1094" t="e">
        <f>VLOOKUP(C607,'Cash balance (BS)'!A:C,3,)</f>
        <v>#N/A</v>
      </c>
      <c r="G607" s="1191" t="e">
        <f t="shared" si="51"/>
        <v>#N/A</v>
      </c>
      <c r="H607" s="1318">
        <f>SUMIFS('Cash balance (Prior period)'!F:F,'Cash balance (Prior period)'!C:C,Table11[[#This Row],[ACCOUNT NUMBER]],'Cash balance (Prior period)'!E:E,Table11[[#This Row],[CURRENCY]])</f>
        <v>3000000000</v>
      </c>
      <c r="I607" s="1318">
        <f>SUMIFS(Movement!$F$4:$F$2136,Movement!$M$4:$M$2136,"VND",Movement!$C$4:$C$2136,Table11[[#This Row],[ACCOUNT NUMBER]],Movement!$J$4:$J$2136,Table11[[#This Row],[ENTITY]],Movement!$O$4:$O$2136,'Cash Balance'!$A$2)</f>
        <v>0</v>
      </c>
      <c r="J607" s="1318">
        <f>SUMIFS(Movement!$G$4:$G$2136,Movement!$M$4:$M$2136,"VND",Movement!$C$4:$C$2136,Table11[[#This Row],[ACCOUNT NUMBER]],Movement!$J$4:$J$2136,Table11[[#This Row],[ENTITY]],Movement!$O$4:$O$2136,'Cash Balance'!$A$2)</f>
        <v>0</v>
      </c>
      <c r="K607" s="1084">
        <f>Table11[[#This Row],[CASH IN - CREDIT (VND)]]-Table11[[#This Row],[CASH OUT - DEBIT (VND)]]</f>
        <v>0</v>
      </c>
      <c r="L607" s="1095">
        <f t="shared" si="52"/>
        <v>3000000000</v>
      </c>
      <c r="M607" s="1184" t="e">
        <f>VLOOKUP(C607,'Cash balance (BS)'!A:D,4,)</f>
        <v>#N/A</v>
      </c>
      <c r="N607" s="1095" t="e">
        <f>Table11[[#This Row],[CLOSING BALANCE (VND)2]]-Table11[[#This Row],[CB_BS (VND)]]</f>
        <v>#N/A</v>
      </c>
      <c r="O607" s="1094">
        <v>0</v>
      </c>
      <c r="P607" s="1095">
        <f t="shared" si="53"/>
        <v>0</v>
      </c>
      <c r="Q607" s="817">
        <f>SUMIFS('Cash balance (Prior period)'!G:G,'Cash balance (Prior period)'!C:C,Table11[[#This Row],[ACCOUNT NUMBER]],'Cash balance (Prior period)'!E:E,Table11[[#This Row],[CURRENCY]])</f>
        <v>0</v>
      </c>
      <c r="R607" s="817">
        <f>SUMIFS(Movement!$F$4:$F$2136,Movement!$M$4:$M$2136,"USD",Movement!$C$4:$C$2136,Table11[[#This Row],[ACCOUNT NUMBER]],Movement!$J$4:$J$2136,Table11[[#This Row],[ENTITY]],Movement!$O$4:$O$2136,'Cash Balance'!$A$2)</f>
        <v>0</v>
      </c>
      <c r="S607" s="817">
        <f>SUMIFS(Movement!$G$4:$G$2136,Movement!$M$4:$M$2136,"USD",Movement!$C$4:$C$2136,Table11[[#This Row],[ACCOUNT NUMBER]],Movement!$J$4:$J$2136,Table11[[#This Row],[ENTITY]],Movement!$O$4:$O$2136,'Cash Balance'!$A$2)</f>
        <v>0</v>
      </c>
      <c r="T607" s="1087">
        <f t="shared" si="54"/>
        <v>0</v>
      </c>
      <c r="U607" s="1089"/>
      <c r="V607" s="817">
        <f>Table11[[#This Row],[CLOSING BALANCE (USD)]]-Table11[[#This Row],[CB_BS (USD)]]</f>
        <v>0</v>
      </c>
      <c r="W607" s="1156" t="str">
        <f>VLOOKUP('Cash Balance'!$C607,Table2[#All],MATCH('Cash Balance'!W$3,Acc_Char!$B$1:$I$1,0),0)</f>
        <v>Subsidiaries</v>
      </c>
      <c r="X607" s="1156" t="str">
        <f>VLOOKUP(IFERROR(MID($Y607,1,FIND("-",$Y607)-2),$Y607),Table3[#All],2,0)</f>
        <v>VCB</v>
      </c>
      <c r="Y607" s="1156" t="str">
        <f>VLOOKUP($B607,Table4[#All],2,0)</f>
        <v>VIETCOMBANK - BA DINH</v>
      </c>
      <c r="Z607" s="1151"/>
      <c r="AA607" s="49"/>
    </row>
    <row r="608" spans="1:27">
      <c r="A608" s="1153" t="str">
        <f>VLOOKUP('Cash Balance'!$C608,Table2[#All],MATCH('Cash Balance'!A$3,Acc_Char!$B$1:$I$1,0),0)</f>
        <v>BW NAM HAI</v>
      </c>
      <c r="B608" s="1154" t="str">
        <f>VLOOKUP('Cash Balance'!$C608,Table2[#All],MATCH('Cash Balance'!B$3,Acc_Char!$B$1:$I$1,0),0)</f>
        <v>VIETCOMBANK - BA DINH</v>
      </c>
      <c r="C608" s="1190" t="s">
        <v>1221</v>
      </c>
      <c r="D608" s="1156" t="str">
        <f>VLOOKUP('Cash Balance'!$C608,Table2[#All],MATCH('Cash Balance'!D$3,Acc_Char!$B$1:$I$1,0),0)</f>
        <v>Saving Account</v>
      </c>
      <c r="E608" s="384" t="str">
        <f>VLOOKUP('Cash Balance'!$C608,Table2[#All],MATCH('Cash Balance'!E$3,Acc_Char!$B$1:$I$1,0),0)</f>
        <v>VND</v>
      </c>
      <c r="F608" s="1094" t="e">
        <f>VLOOKUP(C608,'Cash balance (BS)'!A:C,3,)</f>
        <v>#N/A</v>
      </c>
      <c r="G608" s="1191" t="e">
        <f t="shared" si="51"/>
        <v>#N/A</v>
      </c>
      <c r="H608" s="1318">
        <f>SUMIFS('Cash balance (Prior period)'!F:F,'Cash balance (Prior period)'!C:C,Table11[[#This Row],[ACCOUNT NUMBER]],'Cash balance (Prior period)'!E:E,Table11[[#This Row],[CURRENCY]])</f>
        <v>0</v>
      </c>
      <c r="I608" s="1318">
        <f>SUMIFS(Movement!$F$4:$F$2136,Movement!$M$4:$M$2136,"VND",Movement!$C$4:$C$2136,Table11[[#This Row],[ACCOUNT NUMBER]],Movement!$J$4:$J$2136,Table11[[#This Row],[ENTITY]],Movement!$O$4:$O$2136,'Cash Balance'!$A$2)</f>
        <v>0</v>
      </c>
      <c r="J608" s="1318">
        <f>SUMIFS(Movement!$G$4:$G$2136,Movement!$M$4:$M$2136,"VND",Movement!$C$4:$C$2136,Table11[[#This Row],[ACCOUNT NUMBER]],Movement!$J$4:$J$2136,Table11[[#This Row],[ENTITY]],Movement!$O$4:$O$2136,'Cash Balance'!$A$2)</f>
        <v>0</v>
      </c>
      <c r="K608" s="1084">
        <f>Table11[[#This Row],[CASH IN - CREDIT (VND)]]-Table11[[#This Row],[CASH OUT - DEBIT (VND)]]</f>
        <v>0</v>
      </c>
      <c r="L608" s="1095">
        <f t="shared" si="52"/>
        <v>0</v>
      </c>
      <c r="M608" s="1184" t="e">
        <f>VLOOKUP(C608,'Cash balance (BS)'!A:D,4,)</f>
        <v>#N/A</v>
      </c>
      <c r="N608" s="1095" t="e">
        <f>Table11[[#This Row],[CLOSING BALANCE (VND)2]]-Table11[[#This Row],[CB_BS (VND)]]</f>
        <v>#N/A</v>
      </c>
      <c r="O608" s="1094">
        <v>0</v>
      </c>
      <c r="P608" s="1095">
        <f t="shared" si="53"/>
        <v>0</v>
      </c>
      <c r="Q608" s="817">
        <f>SUMIFS('Cash balance (Prior period)'!G:G,'Cash balance (Prior period)'!C:C,Table11[[#This Row],[ACCOUNT NUMBER]],'Cash balance (Prior period)'!E:E,Table11[[#This Row],[CURRENCY]])</f>
        <v>0</v>
      </c>
      <c r="R608" s="817">
        <f>SUMIFS(Movement!$F$4:$F$2136,Movement!$M$4:$M$2136,"USD",Movement!$C$4:$C$2136,Table11[[#This Row],[ACCOUNT NUMBER]],Movement!$J$4:$J$2136,Table11[[#This Row],[ENTITY]],Movement!$O$4:$O$2136,'Cash Balance'!$A$2)</f>
        <v>0</v>
      </c>
      <c r="S608" s="817">
        <f>SUMIFS(Movement!$G$4:$G$2136,Movement!$M$4:$M$2136,"USD",Movement!$C$4:$C$2136,Table11[[#This Row],[ACCOUNT NUMBER]],Movement!$J$4:$J$2136,Table11[[#This Row],[ENTITY]],Movement!$O$4:$O$2136,'Cash Balance'!$A$2)</f>
        <v>0</v>
      </c>
      <c r="T608" s="1087">
        <f t="shared" si="54"/>
        <v>0</v>
      </c>
      <c r="U608" s="1089"/>
      <c r="V608" s="817">
        <f>Table11[[#This Row],[CLOSING BALANCE (USD)]]-Table11[[#This Row],[CB_BS (USD)]]</f>
        <v>0</v>
      </c>
      <c r="W608" s="1156" t="str">
        <f>VLOOKUP('Cash Balance'!$C608,Table2[#All],MATCH('Cash Balance'!W$3,Acc_Char!$B$1:$I$1,0),0)</f>
        <v>Subsidiaries</v>
      </c>
      <c r="X608" s="1156" t="str">
        <f>VLOOKUP(IFERROR(MID($Y608,1,FIND("-",$Y608)-2),$Y608),Table3[#All],2,0)</f>
        <v>VCB</v>
      </c>
      <c r="Y608" s="1156" t="str">
        <f>VLOOKUP($B608,Table4[#All],2,0)</f>
        <v>VIETCOMBANK - BA DINH</v>
      </c>
      <c r="Z608" s="1151"/>
      <c r="AA608" s="49"/>
    </row>
    <row r="609" spans="1:27">
      <c r="A609" s="1153" t="str">
        <f>VLOOKUP('Cash Balance'!$C609,Table2[#All],MATCH('Cash Balance'!A$3,Acc_Char!$B$1:$I$1,0),0)</f>
        <v>BWID TAN DONG HIEP</v>
      </c>
      <c r="B609" s="1154" t="str">
        <f>VLOOKUP('Cash Balance'!$C609,Table2[#All],MATCH('Cash Balance'!B$3,Acc_Char!$B$1:$I$1,0),0)</f>
        <v>SINOPAC</v>
      </c>
      <c r="C609" s="1190" t="s">
        <v>1222</v>
      </c>
      <c r="D609" s="1156" t="str">
        <f>VLOOKUP('Cash Balance'!$C609,Table2[#All],MATCH('Cash Balance'!D$3,Acc_Char!$B$1:$I$1,0),0)</f>
        <v>Saving Account</v>
      </c>
      <c r="E609" s="384" t="str">
        <f>VLOOKUP('Cash Balance'!$C609,Table2[#All],MATCH('Cash Balance'!E$3,Acc_Char!$B$1:$I$1,0),0)</f>
        <v>VND</v>
      </c>
      <c r="F609" s="1094" t="e">
        <f>VLOOKUP(C609,'Cash balance (BS)'!A:C,3,)</f>
        <v>#N/A</v>
      </c>
      <c r="G609" s="1191" t="e">
        <f t="shared" si="51"/>
        <v>#N/A</v>
      </c>
      <c r="H609" s="1318">
        <f>SUMIFS('Cash balance (Prior period)'!F:F,'Cash balance (Prior period)'!C:C,Table11[[#This Row],[ACCOUNT NUMBER]],'Cash balance (Prior period)'!E:E,Table11[[#This Row],[CURRENCY]])</f>
        <v>0</v>
      </c>
      <c r="I609" s="1318">
        <f>SUMIFS(Movement!$F$4:$F$2136,Movement!$M$4:$M$2136,"VND",Movement!$C$4:$C$2136,Table11[[#This Row],[ACCOUNT NUMBER]],Movement!$J$4:$J$2136,Table11[[#This Row],[ENTITY]],Movement!$O$4:$O$2136,'Cash Balance'!$A$2)</f>
        <v>0</v>
      </c>
      <c r="J609" s="1318">
        <f>SUMIFS(Movement!$G$4:$G$2136,Movement!$M$4:$M$2136,"VND",Movement!$C$4:$C$2136,Table11[[#This Row],[ACCOUNT NUMBER]],Movement!$J$4:$J$2136,Table11[[#This Row],[ENTITY]],Movement!$O$4:$O$2136,'Cash Balance'!$A$2)</f>
        <v>0</v>
      </c>
      <c r="K609" s="1084">
        <f>Table11[[#This Row],[CASH IN - CREDIT (VND)]]-Table11[[#This Row],[CASH OUT - DEBIT (VND)]]</f>
        <v>0</v>
      </c>
      <c r="L609" s="1095">
        <f t="shared" si="52"/>
        <v>0</v>
      </c>
      <c r="M609" s="1184" t="e">
        <f>VLOOKUP(C609,'Cash balance (BS)'!A:D,4,)</f>
        <v>#N/A</v>
      </c>
      <c r="N609" s="1095" t="e">
        <f>Table11[[#This Row],[CLOSING BALANCE (VND)2]]-Table11[[#This Row],[CB_BS (VND)]]</f>
        <v>#N/A</v>
      </c>
      <c r="O609" s="1094">
        <v>0</v>
      </c>
      <c r="P609" s="1095">
        <f t="shared" si="53"/>
        <v>0</v>
      </c>
      <c r="Q609" s="817">
        <f>SUMIFS('Cash balance (Prior period)'!G:G,'Cash balance (Prior period)'!C:C,Table11[[#This Row],[ACCOUNT NUMBER]],'Cash balance (Prior period)'!E:E,Table11[[#This Row],[CURRENCY]])</f>
        <v>0</v>
      </c>
      <c r="R609" s="817">
        <f>SUMIFS(Movement!$F$4:$F$2136,Movement!$M$4:$M$2136,"USD",Movement!$C$4:$C$2136,Table11[[#This Row],[ACCOUNT NUMBER]],Movement!$J$4:$J$2136,Table11[[#This Row],[ENTITY]],Movement!$O$4:$O$2136,'Cash Balance'!$A$2)</f>
        <v>0</v>
      </c>
      <c r="S609" s="817">
        <f>SUMIFS(Movement!$G$4:$G$2136,Movement!$M$4:$M$2136,"USD",Movement!$C$4:$C$2136,Table11[[#This Row],[ACCOUNT NUMBER]],Movement!$J$4:$J$2136,Table11[[#This Row],[ENTITY]],Movement!$O$4:$O$2136,'Cash Balance'!$A$2)</f>
        <v>0</v>
      </c>
      <c r="T609" s="1087">
        <f t="shared" si="54"/>
        <v>0</v>
      </c>
      <c r="U609" s="1089"/>
      <c r="V609" s="817">
        <f>Table11[[#This Row],[CLOSING BALANCE (USD)]]-Table11[[#This Row],[CB_BS (USD)]]</f>
        <v>0</v>
      </c>
      <c r="W609" s="1156" t="str">
        <f>VLOOKUP('Cash Balance'!$C609,Table2[#All],MATCH('Cash Balance'!W$3,Acc_Char!$B$1:$I$1,0),0)</f>
        <v>Subsidiaries</v>
      </c>
      <c r="X609" s="1156" t="str">
        <f>VLOOKUP(IFERROR(MID($Y609,1,FIND("-",$Y609)-2),$Y609),Table3[#All],2,0)</f>
        <v>SNP</v>
      </c>
      <c r="Y609" s="1156" t="str">
        <f>VLOOKUP($B609,Table4[#All],2,0)</f>
        <v>SINOPAC</v>
      </c>
      <c r="Z609" s="1151"/>
      <c r="AA609" s="49"/>
    </row>
    <row r="610" spans="1:27">
      <c r="A610" s="1153" t="str">
        <f>VLOOKUP('Cash Balance'!$C610,Table2[#All],MATCH('Cash Balance'!A$3,Acc_Char!$B$1:$I$1,0),0)</f>
        <v>BWID BINH DUONG</v>
      </c>
      <c r="B610" s="1154" t="str">
        <f>VLOOKUP('Cash Balance'!$C610,Table2[#All],MATCH('Cash Balance'!B$3,Acc_Char!$B$1:$I$1,0),0)</f>
        <v>SINOPAC</v>
      </c>
      <c r="C610" s="1190" t="s">
        <v>1223</v>
      </c>
      <c r="D610" s="1156" t="str">
        <f>VLOOKUP('Cash Balance'!$C610,Table2[#All],MATCH('Cash Balance'!D$3,Acc_Char!$B$1:$I$1,0),0)</f>
        <v>Saving Account</v>
      </c>
      <c r="E610" s="384" t="str">
        <f>VLOOKUP('Cash Balance'!$C610,Table2[#All],MATCH('Cash Balance'!E$3,Acc_Char!$B$1:$I$1,0),0)</f>
        <v>VND</v>
      </c>
      <c r="F610" s="1094" t="e">
        <f>VLOOKUP(C610,'Cash balance (BS)'!A:C,3,)</f>
        <v>#N/A</v>
      </c>
      <c r="G610" s="1191" t="e">
        <f t="shared" si="51"/>
        <v>#N/A</v>
      </c>
      <c r="H610" s="1318">
        <f>SUMIFS('Cash balance (Prior period)'!F:F,'Cash balance (Prior period)'!C:C,Table11[[#This Row],[ACCOUNT NUMBER]],'Cash balance (Prior period)'!E:E,Table11[[#This Row],[CURRENCY]])</f>
        <v>0</v>
      </c>
      <c r="I610" s="1318">
        <f>SUMIFS(Movement!$F$4:$F$2136,Movement!$M$4:$M$2136,"VND",Movement!$C$4:$C$2136,Table11[[#This Row],[ACCOUNT NUMBER]],Movement!$J$4:$J$2136,Table11[[#This Row],[ENTITY]],Movement!$O$4:$O$2136,'Cash Balance'!$A$2)</f>
        <v>0</v>
      </c>
      <c r="J610" s="1318">
        <f>SUMIFS(Movement!$G$4:$G$2136,Movement!$M$4:$M$2136,"VND",Movement!$C$4:$C$2136,Table11[[#This Row],[ACCOUNT NUMBER]],Movement!$J$4:$J$2136,Table11[[#This Row],[ENTITY]],Movement!$O$4:$O$2136,'Cash Balance'!$A$2)</f>
        <v>0</v>
      </c>
      <c r="K610" s="1084">
        <f>Table11[[#This Row],[CASH IN - CREDIT (VND)]]-Table11[[#This Row],[CASH OUT - DEBIT (VND)]]</f>
        <v>0</v>
      </c>
      <c r="L610" s="1095">
        <f t="shared" si="52"/>
        <v>0</v>
      </c>
      <c r="M610" s="1184" t="e">
        <f>VLOOKUP(C610,'Cash balance (BS)'!A:D,4,)</f>
        <v>#N/A</v>
      </c>
      <c r="N610" s="1095" t="e">
        <f>Table11[[#This Row],[CLOSING BALANCE (VND)2]]-Table11[[#This Row],[CB_BS (VND)]]</f>
        <v>#N/A</v>
      </c>
      <c r="O610" s="1094">
        <v>0</v>
      </c>
      <c r="P610" s="1095">
        <f t="shared" si="53"/>
        <v>0</v>
      </c>
      <c r="Q610" s="817">
        <f>SUMIFS('Cash balance (Prior period)'!G:G,'Cash balance (Prior period)'!C:C,Table11[[#This Row],[ACCOUNT NUMBER]],'Cash balance (Prior period)'!E:E,Table11[[#This Row],[CURRENCY]])</f>
        <v>0</v>
      </c>
      <c r="R610" s="817">
        <f>SUMIFS(Movement!$F$4:$F$2136,Movement!$M$4:$M$2136,"USD",Movement!$C$4:$C$2136,Table11[[#This Row],[ACCOUNT NUMBER]],Movement!$J$4:$J$2136,Table11[[#This Row],[ENTITY]],Movement!$O$4:$O$2136,'Cash Balance'!$A$2)</f>
        <v>0</v>
      </c>
      <c r="S610" s="817">
        <f>SUMIFS(Movement!$G$4:$G$2136,Movement!$M$4:$M$2136,"USD",Movement!$C$4:$C$2136,Table11[[#This Row],[ACCOUNT NUMBER]],Movement!$J$4:$J$2136,Table11[[#This Row],[ENTITY]],Movement!$O$4:$O$2136,'Cash Balance'!$A$2)</f>
        <v>0</v>
      </c>
      <c r="T610" s="1087">
        <f t="shared" si="54"/>
        <v>0</v>
      </c>
      <c r="U610" s="1089"/>
      <c r="V610" s="817">
        <f>Table11[[#This Row],[CLOSING BALANCE (USD)]]-Table11[[#This Row],[CB_BS (USD)]]</f>
        <v>0</v>
      </c>
      <c r="W610" s="1156" t="str">
        <f>VLOOKUP('Cash Balance'!$C610,Table2[#All],MATCH('Cash Balance'!W$3,Acc_Char!$B$1:$I$1,0),0)</f>
        <v>BWID JSC</v>
      </c>
      <c r="X610" s="1156" t="str">
        <f>VLOOKUP(IFERROR(MID($Y610,1,FIND("-",$Y610)-2),$Y610),Table3[#All],2,0)</f>
        <v>SNP</v>
      </c>
      <c r="Y610" s="1156" t="str">
        <f>VLOOKUP($B610,Table4[#All],2,0)</f>
        <v>SINOPAC</v>
      </c>
      <c r="Z610" s="1151"/>
      <c r="AA610" s="49"/>
    </row>
    <row r="611" spans="1:27">
      <c r="A611" s="1153" t="str">
        <f>VLOOKUP('Cash Balance'!$C611,Table2[#All],MATCH('Cash Balance'!A$3,Acc_Char!$B$1:$I$1,0),0)</f>
        <v>BWID THOI HOA 2</v>
      </c>
      <c r="B611" s="1154" t="str">
        <f>VLOOKUP('Cash Balance'!$C611,Table2[#All],MATCH('Cash Balance'!B$3,Acc_Char!$B$1:$I$1,0),0)</f>
        <v>KBank - HCM</v>
      </c>
      <c r="C611" s="1190" t="s">
        <v>1224</v>
      </c>
      <c r="D611" s="1156" t="str">
        <f>VLOOKUP('Cash Balance'!$C611,Table2[#All],MATCH('Cash Balance'!D$3,Acc_Char!$B$1:$I$1,0),0)</f>
        <v>Saving Account</v>
      </c>
      <c r="E611" s="384" t="str">
        <f>VLOOKUP('Cash Balance'!$C611,Table2[#All],MATCH('Cash Balance'!E$3,Acc_Char!$B$1:$I$1,0),0)</f>
        <v>VND</v>
      </c>
      <c r="F611" s="1094" t="e">
        <f>VLOOKUP(C611,'Cash balance (BS)'!A:C,3,)</f>
        <v>#N/A</v>
      </c>
      <c r="G611" s="1191" t="e">
        <f t="shared" si="51"/>
        <v>#N/A</v>
      </c>
      <c r="H611" s="1318">
        <f>SUMIFS('Cash balance (Prior period)'!F:F,'Cash balance (Prior period)'!C:C,Table11[[#This Row],[ACCOUNT NUMBER]],'Cash balance (Prior period)'!E:E,Table11[[#This Row],[CURRENCY]])</f>
        <v>0</v>
      </c>
      <c r="I611" s="1318">
        <f>SUMIFS(Movement!$F$4:$F$2136,Movement!$M$4:$M$2136,"VND",Movement!$C$4:$C$2136,Table11[[#This Row],[ACCOUNT NUMBER]],Movement!$J$4:$J$2136,Table11[[#This Row],[ENTITY]],Movement!$O$4:$O$2136,'Cash Balance'!$A$2)</f>
        <v>0</v>
      </c>
      <c r="J611" s="1318">
        <f>SUMIFS(Movement!$G$4:$G$2136,Movement!$M$4:$M$2136,"VND",Movement!$C$4:$C$2136,Table11[[#This Row],[ACCOUNT NUMBER]],Movement!$J$4:$J$2136,Table11[[#This Row],[ENTITY]],Movement!$O$4:$O$2136,'Cash Balance'!$A$2)</f>
        <v>0</v>
      </c>
      <c r="K611" s="1084">
        <f>Table11[[#This Row],[CASH IN - CREDIT (VND)]]-Table11[[#This Row],[CASH OUT - DEBIT (VND)]]</f>
        <v>0</v>
      </c>
      <c r="L611" s="1095">
        <f t="shared" si="52"/>
        <v>0</v>
      </c>
      <c r="M611" s="1184" t="e">
        <f>VLOOKUP(C611,'Cash balance (BS)'!A:D,4,)</f>
        <v>#N/A</v>
      </c>
      <c r="N611" s="1095" t="e">
        <f>Table11[[#This Row],[CLOSING BALANCE (VND)2]]-Table11[[#This Row],[CB_BS (VND)]]</f>
        <v>#N/A</v>
      </c>
      <c r="O611" s="1094">
        <v>0</v>
      </c>
      <c r="P611" s="1095">
        <f t="shared" si="53"/>
        <v>0</v>
      </c>
      <c r="Q611" s="817">
        <f>SUMIFS('Cash balance (Prior period)'!G:G,'Cash balance (Prior period)'!C:C,Table11[[#This Row],[ACCOUNT NUMBER]],'Cash balance (Prior period)'!E:E,Table11[[#This Row],[CURRENCY]])</f>
        <v>0</v>
      </c>
      <c r="R611" s="817">
        <f>SUMIFS(Movement!$F$4:$F$2136,Movement!$M$4:$M$2136,"USD",Movement!$C$4:$C$2136,Table11[[#This Row],[ACCOUNT NUMBER]],Movement!$J$4:$J$2136,Table11[[#This Row],[ENTITY]],Movement!$O$4:$O$2136,'Cash Balance'!$A$2)</f>
        <v>0</v>
      </c>
      <c r="S611" s="817">
        <f>SUMIFS(Movement!$G$4:$G$2136,Movement!$M$4:$M$2136,"USD",Movement!$C$4:$C$2136,Table11[[#This Row],[ACCOUNT NUMBER]],Movement!$J$4:$J$2136,Table11[[#This Row],[ENTITY]],Movement!$O$4:$O$2136,'Cash Balance'!$A$2)</f>
        <v>0</v>
      </c>
      <c r="T611" s="1087">
        <f t="shared" si="54"/>
        <v>0</v>
      </c>
      <c r="U611" s="1089"/>
      <c r="V611" s="817">
        <f>Table11[[#This Row],[CLOSING BALANCE (USD)]]-Table11[[#This Row],[CB_BS (USD)]]</f>
        <v>0</v>
      </c>
      <c r="W611" s="1156" t="str">
        <f>VLOOKUP('Cash Balance'!$C611,Table2[#All],MATCH('Cash Balance'!W$3,Acc_Char!$B$1:$I$1,0),0)</f>
        <v>Subsidiaries</v>
      </c>
      <c r="X611" s="1156" t="str">
        <f>VLOOKUP(IFERROR(MID($Y611,1,FIND("-",$Y611)-2),$Y611),Table3[#All],2,0)</f>
        <v>Others</v>
      </c>
      <c r="Y611" s="1156" t="str">
        <f>VLOOKUP($B611,Table4[#All],2,0)</f>
        <v>OTHERS</v>
      </c>
      <c r="Z611" s="1151"/>
      <c r="AA611" s="49"/>
    </row>
    <row r="612" spans="1:27">
      <c r="A612" s="1153" t="str">
        <f>VLOOKUP('Cash Balance'!$C612,Table2[#All],MATCH('Cash Balance'!A$3,Acc_Char!$B$1:$I$1,0),0)</f>
        <v>BWID THOI HOA 2</v>
      </c>
      <c r="B612" s="1154" t="str">
        <f>VLOOKUP('Cash Balance'!$C612,Table2[#All],MATCH('Cash Balance'!B$3,Acc_Char!$B$1:$I$1,0),0)</f>
        <v>KBank - HCM</v>
      </c>
      <c r="C612" s="1190" t="s">
        <v>1225</v>
      </c>
      <c r="D612" s="1156" t="str">
        <f>VLOOKUP('Cash Balance'!$C612,Table2[#All],MATCH('Cash Balance'!D$3,Acc_Char!$B$1:$I$1,0),0)</f>
        <v>Saving Account</v>
      </c>
      <c r="E612" s="384" t="str">
        <f>VLOOKUP('Cash Balance'!$C612,Table2[#All],MATCH('Cash Balance'!E$3,Acc_Char!$B$1:$I$1,0),0)</f>
        <v>VND</v>
      </c>
      <c r="F612" s="1094" t="e">
        <f>VLOOKUP(C612,'Cash balance (BS)'!A:C,3,)</f>
        <v>#N/A</v>
      </c>
      <c r="G612" s="1191" t="e">
        <f t="shared" si="51"/>
        <v>#N/A</v>
      </c>
      <c r="H612" s="1318">
        <f>SUMIFS('Cash balance (Prior period)'!F:F,'Cash balance (Prior period)'!C:C,Table11[[#This Row],[ACCOUNT NUMBER]],'Cash balance (Prior period)'!E:E,Table11[[#This Row],[CURRENCY]])</f>
        <v>0</v>
      </c>
      <c r="I612" s="1318">
        <f>SUMIFS(Movement!$F$4:$F$2136,Movement!$M$4:$M$2136,"VND",Movement!$C$4:$C$2136,Table11[[#This Row],[ACCOUNT NUMBER]],Movement!$J$4:$J$2136,Table11[[#This Row],[ENTITY]],Movement!$O$4:$O$2136,'Cash Balance'!$A$2)</f>
        <v>0</v>
      </c>
      <c r="J612" s="1318">
        <f>SUMIFS(Movement!$G$4:$G$2136,Movement!$M$4:$M$2136,"VND",Movement!$C$4:$C$2136,Table11[[#This Row],[ACCOUNT NUMBER]],Movement!$J$4:$J$2136,Table11[[#This Row],[ENTITY]],Movement!$O$4:$O$2136,'Cash Balance'!$A$2)</f>
        <v>0</v>
      </c>
      <c r="K612" s="1084">
        <f>Table11[[#This Row],[CASH IN - CREDIT (VND)]]-Table11[[#This Row],[CASH OUT - DEBIT (VND)]]</f>
        <v>0</v>
      </c>
      <c r="L612" s="1095">
        <f t="shared" si="52"/>
        <v>0</v>
      </c>
      <c r="M612" s="1184" t="e">
        <f>VLOOKUP(C612,'Cash balance (BS)'!A:D,4,)</f>
        <v>#N/A</v>
      </c>
      <c r="N612" s="1095" t="e">
        <f>Table11[[#This Row],[CLOSING BALANCE (VND)2]]-Table11[[#This Row],[CB_BS (VND)]]</f>
        <v>#N/A</v>
      </c>
      <c r="O612" s="1094">
        <v>0</v>
      </c>
      <c r="P612" s="1095">
        <f t="shared" si="53"/>
        <v>0</v>
      </c>
      <c r="Q612" s="817">
        <f>SUMIFS('Cash balance (Prior period)'!G:G,'Cash balance (Prior period)'!C:C,Table11[[#This Row],[ACCOUNT NUMBER]],'Cash balance (Prior period)'!E:E,Table11[[#This Row],[CURRENCY]])</f>
        <v>0</v>
      </c>
      <c r="R612" s="817">
        <f>SUMIFS(Movement!$F$4:$F$2136,Movement!$M$4:$M$2136,"USD",Movement!$C$4:$C$2136,Table11[[#This Row],[ACCOUNT NUMBER]],Movement!$J$4:$J$2136,Table11[[#This Row],[ENTITY]],Movement!$O$4:$O$2136,'Cash Balance'!$A$2)</f>
        <v>0</v>
      </c>
      <c r="S612" s="817">
        <f>SUMIFS(Movement!$G$4:$G$2136,Movement!$M$4:$M$2136,"USD",Movement!$C$4:$C$2136,Table11[[#This Row],[ACCOUNT NUMBER]],Movement!$J$4:$J$2136,Table11[[#This Row],[ENTITY]],Movement!$O$4:$O$2136,'Cash Balance'!$A$2)</f>
        <v>0</v>
      </c>
      <c r="T612" s="1087">
        <f t="shared" si="54"/>
        <v>0</v>
      </c>
      <c r="U612" s="1089"/>
      <c r="V612" s="817">
        <f>Table11[[#This Row],[CLOSING BALANCE (USD)]]-Table11[[#This Row],[CB_BS (USD)]]</f>
        <v>0</v>
      </c>
      <c r="W612" s="1156" t="str">
        <f>VLOOKUP('Cash Balance'!$C612,Table2[#All],MATCH('Cash Balance'!W$3,Acc_Char!$B$1:$I$1,0),0)</f>
        <v>Subsidiaries</v>
      </c>
      <c r="X612" s="1156" t="str">
        <f>VLOOKUP(IFERROR(MID($Y612,1,FIND("-",$Y612)-2),$Y612),Table3[#All],2,0)</f>
        <v>Others</v>
      </c>
      <c r="Y612" s="1156" t="str">
        <f>VLOOKUP($B612,Table4[#All],2,0)</f>
        <v>OTHERS</v>
      </c>
      <c r="Z612" s="1151"/>
      <c r="AA612" s="49"/>
    </row>
    <row r="613" spans="1:27">
      <c r="A613" s="1153" t="str">
        <f>VLOOKUP('Cash Balance'!$C613,Table2[#All],MATCH('Cash Balance'!A$3,Acc_Char!$B$1:$I$1,0),0)</f>
        <v>NASTEC JSC</v>
      </c>
      <c r="B613" s="1154" t="str">
        <f>VLOOKUP('Cash Balance'!$C613,Table2[#All],MATCH('Cash Balance'!B$3,Acc_Char!$B$1:$I$1,0),0)</f>
        <v>VIETINBANK - TIEN SON</v>
      </c>
      <c r="C613" s="1190" t="s">
        <v>1227</v>
      </c>
      <c r="D613" s="1156" t="str">
        <f>VLOOKUP('Cash Balance'!$C613,Table2[#All],MATCH('Cash Balance'!D$3,Acc_Char!$B$1:$I$1,0),0)</f>
        <v>Current Account</v>
      </c>
      <c r="E613" s="384" t="str">
        <f>VLOOKUP('Cash Balance'!$C613,Table2[#All],MATCH('Cash Balance'!E$3,Acc_Char!$B$1:$I$1,0),0)</f>
        <v>VND</v>
      </c>
      <c r="F613" s="1094" t="e">
        <f>VLOOKUP(C613,'Cash balance (BS)'!A:C,3,)</f>
        <v>#N/A</v>
      </c>
      <c r="G613" s="1191" t="e">
        <f t="shared" si="51"/>
        <v>#N/A</v>
      </c>
      <c r="H613" s="1318">
        <f>SUMIFS('Cash balance (Prior period)'!F:F,'Cash balance (Prior period)'!C:C,Table11[[#This Row],[ACCOUNT NUMBER]],'Cash balance (Prior period)'!E:E,Table11[[#This Row],[CURRENCY]])</f>
        <v>9652303411</v>
      </c>
      <c r="I613" s="1318">
        <f>SUMIFS(Movement!$F$4:$F$2136,Movement!$M$4:$M$2136,"VND",Movement!$C$4:$C$2136,Table11[[#This Row],[ACCOUNT NUMBER]],Movement!$J$4:$J$2136,Table11[[#This Row],[ENTITY]],Movement!$O$4:$O$2136,'Cash Balance'!$A$2)</f>
        <v>0</v>
      </c>
      <c r="J613" s="1318">
        <f>SUMIFS(Movement!$G$4:$G$2136,Movement!$M$4:$M$2136,"VND",Movement!$C$4:$C$2136,Table11[[#This Row],[ACCOUNT NUMBER]],Movement!$J$4:$J$2136,Table11[[#This Row],[ENTITY]],Movement!$O$4:$O$2136,'Cash Balance'!$A$2)</f>
        <v>26299344</v>
      </c>
      <c r="K613" s="1084">
        <f>Table11[[#This Row],[CASH IN - CREDIT (VND)]]-Table11[[#This Row],[CASH OUT - DEBIT (VND)]]</f>
        <v>-26299344</v>
      </c>
      <c r="L613" s="1095">
        <f t="shared" si="52"/>
        <v>9626004067</v>
      </c>
      <c r="M613" s="1184" t="e">
        <f>VLOOKUP(C613,'Cash balance (BS)'!A:D,4,)</f>
        <v>#N/A</v>
      </c>
      <c r="N613" s="1095" t="e">
        <f>Table11[[#This Row],[CLOSING BALANCE (VND)2]]-Table11[[#This Row],[CB_BS (VND)]]</f>
        <v>#N/A</v>
      </c>
      <c r="O613" s="1094">
        <v>0</v>
      </c>
      <c r="P613" s="1095">
        <f t="shared" si="53"/>
        <v>0</v>
      </c>
      <c r="Q613" s="817">
        <f>SUMIFS('Cash balance (Prior period)'!G:G,'Cash balance (Prior period)'!C:C,Table11[[#This Row],[ACCOUNT NUMBER]],'Cash balance (Prior period)'!E:E,Table11[[#This Row],[CURRENCY]])</f>
        <v>0</v>
      </c>
      <c r="R613" s="817">
        <f>SUMIFS(Movement!$F$4:$F$2136,Movement!$M$4:$M$2136,"USD",Movement!$C$4:$C$2136,Table11[[#This Row],[ACCOUNT NUMBER]],Movement!$J$4:$J$2136,Table11[[#This Row],[ENTITY]],Movement!$O$4:$O$2136,'Cash Balance'!$A$2)</f>
        <v>0</v>
      </c>
      <c r="S613" s="817">
        <f>SUMIFS(Movement!$G$4:$G$2136,Movement!$M$4:$M$2136,"USD",Movement!$C$4:$C$2136,Table11[[#This Row],[ACCOUNT NUMBER]],Movement!$J$4:$J$2136,Table11[[#This Row],[ENTITY]],Movement!$O$4:$O$2136,'Cash Balance'!$A$2)</f>
        <v>0</v>
      </c>
      <c r="T613" s="1087">
        <f t="shared" si="54"/>
        <v>0</v>
      </c>
      <c r="U613" s="1089"/>
      <c r="V613" s="817">
        <f>Table11[[#This Row],[CLOSING BALANCE (USD)]]-Table11[[#This Row],[CB_BS (USD)]]</f>
        <v>0</v>
      </c>
      <c r="W613" s="1156" t="str">
        <f>VLOOKUP('Cash Balance'!$C613,Table2[#All],MATCH('Cash Balance'!W$3,Acc_Char!$B$1:$I$1,0),0)</f>
        <v>Subsidiaries</v>
      </c>
      <c r="X613" s="1156" t="str">
        <f>VLOOKUP(IFERROR(MID($Y613,1,FIND("-",$Y613)-2),$Y613),Table3[#All],2,0)</f>
        <v>VTB</v>
      </c>
      <c r="Y613" s="1156" t="str">
        <f>VLOOKUP($B613,Table4[#All],2,0)</f>
        <v>VIETINBANK - TIEN SON</v>
      </c>
      <c r="Z613" s="1151"/>
      <c r="AA613" s="49"/>
    </row>
    <row r="614" spans="1:27">
      <c r="A614" s="1153" t="str">
        <f>VLOOKUP('Cash Balance'!$C614,Table2[#All],MATCH('Cash Balance'!A$3,Acc_Char!$B$1:$I$1,0),0)</f>
        <v>GREAT KINGDOM NT 2</v>
      </c>
      <c r="B614" s="1154" t="str">
        <f>VLOOKUP('Cash Balance'!$C614,Table2[#All],MATCH('Cash Balance'!B$3,Acc_Char!$B$1:$I$1,0),0)</f>
        <v>VIETINBANK - CN1</v>
      </c>
      <c r="C614" s="1190" t="s">
        <v>1228</v>
      </c>
      <c r="D614" s="1156" t="str">
        <f>VLOOKUP('Cash Balance'!$C614,Table2[#All],MATCH('Cash Balance'!D$3,Acc_Char!$B$1:$I$1,0),0)</f>
        <v>Saving Account</v>
      </c>
      <c r="E614" s="384" t="str">
        <f>VLOOKUP('Cash Balance'!$C614,Table2[#All],MATCH('Cash Balance'!E$3,Acc_Char!$B$1:$I$1,0),0)</f>
        <v>VND</v>
      </c>
      <c r="F614" s="1094" t="e">
        <f>VLOOKUP(C614,'Cash balance (BS)'!A:C,3,)</f>
        <v>#N/A</v>
      </c>
      <c r="G614" s="1191" t="e">
        <f t="shared" si="51"/>
        <v>#N/A</v>
      </c>
      <c r="H614" s="1318">
        <f>SUMIFS('Cash balance (Prior period)'!F:F,'Cash balance (Prior period)'!C:C,Table11[[#This Row],[ACCOUNT NUMBER]],'Cash balance (Prior period)'!E:E,Table11[[#This Row],[CURRENCY]])</f>
        <v>0</v>
      </c>
      <c r="I614" s="1318">
        <f>SUMIFS(Movement!$F$4:$F$2136,Movement!$M$4:$M$2136,"VND",Movement!$C$4:$C$2136,Table11[[#This Row],[ACCOUNT NUMBER]],Movement!$J$4:$J$2136,Table11[[#This Row],[ENTITY]],Movement!$O$4:$O$2136,'Cash Balance'!$A$2)</f>
        <v>0</v>
      </c>
      <c r="J614" s="1318">
        <f>SUMIFS(Movement!$G$4:$G$2136,Movement!$M$4:$M$2136,"VND",Movement!$C$4:$C$2136,Table11[[#This Row],[ACCOUNT NUMBER]],Movement!$J$4:$J$2136,Table11[[#This Row],[ENTITY]],Movement!$O$4:$O$2136,'Cash Balance'!$A$2)</f>
        <v>0</v>
      </c>
      <c r="K614" s="1084">
        <f>Table11[[#This Row],[CASH IN - CREDIT (VND)]]-Table11[[#This Row],[CASH OUT - DEBIT (VND)]]</f>
        <v>0</v>
      </c>
      <c r="L614" s="1095">
        <f t="shared" si="52"/>
        <v>0</v>
      </c>
      <c r="M614" s="1184" t="e">
        <f>VLOOKUP(C614,'Cash balance (BS)'!A:D,4,)</f>
        <v>#N/A</v>
      </c>
      <c r="N614" s="1095" t="e">
        <f>Table11[[#This Row],[CLOSING BALANCE (VND)2]]-Table11[[#This Row],[CB_BS (VND)]]</f>
        <v>#N/A</v>
      </c>
      <c r="O614" s="1094">
        <v>0</v>
      </c>
      <c r="P614" s="1095">
        <f t="shared" si="53"/>
        <v>0</v>
      </c>
      <c r="Q614" s="817">
        <f>SUMIFS('Cash balance (Prior period)'!G:G,'Cash balance (Prior period)'!C:C,Table11[[#This Row],[ACCOUNT NUMBER]],'Cash balance (Prior period)'!E:E,Table11[[#This Row],[CURRENCY]])</f>
        <v>0</v>
      </c>
      <c r="R614" s="817">
        <f>SUMIFS(Movement!$F$4:$F$2136,Movement!$M$4:$M$2136,"USD",Movement!$C$4:$C$2136,Table11[[#This Row],[ACCOUNT NUMBER]],Movement!$J$4:$J$2136,Table11[[#This Row],[ENTITY]],Movement!$O$4:$O$2136,'Cash Balance'!$A$2)</f>
        <v>0</v>
      </c>
      <c r="S614" s="817">
        <f>SUMIFS(Movement!$G$4:$G$2136,Movement!$M$4:$M$2136,"USD",Movement!$C$4:$C$2136,Table11[[#This Row],[ACCOUNT NUMBER]],Movement!$J$4:$J$2136,Table11[[#This Row],[ENTITY]],Movement!$O$4:$O$2136,'Cash Balance'!$A$2)</f>
        <v>0</v>
      </c>
      <c r="T614" s="1087">
        <f t="shared" si="54"/>
        <v>0</v>
      </c>
      <c r="U614" s="1089"/>
      <c r="V614" s="817">
        <f>Table11[[#This Row],[CLOSING BALANCE (USD)]]-Table11[[#This Row],[CB_BS (USD)]]</f>
        <v>0</v>
      </c>
      <c r="W614" s="1156" t="str">
        <f>VLOOKUP('Cash Balance'!$C614,Table2[#All],MATCH('Cash Balance'!W$3,Acc_Char!$B$1:$I$1,0),0)</f>
        <v>Subsidiaries</v>
      </c>
      <c r="X614" s="1156" t="str">
        <f>VLOOKUP(IFERROR(MID($Y614,1,FIND("-",$Y614)-2),$Y614),Table3[#All],2,0)</f>
        <v>VTB</v>
      </c>
      <c r="Y614" s="1156" t="str">
        <f>VLOOKUP($B614,Table4[#All],2,0)</f>
        <v>VIETINBANK - CN1</v>
      </c>
      <c r="Z614" s="1151"/>
      <c r="AA614" s="49"/>
    </row>
    <row r="615" spans="1:27">
      <c r="A615" s="1153" t="str">
        <f>VLOOKUP('Cash Balance'!$C615,Table2[#All],MATCH('Cash Balance'!A$3,Acc_Char!$B$1:$I$1,0),0)</f>
        <v>BWID HAI DUONG 3</v>
      </c>
      <c r="B615" s="1154" t="str">
        <f>VLOOKUP('Cash Balance'!$C615,Table2[#All],MATCH('Cash Balance'!B$3,Acc_Char!$B$1:$I$1,0),0)</f>
        <v>BIDV - THANH XUAN</v>
      </c>
      <c r="C615" s="1190" t="s">
        <v>1229</v>
      </c>
      <c r="D615" s="1156" t="str">
        <f>VLOOKUP('Cash Balance'!$C615,Table2[#All],MATCH('Cash Balance'!D$3,Acc_Char!$B$1:$I$1,0),0)</f>
        <v>Saving Account</v>
      </c>
      <c r="E615" s="384" t="str">
        <f>VLOOKUP('Cash Balance'!$C615,Table2[#All],MATCH('Cash Balance'!E$3,Acc_Char!$B$1:$I$1,0),0)</f>
        <v>VND</v>
      </c>
      <c r="F615" s="1094" t="e">
        <f>VLOOKUP(C615,'Cash balance (BS)'!A:C,3,)</f>
        <v>#N/A</v>
      </c>
      <c r="G615" s="1191" t="e">
        <f t="shared" si="51"/>
        <v>#N/A</v>
      </c>
      <c r="H615" s="1318">
        <f>SUMIFS('Cash balance (Prior period)'!F:F,'Cash balance (Prior period)'!C:C,Table11[[#This Row],[ACCOUNT NUMBER]],'Cash balance (Prior period)'!E:E,Table11[[#This Row],[CURRENCY]])</f>
        <v>0</v>
      </c>
      <c r="I615" s="1318">
        <f>SUMIFS(Movement!$F$4:$F$2136,Movement!$M$4:$M$2136,"VND",Movement!$C$4:$C$2136,Table11[[#This Row],[ACCOUNT NUMBER]],Movement!$J$4:$J$2136,Table11[[#This Row],[ENTITY]],Movement!$O$4:$O$2136,'Cash Balance'!$A$2)</f>
        <v>0</v>
      </c>
      <c r="J615" s="1318">
        <f>SUMIFS(Movement!$G$4:$G$2136,Movement!$M$4:$M$2136,"VND",Movement!$C$4:$C$2136,Table11[[#This Row],[ACCOUNT NUMBER]],Movement!$J$4:$J$2136,Table11[[#This Row],[ENTITY]],Movement!$O$4:$O$2136,'Cash Balance'!$A$2)</f>
        <v>0</v>
      </c>
      <c r="K615" s="1084">
        <f>Table11[[#This Row],[CASH IN - CREDIT (VND)]]-Table11[[#This Row],[CASH OUT - DEBIT (VND)]]</f>
        <v>0</v>
      </c>
      <c r="L615" s="1095">
        <f t="shared" si="52"/>
        <v>0</v>
      </c>
      <c r="M615" s="1184" t="e">
        <f>VLOOKUP(C615,'Cash balance (BS)'!A:D,4,)</f>
        <v>#N/A</v>
      </c>
      <c r="N615" s="1095" t="e">
        <f>Table11[[#This Row],[CLOSING BALANCE (VND)2]]-Table11[[#This Row],[CB_BS (VND)]]</f>
        <v>#N/A</v>
      </c>
      <c r="O615" s="1094">
        <v>0</v>
      </c>
      <c r="P615" s="1095">
        <f t="shared" si="53"/>
        <v>0</v>
      </c>
      <c r="Q615" s="817">
        <f>SUMIFS('Cash balance (Prior period)'!G:G,'Cash balance (Prior period)'!C:C,Table11[[#This Row],[ACCOUNT NUMBER]],'Cash balance (Prior period)'!E:E,Table11[[#This Row],[CURRENCY]])</f>
        <v>0</v>
      </c>
      <c r="R615" s="817">
        <f>SUMIFS(Movement!$F$4:$F$2136,Movement!$M$4:$M$2136,"USD",Movement!$C$4:$C$2136,Table11[[#This Row],[ACCOUNT NUMBER]],Movement!$J$4:$J$2136,Table11[[#This Row],[ENTITY]],Movement!$O$4:$O$2136,'Cash Balance'!$A$2)</f>
        <v>0</v>
      </c>
      <c r="S615" s="817">
        <f>SUMIFS(Movement!$G$4:$G$2136,Movement!$M$4:$M$2136,"USD",Movement!$C$4:$C$2136,Table11[[#This Row],[ACCOUNT NUMBER]],Movement!$J$4:$J$2136,Table11[[#This Row],[ENTITY]],Movement!$O$4:$O$2136,'Cash Balance'!$A$2)</f>
        <v>0</v>
      </c>
      <c r="T615" s="1087">
        <f t="shared" si="54"/>
        <v>0</v>
      </c>
      <c r="U615" s="1089"/>
      <c r="V615" s="817">
        <f>Table11[[#This Row],[CLOSING BALANCE (USD)]]-Table11[[#This Row],[CB_BS (USD)]]</f>
        <v>0</v>
      </c>
      <c r="W615" s="1156" t="str">
        <f>VLOOKUP('Cash Balance'!$C615,Table2[#All],MATCH('Cash Balance'!W$3,Acc_Char!$B$1:$I$1,0),0)</f>
        <v>Subsidiaries</v>
      </c>
      <c r="X615" s="1156" t="str">
        <f>VLOOKUP(IFERROR(MID($Y615,1,FIND("-",$Y615)-2),$Y615),Table3[#All],2,0)</f>
        <v>BIDV</v>
      </c>
      <c r="Y615" s="1156" t="str">
        <f>VLOOKUP($B615,Table4[#All],2,0)</f>
        <v>BIDV - THANH XUAN</v>
      </c>
      <c r="Z615" s="1151"/>
      <c r="AA615" s="49"/>
    </row>
    <row r="616" spans="1:27">
      <c r="A616" s="1153" t="str">
        <f>VLOOKUP('Cash Balance'!$C616,Table2[#All],MATCH('Cash Balance'!A$3,Acc_Char!$B$1:$I$1,0),0)</f>
        <v>BWID HAI DUONG 3</v>
      </c>
      <c r="B616" s="1154" t="str">
        <f>VLOOKUP('Cash Balance'!$C616,Table2[#All],MATCH('Cash Balance'!B$3,Acc_Char!$B$1:$I$1,0),0)</f>
        <v>BIDV - THANH XUAN</v>
      </c>
      <c r="C616" s="1190" t="s">
        <v>1230</v>
      </c>
      <c r="D616" s="1156" t="str">
        <f>VLOOKUP('Cash Balance'!$C616,Table2[#All],MATCH('Cash Balance'!D$3,Acc_Char!$B$1:$I$1,0),0)</f>
        <v>Saving Account</v>
      </c>
      <c r="E616" s="384" t="str">
        <f>VLOOKUP('Cash Balance'!$C616,Table2[#All],MATCH('Cash Balance'!E$3,Acc_Char!$B$1:$I$1,0),0)</f>
        <v>VND</v>
      </c>
      <c r="F616" s="1094" t="e">
        <f>VLOOKUP(C616,'Cash balance (BS)'!A:C,3,)</f>
        <v>#N/A</v>
      </c>
      <c r="G616" s="1191" t="e">
        <f t="shared" si="51"/>
        <v>#N/A</v>
      </c>
      <c r="H616" s="1318">
        <f>SUMIFS('Cash balance (Prior period)'!F:F,'Cash balance (Prior period)'!C:C,Table11[[#This Row],[ACCOUNT NUMBER]],'Cash balance (Prior period)'!E:E,Table11[[#This Row],[CURRENCY]])</f>
        <v>100000000</v>
      </c>
      <c r="I616" s="1318">
        <f>SUMIFS(Movement!$F$4:$F$2136,Movement!$M$4:$M$2136,"VND",Movement!$C$4:$C$2136,Table11[[#This Row],[ACCOUNT NUMBER]],Movement!$J$4:$J$2136,Table11[[#This Row],[ENTITY]],Movement!$O$4:$O$2136,'Cash Balance'!$A$2)</f>
        <v>0</v>
      </c>
      <c r="J616" s="1318">
        <f>SUMIFS(Movement!$G$4:$G$2136,Movement!$M$4:$M$2136,"VND",Movement!$C$4:$C$2136,Table11[[#This Row],[ACCOUNT NUMBER]],Movement!$J$4:$J$2136,Table11[[#This Row],[ENTITY]],Movement!$O$4:$O$2136,'Cash Balance'!$A$2)</f>
        <v>0</v>
      </c>
      <c r="K616" s="1084">
        <f>Table11[[#This Row],[CASH IN - CREDIT (VND)]]-Table11[[#This Row],[CASH OUT - DEBIT (VND)]]</f>
        <v>0</v>
      </c>
      <c r="L616" s="1095">
        <f t="shared" si="52"/>
        <v>100000000</v>
      </c>
      <c r="M616" s="1184" t="e">
        <f>VLOOKUP(C616,'Cash balance (BS)'!A:D,4,)</f>
        <v>#N/A</v>
      </c>
      <c r="N616" s="1095" t="e">
        <f>Table11[[#This Row],[CLOSING BALANCE (VND)2]]-Table11[[#This Row],[CB_BS (VND)]]</f>
        <v>#N/A</v>
      </c>
      <c r="O616" s="1094">
        <v>0</v>
      </c>
      <c r="P616" s="1095">
        <f t="shared" si="53"/>
        <v>0</v>
      </c>
      <c r="Q616" s="817">
        <f>SUMIFS('Cash balance (Prior period)'!G:G,'Cash balance (Prior period)'!C:C,Table11[[#This Row],[ACCOUNT NUMBER]],'Cash balance (Prior period)'!E:E,Table11[[#This Row],[CURRENCY]])</f>
        <v>0</v>
      </c>
      <c r="R616" s="817">
        <f>SUMIFS(Movement!$F$4:$F$2136,Movement!$M$4:$M$2136,"USD",Movement!$C$4:$C$2136,Table11[[#This Row],[ACCOUNT NUMBER]],Movement!$J$4:$J$2136,Table11[[#This Row],[ENTITY]],Movement!$O$4:$O$2136,'Cash Balance'!$A$2)</f>
        <v>0</v>
      </c>
      <c r="S616" s="817">
        <f>SUMIFS(Movement!$G$4:$G$2136,Movement!$M$4:$M$2136,"USD",Movement!$C$4:$C$2136,Table11[[#This Row],[ACCOUNT NUMBER]],Movement!$J$4:$J$2136,Table11[[#This Row],[ENTITY]],Movement!$O$4:$O$2136,'Cash Balance'!$A$2)</f>
        <v>0</v>
      </c>
      <c r="T616" s="1087">
        <f t="shared" si="54"/>
        <v>0</v>
      </c>
      <c r="U616" s="1089"/>
      <c r="V616" s="817">
        <f>Table11[[#This Row],[CLOSING BALANCE (USD)]]-Table11[[#This Row],[CB_BS (USD)]]</f>
        <v>0</v>
      </c>
      <c r="W616" s="1156" t="str">
        <f>VLOOKUP('Cash Balance'!$C616,Table2[#All],MATCH('Cash Balance'!W$3,Acc_Char!$B$1:$I$1,0),0)</f>
        <v>Subsidiaries</v>
      </c>
      <c r="X616" s="1156" t="str">
        <f>VLOOKUP(IFERROR(MID($Y616,1,FIND("-",$Y616)-2),$Y616),Table3[#All],2,0)</f>
        <v>BIDV</v>
      </c>
      <c r="Y616" s="1156" t="str">
        <f>VLOOKUP($B616,Table4[#All],2,0)</f>
        <v>BIDV - THANH XUAN</v>
      </c>
      <c r="Z616" s="1151"/>
      <c r="AA616" s="49"/>
    </row>
    <row r="617" spans="1:27">
      <c r="A617" s="1153" t="str">
        <f>VLOOKUP('Cash Balance'!$C617,Table2[#All],MATCH('Cash Balance'!A$3,Acc_Char!$B$1:$I$1,0),0)</f>
        <v>BW PHU NGHIA</v>
      </c>
      <c r="B617" s="1154" t="str">
        <f>VLOOKUP('Cash Balance'!$C617,Table2[#All],MATCH('Cash Balance'!B$3,Acc_Char!$B$1:$I$1,0),0)</f>
        <v>BIDV - THANH XUAN</v>
      </c>
      <c r="C617" s="1190" t="s">
        <v>1231</v>
      </c>
      <c r="D617" s="1156" t="str">
        <f>VLOOKUP('Cash Balance'!$C617,Table2[#All],MATCH('Cash Balance'!D$3,Acc_Char!$B$1:$I$1,0),0)</f>
        <v>Saving Account</v>
      </c>
      <c r="E617" s="384" t="str">
        <f>VLOOKUP('Cash Balance'!$C617,Table2[#All],MATCH('Cash Balance'!E$3,Acc_Char!$B$1:$I$1,0),0)</f>
        <v>VND</v>
      </c>
      <c r="F617" s="1094" t="e">
        <f>VLOOKUP(C617,'Cash balance (BS)'!A:C,3,)</f>
        <v>#N/A</v>
      </c>
      <c r="G617" s="1191" t="e">
        <f t="shared" si="51"/>
        <v>#N/A</v>
      </c>
      <c r="H617" s="1318">
        <f>SUMIFS('Cash balance (Prior period)'!F:F,'Cash balance (Prior period)'!C:C,Table11[[#This Row],[ACCOUNT NUMBER]],'Cash balance (Prior period)'!E:E,Table11[[#This Row],[CURRENCY]])</f>
        <v>2000000000</v>
      </c>
      <c r="I617" s="1318">
        <f>SUMIFS(Movement!$F$4:$F$2136,Movement!$M$4:$M$2136,"VND",Movement!$C$4:$C$2136,Table11[[#This Row],[ACCOUNT NUMBER]],Movement!$J$4:$J$2136,Table11[[#This Row],[ENTITY]],Movement!$O$4:$O$2136,'Cash Balance'!$A$2)</f>
        <v>0</v>
      </c>
      <c r="J617" s="1318">
        <f>SUMIFS(Movement!$G$4:$G$2136,Movement!$M$4:$M$2136,"VND",Movement!$C$4:$C$2136,Table11[[#This Row],[ACCOUNT NUMBER]],Movement!$J$4:$J$2136,Table11[[#This Row],[ENTITY]],Movement!$O$4:$O$2136,'Cash Balance'!$A$2)</f>
        <v>0</v>
      </c>
      <c r="K617" s="1084">
        <f>Table11[[#This Row],[CASH IN - CREDIT (VND)]]-Table11[[#This Row],[CASH OUT - DEBIT (VND)]]</f>
        <v>0</v>
      </c>
      <c r="L617" s="1095">
        <f t="shared" si="52"/>
        <v>2000000000</v>
      </c>
      <c r="M617" s="1184" t="e">
        <f>VLOOKUP(C617,'Cash balance (BS)'!A:D,4,)</f>
        <v>#N/A</v>
      </c>
      <c r="N617" s="1095" t="e">
        <f>Table11[[#This Row],[CLOSING BALANCE (VND)2]]-Table11[[#This Row],[CB_BS (VND)]]</f>
        <v>#N/A</v>
      </c>
      <c r="O617" s="1094">
        <v>0</v>
      </c>
      <c r="P617" s="1095">
        <f t="shared" si="53"/>
        <v>0</v>
      </c>
      <c r="Q617" s="817">
        <f>SUMIFS('Cash balance (Prior period)'!G:G,'Cash balance (Prior period)'!C:C,Table11[[#This Row],[ACCOUNT NUMBER]],'Cash balance (Prior period)'!E:E,Table11[[#This Row],[CURRENCY]])</f>
        <v>0</v>
      </c>
      <c r="R617" s="817">
        <f>SUMIFS(Movement!$F$4:$F$2136,Movement!$M$4:$M$2136,"USD",Movement!$C$4:$C$2136,Table11[[#This Row],[ACCOUNT NUMBER]],Movement!$J$4:$J$2136,Table11[[#This Row],[ENTITY]],Movement!$O$4:$O$2136,'Cash Balance'!$A$2)</f>
        <v>0</v>
      </c>
      <c r="S617" s="817">
        <f>SUMIFS(Movement!$G$4:$G$2136,Movement!$M$4:$M$2136,"USD",Movement!$C$4:$C$2136,Table11[[#This Row],[ACCOUNT NUMBER]],Movement!$J$4:$J$2136,Table11[[#This Row],[ENTITY]],Movement!$O$4:$O$2136,'Cash Balance'!$A$2)</f>
        <v>0</v>
      </c>
      <c r="T617" s="1087">
        <f t="shared" si="54"/>
        <v>0</v>
      </c>
      <c r="U617" s="1089"/>
      <c r="V617" s="817">
        <f>Table11[[#This Row],[CLOSING BALANCE (USD)]]-Table11[[#This Row],[CB_BS (USD)]]</f>
        <v>0</v>
      </c>
      <c r="W617" s="1156" t="str">
        <f>VLOOKUP('Cash Balance'!$C617,Table2[#All],MATCH('Cash Balance'!W$3,Acc_Char!$B$1:$I$1,0),0)</f>
        <v>Subsidiaries</v>
      </c>
      <c r="X617" s="1156" t="str">
        <f>VLOOKUP(IFERROR(MID($Y617,1,FIND("-",$Y617)-2),$Y617),Table3[#All],2,0)</f>
        <v>BIDV</v>
      </c>
      <c r="Y617" s="1156" t="str">
        <f>VLOOKUP($B617,Table4[#All],2,0)</f>
        <v>BIDV - THANH XUAN</v>
      </c>
      <c r="Z617" s="1151"/>
      <c r="AA617" s="49"/>
    </row>
    <row r="618" spans="1:27">
      <c r="A618" s="1153" t="str">
        <f>VLOOKUP('Cash Balance'!$C618,Table2[#All],MATCH('Cash Balance'!A$3,Acc_Char!$B$1:$I$1,0),0)</f>
        <v>BW PHU NGHIA</v>
      </c>
      <c r="B618" s="1154" t="str">
        <f>VLOOKUP('Cash Balance'!$C618,Table2[#All],MATCH('Cash Balance'!B$3,Acc_Char!$B$1:$I$1,0),0)</f>
        <v>BIDV - THANH XUAN</v>
      </c>
      <c r="C618" s="1190" t="s">
        <v>1232</v>
      </c>
      <c r="D618" s="1156" t="str">
        <f>VLOOKUP('Cash Balance'!$C618,Table2[#All],MATCH('Cash Balance'!D$3,Acc_Char!$B$1:$I$1,0),0)</f>
        <v>Saving Account</v>
      </c>
      <c r="E618" s="384" t="str">
        <f>VLOOKUP('Cash Balance'!$C618,Table2[#All],MATCH('Cash Balance'!E$3,Acc_Char!$B$1:$I$1,0),0)</f>
        <v>VND</v>
      </c>
      <c r="F618" s="1094" t="e">
        <f>VLOOKUP(C618,'Cash balance (BS)'!A:C,3,)</f>
        <v>#N/A</v>
      </c>
      <c r="G618" s="1191" t="e">
        <f t="shared" si="51"/>
        <v>#N/A</v>
      </c>
      <c r="H618" s="1318">
        <f>SUMIFS('Cash balance (Prior period)'!F:F,'Cash balance (Prior period)'!C:C,Table11[[#This Row],[ACCOUNT NUMBER]],'Cash balance (Prior period)'!E:E,Table11[[#This Row],[CURRENCY]])</f>
        <v>0</v>
      </c>
      <c r="I618" s="1318">
        <f>SUMIFS(Movement!$F$4:$F$2136,Movement!$M$4:$M$2136,"VND",Movement!$C$4:$C$2136,Table11[[#This Row],[ACCOUNT NUMBER]],Movement!$J$4:$J$2136,Table11[[#This Row],[ENTITY]],Movement!$O$4:$O$2136,'Cash Balance'!$A$2)</f>
        <v>0</v>
      </c>
      <c r="J618" s="1318">
        <f>SUMIFS(Movement!$G$4:$G$2136,Movement!$M$4:$M$2136,"VND",Movement!$C$4:$C$2136,Table11[[#This Row],[ACCOUNT NUMBER]],Movement!$J$4:$J$2136,Table11[[#This Row],[ENTITY]],Movement!$O$4:$O$2136,'Cash Balance'!$A$2)</f>
        <v>0</v>
      </c>
      <c r="K618" s="1084">
        <f>Table11[[#This Row],[CASH IN - CREDIT (VND)]]-Table11[[#This Row],[CASH OUT - DEBIT (VND)]]</f>
        <v>0</v>
      </c>
      <c r="L618" s="1095">
        <f t="shared" si="52"/>
        <v>0</v>
      </c>
      <c r="M618" s="1184" t="e">
        <f>VLOOKUP(C618,'Cash balance (BS)'!A:D,4,)</f>
        <v>#N/A</v>
      </c>
      <c r="N618" s="1095" t="e">
        <f>Table11[[#This Row],[CLOSING BALANCE (VND)2]]-Table11[[#This Row],[CB_BS (VND)]]</f>
        <v>#N/A</v>
      </c>
      <c r="O618" s="1094">
        <v>0</v>
      </c>
      <c r="P618" s="1095">
        <f t="shared" si="53"/>
        <v>0</v>
      </c>
      <c r="Q618" s="817">
        <f>SUMIFS('Cash balance (Prior period)'!G:G,'Cash balance (Prior period)'!C:C,Table11[[#This Row],[ACCOUNT NUMBER]],'Cash balance (Prior period)'!E:E,Table11[[#This Row],[CURRENCY]])</f>
        <v>0</v>
      </c>
      <c r="R618" s="817">
        <f>SUMIFS(Movement!$F$4:$F$2136,Movement!$M$4:$M$2136,"USD",Movement!$C$4:$C$2136,Table11[[#This Row],[ACCOUNT NUMBER]],Movement!$J$4:$J$2136,Table11[[#This Row],[ENTITY]],Movement!$O$4:$O$2136,'Cash Balance'!$A$2)</f>
        <v>0</v>
      </c>
      <c r="S618" s="817">
        <f>SUMIFS(Movement!$G$4:$G$2136,Movement!$M$4:$M$2136,"USD",Movement!$C$4:$C$2136,Table11[[#This Row],[ACCOUNT NUMBER]],Movement!$J$4:$J$2136,Table11[[#This Row],[ENTITY]],Movement!$O$4:$O$2136,'Cash Balance'!$A$2)</f>
        <v>0</v>
      </c>
      <c r="T618" s="1087">
        <f t="shared" si="54"/>
        <v>0</v>
      </c>
      <c r="U618" s="1089"/>
      <c r="V618" s="817">
        <f>Table11[[#This Row],[CLOSING BALANCE (USD)]]-Table11[[#This Row],[CB_BS (USD)]]</f>
        <v>0</v>
      </c>
      <c r="W618" s="1156" t="str">
        <f>VLOOKUP('Cash Balance'!$C618,Table2[#All],MATCH('Cash Balance'!W$3,Acc_Char!$B$1:$I$1,0),0)</f>
        <v>Subsidiaries</v>
      </c>
      <c r="X618" s="1156" t="str">
        <f>VLOOKUP(IFERROR(MID($Y618,1,FIND("-",$Y618)-2),$Y618),Table3[#All],2,0)</f>
        <v>BIDV</v>
      </c>
      <c r="Y618" s="1156" t="str">
        <f>VLOOKUP($B618,Table4[#All],2,0)</f>
        <v>BIDV - THANH XUAN</v>
      </c>
      <c r="Z618" s="1151"/>
      <c r="AA618" s="49"/>
    </row>
    <row r="619" spans="1:27">
      <c r="A619" s="1153" t="str">
        <f>VLOOKUP('Cash Balance'!$C619,Table2[#All],MATCH('Cash Balance'!A$3,Acc_Char!$B$1:$I$1,0),0)</f>
        <v>BW PHU NGHIA</v>
      </c>
      <c r="B619" s="1154" t="str">
        <f>VLOOKUP('Cash Balance'!$C619,Table2[#All],MATCH('Cash Balance'!B$3,Acc_Char!$B$1:$I$1,0),0)</f>
        <v>BIDV - THANH XUAN</v>
      </c>
      <c r="C619" s="1190" t="s">
        <v>1233</v>
      </c>
      <c r="D619" s="1156" t="str">
        <f>VLOOKUP('Cash Balance'!$C619,Table2[#All],MATCH('Cash Balance'!D$3,Acc_Char!$B$1:$I$1,0),0)</f>
        <v>Saving Account</v>
      </c>
      <c r="E619" s="384" t="str">
        <f>VLOOKUP('Cash Balance'!$C619,Table2[#All],MATCH('Cash Balance'!E$3,Acc_Char!$B$1:$I$1,0),0)</f>
        <v>VND</v>
      </c>
      <c r="F619" s="1094" t="e">
        <f>VLOOKUP(C619,'Cash balance (BS)'!A:C,3,)</f>
        <v>#N/A</v>
      </c>
      <c r="G619" s="1191" t="e">
        <f t="shared" si="51"/>
        <v>#N/A</v>
      </c>
      <c r="H619" s="1318">
        <f>SUMIFS('Cash balance (Prior period)'!F:F,'Cash balance (Prior period)'!C:C,Table11[[#This Row],[ACCOUNT NUMBER]],'Cash balance (Prior period)'!E:E,Table11[[#This Row],[CURRENCY]])</f>
        <v>0</v>
      </c>
      <c r="I619" s="1318">
        <f>SUMIFS(Movement!$F$4:$F$2136,Movement!$M$4:$M$2136,"VND",Movement!$C$4:$C$2136,Table11[[#This Row],[ACCOUNT NUMBER]],Movement!$J$4:$J$2136,Table11[[#This Row],[ENTITY]],Movement!$O$4:$O$2136,'Cash Balance'!$A$2)</f>
        <v>0</v>
      </c>
      <c r="J619" s="1318">
        <f>SUMIFS(Movement!$G$4:$G$2136,Movement!$M$4:$M$2136,"VND",Movement!$C$4:$C$2136,Table11[[#This Row],[ACCOUNT NUMBER]],Movement!$J$4:$J$2136,Table11[[#This Row],[ENTITY]],Movement!$O$4:$O$2136,'Cash Balance'!$A$2)</f>
        <v>0</v>
      </c>
      <c r="K619" s="1084">
        <f>Table11[[#This Row],[CASH IN - CREDIT (VND)]]-Table11[[#This Row],[CASH OUT - DEBIT (VND)]]</f>
        <v>0</v>
      </c>
      <c r="L619" s="1095">
        <f t="shared" si="52"/>
        <v>0</v>
      </c>
      <c r="M619" s="1184" t="e">
        <f>VLOOKUP(C619,'Cash balance (BS)'!A:D,4,)</f>
        <v>#N/A</v>
      </c>
      <c r="N619" s="1095" t="e">
        <f>Table11[[#This Row],[CLOSING BALANCE (VND)2]]-Table11[[#This Row],[CB_BS (VND)]]</f>
        <v>#N/A</v>
      </c>
      <c r="O619" s="1094">
        <v>0</v>
      </c>
      <c r="P619" s="1095">
        <f t="shared" si="53"/>
        <v>0</v>
      </c>
      <c r="Q619" s="817">
        <f>SUMIFS('Cash balance (Prior period)'!G:G,'Cash balance (Prior period)'!C:C,Table11[[#This Row],[ACCOUNT NUMBER]],'Cash balance (Prior period)'!E:E,Table11[[#This Row],[CURRENCY]])</f>
        <v>0</v>
      </c>
      <c r="R619" s="817">
        <f>SUMIFS(Movement!$F$4:$F$2136,Movement!$M$4:$M$2136,"USD",Movement!$C$4:$C$2136,Table11[[#This Row],[ACCOUNT NUMBER]],Movement!$J$4:$J$2136,Table11[[#This Row],[ENTITY]],Movement!$O$4:$O$2136,'Cash Balance'!$A$2)</f>
        <v>0</v>
      </c>
      <c r="S619" s="817">
        <f>SUMIFS(Movement!$G$4:$G$2136,Movement!$M$4:$M$2136,"USD",Movement!$C$4:$C$2136,Table11[[#This Row],[ACCOUNT NUMBER]],Movement!$J$4:$J$2136,Table11[[#This Row],[ENTITY]],Movement!$O$4:$O$2136,'Cash Balance'!$A$2)</f>
        <v>0</v>
      </c>
      <c r="T619" s="1087">
        <f t="shared" si="54"/>
        <v>0</v>
      </c>
      <c r="U619" s="1089"/>
      <c r="V619" s="817">
        <f>Table11[[#This Row],[CLOSING BALANCE (USD)]]-Table11[[#This Row],[CB_BS (USD)]]</f>
        <v>0</v>
      </c>
      <c r="W619" s="1156" t="str">
        <f>VLOOKUP('Cash Balance'!$C619,Table2[#All],MATCH('Cash Balance'!W$3,Acc_Char!$B$1:$I$1,0),0)</f>
        <v>Subsidiaries</v>
      </c>
      <c r="X619" s="1156" t="str">
        <f>VLOOKUP(IFERROR(MID($Y619,1,FIND("-",$Y619)-2),$Y619),Table3[#All],2,0)</f>
        <v>BIDV</v>
      </c>
      <c r="Y619" s="1156" t="str">
        <f>VLOOKUP($B619,Table4[#All],2,0)</f>
        <v>BIDV - THANH XUAN</v>
      </c>
      <c r="Z619" s="1151"/>
      <c r="AA619" s="49"/>
    </row>
    <row r="620" spans="1:27">
      <c r="A620" s="1153" t="str">
        <f>VLOOKUP('Cash Balance'!$C620,Table2[#All],MATCH('Cash Balance'!A$3,Acc_Char!$B$1:$I$1,0),0)</f>
        <v>BW PHU NGHIA</v>
      </c>
      <c r="B620" s="1154" t="str">
        <f>VLOOKUP('Cash Balance'!$C620,Table2[#All],MATCH('Cash Balance'!B$3,Acc_Char!$B$1:$I$1,0),0)</f>
        <v>BIDV - THANH XUAN</v>
      </c>
      <c r="C620" s="1190" t="s">
        <v>1234</v>
      </c>
      <c r="D620" s="1156" t="str">
        <f>VLOOKUP('Cash Balance'!$C620,Table2[#All],MATCH('Cash Balance'!D$3,Acc_Char!$B$1:$I$1,0),0)</f>
        <v>Saving Account</v>
      </c>
      <c r="E620" s="384" t="str">
        <f>VLOOKUP('Cash Balance'!$C620,Table2[#All],MATCH('Cash Balance'!E$3,Acc_Char!$B$1:$I$1,0),0)</f>
        <v>VND</v>
      </c>
      <c r="F620" s="1094" t="e">
        <f>VLOOKUP(C620,'Cash balance (BS)'!A:C,3,)</f>
        <v>#N/A</v>
      </c>
      <c r="G620" s="1191" t="e">
        <f t="shared" si="51"/>
        <v>#N/A</v>
      </c>
      <c r="H620" s="1318">
        <f>SUMIFS('Cash balance (Prior period)'!F:F,'Cash balance (Prior period)'!C:C,Table11[[#This Row],[ACCOUNT NUMBER]],'Cash balance (Prior period)'!E:E,Table11[[#This Row],[CURRENCY]])</f>
        <v>0</v>
      </c>
      <c r="I620" s="1318">
        <f>SUMIFS(Movement!$F$4:$F$2136,Movement!$M$4:$M$2136,"VND",Movement!$C$4:$C$2136,Table11[[#This Row],[ACCOUNT NUMBER]],Movement!$J$4:$J$2136,Table11[[#This Row],[ENTITY]],Movement!$O$4:$O$2136,'Cash Balance'!$A$2)</f>
        <v>0</v>
      </c>
      <c r="J620" s="1318">
        <f>SUMIFS(Movement!$G$4:$G$2136,Movement!$M$4:$M$2136,"VND",Movement!$C$4:$C$2136,Table11[[#This Row],[ACCOUNT NUMBER]],Movement!$J$4:$J$2136,Table11[[#This Row],[ENTITY]],Movement!$O$4:$O$2136,'Cash Balance'!$A$2)</f>
        <v>0</v>
      </c>
      <c r="K620" s="1084">
        <f>Table11[[#This Row],[CASH IN - CREDIT (VND)]]-Table11[[#This Row],[CASH OUT - DEBIT (VND)]]</f>
        <v>0</v>
      </c>
      <c r="L620" s="1095">
        <f t="shared" si="52"/>
        <v>0</v>
      </c>
      <c r="M620" s="1184" t="e">
        <f>VLOOKUP(C620,'Cash balance (BS)'!A:D,4,)</f>
        <v>#N/A</v>
      </c>
      <c r="N620" s="1095" t="e">
        <f>Table11[[#This Row],[CLOSING BALANCE (VND)2]]-Table11[[#This Row],[CB_BS (VND)]]</f>
        <v>#N/A</v>
      </c>
      <c r="O620" s="1094">
        <v>0</v>
      </c>
      <c r="P620" s="1095">
        <f t="shared" si="53"/>
        <v>0</v>
      </c>
      <c r="Q620" s="817">
        <f>SUMIFS('Cash balance (Prior period)'!G:G,'Cash balance (Prior period)'!C:C,Table11[[#This Row],[ACCOUNT NUMBER]],'Cash balance (Prior period)'!E:E,Table11[[#This Row],[CURRENCY]])</f>
        <v>0</v>
      </c>
      <c r="R620" s="817">
        <f>SUMIFS(Movement!$F$4:$F$2136,Movement!$M$4:$M$2136,"USD",Movement!$C$4:$C$2136,Table11[[#This Row],[ACCOUNT NUMBER]],Movement!$J$4:$J$2136,Table11[[#This Row],[ENTITY]],Movement!$O$4:$O$2136,'Cash Balance'!$A$2)</f>
        <v>0</v>
      </c>
      <c r="S620" s="817">
        <f>SUMIFS(Movement!$G$4:$G$2136,Movement!$M$4:$M$2136,"USD",Movement!$C$4:$C$2136,Table11[[#This Row],[ACCOUNT NUMBER]],Movement!$J$4:$J$2136,Table11[[#This Row],[ENTITY]],Movement!$O$4:$O$2136,'Cash Balance'!$A$2)</f>
        <v>0</v>
      </c>
      <c r="T620" s="1087">
        <f t="shared" si="54"/>
        <v>0</v>
      </c>
      <c r="U620" s="1089"/>
      <c r="V620" s="817">
        <f>Table11[[#This Row],[CLOSING BALANCE (USD)]]-Table11[[#This Row],[CB_BS (USD)]]</f>
        <v>0</v>
      </c>
      <c r="W620" s="1156" t="str">
        <f>VLOOKUP('Cash Balance'!$C620,Table2[#All],MATCH('Cash Balance'!W$3,Acc_Char!$B$1:$I$1,0),0)</f>
        <v>Subsidiaries</v>
      </c>
      <c r="X620" s="1156" t="str">
        <f>VLOOKUP(IFERROR(MID($Y620,1,FIND("-",$Y620)-2),$Y620),Table3[#All],2,0)</f>
        <v>BIDV</v>
      </c>
      <c r="Y620" s="1156" t="str">
        <f>VLOOKUP($B620,Table4[#All],2,0)</f>
        <v>BIDV - THANH XUAN</v>
      </c>
      <c r="Z620" s="1151"/>
      <c r="AA620" s="49"/>
    </row>
    <row r="621" spans="1:27">
      <c r="A621" s="1153" t="str">
        <f>VLOOKUP('Cash Balance'!$C621,Table2[#All],MATCH('Cash Balance'!A$3,Acc_Char!$B$1:$I$1,0),0)</f>
        <v>BW SAIGON LOGISTICS</v>
      </c>
      <c r="B621" s="1154" t="str">
        <f>VLOOKUP('Cash Balance'!$C621,Table2[#All],MATCH('Cash Balance'!B$3,Acc_Char!$B$1:$I$1,0),0)</f>
        <v>VIETCOMBANK - HCM</v>
      </c>
      <c r="C621" s="1190" t="s">
        <v>1235</v>
      </c>
      <c r="D621" s="1156" t="str">
        <f>VLOOKUP('Cash Balance'!$C621,Table2[#All],MATCH('Cash Balance'!D$3,Acc_Char!$B$1:$I$1,0),0)</f>
        <v>Saving Account</v>
      </c>
      <c r="E621" s="384" t="str">
        <f>VLOOKUP('Cash Balance'!$C621,Table2[#All],MATCH('Cash Balance'!E$3,Acc_Char!$B$1:$I$1,0),0)</f>
        <v>VND</v>
      </c>
      <c r="F621" s="1094" t="e">
        <f>VLOOKUP(C621,'Cash balance (BS)'!A:C,3,)</f>
        <v>#N/A</v>
      </c>
      <c r="G621" s="1191" t="e">
        <f t="shared" si="51"/>
        <v>#N/A</v>
      </c>
      <c r="H621" s="1318">
        <f>SUMIFS('Cash balance (Prior period)'!F:F,'Cash balance (Prior period)'!C:C,Table11[[#This Row],[ACCOUNT NUMBER]],'Cash balance (Prior period)'!E:E,Table11[[#This Row],[CURRENCY]])</f>
        <v>0</v>
      </c>
      <c r="I621" s="1318">
        <f>SUMIFS(Movement!$F$4:$F$2136,Movement!$M$4:$M$2136,"VND",Movement!$C$4:$C$2136,Table11[[#This Row],[ACCOUNT NUMBER]],Movement!$J$4:$J$2136,Table11[[#This Row],[ENTITY]],Movement!$O$4:$O$2136,'Cash Balance'!$A$2)</f>
        <v>0</v>
      </c>
      <c r="J621" s="1318">
        <f>SUMIFS(Movement!$G$4:$G$2136,Movement!$M$4:$M$2136,"VND",Movement!$C$4:$C$2136,Table11[[#This Row],[ACCOUNT NUMBER]],Movement!$J$4:$J$2136,Table11[[#This Row],[ENTITY]],Movement!$O$4:$O$2136,'Cash Balance'!$A$2)</f>
        <v>0</v>
      </c>
      <c r="K621" s="1084">
        <f>Table11[[#This Row],[CASH IN - CREDIT (VND)]]-Table11[[#This Row],[CASH OUT - DEBIT (VND)]]</f>
        <v>0</v>
      </c>
      <c r="L621" s="1095">
        <f t="shared" si="52"/>
        <v>0</v>
      </c>
      <c r="M621" s="1184" t="e">
        <f>VLOOKUP(C621,'Cash balance (BS)'!A:D,4,)</f>
        <v>#N/A</v>
      </c>
      <c r="N621" s="1095" t="e">
        <f>Table11[[#This Row],[CLOSING BALANCE (VND)2]]-Table11[[#This Row],[CB_BS (VND)]]</f>
        <v>#N/A</v>
      </c>
      <c r="O621" s="1094">
        <v>0</v>
      </c>
      <c r="P621" s="1095">
        <f t="shared" si="53"/>
        <v>0</v>
      </c>
      <c r="Q621" s="817">
        <f>SUMIFS('Cash balance (Prior period)'!G:G,'Cash balance (Prior period)'!C:C,Table11[[#This Row],[ACCOUNT NUMBER]],'Cash balance (Prior period)'!E:E,Table11[[#This Row],[CURRENCY]])</f>
        <v>0</v>
      </c>
      <c r="R621" s="817">
        <f>SUMIFS(Movement!$F$4:$F$2136,Movement!$M$4:$M$2136,"USD",Movement!$C$4:$C$2136,Table11[[#This Row],[ACCOUNT NUMBER]],Movement!$J$4:$J$2136,Table11[[#This Row],[ENTITY]],Movement!$O$4:$O$2136,'Cash Balance'!$A$2)</f>
        <v>0</v>
      </c>
      <c r="S621" s="817">
        <f>SUMIFS(Movement!$G$4:$G$2136,Movement!$M$4:$M$2136,"USD",Movement!$C$4:$C$2136,Table11[[#This Row],[ACCOUNT NUMBER]],Movement!$J$4:$J$2136,Table11[[#This Row],[ENTITY]],Movement!$O$4:$O$2136,'Cash Balance'!$A$2)</f>
        <v>0</v>
      </c>
      <c r="T621" s="1087">
        <f t="shared" si="54"/>
        <v>0</v>
      </c>
      <c r="U621" s="1089"/>
      <c r="V621" s="817">
        <f>Table11[[#This Row],[CLOSING BALANCE (USD)]]-Table11[[#This Row],[CB_BS (USD)]]</f>
        <v>0</v>
      </c>
      <c r="W621" s="1156" t="str">
        <f>VLOOKUP('Cash Balance'!$C621,Table2[#All],MATCH('Cash Balance'!W$3,Acc_Char!$B$1:$I$1,0),0)</f>
        <v>Subsidiaries</v>
      </c>
      <c r="X621" s="1156" t="str">
        <f>VLOOKUP(IFERROR(MID($Y621,1,FIND("-",$Y621)-2),$Y621),Table3[#All],2,0)</f>
        <v>VCB</v>
      </c>
      <c r="Y621" s="1156" t="str">
        <f>VLOOKUP($B621,Table4[#All],2,0)</f>
        <v>VIETCOMBANK - HCM</v>
      </c>
      <c r="Z621" s="1151"/>
      <c r="AA621" s="49"/>
    </row>
    <row r="622" spans="1:27">
      <c r="A622" s="1153" t="str">
        <f>VLOOKUP('Cash Balance'!$C622,Table2[#All],MATCH('Cash Balance'!A$3,Acc_Char!$B$1:$I$1,0),0)</f>
        <v>BWID TAN DONG HIEP</v>
      </c>
      <c r="B622" s="1154" t="str">
        <f>VLOOKUP('Cash Balance'!$C622,Table2[#All],MATCH('Cash Balance'!B$3,Acc_Char!$B$1:$I$1,0),0)</f>
        <v>SINOPAC</v>
      </c>
      <c r="C622" s="1190" t="s">
        <v>1236</v>
      </c>
      <c r="D622" s="1156" t="str">
        <f>VLOOKUP('Cash Balance'!$C622,Table2[#All],MATCH('Cash Balance'!D$3,Acc_Char!$B$1:$I$1,0),0)</f>
        <v>Saving Account</v>
      </c>
      <c r="E622" s="384" t="str">
        <f>VLOOKUP('Cash Balance'!$C622,Table2[#All],MATCH('Cash Balance'!E$3,Acc_Char!$B$1:$I$1,0),0)</f>
        <v>VND</v>
      </c>
      <c r="F622" s="1094" t="e">
        <f>VLOOKUP(C622,'Cash balance (BS)'!A:C,3,)</f>
        <v>#N/A</v>
      </c>
      <c r="G622" s="1191" t="e">
        <f t="shared" si="51"/>
        <v>#N/A</v>
      </c>
      <c r="H622" s="1318">
        <f>SUMIFS('Cash balance (Prior period)'!F:F,'Cash balance (Prior period)'!C:C,Table11[[#This Row],[ACCOUNT NUMBER]],'Cash balance (Prior period)'!E:E,Table11[[#This Row],[CURRENCY]])</f>
        <v>0</v>
      </c>
      <c r="I622" s="1318">
        <f>SUMIFS(Movement!$F$4:$F$2136,Movement!$M$4:$M$2136,"VND",Movement!$C$4:$C$2136,Table11[[#This Row],[ACCOUNT NUMBER]],Movement!$J$4:$J$2136,Table11[[#This Row],[ENTITY]],Movement!$O$4:$O$2136,'Cash Balance'!$A$2)</f>
        <v>0</v>
      </c>
      <c r="J622" s="1318">
        <f>SUMIFS(Movement!$G$4:$G$2136,Movement!$M$4:$M$2136,"VND",Movement!$C$4:$C$2136,Table11[[#This Row],[ACCOUNT NUMBER]],Movement!$J$4:$J$2136,Table11[[#This Row],[ENTITY]],Movement!$O$4:$O$2136,'Cash Balance'!$A$2)</f>
        <v>0</v>
      </c>
      <c r="K622" s="1084">
        <f>Table11[[#This Row],[CASH IN - CREDIT (VND)]]-Table11[[#This Row],[CASH OUT - DEBIT (VND)]]</f>
        <v>0</v>
      </c>
      <c r="L622" s="1095">
        <f t="shared" si="52"/>
        <v>0</v>
      </c>
      <c r="M622" s="1184" t="e">
        <f>VLOOKUP(C622,'Cash balance (BS)'!A:D,4,)</f>
        <v>#N/A</v>
      </c>
      <c r="N622" s="1095" t="e">
        <f>Table11[[#This Row],[CLOSING BALANCE (VND)2]]-Table11[[#This Row],[CB_BS (VND)]]</f>
        <v>#N/A</v>
      </c>
      <c r="O622" s="1094">
        <v>0</v>
      </c>
      <c r="P622" s="1095">
        <f t="shared" si="53"/>
        <v>0</v>
      </c>
      <c r="Q622" s="817">
        <f>SUMIFS('Cash balance (Prior period)'!G:G,'Cash balance (Prior period)'!C:C,Table11[[#This Row],[ACCOUNT NUMBER]],'Cash balance (Prior period)'!E:E,Table11[[#This Row],[CURRENCY]])</f>
        <v>0</v>
      </c>
      <c r="R622" s="817">
        <f>SUMIFS(Movement!$F$4:$F$2136,Movement!$M$4:$M$2136,"USD",Movement!$C$4:$C$2136,Table11[[#This Row],[ACCOUNT NUMBER]],Movement!$J$4:$J$2136,Table11[[#This Row],[ENTITY]],Movement!$O$4:$O$2136,'Cash Balance'!$A$2)</f>
        <v>0</v>
      </c>
      <c r="S622" s="817">
        <f>SUMIFS(Movement!$G$4:$G$2136,Movement!$M$4:$M$2136,"USD",Movement!$C$4:$C$2136,Table11[[#This Row],[ACCOUNT NUMBER]],Movement!$J$4:$J$2136,Table11[[#This Row],[ENTITY]],Movement!$O$4:$O$2136,'Cash Balance'!$A$2)</f>
        <v>0</v>
      </c>
      <c r="T622" s="1087">
        <f t="shared" si="54"/>
        <v>0</v>
      </c>
      <c r="U622" s="1089"/>
      <c r="V622" s="817">
        <f>Table11[[#This Row],[CLOSING BALANCE (USD)]]-Table11[[#This Row],[CB_BS (USD)]]</f>
        <v>0</v>
      </c>
      <c r="W622" s="1156" t="str">
        <f>VLOOKUP('Cash Balance'!$C622,Table2[#All],MATCH('Cash Balance'!W$3,Acc_Char!$B$1:$I$1,0),0)</f>
        <v>Subsidiaries</v>
      </c>
      <c r="X622" s="1156" t="str">
        <f>VLOOKUP(IFERROR(MID($Y622,1,FIND("-",$Y622)-2),$Y622),Table3[#All],2,0)</f>
        <v>SNP</v>
      </c>
      <c r="Y622" s="1156" t="str">
        <f>VLOOKUP($B622,Table4[#All],2,0)</f>
        <v>SINOPAC</v>
      </c>
      <c r="Z622" s="1151"/>
      <c r="AA622" s="49"/>
    </row>
    <row r="623" spans="1:27">
      <c r="A623" s="1153" t="str">
        <f>VLOOKUP('Cash Balance'!$C623,Table2[#All],MATCH('Cash Balance'!A$3,Acc_Char!$B$1:$I$1,0),0)</f>
        <v>BWID THOI HOA 2</v>
      </c>
      <c r="B623" s="1154" t="str">
        <f>VLOOKUP('Cash Balance'!$C623,Table2[#All],MATCH('Cash Balance'!B$3,Acc_Char!$B$1:$I$1,0),0)</f>
        <v>KBank - HCM</v>
      </c>
      <c r="C623" s="1190" t="s">
        <v>1237</v>
      </c>
      <c r="D623" s="1156" t="str">
        <f>VLOOKUP('Cash Balance'!$C623,Table2[#All],MATCH('Cash Balance'!D$3,Acc_Char!$B$1:$I$1,0),0)</f>
        <v>Saving Account</v>
      </c>
      <c r="E623" s="384" t="str">
        <f>VLOOKUP('Cash Balance'!$C623,Table2[#All],MATCH('Cash Balance'!E$3,Acc_Char!$B$1:$I$1,0),0)</f>
        <v>VND</v>
      </c>
      <c r="F623" s="1094" t="e">
        <f>VLOOKUP(C623,'Cash balance (BS)'!A:C,3,)</f>
        <v>#N/A</v>
      </c>
      <c r="G623" s="1191" t="e">
        <f t="shared" si="51"/>
        <v>#N/A</v>
      </c>
      <c r="H623" s="1318">
        <f>SUMIFS('Cash balance (Prior period)'!F:F,'Cash balance (Prior period)'!C:C,Table11[[#This Row],[ACCOUNT NUMBER]],'Cash balance (Prior period)'!E:E,Table11[[#This Row],[CURRENCY]])</f>
        <v>0</v>
      </c>
      <c r="I623" s="1318">
        <f>SUMIFS(Movement!$F$4:$F$2136,Movement!$M$4:$M$2136,"VND",Movement!$C$4:$C$2136,Table11[[#This Row],[ACCOUNT NUMBER]],Movement!$J$4:$J$2136,Table11[[#This Row],[ENTITY]],Movement!$O$4:$O$2136,'Cash Balance'!$A$2)</f>
        <v>0</v>
      </c>
      <c r="J623" s="1318">
        <f>SUMIFS(Movement!$G$4:$G$2136,Movement!$M$4:$M$2136,"VND",Movement!$C$4:$C$2136,Table11[[#This Row],[ACCOUNT NUMBER]],Movement!$J$4:$J$2136,Table11[[#This Row],[ENTITY]],Movement!$O$4:$O$2136,'Cash Balance'!$A$2)</f>
        <v>0</v>
      </c>
      <c r="K623" s="1084">
        <f>Table11[[#This Row],[CASH IN - CREDIT (VND)]]-Table11[[#This Row],[CASH OUT - DEBIT (VND)]]</f>
        <v>0</v>
      </c>
      <c r="L623" s="1095">
        <f t="shared" si="52"/>
        <v>0</v>
      </c>
      <c r="M623" s="1184" t="e">
        <f>VLOOKUP(C623,'Cash balance (BS)'!A:D,4,)</f>
        <v>#N/A</v>
      </c>
      <c r="N623" s="1095" t="e">
        <f>Table11[[#This Row],[CLOSING BALANCE (VND)2]]-Table11[[#This Row],[CB_BS (VND)]]</f>
        <v>#N/A</v>
      </c>
      <c r="O623" s="1094">
        <v>0</v>
      </c>
      <c r="P623" s="1095">
        <f t="shared" si="53"/>
        <v>0</v>
      </c>
      <c r="Q623" s="817">
        <f>SUMIFS('Cash balance (Prior period)'!G:G,'Cash balance (Prior period)'!C:C,Table11[[#This Row],[ACCOUNT NUMBER]],'Cash balance (Prior period)'!E:E,Table11[[#This Row],[CURRENCY]])</f>
        <v>0</v>
      </c>
      <c r="R623" s="817">
        <f>SUMIFS(Movement!$F$4:$F$2136,Movement!$M$4:$M$2136,"USD",Movement!$C$4:$C$2136,Table11[[#This Row],[ACCOUNT NUMBER]],Movement!$J$4:$J$2136,Table11[[#This Row],[ENTITY]],Movement!$O$4:$O$2136,'Cash Balance'!$A$2)</f>
        <v>0</v>
      </c>
      <c r="S623" s="817">
        <f>SUMIFS(Movement!$G$4:$G$2136,Movement!$M$4:$M$2136,"USD",Movement!$C$4:$C$2136,Table11[[#This Row],[ACCOUNT NUMBER]],Movement!$J$4:$J$2136,Table11[[#This Row],[ENTITY]],Movement!$O$4:$O$2136,'Cash Balance'!$A$2)</f>
        <v>0</v>
      </c>
      <c r="T623" s="1087">
        <f t="shared" si="54"/>
        <v>0</v>
      </c>
      <c r="U623" s="1089"/>
      <c r="V623" s="817">
        <f>Table11[[#This Row],[CLOSING BALANCE (USD)]]-Table11[[#This Row],[CB_BS (USD)]]</f>
        <v>0</v>
      </c>
      <c r="W623" s="1156" t="str">
        <f>VLOOKUP('Cash Balance'!$C623,Table2[#All],MATCH('Cash Balance'!W$3,Acc_Char!$B$1:$I$1,0),0)</f>
        <v>Subsidiaries</v>
      </c>
      <c r="X623" s="1156" t="str">
        <f>VLOOKUP(IFERROR(MID($Y623,1,FIND("-",$Y623)-2),$Y623),Table3[#All],2,0)</f>
        <v>Others</v>
      </c>
      <c r="Y623" s="1156" t="str">
        <f>VLOOKUP($B623,Table4[#All],2,0)</f>
        <v>OTHERS</v>
      </c>
      <c r="Z623" s="1151"/>
      <c r="AA623" s="49"/>
    </row>
    <row r="624" spans="1:27">
      <c r="A624" s="1153" t="str">
        <f>VLOOKUP('Cash Balance'!$C624,Table2[#All],MATCH('Cash Balance'!A$3,Acc_Char!$B$1:$I$1,0),0)</f>
        <v>LONG BINH</v>
      </c>
      <c r="B624" s="1154" t="str">
        <f>VLOOKUP('Cash Balance'!$C624,Table2[#All],MATCH('Cash Balance'!B$3,Acc_Char!$B$1:$I$1,0),0)</f>
        <v>VIETINBANK - CN1</v>
      </c>
      <c r="C624" s="1190" t="s">
        <v>1238</v>
      </c>
      <c r="D624" s="1156" t="str">
        <f>VLOOKUP('Cash Balance'!$C624,Table2[#All],MATCH('Cash Balance'!D$3,Acc_Char!$B$1:$I$1,0),0)</f>
        <v>Saving Account</v>
      </c>
      <c r="E624" s="384" t="str">
        <f>VLOOKUP('Cash Balance'!$C624,Table2[#All],MATCH('Cash Balance'!E$3,Acc_Char!$B$1:$I$1,0),0)</f>
        <v>VND</v>
      </c>
      <c r="F624" s="1094" t="e">
        <f>VLOOKUP(C624,'Cash balance (BS)'!A:C,3,)</f>
        <v>#N/A</v>
      </c>
      <c r="G624" s="1191" t="e">
        <f t="shared" si="51"/>
        <v>#N/A</v>
      </c>
      <c r="H624" s="1318">
        <f>SUMIFS('Cash balance (Prior period)'!F:F,'Cash balance (Prior period)'!C:C,Table11[[#This Row],[ACCOUNT NUMBER]],'Cash balance (Prior period)'!E:E,Table11[[#This Row],[CURRENCY]])</f>
        <v>0</v>
      </c>
      <c r="I624" s="1318">
        <f>SUMIFS(Movement!$F$4:$F$2136,Movement!$M$4:$M$2136,"VND",Movement!$C$4:$C$2136,Table11[[#This Row],[ACCOUNT NUMBER]],Movement!$J$4:$J$2136,Table11[[#This Row],[ENTITY]],Movement!$O$4:$O$2136,'Cash Balance'!$A$2)</f>
        <v>0</v>
      </c>
      <c r="J624" s="1318">
        <f>SUMIFS(Movement!$G$4:$G$2136,Movement!$M$4:$M$2136,"VND",Movement!$C$4:$C$2136,Table11[[#This Row],[ACCOUNT NUMBER]],Movement!$J$4:$J$2136,Table11[[#This Row],[ENTITY]],Movement!$O$4:$O$2136,'Cash Balance'!$A$2)</f>
        <v>0</v>
      </c>
      <c r="K624" s="1084">
        <f>Table11[[#This Row],[CASH IN - CREDIT (VND)]]-Table11[[#This Row],[CASH OUT - DEBIT (VND)]]</f>
        <v>0</v>
      </c>
      <c r="L624" s="1095">
        <f t="shared" si="52"/>
        <v>0</v>
      </c>
      <c r="M624" s="1184" t="e">
        <f>VLOOKUP(C624,'Cash balance (BS)'!A:D,4,)</f>
        <v>#N/A</v>
      </c>
      <c r="N624" s="1095" t="e">
        <f>Table11[[#This Row],[CLOSING BALANCE (VND)2]]-Table11[[#This Row],[CB_BS (VND)]]</f>
        <v>#N/A</v>
      </c>
      <c r="O624" s="1094">
        <v>0</v>
      </c>
      <c r="P624" s="1095">
        <f t="shared" si="53"/>
        <v>0</v>
      </c>
      <c r="Q624" s="817">
        <f>SUMIFS('Cash balance (Prior period)'!G:G,'Cash balance (Prior period)'!C:C,Table11[[#This Row],[ACCOUNT NUMBER]],'Cash balance (Prior period)'!E:E,Table11[[#This Row],[CURRENCY]])</f>
        <v>0</v>
      </c>
      <c r="R624" s="817">
        <f>SUMIFS(Movement!$F$4:$F$2136,Movement!$M$4:$M$2136,"USD",Movement!$C$4:$C$2136,Table11[[#This Row],[ACCOUNT NUMBER]],Movement!$J$4:$J$2136,Table11[[#This Row],[ENTITY]],Movement!$O$4:$O$2136,'Cash Balance'!$A$2)</f>
        <v>0</v>
      </c>
      <c r="S624" s="817">
        <f>SUMIFS(Movement!$G$4:$G$2136,Movement!$M$4:$M$2136,"USD",Movement!$C$4:$C$2136,Table11[[#This Row],[ACCOUNT NUMBER]],Movement!$J$4:$J$2136,Table11[[#This Row],[ENTITY]],Movement!$O$4:$O$2136,'Cash Balance'!$A$2)</f>
        <v>0</v>
      </c>
      <c r="T624" s="1087">
        <f t="shared" si="54"/>
        <v>0</v>
      </c>
      <c r="U624" s="1089"/>
      <c r="V624" s="817">
        <f>Table11[[#This Row],[CLOSING BALANCE (USD)]]-Table11[[#This Row],[CB_BS (USD)]]</f>
        <v>0</v>
      </c>
      <c r="W624" s="1156" t="str">
        <f>VLOOKUP('Cash Balance'!$C624,Table2[#All],MATCH('Cash Balance'!W$3,Acc_Char!$B$1:$I$1,0),0)</f>
        <v>Subsidiaries</v>
      </c>
      <c r="X624" s="1156" t="str">
        <f>VLOOKUP(IFERROR(MID($Y624,1,FIND("-",$Y624)-2),$Y624),Table3[#All],2,0)</f>
        <v>VTB</v>
      </c>
      <c r="Y624" s="1156" t="str">
        <f>VLOOKUP($B624,Table4[#All],2,0)</f>
        <v>VIETINBANK - CN1</v>
      </c>
      <c r="Z624" s="1151"/>
      <c r="AA624" s="49"/>
    </row>
    <row r="625" spans="1:34">
      <c r="A625" s="1153" t="str">
        <f>VLOOKUP('Cash Balance'!$C625,Table2[#All],MATCH('Cash Balance'!A$3,Acc_Char!$B$1:$I$1,0),0)</f>
        <v>BWID DONG AN LID</v>
      </c>
      <c r="B625" s="1154" t="str">
        <f>VLOOKUP('Cash Balance'!$C625,Table2[#All],MATCH('Cash Balance'!B$3,Acc_Char!$B$1:$I$1,0),0)</f>
        <v>VIETINBANK - DONG SAI GON</v>
      </c>
      <c r="C625" s="1190" t="s">
        <v>1239</v>
      </c>
      <c r="D625" s="1156" t="str">
        <f>VLOOKUP('Cash Balance'!$C625,Table2[#All],MATCH('Cash Balance'!D$3,Acc_Char!$B$1:$I$1,0),0)</f>
        <v>Saving Account</v>
      </c>
      <c r="E625" s="384" t="str">
        <f>VLOOKUP('Cash Balance'!$C625,Table2[#All],MATCH('Cash Balance'!E$3,Acc_Char!$B$1:$I$1,0),0)</f>
        <v>VND</v>
      </c>
      <c r="F625" s="1094" t="e">
        <f>VLOOKUP(C625,'Cash balance (BS)'!A:C,3,)</f>
        <v>#N/A</v>
      </c>
      <c r="G625" s="1191" t="e">
        <f t="shared" si="51"/>
        <v>#N/A</v>
      </c>
      <c r="H625" s="1318">
        <f>SUMIFS('Cash balance (Prior period)'!F:F,'Cash balance (Prior period)'!C:C,Table11[[#This Row],[ACCOUNT NUMBER]],'Cash balance (Prior period)'!E:E,Table11[[#This Row],[CURRENCY]])</f>
        <v>0</v>
      </c>
      <c r="I625" s="1318">
        <f>SUMIFS(Movement!$F$4:$F$2136,Movement!$M$4:$M$2136,"VND",Movement!$C$4:$C$2136,Table11[[#This Row],[ACCOUNT NUMBER]],Movement!$J$4:$J$2136,Table11[[#This Row],[ENTITY]],Movement!$O$4:$O$2136,'Cash Balance'!$A$2)</f>
        <v>0</v>
      </c>
      <c r="J625" s="1318">
        <f>SUMIFS(Movement!$G$4:$G$2136,Movement!$M$4:$M$2136,"VND",Movement!$C$4:$C$2136,Table11[[#This Row],[ACCOUNT NUMBER]],Movement!$J$4:$J$2136,Table11[[#This Row],[ENTITY]],Movement!$O$4:$O$2136,'Cash Balance'!$A$2)</f>
        <v>0</v>
      </c>
      <c r="K625" s="1084">
        <f>Table11[[#This Row],[CASH IN - CREDIT (VND)]]-Table11[[#This Row],[CASH OUT - DEBIT (VND)]]</f>
        <v>0</v>
      </c>
      <c r="L625" s="1095">
        <f t="shared" si="52"/>
        <v>0</v>
      </c>
      <c r="M625" s="1184" t="e">
        <f>VLOOKUP(C625,'Cash balance (BS)'!A:D,4,)</f>
        <v>#N/A</v>
      </c>
      <c r="N625" s="1095" t="e">
        <f>Table11[[#This Row],[CLOSING BALANCE (VND)2]]-Table11[[#This Row],[CB_BS (VND)]]</f>
        <v>#N/A</v>
      </c>
      <c r="O625" s="1094">
        <v>0</v>
      </c>
      <c r="P625" s="1095">
        <f t="shared" si="53"/>
        <v>0</v>
      </c>
      <c r="Q625" s="817">
        <f>SUMIFS('Cash balance (Prior period)'!G:G,'Cash balance (Prior period)'!C:C,Table11[[#This Row],[ACCOUNT NUMBER]],'Cash balance (Prior period)'!E:E,Table11[[#This Row],[CURRENCY]])</f>
        <v>0</v>
      </c>
      <c r="R625" s="817">
        <f>SUMIFS(Movement!$F$4:$F$2136,Movement!$M$4:$M$2136,"USD",Movement!$C$4:$C$2136,Table11[[#This Row],[ACCOUNT NUMBER]],Movement!$J$4:$J$2136,Table11[[#This Row],[ENTITY]],Movement!$O$4:$O$2136,'Cash Balance'!$A$2)</f>
        <v>0</v>
      </c>
      <c r="S625" s="817">
        <f>SUMIFS(Movement!$G$4:$G$2136,Movement!$M$4:$M$2136,"USD",Movement!$C$4:$C$2136,Table11[[#This Row],[ACCOUNT NUMBER]],Movement!$J$4:$J$2136,Table11[[#This Row],[ENTITY]],Movement!$O$4:$O$2136,'Cash Balance'!$A$2)</f>
        <v>0</v>
      </c>
      <c r="T625" s="1087">
        <f t="shared" si="54"/>
        <v>0</v>
      </c>
      <c r="U625" s="1089"/>
      <c r="V625" s="817">
        <f>Table11[[#This Row],[CLOSING BALANCE (USD)]]-Table11[[#This Row],[CB_BS (USD)]]</f>
        <v>0</v>
      </c>
      <c r="W625" s="1156" t="str">
        <f>VLOOKUP('Cash Balance'!$C625,Table2[#All],MATCH('Cash Balance'!W$3,Acc_Char!$B$1:$I$1,0),0)</f>
        <v>Subsidiaries</v>
      </c>
      <c r="X625" s="1156" t="str">
        <f>VLOOKUP(IFERROR(MID($Y625,1,FIND("-",$Y625)-2),$Y625),Table3[#All],2,0)</f>
        <v>VTB</v>
      </c>
      <c r="Y625" s="1156" t="str">
        <f>VLOOKUP($B625,Table4[#All],2,0)</f>
        <v>VIETINBANK - DONG SAI GON</v>
      </c>
      <c r="Z625" s="1151"/>
      <c r="AA625" s="49"/>
    </row>
    <row r="626" spans="1:34">
      <c r="A626" s="1153" t="str">
        <f>VLOOKUP('Cash Balance'!$C626,Table2[#All],MATCH('Cash Balance'!A$3,Acc_Char!$B$1:$I$1,0),0)</f>
        <v>BCI JSC</v>
      </c>
      <c r="B626" s="1154" t="str">
        <f>VLOOKUP('Cash Balance'!$C626,Table2[#All],MATCH('Cash Balance'!B$3,Acc_Char!$B$1:$I$1,0),0)</f>
        <v>VIETINBANK - TIEN SON</v>
      </c>
      <c r="C626" s="1190" t="s">
        <v>1240</v>
      </c>
      <c r="D626" s="1156" t="str">
        <f>VLOOKUP('Cash Balance'!$C626,Table2[#All],MATCH('Cash Balance'!D$3,Acc_Char!$B$1:$I$1,0),0)</f>
        <v>Saving Account</v>
      </c>
      <c r="E626" s="384" t="str">
        <f>VLOOKUP('Cash Balance'!$C626,Table2[#All],MATCH('Cash Balance'!E$3,Acc_Char!$B$1:$I$1,0),0)</f>
        <v>VND</v>
      </c>
      <c r="F626" s="1094" t="e">
        <f>VLOOKUP(C626,'Cash balance (BS)'!A:C,3,)</f>
        <v>#N/A</v>
      </c>
      <c r="G626" s="1191" t="e">
        <f t="shared" si="51"/>
        <v>#N/A</v>
      </c>
      <c r="H626" s="1318">
        <f>SUMIFS('Cash balance (Prior period)'!F:F,'Cash balance (Prior period)'!C:C,Table11[[#This Row],[ACCOUNT NUMBER]],'Cash balance (Prior period)'!E:E,Table11[[#This Row],[CURRENCY]])</f>
        <v>0</v>
      </c>
      <c r="I626" s="1318">
        <f>SUMIFS(Movement!$F$4:$F$2136,Movement!$M$4:$M$2136,"VND",Movement!$C$4:$C$2136,Table11[[#This Row],[ACCOUNT NUMBER]],Movement!$J$4:$J$2136,Table11[[#This Row],[ENTITY]],Movement!$O$4:$O$2136,'Cash Balance'!$A$2)</f>
        <v>0</v>
      </c>
      <c r="J626" s="1318">
        <f>SUMIFS(Movement!$G$4:$G$2136,Movement!$M$4:$M$2136,"VND",Movement!$C$4:$C$2136,Table11[[#This Row],[ACCOUNT NUMBER]],Movement!$J$4:$J$2136,Table11[[#This Row],[ENTITY]],Movement!$O$4:$O$2136,'Cash Balance'!$A$2)</f>
        <v>0</v>
      </c>
      <c r="K626" s="1084">
        <f>Table11[[#This Row],[CASH IN - CREDIT (VND)]]-Table11[[#This Row],[CASH OUT - DEBIT (VND)]]</f>
        <v>0</v>
      </c>
      <c r="L626" s="1095">
        <f t="shared" si="52"/>
        <v>0</v>
      </c>
      <c r="M626" s="1184" t="e">
        <f>VLOOKUP(C626,'Cash balance (BS)'!A:D,4,)</f>
        <v>#N/A</v>
      </c>
      <c r="N626" s="1095" t="e">
        <f>Table11[[#This Row],[CLOSING BALANCE (VND)2]]-Table11[[#This Row],[CB_BS (VND)]]</f>
        <v>#N/A</v>
      </c>
      <c r="O626" s="1094">
        <v>0</v>
      </c>
      <c r="P626" s="1095">
        <f t="shared" si="53"/>
        <v>0</v>
      </c>
      <c r="Q626" s="817">
        <f>SUMIFS('Cash balance (Prior period)'!G:G,'Cash balance (Prior period)'!C:C,Table11[[#This Row],[ACCOUNT NUMBER]],'Cash balance (Prior period)'!E:E,Table11[[#This Row],[CURRENCY]])</f>
        <v>0</v>
      </c>
      <c r="R626" s="817">
        <f>SUMIFS(Movement!$F$4:$F$2136,Movement!$M$4:$M$2136,"USD",Movement!$C$4:$C$2136,Table11[[#This Row],[ACCOUNT NUMBER]],Movement!$J$4:$J$2136,Table11[[#This Row],[ENTITY]],Movement!$O$4:$O$2136,'Cash Balance'!$A$2)</f>
        <v>0</v>
      </c>
      <c r="S626" s="817">
        <f>SUMIFS(Movement!$G$4:$G$2136,Movement!$M$4:$M$2136,"USD",Movement!$C$4:$C$2136,Table11[[#This Row],[ACCOUNT NUMBER]],Movement!$J$4:$J$2136,Table11[[#This Row],[ENTITY]],Movement!$O$4:$O$2136,'Cash Balance'!$A$2)</f>
        <v>0</v>
      </c>
      <c r="T626" s="1087">
        <f t="shared" si="54"/>
        <v>0</v>
      </c>
      <c r="U626" s="1089"/>
      <c r="V626" s="817">
        <f>Table11[[#This Row],[CLOSING BALANCE (USD)]]-Table11[[#This Row],[CB_BS (USD)]]</f>
        <v>0</v>
      </c>
      <c r="W626" s="1156" t="str">
        <f>VLOOKUP('Cash Balance'!$C626,Table2[#All],MATCH('Cash Balance'!W$3,Acc_Char!$B$1:$I$1,0),0)</f>
        <v>Subsidiaries</v>
      </c>
      <c r="X626" s="1156" t="str">
        <f>VLOOKUP(IFERROR(MID($Y626,1,FIND("-",$Y626)-2),$Y626),Table3[#All],2,0)</f>
        <v>VTB</v>
      </c>
      <c r="Y626" s="1156" t="str">
        <f>VLOOKUP($B626,Table4[#All],2,0)</f>
        <v>VIETINBANK - TIEN SON</v>
      </c>
      <c r="Z626" s="1151"/>
      <c r="AA626" s="49"/>
    </row>
    <row r="627" spans="1:34">
      <c r="A627" s="1153" t="str">
        <f>VLOOKUP('Cash Balance'!$C627,Table2[#All],MATCH('Cash Balance'!A$3,Acc_Char!$B$1:$I$1,0),0)</f>
        <v>BWID BINH DUONG</v>
      </c>
      <c r="B627" s="1154" t="str">
        <f>VLOOKUP('Cash Balance'!$C627,Table2[#All],MATCH('Cash Balance'!B$3,Acc_Char!$B$1:$I$1,0),0)</f>
        <v>VIETINBANK - BINH DUONG</v>
      </c>
      <c r="C627" s="1190" t="s">
        <v>1241</v>
      </c>
      <c r="D627" s="1156" t="str">
        <f>VLOOKUP('Cash Balance'!$C627,Table2[#All],MATCH('Cash Balance'!D$3,Acc_Char!$B$1:$I$1,0),0)</f>
        <v>Saving Account</v>
      </c>
      <c r="E627" s="384" t="str">
        <f>VLOOKUP('Cash Balance'!$C627,Table2[#All],MATCH('Cash Balance'!E$3,Acc_Char!$B$1:$I$1,0),0)</f>
        <v>VND</v>
      </c>
      <c r="F627" s="1094" t="e">
        <f>VLOOKUP(C627,'Cash balance (BS)'!A:C,3,)</f>
        <v>#N/A</v>
      </c>
      <c r="G627" s="1191" t="e">
        <f t="shared" si="51"/>
        <v>#N/A</v>
      </c>
      <c r="H627" s="1318">
        <f>SUMIFS('Cash balance (Prior period)'!F:F,'Cash balance (Prior period)'!C:C,Table11[[#This Row],[ACCOUNT NUMBER]],'Cash balance (Prior period)'!E:E,Table11[[#This Row],[CURRENCY]])</f>
        <v>0</v>
      </c>
      <c r="I627" s="1318">
        <f>SUMIFS(Movement!$F$4:$F$2136,Movement!$M$4:$M$2136,"VND",Movement!$C$4:$C$2136,Table11[[#This Row],[ACCOUNT NUMBER]],Movement!$J$4:$J$2136,Table11[[#This Row],[ENTITY]],Movement!$O$4:$O$2136,'Cash Balance'!$A$2)</f>
        <v>0</v>
      </c>
      <c r="J627" s="1318">
        <f>SUMIFS(Movement!$G$4:$G$2136,Movement!$M$4:$M$2136,"VND",Movement!$C$4:$C$2136,Table11[[#This Row],[ACCOUNT NUMBER]],Movement!$J$4:$J$2136,Table11[[#This Row],[ENTITY]],Movement!$O$4:$O$2136,'Cash Balance'!$A$2)</f>
        <v>0</v>
      </c>
      <c r="K627" s="1084">
        <f>Table11[[#This Row],[CASH IN - CREDIT (VND)]]-Table11[[#This Row],[CASH OUT - DEBIT (VND)]]</f>
        <v>0</v>
      </c>
      <c r="L627" s="1095">
        <f t="shared" si="52"/>
        <v>0</v>
      </c>
      <c r="M627" s="1184" t="e">
        <f>VLOOKUP(C627,'Cash balance (BS)'!A:D,4,)</f>
        <v>#N/A</v>
      </c>
      <c r="N627" s="1095" t="e">
        <f>Table11[[#This Row],[CLOSING BALANCE (VND)2]]-Table11[[#This Row],[CB_BS (VND)]]</f>
        <v>#N/A</v>
      </c>
      <c r="O627" s="1094">
        <v>0</v>
      </c>
      <c r="P627" s="1095">
        <f t="shared" si="53"/>
        <v>0</v>
      </c>
      <c r="Q627" s="817">
        <f>SUMIFS('Cash balance (Prior period)'!G:G,'Cash balance (Prior period)'!C:C,Table11[[#This Row],[ACCOUNT NUMBER]],'Cash balance (Prior period)'!E:E,Table11[[#This Row],[CURRENCY]])</f>
        <v>0</v>
      </c>
      <c r="R627" s="817">
        <f>SUMIFS(Movement!$F$4:$F$2136,Movement!$M$4:$M$2136,"USD",Movement!$C$4:$C$2136,Table11[[#This Row],[ACCOUNT NUMBER]],Movement!$J$4:$J$2136,Table11[[#This Row],[ENTITY]],Movement!$O$4:$O$2136,'Cash Balance'!$A$2)</f>
        <v>0</v>
      </c>
      <c r="S627" s="817">
        <f>SUMIFS(Movement!$G$4:$G$2136,Movement!$M$4:$M$2136,"USD",Movement!$C$4:$C$2136,Table11[[#This Row],[ACCOUNT NUMBER]],Movement!$J$4:$J$2136,Table11[[#This Row],[ENTITY]],Movement!$O$4:$O$2136,'Cash Balance'!$A$2)</f>
        <v>0</v>
      </c>
      <c r="T627" s="1087">
        <f t="shared" si="54"/>
        <v>0</v>
      </c>
      <c r="U627" s="1089"/>
      <c r="V627" s="817">
        <f>Table11[[#This Row],[CLOSING BALANCE (USD)]]-Table11[[#This Row],[CB_BS (USD)]]</f>
        <v>0</v>
      </c>
      <c r="W627" s="1156" t="str">
        <f>VLOOKUP('Cash Balance'!$C627,Table2[#All],MATCH('Cash Balance'!W$3,Acc_Char!$B$1:$I$1,0),0)</f>
        <v>BWID JSC</v>
      </c>
      <c r="X627" s="1156" t="str">
        <f>VLOOKUP(IFERROR(MID($Y627,1,FIND("-",$Y627)-2),$Y627),Table3[#All],2,0)</f>
        <v>VTB</v>
      </c>
      <c r="Y627" s="1156" t="str">
        <f>VLOOKUP($B627,Table4[#All],2,0)</f>
        <v>VIETINBANK - BINH DUONG + QM</v>
      </c>
      <c r="Z627" s="1151"/>
      <c r="AA627" s="49"/>
    </row>
    <row r="628" spans="1:34">
      <c r="A628" s="1153" t="str">
        <f>VLOOKUP('Cash Balance'!$C628,Table2[#All],MATCH('Cash Balance'!A$3,Acc_Char!$B$1:$I$1,0),0)</f>
        <v>BWID Tan Phu Trung</v>
      </c>
      <c r="B628" s="1154" t="str">
        <f>VLOOKUP('Cash Balance'!$C628,Table2[#All],MATCH('Cash Balance'!B$3,Acc_Char!$B$1:$I$1,0),0)</f>
        <v>VIETINBANK - TIEN SON</v>
      </c>
      <c r="C628" s="1190" t="s">
        <v>1242</v>
      </c>
      <c r="D628" s="1156" t="str">
        <f>VLOOKUP('Cash Balance'!$C628,Table2[#All],MATCH('Cash Balance'!D$3,Acc_Char!$B$1:$I$1,0),0)</f>
        <v>Saving Account</v>
      </c>
      <c r="E628" s="384" t="str">
        <f>VLOOKUP('Cash Balance'!$C628,Table2[#All],MATCH('Cash Balance'!E$3,Acc_Char!$B$1:$I$1,0),0)</f>
        <v>VND</v>
      </c>
      <c r="F628" s="1094" t="e">
        <f>VLOOKUP(C628,'Cash balance (BS)'!A:C,3,)</f>
        <v>#N/A</v>
      </c>
      <c r="G628" s="1191" t="e">
        <f t="shared" ref="G628:G667" si="55">F628-H628</f>
        <v>#N/A</v>
      </c>
      <c r="H628" s="1318">
        <f>SUMIFS('Cash balance (Prior period)'!F:F,'Cash balance (Prior period)'!C:C,Table11[[#This Row],[ACCOUNT NUMBER]],'Cash balance (Prior period)'!E:E,Table11[[#This Row],[CURRENCY]])</f>
        <v>0</v>
      </c>
      <c r="I628" s="1318">
        <f>SUMIFS(Movement!$F$4:$F$2136,Movement!$M$4:$M$2136,"VND",Movement!$C$4:$C$2136,Table11[[#This Row],[ACCOUNT NUMBER]],Movement!$J$4:$J$2136,Table11[[#This Row],[ENTITY]],Movement!$O$4:$O$2136,'Cash Balance'!$A$2)</f>
        <v>0</v>
      </c>
      <c r="J628" s="1318">
        <f>SUMIFS(Movement!$G$4:$G$2136,Movement!$M$4:$M$2136,"VND",Movement!$C$4:$C$2136,Table11[[#This Row],[ACCOUNT NUMBER]],Movement!$J$4:$J$2136,Table11[[#This Row],[ENTITY]],Movement!$O$4:$O$2136,'Cash Balance'!$A$2)</f>
        <v>0</v>
      </c>
      <c r="K628" s="1084">
        <f>Table11[[#This Row],[CASH IN - CREDIT (VND)]]-Table11[[#This Row],[CASH OUT - DEBIT (VND)]]</f>
        <v>0</v>
      </c>
      <c r="L628" s="1095">
        <f t="shared" si="52"/>
        <v>0</v>
      </c>
      <c r="M628" s="1184" t="e">
        <f>VLOOKUP(C628,'Cash balance (BS)'!A:D,4,)</f>
        <v>#N/A</v>
      </c>
      <c r="N628" s="1095" t="e">
        <f>Table11[[#This Row],[CLOSING BALANCE (VND)2]]-Table11[[#This Row],[CB_BS (VND)]]</f>
        <v>#N/A</v>
      </c>
      <c r="O628" s="1094">
        <v>0</v>
      </c>
      <c r="P628" s="1095">
        <f t="shared" si="53"/>
        <v>0</v>
      </c>
      <c r="Q628" s="817">
        <f>SUMIFS('Cash balance (Prior period)'!G:G,'Cash balance (Prior period)'!C:C,Table11[[#This Row],[ACCOUNT NUMBER]],'Cash balance (Prior period)'!E:E,Table11[[#This Row],[CURRENCY]])</f>
        <v>0</v>
      </c>
      <c r="R628" s="817">
        <f>SUMIFS(Movement!$F$4:$F$2136,Movement!$M$4:$M$2136,"USD",Movement!$C$4:$C$2136,Table11[[#This Row],[ACCOUNT NUMBER]],Movement!$J$4:$J$2136,Table11[[#This Row],[ENTITY]],Movement!$O$4:$O$2136,'Cash Balance'!$A$2)</f>
        <v>0</v>
      </c>
      <c r="S628" s="817">
        <f>SUMIFS(Movement!$G$4:$G$2136,Movement!$M$4:$M$2136,"USD",Movement!$C$4:$C$2136,Table11[[#This Row],[ACCOUNT NUMBER]],Movement!$J$4:$J$2136,Table11[[#This Row],[ENTITY]],Movement!$O$4:$O$2136,'Cash Balance'!$A$2)</f>
        <v>0</v>
      </c>
      <c r="T628" s="1087">
        <f t="shared" si="54"/>
        <v>0</v>
      </c>
      <c r="U628" s="1089"/>
      <c r="V628" s="817">
        <f>Table11[[#This Row],[CLOSING BALANCE (USD)]]-Table11[[#This Row],[CB_BS (USD)]]</f>
        <v>0</v>
      </c>
      <c r="W628" s="1156" t="str">
        <f>VLOOKUP('Cash Balance'!$C628,Table2[#All],MATCH('Cash Balance'!W$3,Acc_Char!$B$1:$I$1,0),0)</f>
        <v>Subsidiaries</v>
      </c>
      <c r="X628" s="1156" t="str">
        <f>VLOOKUP(IFERROR(MID($Y628,1,FIND("-",$Y628)-2),$Y628),Table3[#All],2,0)</f>
        <v>VTB</v>
      </c>
      <c r="Y628" s="1156" t="str">
        <f>VLOOKUP($B628,Table4[#All],2,0)</f>
        <v>VIETINBANK - TIEN SON</v>
      </c>
      <c r="Z628" s="1151"/>
      <c r="AA628" s="49"/>
    </row>
    <row r="629" spans="1:34">
      <c r="A629" s="1153" t="str">
        <f>VLOOKUP('Cash Balance'!$C629,Table2[#All],MATCH('Cash Balance'!A$3,Acc_Char!$B$1:$I$1,0),0)</f>
        <v>SAO HOA</v>
      </c>
      <c r="B629" s="1154" t="str">
        <f>VLOOKUP('Cash Balance'!$C629,Table2[#All],MATCH('Cash Balance'!B$3,Acc_Char!$B$1:$I$1,0),0)</f>
        <v>VIETCOMBANK - HCM</v>
      </c>
      <c r="C629" s="1190" t="s">
        <v>1243</v>
      </c>
      <c r="D629" s="1156" t="str">
        <f>VLOOKUP('Cash Balance'!$C629,Table2[#All],MATCH('Cash Balance'!D$3,Acc_Char!$B$1:$I$1,0),0)</f>
        <v>Saving Account</v>
      </c>
      <c r="E629" s="384" t="str">
        <f>VLOOKUP('Cash Balance'!$C629,Table2[#All],MATCH('Cash Balance'!E$3,Acc_Char!$B$1:$I$1,0),0)</f>
        <v>VND</v>
      </c>
      <c r="F629" s="1094" t="e">
        <f>VLOOKUP(C629,'Cash balance (BS)'!A:C,3,)</f>
        <v>#N/A</v>
      </c>
      <c r="G629" s="1191" t="e">
        <f t="shared" si="55"/>
        <v>#N/A</v>
      </c>
      <c r="H629" s="1318">
        <f>SUMIFS('Cash balance (Prior period)'!F:F,'Cash balance (Prior period)'!C:C,Table11[[#This Row],[ACCOUNT NUMBER]],'Cash balance (Prior period)'!E:E,Table11[[#This Row],[CURRENCY]])</f>
        <v>0</v>
      </c>
      <c r="I629" s="1318">
        <f>SUMIFS(Movement!$F$4:$F$2136,Movement!$M$4:$M$2136,"VND",Movement!$C$4:$C$2136,Table11[[#This Row],[ACCOUNT NUMBER]],Movement!$J$4:$J$2136,Table11[[#This Row],[ENTITY]],Movement!$O$4:$O$2136,'Cash Balance'!$A$2)</f>
        <v>0</v>
      </c>
      <c r="J629" s="1318">
        <f>SUMIFS(Movement!$G$4:$G$2136,Movement!$M$4:$M$2136,"VND",Movement!$C$4:$C$2136,Table11[[#This Row],[ACCOUNT NUMBER]],Movement!$J$4:$J$2136,Table11[[#This Row],[ENTITY]],Movement!$O$4:$O$2136,'Cash Balance'!$A$2)</f>
        <v>0</v>
      </c>
      <c r="K629" s="1084">
        <f>Table11[[#This Row],[CASH IN - CREDIT (VND)]]-Table11[[#This Row],[CASH OUT - DEBIT (VND)]]</f>
        <v>0</v>
      </c>
      <c r="L629" s="1095">
        <f t="shared" si="52"/>
        <v>0</v>
      </c>
      <c r="M629" s="1184" t="e">
        <f>VLOOKUP(C629,'Cash balance (BS)'!A:D,4,)</f>
        <v>#N/A</v>
      </c>
      <c r="N629" s="1095" t="e">
        <f>Table11[[#This Row],[CLOSING BALANCE (VND)2]]-Table11[[#This Row],[CB_BS (VND)]]</f>
        <v>#N/A</v>
      </c>
      <c r="O629" s="1094">
        <v>0</v>
      </c>
      <c r="P629" s="1095">
        <f t="shared" si="53"/>
        <v>0</v>
      </c>
      <c r="Q629" s="817">
        <f>SUMIFS('Cash balance (Prior period)'!G:G,'Cash balance (Prior period)'!C:C,Table11[[#This Row],[ACCOUNT NUMBER]],'Cash balance (Prior period)'!E:E,Table11[[#This Row],[CURRENCY]])</f>
        <v>0</v>
      </c>
      <c r="R629" s="817">
        <f>SUMIFS(Movement!$F$4:$F$2136,Movement!$M$4:$M$2136,"USD",Movement!$C$4:$C$2136,Table11[[#This Row],[ACCOUNT NUMBER]],Movement!$J$4:$J$2136,Table11[[#This Row],[ENTITY]],Movement!$O$4:$O$2136,'Cash Balance'!$A$2)</f>
        <v>0</v>
      </c>
      <c r="S629" s="817">
        <f>SUMIFS(Movement!$G$4:$G$2136,Movement!$M$4:$M$2136,"USD",Movement!$C$4:$C$2136,Table11[[#This Row],[ACCOUNT NUMBER]],Movement!$J$4:$J$2136,Table11[[#This Row],[ENTITY]],Movement!$O$4:$O$2136,'Cash Balance'!$A$2)</f>
        <v>0</v>
      </c>
      <c r="T629" s="1087">
        <f t="shared" si="54"/>
        <v>0</v>
      </c>
      <c r="U629" s="1089"/>
      <c r="V629" s="817">
        <f>Table11[[#This Row],[CLOSING BALANCE (USD)]]-Table11[[#This Row],[CB_BS (USD)]]</f>
        <v>0</v>
      </c>
      <c r="W629" s="1156" t="str">
        <f>VLOOKUP('Cash Balance'!$C629,Table2[#All],MATCH('Cash Balance'!W$3,Acc_Char!$B$1:$I$1,0),0)</f>
        <v>VC3</v>
      </c>
      <c r="X629" s="1156" t="str">
        <f>VLOOKUP(IFERROR(MID($Y629,1,FIND("-",$Y629)-2),$Y629),Table3[#All],2,0)</f>
        <v>VCB</v>
      </c>
      <c r="Y629" s="1156" t="str">
        <f>VLOOKUP($B629,Table4[#All],2,0)</f>
        <v>VIETCOMBANK - HCM</v>
      </c>
      <c r="Z629" s="1151"/>
      <c r="AA629" s="49"/>
    </row>
    <row r="630" spans="1:34">
      <c r="A630" s="1153" t="str">
        <f>VLOOKUP('Cash Balance'!$C630,Table2[#All],MATCH('Cash Balance'!A$3,Acc_Char!$B$1:$I$1,0),0)</f>
        <v>SAO HOA</v>
      </c>
      <c r="B630" s="1154" t="str">
        <f>VLOOKUP('Cash Balance'!$C630,Table2[#All],MATCH('Cash Balance'!B$3,Acc_Char!$B$1:$I$1,0),0)</f>
        <v>VIETCOMBANK - HCM</v>
      </c>
      <c r="C630" s="1190" t="s">
        <v>1244</v>
      </c>
      <c r="D630" s="1156" t="str">
        <f>VLOOKUP('Cash Balance'!$C630,Table2[#All],MATCH('Cash Balance'!D$3,Acc_Char!$B$1:$I$1,0),0)</f>
        <v>Saving Account</v>
      </c>
      <c r="E630" s="384" t="str">
        <f>VLOOKUP('Cash Balance'!$C630,Table2[#All],MATCH('Cash Balance'!E$3,Acc_Char!$B$1:$I$1,0),0)</f>
        <v>VND</v>
      </c>
      <c r="F630" s="1094" t="e">
        <f>VLOOKUP(C630,'Cash balance (BS)'!A:C,3,)</f>
        <v>#N/A</v>
      </c>
      <c r="G630" s="1191" t="e">
        <f t="shared" si="55"/>
        <v>#N/A</v>
      </c>
      <c r="H630" s="1318">
        <f>SUMIFS('Cash balance (Prior period)'!F:F,'Cash balance (Prior period)'!C:C,Table11[[#This Row],[ACCOUNT NUMBER]],'Cash balance (Prior period)'!E:E,Table11[[#This Row],[CURRENCY]])</f>
        <v>0</v>
      </c>
      <c r="I630" s="1318">
        <f>SUMIFS(Movement!$F$4:$F$2136,Movement!$M$4:$M$2136,"VND",Movement!$C$4:$C$2136,Table11[[#This Row],[ACCOUNT NUMBER]],Movement!$J$4:$J$2136,Table11[[#This Row],[ENTITY]],Movement!$O$4:$O$2136,'Cash Balance'!$A$2)</f>
        <v>0</v>
      </c>
      <c r="J630" s="1318">
        <f>SUMIFS(Movement!$G$4:$G$2136,Movement!$M$4:$M$2136,"VND",Movement!$C$4:$C$2136,Table11[[#This Row],[ACCOUNT NUMBER]],Movement!$J$4:$J$2136,Table11[[#This Row],[ENTITY]],Movement!$O$4:$O$2136,'Cash Balance'!$A$2)</f>
        <v>0</v>
      </c>
      <c r="K630" s="1084">
        <f>Table11[[#This Row],[CASH IN - CREDIT (VND)]]-Table11[[#This Row],[CASH OUT - DEBIT (VND)]]</f>
        <v>0</v>
      </c>
      <c r="L630" s="1095">
        <f t="shared" si="52"/>
        <v>0</v>
      </c>
      <c r="M630" s="1184" t="e">
        <f>VLOOKUP(C630,'Cash balance (BS)'!A:D,4,)</f>
        <v>#N/A</v>
      </c>
      <c r="N630" s="1095" t="e">
        <f>Table11[[#This Row],[CLOSING BALANCE (VND)2]]-Table11[[#This Row],[CB_BS (VND)]]</f>
        <v>#N/A</v>
      </c>
      <c r="O630" s="1094">
        <v>0</v>
      </c>
      <c r="P630" s="1095">
        <f t="shared" si="53"/>
        <v>0</v>
      </c>
      <c r="Q630" s="817">
        <f>SUMIFS('Cash balance (Prior period)'!G:G,'Cash balance (Prior period)'!C:C,Table11[[#This Row],[ACCOUNT NUMBER]],'Cash balance (Prior period)'!E:E,Table11[[#This Row],[CURRENCY]])</f>
        <v>0</v>
      </c>
      <c r="R630" s="817">
        <f>SUMIFS(Movement!$F$4:$F$2136,Movement!$M$4:$M$2136,"USD",Movement!$C$4:$C$2136,Table11[[#This Row],[ACCOUNT NUMBER]],Movement!$J$4:$J$2136,Table11[[#This Row],[ENTITY]],Movement!$O$4:$O$2136,'Cash Balance'!$A$2)</f>
        <v>0</v>
      </c>
      <c r="S630" s="817">
        <f>SUMIFS(Movement!$G$4:$G$2136,Movement!$M$4:$M$2136,"USD",Movement!$C$4:$C$2136,Table11[[#This Row],[ACCOUNT NUMBER]],Movement!$J$4:$J$2136,Table11[[#This Row],[ENTITY]],Movement!$O$4:$O$2136,'Cash Balance'!$A$2)</f>
        <v>0</v>
      </c>
      <c r="T630" s="1087">
        <f t="shared" si="54"/>
        <v>0</v>
      </c>
      <c r="U630" s="1089"/>
      <c r="V630" s="817">
        <f>Table11[[#This Row],[CLOSING BALANCE (USD)]]-Table11[[#This Row],[CB_BS (USD)]]</f>
        <v>0</v>
      </c>
      <c r="W630" s="1156" t="str">
        <f>VLOOKUP('Cash Balance'!$C630,Table2[#All],MATCH('Cash Balance'!W$3,Acc_Char!$B$1:$I$1,0),0)</f>
        <v>VC3</v>
      </c>
      <c r="X630" s="1156" t="str">
        <f>VLOOKUP(IFERROR(MID($Y630,1,FIND("-",$Y630)-2),$Y630),Table3[#All],2,0)</f>
        <v>VCB</v>
      </c>
      <c r="Y630" s="1156" t="str">
        <f>VLOOKUP($B630,Table4[#All],2,0)</f>
        <v>VIETCOMBANK - HCM</v>
      </c>
      <c r="Z630" s="1151"/>
      <c r="AA630" s="49"/>
    </row>
    <row r="631" spans="1:34">
      <c r="A631" s="1153" t="str">
        <f>VLOOKUP('Cash Balance'!$C631,Table2[#All],MATCH('Cash Balance'!A$3,Acc_Char!$B$1:$I$1,0),0)</f>
        <v>BWID NHON TRACH</v>
      </c>
      <c r="B631" s="1154" t="str">
        <f>VLOOKUP('Cash Balance'!$C631,Table2[#All],MATCH('Cash Balance'!B$3,Acc_Char!$B$1:$I$1,0),0)</f>
        <v>VIETCOMBANK - HCM</v>
      </c>
      <c r="C631" s="1190" t="s">
        <v>1245</v>
      </c>
      <c r="D631" s="1156" t="str">
        <f>VLOOKUP('Cash Balance'!$C631,Table2[#All],MATCH('Cash Balance'!D$3,Acc_Char!$B$1:$I$1,0),0)</f>
        <v>Saving Account</v>
      </c>
      <c r="E631" s="384" t="str">
        <f>VLOOKUP('Cash Balance'!$C631,Table2[#All],MATCH('Cash Balance'!E$3,Acc_Char!$B$1:$I$1,0),0)</f>
        <v>VND</v>
      </c>
      <c r="F631" s="1094" t="e">
        <f>VLOOKUP(C631,'Cash balance (BS)'!A:C,3,)</f>
        <v>#N/A</v>
      </c>
      <c r="G631" s="1191" t="e">
        <f t="shared" si="55"/>
        <v>#N/A</v>
      </c>
      <c r="H631" s="1318">
        <f>SUMIFS('Cash balance (Prior period)'!F:F,'Cash balance (Prior period)'!C:C,Table11[[#This Row],[ACCOUNT NUMBER]],'Cash balance (Prior period)'!E:E,Table11[[#This Row],[CURRENCY]])</f>
        <v>0</v>
      </c>
      <c r="I631" s="1318">
        <f>SUMIFS(Movement!$F$4:$F$2136,Movement!$M$4:$M$2136,"VND",Movement!$C$4:$C$2136,Table11[[#This Row],[ACCOUNT NUMBER]],Movement!$J$4:$J$2136,Table11[[#This Row],[ENTITY]],Movement!$O$4:$O$2136,'Cash Balance'!$A$2)</f>
        <v>0</v>
      </c>
      <c r="J631" s="1318">
        <f>SUMIFS(Movement!$G$4:$G$2136,Movement!$M$4:$M$2136,"VND",Movement!$C$4:$C$2136,Table11[[#This Row],[ACCOUNT NUMBER]],Movement!$J$4:$J$2136,Table11[[#This Row],[ENTITY]],Movement!$O$4:$O$2136,'Cash Balance'!$A$2)</f>
        <v>0</v>
      </c>
      <c r="K631" s="1084">
        <f>Table11[[#This Row],[CASH IN - CREDIT (VND)]]-Table11[[#This Row],[CASH OUT - DEBIT (VND)]]</f>
        <v>0</v>
      </c>
      <c r="L631" s="1095">
        <f t="shared" si="52"/>
        <v>0</v>
      </c>
      <c r="M631" s="1184" t="e">
        <f>VLOOKUP(C631,'Cash balance (BS)'!A:D,4,)</f>
        <v>#N/A</v>
      </c>
      <c r="N631" s="1095" t="e">
        <f>Table11[[#This Row],[CLOSING BALANCE (VND)2]]-Table11[[#This Row],[CB_BS (VND)]]</f>
        <v>#N/A</v>
      </c>
      <c r="O631" s="1094">
        <v>0</v>
      </c>
      <c r="P631" s="1095">
        <f t="shared" si="53"/>
        <v>0</v>
      </c>
      <c r="Q631" s="817">
        <f>SUMIFS('Cash balance (Prior period)'!G:G,'Cash balance (Prior period)'!C:C,Table11[[#This Row],[ACCOUNT NUMBER]],'Cash balance (Prior period)'!E:E,Table11[[#This Row],[CURRENCY]])</f>
        <v>0</v>
      </c>
      <c r="R631" s="817">
        <f>SUMIFS(Movement!$F$4:$F$2136,Movement!$M$4:$M$2136,"USD",Movement!$C$4:$C$2136,Table11[[#This Row],[ACCOUNT NUMBER]],Movement!$J$4:$J$2136,Table11[[#This Row],[ENTITY]],Movement!$O$4:$O$2136,'Cash Balance'!$A$2)</f>
        <v>0</v>
      </c>
      <c r="S631" s="817">
        <f>SUMIFS(Movement!$G$4:$G$2136,Movement!$M$4:$M$2136,"USD",Movement!$C$4:$C$2136,Table11[[#This Row],[ACCOUNT NUMBER]],Movement!$J$4:$J$2136,Table11[[#This Row],[ENTITY]],Movement!$O$4:$O$2136,'Cash Balance'!$A$2)</f>
        <v>0</v>
      </c>
      <c r="T631" s="1087">
        <f t="shared" si="54"/>
        <v>0</v>
      </c>
      <c r="U631" s="1089"/>
      <c r="V631" s="817">
        <f>Table11[[#This Row],[CLOSING BALANCE (USD)]]-Table11[[#This Row],[CB_BS (USD)]]</f>
        <v>0</v>
      </c>
      <c r="W631" s="1156" t="str">
        <f>VLOOKUP('Cash Balance'!$C631,Table2[#All],MATCH('Cash Balance'!W$3,Acc_Char!$B$1:$I$1,0),0)</f>
        <v>Subsidiaries</v>
      </c>
      <c r="X631" s="1156" t="str">
        <f>VLOOKUP(IFERROR(MID($Y631,1,FIND("-",$Y631)-2),$Y631),Table3[#All],2,0)</f>
        <v>VCB</v>
      </c>
      <c r="Y631" s="1156" t="str">
        <f>VLOOKUP($B631,Table4[#All],2,0)</f>
        <v>VIETCOMBANK - HCM</v>
      </c>
      <c r="Z631" s="1151"/>
      <c r="AA631" s="49"/>
    </row>
    <row r="632" spans="1:34">
      <c r="A632" s="1153" t="str">
        <f>VLOOKUP('Cash Balance'!$C632,Table2[#All],MATCH('Cash Balance'!A$3,Acc_Char!$B$1:$I$1,0),0)</f>
        <v>BW SAIGON LOGISTICS</v>
      </c>
      <c r="B632" s="1154" t="str">
        <f>VLOOKUP('Cash Balance'!$C632,Table2[#All],MATCH('Cash Balance'!B$3,Acc_Char!$B$1:$I$1,0),0)</f>
        <v>VIETCOMBANK - HCM</v>
      </c>
      <c r="C632" s="1190" t="s">
        <v>1246</v>
      </c>
      <c r="D632" s="1156" t="str">
        <f>VLOOKUP('Cash Balance'!$C632,Table2[#All],MATCH('Cash Balance'!D$3,Acc_Char!$B$1:$I$1,0),0)</f>
        <v>Saving Account</v>
      </c>
      <c r="E632" s="384" t="str">
        <f>VLOOKUP('Cash Balance'!$C632,Table2[#All],MATCH('Cash Balance'!E$3,Acc_Char!$B$1:$I$1,0),0)</f>
        <v>VND</v>
      </c>
      <c r="F632" s="1094" t="e">
        <f>VLOOKUP(C632,'Cash balance (BS)'!A:C,3,)</f>
        <v>#N/A</v>
      </c>
      <c r="G632" s="1191" t="e">
        <f t="shared" si="55"/>
        <v>#N/A</v>
      </c>
      <c r="H632" s="1318">
        <f>SUMIFS('Cash balance (Prior period)'!F:F,'Cash balance (Prior period)'!C:C,Table11[[#This Row],[ACCOUNT NUMBER]],'Cash balance (Prior period)'!E:E,Table11[[#This Row],[CURRENCY]])</f>
        <v>0</v>
      </c>
      <c r="I632" s="1318">
        <f>SUMIFS(Movement!$F$4:$F$2136,Movement!$M$4:$M$2136,"VND",Movement!$C$4:$C$2136,Table11[[#This Row],[ACCOUNT NUMBER]],Movement!$J$4:$J$2136,Table11[[#This Row],[ENTITY]],Movement!$O$4:$O$2136,'Cash Balance'!$A$2)</f>
        <v>0</v>
      </c>
      <c r="J632" s="1318">
        <f>SUMIFS(Movement!$G$4:$G$2136,Movement!$M$4:$M$2136,"VND",Movement!$C$4:$C$2136,Table11[[#This Row],[ACCOUNT NUMBER]],Movement!$J$4:$J$2136,Table11[[#This Row],[ENTITY]],Movement!$O$4:$O$2136,'Cash Balance'!$A$2)</f>
        <v>0</v>
      </c>
      <c r="K632" s="1084">
        <f>Table11[[#This Row],[CASH IN - CREDIT (VND)]]-Table11[[#This Row],[CASH OUT - DEBIT (VND)]]</f>
        <v>0</v>
      </c>
      <c r="L632" s="1095">
        <f t="shared" si="52"/>
        <v>0</v>
      </c>
      <c r="M632" s="1184" t="e">
        <f>VLOOKUP(C632,'Cash balance (BS)'!A:D,4,)</f>
        <v>#N/A</v>
      </c>
      <c r="N632" s="1095" t="e">
        <f>Table11[[#This Row],[CLOSING BALANCE (VND)2]]-Table11[[#This Row],[CB_BS (VND)]]</f>
        <v>#N/A</v>
      </c>
      <c r="O632" s="1094">
        <v>0</v>
      </c>
      <c r="P632" s="1095">
        <f t="shared" si="53"/>
        <v>0</v>
      </c>
      <c r="Q632" s="817">
        <f>SUMIFS('Cash balance (Prior period)'!G:G,'Cash balance (Prior period)'!C:C,Table11[[#This Row],[ACCOUNT NUMBER]],'Cash balance (Prior period)'!E:E,Table11[[#This Row],[CURRENCY]])</f>
        <v>0</v>
      </c>
      <c r="R632" s="817">
        <f>SUMIFS(Movement!$F$4:$F$2136,Movement!$M$4:$M$2136,"USD",Movement!$C$4:$C$2136,Table11[[#This Row],[ACCOUNT NUMBER]],Movement!$J$4:$J$2136,Table11[[#This Row],[ENTITY]],Movement!$O$4:$O$2136,'Cash Balance'!$A$2)</f>
        <v>0</v>
      </c>
      <c r="S632" s="817">
        <f>SUMIFS(Movement!$G$4:$G$2136,Movement!$M$4:$M$2136,"USD",Movement!$C$4:$C$2136,Table11[[#This Row],[ACCOUNT NUMBER]],Movement!$J$4:$J$2136,Table11[[#This Row],[ENTITY]],Movement!$O$4:$O$2136,'Cash Balance'!$A$2)</f>
        <v>0</v>
      </c>
      <c r="T632" s="1087">
        <f t="shared" si="54"/>
        <v>0</v>
      </c>
      <c r="U632" s="1089"/>
      <c r="V632" s="817">
        <f>Table11[[#This Row],[CLOSING BALANCE (USD)]]-Table11[[#This Row],[CB_BS (USD)]]</f>
        <v>0</v>
      </c>
      <c r="W632" s="1156" t="str">
        <f>VLOOKUP('Cash Balance'!$C632,Table2[#All],MATCH('Cash Balance'!W$3,Acc_Char!$B$1:$I$1,0),0)</f>
        <v>Subsidiaries</v>
      </c>
      <c r="X632" s="1156" t="str">
        <f>VLOOKUP(IFERROR(MID($Y632,1,FIND("-",$Y632)-2),$Y632),Table3[#All],2,0)</f>
        <v>VCB</v>
      </c>
      <c r="Y632" s="1156" t="str">
        <f>VLOOKUP($B632,Table4[#All],2,0)</f>
        <v>VIETCOMBANK - HCM</v>
      </c>
      <c r="Z632" s="1151"/>
      <c r="AA632" s="49"/>
    </row>
    <row r="633" spans="1:34">
      <c r="A633" s="1153" t="str">
        <f>VLOOKUP('Cash Balance'!$C633,Table2[#All],MATCH('Cash Balance'!A$3,Acc_Char!$B$1:$I$1,0),0)</f>
        <v>THUAN THANH 3B</v>
      </c>
      <c r="B633" s="1154" t="str">
        <f>VLOOKUP('Cash Balance'!$C633,Table2[#All],MATCH('Cash Balance'!B$3,Acc_Char!$B$1:$I$1,0),0)</f>
        <v>VIETCOMBANK - BA DINH</v>
      </c>
      <c r="C633" s="1190" t="s">
        <v>1247</v>
      </c>
      <c r="D633" s="1156" t="str">
        <f>VLOOKUP('Cash Balance'!$C633,Table2[#All],MATCH('Cash Balance'!D$3,Acc_Char!$B$1:$I$1,0),0)</f>
        <v>Saving Account</v>
      </c>
      <c r="E633" s="384" t="str">
        <f>VLOOKUP('Cash Balance'!$C633,Table2[#All],MATCH('Cash Balance'!E$3,Acc_Char!$B$1:$I$1,0),0)</f>
        <v>VND</v>
      </c>
      <c r="F633" s="1094" t="e">
        <f>VLOOKUP(C633,'Cash balance (BS)'!A:C,3,)</f>
        <v>#N/A</v>
      </c>
      <c r="G633" s="1191" t="e">
        <f t="shared" si="55"/>
        <v>#N/A</v>
      </c>
      <c r="H633" s="1318">
        <f>SUMIFS('Cash balance (Prior period)'!F:F,'Cash balance (Prior period)'!C:C,Table11[[#This Row],[ACCOUNT NUMBER]],'Cash balance (Prior period)'!E:E,Table11[[#This Row],[CURRENCY]])</f>
        <v>0</v>
      </c>
      <c r="I633" s="1318">
        <f>SUMIFS(Movement!$F$4:$F$2136,Movement!$M$4:$M$2136,"VND",Movement!$C$4:$C$2136,Table11[[#This Row],[ACCOUNT NUMBER]],Movement!$J$4:$J$2136,Table11[[#This Row],[ENTITY]],Movement!$O$4:$O$2136,'Cash Balance'!$A$2)</f>
        <v>0</v>
      </c>
      <c r="J633" s="1318">
        <f>SUMIFS(Movement!$G$4:$G$2136,Movement!$M$4:$M$2136,"VND",Movement!$C$4:$C$2136,Table11[[#This Row],[ACCOUNT NUMBER]],Movement!$J$4:$J$2136,Table11[[#This Row],[ENTITY]],Movement!$O$4:$O$2136,'Cash Balance'!$A$2)</f>
        <v>0</v>
      </c>
      <c r="K633" s="1084">
        <f>Table11[[#This Row],[CASH IN - CREDIT (VND)]]-Table11[[#This Row],[CASH OUT - DEBIT (VND)]]</f>
        <v>0</v>
      </c>
      <c r="L633" s="1095">
        <f t="shared" si="52"/>
        <v>0</v>
      </c>
      <c r="M633" s="1184" t="e">
        <f>VLOOKUP(C633,'Cash balance (BS)'!A:D,4,)</f>
        <v>#N/A</v>
      </c>
      <c r="N633" s="1095" t="e">
        <f>Table11[[#This Row],[CLOSING BALANCE (VND)2]]-Table11[[#This Row],[CB_BS (VND)]]</f>
        <v>#N/A</v>
      </c>
      <c r="O633" s="1094">
        <v>0</v>
      </c>
      <c r="P633" s="1095">
        <f t="shared" si="53"/>
        <v>0</v>
      </c>
      <c r="Q633" s="817">
        <f>SUMIFS('Cash balance (Prior period)'!G:G,'Cash balance (Prior period)'!C:C,Table11[[#This Row],[ACCOUNT NUMBER]],'Cash balance (Prior period)'!E:E,Table11[[#This Row],[CURRENCY]])</f>
        <v>0</v>
      </c>
      <c r="R633" s="817">
        <f>SUMIFS(Movement!$F$4:$F$2136,Movement!$M$4:$M$2136,"USD",Movement!$C$4:$C$2136,Table11[[#This Row],[ACCOUNT NUMBER]],Movement!$J$4:$J$2136,Table11[[#This Row],[ENTITY]],Movement!$O$4:$O$2136,'Cash Balance'!$A$2)</f>
        <v>0</v>
      </c>
      <c r="S633" s="817">
        <f>SUMIFS(Movement!$G$4:$G$2136,Movement!$M$4:$M$2136,"USD",Movement!$C$4:$C$2136,Table11[[#This Row],[ACCOUNT NUMBER]],Movement!$J$4:$J$2136,Table11[[#This Row],[ENTITY]],Movement!$O$4:$O$2136,'Cash Balance'!$A$2)</f>
        <v>0</v>
      </c>
      <c r="T633" s="1087">
        <f t="shared" si="54"/>
        <v>0</v>
      </c>
      <c r="U633" s="1089"/>
      <c r="V633" s="817">
        <f>Table11[[#This Row],[CLOSING BALANCE (USD)]]-Table11[[#This Row],[CB_BS (USD)]]</f>
        <v>0</v>
      </c>
      <c r="W633" s="1156" t="str">
        <f>VLOOKUP('Cash Balance'!$C633,Table2[#All],MATCH('Cash Balance'!W$3,Acc_Char!$B$1:$I$1,0),0)</f>
        <v>Subsidiaries</v>
      </c>
      <c r="X633" s="1156" t="str">
        <f>VLOOKUP(IFERROR(MID($Y633,1,FIND("-",$Y633)-2),$Y633),Table3[#All],2,0)</f>
        <v>VCB</v>
      </c>
      <c r="Y633" s="1156" t="str">
        <f>VLOOKUP($B633,Table4[#All],2,0)</f>
        <v>VIETCOMBANK - BA DINH</v>
      </c>
      <c r="Z633" s="1151"/>
      <c r="AA633" s="49"/>
    </row>
    <row r="634" spans="1:34">
      <c r="A634" s="1153" t="str">
        <f>VLOOKUP('Cash Balance'!$C634,Table2[#All],MATCH('Cash Balance'!A$3,Acc_Char!$B$1:$I$1,0),0)</f>
        <v>THUAN THANH 3B</v>
      </c>
      <c r="B634" s="1154" t="str">
        <f>VLOOKUP('Cash Balance'!$C634,Table2[#All],MATCH('Cash Balance'!B$3,Acc_Char!$B$1:$I$1,0),0)</f>
        <v>VIETCOMBANK - BA DINH</v>
      </c>
      <c r="C634" s="1190" t="s">
        <v>1248</v>
      </c>
      <c r="D634" s="1156" t="str">
        <f>VLOOKUP('Cash Balance'!$C634,Table2[#All],MATCH('Cash Balance'!D$3,Acc_Char!$B$1:$I$1,0),0)</f>
        <v>Saving Account</v>
      </c>
      <c r="E634" s="384" t="str">
        <f>VLOOKUP('Cash Balance'!$C634,Table2[#All],MATCH('Cash Balance'!E$3,Acc_Char!$B$1:$I$1,0),0)</f>
        <v>VND</v>
      </c>
      <c r="F634" s="1094" t="e">
        <f>VLOOKUP(C634,'Cash balance (BS)'!A:C,3,)</f>
        <v>#N/A</v>
      </c>
      <c r="G634" s="1191" t="e">
        <f t="shared" si="55"/>
        <v>#N/A</v>
      </c>
      <c r="H634" s="1318">
        <f>SUMIFS('Cash balance (Prior period)'!F:F,'Cash balance (Prior period)'!C:C,Table11[[#This Row],[ACCOUNT NUMBER]],'Cash balance (Prior period)'!E:E,Table11[[#This Row],[CURRENCY]])</f>
        <v>0</v>
      </c>
      <c r="I634" s="1318">
        <f>SUMIFS(Movement!$F$4:$F$2136,Movement!$M$4:$M$2136,"VND",Movement!$C$4:$C$2136,Table11[[#This Row],[ACCOUNT NUMBER]],Movement!$J$4:$J$2136,Table11[[#This Row],[ENTITY]],Movement!$O$4:$O$2136,'Cash Balance'!$A$2)</f>
        <v>0</v>
      </c>
      <c r="J634" s="1318">
        <f>SUMIFS(Movement!$G$4:$G$2136,Movement!$M$4:$M$2136,"VND",Movement!$C$4:$C$2136,Table11[[#This Row],[ACCOUNT NUMBER]],Movement!$J$4:$J$2136,Table11[[#This Row],[ENTITY]],Movement!$O$4:$O$2136,'Cash Balance'!$A$2)</f>
        <v>0</v>
      </c>
      <c r="K634" s="1084">
        <f>Table11[[#This Row],[CASH IN - CREDIT (VND)]]-Table11[[#This Row],[CASH OUT - DEBIT (VND)]]</f>
        <v>0</v>
      </c>
      <c r="L634" s="1095">
        <f t="shared" si="52"/>
        <v>0</v>
      </c>
      <c r="M634" s="1184" t="e">
        <f>VLOOKUP(C634,'Cash balance (BS)'!A:D,4,)</f>
        <v>#N/A</v>
      </c>
      <c r="N634" s="1095" t="e">
        <f>Table11[[#This Row],[CLOSING BALANCE (VND)2]]-Table11[[#This Row],[CB_BS (VND)]]</f>
        <v>#N/A</v>
      </c>
      <c r="O634" s="1094">
        <v>0</v>
      </c>
      <c r="P634" s="1095">
        <f t="shared" si="53"/>
        <v>0</v>
      </c>
      <c r="Q634" s="817">
        <f>SUMIFS('Cash balance (Prior period)'!G:G,'Cash balance (Prior period)'!C:C,Table11[[#This Row],[ACCOUNT NUMBER]],'Cash balance (Prior period)'!E:E,Table11[[#This Row],[CURRENCY]])</f>
        <v>0</v>
      </c>
      <c r="R634" s="817">
        <f>SUMIFS(Movement!$F$4:$F$2136,Movement!$M$4:$M$2136,"USD",Movement!$C$4:$C$2136,Table11[[#This Row],[ACCOUNT NUMBER]],Movement!$J$4:$J$2136,Table11[[#This Row],[ENTITY]],Movement!$O$4:$O$2136,'Cash Balance'!$A$2)</f>
        <v>0</v>
      </c>
      <c r="S634" s="817">
        <f>SUMIFS(Movement!$G$4:$G$2136,Movement!$M$4:$M$2136,"USD",Movement!$C$4:$C$2136,Table11[[#This Row],[ACCOUNT NUMBER]],Movement!$J$4:$J$2136,Table11[[#This Row],[ENTITY]],Movement!$O$4:$O$2136,'Cash Balance'!$A$2)</f>
        <v>0</v>
      </c>
      <c r="T634" s="1087">
        <f t="shared" si="54"/>
        <v>0</v>
      </c>
      <c r="U634" s="1089"/>
      <c r="V634" s="817">
        <f>Table11[[#This Row],[CLOSING BALANCE (USD)]]-Table11[[#This Row],[CB_BS (USD)]]</f>
        <v>0</v>
      </c>
      <c r="W634" s="1156" t="str">
        <f>VLOOKUP('Cash Balance'!$C634,Table2[#All],MATCH('Cash Balance'!W$3,Acc_Char!$B$1:$I$1,0),0)</f>
        <v>Subsidiaries</v>
      </c>
      <c r="X634" s="1156" t="str">
        <f>VLOOKUP(IFERROR(MID($Y634,1,FIND("-",$Y634)-2),$Y634),Table3[#All],2,0)</f>
        <v>VCB</v>
      </c>
      <c r="Y634" s="1156" t="str">
        <f>VLOOKUP($B634,Table4[#All],2,0)</f>
        <v>VIETCOMBANK - BA DINH</v>
      </c>
      <c r="Z634" s="1151"/>
      <c r="AA634" s="49"/>
    </row>
    <row r="635" spans="1:34">
      <c r="A635" s="1153" t="str">
        <f>VLOOKUP('Cash Balance'!$C635,Table2[#All],MATCH('Cash Balance'!A$3,Acc_Char!$B$1:$I$1,0),0)</f>
        <v>THUAN THANH 3B</v>
      </c>
      <c r="B635" s="1154" t="str">
        <f>VLOOKUP('Cash Balance'!$C635,Table2[#All],MATCH('Cash Balance'!B$3,Acc_Char!$B$1:$I$1,0),0)</f>
        <v>VIETCOMBANK - BA DINH</v>
      </c>
      <c r="C635" s="1190" t="s">
        <v>1249</v>
      </c>
      <c r="D635" s="1156" t="str">
        <f>VLOOKUP('Cash Balance'!$C635,Table2[#All],MATCH('Cash Balance'!D$3,Acc_Char!$B$1:$I$1,0),0)</f>
        <v>Saving Account</v>
      </c>
      <c r="E635" s="384" t="str">
        <f>VLOOKUP('Cash Balance'!$C635,Table2[#All],MATCH('Cash Balance'!E$3,Acc_Char!$B$1:$I$1,0),0)</f>
        <v>VND</v>
      </c>
      <c r="F635" s="1094" t="e">
        <f>VLOOKUP(C635,'Cash balance (BS)'!A:C,3,)</f>
        <v>#N/A</v>
      </c>
      <c r="G635" s="1191" t="e">
        <f t="shared" si="55"/>
        <v>#N/A</v>
      </c>
      <c r="H635" s="1318">
        <f>SUMIFS('Cash balance (Prior period)'!F:F,'Cash balance (Prior period)'!C:C,Table11[[#This Row],[ACCOUNT NUMBER]],'Cash balance (Prior period)'!E:E,Table11[[#This Row],[CURRENCY]])</f>
        <v>14000000000</v>
      </c>
      <c r="I635" s="1318">
        <f>SUMIFS(Movement!$F$4:$F$2136,Movement!$M$4:$M$2136,"VND",Movement!$C$4:$C$2136,Table11[[#This Row],[ACCOUNT NUMBER]],Movement!$J$4:$J$2136,Table11[[#This Row],[ENTITY]],Movement!$O$4:$O$2136,'Cash Balance'!$A$2)</f>
        <v>0</v>
      </c>
      <c r="J635" s="1318">
        <f>SUMIFS(Movement!$G$4:$G$2136,Movement!$M$4:$M$2136,"VND",Movement!$C$4:$C$2136,Table11[[#This Row],[ACCOUNT NUMBER]],Movement!$J$4:$J$2136,Table11[[#This Row],[ENTITY]],Movement!$O$4:$O$2136,'Cash Balance'!$A$2)</f>
        <v>0</v>
      </c>
      <c r="K635" s="1084">
        <f>Table11[[#This Row],[CASH IN - CREDIT (VND)]]-Table11[[#This Row],[CASH OUT - DEBIT (VND)]]</f>
        <v>0</v>
      </c>
      <c r="L635" s="1095">
        <f t="shared" si="52"/>
        <v>14000000000</v>
      </c>
      <c r="M635" s="1184" t="e">
        <f>VLOOKUP(C635,'Cash balance (BS)'!A:D,4,)</f>
        <v>#N/A</v>
      </c>
      <c r="N635" s="1095" t="e">
        <f>Table11[[#This Row],[CLOSING BALANCE (VND)2]]-Table11[[#This Row],[CB_BS (VND)]]</f>
        <v>#N/A</v>
      </c>
      <c r="O635" s="1094">
        <v>0</v>
      </c>
      <c r="P635" s="1095">
        <f t="shared" si="53"/>
        <v>0</v>
      </c>
      <c r="Q635" s="817">
        <f>SUMIFS('Cash balance (Prior period)'!G:G,'Cash balance (Prior period)'!C:C,Table11[[#This Row],[ACCOUNT NUMBER]],'Cash balance (Prior period)'!E:E,Table11[[#This Row],[CURRENCY]])</f>
        <v>0</v>
      </c>
      <c r="R635" s="817">
        <f>SUMIFS(Movement!$F$4:$F$2136,Movement!$M$4:$M$2136,"USD",Movement!$C$4:$C$2136,Table11[[#This Row],[ACCOUNT NUMBER]],Movement!$J$4:$J$2136,Table11[[#This Row],[ENTITY]],Movement!$O$4:$O$2136,'Cash Balance'!$A$2)</f>
        <v>0</v>
      </c>
      <c r="S635" s="817">
        <f>SUMIFS(Movement!$G$4:$G$2136,Movement!$M$4:$M$2136,"USD",Movement!$C$4:$C$2136,Table11[[#This Row],[ACCOUNT NUMBER]],Movement!$J$4:$J$2136,Table11[[#This Row],[ENTITY]],Movement!$O$4:$O$2136,'Cash Balance'!$A$2)</f>
        <v>0</v>
      </c>
      <c r="T635" s="1087">
        <f t="shared" si="54"/>
        <v>0</v>
      </c>
      <c r="U635" s="1089"/>
      <c r="V635" s="817">
        <f>Table11[[#This Row],[CLOSING BALANCE (USD)]]-Table11[[#This Row],[CB_BS (USD)]]</f>
        <v>0</v>
      </c>
      <c r="W635" s="1156" t="str">
        <f>VLOOKUP('Cash Balance'!$C635,Table2[#All],MATCH('Cash Balance'!W$3,Acc_Char!$B$1:$I$1,0),0)</f>
        <v>Subsidiaries</v>
      </c>
      <c r="X635" s="1156" t="str">
        <f>VLOOKUP(IFERROR(MID($Y635,1,FIND("-",$Y635)-2),$Y635),Table3[#All],2,0)</f>
        <v>VCB</v>
      </c>
      <c r="Y635" s="1156" t="str">
        <f>VLOOKUP($B635,Table4[#All],2,0)</f>
        <v>VIETCOMBANK - BA DINH</v>
      </c>
      <c r="Z635" s="1151"/>
      <c r="AA635" s="49"/>
    </row>
    <row r="636" spans="1:34">
      <c r="A636" s="1153" t="str">
        <f>VLOOKUP('Cash Balance'!$C636,Table2[#All],MATCH('Cash Balance'!A$3,Acc_Char!$B$1:$I$1,0),0)</f>
        <v>THUAN THANH 3B</v>
      </c>
      <c r="B636" s="1154" t="str">
        <f>VLOOKUP('Cash Balance'!$C636,Table2[#All],MATCH('Cash Balance'!B$3,Acc_Char!$B$1:$I$1,0),0)</f>
        <v>VIETCOMBANK - BA DINH</v>
      </c>
      <c r="C636" s="1190" t="s">
        <v>1250</v>
      </c>
      <c r="D636" s="1156" t="str">
        <f>VLOOKUP('Cash Balance'!$C636,Table2[#All],MATCH('Cash Balance'!D$3,Acc_Char!$B$1:$I$1,0),0)</f>
        <v>Saving Account</v>
      </c>
      <c r="E636" s="384" t="str">
        <f>VLOOKUP('Cash Balance'!$C636,Table2[#All],MATCH('Cash Balance'!E$3,Acc_Char!$B$1:$I$1,0),0)</f>
        <v>VND</v>
      </c>
      <c r="F636" s="1094" t="e">
        <f>VLOOKUP(C636,'Cash balance (BS)'!A:C,3,)</f>
        <v>#N/A</v>
      </c>
      <c r="G636" s="1191" t="e">
        <f t="shared" si="55"/>
        <v>#N/A</v>
      </c>
      <c r="H636" s="1318">
        <f>SUMIFS('Cash balance (Prior period)'!F:F,'Cash balance (Prior period)'!C:C,Table11[[#This Row],[ACCOUNT NUMBER]],'Cash balance (Prior period)'!E:E,Table11[[#This Row],[CURRENCY]])</f>
        <v>3500000000</v>
      </c>
      <c r="I636" s="1318">
        <f>SUMIFS(Movement!$F$4:$F$2136,Movement!$M$4:$M$2136,"VND",Movement!$C$4:$C$2136,Table11[[#This Row],[ACCOUNT NUMBER]],Movement!$J$4:$J$2136,Table11[[#This Row],[ENTITY]],Movement!$O$4:$O$2136,'Cash Balance'!$A$2)</f>
        <v>0</v>
      </c>
      <c r="J636" s="1318">
        <f>SUMIFS(Movement!$G$4:$G$2136,Movement!$M$4:$M$2136,"VND",Movement!$C$4:$C$2136,Table11[[#This Row],[ACCOUNT NUMBER]],Movement!$J$4:$J$2136,Table11[[#This Row],[ENTITY]],Movement!$O$4:$O$2136,'Cash Balance'!$A$2)</f>
        <v>0</v>
      </c>
      <c r="K636" s="1084">
        <f>Table11[[#This Row],[CASH IN - CREDIT (VND)]]-Table11[[#This Row],[CASH OUT - DEBIT (VND)]]</f>
        <v>0</v>
      </c>
      <c r="L636" s="1095">
        <f t="shared" si="52"/>
        <v>3500000000</v>
      </c>
      <c r="M636" s="1184" t="e">
        <f>VLOOKUP(C636,'Cash balance (BS)'!A:D,4,)</f>
        <v>#N/A</v>
      </c>
      <c r="N636" s="1095" t="e">
        <f>Table11[[#This Row],[CLOSING BALANCE (VND)2]]-Table11[[#This Row],[CB_BS (VND)]]</f>
        <v>#N/A</v>
      </c>
      <c r="O636" s="1094">
        <v>0</v>
      </c>
      <c r="P636" s="1095">
        <f t="shared" si="53"/>
        <v>0</v>
      </c>
      <c r="Q636" s="817">
        <f>SUMIFS('Cash balance (Prior period)'!G:G,'Cash balance (Prior period)'!C:C,Table11[[#This Row],[ACCOUNT NUMBER]],'Cash balance (Prior period)'!E:E,Table11[[#This Row],[CURRENCY]])</f>
        <v>0</v>
      </c>
      <c r="R636" s="817">
        <f>SUMIFS(Movement!$F$4:$F$2136,Movement!$M$4:$M$2136,"USD",Movement!$C$4:$C$2136,Table11[[#This Row],[ACCOUNT NUMBER]],Movement!$J$4:$J$2136,Table11[[#This Row],[ENTITY]],Movement!$O$4:$O$2136,'Cash Balance'!$A$2)</f>
        <v>0</v>
      </c>
      <c r="S636" s="817">
        <f>SUMIFS(Movement!$G$4:$G$2136,Movement!$M$4:$M$2136,"USD",Movement!$C$4:$C$2136,Table11[[#This Row],[ACCOUNT NUMBER]],Movement!$J$4:$J$2136,Table11[[#This Row],[ENTITY]],Movement!$O$4:$O$2136,'Cash Balance'!$A$2)</f>
        <v>0</v>
      </c>
      <c r="T636" s="1087">
        <f t="shared" si="54"/>
        <v>0</v>
      </c>
      <c r="U636" s="1089"/>
      <c r="V636" s="817">
        <f>Table11[[#This Row],[CLOSING BALANCE (USD)]]-Table11[[#This Row],[CB_BS (USD)]]</f>
        <v>0</v>
      </c>
      <c r="W636" s="1156" t="str">
        <f>VLOOKUP('Cash Balance'!$C636,Table2[#All],MATCH('Cash Balance'!W$3,Acc_Char!$B$1:$I$1,0),0)</f>
        <v>Subsidiaries</v>
      </c>
      <c r="X636" s="1156" t="str">
        <f>VLOOKUP(IFERROR(MID($Y636,1,FIND("-",$Y636)-2),$Y636),Table3[#All],2,0)</f>
        <v>VCB</v>
      </c>
      <c r="Y636" s="1156" t="str">
        <f>VLOOKUP($B636,Table4[#All],2,0)</f>
        <v>VIETCOMBANK - BA DINH</v>
      </c>
      <c r="Z636" s="1151"/>
      <c r="AA636" s="49"/>
    </row>
    <row r="637" spans="1:34">
      <c r="A637" s="1153" t="str">
        <f>VLOOKUP('Cash Balance'!$C637,Table2[#All],MATCH('Cash Balance'!A$3,Acc_Char!$B$1:$I$1,0),0)</f>
        <v>BWID THOI HOA</v>
      </c>
      <c r="B637" s="1154" t="str">
        <f>VLOOKUP('Cash Balance'!$C637,Table2[#All],MATCH('Cash Balance'!B$3,Acc_Char!$B$1:$I$1,0),0)</f>
        <v>VIETCOMBANK - HCM</v>
      </c>
      <c r="C637" s="1190" t="s">
        <v>1251</v>
      </c>
      <c r="D637" s="1156" t="str">
        <f>VLOOKUP('Cash Balance'!$C637,Table2[#All],MATCH('Cash Balance'!D$3,Acc_Char!$B$1:$I$1,0),0)</f>
        <v>Saving Account</v>
      </c>
      <c r="E637" s="384" t="str">
        <f>VLOOKUP('Cash Balance'!$C637,Table2[#All],MATCH('Cash Balance'!E$3,Acc_Char!$B$1:$I$1,0),0)</f>
        <v>VND</v>
      </c>
      <c r="F637" s="1094" t="e">
        <f>VLOOKUP(C637,'Cash balance (BS)'!A:C,3,)</f>
        <v>#N/A</v>
      </c>
      <c r="G637" s="1191" t="e">
        <f>F637-H637</f>
        <v>#N/A</v>
      </c>
      <c r="H637" s="1318">
        <f>SUMIFS('Cash balance (Prior period)'!F:F,'Cash balance (Prior period)'!C:C,Table11[[#This Row],[ACCOUNT NUMBER]],'Cash balance (Prior period)'!E:E,Table11[[#This Row],[CURRENCY]])</f>
        <v>0</v>
      </c>
      <c r="I637" s="1318">
        <f>SUMIFS(Movement!$F$4:$F$2136,Movement!$M$4:$M$2136,"VND",Movement!$C$4:$C$2136,Table11[[#This Row],[ACCOUNT NUMBER]],Movement!$J$4:$J$2136,Table11[[#This Row],[ENTITY]],Movement!$O$4:$O$2136,'Cash Balance'!$A$2)</f>
        <v>0</v>
      </c>
      <c r="J637" s="1318">
        <f>SUMIFS(Movement!$G$4:$G$2136,Movement!$M$4:$M$2136,"VND",Movement!$C$4:$C$2136,Table11[[#This Row],[ACCOUNT NUMBER]],Movement!$J$4:$J$2136,Table11[[#This Row],[ENTITY]],Movement!$O$4:$O$2136,'Cash Balance'!$A$2)</f>
        <v>0</v>
      </c>
      <c r="K637" s="1084">
        <f>Table11[[#This Row],[CASH IN - CREDIT (VND)]]-Table11[[#This Row],[CASH OUT - DEBIT (VND)]]</f>
        <v>0</v>
      </c>
      <c r="L637" s="1095">
        <f t="shared" si="52"/>
        <v>0</v>
      </c>
      <c r="M637" s="1184" t="e">
        <f>VLOOKUP(C637,'Cash balance (BS)'!A:D,4,)</f>
        <v>#N/A</v>
      </c>
      <c r="N637" s="1095" t="e">
        <f>Table11[[#This Row],[CLOSING BALANCE (VND)2]]-Table11[[#This Row],[CB_BS (VND)]]</f>
        <v>#N/A</v>
      </c>
      <c r="O637" s="1094">
        <v>0</v>
      </c>
      <c r="P637" s="1095">
        <f t="shared" si="53"/>
        <v>0</v>
      </c>
      <c r="Q637" s="817">
        <f>SUMIFS('Cash balance (Prior period)'!G:G,'Cash balance (Prior period)'!C:C,Table11[[#This Row],[ACCOUNT NUMBER]],'Cash balance (Prior period)'!E:E,Table11[[#This Row],[CURRENCY]])</f>
        <v>0</v>
      </c>
      <c r="R637" s="817">
        <f>SUMIFS(Movement!$F$4:$F$2136,Movement!$M$4:$M$2136,"USD",Movement!$C$4:$C$2136,Table11[[#This Row],[ACCOUNT NUMBER]],Movement!$J$4:$J$2136,Table11[[#This Row],[ENTITY]],Movement!$O$4:$O$2136,'Cash Balance'!$A$2)</f>
        <v>0</v>
      </c>
      <c r="S637" s="817">
        <f>SUMIFS(Movement!$G$4:$G$2136,Movement!$M$4:$M$2136,"USD",Movement!$C$4:$C$2136,Table11[[#This Row],[ACCOUNT NUMBER]],Movement!$J$4:$J$2136,Table11[[#This Row],[ENTITY]],Movement!$O$4:$O$2136,'Cash Balance'!$A$2)</f>
        <v>0</v>
      </c>
      <c r="T637" s="1087">
        <f t="shared" si="54"/>
        <v>0</v>
      </c>
      <c r="U637" s="1089"/>
      <c r="V637" s="817">
        <f>Table11[[#This Row],[CLOSING BALANCE (USD)]]-Table11[[#This Row],[CB_BS (USD)]]</f>
        <v>0</v>
      </c>
      <c r="W637" s="1156" t="str">
        <f>VLOOKUP('Cash Balance'!$C637,Table2[#All],MATCH('Cash Balance'!W$3,Acc_Char!$B$1:$I$1,0),0)</f>
        <v>Subsidiaries</v>
      </c>
      <c r="X637" s="1156" t="str">
        <f>VLOOKUP(IFERROR(MID($Y637,1,FIND("-",$Y637)-2),$Y637),Table3[#All],2,0)</f>
        <v>VCB</v>
      </c>
      <c r="Y637" s="1156" t="str">
        <f>VLOOKUP($B637,Table4[#All],2,0)</f>
        <v>VIETCOMBANK - HCM</v>
      </c>
      <c r="Z637" s="1151"/>
      <c r="AA637" s="49"/>
    </row>
    <row r="638" spans="1:34">
      <c r="A638" s="1153" t="str">
        <f>VLOOKUP('Cash Balance'!$C638,Table2[#All],MATCH('Cash Balance'!A$3,Acc_Char!$B$1:$I$1,0),0)</f>
        <v>BWID THOI HOA</v>
      </c>
      <c r="B638" s="1154" t="str">
        <f>VLOOKUP('Cash Balance'!$C638,Table2[#All],MATCH('Cash Balance'!B$3,Acc_Char!$B$1:$I$1,0),0)</f>
        <v>VIETCOMBANK - HCM</v>
      </c>
      <c r="C638" s="1190" t="s">
        <v>1252</v>
      </c>
      <c r="D638" s="1156" t="str">
        <f>VLOOKUP('Cash Balance'!$C638,Table2[#All],MATCH('Cash Balance'!D$3,Acc_Char!$B$1:$I$1,0),0)</f>
        <v>Current Account</v>
      </c>
      <c r="E638" s="384" t="str">
        <f>VLOOKUP('Cash Balance'!$C638,Table2[#All],MATCH('Cash Balance'!E$3,Acc_Char!$B$1:$I$1,0),0)</f>
        <v>VND</v>
      </c>
      <c r="F638" s="1094" t="e">
        <f>VLOOKUP(C638,'Cash balance (BS)'!A:C,3,)</f>
        <v>#N/A</v>
      </c>
      <c r="G638" s="1191" t="e">
        <f t="shared" si="55"/>
        <v>#N/A</v>
      </c>
      <c r="H638" s="1318">
        <f>SUMIFS('Cash balance (Prior period)'!F:F,'Cash balance (Prior period)'!C:C,Table11[[#This Row],[ACCOUNT NUMBER]],'Cash balance (Prior period)'!E:E,Table11[[#This Row],[CURRENCY]])</f>
        <v>2128419721</v>
      </c>
      <c r="I638" s="1318">
        <f>SUMIFS(Movement!$F$4:$F$2136,Movement!$M$4:$M$2136,"VND",Movement!$C$4:$C$2136,Table11[[#This Row],[ACCOUNT NUMBER]],Movement!$J$4:$J$2136,Table11[[#This Row],[ENTITY]],Movement!$O$4:$O$2136,'Cash Balance'!$A$2)</f>
        <v>21224868376</v>
      </c>
      <c r="J638" s="1318">
        <f>SUMIFS(Movement!$G$4:$G$2136,Movement!$M$4:$M$2136,"VND",Movement!$C$4:$C$2136,Table11[[#This Row],[ACCOUNT NUMBER]],Movement!$J$4:$J$2136,Table11[[#This Row],[ENTITY]],Movement!$O$4:$O$2136,'Cash Balance'!$A$2)</f>
        <v>1187217898</v>
      </c>
      <c r="K638" s="1084">
        <f>Table11[[#This Row],[CASH IN - CREDIT (VND)]]-Table11[[#This Row],[CASH OUT - DEBIT (VND)]]</f>
        <v>20037650478</v>
      </c>
      <c r="L638" s="1095">
        <f t="shared" si="52"/>
        <v>22166070199</v>
      </c>
      <c r="M638" s="1184" t="e">
        <f>VLOOKUP(C638,'Cash balance (BS)'!A:D,4,)</f>
        <v>#N/A</v>
      </c>
      <c r="N638" s="1095" t="e">
        <f>Table11[[#This Row],[CLOSING BALANCE (VND)2]]-Table11[[#This Row],[CB_BS (VND)]]</f>
        <v>#N/A</v>
      </c>
      <c r="O638" s="1094">
        <v>0</v>
      </c>
      <c r="P638" s="1095">
        <f t="shared" si="53"/>
        <v>0</v>
      </c>
      <c r="Q638" s="817">
        <f>SUMIFS('Cash balance (Prior period)'!G:G,'Cash balance (Prior period)'!C:C,Table11[[#This Row],[ACCOUNT NUMBER]],'Cash balance (Prior period)'!E:E,Table11[[#This Row],[CURRENCY]])</f>
        <v>0</v>
      </c>
      <c r="R638" s="817">
        <f>SUMIFS(Movement!$F$4:$F$2136,Movement!$M$4:$M$2136,"USD",Movement!$C$4:$C$2136,Table11[[#This Row],[ACCOUNT NUMBER]],Movement!$J$4:$J$2136,Table11[[#This Row],[ENTITY]],Movement!$O$4:$O$2136,'Cash Balance'!$A$2)</f>
        <v>0</v>
      </c>
      <c r="S638" s="817">
        <f>SUMIFS(Movement!$G$4:$G$2136,Movement!$M$4:$M$2136,"USD",Movement!$C$4:$C$2136,Table11[[#This Row],[ACCOUNT NUMBER]],Movement!$J$4:$J$2136,Table11[[#This Row],[ENTITY]],Movement!$O$4:$O$2136,'Cash Balance'!$A$2)</f>
        <v>0</v>
      </c>
      <c r="T638" s="1087">
        <f t="shared" si="54"/>
        <v>0</v>
      </c>
      <c r="U638" s="1089"/>
      <c r="V638" s="817">
        <f>Table11[[#This Row],[CLOSING BALANCE (USD)]]-Table11[[#This Row],[CB_BS (USD)]]</f>
        <v>0</v>
      </c>
      <c r="W638" s="1156" t="str">
        <f>VLOOKUP('Cash Balance'!$C638,Table2[#All],MATCH('Cash Balance'!W$3,Acc_Char!$B$1:$I$1,0),0)</f>
        <v>Subsidiaries</v>
      </c>
      <c r="X638" s="1156" t="str">
        <f>VLOOKUP(IFERROR(MID($Y638,1,FIND("-",$Y638)-2),$Y638),Table3[#All],2,0)</f>
        <v>VCB</v>
      </c>
      <c r="Y638" s="1156" t="str">
        <f>VLOOKUP($B638,Table4[#All],2,0)</f>
        <v>VIETCOMBANK - HCM</v>
      </c>
      <c r="Z638" s="1151"/>
      <c r="AA638" s="49"/>
    </row>
    <row r="639" spans="1:34">
      <c r="A639" s="1153" t="str">
        <f>VLOOKUP('Cash Balance'!$C639,Table2[#All],MATCH('Cash Balance'!A$3,Acc_Char!$B$1:$I$1,0),0)</f>
        <v>BWID Tan Phu Trung</v>
      </c>
      <c r="B639" s="1154" t="str">
        <f>VLOOKUP('Cash Balance'!$C639,Table2[#All],MATCH('Cash Balance'!B$3,Acc_Char!$B$1:$I$1,0),0)</f>
        <v>KEB Hana - HCM</v>
      </c>
      <c r="C639" s="1190" t="s">
        <v>1253</v>
      </c>
      <c r="D639" s="1156" t="str">
        <f>VLOOKUP('Cash Balance'!$C639,Table2[#All],MATCH('Cash Balance'!D$3,Acc_Char!$B$1:$I$1,0),0)</f>
        <v>Current Account</v>
      </c>
      <c r="E639" s="384" t="str">
        <f>VLOOKUP('Cash Balance'!$C639,Table2[#All],MATCH('Cash Balance'!E$3,Acc_Char!$B$1:$I$1,0),0)</f>
        <v>VND</v>
      </c>
      <c r="F639" s="1094" t="e">
        <f>VLOOKUP(C639,'Cash balance (BS)'!A:C,3,)</f>
        <v>#N/A</v>
      </c>
      <c r="G639" s="1191" t="e">
        <f t="shared" si="55"/>
        <v>#N/A</v>
      </c>
      <c r="H639" s="1318">
        <f>SUMIFS('Cash balance (Prior period)'!F:F,'Cash balance (Prior period)'!C:C,Table11[[#This Row],[ACCOUNT NUMBER]],'Cash balance (Prior period)'!E:E,Table11[[#This Row],[CURRENCY]])</f>
        <v>32655890</v>
      </c>
      <c r="I639" s="1318">
        <f>SUMIFS(Movement!$F$4:$F$2136,Movement!$M$4:$M$2136,"VND",Movement!$C$4:$C$2136,Table11[[#This Row],[ACCOUNT NUMBER]],Movement!$J$4:$J$2136,Table11[[#This Row],[ENTITY]],Movement!$O$4:$O$2136,'Cash Balance'!$A$2)</f>
        <v>8169196640</v>
      </c>
      <c r="J639" s="1318">
        <f>SUMIFS(Movement!$G$4:$G$2136,Movement!$M$4:$M$2136,"VND",Movement!$C$4:$C$2136,Table11[[#This Row],[ACCOUNT NUMBER]],Movement!$J$4:$J$2136,Table11[[#This Row],[ENTITY]],Movement!$O$4:$O$2136,'Cash Balance'!$A$2)</f>
        <v>0</v>
      </c>
      <c r="K639" s="1084">
        <f>Table11[[#This Row],[CASH IN - CREDIT (VND)]]-Table11[[#This Row],[CASH OUT - DEBIT (VND)]]</f>
        <v>8169196640</v>
      </c>
      <c r="L639" s="1095">
        <f t="shared" si="52"/>
        <v>8201852530</v>
      </c>
      <c r="M639" s="1184" t="e">
        <f>VLOOKUP(C639,'Cash balance (BS)'!A:D,4,)</f>
        <v>#N/A</v>
      </c>
      <c r="N639" s="1095" t="e">
        <f>Table11[[#This Row],[CLOSING BALANCE (VND)2]]-Table11[[#This Row],[CB_BS (VND)]]</f>
        <v>#N/A</v>
      </c>
      <c r="O639" s="1094">
        <v>0</v>
      </c>
      <c r="P639" s="1095">
        <f t="shared" si="53"/>
        <v>0</v>
      </c>
      <c r="Q639" s="817">
        <f>SUMIFS('Cash balance (Prior period)'!G:G,'Cash balance (Prior period)'!C:C,Table11[[#This Row],[ACCOUNT NUMBER]],'Cash balance (Prior period)'!E:E,Table11[[#This Row],[CURRENCY]])</f>
        <v>0</v>
      </c>
      <c r="R639" s="817">
        <f>SUMIFS(Movement!$F$4:$F$2136,Movement!$M$4:$M$2136,"USD",Movement!$C$4:$C$2136,Table11[[#This Row],[ACCOUNT NUMBER]],Movement!$J$4:$J$2136,Table11[[#This Row],[ENTITY]],Movement!$O$4:$O$2136,'Cash Balance'!$A$2)</f>
        <v>0</v>
      </c>
      <c r="S639" s="817">
        <f>SUMIFS(Movement!$G$4:$G$2136,Movement!$M$4:$M$2136,"USD",Movement!$C$4:$C$2136,Table11[[#This Row],[ACCOUNT NUMBER]],Movement!$J$4:$J$2136,Table11[[#This Row],[ENTITY]],Movement!$O$4:$O$2136,'Cash Balance'!$A$2)</f>
        <v>0</v>
      </c>
      <c r="T639" s="1087">
        <f t="shared" si="54"/>
        <v>0</v>
      </c>
      <c r="U639" s="1089"/>
      <c r="V639" s="817">
        <f>Table11[[#This Row],[CLOSING BALANCE (USD)]]-Table11[[#This Row],[CB_BS (USD)]]</f>
        <v>0</v>
      </c>
      <c r="W639" s="1156" t="str">
        <f>VLOOKUP('Cash Balance'!$C639,Table2[#All],MATCH('Cash Balance'!W$3,Acc_Char!$B$1:$I$1,0),0)</f>
        <v>Subsidiaries</v>
      </c>
      <c r="X639" s="1156" t="str">
        <f>VLOOKUP(IFERROR(MID($Y639,1,FIND("-",$Y639)-2),$Y639),Table3[#All],2,0)</f>
        <v>KEB Hana</v>
      </c>
      <c r="Y639" s="1156" t="str">
        <f>VLOOKUP($B639,Table4[#All],2,0)</f>
        <v>KEB Hana - HCM</v>
      </c>
      <c r="Z639" s="1151"/>
      <c r="AA639" s="49"/>
      <c r="AH639" s="49"/>
    </row>
    <row r="640" spans="1:34">
      <c r="A640" s="1153" t="str">
        <f>VLOOKUP('Cash Balance'!$C640,Table2[#All],MATCH('Cash Balance'!A$3,Acc_Char!$B$1:$I$1,0),0)</f>
        <v>BWID Tan Phu Trung</v>
      </c>
      <c r="B640" s="1154" t="str">
        <f>VLOOKUP('Cash Balance'!$C640,Table2[#All],MATCH('Cash Balance'!B$3,Acc_Char!$B$1:$I$1,0),0)</f>
        <v>KEB Hana - HCM</v>
      </c>
      <c r="C640" s="1190" t="s">
        <v>1254</v>
      </c>
      <c r="D640" s="1156" t="str">
        <f>VLOOKUP('Cash Balance'!$C640,Table2[#All],MATCH('Cash Balance'!D$3,Acc_Char!$B$1:$I$1,0),0)</f>
        <v>Saving Account</v>
      </c>
      <c r="E640" s="384" t="str">
        <f>VLOOKUP('Cash Balance'!$C640,Table2[#All],MATCH('Cash Balance'!E$3,Acc_Char!$B$1:$I$1,0),0)</f>
        <v>VND</v>
      </c>
      <c r="F640" s="1094" t="e">
        <f>VLOOKUP(C640,'Cash balance (BS)'!A:C,3,)</f>
        <v>#N/A</v>
      </c>
      <c r="G640" s="1191" t="e">
        <f t="shared" si="55"/>
        <v>#N/A</v>
      </c>
      <c r="H640" s="1318">
        <f>SUMIFS('Cash balance (Prior period)'!F:F,'Cash balance (Prior period)'!C:C,Table11[[#This Row],[ACCOUNT NUMBER]],'Cash balance (Prior period)'!E:E,Table11[[#This Row],[CURRENCY]])</f>
        <v>0</v>
      </c>
      <c r="I640" s="1318">
        <f>SUMIFS(Movement!$F$4:$F$2136,Movement!$M$4:$M$2136,"VND",Movement!$C$4:$C$2136,Table11[[#This Row],[ACCOUNT NUMBER]],Movement!$J$4:$J$2136,Table11[[#This Row],[ENTITY]],Movement!$O$4:$O$2136,'Cash Balance'!$A$2)</f>
        <v>0</v>
      </c>
      <c r="J640" s="1318">
        <f>SUMIFS(Movement!$G$4:$G$2136,Movement!$M$4:$M$2136,"VND",Movement!$C$4:$C$2136,Table11[[#This Row],[ACCOUNT NUMBER]],Movement!$J$4:$J$2136,Table11[[#This Row],[ENTITY]],Movement!$O$4:$O$2136,'Cash Balance'!$A$2)</f>
        <v>0</v>
      </c>
      <c r="K640" s="1084">
        <f>Table11[[#This Row],[CASH IN - CREDIT (VND)]]-Table11[[#This Row],[CASH OUT - DEBIT (VND)]]</f>
        <v>0</v>
      </c>
      <c r="L640" s="1095">
        <f t="shared" ref="L640:L706" si="56">H640+I640-J640</f>
        <v>0</v>
      </c>
      <c r="M640" s="1184" t="e">
        <f>VLOOKUP(C640,'Cash balance (BS)'!A:D,4,)</f>
        <v>#N/A</v>
      </c>
      <c r="N640" s="1095" t="e">
        <f>Table11[[#This Row],[CLOSING BALANCE (VND)2]]-Table11[[#This Row],[CB_BS (VND)]]</f>
        <v>#N/A</v>
      </c>
      <c r="O640" s="1094">
        <v>0</v>
      </c>
      <c r="P640" s="1095">
        <f t="shared" ref="P640:P706" si="57">O640-Q640</f>
        <v>0</v>
      </c>
      <c r="Q640" s="817">
        <f>SUMIFS('Cash balance (Prior period)'!G:G,'Cash balance (Prior period)'!C:C,Table11[[#This Row],[ACCOUNT NUMBER]],'Cash balance (Prior period)'!E:E,Table11[[#This Row],[CURRENCY]])</f>
        <v>0</v>
      </c>
      <c r="R640" s="817">
        <f>SUMIFS(Movement!$F$4:$F$2136,Movement!$M$4:$M$2136,"USD",Movement!$C$4:$C$2136,Table11[[#This Row],[ACCOUNT NUMBER]],Movement!$J$4:$J$2136,Table11[[#This Row],[ENTITY]],Movement!$O$4:$O$2136,'Cash Balance'!$A$2)</f>
        <v>0</v>
      </c>
      <c r="S640" s="817">
        <f>SUMIFS(Movement!$G$4:$G$2136,Movement!$M$4:$M$2136,"USD",Movement!$C$4:$C$2136,Table11[[#This Row],[ACCOUNT NUMBER]],Movement!$J$4:$J$2136,Table11[[#This Row],[ENTITY]],Movement!$O$4:$O$2136,'Cash Balance'!$A$2)</f>
        <v>0</v>
      </c>
      <c r="T640" s="1087">
        <f t="shared" ref="T640:T706" si="58">Q640+R640-S640</f>
        <v>0</v>
      </c>
      <c r="U640" s="1089"/>
      <c r="V640" s="817">
        <f>Table11[[#This Row],[CLOSING BALANCE (USD)]]-Table11[[#This Row],[CB_BS (USD)]]</f>
        <v>0</v>
      </c>
      <c r="W640" s="1156" t="str">
        <f>VLOOKUP('Cash Balance'!$C640,Table2[#All],MATCH('Cash Balance'!W$3,Acc_Char!$B$1:$I$1,0),0)</f>
        <v>Subsidiaries</v>
      </c>
      <c r="X640" s="1156" t="str">
        <f>VLOOKUP(IFERROR(MID($Y640,1,FIND("-",$Y640)-2),$Y640),Table3[#All],2,0)</f>
        <v>KEB Hana</v>
      </c>
      <c r="Y640" s="1156" t="str">
        <f>VLOOKUP($B640,Table4[#All],2,0)</f>
        <v>KEB Hana - HCM</v>
      </c>
      <c r="Z640" s="1151"/>
      <c r="AA640" s="49"/>
    </row>
    <row r="641" spans="1:27">
      <c r="A641" s="1153" t="str">
        <f>VLOOKUP('Cash Balance'!$C641,Table2[#All],MATCH('Cash Balance'!A$3,Acc_Char!$B$1:$I$1,0),0)</f>
        <v>BWID Tan Phu Trung</v>
      </c>
      <c r="B641" s="1154" t="str">
        <f>VLOOKUP('Cash Balance'!$C641,Table2[#All],MATCH('Cash Balance'!B$3,Acc_Char!$B$1:$I$1,0),0)</f>
        <v>KEB Hana - HCM</v>
      </c>
      <c r="C641" s="1190" t="s">
        <v>1255</v>
      </c>
      <c r="D641" s="1156" t="str">
        <f>VLOOKUP('Cash Balance'!$C641,Table2[#All],MATCH('Cash Balance'!D$3,Acc_Char!$B$1:$I$1,0),0)</f>
        <v>Current Account</v>
      </c>
      <c r="E641" s="384" t="str">
        <f>VLOOKUP('Cash Balance'!$C641,Table2[#All],MATCH('Cash Balance'!E$3,Acc_Char!$B$1:$I$1,0),0)</f>
        <v>VND</v>
      </c>
      <c r="F641" s="1094" t="e">
        <f>VLOOKUP(C641,'Cash balance (BS)'!A:C,3,)</f>
        <v>#N/A</v>
      </c>
      <c r="G641" s="1191" t="e">
        <f t="shared" si="55"/>
        <v>#N/A</v>
      </c>
      <c r="H641" s="1318">
        <f>SUMIFS('Cash balance (Prior period)'!F:F,'Cash balance (Prior period)'!C:C,Table11[[#This Row],[ACCOUNT NUMBER]],'Cash balance (Prior period)'!E:E,Table11[[#This Row],[CURRENCY]])</f>
        <v>7326028</v>
      </c>
      <c r="I641" s="1318">
        <f>SUMIFS(Movement!$F$4:$F$2136,Movement!$M$4:$M$2136,"VND",Movement!$C$4:$C$2136,Table11[[#This Row],[ACCOUNT NUMBER]],Movement!$J$4:$J$2136,Table11[[#This Row],[ENTITY]],Movement!$O$4:$O$2136,'Cash Balance'!$A$2)</f>
        <v>6426947481</v>
      </c>
      <c r="J641" s="1318">
        <f>SUMIFS(Movement!$G$4:$G$2136,Movement!$M$4:$M$2136,"VND",Movement!$C$4:$C$2136,Table11[[#This Row],[ACCOUNT NUMBER]],Movement!$J$4:$J$2136,Table11[[#This Row],[ENTITY]],Movement!$O$4:$O$2136,'Cash Balance'!$A$2)</f>
        <v>0</v>
      </c>
      <c r="K641" s="1084">
        <f>Table11[[#This Row],[CASH IN - CREDIT (VND)]]-Table11[[#This Row],[CASH OUT - DEBIT (VND)]]</f>
        <v>6426947481</v>
      </c>
      <c r="L641" s="1095">
        <f t="shared" si="56"/>
        <v>6434273509</v>
      </c>
      <c r="M641" s="1184" t="e">
        <f>VLOOKUP(C641,'Cash balance (BS)'!A:D,4,)</f>
        <v>#N/A</v>
      </c>
      <c r="N641" s="1095" t="e">
        <f>Table11[[#This Row],[CLOSING BALANCE (VND)2]]-Table11[[#This Row],[CB_BS (VND)]]</f>
        <v>#N/A</v>
      </c>
      <c r="O641" s="1094">
        <v>0</v>
      </c>
      <c r="P641" s="1095">
        <f t="shared" si="57"/>
        <v>0</v>
      </c>
      <c r="Q641" s="817">
        <f>SUMIFS('Cash balance (Prior period)'!G:G,'Cash balance (Prior period)'!C:C,Table11[[#This Row],[ACCOUNT NUMBER]],'Cash balance (Prior period)'!E:E,Table11[[#This Row],[CURRENCY]])</f>
        <v>0</v>
      </c>
      <c r="R641" s="817">
        <f>SUMIFS(Movement!$F$4:$F$2136,Movement!$M$4:$M$2136,"USD",Movement!$C$4:$C$2136,Table11[[#This Row],[ACCOUNT NUMBER]],Movement!$J$4:$J$2136,Table11[[#This Row],[ENTITY]],Movement!$O$4:$O$2136,'Cash Balance'!$A$2)</f>
        <v>0</v>
      </c>
      <c r="S641" s="817">
        <f>SUMIFS(Movement!$G$4:$G$2136,Movement!$M$4:$M$2136,"USD",Movement!$C$4:$C$2136,Table11[[#This Row],[ACCOUNT NUMBER]],Movement!$J$4:$J$2136,Table11[[#This Row],[ENTITY]],Movement!$O$4:$O$2136,'Cash Balance'!$A$2)</f>
        <v>0</v>
      </c>
      <c r="T641" s="1087">
        <f t="shared" si="58"/>
        <v>0</v>
      </c>
      <c r="U641" s="1089"/>
      <c r="V641" s="817">
        <f>Table11[[#This Row],[CLOSING BALANCE (USD)]]-Table11[[#This Row],[CB_BS (USD)]]</f>
        <v>0</v>
      </c>
      <c r="W641" s="1156" t="str">
        <f>VLOOKUP('Cash Balance'!$C641,Table2[#All],MATCH('Cash Balance'!W$3,Acc_Char!$B$1:$I$1,0),0)</f>
        <v>Subsidiaries</v>
      </c>
      <c r="X641" s="1156" t="str">
        <f>VLOOKUP(IFERROR(MID($Y641,1,FIND("-",$Y641)-2),$Y641),Table3[#All],2,0)</f>
        <v>KEB Hana</v>
      </c>
      <c r="Y641" s="1156" t="str">
        <f>VLOOKUP($B641,Table4[#All],2,0)</f>
        <v>KEB Hana - HCM</v>
      </c>
      <c r="Z641" s="1151"/>
      <c r="AA641" s="49"/>
    </row>
    <row r="642" spans="1:27">
      <c r="A642" s="1153" t="str">
        <f>VLOOKUP('Cash Balance'!$C642,Table2[#All],MATCH('Cash Balance'!A$3,Acc_Char!$B$1:$I$1,0),0)</f>
        <v>BWID Tan Phu Trung</v>
      </c>
      <c r="B642" s="1154" t="str">
        <f>VLOOKUP('Cash Balance'!$C642,Table2[#All],MATCH('Cash Balance'!B$3,Acc_Char!$B$1:$I$1,0),0)</f>
        <v>KEB Hana - HCM</v>
      </c>
      <c r="C642" s="1190" t="s">
        <v>1256</v>
      </c>
      <c r="D642" s="1156" t="str">
        <f>VLOOKUP('Cash Balance'!$C642,Table2[#All],MATCH('Cash Balance'!D$3,Acc_Char!$B$1:$I$1,0),0)</f>
        <v>Saving Account</v>
      </c>
      <c r="E642" s="384" t="str">
        <f>VLOOKUP('Cash Balance'!$C642,Table2[#All],MATCH('Cash Balance'!E$3,Acc_Char!$B$1:$I$1,0),0)</f>
        <v>VND</v>
      </c>
      <c r="F642" s="1094" t="e">
        <f>VLOOKUP(C642,'Cash balance (BS)'!A:C,3,)</f>
        <v>#N/A</v>
      </c>
      <c r="G642" s="1191" t="e">
        <f t="shared" si="55"/>
        <v>#N/A</v>
      </c>
      <c r="H642" s="1318">
        <f>SUMIFS('Cash balance (Prior period)'!F:F,'Cash balance (Prior period)'!C:C,Table11[[#This Row],[ACCOUNT NUMBER]],'Cash balance (Prior period)'!E:E,Table11[[#This Row],[CURRENCY]])</f>
        <v>0</v>
      </c>
      <c r="I642" s="1318">
        <f>SUMIFS(Movement!$F$4:$F$2136,Movement!$M$4:$M$2136,"VND",Movement!$C$4:$C$2136,Table11[[#This Row],[ACCOUNT NUMBER]],Movement!$J$4:$J$2136,Table11[[#This Row],[ENTITY]],Movement!$O$4:$O$2136,'Cash Balance'!$A$2)</f>
        <v>0</v>
      </c>
      <c r="J642" s="1318">
        <f>SUMIFS(Movement!$G$4:$G$2136,Movement!$M$4:$M$2136,"VND",Movement!$C$4:$C$2136,Table11[[#This Row],[ACCOUNT NUMBER]],Movement!$J$4:$J$2136,Table11[[#This Row],[ENTITY]],Movement!$O$4:$O$2136,'Cash Balance'!$A$2)</f>
        <v>0</v>
      </c>
      <c r="K642" s="1084">
        <f>Table11[[#This Row],[CASH IN - CREDIT (VND)]]-Table11[[#This Row],[CASH OUT - DEBIT (VND)]]</f>
        <v>0</v>
      </c>
      <c r="L642" s="1095">
        <f t="shared" si="56"/>
        <v>0</v>
      </c>
      <c r="M642" s="1184" t="e">
        <f>VLOOKUP(C642,'Cash balance (BS)'!A:D,4,)</f>
        <v>#N/A</v>
      </c>
      <c r="N642" s="1095" t="e">
        <f>Table11[[#This Row],[CLOSING BALANCE (VND)2]]-Table11[[#This Row],[CB_BS (VND)]]</f>
        <v>#N/A</v>
      </c>
      <c r="O642" s="1094">
        <v>0</v>
      </c>
      <c r="P642" s="1095">
        <f t="shared" si="57"/>
        <v>0</v>
      </c>
      <c r="Q642" s="817">
        <f>SUMIFS('Cash balance (Prior period)'!G:G,'Cash balance (Prior period)'!C:C,Table11[[#This Row],[ACCOUNT NUMBER]],'Cash balance (Prior period)'!E:E,Table11[[#This Row],[CURRENCY]])</f>
        <v>0</v>
      </c>
      <c r="R642" s="817">
        <f>SUMIFS(Movement!$F$4:$F$2136,Movement!$M$4:$M$2136,"USD",Movement!$C$4:$C$2136,Table11[[#This Row],[ACCOUNT NUMBER]],Movement!$J$4:$J$2136,Table11[[#This Row],[ENTITY]],Movement!$O$4:$O$2136,'Cash Balance'!$A$2)</f>
        <v>0</v>
      </c>
      <c r="S642" s="817">
        <f>SUMIFS(Movement!$G$4:$G$2136,Movement!$M$4:$M$2136,"USD",Movement!$C$4:$C$2136,Table11[[#This Row],[ACCOUNT NUMBER]],Movement!$J$4:$J$2136,Table11[[#This Row],[ENTITY]],Movement!$O$4:$O$2136,'Cash Balance'!$A$2)</f>
        <v>0</v>
      </c>
      <c r="T642" s="1087">
        <f t="shared" si="58"/>
        <v>0</v>
      </c>
      <c r="U642" s="1089"/>
      <c r="V642" s="817">
        <f>Table11[[#This Row],[CLOSING BALANCE (USD)]]-Table11[[#This Row],[CB_BS (USD)]]</f>
        <v>0</v>
      </c>
      <c r="W642" s="1156" t="str">
        <f>VLOOKUP('Cash Balance'!$C642,Table2[#All],MATCH('Cash Balance'!W$3,Acc_Char!$B$1:$I$1,0),0)</f>
        <v>Subsidiaries</v>
      </c>
      <c r="X642" s="1156" t="str">
        <f>VLOOKUP(IFERROR(MID($Y642,1,FIND("-",$Y642)-2),$Y642),Table3[#All],2,0)</f>
        <v>KEB Hana</v>
      </c>
      <c r="Y642" s="1156" t="str">
        <f>VLOOKUP($B642,Table4[#All],2,0)</f>
        <v>KEB Hana - HCM</v>
      </c>
      <c r="Z642" s="1151"/>
      <c r="AA642" s="49"/>
    </row>
    <row r="643" spans="1:27">
      <c r="A643" s="1153" t="str">
        <f>VLOOKUP('Cash Balance'!$C643,Table2[#All],MATCH('Cash Balance'!A$3,Acc_Char!$B$1:$I$1,0),0)</f>
        <v>BW NAM DINH VU</v>
      </c>
      <c r="B643" s="1154" t="str">
        <f>VLOOKUP('Cash Balance'!$C643,Table2[#All],MATCH('Cash Balance'!B$3,Acc_Char!$B$1:$I$1,0),0)</f>
        <v>BIDV - LONG BIEN</v>
      </c>
      <c r="C643" s="1190" t="s">
        <v>1257</v>
      </c>
      <c r="D643" s="1156" t="str">
        <f>VLOOKUP('Cash Balance'!$C643,Table2[#All],MATCH('Cash Balance'!D$3,Acc_Char!$B$1:$I$1,0),0)</f>
        <v>Saving Account</v>
      </c>
      <c r="E643" s="384" t="str">
        <f>VLOOKUP('Cash Balance'!$C643,Table2[#All],MATCH('Cash Balance'!E$3,Acc_Char!$B$1:$I$1,0),0)</f>
        <v>VND</v>
      </c>
      <c r="F643" s="1094" t="e">
        <f>VLOOKUP(C643,'Cash balance (BS)'!A:C,3,)</f>
        <v>#N/A</v>
      </c>
      <c r="G643" s="1191" t="e">
        <f t="shared" si="55"/>
        <v>#N/A</v>
      </c>
      <c r="H643" s="1318">
        <f>SUMIFS('Cash balance (Prior period)'!F:F,'Cash balance (Prior period)'!C:C,Table11[[#This Row],[ACCOUNT NUMBER]],'Cash balance (Prior period)'!E:E,Table11[[#This Row],[CURRENCY]])</f>
        <v>0</v>
      </c>
      <c r="I643" s="1318">
        <f>SUMIFS(Movement!$F$4:$F$2136,Movement!$M$4:$M$2136,"VND",Movement!$C$4:$C$2136,Table11[[#This Row],[ACCOUNT NUMBER]],Movement!$J$4:$J$2136,Table11[[#This Row],[ENTITY]],Movement!$O$4:$O$2136,'Cash Balance'!$A$2)</f>
        <v>0</v>
      </c>
      <c r="J643" s="1318">
        <f>SUMIFS(Movement!$G$4:$G$2136,Movement!$M$4:$M$2136,"VND",Movement!$C$4:$C$2136,Table11[[#This Row],[ACCOUNT NUMBER]],Movement!$J$4:$J$2136,Table11[[#This Row],[ENTITY]],Movement!$O$4:$O$2136,'Cash Balance'!$A$2)</f>
        <v>0</v>
      </c>
      <c r="K643" s="1084">
        <f>Table11[[#This Row],[CASH IN - CREDIT (VND)]]-Table11[[#This Row],[CASH OUT - DEBIT (VND)]]</f>
        <v>0</v>
      </c>
      <c r="L643" s="1095">
        <f t="shared" si="56"/>
        <v>0</v>
      </c>
      <c r="M643" s="1184" t="e">
        <f>VLOOKUP(C643,'Cash balance (BS)'!A:D,4,)</f>
        <v>#N/A</v>
      </c>
      <c r="N643" s="1095" t="e">
        <f>Table11[[#This Row],[CLOSING BALANCE (VND)2]]-Table11[[#This Row],[CB_BS (VND)]]</f>
        <v>#N/A</v>
      </c>
      <c r="O643" s="1094">
        <v>0</v>
      </c>
      <c r="P643" s="1095">
        <f t="shared" si="57"/>
        <v>0</v>
      </c>
      <c r="Q643" s="817">
        <f>SUMIFS('Cash balance (Prior period)'!G:G,'Cash balance (Prior period)'!C:C,Table11[[#This Row],[ACCOUNT NUMBER]],'Cash balance (Prior period)'!E:E,Table11[[#This Row],[CURRENCY]])</f>
        <v>0</v>
      </c>
      <c r="R643" s="817">
        <f>SUMIFS(Movement!$F$4:$F$2136,Movement!$M$4:$M$2136,"USD",Movement!$C$4:$C$2136,Table11[[#This Row],[ACCOUNT NUMBER]],Movement!$J$4:$J$2136,Table11[[#This Row],[ENTITY]],Movement!$O$4:$O$2136,'Cash Balance'!$A$2)</f>
        <v>0</v>
      </c>
      <c r="S643" s="817">
        <f>SUMIFS(Movement!$G$4:$G$2136,Movement!$M$4:$M$2136,"USD",Movement!$C$4:$C$2136,Table11[[#This Row],[ACCOUNT NUMBER]],Movement!$J$4:$J$2136,Table11[[#This Row],[ENTITY]],Movement!$O$4:$O$2136,'Cash Balance'!$A$2)</f>
        <v>0</v>
      </c>
      <c r="T643" s="1087">
        <f t="shared" si="58"/>
        <v>0</v>
      </c>
      <c r="U643" s="1089"/>
      <c r="V643" s="817">
        <f>Table11[[#This Row],[CLOSING BALANCE (USD)]]-Table11[[#This Row],[CB_BS (USD)]]</f>
        <v>0</v>
      </c>
      <c r="W643" s="1156" t="str">
        <f>VLOOKUP('Cash Balance'!$C643,Table2[#All],MATCH('Cash Balance'!W$3,Acc_Char!$B$1:$I$1,0),0)</f>
        <v>Subsidiaries</v>
      </c>
      <c r="X643" s="1156" t="str">
        <f>VLOOKUP(IFERROR(MID($Y643,1,FIND("-",$Y643)-2),$Y643),Table3[#All],2,0)</f>
        <v>BIDV</v>
      </c>
      <c r="Y643" s="1156" t="str">
        <f>VLOOKUP($B643,Table4[#All],2,0)</f>
        <v>BIDV - LONG BIEN</v>
      </c>
      <c r="Z643" s="1151"/>
      <c r="AA643" s="49"/>
    </row>
    <row r="644" spans="1:27">
      <c r="A644" s="1153" t="str">
        <f>VLOOKUP('Cash Balance'!$C644,Table2[#All],MATCH('Cash Balance'!A$3,Acc_Char!$B$1:$I$1,0),0)</f>
        <v>YEN PHONG</v>
      </c>
      <c r="B644" s="1154" t="str">
        <f>VLOOKUP('Cash Balance'!$C644,Table2[#All],MATCH('Cash Balance'!B$3,Acc_Char!$B$1:$I$1,0),0)</f>
        <v>VIETINBANK - TIEN SON</v>
      </c>
      <c r="C644" s="1190" t="s">
        <v>1258</v>
      </c>
      <c r="D644" s="1156" t="str">
        <f>VLOOKUP('Cash Balance'!$C644,Table2[#All],MATCH('Cash Balance'!D$3,Acc_Char!$B$1:$I$1,0),0)</f>
        <v>Saving Account</v>
      </c>
      <c r="E644" s="384" t="str">
        <f>VLOOKUP('Cash Balance'!$C644,Table2[#All],MATCH('Cash Balance'!E$3,Acc_Char!$B$1:$I$1,0),0)</f>
        <v>VND</v>
      </c>
      <c r="F644" s="1094" t="e">
        <f>VLOOKUP(C644,'Cash balance (BS)'!A:C,3,)</f>
        <v>#N/A</v>
      </c>
      <c r="G644" s="1191" t="e">
        <f t="shared" si="55"/>
        <v>#N/A</v>
      </c>
      <c r="H644" s="1318">
        <f>SUMIFS('Cash balance (Prior period)'!F:F,'Cash balance (Prior period)'!C:C,Table11[[#This Row],[ACCOUNT NUMBER]],'Cash balance (Prior period)'!E:E,Table11[[#This Row],[CURRENCY]])</f>
        <v>1500000000</v>
      </c>
      <c r="I644" s="1318">
        <f>SUMIFS(Movement!$F$4:$F$2136,Movement!$M$4:$M$2136,"VND",Movement!$C$4:$C$2136,Table11[[#This Row],[ACCOUNT NUMBER]],Movement!$J$4:$J$2136,Table11[[#This Row],[ENTITY]],Movement!$O$4:$O$2136,'Cash Balance'!$A$2)</f>
        <v>0</v>
      </c>
      <c r="J644" s="1318">
        <f>SUMIFS(Movement!$G$4:$G$2136,Movement!$M$4:$M$2136,"VND",Movement!$C$4:$C$2136,Table11[[#This Row],[ACCOUNT NUMBER]],Movement!$J$4:$J$2136,Table11[[#This Row],[ENTITY]],Movement!$O$4:$O$2136,'Cash Balance'!$A$2)</f>
        <v>0</v>
      </c>
      <c r="K644" s="1084">
        <f>Table11[[#This Row],[CASH IN - CREDIT (VND)]]-Table11[[#This Row],[CASH OUT - DEBIT (VND)]]</f>
        <v>0</v>
      </c>
      <c r="L644" s="1095">
        <f t="shared" si="56"/>
        <v>1500000000</v>
      </c>
      <c r="M644" s="1184" t="e">
        <f>VLOOKUP(C644,'Cash balance (BS)'!A:D,4,)</f>
        <v>#N/A</v>
      </c>
      <c r="N644" s="1095" t="e">
        <f>Table11[[#This Row],[CLOSING BALANCE (VND)2]]-Table11[[#This Row],[CB_BS (VND)]]</f>
        <v>#N/A</v>
      </c>
      <c r="O644" s="1094">
        <v>0</v>
      </c>
      <c r="P644" s="1095">
        <f t="shared" si="57"/>
        <v>0</v>
      </c>
      <c r="Q644" s="817">
        <f>SUMIFS('Cash balance (Prior period)'!G:G,'Cash balance (Prior period)'!C:C,Table11[[#This Row],[ACCOUNT NUMBER]],'Cash balance (Prior period)'!E:E,Table11[[#This Row],[CURRENCY]])</f>
        <v>0</v>
      </c>
      <c r="R644" s="817">
        <f>SUMIFS(Movement!$F$4:$F$2136,Movement!$M$4:$M$2136,"USD",Movement!$C$4:$C$2136,Table11[[#This Row],[ACCOUNT NUMBER]],Movement!$J$4:$J$2136,Table11[[#This Row],[ENTITY]],Movement!$O$4:$O$2136,'Cash Balance'!$A$2)</f>
        <v>0</v>
      </c>
      <c r="S644" s="817">
        <f>SUMIFS(Movement!$G$4:$G$2136,Movement!$M$4:$M$2136,"USD",Movement!$C$4:$C$2136,Table11[[#This Row],[ACCOUNT NUMBER]],Movement!$J$4:$J$2136,Table11[[#This Row],[ENTITY]],Movement!$O$4:$O$2136,'Cash Balance'!$A$2)</f>
        <v>0</v>
      </c>
      <c r="T644" s="1087">
        <f t="shared" si="58"/>
        <v>0</v>
      </c>
      <c r="U644" s="1089"/>
      <c r="V644" s="817">
        <f>Table11[[#This Row],[CLOSING BALANCE (USD)]]-Table11[[#This Row],[CB_BS (USD)]]</f>
        <v>0</v>
      </c>
      <c r="W644" s="1156" t="str">
        <f>VLOOKUP('Cash Balance'!$C644,Table2[#All],MATCH('Cash Balance'!W$3,Acc_Char!$B$1:$I$1,0),0)</f>
        <v>Subsidiaries</v>
      </c>
      <c r="X644" s="1156" t="str">
        <f>VLOOKUP(IFERROR(MID($Y644,1,FIND("-",$Y644)-2),$Y644),Table3[#All],2,0)</f>
        <v>VTB</v>
      </c>
      <c r="Y644" s="1156" t="str">
        <f>VLOOKUP($B644,Table4[#All],2,0)</f>
        <v>VIETINBANK - TIEN SON</v>
      </c>
      <c r="Z644" s="1151"/>
      <c r="AA644" s="49"/>
    </row>
    <row r="645" spans="1:27">
      <c r="A645" s="1153" t="str">
        <f>VLOOKUP('Cash Balance'!$C645,Table2[#All],MATCH('Cash Balance'!A$3,Acc_Char!$B$1:$I$1,0),0)</f>
        <v>SAO HOA</v>
      </c>
      <c r="B645" s="1154" t="str">
        <f>VLOOKUP('Cash Balance'!$C645,Table2[#All],MATCH('Cash Balance'!B$3,Acc_Char!$B$1:$I$1,0),0)</f>
        <v>VIETINBANK - BINH DUONG</v>
      </c>
      <c r="C645" s="1190" t="s">
        <v>1259</v>
      </c>
      <c r="D645" s="1156" t="str">
        <f>VLOOKUP('Cash Balance'!$C645,Table2[#All],MATCH('Cash Balance'!D$3,Acc_Char!$B$1:$I$1,0),0)</f>
        <v>Saving Account</v>
      </c>
      <c r="E645" s="384" t="str">
        <f>VLOOKUP('Cash Balance'!$C645,Table2[#All],MATCH('Cash Balance'!E$3,Acc_Char!$B$1:$I$1,0),0)</f>
        <v>VND</v>
      </c>
      <c r="F645" s="1094" t="e">
        <f>VLOOKUP(C645,'Cash balance (BS)'!A:C,3,)</f>
        <v>#N/A</v>
      </c>
      <c r="G645" s="1191" t="e">
        <f t="shared" si="55"/>
        <v>#N/A</v>
      </c>
      <c r="H645" s="1318">
        <f>SUMIFS('Cash balance (Prior period)'!F:F,'Cash balance (Prior period)'!C:C,Table11[[#This Row],[ACCOUNT NUMBER]],'Cash balance (Prior period)'!E:E,Table11[[#This Row],[CURRENCY]])</f>
        <v>0</v>
      </c>
      <c r="I645" s="1318">
        <f>SUMIFS(Movement!$F$4:$F$2136,Movement!$M$4:$M$2136,"VND",Movement!$C$4:$C$2136,Table11[[#This Row],[ACCOUNT NUMBER]],Movement!$J$4:$J$2136,Table11[[#This Row],[ENTITY]],Movement!$O$4:$O$2136,'Cash Balance'!$A$2)</f>
        <v>0</v>
      </c>
      <c r="J645" s="1318">
        <f>SUMIFS(Movement!$G$4:$G$2136,Movement!$M$4:$M$2136,"VND",Movement!$C$4:$C$2136,Table11[[#This Row],[ACCOUNT NUMBER]],Movement!$J$4:$J$2136,Table11[[#This Row],[ENTITY]],Movement!$O$4:$O$2136,'Cash Balance'!$A$2)</f>
        <v>0</v>
      </c>
      <c r="K645" s="1084">
        <f>Table11[[#This Row],[CASH IN - CREDIT (VND)]]-Table11[[#This Row],[CASH OUT - DEBIT (VND)]]</f>
        <v>0</v>
      </c>
      <c r="L645" s="1095">
        <f t="shared" si="56"/>
        <v>0</v>
      </c>
      <c r="M645" s="1184" t="e">
        <f>VLOOKUP(C645,'Cash balance (BS)'!A:D,4,)</f>
        <v>#N/A</v>
      </c>
      <c r="N645" s="1095" t="e">
        <f>Table11[[#This Row],[CLOSING BALANCE (VND)2]]-Table11[[#This Row],[CB_BS (VND)]]</f>
        <v>#N/A</v>
      </c>
      <c r="O645" s="1094">
        <v>0</v>
      </c>
      <c r="P645" s="1095">
        <f t="shared" si="57"/>
        <v>0</v>
      </c>
      <c r="Q645" s="817">
        <f>SUMIFS('Cash balance (Prior period)'!G:G,'Cash balance (Prior period)'!C:C,Table11[[#This Row],[ACCOUNT NUMBER]],'Cash balance (Prior period)'!E:E,Table11[[#This Row],[CURRENCY]])</f>
        <v>0</v>
      </c>
      <c r="R645" s="817">
        <f>SUMIFS(Movement!$F$4:$F$2136,Movement!$M$4:$M$2136,"USD",Movement!$C$4:$C$2136,Table11[[#This Row],[ACCOUNT NUMBER]],Movement!$J$4:$J$2136,Table11[[#This Row],[ENTITY]],Movement!$O$4:$O$2136,'Cash Balance'!$A$2)</f>
        <v>0</v>
      </c>
      <c r="S645" s="817">
        <f>SUMIFS(Movement!$G$4:$G$2136,Movement!$M$4:$M$2136,"USD",Movement!$C$4:$C$2136,Table11[[#This Row],[ACCOUNT NUMBER]],Movement!$J$4:$J$2136,Table11[[#This Row],[ENTITY]],Movement!$O$4:$O$2136,'Cash Balance'!$A$2)</f>
        <v>0</v>
      </c>
      <c r="T645" s="1087">
        <f t="shared" si="58"/>
        <v>0</v>
      </c>
      <c r="U645" s="1089"/>
      <c r="V645" s="817">
        <f>Table11[[#This Row],[CLOSING BALANCE (USD)]]-Table11[[#This Row],[CB_BS (USD)]]</f>
        <v>0</v>
      </c>
      <c r="W645" s="1156" t="str">
        <f>VLOOKUP('Cash Balance'!$C645,Table2[#All],MATCH('Cash Balance'!W$3,Acc_Char!$B$1:$I$1,0),0)</f>
        <v>VC3</v>
      </c>
      <c r="X645" s="1156" t="str">
        <f>VLOOKUP(IFERROR(MID($Y645,1,FIND("-",$Y645)-2),$Y645),Table3[#All],2,0)</f>
        <v>VTB</v>
      </c>
      <c r="Y645" s="1156" t="str">
        <f>VLOOKUP($B645,Table4[#All],2,0)</f>
        <v>VIETINBANK - BINH DUONG + QM</v>
      </c>
      <c r="Z645" s="1151"/>
      <c r="AA645" s="49"/>
    </row>
    <row r="646" spans="1:27">
      <c r="A646" s="1153" t="str">
        <f>VLOOKUP('Cash Balance'!$C646,Table2[#All],MATCH('Cash Balance'!A$3,Acc_Char!$B$1:$I$1,0),0)</f>
        <v>BAC TIEN PHONG</v>
      </c>
      <c r="B646" s="1154" t="str">
        <f>VLOOKUP('Cash Balance'!$C646,Table2[#All],MATCH('Cash Balance'!B$3,Acc_Char!$B$1:$I$1,0),0)</f>
        <v>BIDV - THANH XUAN</v>
      </c>
      <c r="C646" s="1190" t="s">
        <v>1260</v>
      </c>
      <c r="D646" s="1156" t="str">
        <f>VLOOKUP('Cash Balance'!$C646,Table2[#All],MATCH('Cash Balance'!D$3,Acc_Char!$B$1:$I$1,0),0)</f>
        <v>Saving Account</v>
      </c>
      <c r="E646" s="384" t="str">
        <f>VLOOKUP('Cash Balance'!$C646,Table2[#All],MATCH('Cash Balance'!E$3,Acc_Char!$B$1:$I$1,0),0)</f>
        <v>VND</v>
      </c>
      <c r="F646" s="1094" t="e">
        <f>VLOOKUP(C646,'Cash balance (BS)'!A:C,3,)</f>
        <v>#N/A</v>
      </c>
      <c r="G646" s="1191" t="e">
        <f t="shared" si="55"/>
        <v>#N/A</v>
      </c>
      <c r="H646" s="1318">
        <f>SUMIFS('Cash balance (Prior period)'!F:F,'Cash balance (Prior period)'!C:C,Table11[[#This Row],[ACCOUNT NUMBER]],'Cash balance (Prior period)'!E:E,Table11[[#This Row],[CURRENCY]])</f>
        <v>0</v>
      </c>
      <c r="I646" s="1318">
        <f>SUMIFS(Movement!$F$4:$F$2136,Movement!$M$4:$M$2136,"VND",Movement!$C$4:$C$2136,Table11[[#This Row],[ACCOUNT NUMBER]],Movement!$J$4:$J$2136,Table11[[#This Row],[ENTITY]],Movement!$O$4:$O$2136,'Cash Balance'!$A$2)</f>
        <v>0</v>
      </c>
      <c r="J646" s="1318">
        <f>SUMIFS(Movement!$G$4:$G$2136,Movement!$M$4:$M$2136,"VND",Movement!$C$4:$C$2136,Table11[[#This Row],[ACCOUNT NUMBER]],Movement!$J$4:$J$2136,Table11[[#This Row],[ENTITY]],Movement!$O$4:$O$2136,'Cash Balance'!$A$2)</f>
        <v>0</v>
      </c>
      <c r="K646" s="1084">
        <f>Table11[[#This Row],[CASH IN - CREDIT (VND)]]-Table11[[#This Row],[CASH OUT - DEBIT (VND)]]</f>
        <v>0</v>
      </c>
      <c r="L646" s="1095">
        <f t="shared" si="56"/>
        <v>0</v>
      </c>
      <c r="M646" s="1184" t="e">
        <f>VLOOKUP(C646,'Cash balance (BS)'!A:D,4,)</f>
        <v>#N/A</v>
      </c>
      <c r="N646" s="1095" t="e">
        <f>Table11[[#This Row],[CLOSING BALANCE (VND)2]]-Table11[[#This Row],[CB_BS (VND)]]</f>
        <v>#N/A</v>
      </c>
      <c r="O646" s="1094">
        <v>0</v>
      </c>
      <c r="P646" s="1095">
        <f t="shared" si="57"/>
        <v>0</v>
      </c>
      <c r="Q646" s="817">
        <f>SUMIFS('Cash balance (Prior period)'!G:G,'Cash balance (Prior period)'!C:C,Table11[[#This Row],[ACCOUNT NUMBER]],'Cash balance (Prior period)'!E:E,Table11[[#This Row],[CURRENCY]])</f>
        <v>0</v>
      </c>
      <c r="R646" s="817">
        <f>SUMIFS(Movement!$F$4:$F$2136,Movement!$M$4:$M$2136,"USD",Movement!$C$4:$C$2136,Table11[[#This Row],[ACCOUNT NUMBER]],Movement!$J$4:$J$2136,Table11[[#This Row],[ENTITY]],Movement!$O$4:$O$2136,'Cash Balance'!$A$2)</f>
        <v>0</v>
      </c>
      <c r="S646" s="817">
        <f>SUMIFS(Movement!$G$4:$G$2136,Movement!$M$4:$M$2136,"USD",Movement!$C$4:$C$2136,Table11[[#This Row],[ACCOUNT NUMBER]],Movement!$J$4:$J$2136,Table11[[#This Row],[ENTITY]],Movement!$O$4:$O$2136,'Cash Balance'!$A$2)</f>
        <v>0</v>
      </c>
      <c r="T646" s="1087">
        <f t="shared" si="58"/>
        <v>0</v>
      </c>
      <c r="U646" s="1089"/>
      <c r="V646" s="817">
        <f>Table11[[#This Row],[CLOSING BALANCE (USD)]]-Table11[[#This Row],[CB_BS (USD)]]</f>
        <v>0</v>
      </c>
      <c r="W646" s="1156" t="str">
        <f>VLOOKUP('Cash Balance'!$C646,Table2[#All],MATCH('Cash Balance'!W$3,Acc_Char!$B$1:$I$1,0),0)</f>
        <v>Subsidiaries</v>
      </c>
      <c r="X646" s="1156" t="str">
        <f>VLOOKUP(IFERROR(MID($Y646,1,FIND("-",$Y646)-2),$Y646),Table3[#All],2,0)</f>
        <v>BIDV</v>
      </c>
      <c r="Y646" s="1156" t="str">
        <f>VLOOKUP($B646,Table4[#All],2,0)</f>
        <v>BIDV - THANH XUAN</v>
      </c>
      <c r="Z646" s="1151"/>
      <c r="AA646" s="49"/>
    </row>
    <row r="647" spans="1:27">
      <c r="A647" s="1153" t="str">
        <f>VLOOKUP('Cash Balance'!$C647,Table2[#All],MATCH('Cash Balance'!A$3,Acc_Char!$B$1:$I$1,0),0)</f>
        <v>BWID Tan Phu Trung</v>
      </c>
      <c r="B647" s="1154" t="str">
        <f>VLOOKUP('Cash Balance'!$C647,Table2[#All],MATCH('Cash Balance'!B$3,Acc_Char!$B$1:$I$1,0),0)</f>
        <v>VIETINBANK - TIEN SON</v>
      </c>
      <c r="C647" s="1190" t="s">
        <v>1261</v>
      </c>
      <c r="D647" s="1156" t="str">
        <f>VLOOKUP('Cash Balance'!$C647,Table2[#All],MATCH('Cash Balance'!D$3,Acc_Char!$B$1:$I$1,0),0)</f>
        <v>Saving Account</v>
      </c>
      <c r="E647" s="384" t="str">
        <f>VLOOKUP('Cash Balance'!$C647,Table2[#All],MATCH('Cash Balance'!E$3,Acc_Char!$B$1:$I$1,0),0)</f>
        <v>VND</v>
      </c>
      <c r="F647" s="1094" t="e">
        <f>VLOOKUP(C647,'Cash balance (BS)'!A:C,3,)</f>
        <v>#N/A</v>
      </c>
      <c r="G647" s="1191" t="e">
        <f t="shared" si="55"/>
        <v>#N/A</v>
      </c>
      <c r="H647" s="1318">
        <f>SUMIFS('Cash balance (Prior period)'!F:F,'Cash balance (Prior period)'!C:C,Table11[[#This Row],[ACCOUNT NUMBER]],'Cash balance (Prior period)'!E:E,Table11[[#This Row],[CURRENCY]])</f>
        <v>5000000000</v>
      </c>
      <c r="I647" s="1318">
        <f>SUMIFS(Movement!$F$4:$F$2136,Movement!$M$4:$M$2136,"VND",Movement!$C$4:$C$2136,Table11[[#This Row],[ACCOUNT NUMBER]],Movement!$J$4:$J$2136,Table11[[#This Row],[ENTITY]],Movement!$O$4:$O$2136,'Cash Balance'!$A$2)</f>
        <v>0</v>
      </c>
      <c r="J647" s="1318">
        <f>SUMIFS(Movement!$G$4:$G$2136,Movement!$M$4:$M$2136,"VND",Movement!$C$4:$C$2136,Table11[[#This Row],[ACCOUNT NUMBER]],Movement!$J$4:$J$2136,Table11[[#This Row],[ENTITY]],Movement!$O$4:$O$2136,'Cash Balance'!$A$2)</f>
        <v>0</v>
      </c>
      <c r="K647" s="1084">
        <f>Table11[[#This Row],[CASH IN - CREDIT (VND)]]-Table11[[#This Row],[CASH OUT - DEBIT (VND)]]</f>
        <v>0</v>
      </c>
      <c r="L647" s="1095">
        <f t="shared" si="56"/>
        <v>5000000000</v>
      </c>
      <c r="M647" s="1184" t="e">
        <f>VLOOKUP(C647,'Cash balance (BS)'!A:D,4,)</f>
        <v>#N/A</v>
      </c>
      <c r="N647" s="1095" t="e">
        <f>Table11[[#This Row],[CLOSING BALANCE (VND)2]]-Table11[[#This Row],[CB_BS (VND)]]</f>
        <v>#N/A</v>
      </c>
      <c r="O647" s="1094">
        <v>0</v>
      </c>
      <c r="P647" s="1095">
        <f t="shared" si="57"/>
        <v>0</v>
      </c>
      <c r="Q647" s="817">
        <f>SUMIFS('Cash balance (Prior period)'!G:G,'Cash balance (Prior period)'!C:C,Table11[[#This Row],[ACCOUNT NUMBER]],'Cash balance (Prior period)'!E:E,Table11[[#This Row],[CURRENCY]])</f>
        <v>0</v>
      </c>
      <c r="R647" s="817">
        <f>SUMIFS(Movement!$F$4:$F$2136,Movement!$M$4:$M$2136,"USD",Movement!$C$4:$C$2136,Table11[[#This Row],[ACCOUNT NUMBER]],Movement!$J$4:$J$2136,Table11[[#This Row],[ENTITY]],Movement!$O$4:$O$2136,'Cash Balance'!$A$2)</f>
        <v>0</v>
      </c>
      <c r="S647" s="817">
        <f>SUMIFS(Movement!$G$4:$G$2136,Movement!$M$4:$M$2136,"USD",Movement!$C$4:$C$2136,Table11[[#This Row],[ACCOUNT NUMBER]],Movement!$J$4:$J$2136,Table11[[#This Row],[ENTITY]],Movement!$O$4:$O$2136,'Cash Balance'!$A$2)</f>
        <v>0</v>
      </c>
      <c r="T647" s="1087">
        <f t="shared" si="58"/>
        <v>0</v>
      </c>
      <c r="U647" s="1089"/>
      <c r="V647" s="817">
        <f>Table11[[#This Row],[CLOSING BALANCE (USD)]]-Table11[[#This Row],[CB_BS (USD)]]</f>
        <v>0</v>
      </c>
      <c r="W647" s="1156" t="str">
        <f>VLOOKUP('Cash Balance'!$C647,Table2[#All],MATCH('Cash Balance'!W$3,Acc_Char!$B$1:$I$1,0),0)</f>
        <v>Subsidiaries</v>
      </c>
      <c r="X647" s="1156" t="str">
        <f>VLOOKUP(IFERROR(MID($Y647,1,FIND("-",$Y647)-2),$Y647),Table3[#All],2,0)</f>
        <v>VTB</v>
      </c>
      <c r="Y647" s="1156" t="str">
        <f>VLOOKUP($B647,Table4[#All],2,0)</f>
        <v>VIETINBANK - TIEN SON</v>
      </c>
      <c r="Z647" s="1151"/>
      <c r="AA647" s="49"/>
    </row>
    <row r="648" spans="1:27">
      <c r="A648" s="1153" t="str">
        <f>VLOOKUP('Cash Balance'!$C648,Table2[#All],MATCH('Cash Balance'!A$3,Acc_Char!$B$1:$I$1,0),0)</f>
        <v>SONGTHAN LID</v>
      </c>
      <c r="B648" s="1154" t="str">
        <f>VLOOKUP('Cash Balance'!$C648,Table2[#All],MATCH('Cash Balance'!B$3,Acc_Char!$B$1:$I$1,0),0)</f>
        <v>VIETINBANK - DONG SAI GON</v>
      </c>
      <c r="C648" s="1190" t="s">
        <v>1262</v>
      </c>
      <c r="D648" s="1156" t="str">
        <f>VLOOKUP('Cash Balance'!$C648,Table2[#All],MATCH('Cash Balance'!D$3,Acc_Char!$B$1:$I$1,0),0)</f>
        <v>Saving Account</v>
      </c>
      <c r="E648" s="384" t="str">
        <f>VLOOKUP('Cash Balance'!$C648,Table2[#All],MATCH('Cash Balance'!E$3,Acc_Char!$B$1:$I$1,0),0)</f>
        <v>VND</v>
      </c>
      <c r="F648" s="1094" t="e">
        <f>VLOOKUP(C648,'Cash balance (BS)'!A:C,3,)</f>
        <v>#N/A</v>
      </c>
      <c r="G648" s="1191" t="e">
        <f t="shared" si="55"/>
        <v>#N/A</v>
      </c>
      <c r="H648" s="1318">
        <f>SUMIFS('Cash balance (Prior period)'!F:F,'Cash balance (Prior period)'!C:C,Table11[[#This Row],[ACCOUNT NUMBER]],'Cash balance (Prior period)'!E:E,Table11[[#This Row],[CURRENCY]])</f>
        <v>0</v>
      </c>
      <c r="I648" s="1318">
        <f>SUMIFS(Movement!$F$4:$F$2136,Movement!$M$4:$M$2136,"VND",Movement!$C$4:$C$2136,Table11[[#This Row],[ACCOUNT NUMBER]],Movement!$J$4:$J$2136,Table11[[#This Row],[ENTITY]],Movement!$O$4:$O$2136,'Cash Balance'!$A$2)</f>
        <v>0</v>
      </c>
      <c r="J648" s="1318">
        <f>SUMIFS(Movement!$G$4:$G$2136,Movement!$M$4:$M$2136,"VND",Movement!$C$4:$C$2136,Table11[[#This Row],[ACCOUNT NUMBER]],Movement!$J$4:$J$2136,Table11[[#This Row],[ENTITY]],Movement!$O$4:$O$2136,'Cash Balance'!$A$2)</f>
        <v>0</v>
      </c>
      <c r="K648" s="1084">
        <f>Table11[[#This Row],[CASH IN - CREDIT (VND)]]-Table11[[#This Row],[CASH OUT - DEBIT (VND)]]</f>
        <v>0</v>
      </c>
      <c r="L648" s="1095">
        <f t="shared" si="56"/>
        <v>0</v>
      </c>
      <c r="M648" s="1184" t="e">
        <f>VLOOKUP(C648,'Cash balance (BS)'!A:D,4,)</f>
        <v>#N/A</v>
      </c>
      <c r="N648" s="1095" t="e">
        <f>Table11[[#This Row],[CLOSING BALANCE (VND)2]]-Table11[[#This Row],[CB_BS (VND)]]</f>
        <v>#N/A</v>
      </c>
      <c r="O648" s="1094">
        <v>0</v>
      </c>
      <c r="P648" s="1095">
        <f t="shared" si="57"/>
        <v>0</v>
      </c>
      <c r="Q648" s="817">
        <f>SUMIFS('Cash balance (Prior period)'!G:G,'Cash balance (Prior period)'!C:C,Table11[[#This Row],[ACCOUNT NUMBER]],'Cash balance (Prior period)'!E:E,Table11[[#This Row],[CURRENCY]])</f>
        <v>0</v>
      </c>
      <c r="R648" s="817">
        <f>SUMIFS(Movement!$F$4:$F$2136,Movement!$M$4:$M$2136,"USD",Movement!$C$4:$C$2136,Table11[[#This Row],[ACCOUNT NUMBER]],Movement!$J$4:$J$2136,Table11[[#This Row],[ENTITY]],Movement!$O$4:$O$2136,'Cash Balance'!$A$2)</f>
        <v>0</v>
      </c>
      <c r="S648" s="817">
        <f>SUMIFS(Movement!$G$4:$G$2136,Movement!$M$4:$M$2136,"USD",Movement!$C$4:$C$2136,Table11[[#This Row],[ACCOUNT NUMBER]],Movement!$J$4:$J$2136,Table11[[#This Row],[ENTITY]],Movement!$O$4:$O$2136,'Cash Balance'!$A$2)</f>
        <v>0</v>
      </c>
      <c r="T648" s="1087">
        <f t="shared" si="58"/>
        <v>0</v>
      </c>
      <c r="U648" s="1089"/>
      <c r="V648" s="817">
        <f>Table11[[#This Row],[CLOSING BALANCE (USD)]]-Table11[[#This Row],[CB_BS (USD)]]</f>
        <v>0</v>
      </c>
      <c r="W648" s="1156" t="str">
        <f>VLOOKUP('Cash Balance'!$C648,Table2[#All],MATCH('Cash Balance'!W$3,Acc_Char!$B$1:$I$1,0),0)</f>
        <v>Subsidiaries</v>
      </c>
      <c r="X648" s="1156" t="str">
        <f>VLOOKUP(IFERROR(MID($Y648,1,FIND("-",$Y648)-2),$Y648),Table3[#All],2,0)</f>
        <v>VTB</v>
      </c>
      <c r="Y648" s="1156" t="str">
        <f>VLOOKUP($B648,Table4[#All],2,0)</f>
        <v>VIETINBANK - DONG SAI GON</v>
      </c>
      <c r="Z648" s="1151"/>
      <c r="AA648" s="49"/>
    </row>
    <row r="649" spans="1:27">
      <c r="A649" s="1153" t="str">
        <f>VLOOKUP('Cash Balance'!$C649,Table2[#All],MATCH('Cash Balance'!A$3,Acc_Char!$B$1:$I$1,0),0)</f>
        <v>BAC TIEN PHONG</v>
      </c>
      <c r="B649" s="1154" t="str">
        <f>VLOOKUP('Cash Balance'!$C649,Table2[#All],MATCH('Cash Balance'!B$3,Acc_Char!$B$1:$I$1,0),0)</f>
        <v>BIDV - THANH XUAN</v>
      </c>
      <c r="C649" s="1190" t="s">
        <v>1263</v>
      </c>
      <c r="D649" s="1156" t="str">
        <f>VLOOKUP('Cash Balance'!$C649,Table2[#All],MATCH('Cash Balance'!D$3,Acc_Char!$B$1:$I$1,0),0)</f>
        <v>Saving Account</v>
      </c>
      <c r="E649" s="384" t="str">
        <f>VLOOKUP('Cash Balance'!$C649,Table2[#All],MATCH('Cash Balance'!E$3,Acc_Char!$B$1:$I$1,0),0)</f>
        <v>VND</v>
      </c>
      <c r="F649" s="1094" t="e">
        <f>VLOOKUP(C649,'Cash balance (BS)'!A:C,3,)</f>
        <v>#N/A</v>
      </c>
      <c r="G649" s="1191" t="e">
        <f t="shared" si="55"/>
        <v>#N/A</v>
      </c>
      <c r="H649" s="1318">
        <f>SUMIFS('Cash balance (Prior period)'!F:F,'Cash balance (Prior period)'!C:C,Table11[[#This Row],[ACCOUNT NUMBER]],'Cash balance (Prior period)'!E:E,Table11[[#This Row],[CURRENCY]])</f>
        <v>3000000000</v>
      </c>
      <c r="I649" s="1318">
        <f>SUMIFS(Movement!$F$4:$F$2136,Movement!$M$4:$M$2136,"VND",Movement!$C$4:$C$2136,Table11[[#This Row],[ACCOUNT NUMBER]],Movement!$J$4:$J$2136,Table11[[#This Row],[ENTITY]],Movement!$O$4:$O$2136,'Cash Balance'!$A$2)</f>
        <v>0</v>
      </c>
      <c r="J649" s="1318">
        <f>SUMIFS(Movement!$G$4:$G$2136,Movement!$M$4:$M$2136,"VND",Movement!$C$4:$C$2136,Table11[[#This Row],[ACCOUNT NUMBER]],Movement!$J$4:$J$2136,Table11[[#This Row],[ENTITY]],Movement!$O$4:$O$2136,'Cash Balance'!$A$2)</f>
        <v>0</v>
      </c>
      <c r="K649" s="1084">
        <f>Table11[[#This Row],[CASH IN - CREDIT (VND)]]-Table11[[#This Row],[CASH OUT - DEBIT (VND)]]</f>
        <v>0</v>
      </c>
      <c r="L649" s="1095">
        <f t="shared" si="56"/>
        <v>3000000000</v>
      </c>
      <c r="M649" s="1184" t="e">
        <f>VLOOKUP(C649,'Cash balance (BS)'!A:D,4,)</f>
        <v>#N/A</v>
      </c>
      <c r="N649" s="1095" t="e">
        <f>Table11[[#This Row],[CLOSING BALANCE (VND)2]]-Table11[[#This Row],[CB_BS (VND)]]</f>
        <v>#N/A</v>
      </c>
      <c r="O649" s="1094">
        <v>0</v>
      </c>
      <c r="P649" s="1095">
        <f t="shared" si="57"/>
        <v>0</v>
      </c>
      <c r="Q649" s="817">
        <f>SUMIFS('Cash balance (Prior period)'!G:G,'Cash balance (Prior period)'!C:C,Table11[[#This Row],[ACCOUNT NUMBER]],'Cash balance (Prior period)'!E:E,Table11[[#This Row],[CURRENCY]])</f>
        <v>0</v>
      </c>
      <c r="R649" s="817">
        <f>SUMIFS(Movement!$F$4:$F$2136,Movement!$M$4:$M$2136,"USD",Movement!$C$4:$C$2136,Table11[[#This Row],[ACCOUNT NUMBER]],Movement!$J$4:$J$2136,Table11[[#This Row],[ENTITY]],Movement!$O$4:$O$2136,'Cash Balance'!$A$2)</f>
        <v>0</v>
      </c>
      <c r="S649" s="817">
        <f>SUMIFS(Movement!$G$4:$G$2136,Movement!$M$4:$M$2136,"USD",Movement!$C$4:$C$2136,Table11[[#This Row],[ACCOUNT NUMBER]],Movement!$J$4:$J$2136,Table11[[#This Row],[ENTITY]],Movement!$O$4:$O$2136,'Cash Balance'!$A$2)</f>
        <v>0</v>
      </c>
      <c r="T649" s="1087">
        <f t="shared" si="58"/>
        <v>0</v>
      </c>
      <c r="U649" s="1089"/>
      <c r="V649" s="817">
        <f>Table11[[#This Row],[CLOSING BALANCE (USD)]]-Table11[[#This Row],[CB_BS (USD)]]</f>
        <v>0</v>
      </c>
      <c r="W649" s="1156" t="str">
        <f>VLOOKUP('Cash Balance'!$C649,Table2[#All],MATCH('Cash Balance'!W$3,Acc_Char!$B$1:$I$1,0),0)</f>
        <v>Subsidiaries</v>
      </c>
      <c r="X649" s="1156" t="str">
        <f>VLOOKUP(IFERROR(MID($Y649,1,FIND("-",$Y649)-2),$Y649),Table3[#All],2,0)</f>
        <v>BIDV</v>
      </c>
      <c r="Y649" s="1156" t="str">
        <f>VLOOKUP($B649,Table4[#All],2,0)</f>
        <v>BIDV - THANH XUAN</v>
      </c>
      <c r="Z649" s="1151"/>
      <c r="AA649" s="49"/>
    </row>
    <row r="650" spans="1:27">
      <c r="A650" s="1153" t="str">
        <f>VLOOKUP('Cash Balance'!$C650,Table2[#All],MATCH('Cash Balance'!A$3,Acc_Char!$B$1:$I$1,0),0)</f>
        <v>SAO HOA</v>
      </c>
      <c r="B650" s="1154" t="str">
        <f>VLOOKUP('Cash Balance'!$C650,Table2[#All],MATCH('Cash Balance'!B$3,Acc_Char!$B$1:$I$1,0),0)</f>
        <v>VIETINBANK - QUANG MINH</v>
      </c>
      <c r="C650" s="1190" t="s">
        <v>1264</v>
      </c>
      <c r="D650" s="1156" t="str">
        <f>VLOOKUP('Cash Balance'!$C650,Table2[#All],MATCH('Cash Balance'!D$3,Acc_Char!$B$1:$I$1,0),0)</f>
        <v>Saving Account</v>
      </c>
      <c r="E650" s="384" t="str">
        <f>VLOOKUP('Cash Balance'!$C650,Table2[#All],MATCH('Cash Balance'!E$3,Acc_Char!$B$1:$I$1,0),0)</f>
        <v>VND</v>
      </c>
      <c r="F650" s="1094" t="e">
        <f>VLOOKUP(C650,'Cash balance (BS)'!A:C,3,)</f>
        <v>#N/A</v>
      </c>
      <c r="G650" s="1191" t="e">
        <f t="shared" si="55"/>
        <v>#N/A</v>
      </c>
      <c r="H650" s="1318">
        <f>SUMIFS('Cash balance (Prior period)'!F:F,'Cash balance (Prior period)'!C:C,Table11[[#This Row],[ACCOUNT NUMBER]],'Cash balance (Prior period)'!E:E,Table11[[#This Row],[CURRENCY]])</f>
        <v>0</v>
      </c>
      <c r="I650" s="1318">
        <f>SUMIFS(Movement!$F$4:$F$2136,Movement!$M$4:$M$2136,"VND",Movement!$C$4:$C$2136,Table11[[#This Row],[ACCOUNT NUMBER]],Movement!$J$4:$J$2136,Table11[[#This Row],[ENTITY]],Movement!$O$4:$O$2136,'Cash Balance'!$A$2)</f>
        <v>0</v>
      </c>
      <c r="J650" s="1318">
        <f>SUMIFS(Movement!$G$4:$G$2136,Movement!$M$4:$M$2136,"VND",Movement!$C$4:$C$2136,Table11[[#This Row],[ACCOUNT NUMBER]],Movement!$J$4:$J$2136,Table11[[#This Row],[ENTITY]],Movement!$O$4:$O$2136,'Cash Balance'!$A$2)</f>
        <v>0</v>
      </c>
      <c r="K650" s="1084">
        <f>Table11[[#This Row],[CASH IN - CREDIT (VND)]]-Table11[[#This Row],[CASH OUT - DEBIT (VND)]]</f>
        <v>0</v>
      </c>
      <c r="L650" s="1095">
        <f t="shared" si="56"/>
        <v>0</v>
      </c>
      <c r="M650" s="1184" t="e">
        <f>VLOOKUP(C650,'Cash balance (BS)'!A:D,4,)</f>
        <v>#N/A</v>
      </c>
      <c r="N650" s="1095" t="e">
        <f>Table11[[#This Row],[CLOSING BALANCE (VND)2]]-Table11[[#This Row],[CB_BS (VND)]]</f>
        <v>#N/A</v>
      </c>
      <c r="O650" s="1094">
        <v>0</v>
      </c>
      <c r="P650" s="1095">
        <f t="shared" si="57"/>
        <v>0</v>
      </c>
      <c r="Q650" s="817">
        <f>SUMIFS('Cash balance (Prior period)'!G:G,'Cash balance (Prior period)'!C:C,Table11[[#This Row],[ACCOUNT NUMBER]],'Cash balance (Prior period)'!E:E,Table11[[#This Row],[CURRENCY]])</f>
        <v>0</v>
      </c>
      <c r="R650" s="817">
        <f>SUMIFS(Movement!$F$4:$F$2136,Movement!$M$4:$M$2136,"USD",Movement!$C$4:$C$2136,Table11[[#This Row],[ACCOUNT NUMBER]],Movement!$J$4:$J$2136,Table11[[#This Row],[ENTITY]],Movement!$O$4:$O$2136,'Cash Balance'!$A$2)</f>
        <v>0</v>
      </c>
      <c r="S650" s="817">
        <f>SUMIFS(Movement!$G$4:$G$2136,Movement!$M$4:$M$2136,"USD",Movement!$C$4:$C$2136,Table11[[#This Row],[ACCOUNT NUMBER]],Movement!$J$4:$J$2136,Table11[[#This Row],[ENTITY]],Movement!$O$4:$O$2136,'Cash Balance'!$A$2)</f>
        <v>0</v>
      </c>
      <c r="T650" s="1087">
        <f t="shared" si="58"/>
        <v>0</v>
      </c>
      <c r="U650" s="1089"/>
      <c r="V650" s="817">
        <f>Table11[[#This Row],[CLOSING BALANCE (USD)]]-Table11[[#This Row],[CB_BS (USD)]]</f>
        <v>0</v>
      </c>
      <c r="W650" s="1156" t="str">
        <f>VLOOKUP('Cash Balance'!$C650,Table2[#All],MATCH('Cash Balance'!W$3,Acc_Char!$B$1:$I$1,0),0)</f>
        <v>VC3</v>
      </c>
      <c r="X650" s="1156" t="str">
        <f>VLOOKUP(IFERROR(MID($Y650,1,FIND("-",$Y650)-2),$Y650),Table3[#All],2,0)</f>
        <v>VTB</v>
      </c>
      <c r="Y650" s="1156" t="str">
        <f>VLOOKUP($B650,Table4[#All],2,0)</f>
        <v>VIETINBANK - BINH DUONG + QM</v>
      </c>
      <c r="Z650" s="1151"/>
      <c r="AA650" s="49"/>
    </row>
    <row r="651" spans="1:27">
      <c r="A651" s="1153" t="str">
        <f>VLOOKUP('Cash Balance'!$C651,Table2[#All],MATCH('Cash Balance'!A$3,Acc_Char!$B$1:$I$1,0),0)</f>
        <v>SAO HOA</v>
      </c>
      <c r="B651" s="1154" t="str">
        <f>VLOOKUP('Cash Balance'!$C651,Table2[#All],MATCH('Cash Balance'!B$3,Acc_Char!$B$1:$I$1,0),0)</f>
        <v>VIETINBANK - TIEN SON</v>
      </c>
      <c r="C651" s="1190" t="s">
        <v>1265</v>
      </c>
      <c r="D651" s="1156" t="str">
        <f>VLOOKUP('Cash Balance'!$C651,Table2[#All],MATCH('Cash Balance'!D$3,Acc_Char!$B$1:$I$1,0),0)</f>
        <v>Saving Account</v>
      </c>
      <c r="E651" s="384" t="str">
        <f>VLOOKUP('Cash Balance'!$C651,Table2[#All],MATCH('Cash Balance'!E$3,Acc_Char!$B$1:$I$1,0),0)</f>
        <v>VND</v>
      </c>
      <c r="F651" s="1094" t="e">
        <f>VLOOKUP(C651,'Cash balance (BS)'!A:C,3,)</f>
        <v>#N/A</v>
      </c>
      <c r="G651" s="1191" t="e">
        <f t="shared" si="55"/>
        <v>#N/A</v>
      </c>
      <c r="H651" s="1318">
        <f>SUMIFS('Cash balance (Prior period)'!F:F,'Cash balance (Prior period)'!C:C,Table11[[#This Row],[ACCOUNT NUMBER]],'Cash balance (Prior period)'!E:E,Table11[[#This Row],[CURRENCY]])</f>
        <v>0</v>
      </c>
      <c r="I651" s="1318">
        <f>SUMIFS(Movement!$F$4:$F$2136,Movement!$M$4:$M$2136,"VND",Movement!$C$4:$C$2136,Table11[[#This Row],[ACCOUNT NUMBER]],Movement!$J$4:$J$2136,Table11[[#This Row],[ENTITY]],Movement!$O$4:$O$2136,'Cash Balance'!$A$2)</f>
        <v>0</v>
      </c>
      <c r="J651" s="1318">
        <f>SUMIFS(Movement!$G$4:$G$2136,Movement!$M$4:$M$2136,"VND",Movement!$C$4:$C$2136,Table11[[#This Row],[ACCOUNT NUMBER]],Movement!$J$4:$J$2136,Table11[[#This Row],[ENTITY]],Movement!$O$4:$O$2136,'Cash Balance'!$A$2)</f>
        <v>0</v>
      </c>
      <c r="K651" s="1084">
        <f>Table11[[#This Row],[CASH IN - CREDIT (VND)]]-Table11[[#This Row],[CASH OUT - DEBIT (VND)]]</f>
        <v>0</v>
      </c>
      <c r="L651" s="1095">
        <f t="shared" si="56"/>
        <v>0</v>
      </c>
      <c r="M651" s="1184" t="e">
        <f>VLOOKUP(C651,'Cash balance (BS)'!A:D,4,)</f>
        <v>#N/A</v>
      </c>
      <c r="N651" s="1095" t="e">
        <f>Table11[[#This Row],[CLOSING BALANCE (VND)2]]-Table11[[#This Row],[CB_BS (VND)]]</f>
        <v>#N/A</v>
      </c>
      <c r="O651" s="1094">
        <v>0</v>
      </c>
      <c r="P651" s="1095">
        <f t="shared" si="57"/>
        <v>0</v>
      </c>
      <c r="Q651" s="817">
        <f>SUMIFS('Cash balance (Prior period)'!G:G,'Cash balance (Prior period)'!C:C,Table11[[#This Row],[ACCOUNT NUMBER]],'Cash balance (Prior period)'!E:E,Table11[[#This Row],[CURRENCY]])</f>
        <v>0</v>
      </c>
      <c r="R651" s="817">
        <f>SUMIFS(Movement!$F$4:$F$2136,Movement!$M$4:$M$2136,"USD",Movement!$C$4:$C$2136,Table11[[#This Row],[ACCOUNT NUMBER]],Movement!$J$4:$J$2136,Table11[[#This Row],[ENTITY]],Movement!$O$4:$O$2136,'Cash Balance'!$A$2)</f>
        <v>0</v>
      </c>
      <c r="S651" s="817">
        <f>SUMIFS(Movement!$G$4:$G$2136,Movement!$M$4:$M$2136,"USD",Movement!$C$4:$C$2136,Table11[[#This Row],[ACCOUNT NUMBER]],Movement!$J$4:$J$2136,Table11[[#This Row],[ENTITY]],Movement!$O$4:$O$2136,'Cash Balance'!$A$2)</f>
        <v>0</v>
      </c>
      <c r="T651" s="1087">
        <f t="shared" si="58"/>
        <v>0</v>
      </c>
      <c r="U651" s="1089"/>
      <c r="V651" s="817">
        <f>Table11[[#This Row],[CLOSING BALANCE (USD)]]-Table11[[#This Row],[CB_BS (USD)]]</f>
        <v>0</v>
      </c>
      <c r="W651" s="1156" t="str">
        <f>VLOOKUP('Cash Balance'!$C651,Table2[#All],MATCH('Cash Balance'!W$3,Acc_Char!$B$1:$I$1,0),0)</f>
        <v>VC3</v>
      </c>
      <c r="X651" s="1156" t="str">
        <f>VLOOKUP(IFERROR(MID($Y651,1,FIND("-",$Y651)-2),$Y651),Table3[#All],2,0)</f>
        <v>VTB</v>
      </c>
      <c r="Y651" s="1156" t="str">
        <f>VLOOKUP($B651,Table4[#All],2,0)</f>
        <v>VIETINBANK - TIEN SON</v>
      </c>
      <c r="Z651" s="1151"/>
      <c r="AA651" s="49"/>
    </row>
    <row r="652" spans="1:27">
      <c r="A652" s="1153" t="str">
        <f>VLOOKUP('Cash Balance'!$C652,Table2[#All],MATCH('Cash Balance'!A$3,Acc_Char!$B$1:$I$1,0),0)</f>
        <v>BWID BINH DUONG</v>
      </c>
      <c r="B652" s="1154" t="str">
        <f>VLOOKUP('Cash Balance'!$C652,Table2[#All],MATCH('Cash Balance'!B$3,Acc_Char!$B$1:$I$1,0),0)</f>
        <v>VIETINBANK - BINH DUONG</v>
      </c>
      <c r="C652" s="1190" t="s">
        <v>1266</v>
      </c>
      <c r="D652" s="1156" t="str">
        <f>VLOOKUP('Cash Balance'!$C652,Table2[#All],MATCH('Cash Balance'!D$3,Acc_Char!$B$1:$I$1,0),0)</f>
        <v>Saving Account</v>
      </c>
      <c r="E652" s="384" t="str">
        <f>VLOOKUP('Cash Balance'!$C652,Table2[#All],MATCH('Cash Balance'!E$3,Acc_Char!$B$1:$I$1,0),0)</f>
        <v>VND</v>
      </c>
      <c r="F652" s="1094" t="e">
        <f>VLOOKUP(C652,'Cash balance (BS)'!A:C,3,)</f>
        <v>#N/A</v>
      </c>
      <c r="G652" s="1191" t="e">
        <f t="shared" si="55"/>
        <v>#N/A</v>
      </c>
      <c r="H652" s="1318">
        <f>SUMIFS('Cash balance (Prior period)'!F:F,'Cash balance (Prior period)'!C:C,Table11[[#This Row],[ACCOUNT NUMBER]],'Cash balance (Prior period)'!E:E,Table11[[#This Row],[CURRENCY]])</f>
        <v>0</v>
      </c>
      <c r="I652" s="1318">
        <f>SUMIFS(Movement!$F$4:$F$2136,Movement!$M$4:$M$2136,"VND",Movement!$C$4:$C$2136,Table11[[#This Row],[ACCOUNT NUMBER]],Movement!$J$4:$J$2136,Table11[[#This Row],[ENTITY]],Movement!$O$4:$O$2136,'Cash Balance'!$A$2)</f>
        <v>0</v>
      </c>
      <c r="J652" s="1318">
        <f>SUMIFS(Movement!$G$4:$G$2136,Movement!$M$4:$M$2136,"VND",Movement!$C$4:$C$2136,Table11[[#This Row],[ACCOUNT NUMBER]],Movement!$J$4:$J$2136,Table11[[#This Row],[ENTITY]],Movement!$O$4:$O$2136,'Cash Balance'!$A$2)</f>
        <v>0</v>
      </c>
      <c r="K652" s="1084">
        <f>Table11[[#This Row],[CASH IN - CREDIT (VND)]]-Table11[[#This Row],[CASH OUT - DEBIT (VND)]]</f>
        <v>0</v>
      </c>
      <c r="L652" s="1095">
        <f t="shared" si="56"/>
        <v>0</v>
      </c>
      <c r="M652" s="1184" t="e">
        <f>VLOOKUP(C652,'Cash balance (BS)'!A:D,4,)</f>
        <v>#N/A</v>
      </c>
      <c r="N652" s="1095" t="e">
        <f>Table11[[#This Row],[CLOSING BALANCE (VND)2]]-Table11[[#This Row],[CB_BS (VND)]]</f>
        <v>#N/A</v>
      </c>
      <c r="O652" s="1094">
        <v>0</v>
      </c>
      <c r="P652" s="1095">
        <f t="shared" si="57"/>
        <v>0</v>
      </c>
      <c r="Q652" s="817">
        <f>SUMIFS('Cash balance (Prior period)'!G:G,'Cash balance (Prior period)'!C:C,Table11[[#This Row],[ACCOUNT NUMBER]],'Cash balance (Prior period)'!E:E,Table11[[#This Row],[CURRENCY]])</f>
        <v>0</v>
      </c>
      <c r="R652" s="817">
        <f>SUMIFS(Movement!$F$4:$F$2136,Movement!$M$4:$M$2136,"USD",Movement!$C$4:$C$2136,Table11[[#This Row],[ACCOUNT NUMBER]],Movement!$J$4:$J$2136,Table11[[#This Row],[ENTITY]],Movement!$O$4:$O$2136,'Cash Balance'!$A$2)</f>
        <v>0</v>
      </c>
      <c r="S652" s="817">
        <f>SUMIFS(Movement!$G$4:$G$2136,Movement!$M$4:$M$2136,"USD",Movement!$C$4:$C$2136,Table11[[#This Row],[ACCOUNT NUMBER]],Movement!$J$4:$J$2136,Table11[[#This Row],[ENTITY]],Movement!$O$4:$O$2136,'Cash Balance'!$A$2)</f>
        <v>0</v>
      </c>
      <c r="T652" s="1087">
        <f t="shared" si="58"/>
        <v>0</v>
      </c>
      <c r="U652" s="1089"/>
      <c r="V652" s="817">
        <f>Table11[[#This Row],[CLOSING BALANCE (USD)]]-Table11[[#This Row],[CB_BS (USD)]]</f>
        <v>0</v>
      </c>
      <c r="W652" s="1156" t="str">
        <f>VLOOKUP('Cash Balance'!$C652,Table2[#All],MATCH('Cash Balance'!W$3,Acc_Char!$B$1:$I$1,0),0)</f>
        <v>BWID JSC</v>
      </c>
      <c r="X652" s="1156" t="str">
        <f>VLOOKUP(IFERROR(MID($Y652,1,FIND("-",$Y652)-2),$Y652),Table3[#All],2,0)</f>
        <v>VTB</v>
      </c>
      <c r="Y652" s="1156" t="str">
        <f>VLOOKUP($B652,Table4[#All],2,0)</f>
        <v>VIETINBANK - BINH DUONG + QM</v>
      </c>
      <c r="Z652" s="1151"/>
      <c r="AA652" s="49"/>
    </row>
    <row r="653" spans="1:27">
      <c r="A653" s="1153" t="str">
        <f>VLOOKUP('Cash Balance'!$C653,Table2[#All],MATCH('Cash Balance'!A$3,Acc_Char!$B$1:$I$1,0),0)</f>
        <v>SAO HOA</v>
      </c>
      <c r="B653" s="1154" t="str">
        <f>VLOOKUP('Cash Balance'!$C653,Table2[#All],MATCH('Cash Balance'!B$3,Acc_Char!$B$1:$I$1,0),0)</f>
        <v>VIETINBANK - BINH DUONG</v>
      </c>
      <c r="C653" s="1190" t="s">
        <v>1267</v>
      </c>
      <c r="D653" s="1156" t="str">
        <f>VLOOKUP('Cash Balance'!$C653,Table2[#All],MATCH('Cash Balance'!D$3,Acc_Char!$B$1:$I$1,0),0)</f>
        <v>Saving Account</v>
      </c>
      <c r="E653" s="384" t="str">
        <f>VLOOKUP('Cash Balance'!$C653,Table2[#All],MATCH('Cash Balance'!E$3,Acc_Char!$B$1:$I$1,0),0)</f>
        <v>VND</v>
      </c>
      <c r="F653" s="1094" t="e">
        <f>VLOOKUP(C653,'Cash balance (BS)'!A:C,3,)</f>
        <v>#N/A</v>
      </c>
      <c r="G653" s="1191" t="e">
        <f t="shared" si="55"/>
        <v>#N/A</v>
      </c>
      <c r="H653" s="1318">
        <f>SUMIFS('Cash balance (Prior period)'!F:F,'Cash balance (Prior period)'!C:C,Table11[[#This Row],[ACCOUNT NUMBER]],'Cash balance (Prior period)'!E:E,Table11[[#This Row],[CURRENCY]])</f>
        <v>0</v>
      </c>
      <c r="I653" s="1318">
        <f>SUMIFS(Movement!$F$4:$F$2136,Movement!$M$4:$M$2136,"VND",Movement!$C$4:$C$2136,Table11[[#This Row],[ACCOUNT NUMBER]],Movement!$J$4:$J$2136,Table11[[#This Row],[ENTITY]],Movement!$O$4:$O$2136,'Cash Balance'!$A$2)</f>
        <v>0</v>
      </c>
      <c r="J653" s="1318">
        <f>SUMIFS(Movement!$G$4:$G$2136,Movement!$M$4:$M$2136,"VND",Movement!$C$4:$C$2136,Table11[[#This Row],[ACCOUNT NUMBER]],Movement!$J$4:$J$2136,Table11[[#This Row],[ENTITY]],Movement!$O$4:$O$2136,'Cash Balance'!$A$2)</f>
        <v>0</v>
      </c>
      <c r="K653" s="1084">
        <f>Table11[[#This Row],[CASH IN - CREDIT (VND)]]-Table11[[#This Row],[CASH OUT - DEBIT (VND)]]</f>
        <v>0</v>
      </c>
      <c r="L653" s="1095">
        <f t="shared" si="56"/>
        <v>0</v>
      </c>
      <c r="M653" s="1184" t="e">
        <f>VLOOKUP(C653,'Cash balance (BS)'!A:D,4,)</f>
        <v>#N/A</v>
      </c>
      <c r="N653" s="1095" t="e">
        <f>Table11[[#This Row],[CLOSING BALANCE (VND)2]]-Table11[[#This Row],[CB_BS (VND)]]</f>
        <v>#N/A</v>
      </c>
      <c r="O653" s="1094">
        <v>0</v>
      </c>
      <c r="P653" s="1095">
        <f t="shared" si="57"/>
        <v>0</v>
      </c>
      <c r="Q653" s="817">
        <f>SUMIFS('Cash balance (Prior period)'!G:G,'Cash balance (Prior period)'!C:C,Table11[[#This Row],[ACCOUNT NUMBER]],'Cash balance (Prior period)'!E:E,Table11[[#This Row],[CURRENCY]])</f>
        <v>0</v>
      </c>
      <c r="R653" s="817">
        <f>SUMIFS(Movement!$F$4:$F$2136,Movement!$M$4:$M$2136,"USD",Movement!$C$4:$C$2136,Table11[[#This Row],[ACCOUNT NUMBER]],Movement!$J$4:$J$2136,Table11[[#This Row],[ENTITY]],Movement!$O$4:$O$2136,'Cash Balance'!$A$2)</f>
        <v>0</v>
      </c>
      <c r="S653" s="817">
        <f>SUMIFS(Movement!$G$4:$G$2136,Movement!$M$4:$M$2136,"USD",Movement!$C$4:$C$2136,Table11[[#This Row],[ACCOUNT NUMBER]],Movement!$J$4:$J$2136,Table11[[#This Row],[ENTITY]],Movement!$O$4:$O$2136,'Cash Balance'!$A$2)</f>
        <v>0</v>
      </c>
      <c r="T653" s="1087">
        <f t="shared" si="58"/>
        <v>0</v>
      </c>
      <c r="U653" s="1089"/>
      <c r="V653" s="817">
        <f>Table11[[#This Row],[CLOSING BALANCE (USD)]]-Table11[[#This Row],[CB_BS (USD)]]</f>
        <v>0</v>
      </c>
      <c r="W653" s="1156" t="str">
        <f>VLOOKUP('Cash Balance'!$C653,Table2[#All],MATCH('Cash Balance'!W$3,Acc_Char!$B$1:$I$1,0),0)</f>
        <v>VC3</v>
      </c>
      <c r="X653" s="1156" t="str">
        <f>VLOOKUP(IFERROR(MID($Y653,1,FIND("-",$Y653)-2),$Y653),Table3[#All],2,0)</f>
        <v>VTB</v>
      </c>
      <c r="Y653" s="1156" t="str">
        <f>VLOOKUP($B653,Table4[#All],2,0)</f>
        <v>VIETINBANK - BINH DUONG + QM</v>
      </c>
      <c r="Z653" s="1151"/>
      <c r="AA653" s="49"/>
    </row>
    <row r="654" spans="1:27">
      <c r="A654" s="1153" t="str">
        <f>VLOOKUP('Cash Balance'!$C654,Table2[#All],MATCH('Cash Balance'!A$3,Acc_Char!$B$1:$I$1,0),0)</f>
        <v>SAO HOA</v>
      </c>
      <c r="B654" s="1154" t="str">
        <f>VLOOKUP('Cash Balance'!$C654,Table2[#All],MATCH('Cash Balance'!B$3,Acc_Char!$B$1:$I$1,0),0)</f>
        <v>VIETINBANK - BINH DUONG</v>
      </c>
      <c r="C654" s="1190" t="s">
        <v>1268</v>
      </c>
      <c r="D654" s="1156" t="str">
        <f>VLOOKUP('Cash Balance'!$C654,Table2[#All],MATCH('Cash Balance'!D$3,Acc_Char!$B$1:$I$1,0),0)</f>
        <v>Saving Account</v>
      </c>
      <c r="E654" s="384" t="str">
        <f>VLOOKUP('Cash Balance'!$C654,Table2[#All],MATCH('Cash Balance'!E$3,Acc_Char!$B$1:$I$1,0),0)</f>
        <v>VND</v>
      </c>
      <c r="F654" s="1094" t="e">
        <f>VLOOKUP(C654,'Cash balance (BS)'!A:C,3,)</f>
        <v>#N/A</v>
      </c>
      <c r="G654" s="1191" t="e">
        <f t="shared" si="55"/>
        <v>#N/A</v>
      </c>
      <c r="H654" s="1318">
        <f>SUMIFS('Cash balance (Prior period)'!F:F,'Cash balance (Prior period)'!C:C,Table11[[#This Row],[ACCOUNT NUMBER]],'Cash balance (Prior period)'!E:E,Table11[[#This Row],[CURRENCY]])</f>
        <v>0</v>
      </c>
      <c r="I654" s="1318">
        <f>SUMIFS(Movement!$F$4:$F$2136,Movement!$M$4:$M$2136,"VND",Movement!$C$4:$C$2136,Table11[[#This Row],[ACCOUNT NUMBER]],Movement!$J$4:$J$2136,Table11[[#This Row],[ENTITY]],Movement!$O$4:$O$2136,'Cash Balance'!$A$2)</f>
        <v>0</v>
      </c>
      <c r="J654" s="1318">
        <f>SUMIFS(Movement!$G$4:$G$2136,Movement!$M$4:$M$2136,"VND",Movement!$C$4:$C$2136,Table11[[#This Row],[ACCOUNT NUMBER]],Movement!$J$4:$J$2136,Table11[[#This Row],[ENTITY]],Movement!$O$4:$O$2136,'Cash Balance'!$A$2)</f>
        <v>0</v>
      </c>
      <c r="K654" s="1084">
        <f>Table11[[#This Row],[CASH IN - CREDIT (VND)]]-Table11[[#This Row],[CASH OUT - DEBIT (VND)]]</f>
        <v>0</v>
      </c>
      <c r="L654" s="1095">
        <f t="shared" si="56"/>
        <v>0</v>
      </c>
      <c r="M654" s="1184" t="e">
        <f>VLOOKUP(C654,'Cash balance (BS)'!A:D,4,)</f>
        <v>#N/A</v>
      </c>
      <c r="N654" s="1095" t="e">
        <f>Table11[[#This Row],[CLOSING BALANCE (VND)2]]-Table11[[#This Row],[CB_BS (VND)]]</f>
        <v>#N/A</v>
      </c>
      <c r="O654" s="1094">
        <v>0</v>
      </c>
      <c r="P654" s="1095">
        <f t="shared" si="57"/>
        <v>0</v>
      </c>
      <c r="Q654" s="817">
        <f>SUMIFS('Cash balance (Prior period)'!G:G,'Cash balance (Prior period)'!C:C,Table11[[#This Row],[ACCOUNT NUMBER]],'Cash balance (Prior period)'!E:E,Table11[[#This Row],[CURRENCY]])</f>
        <v>0</v>
      </c>
      <c r="R654" s="817">
        <f>SUMIFS(Movement!$F$4:$F$2136,Movement!$M$4:$M$2136,"USD",Movement!$C$4:$C$2136,Table11[[#This Row],[ACCOUNT NUMBER]],Movement!$J$4:$J$2136,Table11[[#This Row],[ENTITY]],Movement!$O$4:$O$2136,'Cash Balance'!$A$2)</f>
        <v>0</v>
      </c>
      <c r="S654" s="817">
        <f>SUMIFS(Movement!$G$4:$G$2136,Movement!$M$4:$M$2136,"USD",Movement!$C$4:$C$2136,Table11[[#This Row],[ACCOUNT NUMBER]],Movement!$J$4:$J$2136,Table11[[#This Row],[ENTITY]],Movement!$O$4:$O$2136,'Cash Balance'!$A$2)</f>
        <v>0</v>
      </c>
      <c r="T654" s="1087">
        <f t="shared" si="58"/>
        <v>0</v>
      </c>
      <c r="U654" s="1089"/>
      <c r="V654" s="817">
        <f>Table11[[#This Row],[CLOSING BALANCE (USD)]]-Table11[[#This Row],[CB_BS (USD)]]</f>
        <v>0</v>
      </c>
      <c r="W654" s="1156" t="str">
        <f>VLOOKUP('Cash Balance'!$C654,Table2[#All],MATCH('Cash Balance'!W$3,Acc_Char!$B$1:$I$1,0),0)</f>
        <v>VC3</v>
      </c>
      <c r="X654" s="1156" t="str">
        <f>VLOOKUP(IFERROR(MID($Y654,1,FIND("-",$Y654)-2),$Y654),Table3[#All],2,0)</f>
        <v>VTB</v>
      </c>
      <c r="Y654" s="1156" t="str">
        <f>VLOOKUP($B654,Table4[#All],2,0)</f>
        <v>VIETINBANK - BINH DUONG + QM</v>
      </c>
      <c r="Z654" s="1151"/>
      <c r="AA654" s="49"/>
    </row>
    <row r="655" spans="1:27">
      <c r="A655" s="1153" t="str">
        <f>VLOOKUP('Cash Balance'!$C655,Table2[#All],MATCH('Cash Balance'!A$3,Acc_Char!$B$1:$I$1,0),0)</f>
        <v>LE MINH XUAN 3</v>
      </c>
      <c r="B655" s="1154" t="str">
        <f>VLOOKUP('Cash Balance'!$C655,Table2[#All],MATCH('Cash Balance'!B$3,Acc_Char!$B$1:$I$1,0),0)</f>
        <v>VIETINBANK - TPHCM</v>
      </c>
      <c r="C655" s="1190" t="s">
        <v>1269</v>
      </c>
      <c r="D655" s="1156" t="str">
        <f>VLOOKUP('Cash Balance'!$C655,Table2[#All],MATCH('Cash Balance'!D$3,Acc_Char!$B$1:$I$1,0),0)</f>
        <v>Saving Account</v>
      </c>
      <c r="E655" s="384" t="str">
        <f>VLOOKUP('Cash Balance'!$C655,Table2[#All],MATCH('Cash Balance'!E$3,Acc_Char!$B$1:$I$1,0),0)</f>
        <v>VND</v>
      </c>
      <c r="F655" s="1094" t="e">
        <f>VLOOKUP(C655,'Cash balance (BS)'!A:C,3,)</f>
        <v>#N/A</v>
      </c>
      <c r="G655" s="1191" t="e">
        <f t="shared" si="55"/>
        <v>#N/A</v>
      </c>
      <c r="H655" s="1318">
        <f>SUMIFS('Cash balance (Prior period)'!F:F,'Cash balance (Prior period)'!C:C,Table11[[#This Row],[ACCOUNT NUMBER]],'Cash balance (Prior period)'!E:E,Table11[[#This Row],[CURRENCY]])</f>
        <v>0</v>
      </c>
      <c r="I655" s="1318">
        <f>SUMIFS(Movement!$F$4:$F$2136,Movement!$M$4:$M$2136,"VND",Movement!$C$4:$C$2136,Table11[[#This Row],[ACCOUNT NUMBER]],Movement!$J$4:$J$2136,Table11[[#This Row],[ENTITY]],Movement!$O$4:$O$2136,'Cash Balance'!$A$2)</f>
        <v>0</v>
      </c>
      <c r="J655" s="1318">
        <f>SUMIFS(Movement!$G$4:$G$2136,Movement!$M$4:$M$2136,"VND",Movement!$C$4:$C$2136,Table11[[#This Row],[ACCOUNT NUMBER]],Movement!$J$4:$J$2136,Table11[[#This Row],[ENTITY]],Movement!$O$4:$O$2136,'Cash Balance'!$A$2)</f>
        <v>0</v>
      </c>
      <c r="K655" s="1084">
        <f>Table11[[#This Row],[CASH IN - CREDIT (VND)]]-Table11[[#This Row],[CASH OUT - DEBIT (VND)]]</f>
        <v>0</v>
      </c>
      <c r="L655" s="1095">
        <f t="shared" si="56"/>
        <v>0</v>
      </c>
      <c r="M655" s="1184" t="e">
        <f>VLOOKUP(C655,'Cash balance (BS)'!A:D,4,)</f>
        <v>#N/A</v>
      </c>
      <c r="N655" s="1095" t="e">
        <f>Table11[[#This Row],[CLOSING BALANCE (VND)2]]-Table11[[#This Row],[CB_BS (VND)]]</f>
        <v>#N/A</v>
      </c>
      <c r="O655" s="1094">
        <v>0</v>
      </c>
      <c r="P655" s="1095">
        <f t="shared" si="57"/>
        <v>0</v>
      </c>
      <c r="Q655" s="817">
        <f>SUMIFS('Cash balance (Prior period)'!G:G,'Cash balance (Prior period)'!C:C,Table11[[#This Row],[ACCOUNT NUMBER]],'Cash balance (Prior period)'!E:E,Table11[[#This Row],[CURRENCY]])</f>
        <v>0</v>
      </c>
      <c r="R655" s="817">
        <f>SUMIFS(Movement!$F$4:$F$2136,Movement!$M$4:$M$2136,"USD",Movement!$C$4:$C$2136,Table11[[#This Row],[ACCOUNT NUMBER]],Movement!$J$4:$J$2136,Table11[[#This Row],[ENTITY]],Movement!$O$4:$O$2136,'Cash Balance'!$A$2)</f>
        <v>0</v>
      </c>
      <c r="S655" s="817">
        <f>SUMIFS(Movement!$G$4:$G$2136,Movement!$M$4:$M$2136,"USD",Movement!$C$4:$C$2136,Table11[[#This Row],[ACCOUNT NUMBER]],Movement!$J$4:$J$2136,Table11[[#This Row],[ENTITY]],Movement!$O$4:$O$2136,'Cash Balance'!$A$2)</f>
        <v>0</v>
      </c>
      <c r="T655" s="1087">
        <f t="shared" si="58"/>
        <v>0</v>
      </c>
      <c r="U655" s="1089"/>
      <c r="V655" s="817">
        <f>Table11[[#This Row],[CLOSING BALANCE (USD)]]-Table11[[#This Row],[CB_BS (USD)]]</f>
        <v>0</v>
      </c>
      <c r="W655" s="1156" t="str">
        <f>VLOOKUP('Cash Balance'!$C655,Table2[#All],MATCH('Cash Balance'!W$3,Acc_Char!$B$1:$I$1,0),0)</f>
        <v>Subsidiaries</v>
      </c>
      <c r="X655" s="1156" t="str">
        <f>VLOOKUP(IFERROR(MID($Y655,1,FIND("-",$Y655)-2),$Y655),Table3[#All],2,0)</f>
        <v>VTB</v>
      </c>
      <c r="Y655" s="1156" t="str">
        <f>VLOOKUP($B655,Table4[#All],2,0)</f>
        <v>VIETINBANK - TPHCM</v>
      </c>
      <c r="Z655" s="1151"/>
      <c r="AA655" s="49"/>
    </row>
    <row r="656" spans="1:27">
      <c r="A656" s="1153" t="str">
        <f>VLOOKUP('Cash Balance'!$C656,Table2[#All],MATCH('Cash Balance'!A$3,Acc_Char!$B$1:$I$1,0),0)</f>
        <v>HOLDCO N4C</v>
      </c>
      <c r="B656" s="1154" t="str">
        <f>VLOOKUP('Cash Balance'!$C656,Table2[#All],MATCH('Cash Balance'!B$3,Acc_Char!$B$1:$I$1,0),0)</f>
        <v>VIETINBANK - TIEN SON</v>
      </c>
      <c r="C656" s="1190" t="s">
        <v>1270</v>
      </c>
      <c r="D656" s="1156" t="str">
        <f>VLOOKUP('Cash Balance'!$C656,Table2[#All],MATCH('Cash Balance'!D$3,Acc_Char!$B$1:$I$1,0),0)</f>
        <v>Saving Account</v>
      </c>
      <c r="E656" s="384" t="str">
        <f>VLOOKUP('Cash Balance'!$C656,Table2[#All],MATCH('Cash Balance'!E$3,Acc_Char!$B$1:$I$1,0),0)</f>
        <v>VND</v>
      </c>
      <c r="F656" s="1094" t="e">
        <f>VLOOKUP(C656,'Cash balance (BS)'!A:C,3,)</f>
        <v>#N/A</v>
      </c>
      <c r="G656" s="1191" t="e">
        <f t="shared" si="55"/>
        <v>#N/A</v>
      </c>
      <c r="H656" s="1318">
        <f>SUMIFS('Cash balance (Prior period)'!F:F,'Cash balance (Prior period)'!C:C,Table11[[#This Row],[ACCOUNT NUMBER]],'Cash balance (Prior period)'!E:E,Table11[[#This Row],[CURRENCY]])</f>
        <v>0</v>
      </c>
      <c r="I656" s="1318">
        <f>SUMIFS(Movement!$F$4:$F$2136,Movement!$M$4:$M$2136,"VND",Movement!$C$4:$C$2136,Table11[[#This Row],[ACCOUNT NUMBER]],Movement!$J$4:$J$2136,Table11[[#This Row],[ENTITY]],Movement!$O$4:$O$2136,'Cash Balance'!$A$2)</f>
        <v>0</v>
      </c>
      <c r="J656" s="1318">
        <f>SUMIFS(Movement!$G$4:$G$2136,Movement!$M$4:$M$2136,"VND",Movement!$C$4:$C$2136,Table11[[#This Row],[ACCOUNT NUMBER]],Movement!$J$4:$J$2136,Table11[[#This Row],[ENTITY]],Movement!$O$4:$O$2136,'Cash Balance'!$A$2)</f>
        <v>0</v>
      </c>
      <c r="K656" s="1084">
        <f>Table11[[#This Row],[CASH IN - CREDIT (VND)]]-Table11[[#This Row],[CASH OUT - DEBIT (VND)]]</f>
        <v>0</v>
      </c>
      <c r="L656" s="1095">
        <f t="shared" si="56"/>
        <v>0</v>
      </c>
      <c r="M656" s="1184" t="e">
        <f>VLOOKUP(C656,'Cash balance (BS)'!A:D,4,)</f>
        <v>#N/A</v>
      </c>
      <c r="N656" s="1095" t="e">
        <f>Table11[[#This Row],[CLOSING BALANCE (VND)2]]-Table11[[#This Row],[CB_BS (VND)]]</f>
        <v>#N/A</v>
      </c>
      <c r="O656" s="1094">
        <v>0</v>
      </c>
      <c r="P656" s="1095">
        <f t="shared" si="57"/>
        <v>0</v>
      </c>
      <c r="Q656" s="817">
        <f>SUMIFS('Cash balance (Prior period)'!G:G,'Cash balance (Prior period)'!C:C,Table11[[#This Row],[ACCOUNT NUMBER]],'Cash balance (Prior period)'!E:E,Table11[[#This Row],[CURRENCY]])</f>
        <v>0</v>
      </c>
      <c r="R656" s="817">
        <f>SUMIFS(Movement!$F$4:$F$2136,Movement!$M$4:$M$2136,"USD",Movement!$C$4:$C$2136,Table11[[#This Row],[ACCOUNT NUMBER]],Movement!$J$4:$J$2136,Table11[[#This Row],[ENTITY]],Movement!$O$4:$O$2136,'Cash Balance'!$A$2)</f>
        <v>0</v>
      </c>
      <c r="S656" s="817">
        <f>SUMIFS(Movement!$G$4:$G$2136,Movement!$M$4:$M$2136,"USD",Movement!$C$4:$C$2136,Table11[[#This Row],[ACCOUNT NUMBER]],Movement!$J$4:$J$2136,Table11[[#This Row],[ENTITY]],Movement!$O$4:$O$2136,'Cash Balance'!$A$2)</f>
        <v>0</v>
      </c>
      <c r="T656" s="1087">
        <f t="shared" si="58"/>
        <v>0</v>
      </c>
      <c r="U656" s="1089"/>
      <c r="V656" s="817">
        <f>Table11[[#This Row],[CLOSING BALANCE (USD)]]-Table11[[#This Row],[CB_BS (USD)]]</f>
        <v>0</v>
      </c>
      <c r="W656" s="1156" t="str">
        <f>VLOOKUP('Cash Balance'!$C656,Table2[#All],MATCH('Cash Balance'!W$3,Acc_Char!$B$1:$I$1,0),0)</f>
        <v>Subsidiaries</v>
      </c>
      <c r="X656" s="1156" t="str">
        <f>VLOOKUP(IFERROR(MID($Y656,1,FIND("-",$Y656)-2),$Y656),Table3[#All],2,0)</f>
        <v>VTB</v>
      </c>
      <c r="Y656" s="1156" t="str">
        <f>VLOOKUP($B656,Table4[#All],2,0)</f>
        <v>VIETINBANK - TIEN SON</v>
      </c>
      <c r="Z656" s="1151"/>
      <c r="AA656" s="49"/>
    </row>
    <row r="657" spans="1:27">
      <c r="A657" s="1153" t="str">
        <f>VLOOKUP('Cash Balance'!$C657,Table2[#All],MATCH('Cash Balance'!A$3,Acc_Char!$B$1:$I$1,0),0)</f>
        <v>TAN DONG HIEP B ELECTRON</v>
      </c>
      <c r="B657" s="1154" t="str">
        <f>VLOOKUP('Cash Balance'!$C657,Table2[#All],MATCH('Cash Balance'!B$3,Acc_Char!$B$1:$I$1,0),0)</f>
        <v>VIETINBANK - TPHCM</v>
      </c>
      <c r="C657" s="1190" t="s">
        <v>1271</v>
      </c>
      <c r="D657" s="1156" t="str">
        <f>VLOOKUP('Cash Balance'!$C657,Table2[#All],MATCH('Cash Balance'!D$3,Acc_Char!$B$1:$I$1,0),0)</f>
        <v>Saving Account</v>
      </c>
      <c r="E657" s="384" t="str">
        <f>VLOOKUP('Cash Balance'!$C657,Table2[#All],MATCH('Cash Balance'!E$3,Acc_Char!$B$1:$I$1,0),0)</f>
        <v>VND</v>
      </c>
      <c r="F657" s="1094" t="e">
        <f>VLOOKUP(C657,'Cash balance (BS)'!A:C,3,)</f>
        <v>#N/A</v>
      </c>
      <c r="G657" s="1191" t="e">
        <f t="shared" si="55"/>
        <v>#N/A</v>
      </c>
      <c r="H657" s="1318">
        <f>SUMIFS('Cash balance (Prior period)'!F:F,'Cash balance (Prior period)'!C:C,Table11[[#This Row],[ACCOUNT NUMBER]],'Cash balance (Prior period)'!E:E,Table11[[#This Row],[CURRENCY]])</f>
        <v>0</v>
      </c>
      <c r="I657" s="1318">
        <f>SUMIFS(Movement!$F$4:$F$2136,Movement!$M$4:$M$2136,"VND",Movement!$C$4:$C$2136,Table11[[#This Row],[ACCOUNT NUMBER]],Movement!$J$4:$J$2136,Table11[[#This Row],[ENTITY]],Movement!$O$4:$O$2136,'Cash Balance'!$A$2)</f>
        <v>0</v>
      </c>
      <c r="J657" s="1318">
        <f>SUMIFS(Movement!$G$4:$G$2136,Movement!$M$4:$M$2136,"VND",Movement!$C$4:$C$2136,Table11[[#This Row],[ACCOUNT NUMBER]],Movement!$J$4:$J$2136,Table11[[#This Row],[ENTITY]],Movement!$O$4:$O$2136,'Cash Balance'!$A$2)</f>
        <v>0</v>
      </c>
      <c r="K657" s="1084">
        <f>Table11[[#This Row],[CASH IN - CREDIT (VND)]]-Table11[[#This Row],[CASH OUT - DEBIT (VND)]]</f>
        <v>0</v>
      </c>
      <c r="L657" s="1095">
        <f t="shared" si="56"/>
        <v>0</v>
      </c>
      <c r="M657" s="1184" t="e">
        <f>VLOOKUP(C657,'Cash balance (BS)'!A:D,4,)</f>
        <v>#N/A</v>
      </c>
      <c r="N657" s="1095" t="e">
        <f>Table11[[#This Row],[CLOSING BALANCE (VND)2]]-Table11[[#This Row],[CB_BS (VND)]]</f>
        <v>#N/A</v>
      </c>
      <c r="O657" s="1094">
        <v>0</v>
      </c>
      <c r="P657" s="1095">
        <f t="shared" si="57"/>
        <v>0</v>
      </c>
      <c r="Q657" s="817">
        <f>SUMIFS('Cash balance (Prior period)'!G:G,'Cash balance (Prior period)'!C:C,Table11[[#This Row],[ACCOUNT NUMBER]],'Cash balance (Prior period)'!E:E,Table11[[#This Row],[CURRENCY]])</f>
        <v>0</v>
      </c>
      <c r="R657" s="817">
        <f>SUMIFS(Movement!$F$4:$F$2136,Movement!$M$4:$M$2136,"USD",Movement!$C$4:$C$2136,Table11[[#This Row],[ACCOUNT NUMBER]],Movement!$J$4:$J$2136,Table11[[#This Row],[ENTITY]],Movement!$O$4:$O$2136,'Cash Balance'!$A$2)</f>
        <v>0</v>
      </c>
      <c r="S657" s="817">
        <f>SUMIFS(Movement!$G$4:$G$2136,Movement!$M$4:$M$2136,"USD",Movement!$C$4:$C$2136,Table11[[#This Row],[ACCOUNT NUMBER]],Movement!$J$4:$J$2136,Table11[[#This Row],[ENTITY]],Movement!$O$4:$O$2136,'Cash Balance'!$A$2)</f>
        <v>0</v>
      </c>
      <c r="T657" s="1087">
        <f t="shared" si="58"/>
        <v>0</v>
      </c>
      <c r="U657" s="1089"/>
      <c r="V657" s="817">
        <f>Table11[[#This Row],[CLOSING BALANCE (USD)]]-Table11[[#This Row],[CB_BS (USD)]]</f>
        <v>0</v>
      </c>
      <c r="W657" s="1156" t="str">
        <f>VLOOKUP('Cash Balance'!$C657,Table2[#All],MATCH('Cash Balance'!W$3,Acc_Char!$B$1:$I$1,0),0)</f>
        <v>Subsidiaries</v>
      </c>
      <c r="X657" s="1156" t="str">
        <f>VLOOKUP(IFERROR(MID($Y657,1,FIND("-",$Y657)-2),$Y657),Table3[#All],2,0)</f>
        <v>VTB</v>
      </c>
      <c r="Y657" s="1156" t="str">
        <f>VLOOKUP($B657,Table4[#All],2,0)</f>
        <v>VIETINBANK - TPHCM</v>
      </c>
      <c r="Z657" s="1151"/>
      <c r="AA657" s="49"/>
    </row>
    <row r="658" spans="1:27">
      <c r="A658" s="1153" t="str">
        <f>VLOOKUP('Cash Balance'!$C658,Table2[#All],MATCH('Cash Balance'!A$3,Acc_Char!$B$1:$I$1,0),0)</f>
        <v>TAN DONG HIEP B ELECTRON</v>
      </c>
      <c r="B658" s="1154" t="str">
        <f>VLOOKUP('Cash Balance'!$C658,Table2[#All],MATCH('Cash Balance'!B$3,Acc_Char!$B$1:$I$1,0),0)</f>
        <v>VIETINBANK - TPHCM</v>
      </c>
      <c r="C658" s="1190" t="s">
        <v>1272</v>
      </c>
      <c r="D658" s="1156" t="str">
        <f>VLOOKUP('Cash Balance'!$C658,Table2[#All],MATCH('Cash Balance'!D$3,Acc_Char!$B$1:$I$1,0),0)</f>
        <v>Saving Account</v>
      </c>
      <c r="E658" s="384" t="str">
        <f>VLOOKUP('Cash Balance'!$C658,Table2[#All],MATCH('Cash Balance'!E$3,Acc_Char!$B$1:$I$1,0),0)</f>
        <v>VND</v>
      </c>
      <c r="F658" s="1094" t="e">
        <f>VLOOKUP(C658,'Cash balance (BS)'!A:C,3,)</f>
        <v>#N/A</v>
      </c>
      <c r="G658" s="1191" t="e">
        <f t="shared" si="55"/>
        <v>#N/A</v>
      </c>
      <c r="H658" s="1318">
        <f>SUMIFS('Cash balance (Prior period)'!F:F,'Cash balance (Prior period)'!C:C,Table11[[#This Row],[ACCOUNT NUMBER]],'Cash balance (Prior period)'!E:E,Table11[[#This Row],[CURRENCY]])</f>
        <v>0</v>
      </c>
      <c r="I658" s="1318">
        <f>SUMIFS(Movement!$F$4:$F$2136,Movement!$M$4:$M$2136,"VND",Movement!$C$4:$C$2136,Table11[[#This Row],[ACCOUNT NUMBER]],Movement!$J$4:$J$2136,Table11[[#This Row],[ENTITY]],Movement!$O$4:$O$2136,'Cash Balance'!$A$2)</f>
        <v>0</v>
      </c>
      <c r="J658" s="1318">
        <f>SUMIFS(Movement!$G$4:$G$2136,Movement!$M$4:$M$2136,"VND",Movement!$C$4:$C$2136,Table11[[#This Row],[ACCOUNT NUMBER]],Movement!$J$4:$J$2136,Table11[[#This Row],[ENTITY]],Movement!$O$4:$O$2136,'Cash Balance'!$A$2)</f>
        <v>0</v>
      </c>
      <c r="K658" s="1084">
        <f>Table11[[#This Row],[CASH IN - CREDIT (VND)]]-Table11[[#This Row],[CASH OUT - DEBIT (VND)]]</f>
        <v>0</v>
      </c>
      <c r="L658" s="1095">
        <f t="shared" si="56"/>
        <v>0</v>
      </c>
      <c r="M658" s="1184" t="e">
        <f>VLOOKUP(C658,'Cash balance (BS)'!A:D,4,)</f>
        <v>#N/A</v>
      </c>
      <c r="N658" s="1095" t="e">
        <f>Table11[[#This Row],[CLOSING BALANCE (VND)2]]-Table11[[#This Row],[CB_BS (VND)]]</f>
        <v>#N/A</v>
      </c>
      <c r="O658" s="1094">
        <v>0</v>
      </c>
      <c r="P658" s="1095">
        <f t="shared" si="57"/>
        <v>0</v>
      </c>
      <c r="Q658" s="817">
        <f>SUMIFS('Cash balance (Prior period)'!G:G,'Cash balance (Prior period)'!C:C,Table11[[#This Row],[ACCOUNT NUMBER]],'Cash balance (Prior period)'!E:E,Table11[[#This Row],[CURRENCY]])</f>
        <v>0</v>
      </c>
      <c r="R658" s="817">
        <f>SUMIFS(Movement!$F$4:$F$2136,Movement!$M$4:$M$2136,"USD",Movement!$C$4:$C$2136,Table11[[#This Row],[ACCOUNT NUMBER]],Movement!$J$4:$J$2136,Table11[[#This Row],[ENTITY]],Movement!$O$4:$O$2136,'Cash Balance'!$A$2)</f>
        <v>0</v>
      </c>
      <c r="S658" s="817">
        <f>SUMIFS(Movement!$G$4:$G$2136,Movement!$M$4:$M$2136,"USD",Movement!$C$4:$C$2136,Table11[[#This Row],[ACCOUNT NUMBER]],Movement!$J$4:$J$2136,Table11[[#This Row],[ENTITY]],Movement!$O$4:$O$2136,'Cash Balance'!$A$2)</f>
        <v>0</v>
      </c>
      <c r="T658" s="1087">
        <f t="shared" si="58"/>
        <v>0</v>
      </c>
      <c r="U658" s="1089"/>
      <c r="V658" s="817">
        <f>Table11[[#This Row],[CLOSING BALANCE (USD)]]-Table11[[#This Row],[CB_BS (USD)]]</f>
        <v>0</v>
      </c>
      <c r="W658" s="1156" t="str">
        <f>VLOOKUP('Cash Balance'!$C658,Table2[#All],MATCH('Cash Balance'!W$3,Acc_Char!$B$1:$I$1,0),0)</f>
        <v>Subsidiaries</v>
      </c>
      <c r="X658" s="1156" t="str">
        <f>VLOOKUP(IFERROR(MID($Y658,1,FIND("-",$Y658)-2),$Y658),Table3[#All],2,0)</f>
        <v>VTB</v>
      </c>
      <c r="Y658" s="1156" t="str">
        <f>VLOOKUP($B658,Table4[#All],2,0)</f>
        <v>VIETINBANK - TPHCM</v>
      </c>
      <c r="Z658" s="1151"/>
      <c r="AA658" s="49"/>
    </row>
    <row r="659" spans="1:27">
      <c r="A659" s="1153" t="str">
        <f>VLOOKUP('Cash Balance'!$C659,Table2[#All],MATCH('Cash Balance'!A$3,Acc_Char!$B$1:$I$1,0),0)</f>
        <v>SAO HOA</v>
      </c>
      <c r="B659" s="1154" t="str">
        <f>VLOOKUP('Cash Balance'!$C659,Table2[#All],MATCH('Cash Balance'!B$3,Acc_Char!$B$1:$I$1,0),0)</f>
        <v>BIDV - THANH XUAN</v>
      </c>
      <c r="C659" s="1190" t="s">
        <v>1273</v>
      </c>
      <c r="D659" s="1156" t="str">
        <f>VLOOKUP('Cash Balance'!$C659,Table2[#All],MATCH('Cash Balance'!D$3,Acc_Char!$B$1:$I$1,0),0)</f>
        <v>Saving Account</v>
      </c>
      <c r="E659" s="384" t="str">
        <f>VLOOKUP('Cash Balance'!$C659,Table2[#All],MATCH('Cash Balance'!E$3,Acc_Char!$B$1:$I$1,0),0)</f>
        <v>VND</v>
      </c>
      <c r="F659" s="1094" t="e">
        <f>VLOOKUP(C659,'Cash balance (BS)'!A:C,3,)</f>
        <v>#N/A</v>
      </c>
      <c r="G659" s="1191" t="e">
        <f t="shared" si="55"/>
        <v>#N/A</v>
      </c>
      <c r="H659" s="1318">
        <f>SUMIFS('Cash balance (Prior period)'!F:F,'Cash balance (Prior period)'!C:C,Table11[[#This Row],[ACCOUNT NUMBER]],'Cash balance (Prior period)'!E:E,Table11[[#This Row],[CURRENCY]])</f>
        <v>0</v>
      </c>
      <c r="I659" s="1318">
        <f>SUMIFS(Movement!$F$4:$F$2136,Movement!$M$4:$M$2136,"VND",Movement!$C$4:$C$2136,Table11[[#This Row],[ACCOUNT NUMBER]],Movement!$J$4:$J$2136,Table11[[#This Row],[ENTITY]],Movement!$O$4:$O$2136,'Cash Balance'!$A$2)</f>
        <v>0</v>
      </c>
      <c r="J659" s="1318">
        <f>SUMIFS(Movement!$G$4:$G$2136,Movement!$M$4:$M$2136,"VND",Movement!$C$4:$C$2136,Table11[[#This Row],[ACCOUNT NUMBER]],Movement!$J$4:$J$2136,Table11[[#This Row],[ENTITY]],Movement!$O$4:$O$2136,'Cash Balance'!$A$2)</f>
        <v>0</v>
      </c>
      <c r="K659" s="1084">
        <f>Table11[[#This Row],[CASH IN - CREDIT (VND)]]-Table11[[#This Row],[CASH OUT - DEBIT (VND)]]</f>
        <v>0</v>
      </c>
      <c r="L659" s="1095">
        <f t="shared" si="56"/>
        <v>0</v>
      </c>
      <c r="M659" s="1184" t="e">
        <f>VLOOKUP(C659,'Cash balance (BS)'!A:D,4,)</f>
        <v>#N/A</v>
      </c>
      <c r="N659" s="1095" t="e">
        <f>Table11[[#This Row],[CLOSING BALANCE (VND)2]]-Table11[[#This Row],[CB_BS (VND)]]</f>
        <v>#N/A</v>
      </c>
      <c r="O659" s="1094">
        <v>0</v>
      </c>
      <c r="P659" s="1095">
        <f t="shared" si="57"/>
        <v>0</v>
      </c>
      <c r="Q659" s="817">
        <f>SUMIFS('Cash balance (Prior period)'!G:G,'Cash balance (Prior period)'!C:C,Table11[[#This Row],[ACCOUNT NUMBER]],'Cash balance (Prior period)'!E:E,Table11[[#This Row],[CURRENCY]])</f>
        <v>0</v>
      </c>
      <c r="R659" s="817">
        <f>SUMIFS(Movement!$F$4:$F$2136,Movement!$M$4:$M$2136,"USD",Movement!$C$4:$C$2136,Table11[[#This Row],[ACCOUNT NUMBER]],Movement!$J$4:$J$2136,Table11[[#This Row],[ENTITY]],Movement!$O$4:$O$2136,'Cash Balance'!$A$2)</f>
        <v>0</v>
      </c>
      <c r="S659" s="817">
        <f>SUMIFS(Movement!$G$4:$G$2136,Movement!$M$4:$M$2136,"USD",Movement!$C$4:$C$2136,Table11[[#This Row],[ACCOUNT NUMBER]],Movement!$J$4:$J$2136,Table11[[#This Row],[ENTITY]],Movement!$O$4:$O$2136,'Cash Balance'!$A$2)</f>
        <v>0</v>
      </c>
      <c r="T659" s="1087">
        <f t="shared" si="58"/>
        <v>0</v>
      </c>
      <c r="U659" s="1089"/>
      <c r="V659" s="817">
        <f>Table11[[#This Row],[CLOSING BALANCE (USD)]]-Table11[[#This Row],[CB_BS (USD)]]</f>
        <v>0</v>
      </c>
      <c r="W659" s="1156" t="str">
        <f>VLOOKUP('Cash Balance'!$C659,Table2[#All],MATCH('Cash Balance'!W$3,Acc_Char!$B$1:$I$1,0),0)</f>
        <v>VC3</v>
      </c>
      <c r="X659" s="1156" t="str">
        <f>VLOOKUP(IFERROR(MID($Y659,1,FIND("-",$Y659)-2),$Y659),Table3[#All],2,0)</f>
        <v>BIDV</v>
      </c>
      <c r="Y659" s="1156" t="str">
        <f>VLOOKUP($B659,Table4[#All],2,0)</f>
        <v>BIDV - THANH XUAN</v>
      </c>
      <c r="Z659" s="1151"/>
      <c r="AA659" s="49"/>
    </row>
    <row r="660" spans="1:27">
      <c r="A660" s="1153" t="str">
        <f>VLOOKUP('Cash Balance'!$C660,Table2[#All],MATCH('Cash Balance'!A$3,Acc_Char!$B$1:$I$1,0),0)</f>
        <v>SAO HOA</v>
      </c>
      <c r="B660" s="1154" t="str">
        <f>VLOOKUP('Cash Balance'!$C660,Table2[#All],MATCH('Cash Balance'!B$3,Acc_Char!$B$1:$I$1,0),0)</f>
        <v>BIDV - THANH XUAN</v>
      </c>
      <c r="C660" s="1190" t="s">
        <v>1274</v>
      </c>
      <c r="D660" s="1156" t="str">
        <f>VLOOKUP('Cash Balance'!$C660,Table2[#All],MATCH('Cash Balance'!D$3,Acc_Char!$B$1:$I$1,0),0)</f>
        <v>Saving Account</v>
      </c>
      <c r="E660" s="384" t="str">
        <f>VLOOKUP('Cash Balance'!$C660,Table2[#All],MATCH('Cash Balance'!E$3,Acc_Char!$B$1:$I$1,0),0)</f>
        <v>VND</v>
      </c>
      <c r="F660" s="1094" t="e">
        <f>VLOOKUP(C660,'Cash balance (BS)'!A:C,3,)</f>
        <v>#N/A</v>
      </c>
      <c r="G660" s="1191" t="e">
        <f t="shared" si="55"/>
        <v>#N/A</v>
      </c>
      <c r="H660" s="1318">
        <f>SUMIFS('Cash balance (Prior period)'!F:F,'Cash balance (Prior period)'!C:C,Table11[[#This Row],[ACCOUNT NUMBER]],'Cash balance (Prior period)'!E:E,Table11[[#This Row],[CURRENCY]])</f>
        <v>0</v>
      </c>
      <c r="I660" s="1318">
        <f>SUMIFS(Movement!$F$4:$F$2136,Movement!$M$4:$M$2136,"VND",Movement!$C$4:$C$2136,Table11[[#This Row],[ACCOUNT NUMBER]],Movement!$J$4:$J$2136,Table11[[#This Row],[ENTITY]],Movement!$O$4:$O$2136,'Cash Balance'!$A$2)</f>
        <v>0</v>
      </c>
      <c r="J660" s="1318">
        <f>SUMIFS(Movement!$G$4:$G$2136,Movement!$M$4:$M$2136,"VND",Movement!$C$4:$C$2136,Table11[[#This Row],[ACCOUNT NUMBER]],Movement!$J$4:$J$2136,Table11[[#This Row],[ENTITY]],Movement!$O$4:$O$2136,'Cash Balance'!$A$2)</f>
        <v>0</v>
      </c>
      <c r="K660" s="1084">
        <f>Table11[[#This Row],[CASH IN - CREDIT (VND)]]-Table11[[#This Row],[CASH OUT - DEBIT (VND)]]</f>
        <v>0</v>
      </c>
      <c r="L660" s="1095">
        <f t="shared" si="56"/>
        <v>0</v>
      </c>
      <c r="M660" s="1184" t="e">
        <f>VLOOKUP(C660,'Cash balance (BS)'!A:D,4,)</f>
        <v>#N/A</v>
      </c>
      <c r="N660" s="1095" t="e">
        <f>Table11[[#This Row],[CLOSING BALANCE (VND)2]]-Table11[[#This Row],[CB_BS (VND)]]</f>
        <v>#N/A</v>
      </c>
      <c r="O660" s="1094">
        <v>0</v>
      </c>
      <c r="P660" s="1095">
        <f t="shared" si="57"/>
        <v>0</v>
      </c>
      <c r="Q660" s="817">
        <f>SUMIFS('Cash balance (Prior period)'!G:G,'Cash balance (Prior period)'!C:C,Table11[[#This Row],[ACCOUNT NUMBER]],'Cash balance (Prior period)'!E:E,Table11[[#This Row],[CURRENCY]])</f>
        <v>0</v>
      </c>
      <c r="R660" s="817">
        <f>SUMIFS(Movement!$F$4:$F$2136,Movement!$M$4:$M$2136,"USD",Movement!$C$4:$C$2136,Table11[[#This Row],[ACCOUNT NUMBER]],Movement!$J$4:$J$2136,Table11[[#This Row],[ENTITY]],Movement!$O$4:$O$2136,'Cash Balance'!$A$2)</f>
        <v>0</v>
      </c>
      <c r="S660" s="817">
        <f>SUMIFS(Movement!$G$4:$G$2136,Movement!$M$4:$M$2136,"USD",Movement!$C$4:$C$2136,Table11[[#This Row],[ACCOUNT NUMBER]],Movement!$J$4:$J$2136,Table11[[#This Row],[ENTITY]],Movement!$O$4:$O$2136,'Cash Balance'!$A$2)</f>
        <v>0</v>
      </c>
      <c r="T660" s="1087">
        <f t="shared" si="58"/>
        <v>0</v>
      </c>
      <c r="U660" s="1089"/>
      <c r="V660" s="817">
        <f>Table11[[#This Row],[CLOSING BALANCE (USD)]]-Table11[[#This Row],[CB_BS (USD)]]</f>
        <v>0</v>
      </c>
      <c r="W660" s="1156" t="str">
        <f>VLOOKUP('Cash Balance'!$C660,Table2[#All],MATCH('Cash Balance'!W$3,Acc_Char!$B$1:$I$1,0),0)</f>
        <v>VC3</v>
      </c>
      <c r="X660" s="1156" t="str">
        <f>VLOOKUP(IFERROR(MID($Y660,1,FIND("-",$Y660)-2),$Y660),Table3[#All],2,0)</f>
        <v>BIDV</v>
      </c>
      <c r="Y660" s="1156" t="str">
        <f>VLOOKUP($B660,Table4[#All],2,0)</f>
        <v>BIDV - THANH XUAN</v>
      </c>
      <c r="Z660" s="1151"/>
      <c r="AA660" s="49"/>
    </row>
    <row r="661" spans="1:27">
      <c r="A661" s="1153" t="str">
        <f>VLOOKUP('Cash Balance'!$C661,Table2[#All],MATCH('Cash Balance'!A$3,Acc_Char!$B$1:$I$1,0),0)</f>
        <v>NDV PROJECT CO</v>
      </c>
      <c r="B661" s="1154" t="str">
        <f>VLOOKUP('Cash Balance'!$C661,Table2[#All],MATCH('Cash Balance'!B$3,Acc_Char!$B$1:$I$1,0),0)</f>
        <v>BIDV - THANH XUAN</v>
      </c>
      <c r="C661" s="1190" t="s">
        <v>1275</v>
      </c>
      <c r="D661" s="1156" t="str">
        <f>VLOOKUP('Cash Balance'!$C661,Table2[#All],MATCH('Cash Balance'!D$3,Acc_Char!$B$1:$I$1,0),0)</f>
        <v>Saving Account</v>
      </c>
      <c r="E661" s="384" t="str">
        <f>VLOOKUP('Cash Balance'!$C661,Table2[#All],MATCH('Cash Balance'!E$3,Acc_Char!$B$1:$I$1,0),0)</f>
        <v>VND</v>
      </c>
      <c r="F661" s="1094" t="e">
        <f>VLOOKUP(C661,'Cash balance (BS)'!A:C,3,)</f>
        <v>#N/A</v>
      </c>
      <c r="G661" s="1191" t="e">
        <f t="shared" si="55"/>
        <v>#N/A</v>
      </c>
      <c r="H661" s="1318">
        <f>SUMIFS('Cash balance (Prior period)'!F:F,'Cash balance (Prior period)'!C:C,Table11[[#This Row],[ACCOUNT NUMBER]],'Cash balance (Prior period)'!E:E,Table11[[#This Row],[CURRENCY]])</f>
        <v>3000000000</v>
      </c>
      <c r="I661" s="1318">
        <f>SUMIFS(Movement!$F$4:$F$2136,Movement!$M$4:$M$2136,"VND",Movement!$C$4:$C$2136,Table11[[#This Row],[ACCOUNT NUMBER]],Movement!$J$4:$J$2136,Table11[[#This Row],[ENTITY]],Movement!$O$4:$O$2136,'Cash Balance'!$A$2)</f>
        <v>0</v>
      </c>
      <c r="J661" s="1318">
        <f>SUMIFS(Movement!$G$4:$G$2136,Movement!$M$4:$M$2136,"VND",Movement!$C$4:$C$2136,Table11[[#This Row],[ACCOUNT NUMBER]],Movement!$J$4:$J$2136,Table11[[#This Row],[ENTITY]],Movement!$O$4:$O$2136,'Cash Balance'!$A$2)</f>
        <v>0</v>
      </c>
      <c r="K661" s="1084">
        <f>Table11[[#This Row],[CASH IN - CREDIT (VND)]]-Table11[[#This Row],[CASH OUT - DEBIT (VND)]]</f>
        <v>0</v>
      </c>
      <c r="L661" s="1095">
        <f t="shared" si="56"/>
        <v>3000000000</v>
      </c>
      <c r="M661" s="1184" t="e">
        <f>VLOOKUP(C661,'Cash balance (BS)'!A:D,4,)</f>
        <v>#N/A</v>
      </c>
      <c r="N661" s="1095" t="e">
        <f>Table11[[#This Row],[CLOSING BALANCE (VND)2]]-Table11[[#This Row],[CB_BS (VND)]]</f>
        <v>#N/A</v>
      </c>
      <c r="O661" s="1094">
        <v>0</v>
      </c>
      <c r="P661" s="1095">
        <f t="shared" si="57"/>
        <v>0</v>
      </c>
      <c r="Q661" s="817">
        <f>SUMIFS('Cash balance (Prior period)'!G:G,'Cash balance (Prior period)'!C:C,Table11[[#This Row],[ACCOUNT NUMBER]],'Cash balance (Prior period)'!E:E,Table11[[#This Row],[CURRENCY]])</f>
        <v>0</v>
      </c>
      <c r="R661" s="817">
        <f>SUMIFS(Movement!$F$4:$F$2136,Movement!$M$4:$M$2136,"USD",Movement!$C$4:$C$2136,Table11[[#This Row],[ACCOUNT NUMBER]],Movement!$J$4:$J$2136,Table11[[#This Row],[ENTITY]],Movement!$O$4:$O$2136,'Cash Balance'!$A$2)</f>
        <v>0</v>
      </c>
      <c r="S661" s="817">
        <f>SUMIFS(Movement!$G$4:$G$2136,Movement!$M$4:$M$2136,"USD",Movement!$C$4:$C$2136,Table11[[#This Row],[ACCOUNT NUMBER]],Movement!$J$4:$J$2136,Table11[[#This Row],[ENTITY]],Movement!$O$4:$O$2136,'Cash Balance'!$A$2)</f>
        <v>0</v>
      </c>
      <c r="T661" s="1087">
        <f t="shared" si="58"/>
        <v>0</v>
      </c>
      <c r="U661" s="1089"/>
      <c r="V661" s="817">
        <f>Table11[[#This Row],[CLOSING BALANCE (USD)]]-Table11[[#This Row],[CB_BS (USD)]]</f>
        <v>0</v>
      </c>
      <c r="W661" s="1156" t="str">
        <f>VLOOKUP('Cash Balance'!$C661,Table2[#All],MATCH('Cash Balance'!W$3,Acc_Char!$B$1:$I$1,0),0)</f>
        <v>Subsidiaries</v>
      </c>
      <c r="X661" s="1156" t="str">
        <f>VLOOKUP(IFERROR(MID($Y661,1,FIND("-",$Y661)-2),$Y661),Table3[#All],2,0)</f>
        <v>BIDV</v>
      </c>
      <c r="Y661" s="1156" t="str">
        <f>VLOOKUP($B661,Table4[#All],2,0)</f>
        <v>BIDV - THANH XUAN</v>
      </c>
      <c r="Z661" s="1151"/>
      <c r="AA661" s="49"/>
    </row>
    <row r="662" spans="1:27">
      <c r="A662" s="1153" t="str">
        <f>VLOOKUP('Cash Balance'!$C662,Table2[#All],MATCH('Cash Balance'!A$3,Acc_Char!$B$1:$I$1,0),0)</f>
        <v>BWID THOI HOA</v>
      </c>
      <c r="B662" s="1154" t="str">
        <f>VLOOKUP('Cash Balance'!$C662,Table2[#All],MATCH('Cash Balance'!B$3,Acc_Char!$B$1:$I$1,0),0)</f>
        <v>VIETCOMBANK - HCM</v>
      </c>
      <c r="C662" s="1190" t="s">
        <v>1276</v>
      </c>
      <c r="D662" s="1156" t="str">
        <f>VLOOKUP('Cash Balance'!$C662,Table2[#All],MATCH('Cash Balance'!D$3,Acc_Char!$B$1:$I$1,0),0)</f>
        <v>Saving Account</v>
      </c>
      <c r="E662" s="384" t="str">
        <f>VLOOKUP('Cash Balance'!$C662,Table2[#All],MATCH('Cash Balance'!E$3,Acc_Char!$B$1:$I$1,0),0)</f>
        <v>VND</v>
      </c>
      <c r="F662" s="1094" t="e">
        <f>VLOOKUP(C662,'Cash balance (BS)'!A:C,3,)</f>
        <v>#N/A</v>
      </c>
      <c r="G662" s="1191" t="e">
        <f t="shared" si="55"/>
        <v>#N/A</v>
      </c>
      <c r="H662" s="1318">
        <f>SUMIFS('Cash balance (Prior period)'!F:F,'Cash balance (Prior period)'!C:C,Table11[[#This Row],[ACCOUNT NUMBER]],'Cash balance (Prior period)'!E:E,Table11[[#This Row],[CURRENCY]])</f>
        <v>0</v>
      </c>
      <c r="I662" s="1318">
        <f>SUMIFS(Movement!$F$4:$F$2136,Movement!$M$4:$M$2136,"VND",Movement!$C$4:$C$2136,Table11[[#This Row],[ACCOUNT NUMBER]],Movement!$J$4:$J$2136,Table11[[#This Row],[ENTITY]],Movement!$O$4:$O$2136,'Cash Balance'!$A$2)</f>
        <v>0</v>
      </c>
      <c r="J662" s="1318">
        <f>SUMIFS(Movement!$G$4:$G$2136,Movement!$M$4:$M$2136,"VND",Movement!$C$4:$C$2136,Table11[[#This Row],[ACCOUNT NUMBER]],Movement!$J$4:$J$2136,Table11[[#This Row],[ENTITY]],Movement!$O$4:$O$2136,'Cash Balance'!$A$2)</f>
        <v>0</v>
      </c>
      <c r="K662" s="1084">
        <f>Table11[[#This Row],[CASH IN - CREDIT (VND)]]-Table11[[#This Row],[CASH OUT - DEBIT (VND)]]</f>
        <v>0</v>
      </c>
      <c r="L662" s="1095">
        <f t="shared" si="56"/>
        <v>0</v>
      </c>
      <c r="M662" s="1184" t="e">
        <f>VLOOKUP(C662,'Cash balance (BS)'!A:D,4,)</f>
        <v>#N/A</v>
      </c>
      <c r="N662" s="1095" t="e">
        <f>Table11[[#This Row],[CLOSING BALANCE (VND)2]]-Table11[[#This Row],[CB_BS (VND)]]</f>
        <v>#N/A</v>
      </c>
      <c r="O662" s="1094">
        <v>0</v>
      </c>
      <c r="P662" s="1095">
        <f t="shared" si="57"/>
        <v>0</v>
      </c>
      <c r="Q662" s="817">
        <f>SUMIFS('Cash balance (Prior period)'!G:G,'Cash balance (Prior period)'!C:C,Table11[[#This Row],[ACCOUNT NUMBER]],'Cash balance (Prior period)'!E:E,Table11[[#This Row],[CURRENCY]])</f>
        <v>0</v>
      </c>
      <c r="R662" s="817">
        <f>SUMIFS(Movement!$F$4:$F$2136,Movement!$M$4:$M$2136,"USD",Movement!$C$4:$C$2136,Table11[[#This Row],[ACCOUNT NUMBER]],Movement!$J$4:$J$2136,Table11[[#This Row],[ENTITY]],Movement!$O$4:$O$2136,'Cash Balance'!$A$2)</f>
        <v>0</v>
      </c>
      <c r="S662" s="817">
        <f>SUMIFS(Movement!$G$4:$G$2136,Movement!$M$4:$M$2136,"USD",Movement!$C$4:$C$2136,Table11[[#This Row],[ACCOUNT NUMBER]],Movement!$J$4:$J$2136,Table11[[#This Row],[ENTITY]],Movement!$O$4:$O$2136,'Cash Balance'!$A$2)</f>
        <v>0</v>
      </c>
      <c r="T662" s="1087">
        <f t="shared" si="58"/>
        <v>0</v>
      </c>
      <c r="U662" s="1089"/>
      <c r="V662" s="817">
        <f>Table11[[#This Row],[CLOSING BALANCE (USD)]]-Table11[[#This Row],[CB_BS (USD)]]</f>
        <v>0</v>
      </c>
      <c r="W662" s="1156" t="str">
        <f>VLOOKUP('Cash Balance'!$C662,Table2[#All],MATCH('Cash Balance'!W$3,Acc_Char!$B$1:$I$1,0),0)</f>
        <v>Subsidiaries</v>
      </c>
      <c r="X662" s="1156" t="str">
        <f>VLOOKUP(IFERROR(MID($Y662,1,FIND("-",$Y662)-2),$Y662),Table3[#All],2,0)</f>
        <v>VCB</v>
      </c>
      <c r="Y662" s="1156" t="str">
        <f>VLOOKUP($B662,Table4[#All],2,0)</f>
        <v>VIETCOMBANK - HCM</v>
      </c>
      <c r="Z662" s="1151"/>
      <c r="AA662" s="49"/>
    </row>
    <row r="663" spans="1:27">
      <c r="A663" s="1153" t="str">
        <f>VLOOKUP('Cash Balance'!$C663,Table2[#All],MATCH('Cash Balance'!A$3,Acc_Char!$B$1:$I$1,0),0)</f>
        <v>SAO HOA</v>
      </c>
      <c r="B663" s="1154" t="str">
        <f>VLOOKUP('Cash Balance'!$C663,Table2[#All],MATCH('Cash Balance'!B$3,Acc_Char!$B$1:$I$1,0),0)</f>
        <v>SINOPAC</v>
      </c>
      <c r="C663" s="1190" t="s">
        <v>1277</v>
      </c>
      <c r="D663" s="1156" t="str">
        <f>VLOOKUP('Cash Balance'!$C663,Table2[#All],MATCH('Cash Balance'!D$3,Acc_Char!$B$1:$I$1,0),0)</f>
        <v>Saving Account</v>
      </c>
      <c r="E663" s="384" t="str">
        <f>VLOOKUP('Cash Balance'!$C663,Table2[#All],MATCH('Cash Balance'!E$3,Acc_Char!$B$1:$I$1,0),0)</f>
        <v>VND</v>
      </c>
      <c r="F663" s="1094" t="e">
        <f>VLOOKUP(C663,'Cash balance (BS)'!A:C,3,)</f>
        <v>#N/A</v>
      </c>
      <c r="G663" s="1191" t="e">
        <f t="shared" si="55"/>
        <v>#N/A</v>
      </c>
      <c r="H663" s="1318">
        <f>SUMIFS('Cash balance (Prior period)'!F:F,'Cash balance (Prior period)'!C:C,Table11[[#This Row],[ACCOUNT NUMBER]],'Cash balance (Prior period)'!E:E,Table11[[#This Row],[CURRENCY]])</f>
        <v>0</v>
      </c>
      <c r="I663" s="1318">
        <f>SUMIFS(Movement!$F$4:$F$2136,Movement!$M$4:$M$2136,"VND",Movement!$C$4:$C$2136,Table11[[#This Row],[ACCOUNT NUMBER]],Movement!$J$4:$J$2136,Table11[[#This Row],[ENTITY]],Movement!$O$4:$O$2136,'Cash Balance'!$A$2)</f>
        <v>0</v>
      </c>
      <c r="J663" s="1318">
        <f>SUMIFS(Movement!$G$4:$G$2136,Movement!$M$4:$M$2136,"VND",Movement!$C$4:$C$2136,Table11[[#This Row],[ACCOUNT NUMBER]],Movement!$J$4:$J$2136,Table11[[#This Row],[ENTITY]],Movement!$O$4:$O$2136,'Cash Balance'!$A$2)</f>
        <v>0</v>
      </c>
      <c r="K663" s="1084">
        <f>Table11[[#This Row],[CASH IN - CREDIT (VND)]]-Table11[[#This Row],[CASH OUT - DEBIT (VND)]]</f>
        <v>0</v>
      </c>
      <c r="L663" s="1095">
        <f t="shared" si="56"/>
        <v>0</v>
      </c>
      <c r="M663" s="1184" t="e">
        <f>VLOOKUP(C663,'Cash balance (BS)'!A:D,4,)</f>
        <v>#N/A</v>
      </c>
      <c r="N663" s="1095" t="e">
        <f>Table11[[#This Row],[CLOSING BALANCE (VND)2]]-Table11[[#This Row],[CB_BS (VND)]]</f>
        <v>#N/A</v>
      </c>
      <c r="O663" s="1094">
        <v>0</v>
      </c>
      <c r="P663" s="1095">
        <f t="shared" si="57"/>
        <v>0</v>
      </c>
      <c r="Q663" s="817">
        <f>SUMIFS('Cash balance (Prior period)'!G:G,'Cash balance (Prior period)'!C:C,Table11[[#This Row],[ACCOUNT NUMBER]],'Cash balance (Prior period)'!E:E,Table11[[#This Row],[CURRENCY]])</f>
        <v>0</v>
      </c>
      <c r="R663" s="817">
        <f>SUMIFS(Movement!$F$4:$F$2136,Movement!$M$4:$M$2136,"USD",Movement!$C$4:$C$2136,Table11[[#This Row],[ACCOUNT NUMBER]],Movement!$J$4:$J$2136,Table11[[#This Row],[ENTITY]],Movement!$O$4:$O$2136,'Cash Balance'!$A$2)</f>
        <v>0</v>
      </c>
      <c r="S663" s="817">
        <f>SUMIFS(Movement!$G$4:$G$2136,Movement!$M$4:$M$2136,"USD",Movement!$C$4:$C$2136,Table11[[#This Row],[ACCOUNT NUMBER]],Movement!$J$4:$J$2136,Table11[[#This Row],[ENTITY]],Movement!$O$4:$O$2136,'Cash Balance'!$A$2)</f>
        <v>0</v>
      </c>
      <c r="T663" s="1087">
        <f t="shared" si="58"/>
        <v>0</v>
      </c>
      <c r="U663" s="1089"/>
      <c r="V663" s="817">
        <f>Table11[[#This Row],[CLOSING BALANCE (USD)]]-Table11[[#This Row],[CB_BS (USD)]]</f>
        <v>0</v>
      </c>
      <c r="W663" s="1156" t="str">
        <f>VLOOKUP('Cash Balance'!$C663,Table2[#All],MATCH('Cash Balance'!W$3,Acc_Char!$B$1:$I$1,0),0)</f>
        <v>VC3</v>
      </c>
      <c r="X663" s="1156" t="str">
        <f>VLOOKUP(IFERROR(MID($Y663,1,FIND("-",$Y663)-2),$Y663),Table3[#All],2,0)</f>
        <v>SNP</v>
      </c>
      <c r="Y663" s="1156" t="str">
        <f>VLOOKUP($B663,Table4[#All],2,0)</f>
        <v>SINOPAC</v>
      </c>
      <c r="Z663" s="1151"/>
      <c r="AA663" s="49"/>
    </row>
    <row r="664" spans="1:27">
      <c r="A664" s="1153" t="str">
        <f>VLOOKUP('Cash Balance'!$C664,Table2[#All],MATCH('Cash Balance'!A$3,Acc_Char!$B$1:$I$1,0),0)</f>
        <v>BWID BINH DUONG</v>
      </c>
      <c r="B664" s="1154" t="str">
        <f>VLOOKUP('Cash Balance'!$C664,Table2[#All],MATCH('Cash Balance'!B$3,Acc_Char!$B$1:$I$1,0),0)</f>
        <v>SINOPAC</v>
      </c>
      <c r="C664" s="1190" t="s">
        <v>1278</v>
      </c>
      <c r="D664" s="1156" t="str">
        <f>VLOOKUP('Cash Balance'!$C664,Table2[#All],MATCH('Cash Balance'!D$3,Acc_Char!$B$1:$I$1,0),0)</f>
        <v>Saving Account</v>
      </c>
      <c r="E664" s="384" t="str">
        <f>VLOOKUP('Cash Balance'!$C664,Table2[#All],MATCH('Cash Balance'!E$3,Acc_Char!$B$1:$I$1,0),0)</f>
        <v>VND</v>
      </c>
      <c r="F664" s="1094" t="e">
        <f>VLOOKUP(C664,'Cash balance (BS)'!A:C,3,)</f>
        <v>#N/A</v>
      </c>
      <c r="G664" s="1191" t="e">
        <f t="shared" si="55"/>
        <v>#N/A</v>
      </c>
      <c r="H664" s="1318">
        <f>SUMIFS('Cash balance (Prior period)'!F:F,'Cash balance (Prior period)'!C:C,Table11[[#This Row],[ACCOUNT NUMBER]],'Cash balance (Prior period)'!E:E,Table11[[#This Row],[CURRENCY]])</f>
        <v>0</v>
      </c>
      <c r="I664" s="1318">
        <f>SUMIFS(Movement!$F$4:$F$2136,Movement!$M$4:$M$2136,"VND",Movement!$C$4:$C$2136,Table11[[#This Row],[ACCOUNT NUMBER]],Movement!$J$4:$J$2136,Table11[[#This Row],[ENTITY]],Movement!$O$4:$O$2136,'Cash Balance'!$A$2)</f>
        <v>0</v>
      </c>
      <c r="J664" s="1318">
        <f>SUMIFS(Movement!$G$4:$G$2136,Movement!$M$4:$M$2136,"VND",Movement!$C$4:$C$2136,Table11[[#This Row],[ACCOUNT NUMBER]],Movement!$J$4:$J$2136,Table11[[#This Row],[ENTITY]],Movement!$O$4:$O$2136,'Cash Balance'!$A$2)</f>
        <v>0</v>
      </c>
      <c r="K664" s="1084">
        <f>Table11[[#This Row],[CASH IN - CREDIT (VND)]]-Table11[[#This Row],[CASH OUT - DEBIT (VND)]]</f>
        <v>0</v>
      </c>
      <c r="L664" s="1095">
        <f t="shared" si="56"/>
        <v>0</v>
      </c>
      <c r="M664" s="1184" t="e">
        <f>VLOOKUP(C664,'Cash balance (BS)'!A:D,4,)</f>
        <v>#N/A</v>
      </c>
      <c r="N664" s="1095" t="e">
        <f>Table11[[#This Row],[CLOSING BALANCE (VND)2]]-Table11[[#This Row],[CB_BS (VND)]]</f>
        <v>#N/A</v>
      </c>
      <c r="O664" s="1094">
        <v>0</v>
      </c>
      <c r="P664" s="1095">
        <f t="shared" si="57"/>
        <v>0</v>
      </c>
      <c r="Q664" s="817">
        <f>SUMIFS('Cash balance (Prior period)'!G:G,'Cash balance (Prior period)'!C:C,Table11[[#This Row],[ACCOUNT NUMBER]],'Cash balance (Prior period)'!E:E,Table11[[#This Row],[CURRENCY]])</f>
        <v>0</v>
      </c>
      <c r="R664" s="817">
        <f>SUMIFS(Movement!$F$4:$F$2136,Movement!$M$4:$M$2136,"USD",Movement!$C$4:$C$2136,Table11[[#This Row],[ACCOUNT NUMBER]],Movement!$J$4:$J$2136,Table11[[#This Row],[ENTITY]],Movement!$O$4:$O$2136,'Cash Balance'!$A$2)</f>
        <v>0</v>
      </c>
      <c r="S664" s="817">
        <f>SUMIFS(Movement!$G$4:$G$2136,Movement!$M$4:$M$2136,"USD",Movement!$C$4:$C$2136,Table11[[#This Row],[ACCOUNT NUMBER]],Movement!$J$4:$J$2136,Table11[[#This Row],[ENTITY]],Movement!$O$4:$O$2136,'Cash Balance'!$A$2)</f>
        <v>0</v>
      </c>
      <c r="T664" s="1087">
        <f t="shared" si="58"/>
        <v>0</v>
      </c>
      <c r="U664" s="1089"/>
      <c r="V664" s="817">
        <f>Table11[[#This Row],[CLOSING BALANCE (USD)]]-Table11[[#This Row],[CB_BS (USD)]]</f>
        <v>0</v>
      </c>
      <c r="W664" s="1156" t="str">
        <f>VLOOKUP('Cash Balance'!$C664,Table2[#All],MATCH('Cash Balance'!W$3,Acc_Char!$B$1:$I$1,0),0)</f>
        <v>BWID JSC</v>
      </c>
      <c r="X664" s="1156" t="str">
        <f>VLOOKUP(IFERROR(MID($Y664,1,FIND("-",$Y664)-2),$Y664),Table3[#All],2,0)</f>
        <v>SNP</v>
      </c>
      <c r="Y664" s="1156" t="str">
        <f>VLOOKUP($B664,Table4[#All],2,0)</f>
        <v>SINOPAC</v>
      </c>
      <c r="Z664" s="1151"/>
      <c r="AA664" s="49"/>
    </row>
    <row r="665" spans="1:27">
      <c r="A665" s="1153" t="str">
        <f>VLOOKUP('Cash Balance'!$C665,Table2[#All],MATCH('Cash Balance'!A$3,Acc_Char!$B$1:$I$1,0),0)</f>
        <v>BW SAI GON</v>
      </c>
      <c r="B665" s="1154" t="str">
        <f>VLOOKUP('Cash Balance'!$C665,Table2[#All],MATCH('Cash Balance'!B$3,Acc_Char!$B$1:$I$1,0),0)</f>
        <v>SINOPAC</v>
      </c>
      <c r="C665" s="1190" t="s">
        <v>1279</v>
      </c>
      <c r="D665" s="1156" t="str">
        <f>VLOOKUP('Cash Balance'!$C665,Table2[#All],MATCH('Cash Balance'!D$3,Acc_Char!$B$1:$I$1,0),0)</f>
        <v>Saving Account</v>
      </c>
      <c r="E665" s="384" t="str">
        <f>VLOOKUP('Cash Balance'!$C665,Table2[#All],MATCH('Cash Balance'!E$3,Acc_Char!$B$1:$I$1,0),0)</f>
        <v>VND</v>
      </c>
      <c r="F665" s="1094" t="e">
        <f>VLOOKUP(C665,'Cash balance (BS)'!A:C,3,)</f>
        <v>#N/A</v>
      </c>
      <c r="G665" s="1191" t="e">
        <f t="shared" si="55"/>
        <v>#N/A</v>
      </c>
      <c r="H665" s="1318">
        <f>SUMIFS('Cash balance (Prior period)'!F:F,'Cash balance (Prior period)'!C:C,Table11[[#This Row],[ACCOUNT NUMBER]],'Cash balance (Prior period)'!E:E,Table11[[#This Row],[CURRENCY]])</f>
        <v>0</v>
      </c>
      <c r="I665" s="1318">
        <f>SUMIFS(Movement!$F$4:$F$2136,Movement!$M$4:$M$2136,"VND",Movement!$C$4:$C$2136,Table11[[#This Row],[ACCOUNT NUMBER]],Movement!$J$4:$J$2136,Table11[[#This Row],[ENTITY]],Movement!$O$4:$O$2136,'Cash Balance'!$A$2)</f>
        <v>0</v>
      </c>
      <c r="J665" s="1318">
        <f>SUMIFS(Movement!$G$4:$G$2136,Movement!$M$4:$M$2136,"VND",Movement!$C$4:$C$2136,Table11[[#This Row],[ACCOUNT NUMBER]],Movement!$J$4:$J$2136,Table11[[#This Row],[ENTITY]],Movement!$O$4:$O$2136,'Cash Balance'!$A$2)</f>
        <v>0</v>
      </c>
      <c r="K665" s="1084">
        <f>Table11[[#This Row],[CASH IN - CREDIT (VND)]]-Table11[[#This Row],[CASH OUT - DEBIT (VND)]]</f>
        <v>0</v>
      </c>
      <c r="L665" s="1095">
        <f t="shared" si="56"/>
        <v>0</v>
      </c>
      <c r="M665" s="1184" t="e">
        <f>VLOOKUP(C665,'Cash balance (BS)'!A:D,4,)</f>
        <v>#N/A</v>
      </c>
      <c r="N665" s="1095" t="e">
        <f>Table11[[#This Row],[CLOSING BALANCE (VND)2]]-Table11[[#This Row],[CB_BS (VND)]]</f>
        <v>#N/A</v>
      </c>
      <c r="O665" s="1094">
        <v>0</v>
      </c>
      <c r="P665" s="1095">
        <f t="shared" si="57"/>
        <v>0</v>
      </c>
      <c r="Q665" s="817">
        <f>SUMIFS('Cash balance (Prior period)'!G:G,'Cash balance (Prior period)'!C:C,Table11[[#This Row],[ACCOUNT NUMBER]],'Cash balance (Prior period)'!E:E,Table11[[#This Row],[CURRENCY]])</f>
        <v>0</v>
      </c>
      <c r="R665" s="817">
        <f>SUMIFS(Movement!$F$4:$F$2136,Movement!$M$4:$M$2136,"USD",Movement!$C$4:$C$2136,Table11[[#This Row],[ACCOUNT NUMBER]],Movement!$J$4:$J$2136,Table11[[#This Row],[ENTITY]],Movement!$O$4:$O$2136,'Cash Balance'!$A$2)</f>
        <v>0</v>
      </c>
      <c r="S665" s="817">
        <f>SUMIFS(Movement!$G$4:$G$2136,Movement!$M$4:$M$2136,"USD",Movement!$C$4:$C$2136,Table11[[#This Row],[ACCOUNT NUMBER]],Movement!$J$4:$J$2136,Table11[[#This Row],[ENTITY]],Movement!$O$4:$O$2136,'Cash Balance'!$A$2)</f>
        <v>0</v>
      </c>
      <c r="T665" s="1087">
        <f t="shared" si="58"/>
        <v>0</v>
      </c>
      <c r="U665" s="1089"/>
      <c r="V665" s="817">
        <f>Table11[[#This Row],[CLOSING BALANCE (USD)]]-Table11[[#This Row],[CB_BS (USD)]]</f>
        <v>0</v>
      </c>
      <c r="W665" s="1156" t="str">
        <f>VLOOKUP('Cash Balance'!$C665,Table2[#All],MATCH('Cash Balance'!W$3,Acc_Char!$B$1:$I$1,0),0)</f>
        <v>Subsidiaries</v>
      </c>
      <c r="X665" s="1156" t="str">
        <f>VLOOKUP(IFERROR(MID($Y665,1,FIND("-",$Y665)-2),$Y665),Table3[#All],2,0)</f>
        <v>SNP</v>
      </c>
      <c r="Y665" s="1156" t="str">
        <f>VLOOKUP($B665,Table4[#All],2,0)</f>
        <v>SINOPAC</v>
      </c>
      <c r="Z665" s="1151"/>
      <c r="AA665" s="49"/>
    </row>
    <row r="666" spans="1:27">
      <c r="A666" s="1153" t="str">
        <f>VLOOKUP('Cash Balance'!$C666,Table2[#All],MATCH('Cash Balance'!A$3,Acc_Char!$B$1:$I$1,0),0)</f>
        <v>BWID TAN DONG HIEP</v>
      </c>
      <c r="B666" s="1154" t="str">
        <f>VLOOKUP('Cash Balance'!$C666,Table2[#All],MATCH('Cash Balance'!B$3,Acc_Char!$B$1:$I$1,0),0)</f>
        <v>SINOPAC</v>
      </c>
      <c r="C666" s="1190" t="s">
        <v>1280</v>
      </c>
      <c r="D666" s="1156" t="str">
        <f>VLOOKUP('Cash Balance'!$C666,Table2[#All],MATCH('Cash Balance'!D$3,Acc_Char!$B$1:$I$1,0),0)</f>
        <v>Saving Account</v>
      </c>
      <c r="E666" s="384" t="str">
        <f>VLOOKUP('Cash Balance'!$C666,Table2[#All],MATCH('Cash Balance'!E$3,Acc_Char!$B$1:$I$1,0),0)</f>
        <v>VND</v>
      </c>
      <c r="F666" s="1094" t="e">
        <f>VLOOKUP(C666,'Cash balance (BS)'!A:C,3,)</f>
        <v>#N/A</v>
      </c>
      <c r="G666" s="1191" t="e">
        <f t="shared" si="55"/>
        <v>#N/A</v>
      </c>
      <c r="H666" s="1318">
        <f>SUMIFS('Cash balance (Prior period)'!F:F,'Cash balance (Prior period)'!C:C,Table11[[#This Row],[ACCOUNT NUMBER]],'Cash balance (Prior period)'!E:E,Table11[[#This Row],[CURRENCY]])</f>
        <v>0</v>
      </c>
      <c r="I666" s="1318">
        <f>SUMIFS(Movement!$F$4:$F$2136,Movement!$M$4:$M$2136,"VND",Movement!$C$4:$C$2136,Table11[[#This Row],[ACCOUNT NUMBER]],Movement!$J$4:$J$2136,Table11[[#This Row],[ENTITY]],Movement!$O$4:$O$2136,'Cash Balance'!$A$2)</f>
        <v>0</v>
      </c>
      <c r="J666" s="1318">
        <f>SUMIFS(Movement!$G$4:$G$2136,Movement!$M$4:$M$2136,"VND",Movement!$C$4:$C$2136,Table11[[#This Row],[ACCOUNT NUMBER]],Movement!$J$4:$J$2136,Table11[[#This Row],[ENTITY]],Movement!$O$4:$O$2136,'Cash Balance'!$A$2)</f>
        <v>0</v>
      </c>
      <c r="K666" s="1084">
        <f>Table11[[#This Row],[CASH IN - CREDIT (VND)]]-Table11[[#This Row],[CASH OUT - DEBIT (VND)]]</f>
        <v>0</v>
      </c>
      <c r="L666" s="1095">
        <f t="shared" si="56"/>
        <v>0</v>
      </c>
      <c r="M666" s="1184" t="e">
        <f>VLOOKUP(C666,'Cash balance (BS)'!A:D,4,)</f>
        <v>#N/A</v>
      </c>
      <c r="N666" s="1095" t="e">
        <f>Table11[[#This Row],[CLOSING BALANCE (VND)2]]-Table11[[#This Row],[CB_BS (VND)]]</f>
        <v>#N/A</v>
      </c>
      <c r="O666" s="1094">
        <v>0</v>
      </c>
      <c r="P666" s="1095">
        <f t="shared" si="57"/>
        <v>0</v>
      </c>
      <c r="Q666" s="817">
        <f>SUMIFS('Cash balance (Prior period)'!G:G,'Cash balance (Prior period)'!C:C,Table11[[#This Row],[ACCOUNT NUMBER]],'Cash balance (Prior period)'!E:E,Table11[[#This Row],[CURRENCY]])</f>
        <v>0</v>
      </c>
      <c r="R666" s="817">
        <f>SUMIFS(Movement!$F$4:$F$2136,Movement!$M$4:$M$2136,"USD",Movement!$C$4:$C$2136,Table11[[#This Row],[ACCOUNT NUMBER]],Movement!$J$4:$J$2136,Table11[[#This Row],[ENTITY]],Movement!$O$4:$O$2136,'Cash Balance'!$A$2)</f>
        <v>0</v>
      </c>
      <c r="S666" s="817">
        <f>SUMIFS(Movement!$G$4:$G$2136,Movement!$M$4:$M$2136,"USD",Movement!$C$4:$C$2136,Table11[[#This Row],[ACCOUNT NUMBER]],Movement!$J$4:$J$2136,Table11[[#This Row],[ENTITY]],Movement!$O$4:$O$2136,'Cash Balance'!$A$2)</f>
        <v>0</v>
      </c>
      <c r="T666" s="1087">
        <f t="shared" si="58"/>
        <v>0</v>
      </c>
      <c r="U666" s="1089"/>
      <c r="V666" s="817">
        <f>Table11[[#This Row],[CLOSING BALANCE (USD)]]-Table11[[#This Row],[CB_BS (USD)]]</f>
        <v>0</v>
      </c>
      <c r="W666" s="1156" t="str">
        <f>VLOOKUP('Cash Balance'!$C666,Table2[#All],MATCH('Cash Balance'!W$3,Acc_Char!$B$1:$I$1,0),0)</f>
        <v>Subsidiaries</v>
      </c>
      <c r="X666" s="1156" t="str">
        <f>VLOOKUP(IFERROR(MID($Y666,1,FIND("-",$Y666)-2),$Y666),Table3[#All],2,0)</f>
        <v>SNP</v>
      </c>
      <c r="Y666" s="1156" t="str">
        <f>VLOOKUP($B666,Table4[#All],2,0)</f>
        <v>SINOPAC</v>
      </c>
      <c r="Z666" s="1151"/>
      <c r="AA666" s="49"/>
    </row>
    <row r="667" spans="1:27">
      <c r="A667" s="1153" t="str">
        <f>VLOOKUP('Cash Balance'!$C667,Table2[#All],MATCH('Cash Balance'!A$3,Acc_Char!$B$1:$I$1,0),0)</f>
        <v>QV2 LLC</v>
      </c>
      <c r="B667" s="1154" t="str">
        <f>VLOOKUP('Cash Balance'!$C667,Table2[#All],MATCH('Cash Balance'!B$3,Acc_Char!$B$1:$I$1,0),0)</f>
        <v>VIB - HOI SO</v>
      </c>
      <c r="C667" s="1190" t="s">
        <v>1281</v>
      </c>
      <c r="D667" s="1156" t="str">
        <f>VLOOKUP('Cash Balance'!$C667,Table2[#All],MATCH('Cash Balance'!D$3,Acc_Char!$B$1:$I$1,0),0)</f>
        <v>Current Account</v>
      </c>
      <c r="E667" s="384" t="str">
        <f>VLOOKUP('Cash Balance'!$C667,Table2[#All],MATCH('Cash Balance'!E$3,Acc_Char!$B$1:$I$1,0),0)</f>
        <v>VND</v>
      </c>
      <c r="F667" s="1094" t="e">
        <f>VLOOKUP(C667,'Cash balance (BS)'!A:C,3,)</f>
        <v>#N/A</v>
      </c>
      <c r="G667" s="1157" t="e">
        <f t="shared" si="55"/>
        <v>#N/A</v>
      </c>
      <c r="H667" s="1318">
        <f>SUMIFS('Cash balance (Prior period)'!F:F,'Cash balance (Prior period)'!C:C,Table11[[#This Row],[ACCOUNT NUMBER]],'Cash balance (Prior period)'!E:E,Table11[[#This Row],[CURRENCY]])</f>
        <v>30830949655</v>
      </c>
      <c r="I667" s="1318">
        <f>SUMIFS(Movement!$F$4:$F$2136,Movement!$M$4:$M$2136,"VND",Movement!$C$4:$C$2136,Table11[[#This Row],[ACCOUNT NUMBER]],Movement!$J$4:$J$2136,Table11[[#This Row],[ENTITY]],Movement!$O$4:$O$2136,'Cash Balance'!$A$2)</f>
        <v>0</v>
      </c>
      <c r="J667" s="1318">
        <f>SUMIFS(Movement!$G$4:$G$2136,Movement!$M$4:$M$2136,"VND",Movement!$C$4:$C$2136,Table11[[#This Row],[ACCOUNT NUMBER]],Movement!$J$4:$J$2136,Table11[[#This Row],[ENTITY]],Movement!$O$4:$O$2136,'Cash Balance'!$A$2)</f>
        <v>29519231299</v>
      </c>
      <c r="K667" s="1084">
        <f>Table11[[#This Row],[CASH IN - CREDIT (VND)]]-Table11[[#This Row],[CASH OUT - DEBIT (VND)]]</f>
        <v>-29519231299</v>
      </c>
      <c r="L667" s="1095">
        <f t="shared" si="56"/>
        <v>1311718356</v>
      </c>
      <c r="M667" s="1184" t="e">
        <f>VLOOKUP(C667,'Cash balance (BS)'!A:D,4,)</f>
        <v>#N/A</v>
      </c>
      <c r="N667" s="1095" t="e">
        <f>Table11[[#This Row],[CLOSING BALANCE (VND)2]]-Table11[[#This Row],[CB_BS (VND)]]</f>
        <v>#N/A</v>
      </c>
      <c r="O667" s="1094">
        <v>0</v>
      </c>
      <c r="P667" s="1095">
        <f t="shared" si="57"/>
        <v>0</v>
      </c>
      <c r="Q667" s="817">
        <f>SUMIFS('Cash balance (Prior period)'!G:G,'Cash balance (Prior period)'!C:C,Table11[[#This Row],[ACCOUNT NUMBER]],'Cash balance (Prior period)'!E:E,Table11[[#This Row],[CURRENCY]])</f>
        <v>0</v>
      </c>
      <c r="R667" s="817">
        <f>SUMIFS(Movement!$F$4:$F$2136,Movement!$M$4:$M$2136,"USD",Movement!$C$4:$C$2136,Table11[[#This Row],[ACCOUNT NUMBER]],Movement!$J$4:$J$2136,Table11[[#This Row],[ENTITY]],Movement!$O$4:$O$2136,'Cash Balance'!$A$2)</f>
        <v>0</v>
      </c>
      <c r="S667" s="817">
        <f>SUMIFS(Movement!$G$4:$G$2136,Movement!$M$4:$M$2136,"USD",Movement!$C$4:$C$2136,Table11[[#This Row],[ACCOUNT NUMBER]],Movement!$J$4:$J$2136,Table11[[#This Row],[ENTITY]],Movement!$O$4:$O$2136,'Cash Balance'!$A$2)</f>
        <v>0</v>
      </c>
      <c r="T667" s="1087">
        <f t="shared" si="58"/>
        <v>0</v>
      </c>
      <c r="U667" s="817"/>
      <c r="V667" s="817">
        <f>Table11[[#This Row],[CLOSING BALANCE (USD)]]-Table11[[#This Row],[CB_BS (USD)]]</f>
        <v>0</v>
      </c>
      <c r="W667" s="1156" t="str">
        <f>VLOOKUP('Cash Balance'!$C667,Table2[#All],MATCH('Cash Balance'!W$3,Acc_Char!$B$1:$I$1,0),0)</f>
        <v>Subsidiaries</v>
      </c>
      <c r="X667" s="1156" t="str">
        <f>VLOOKUP(IFERROR(MID($Y667,1,FIND("-",$Y667)-2),$Y667),Table3[#All],2,0)</f>
        <v>VIB</v>
      </c>
      <c r="Y667" s="1156" t="str">
        <f>VLOOKUP($B667,Table4[#All],2,0)</f>
        <v>VIB - HOI SO</v>
      </c>
      <c r="Z667" s="1151"/>
      <c r="AA667" s="49"/>
    </row>
    <row r="668" spans="1:27">
      <c r="A668" s="1153" t="str">
        <f>VLOOKUP('Cash Balance'!$C668,Table2[#All],MATCH('Cash Balance'!A$3,Acc_Char!$B$1:$I$1,0),0)</f>
        <v>BW THU DAU MOT</v>
      </c>
      <c r="B668" s="1154" t="str">
        <f>VLOOKUP('Cash Balance'!$C668,Table2[#All],MATCH('Cash Balance'!B$3,Acc_Char!$B$1:$I$1,0),0)</f>
        <v>VIETINBANK - TIEN SON</v>
      </c>
      <c r="C668" s="1185" t="s">
        <v>1282</v>
      </c>
      <c r="D668" s="1156" t="str">
        <f>VLOOKUP('Cash Balance'!$C668,Table2[#All],MATCH('Cash Balance'!D$3,Acc_Char!$B$1:$I$1,0),0)</f>
        <v>Saving Account</v>
      </c>
      <c r="E668" s="384" t="str">
        <f>VLOOKUP('Cash Balance'!$C668,Table2[#All],MATCH('Cash Balance'!E$3,Acc_Char!$B$1:$I$1,0),0)</f>
        <v>VND</v>
      </c>
      <c r="F668" s="1084" t="e">
        <f>VLOOKUP(C668,'Cash balance (BS)'!A:C,3,)</f>
        <v>#N/A</v>
      </c>
      <c r="G668" s="1191" t="e">
        <f t="shared" ref="G668:G675" si="59">F668-H668</f>
        <v>#N/A</v>
      </c>
      <c r="H668" s="1318">
        <f>SUMIFS('Cash balance (Prior period)'!F:F,'Cash balance (Prior period)'!C:C,Table11[[#This Row],[ACCOUNT NUMBER]],'Cash balance (Prior period)'!E:E,Table11[[#This Row],[CURRENCY]])</f>
        <v>0</v>
      </c>
      <c r="I668" s="1318">
        <f>SUMIFS(Movement!$F$4:$F$2136,Movement!$M$4:$M$2136,"VND",Movement!$C$4:$C$2136,Table11[[#This Row],[ACCOUNT NUMBER]],Movement!$J$4:$J$2136,Table11[[#This Row],[ENTITY]],Movement!$O$4:$O$2136,'Cash Balance'!$A$2)</f>
        <v>0</v>
      </c>
      <c r="J668" s="1318">
        <f>SUMIFS(Movement!$G$4:$G$2136,Movement!$M$4:$M$2136,"VND",Movement!$C$4:$C$2136,Table11[[#This Row],[ACCOUNT NUMBER]],Movement!$J$4:$J$2136,Table11[[#This Row],[ENTITY]],Movement!$O$4:$O$2136,'Cash Balance'!$A$2)</f>
        <v>0</v>
      </c>
      <c r="K668" s="1084">
        <f>Table11[[#This Row],[CASH IN - CREDIT (VND)]]-Table11[[#This Row],[CASH OUT - DEBIT (VND)]]</f>
        <v>0</v>
      </c>
      <c r="L668" s="1095">
        <f t="shared" si="56"/>
        <v>0</v>
      </c>
      <c r="M668" s="1184" t="e">
        <f>VLOOKUP(C668,'Cash balance (BS)'!A:D,4,)</f>
        <v>#N/A</v>
      </c>
      <c r="N668" s="1095" t="e">
        <f>Table11[[#This Row],[CLOSING BALANCE (VND)2]]-Table11[[#This Row],[CB_BS (VND)]]</f>
        <v>#N/A</v>
      </c>
      <c r="O668" s="1094">
        <v>0</v>
      </c>
      <c r="P668" s="1095">
        <f t="shared" si="57"/>
        <v>0</v>
      </c>
      <c r="Q668" s="817">
        <f>SUMIFS('Cash balance (Prior period)'!G:G,'Cash balance (Prior period)'!C:C,Table11[[#This Row],[ACCOUNT NUMBER]],'Cash balance (Prior period)'!E:E,Table11[[#This Row],[CURRENCY]])</f>
        <v>0</v>
      </c>
      <c r="R668" s="817">
        <f>SUMIFS(Movement!$F$4:$F$2136,Movement!$M$4:$M$2136,"USD",Movement!$C$4:$C$2136,Table11[[#This Row],[ACCOUNT NUMBER]],Movement!$J$4:$J$2136,Table11[[#This Row],[ENTITY]],Movement!$O$4:$O$2136,'Cash Balance'!$A$2)</f>
        <v>0</v>
      </c>
      <c r="S668" s="817">
        <f>SUMIFS(Movement!$G$4:$G$2136,Movement!$M$4:$M$2136,"USD",Movement!$C$4:$C$2136,Table11[[#This Row],[ACCOUNT NUMBER]],Movement!$J$4:$J$2136,Table11[[#This Row],[ENTITY]],Movement!$O$4:$O$2136,'Cash Balance'!$A$2)</f>
        <v>0</v>
      </c>
      <c r="T668" s="1087">
        <f t="shared" si="58"/>
        <v>0</v>
      </c>
      <c r="U668" s="1089"/>
      <c r="V668" s="817">
        <f>Table11[[#This Row],[CLOSING BALANCE (USD)]]-Table11[[#This Row],[CB_BS (USD)]]</f>
        <v>0</v>
      </c>
      <c r="W668" s="1156" t="str">
        <f>VLOOKUP('Cash Balance'!$C668,Table2[#All],MATCH('Cash Balance'!W$3,Acc_Char!$B$1:$I$1,0),0)</f>
        <v>Subsidiaries</v>
      </c>
      <c r="X668" s="1156" t="str">
        <f>VLOOKUP(IFERROR(MID($Y668,1,FIND("-",$Y668)-2),$Y668),Table3[#All],2,0)</f>
        <v>VTB</v>
      </c>
      <c r="Y668" s="1156" t="str">
        <f>VLOOKUP($B668,Table4[#All],2,0)</f>
        <v>VIETINBANK - TIEN SON</v>
      </c>
      <c r="Z668" s="1151"/>
      <c r="AA668" s="49"/>
    </row>
    <row r="669" spans="1:27">
      <c r="A669" s="1153" t="str">
        <f>VLOOKUP('Cash Balance'!$C669,Table2[#All],MATCH('Cash Balance'!A$3,Acc_Char!$B$1:$I$1,0),0)</f>
        <v>HOLDCO N4A</v>
      </c>
      <c r="B669" s="1154" t="str">
        <f>VLOOKUP('Cash Balance'!$C669,Table2[#All],MATCH('Cash Balance'!B$3,Acc_Char!$B$1:$I$1,0),0)</f>
        <v>VIETINBANK - TIEN SON</v>
      </c>
      <c r="C669" s="1185" t="s">
        <v>1283</v>
      </c>
      <c r="D669" s="1156" t="str">
        <f>VLOOKUP('Cash Balance'!$C669,Table2[#All],MATCH('Cash Balance'!D$3,Acc_Char!$B$1:$I$1,0),0)</f>
        <v>Saving Account</v>
      </c>
      <c r="E669" s="384" t="str">
        <f>VLOOKUP('Cash Balance'!$C669,Table2[#All],MATCH('Cash Balance'!E$3,Acc_Char!$B$1:$I$1,0),0)</f>
        <v>VND</v>
      </c>
      <c r="F669" s="1084" t="e">
        <f>VLOOKUP(C669,'Cash balance (BS)'!A:C,3,)</f>
        <v>#N/A</v>
      </c>
      <c r="G669" s="1191" t="e">
        <f t="shared" si="59"/>
        <v>#N/A</v>
      </c>
      <c r="H669" s="1318">
        <f>SUMIFS('Cash balance (Prior period)'!F:F,'Cash balance (Prior period)'!C:C,Table11[[#This Row],[ACCOUNT NUMBER]],'Cash balance (Prior period)'!E:E,Table11[[#This Row],[CURRENCY]])</f>
        <v>100000000</v>
      </c>
      <c r="I669" s="1318">
        <f>SUMIFS(Movement!$F$4:$F$2136,Movement!$M$4:$M$2136,"VND",Movement!$C$4:$C$2136,Table11[[#This Row],[ACCOUNT NUMBER]],Movement!$J$4:$J$2136,Table11[[#This Row],[ENTITY]],Movement!$O$4:$O$2136,'Cash Balance'!$A$2)</f>
        <v>0</v>
      </c>
      <c r="J669" s="1318">
        <f>SUMIFS(Movement!$G$4:$G$2136,Movement!$M$4:$M$2136,"VND",Movement!$C$4:$C$2136,Table11[[#This Row],[ACCOUNT NUMBER]],Movement!$J$4:$J$2136,Table11[[#This Row],[ENTITY]],Movement!$O$4:$O$2136,'Cash Balance'!$A$2)</f>
        <v>0</v>
      </c>
      <c r="K669" s="1084">
        <f>Table11[[#This Row],[CASH IN - CREDIT (VND)]]-Table11[[#This Row],[CASH OUT - DEBIT (VND)]]</f>
        <v>0</v>
      </c>
      <c r="L669" s="1095">
        <f t="shared" si="56"/>
        <v>100000000</v>
      </c>
      <c r="M669" s="1184" t="e">
        <f>VLOOKUP(C669,'Cash balance (BS)'!A:D,4,)</f>
        <v>#N/A</v>
      </c>
      <c r="N669" s="1095" t="e">
        <f>Table11[[#This Row],[CLOSING BALANCE (VND)2]]-Table11[[#This Row],[CB_BS (VND)]]</f>
        <v>#N/A</v>
      </c>
      <c r="O669" s="1094">
        <v>0</v>
      </c>
      <c r="P669" s="1095">
        <f t="shared" si="57"/>
        <v>0</v>
      </c>
      <c r="Q669" s="817">
        <f>SUMIFS('Cash balance (Prior period)'!G:G,'Cash balance (Prior period)'!C:C,Table11[[#This Row],[ACCOUNT NUMBER]],'Cash balance (Prior period)'!E:E,Table11[[#This Row],[CURRENCY]])</f>
        <v>0</v>
      </c>
      <c r="R669" s="817">
        <f>SUMIFS(Movement!$F$4:$F$2136,Movement!$M$4:$M$2136,"USD",Movement!$C$4:$C$2136,Table11[[#This Row],[ACCOUNT NUMBER]],Movement!$J$4:$J$2136,Table11[[#This Row],[ENTITY]],Movement!$O$4:$O$2136,'Cash Balance'!$A$2)</f>
        <v>0</v>
      </c>
      <c r="S669" s="817">
        <f>SUMIFS(Movement!$G$4:$G$2136,Movement!$M$4:$M$2136,"USD",Movement!$C$4:$C$2136,Table11[[#This Row],[ACCOUNT NUMBER]],Movement!$J$4:$J$2136,Table11[[#This Row],[ENTITY]],Movement!$O$4:$O$2136,'Cash Balance'!$A$2)</f>
        <v>0</v>
      </c>
      <c r="T669" s="1087">
        <f t="shared" si="58"/>
        <v>0</v>
      </c>
      <c r="U669" s="1089"/>
      <c r="V669" s="817">
        <f>Table11[[#This Row],[CLOSING BALANCE (USD)]]-Table11[[#This Row],[CB_BS (USD)]]</f>
        <v>0</v>
      </c>
      <c r="W669" s="1156" t="str">
        <f>VLOOKUP('Cash Balance'!$C669,Table2[#All],MATCH('Cash Balance'!W$3,Acc_Char!$B$1:$I$1,0),0)</f>
        <v>Subsidiaries</v>
      </c>
      <c r="X669" s="1156" t="str">
        <f>VLOOKUP(IFERROR(MID($Y669,1,FIND("-",$Y669)-2),$Y669),Table3[#All],2,0)</f>
        <v>VTB</v>
      </c>
      <c r="Y669" s="1156" t="str">
        <f>VLOOKUP($B669,Table4[#All],2,0)</f>
        <v>VIETINBANK - TIEN SON</v>
      </c>
      <c r="Z669" s="1151"/>
      <c r="AA669" s="49"/>
    </row>
    <row r="670" spans="1:27" ht="14.4">
      <c r="A670" s="1153" t="str">
        <f>VLOOKUP('Cash Balance'!$C670,Table2[#All],MATCH('Cash Balance'!A$3,Acc_Char!$B$1:$I$1,0),0)</f>
        <v>HOLDCO N4B</v>
      </c>
      <c r="B670" s="1154" t="str">
        <f>VLOOKUP('Cash Balance'!$C670,Table2[#All],MATCH('Cash Balance'!B$3,Acc_Char!$B$1:$I$1,0),0)</f>
        <v>VIETINBANK - TIEN SON</v>
      </c>
      <c r="C670" s="1192" t="s">
        <v>1284</v>
      </c>
      <c r="D670" s="1156" t="str">
        <f>VLOOKUP('Cash Balance'!$C670,Table2[#All],MATCH('Cash Balance'!D$3,Acc_Char!$B$1:$I$1,0),0)</f>
        <v>Saving Account</v>
      </c>
      <c r="E670" s="384" t="str">
        <f>VLOOKUP('Cash Balance'!$C670,Table2[#All],MATCH('Cash Balance'!E$3,Acc_Char!$B$1:$I$1,0),0)</f>
        <v>VND</v>
      </c>
      <c r="F670" s="1084" t="e">
        <f>VLOOKUP(C670,'Cash balance (BS)'!A:C,3,)</f>
        <v>#N/A</v>
      </c>
      <c r="G670" s="1191" t="e">
        <f t="shared" si="59"/>
        <v>#N/A</v>
      </c>
      <c r="H670" s="1318">
        <f>SUMIFS('Cash balance (Prior period)'!F:F,'Cash balance (Prior period)'!C:C,Table11[[#This Row],[ACCOUNT NUMBER]],'Cash balance (Prior period)'!E:E,Table11[[#This Row],[CURRENCY]])</f>
        <v>100000000</v>
      </c>
      <c r="I670" s="1318">
        <f>SUMIFS(Movement!$F$4:$F$2136,Movement!$M$4:$M$2136,"VND",Movement!$C$4:$C$2136,Table11[[#This Row],[ACCOUNT NUMBER]],Movement!$J$4:$J$2136,Table11[[#This Row],[ENTITY]],Movement!$O$4:$O$2136,'Cash Balance'!$A$2)</f>
        <v>0</v>
      </c>
      <c r="J670" s="1318">
        <f>SUMIFS(Movement!$G$4:$G$2136,Movement!$M$4:$M$2136,"VND",Movement!$C$4:$C$2136,Table11[[#This Row],[ACCOUNT NUMBER]],Movement!$J$4:$J$2136,Table11[[#This Row],[ENTITY]],Movement!$O$4:$O$2136,'Cash Balance'!$A$2)</f>
        <v>0</v>
      </c>
      <c r="K670" s="1084">
        <f>Table11[[#This Row],[CASH IN - CREDIT (VND)]]-Table11[[#This Row],[CASH OUT - DEBIT (VND)]]</f>
        <v>0</v>
      </c>
      <c r="L670" s="1095">
        <f t="shared" si="56"/>
        <v>100000000</v>
      </c>
      <c r="M670" s="1184" t="e">
        <f>VLOOKUP(C670,'Cash balance (BS)'!A:D,4,)</f>
        <v>#N/A</v>
      </c>
      <c r="N670" s="1095" t="e">
        <f>Table11[[#This Row],[CLOSING BALANCE (VND)2]]-Table11[[#This Row],[CB_BS (VND)]]</f>
        <v>#N/A</v>
      </c>
      <c r="O670" s="1094">
        <v>0</v>
      </c>
      <c r="P670" s="1095">
        <f t="shared" si="57"/>
        <v>0</v>
      </c>
      <c r="Q670" s="817">
        <f>SUMIFS('Cash balance (Prior period)'!G:G,'Cash balance (Prior period)'!C:C,Table11[[#This Row],[ACCOUNT NUMBER]],'Cash balance (Prior period)'!E:E,Table11[[#This Row],[CURRENCY]])</f>
        <v>0</v>
      </c>
      <c r="R670" s="817">
        <f>SUMIFS(Movement!$F$4:$F$2136,Movement!$M$4:$M$2136,"USD",Movement!$C$4:$C$2136,Table11[[#This Row],[ACCOUNT NUMBER]],Movement!$J$4:$J$2136,Table11[[#This Row],[ENTITY]],Movement!$O$4:$O$2136,'Cash Balance'!$A$2)</f>
        <v>0</v>
      </c>
      <c r="S670" s="817">
        <f>SUMIFS(Movement!$G$4:$G$2136,Movement!$M$4:$M$2136,"USD",Movement!$C$4:$C$2136,Table11[[#This Row],[ACCOUNT NUMBER]],Movement!$J$4:$J$2136,Table11[[#This Row],[ENTITY]],Movement!$O$4:$O$2136,'Cash Balance'!$A$2)</f>
        <v>0</v>
      </c>
      <c r="T670" s="1087">
        <f t="shared" si="58"/>
        <v>0</v>
      </c>
      <c r="U670" s="1089"/>
      <c r="V670" s="817">
        <f>Table11[[#This Row],[CLOSING BALANCE (USD)]]-Table11[[#This Row],[CB_BS (USD)]]</f>
        <v>0</v>
      </c>
      <c r="W670" s="1156" t="str">
        <f>VLOOKUP('Cash Balance'!$C670,Table2[#All],MATCH('Cash Balance'!W$3,Acc_Char!$B$1:$I$1,0),0)</f>
        <v>Subsidiaries</v>
      </c>
      <c r="X670" s="1156" t="str">
        <f>VLOOKUP(IFERROR(MID($Y670,1,FIND("-",$Y670)-2),$Y670),Table3[#All],2,0)</f>
        <v>VTB</v>
      </c>
      <c r="Y670" s="1156" t="str">
        <f>VLOOKUP($B670,Table4[#All],2,0)</f>
        <v>VIETINBANK - TIEN SON</v>
      </c>
      <c r="Z670" s="1151"/>
      <c r="AA670" s="49"/>
    </row>
    <row r="671" spans="1:27">
      <c r="A671" s="1153" t="str">
        <f>VLOOKUP('Cash Balance'!$C671,Table2[#All],MATCH('Cash Balance'!A$3,Acc_Char!$B$1:$I$1,0),0)</f>
        <v>HOLDCO N4E</v>
      </c>
      <c r="B671" s="1154" t="str">
        <f>VLOOKUP('Cash Balance'!$C671,Table2[#All],MATCH('Cash Balance'!B$3,Acc_Char!$B$1:$I$1,0),0)</f>
        <v>VIETINBANK - TIEN SON</v>
      </c>
      <c r="C671" s="1185" t="s">
        <v>1285</v>
      </c>
      <c r="D671" s="1156" t="str">
        <f>VLOOKUP('Cash Balance'!$C671,Table2[#All],MATCH('Cash Balance'!D$3,Acc_Char!$B$1:$I$1,0),0)</f>
        <v>Saving Account</v>
      </c>
      <c r="E671" s="384" t="str">
        <f>VLOOKUP('Cash Balance'!$C671,Table2[#All],MATCH('Cash Balance'!E$3,Acc_Char!$B$1:$I$1,0),0)</f>
        <v>VND</v>
      </c>
      <c r="F671" s="1084" t="e">
        <f>VLOOKUP(C671,'Cash balance (BS)'!A:C,3,)</f>
        <v>#N/A</v>
      </c>
      <c r="G671" s="1191" t="e">
        <f t="shared" si="59"/>
        <v>#N/A</v>
      </c>
      <c r="H671" s="1318">
        <f>SUMIFS('Cash balance (Prior period)'!F:F,'Cash balance (Prior period)'!C:C,Table11[[#This Row],[ACCOUNT NUMBER]],'Cash balance (Prior period)'!E:E,Table11[[#This Row],[CURRENCY]])</f>
        <v>100000000</v>
      </c>
      <c r="I671" s="1318">
        <f>SUMIFS(Movement!$F$4:$F$2136,Movement!$M$4:$M$2136,"VND",Movement!$C$4:$C$2136,Table11[[#This Row],[ACCOUNT NUMBER]],Movement!$J$4:$J$2136,Table11[[#This Row],[ENTITY]],Movement!$O$4:$O$2136,'Cash Balance'!$A$2)</f>
        <v>0</v>
      </c>
      <c r="J671" s="1318">
        <f>SUMIFS(Movement!$G$4:$G$2136,Movement!$M$4:$M$2136,"VND",Movement!$C$4:$C$2136,Table11[[#This Row],[ACCOUNT NUMBER]],Movement!$J$4:$J$2136,Table11[[#This Row],[ENTITY]],Movement!$O$4:$O$2136,'Cash Balance'!$A$2)</f>
        <v>0</v>
      </c>
      <c r="K671" s="1084">
        <f>Table11[[#This Row],[CASH IN - CREDIT (VND)]]-Table11[[#This Row],[CASH OUT - DEBIT (VND)]]</f>
        <v>0</v>
      </c>
      <c r="L671" s="1095">
        <f t="shared" si="56"/>
        <v>100000000</v>
      </c>
      <c r="M671" s="1184" t="e">
        <f>VLOOKUP(C671,'Cash balance (BS)'!A:D,4,)</f>
        <v>#N/A</v>
      </c>
      <c r="N671" s="1095" t="e">
        <f>Table11[[#This Row],[CLOSING BALANCE (VND)2]]-Table11[[#This Row],[CB_BS (VND)]]</f>
        <v>#N/A</v>
      </c>
      <c r="O671" s="1094">
        <v>0</v>
      </c>
      <c r="P671" s="1095">
        <f t="shared" si="57"/>
        <v>0</v>
      </c>
      <c r="Q671" s="817">
        <f>SUMIFS('Cash balance (Prior period)'!G:G,'Cash balance (Prior period)'!C:C,Table11[[#This Row],[ACCOUNT NUMBER]],'Cash balance (Prior period)'!E:E,Table11[[#This Row],[CURRENCY]])</f>
        <v>0</v>
      </c>
      <c r="R671" s="817">
        <f>SUMIFS(Movement!$F$4:$F$2136,Movement!$M$4:$M$2136,"USD",Movement!$C$4:$C$2136,Table11[[#This Row],[ACCOUNT NUMBER]],Movement!$J$4:$J$2136,Table11[[#This Row],[ENTITY]],Movement!$O$4:$O$2136,'Cash Balance'!$A$2)</f>
        <v>0</v>
      </c>
      <c r="S671" s="817">
        <f>SUMIFS(Movement!$G$4:$G$2136,Movement!$M$4:$M$2136,"USD",Movement!$C$4:$C$2136,Table11[[#This Row],[ACCOUNT NUMBER]],Movement!$J$4:$J$2136,Table11[[#This Row],[ENTITY]],Movement!$O$4:$O$2136,'Cash Balance'!$A$2)</f>
        <v>0</v>
      </c>
      <c r="T671" s="1087">
        <f t="shared" si="58"/>
        <v>0</v>
      </c>
      <c r="U671" s="1089"/>
      <c r="V671" s="817">
        <f>Table11[[#This Row],[CLOSING BALANCE (USD)]]-Table11[[#This Row],[CB_BS (USD)]]</f>
        <v>0</v>
      </c>
      <c r="W671" s="1156" t="str">
        <f>VLOOKUP('Cash Balance'!$C671,Table2[#All],MATCH('Cash Balance'!W$3,Acc_Char!$B$1:$I$1,0),0)</f>
        <v>Subsidiaries</v>
      </c>
      <c r="X671" s="1156" t="str">
        <f>VLOOKUP(IFERROR(MID($Y671,1,FIND("-",$Y671)-2),$Y671),Table3[#All],2,0)</f>
        <v>VTB</v>
      </c>
      <c r="Y671" s="1156" t="str">
        <f>VLOOKUP($B671,Table4[#All],2,0)</f>
        <v>VIETINBANK - TIEN SON</v>
      </c>
      <c r="Z671" s="1151"/>
      <c r="AA671" s="49"/>
    </row>
    <row r="672" spans="1:27">
      <c r="A672" s="1153" t="str">
        <f>VLOOKUP('Cash Balance'!$C672,Table2[#All],MATCH('Cash Balance'!A$3,Acc_Char!$B$1:$I$1,0),0)</f>
        <v>HOLDCO4X</v>
      </c>
      <c r="B672" s="1154" t="str">
        <f>VLOOKUP('Cash Balance'!$C672,Table2[#All],MATCH('Cash Balance'!B$3,Acc_Char!$B$1:$I$1,0),0)</f>
        <v>VIETINBANK - TIEN SON</v>
      </c>
      <c r="C672" s="1185" t="s">
        <v>1286</v>
      </c>
      <c r="D672" s="1156" t="str">
        <f>VLOOKUP('Cash Balance'!$C672,Table2[#All],MATCH('Cash Balance'!D$3,Acc_Char!$B$1:$I$1,0),0)</f>
        <v>Saving Account</v>
      </c>
      <c r="E672" s="384" t="str">
        <f>VLOOKUP('Cash Balance'!$C672,Table2[#All],MATCH('Cash Balance'!E$3,Acc_Char!$B$1:$I$1,0),0)</f>
        <v>VND</v>
      </c>
      <c r="F672" s="1084" t="e">
        <f>VLOOKUP(C672,'Cash balance (BS)'!A:C,3,)</f>
        <v>#N/A</v>
      </c>
      <c r="G672" s="1191" t="e">
        <f t="shared" si="59"/>
        <v>#N/A</v>
      </c>
      <c r="H672" s="1318">
        <f>SUMIFS('Cash balance (Prior period)'!F:F,'Cash balance (Prior period)'!C:C,Table11[[#This Row],[ACCOUNT NUMBER]],'Cash balance (Prior period)'!E:E,Table11[[#This Row],[CURRENCY]])</f>
        <v>800000000</v>
      </c>
      <c r="I672" s="1318">
        <f>SUMIFS(Movement!$F$4:$F$2136,Movement!$M$4:$M$2136,"VND",Movement!$C$4:$C$2136,Table11[[#This Row],[ACCOUNT NUMBER]],Movement!$J$4:$J$2136,Table11[[#This Row],[ENTITY]],Movement!$O$4:$O$2136,'Cash Balance'!$A$2)</f>
        <v>0</v>
      </c>
      <c r="J672" s="1318">
        <f>SUMIFS(Movement!$G$4:$G$2136,Movement!$M$4:$M$2136,"VND",Movement!$C$4:$C$2136,Table11[[#This Row],[ACCOUNT NUMBER]],Movement!$J$4:$J$2136,Table11[[#This Row],[ENTITY]],Movement!$O$4:$O$2136,'Cash Balance'!$A$2)</f>
        <v>0</v>
      </c>
      <c r="K672" s="1084">
        <f>Table11[[#This Row],[CASH IN - CREDIT (VND)]]-Table11[[#This Row],[CASH OUT - DEBIT (VND)]]</f>
        <v>0</v>
      </c>
      <c r="L672" s="1095">
        <f t="shared" si="56"/>
        <v>800000000</v>
      </c>
      <c r="M672" s="1184" t="e">
        <f>VLOOKUP(C672,'Cash balance (BS)'!A:D,4,)</f>
        <v>#N/A</v>
      </c>
      <c r="N672" s="1095" t="e">
        <f>Table11[[#This Row],[CLOSING BALANCE (VND)2]]-Table11[[#This Row],[CB_BS (VND)]]</f>
        <v>#N/A</v>
      </c>
      <c r="O672" s="1094">
        <v>0</v>
      </c>
      <c r="P672" s="1095">
        <f t="shared" si="57"/>
        <v>0</v>
      </c>
      <c r="Q672" s="817">
        <f>SUMIFS('Cash balance (Prior period)'!G:G,'Cash balance (Prior period)'!C:C,Table11[[#This Row],[ACCOUNT NUMBER]],'Cash balance (Prior period)'!E:E,Table11[[#This Row],[CURRENCY]])</f>
        <v>0</v>
      </c>
      <c r="R672" s="817">
        <f>SUMIFS(Movement!$F$4:$F$2136,Movement!$M$4:$M$2136,"USD",Movement!$C$4:$C$2136,Table11[[#This Row],[ACCOUNT NUMBER]],Movement!$J$4:$J$2136,Table11[[#This Row],[ENTITY]],Movement!$O$4:$O$2136,'Cash Balance'!$A$2)</f>
        <v>0</v>
      </c>
      <c r="S672" s="817">
        <f>SUMIFS(Movement!$G$4:$G$2136,Movement!$M$4:$M$2136,"USD",Movement!$C$4:$C$2136,Table11[[#This Row],[ACCOUNT NUMBER]],Movement!$J$4:$J$2136,Table11[[#This Row],[ENTITY]],Movement!$O$4:$O$2136,'Cash Balance'!$A$2)</f>
        <v>0</v>
      </c>
      <c r="T672" s="1087">
        <f t="shared" si="58"/>
        <v>0</v>
      </c>
      <c r="U672" s="1089"/>
      <c r="V672" s="817">
        <f>Table11[[#This Row],[CLOSING BALANCE (USD)]]-Table11[[#This Row],[CB_BS (USD)]]</f>
        <v>0</v>
      </c>
      <c r="W672" s="1156" t="str">
        <f>VLOOKUP('Cash Balance'!$C672,Table2[#All],MATCH('Cash Balance'!W$3,Acc_Char!$B$1:$I$1,0),0)</f>
        <v>Subsidiaries</v>
      </c>
      <c r="X672" s="1156" t="str">
        <f>VLOOKUP(IFERROR(MID($Y672,1,FIND("-",$Y672)-2),$Y672),Table3[#All],2,0)</f>
        <v>VTB</v>
      </c>
      <c r="Y672" s="1156" t="str">
        <f>VLOOKUP($B672,Table4[#All],2,0)</f>
        <v>VIETINBANK - TIEN SON</v>
      </c>
      <c r="Z672" s="1151"/>
      <c r="AA672" s="49"/>
    </row>
    <row r="673" spans="1:27">
      <c r="A673" s="1153" t="str">
        <f>VLOOKUP('Cash Balance'!$C673,Table2[#All],MATCH('Cash Balance'!A$3,Acc_Char!$B$1:$I$1,0),0)</f>
        <v>HOLDCO S4E</v>
      </c>
      <c r="B673" s="1154" t="str">
        <f>VLOOKUP('Cash Balance'!$C673,Table2[#All],MATCH('Cash Balance'!B$3,Acc_Char!$B$1:$I$1,0),0)</f>
        <v>VIETINBANK - TIEN SON</v>
      </c>
      <c r="C673" s="1193" t="s">
        <v>1287</v>
      </c>
      <c r="D673" s="1156" t="str">
        <f>VLOOKUP('Cash Balance'!$C673,Table2[#All],MATCH('Cash Balance'!D$3,Acc_Char!$B$1:$I$1,0),0)</f>
        <v>Saving Account</v>
      </c>
      <c r="E673" s="384" t="str">
        <f>VLOOKUP('Cash Balance'!$C673,Table2[#All],MATCH('Cash Balance'!E$3,Acc_Char!$B$1:$I$1,0),0)</f>
        <v>VND</v>
      </c>
      <c r="F673" s="1084" t="e">
        <f>VLOOKUP(C673,'Cash balance (BS)'!A:C,3,)</f>
        <v>#N/A</v>
      </c>
      <c r="G673" s="1191" t="e">
        <f t="shared" si="59"/>
        <v>#N/A</v>
      </c>
      <c r="H673" s="1318">
        <f>SUMIFS('Cash balance (Prior period)'!F:F,'Cash balance (Prior period)'!C:C,Table11[[#This Row],[ACCOUNT NUMBER]],'Cash balance (Prior period)'!E:E,Table11[[#This Row],[CURRENCY]])</f>
        <v>900000000</v>
      </c>
      <c r="I673" s="1318">
        <f>SUMIFS(Movement!$F$4:$F$2136,Movement!$M$4:$M$2136,"VND",Movement!$C$4:$C$2136,Table11[[#This Row],[ACCOUNT NUMBER]],Movement!$J$4:$J$2136,Table11[[#This Row],[ENTITY]],Movement!$O$4:$O$2136,'Cash Balance'!$A$2)</f>
        <v>0</v>
      </c>
      <c r="J673" s="1318">
        <f>SUMIFS(Movement!$G$4:$G$2136,Movement!$M$4:$M$2136,"VND",Movement!$C$4:$C$2136,Table11[[#This Row],[ACCOUNT NUMBER]],Movement!$J$4:$J$2136,Table11[[#This Row],[ENTITY]],Movement!$O$4:$O$2136,'Cash Balance'!$A$2)</f>
        <v>0</v>
      </c>
      <c r="K673" s="1084">
        <f>Table11[[#This Row],[CASH IN - CREDIT (VND)]]-Table11[[#This Row],[CASH OUT - DEBIT (VND)]]</f>
        <v>0</v>
      </c>
      <c r="L673" s="1095">
        <f t="shared" si="56"/>
        <v>900000000</v>
      </c>
      <c r="M673" s="1184" t="e">
        <f>VLOOKUP(C673,'Cash balance (BS)'!A:D,4,)</f>
        <v>#N/A</v>
      </c>
      <c r="N673" s="1095" t="e">
        <f>Table11[[#This Row],[CLOSING BALANCE (VND)2]]-Table11[[#This Row],[CB_BS (VND)]]</f>
        <v>#N/A</v>
      </c>
      <c r="O673" s="1094">
        <v>0</v>
      </c>
      <c r="P673" s="1095">
        <f t="shared" si="57"/>
        <v>0</v>
      </c>
      <c r="Q673" s="817">
        <f>SUMIFS('Cash balance (Prior period)'!G:G,'Cash balance (Prior period)'!C:C,Table11[[#This Row],[ACCOUNT NUMBER]],'Cash balance (Prior period)'!E:E,Table11[[#This Row],[CURRENCY]])</f>
        <v>0</v>
      </c>
      <c r="R673" s="817">
        <f>SUMIFS(Movement!$F$4:$F$2136,Movement!$M$4:$M$2136,"USD",Movement!$C$4:$C$2136,Table11[[#This Row],[ACCOUNT NUMBER]],Movement!$J$4:$J$2136,Table11[[#This Row],[ENTITY]],Movement!$O$4:$O$2136,'Cash Balance'!$A$2)</f>
        <v>0</v>
      </c>
      <c r="S673" s="817">
        <f>SUMIFS(Movement!$G$4:$G$2136,Movement!$M$4:$M$2136,"USD",Movement!$C$4:$C$2136,Table11[[#This Row],[ACCOUNT NUMBER]],Movement!$J$4:$J$2136,Table11[[#This Row],[ENTITY]],Movement!$O$4:$O$2136,'Cash Balance'!$A$2)</f>
        <v>0</v>
      </c>
      <c r="T673" s="1087">
        <f t="shared" si="58"/>
        <v>0</v>
      </c>
      <c r="U673" s="1089"/>
      <c r="V673" s="817">
        <f>Table11[[#This Row],[CLOSING BALANCE (USD)]]-Table11[[#This Row],[CB_BS (USD)]]</f>
        <v>0</v>
      </c>
      <c r="W673" s="1156" t="str">
        <f>VLOOKUP('Cash Balance'!$C673,Table2[#All],MATCH('Cash Balance'!W$3,Acc_Char!$B$1:$I$1,0),0)</f>
        <v>Subsidiaries</v>
      </c>
      <c r="X673" s="1156" t="str">
        <f>VLOOKUP(IFERROR(MID($Y673,1,FIND("-",$Y673)-2),$Y673),Table3[#All],2,0)</f>
        <v>VTB</v>
      </c>
      <c r="Y673" s="1156" t="str">
        <f>VLOOKUP($B673,Table4[#All],2,0)</f>
        <v>VIETINBANK - TIEN SON</v>
      </c>
      <c r="Z673" s="1151"/>
      <c r="AA673" s="49"/>
    </row>
    <row r="674" spans="1:27" s="1194" customFormat="1" ht="14.4">
      <c r="A674" s="1153" t="str">
        <f>VLOOKUP('Cash Balance'!$C674,Table2[#All],MATCH('Cash Balance'!A$3,Acc_Char!$B$1:$I$1,0),0)</f>
        <v>HOLDCO S5A</v>
      </c>
      <c r="B674" s="1154" t="str">
        <f>VLOOKUP('Cash Balance'!$C674,Table2[#All],MATCH('Cash Balance'!B$3,Acc_Char!$B$1:$I$1,0),0)</f>
        <v>VIETINBANK - TIEN SON</v>
      </c>
      <c r="C674" s="1193" t="s">
        <v>1288</v>
      </c>
      <c r="D674" s="1156" t="str">
        <f>VLOOKUP('Cash Balance'!$C674,Table2[#All],MATCH('Cash Balance'!D$3,Acc_Char!$B$1:$I$1,0),0)</f>
        <v>Saving Account</v>
      </c>
      <c r="E674" s="384" t="str">
        <f>VLOOKUP('Cash Balance'!$C674,Table2[#All],MATCH('Cash Balance'!E$3,Acc_Char!$B$1:$I$1,0),0)</f>
        <v>VND</v>
      </c>
      <c r="F674" s="1084" t="e">
        <f>VLOOKUP(C674,'Cash balance (BS)'!A:C,3,)</f>
        <v>#N/A</v>
      </c>
      <c r="G674" s="1191" t="e">
        <f t="shared" si="59"/>
        <v>#N/A</v>
      </c>
      <c r="H674" s="1318">
        <f>SUMIFS('Cash balance (Prior period)'!F:F,'Cash balance (Prior period)'!C:C,Table11[[#This Row],[ACCOUNT NUMBER]],'Cash balance (Prior period)'!E:E,Table11[[#This Row],[CURRENCY]])</f>
        <v>800000000</v>
      </c>
      <c r="I674" s="1318">
        <f>SUMIFS(Movement!$F$4:$F$2136,Movement!$M$4:$M$2136,"VND",Movement!$C$4:$C$2136,Table11[[#This Row],[ACCOUNT NUMBER]],Movement!$J$4:$J$2136,Table11[[#This Row],[ENTITY]],Movement!$O$4:$O$2136,'Cash Balance'!$A$2)</f>
        <v>0</v>
      </c>
      <c r="J674" s="1318">
        <f>SUMIFS(Movement!$G$4:$G$2136,Movement!$M$4:$M$2136,"VND",Movement!$C$4:$C$2136,Table11[[#This Row],[ACCOUNT NUMBER]],Movement!$J$4:$J$2136,Table11[[#This Row],[ENTITY]],Movement!$O$4:$O$2136,'Cash Balance'!$A$2)</f>
        <v>0</v>
      </c>
      <c r="K674" s="1084">
        <f>Table11[[#This Row],[CASH IN - CREDIT (VND)]]-Table11[[#This Row],[CASH OUT - DEBIT (VND)]]</f>
        <v>0</v>
      </c>
      <c r="L674" s="1095">
        <f t="shared" si="56"/>
        <v>800000000</v>
      </c>
      <c r="M674" s="1184" t="e">
        <f>VLOOKUP(C674,'Cash balance (BS)'!A:D,4,)</f>
        <v>#N/A</v>
      </c>
      <c r="N674" s="1095" t="e">
        <f>Table11[[#This Row],[CLOSING BALANCE (VND)2]]-Table11[[#This Row],[CB_BS (VND)]]</f>
        <v>#N/A</v>
      </c>
      <c r="O674" s="1094">
        <v>0</v>
      </c>
      <c r="P674" s="1095">
        <f t="shared" si="57"/>
        <v>0</v>
      </c>
      <c r="Q674" s="817">
        <f>SUMIFS('Cash balance (Prior period)'!G:G,'Cash balance (Prior period)'!C:C,Table11[[#This Row],[ACCOUNT NUMBER]],'Cash balance (Prior period)'!E:E,Table11[[#This Row],[CURRENCY]])</f>
        <v>0</v>
      </c>
      <c r="R674" s="817">
        <f>SUMIFS(Movement!$F$4:$F$2136,Movement!$M$4:$M$2136,"USD",Movement!$C$4:$C$2136,Table11[[#This Row],[ACCOUNT NUMBER]],Movement!$J$4:$J$2136,Table11[[#This Row],[ENTITY]],Movement!$O$4:$O$2136,'Cash Balance'!$A$2)</f>
        <v>0</v>
      </c>
      <c r="S674" s="817">
        <f>SUMIFS(Movement!$G$4:$G$2136,Movement!$M$4:$M$2136,"USD",Movement!$C$4:$C$2136,Table11[[#This Row],[ACCOUNT NUMBER]],Movement!$J$4:$J$2136,Table11[[#This Row],[ENTITY]],Movement!$O$4:$O$2136,'Cash Balance'!$A$2)</f>
        <v>0</v>
      </c>
      <c r="T674" s="1087">
        <f t="shared" si="58"/>
        <v>0</v>
      </c>
      <c r="U674" s="1089"/>
      <c r="V674" s="817">
        <f>Table11[[#This Row],[CLOSING BALANCE (USD)]]-Table11[[#This Row],[CB_BS (USD)]]</f>
        <v>0</v>
      </c>
      <c r="W674" s="1156" t="str">
        <f>VLOOKUP('Cash Balance'!$C674,Table2[#All],MATCH('Cash Balance'!W$3,Acc_Char!$B$1:$I$1,0),0)</f>
        <v>Subsidiaries</v>
      </c>
      <c r="X674" s="1156" t="str">
        <f>VLOOKUP(IFERROR(MID($Y674,1,FIND("-",$Y674)-2),$Y674),Table3[#All],2,0)</f>
        <v>VTB</v>
      </c>
      <c r="Y674" s="1156" t="str">
        <f>VLOOKUP($B674,Table4[#All],2,0)</f>
        <v>VIETINBANK - TIEN SON</v>
      </c>
      <c r="Z674" s="1151"/>
      <c r="AA674" s="49"/>
    </row>
    <row r="675" spans="1:27" s="1194" customFormat="1" ht="14.4">
      <c r="A675" s="1153" t="str">
        <f>VLOOKUP('Cash Balance'!$C675,Table2[#All],MATCH('Cash Balance'!A$3,Acc_Char!$B$1:$I$1,0),0)</f>
        <v>BW MY PHUOC 3</v>
      </c>
      <c r="B675" s="1154" t="str">
        <f>VLOOKUP('Cash Balance'!$C675,Table2[#All],MATCH('Cash Balance'!B$3,Acc_Char!$B$1:$I$1,0),0)</f>
        <v>VIETINBANK - BINH DUONG</v>
      </c>
      <c r="C675" s="1193" t="s">
        <v>1289</v>
      </c>
      <c r="D675" s="1156" t="str">
        <f>VLOOKUP('Cash Balance'!$C675,Table2[#All],MATCH('Cash Balance'!D$3,Acc_Char!$B$1:$I$1,0),0)</f>
        <v>Saving Account</v>
      </c>
      <c r="E675" s="384" t="str">
        <f>VLOOKUP('Cash Balance'!$C675,Table2[#All],MATCH('Cash Balance'!E$3,Acc_Char!$B$1:$I$1,0),0)</f>
        <v>VND</v>
      </c>
      <c r="F675" s="1084" t="e">
        <f>VLOOKUP(C675,'Cash balance (BS)'!A:C,3,)</f>
        <v>#N/A</v>
      </c>
      <c r="G675" s="1191" t="e">
        <f t="shared" si="59"/>
        <v>#N/A</v>
      </c>
      <c r="H675" s="1318">
        <f>SUMIFS('Cash balance (Prior period)'!F:F,'Cash balance (Prior period)'!C:C,Table11[[#This Row],[ACCOUNT NUMBER]],'Cash balance (Prior period)'!E:E,Table11[[#This Row],[CURRENCY]])</f>
        <v>0</v>
      </c>
      <c r="I675" s="1318">
        <f>SUMIFS(Movement!$F$4:$F$2136,Movement!$M$4:$M$2136,"VND",Movement!$C$4:$C$2136,Table11[[#This Row],[ACCOUNT NUMBER]],Movement!$J$4:$J$2136,Table11[[#This Row],[ENTITY]],Movement!$O$4:$O$2136,'Cash Balance'!$A$2)</f>
        <v>0</v>
      </c>
      <c r="J675" s="1318">
        <f>SUMIFS(Movement!$G$4:$G$2136,Movement!$M$4:$M$2136,"VND",Movement!$C$4:$C$2136,Table11[[#This Row],[ACCOUNT NUMBER]],Movement!$J$4:$J$2136,Table11[[#This Row],[ENTITY]],Movement!$O$4:$O$2136,'Cash Balance'!$A$2)</f>
        <v>0</v>
      </c>
      <c r="K675" s="1084">
        <f>Table11[[#This Row],[CASH IN - CREDIT (VND)]]-Table11[[#This Row],[CASH OUT - DEBIT (VND)]]</f>
        <v>0</v>
      </c>
      <c r="L675" s="1095">
        <f t="shared" si="56"/>
        <v>0</v>
      </c>
      <c r="M675" s="1184" t="e">
        <f>VLOOKUP(C675,'Cash balance (BS)'!A:D,4,)</f>
        <v>#N/A</v>
      </c>
      <c r="N675" s="1095" t="e">
        <f>Table11[[#This Row],[CLOSING BALANCE (VND)2]]-Table11[[#This Row],[CB_BS (VND)]]</f>
        <v>#N/A</v>
      </c>
      <c r="O675" s="1094">
        <v>0</v>
      </c>
      <c r="P675" s="1095">
        <f t="shared" si="57"/>
        <v>0</v>
      </c>
      <c r="Q675" s="817">
        <f>SUMIFS('Cash balance (Prior period)'!G:G,'Cash balance (Prior period)'!C:C,Table11[[#This Row],[ACCOUNT NUMBER]],'Cash balance (Prior period)'!E:E,Table11[[#This Row],[CURRENCY]])</f>
        <v>0</v>
      </c>
      <c r="R675" s="817">
        <f>SUMIFS(Movement!$F$4:$F$2136,Movement!$M$4:$M$2136,"USD",Movement!$C$4:$C$2136,Table11[[#This Row],[ACCOUNT NUMBER]],Movement!$J$4:$J$2136,Table11[[#This Row],[ENTITY]],Movement!$O$4:$O$2136,'Cash Balance'!$A$2)</f>
        <v>0</v>
      </c>
      <c r="S675" s="817">
        <f>SUMIFS(Movement!$G$4:$G$2136,Movement!$M$4:$M$2136,"USD",Movement!$C$4:$C$2136,Table11[[#This Row],[ACCOUNT NUMBER]],Movement!$J$4:$J$2136,Table11[[#This Row],[ENTITY]],Movement!$O$4:$O$2136,'Cash Balance'!$A$2)</f>
        <v>0</v>
      </c>
      <c r="T675" s="1087">
        <f t="shared" si="58"/>
        <v>0</v>
      </c>
      <c r="U675" s="1089"/>
      <c r="V675" s="817">
        <f>Table11[[#This Row],[CLOSING BALANCE (USD)]]-Table11[[#This Row],[CB_BS (USD)]]</f>
        <v>0</v>
      </c>
      <c r="W675" s="1156" t="str">
        <f>VLOOKUP('Cash Balance'!$C675,Table2[#All],MATCH('Cash Balance'!W$3,Acc_Char!$B$1:$I$1,0),0)</f>
        <v>Subsidiaries</v>
      </c>
      <c r="X675" s="1156" t="str">
        <f>VLOOKUP(IFERROR(MID($Y675,1,FIND("-",$Y675)-2),$Y675),Table3[#All],2,0)</f>
        <v>VTB</v>
      </c>
      <c r="Y675" s="1156" t="str">
        <f>VLOOKUP($B675,Table4[#All],2,0)</f>
        <v>VIETINBANK - BINH DUONG + QM</v>
      </c>
      <c r="Z675" s="1151"/>
      <c r="AA675" s="49"/>
    </row>
    <row r="676" spans="1:27" s="1194" customFormat="1" ht="14.4">
      <c r="A676" s="1153" t="str">
        <f>VLOOKUP('Cash Balance'!$C676,Table2[#All],MATCH('Cash Balance'!A$3,Acc_Char!$B$1:$I$1,0),0)</f>
        <v>YEN PHONG PROJECT CO</v>
      </c>
      <c r="B676" s="1154" t="str">
        <f>VLOOKUP('Cash Balance'!$C676,Table2[#All],MATCH('Cash Balance'!B$3,Acc_Char!$B$1:$I$1,0),0)</f>
        <v>BIDV - THANH XUAN</v>
      </c>
      <c r="C676" s="1193" t="s">
        <v>1290</v>
      </c>
      <c r="D676" s="1156" t="str">
        <f>VLOOKUP('Cash Balance'!$C676,Table2[#All],MATCH('Cash Balance'!D$3,Acc_Char!$B$1:$I$1,0),0)</f>
        <v>Current Account</v>
      </c>
      <c r="E676" s="384" t="str">
        <f>VLOOKUP('Cash Balance'!$C676,Table2[#All],MATCH('Cash Balance'!E$3,Acc_Char!$B$1:$I$1,0),0)</f>
        <v>USD</v>
      </c>
      <c r="F676" s="1084" t="e">
        <f>VLOOKUP(C676,'Cash balance (BS)'!A:C,3,)</f>
        <v>#N/A</v>
      </c>
      <c r="G676" s="1191" t="e">
        <f t="shared" ref="G676" si="60">F676-H676</f>
        <v>#N/A</v>
      </c>
      <c r="H676" s="1318">
        <f>SUMIFS('Cash balance (Prior period)'!F:F,'Cash balance (Prior period)'!C:C,Table11[[#This Row],[ACCOUNT NUMBER]],'Cash balance (Prior period)'!E:E,Table11[[#This Row],[CURRENCY]])</f>
        <v>0</v>
      </c>
      <c r="I676" s="1318">
        <f>SUMIFS(Movement!$F$4:$F$2136,Movement!$M$4:$M$2136,"VND",Movement!$C$4:$C$2136,Table11[[#This Row],[ACCOUNT NUMBER]],Movement!$J$4:$J$2136,Table11[[#This Row],[ENTITY]],Movement!$O$4:$O$2136,'Cash Balance'!$A$2)</f>
        <v>0</v>
      </c>
      <c r="J676" s="1318">
        <f>SUMIFS(Movement!$G$4:$G$2136,Movement!$M$4:$M$2136,"VND",Movement!$C$4:$C$2136,Table11[[#This Row],[ACCOUNT NUMBER]],Movement!$J$4:$J$2136,Table11[[#This Row],[ENTITY]],Movement!$O$4:$O$2136,'Cash Balance'!$A$2)</f>
        <v>0</v>
      </c>
      <c r="K676" s="1084">
        <f>Table11[[#This Row],[CASH IN - CREDIT (VND)]]-Table11[[#This Row],[CASH OUT - DEBIT (VND)]]</f>
        <v>0</v>
      </c>
      <c r="L676" s="1095">
        <f t="shared" ref="L676" si="61">H676+I676-J676</f>
        <v>0</v>
      </c>
      <c r="M676" s="1184" t="e">
        <f>VLOOKUP(C676,'Cash balance (BS)'!A:D,4,)</f>
        <v>#N/A</v>
      </c>
      <c r="N676" s="1095" t="e">
        <f>Table11[[#This Row],[CLOSING BALANCE (VND)2]]-Table11[[#This Row],[CB_BS (VND)]]</f>
        <v>#N/A</v>
      </c>
      <c r="O676" s="1094">
        <v>0</v>
      </c>
      <c r="P676" s="1095">
        <f t="shared" ref="P676" si="62">O676-Q676</f>
        <v>0</v>
      </c>
      <c r="Q676" s="817">
        <f>SUMIFS('Cash balance (Prior period)'!G:G,'Cash balance (Prior period)'!C:C,Table11[[#This Row],[ACCOUNT NUMBER]],'Cash balance (Prior period)'!E:E,Table11[[#This Row],[CURRENCY]])</f>
        <v>0</v>
      </c>
      <c r="R676" s="1087">
        <f>SUMIFS(Movement!$F$4:$F$2136,Movement!$M$4:$M$2136,"USD",Movement!$C$4:$C$2136,Table11[[#This Row],[ACCOUNT NUMBER]],Movement!$J$4:$J$2136,Table11[[#This Row],[ENTITY]],Movement!$O$4:$O$2136,'Cash Balance'!$A$2)</f>
        <v>0</v>
      </c>
      <c r="S676" s="1087">
        <f>SUMIFS(Movement!$G$4:$G$2136,Movement!$M$4:$M$2136,"USD",Movement!$C$4:$C$2136,Table11[[#This Row],[ACCOUNT NUMBER]],Movement!$J$4:$J$2136,Table11[[#This Row],[ENTITY]],Movement!$O$4:$O$2136,'Cash Balance'!$A$2)</f>
        <v>0</v>
      </c>
      <c r="T676" s="1087">
        <f t="shared" ref="T676" si="63">Q676+R676-S676</f>
        <v>0</v>
      </c>
      <c r="U676" s="1089"/>
      <c r="V676" s="817">
        <f>Table11[[#This Row],[CLOSING BALANCE (USD)]]-Table11[[#This Row],[CB_BS (USD)]]</f>
        <v>0</v>
      </c>
      <c r="W676" s="1156" t="str">
        <f>VLOOKUP('Cash Balance'!$C676,Table2[#All],MATCH('Cash Balance'!W$3,Acc_Char!$B$1:$I$1,0),0)</f>
        <v>Subsidiaries</v>
      </c>
      <c r="X676" s="1156" t="str">
        <f>VLOOKUP(IFERROR(MID($Y676,1,FIND("-",$Y676)-2),$Y676),Table3[#All],2,0)</f>
        <v>BIDV</v>
      </c>
      <c r="Y676" s="1156" t="str">
        <f>VLOOKUP($B676,Table4[#All],2,0)</f>
        <v>BIDV - THANH XUAN</v>
      </c>
      <c r="Z676" s="1151"/>
      <c r="AA676" s="49"/>
    </row>
    <row r="677" spans="1:27">
      <c r="A677" s="1153" t="str">
        <f>VLOOKUP('Cash Balance'!$C677,Table2[#All],MATCH('Cash Balance'!A$3,Acc_Char!$B$1:$I$1,0),0)</f>
        <v>HOLDCO S5B</v>
      </c>
      <c r="B677" s="1154" t="str">
        <f>VLOOKUP('Cash Balance'!$C677,Table2[#All],MATCH('Cash Balance'!B$3,Acc_Char!$B$1:$I$1,0),0)</f>
        <v>VIETINBANK - TIEN SON</v>
      </c>
      <c r="C677" s="1193" t="s">
        <v>1291</v>
      </c>
      <c r="D677" s="1156" t="str">
        <f>VLOOKUP('Cash Balance'!$C677,Table2[#All],MATCH('Cash Balance'!D$3,Acc_Char!$B$1:$I$1,0),0)</f>
        <v>Saving Account</v>
      </c>
      <c r="E677" s="384" t="str">
        <f>VLOOKUP('Cash Balance'!$C677,Table2[#All],MATCH('Cash Balance'!E$3,Acc_Char!$B$1:$I$1,0),0)</f>
        <v>VND</v>
      </c>
      <c r="F677" s="1084"/>
      <c r="G677" s="1191"/>
      <c r="H677" s="1318">
        <f>SUMIFS('Cash balance (Prior period)'!F:F,'Cash balance (Prior period)'!C:C,Table11[[#This Row],[ACCOUNT NUMBER]],'Cash balance (Prior period)'!E:E,Table11[[#This Row],[CURRENCY]])</f>
        <v>850000000</v>
      </c>
      <c r="I677" s="1318">
        <f>SUMIFS(Movement!$F$4:$F$2136,Movement!$M$4:$M$2136,"VND",Movement!$C$4:$C$2136,Table11[[#This Row],[ACCOUNT NUMBER]],Movement!$J$4:$J$2136,Table11[[#This Row],[ENTITY]],Movement!$O$4:$O$2136,'Cash Balance'!$A$2)</f>
        <v>0</v>
      </c>
      <c r="J677" s="1318">
        <f>SUMIFS(Movement!$G$4:$G$2136,Movement!$M$4:$M$2136,"VND",Movement!$C$4:$C$2136,Table11[[#This Row],[ACCOUNT NUMBER]],Movement!$J$4:$J$2136,Table11[[#This Row],[ENTITY]],Movement!$O$4:$O$2136,'Cash Balance'!$A$2)</f>
        <v>0</v>
      </c>
      <c r="K677" s="1084">
        <f>Table11[[#This Row],[CASH IN - CREDIT (VND)]]-Table11[[#This Row],[CASH OUT - DEBIT (VND)]]</f>
        <v>0</v>
      </c>
      <c r="L677" s="1095">
        <f t="shared" si="56"/>
        <v>850000000</v>
      </c>
      <c r="M677" s="1184" t="e">
        <f>VLOOKUP(C677,'Cash balance (BS)'!A:D,4,)</f>
        <v>#N/A</v>
      </c>
      <c r="N677" s="1095" t="e">
        <f>Table11[[#This Row],[CLOSING BALANCE (VND)2]]-Table11[[#This Row],[CB_BS (VND)]]</f>
        <v>#N/A</v>
      </c>
      <c r="O677" s="1094">
        <v>0</v>
      </c>
      <c r="P677" s="1095">
        <f t="shared" si="57"/>
        <v>0</v>
      </c>
      <c r="Q677" s="817">
        <f>SUMIFS('Cash balance (Prior period)'!G:G,'Cash balance (Prior period)'!C:C,Table11[[#This Row],[ACCOUNT NUMBER]],'Cash balance (Prior period)'!E:E,Table11[[#This Row],[CURRENCY]])</f>
        <v>0</v>
      </c>
      <c r="R677" s="817">
        <f>SUMIFS(Movement!$F$4:$F$2136,Movement!$M$4:$M$2136,"USD",Movement!$C$4:$C$2136,Table11[[#This Row],[ACCOUNT NUMBER]],Movement!$J$4:$J$2136,Table11[[#This Row],[ENTITY]],Movement!$O$4:$O$2136,'Cash Balance'!$A$2)</f>
        <v>0</v>
      </c>
      <c r="S677" s="817">
        <f>SUMIFS(Movement!$G$4:$G$2136,Movement!$M$4:$M$2136,"USD",Movement!$C$4:$C$2136,Table11[[#This Row],[ACCOUNT NUMBER]],Movement!$J$4:$J$2136,Table11[[#This Row],[ENTITY]],Movement!$O$4:$O$2136,'Cash Balance'!$A$2)</f>
        <v>0</v>
      </c>
      <c r="T677" s="1087">
        <f t="shared" si="58"/>
        <v>0</v>
      </c>
      <c r="U677" s="1089"/>
      <c r="V677" s="817">
        <f>Table11[[#This Row],[CLOSING BALANCE (USD)]]-Table11[[#This Row],[CB_BS (USD)]]</f>
        <v>0</v>
      </c>
      <c r="W677" s="1156" t="str">
        <f>VLOOKUP('Cash Balance'!$C677,Table2[#All],MATCH('Cash Balance'!W$3,Acc_Char!$B$1:$I$1,0),0)</f>
        <v>Subsidiaries</v>
      </c>
      <c r="X677" s="1156" t="str">
        <f>VLOOKUP(IFERROR(MID($Y677,1,FIND("-",$Y677)-2),$Y677),Table3[#All],2,0)</f>
        <v>VTB</v>
      </c>
      <c r="Y677" s="1156" t="str">
        <f>VLOOKUP($B677,Table4[#All],2,0)</f>
        <v>VIETINBANK - TIEN SON</v>
      </c>
      <c r="Z677" s="1151"/>
      <c r="AA677" s="49"/>
    </row>
    <row r="678" spans="1:27">
      <c r="A678" s="1153" t="str">
        <f>VLOOKUP('Cash Balance'!$C678,Table2[#All],MATCH('Cash Balance'!A$3,Acc_Char!$B$1:$I$1,0),0)</f>
        <v>HOLDCO4W</v>
      </c>
      <c r="B678" s="1154" t="str">
        <f>VLOOKUP('Cash Balance'!$C678,Table2[#All],MATCH('Cash Balance'!B$3,Acc_Char!$B$1:$I$1,0),0)</f>
        <v>VIETINBANK - TIEN SON</v>
      </c>
      <c r="C678" s="1193" t="s">
        <v>1292</v>
      </c>
      <c r="D678" s="1156" t="str">
        <f>VLOOKUP('Cash Balance'!$C678,Table2[#All],MATCH('Cash Balance'!D$3,Acc_Char!$B$1:$I$1,0),0)</f>
        <v>Saving Account</v>
      </c>
      <c r="E678" s="384" t="str">
        <f>VLOOKUP('Cash Balance'!$C678,Table2[#All],MATCH('Cash Balance'!E$3,Acc_Char!$B$1:$I$1,0),0)</f>
        <v>VND</v>
      </c>
      <c r="F678" s="1084" t="e">
        <f>VLOOKUP(C678,'Cash balance (BS)'!A:C,3,)</f>
        <v>#N/A</v>
      </c>
      <c r="G678" s="1191" t="e">
        <f t="shared" ref="G678:G703" si="64">F678-H678</f>
        <v>#N/A</v>
      </c>
      <c r="H678" s="1318">
        <f>SUMIFS('Cash balance (Prior period)'!F:F,'Cash balance (Prior period)'!C:C,Table11[[#This Row],[ACCOUNT NUMBER]],'Cash balance (Prior period)'!E:E,Table11[[#This Row],[CURRENCY]])</f>
        <v>100000000</v>
      </c>
      <c r="I678" s="1318">
        <f>SUMIFS(Movement!$F$4:$F$2136,Movement!$M$4:$M$2136,"VND",Movement!$C$4:$C$2136,Table11[[#This Row],[ACCOUNT NUMBER]],Movement!$J$4:$J$2136,Table11[[#This Row],[ENTITY]],Movement!$O$4:$O$2136,'Cash Balance'!$A$2)</f>
        <v>0</v>
      </c>
      <c r="J678" s="1318">
        <f>SUMIFS(Movement!$G$4:$G$2136,Movement!$M$4:$M$2136,"VND",Movement!$C$4:$C$2136,Table11[[#This Row],[ACCOUNT NUMBER]],Movement!$J$4:$J$2136,Table11[[#This Row],[ENTITY]],Movement!$O$4:$O$2136,'Cash Balance'!$A$2)</f>
        <v>0</v>
      </c>
      <c r="K678" s="1084">
        <f>Table11[[#This Row],[CASH IN - CREDIT (VND)]]-Table11[[#This Row],[CASH OUT - DEBIT (VND)]]</f>
        <v>0</v>
      </c>
      <c r="L678" s="1095">
        <f t="shared" si="56"/>
        <v>100000000</v>
      </c>
      <c r="M678" s="1184" t="e">
        <f>VLOOKUP(C678,'Cash balance (BS)'!A:D,4,)</f>
        <v>#N/A</v>
      </c>
      <c r="N678" s="1095" t="e">
        <f>Table11[[#This Row],[CLOSING BALANCE (VND)2]]-Table11[[#This Row],[CB_BS (VND)]]</f>
        <v>#N/A</v>
      </c>
      <c r="O678" s="1094">
        <v>0</v>
      </c>
      <c r="P678" s="1095">
        <f t="shared" si="57"/>
        <v>0</v>
      </c>
      <c r="Q678" s="817">
        <f>SUMIFS('Cash balance (Prior period)'!G:G,'Cash balance (Prior period)'!C:C,Table11[[#This Row],[ACCOUNT NUMBER]],'Cash balance (Prior period)'!E:E,Table11[[#This Row],[CURRENCY]])</f>
        <v>0</v>
      </c>
      <c r="R678" s="817">
        <f>SUMIFS(Movement!$F$4:$F$2136,Movement!$M$4:$M$2136,"USD",Movement!$C$4:$C$2136,Table11[[#This Row],[ACCOUNT NUMBER]],Movement!$J$4:$J$2136,Table11[[#This Row],[ENTITY]],Movement!$O$4:$O$2136,'Cash Balance'!$A$2)</f>
        <v>0</v>
      </c>
      <c r="S678" s="817">
        <f>SUMIFS(Movement!$G$4:$G$2136,Movement!$M$4:$M$2136,"USD",Movement!$C$4:$C$2136,Table11[[#This Row],[ACCOUNT NUMBER]],Movement!$J$4:$J$2136,Table11[[#This Row],[ENTITY]],Movement!$O$4:$O$2136,'Cash Balance'!$A$2)</f>
        <v>0</v>
      </c>
      <c r="T678" s="1087">
        <f t="shared" si="58"/>
        <v>0</v>
      </c>
      <c r="U678" s="1089"/>
      <c r="V678" s="817">
        <f>Table11[[#This Row],[CLOSING BALANCE (USD)]]-Table11[[#This Row],[CB_BS (USD)]]</f>
        <v>0</v>
      </c>
      <c r="W678" s="1156" t="str">
        <f>VLOOKUP('Cash Balance'!$C678,Table2[#All],MATCH('Cash Balance'!W$3,Acc_Char!$B$1:$I$1,0),0)</f>
        <v>Subsidiaries</v>
      </c>
      <c r="X678" s="1156" t="str">
        <f>VLOOKUP(IFERROR(MID($Y678,1,FIND("-",$Y678)-2),$Y678),Table3[#All],2,0)</f>
        <v>VTB</v>
      </c>
      <c r="Y678" s="1156" t="str">
        <f>VLOOKUP($B678,Table4[#All],2,0)</f>
        <v>VIETINBANK - TIEN SON</v>
      </c>
      <c r="Z678" s="1151"/>
      <c r="AA678" s="49"/>
    </row>
    <row r="679" spans="1:27">
      <c r="A679" s="1153" t="str">
        <f>VLOOKUP('Cash Balance'!$C679,Table2[#All],MATCH('Cash Balance'!A$3,Acc_Char!$B$1:$I$1,0),0)</f>
        <v>HOLDCO5G</v>
      </c>
      <c r="B679" s="1154" t="str">
        <f>VLOOKUP('Cash Balance'!$C679,Table2[#All],MATCH('Cash Balance'!B$3,Acc_Char!$B$1:$I$1,0),0)</f>
        <v>VIETINBANK - TIEN SON</v>
      </c>
      <c r="C679" s="1193" t="s">
        <v>1293</v>
      </c>
      <c r="D679" s="1156" t="str">
        <f>VLOOKUP('Cash Balance'!$C679,Table2[#All],MATCH('Cash Balance'!D$3,Acc_Char!$B$1:$I$1,0),0)</f>
        <v>Saving Account</v>
      </c>
      <c r="E679" s="384" t="str">
        <f>VLOOKUP('Cash Balance'!$C679,Table2[#All],MATCH('Cash Balance'!E$3,Acc_Char!$B$1:$I$1,0),0)</f>
        <v>VND</v>
      </c>
      <c r="F679" s="1084" t="e">
        <f>VLOOKUP(C679,'Cash balance (BS)'!A:C,3,)</f>
        <v>#N/A</v>
      </c>
      <c r="G679" s="1191" t="e">
        <f t="shared" si="64"/>
        <v>#N/A</v>
      </c>
      <c r="H679" s="1318">
        <f>SUMIFS('Cash balance (Prior period)'!F:F,'Cash balance (Prior period)'!C:C,Table11[[#This Row],[ACCOUNT NUMBER]],'Cash balance (Prior period)'!E:E,Table11[[#This Row],[CURRENCY]])</f>
        <v>100000000</v>
      </c>
      <c r="I679" s="1318">
        <f>SUMIFS(Movement!$F$4:$F$2136,Movement!$M$4:$M$2136,"VND",Movement!$C$4:$C$2136,Table11[[#This Row],[ACCOUNT NUMBER]],Movement!$J$4:$J$2136,Table11[[#This Row],[ENTITY]],Movement!$O$4:$O$2136,'Cash Balance'!$A$2)</f>
        <v>0</v>
      </c>
      <c r="J679" s="1318">
        <f>SUMIFS(Movement!$G$4:$G$2136,Movement!$M$4:$M$2136,"VND",Movement!$C$4:$C$2136,Table11[[#This Row],[ACCOUNT NUMBER]],Movement!$J$4:$J$2136,Table11[[#This Row],[ENTITY]],Movement!$O$4:$O$2136,'Cash Balance'!$A$2)</f>
        <v>0</v>
      </c>
      <c r="K679" s="1084">
        <f>Table11[[#This Row],[CASH IN - CREDIT (VND)]]-Table11[[#This Row],[CASH OUT - DEBIT (VND)]]</f>
        <v>0</v>
      </c>
      <c r="L679" s="1095">
        <f t="shared" si="56"/>
        <v>100000000</v>
      </c>
      <c r="M679" s="1184" t="e">
        <f>VLOOKUP(C679,'Cash balance (BS)'!A:D,4,)</f>
        <v>#N/A</v>
      </c>
      <c r="N679" s="1095" t="e">
        <f>Table11[[#This Row],[CLOSING BALANCE (VND)2]]-Table11[[#This Row],[CB_BS (VND)]]</f>
        <v>#N/A</v>
      </c>
      <c r="O679" s="1094">
        <v>0</v>
      </c>
      <c r="P679" s="1095">
        <f t="shared" si="57"/>
        <v>0</v>
      </c>
      <c r="Q679" s="817">
        <f>SUMIFS('Cash balance (Prior period)'!G:G,'Cash balance (Prior period)'!C:C,Table11[[#This Row],[ACCOUNT NUMBER]],'Cash balance (Prior period)'!E:E,Table11[[#This Row],[CURRENCY]])</f>
        <v>0</v>
      </c>
      <c r="R679" s="817">
        <f>SUMIFS(Movement!$F$4:$F$2136,Movement!$M$4:$M$2136,"USD",Movement!$C$4:$C$2136,Table11[[#This Row],[ACCOUNT NUMBER]],Movement!$J$4:$J$2136,Table11[[#This Row],[ENTITY]],Movement!$O$4:$O$2136,'Cash Balance'!$A$2)</f>
        <v>0</v>
      </c>
      <c r="S679" s="817">
        <f>SUMIFS(Movement!$G$4:$G$2136,Movement!$M$4:$M$2136,"USD",Movement!$C$4:$C$2136,Table11[[#This Row],[ACCOUNT NUMBER]],Movement!$J$4:$J$2136,Table11[[#This Row],[ENTITY]],Movement!$O$4:$O$2136,'Cash Balance'!$A$2)</f>
        <v>0</v>
      </c>
      <c r="T679" s="1087">
        <f t="shared" si="58"/>
        <v>0</v>
      </c>
      <c r="U679" s="1089"/>
      <c r="V679" s="817">
        <f>Table11[[#This Row],[CLOSING BALANCE (USD)]]-Table11[[#This Row],[CB_BS (USD)]]</f>
        <v>0</v>
      </c>
      <c r="W679" s="1156" t="str">
        <f>VLOOKUP('Cash Balance'!$C679,Table2[#All],MATCH('Cash Balance'!W$3,Acc_Char!$B$1:$I$1,0),0)</f>
        <v>Subsidiaries</v>
      </c>
      <c r="X679" s="1156" t="str">
        <f>VLOOKUP(IFERROR(MID($Y679,1,FIND("-",$Y679)-2),$Y679),Table3[#All],2,0)</f>
        <v>VTB</v>
      </c>
      <c r="Y679" s="1156" t="str">
        <f>VLOOKUP($B679,Table4[#All],2,0)</f>
        <v>VIETINBANK - TIEN SON</v>
      </c>
      <c r="Z679" s="1151"/>
      <c r="AA679" s="49"/>
    </row>
    <row r="680" spans="1:27">
      <c r="A680" s="1153" t="str">
        <f>VLOOKUP('Cash Balance'!$C680,Table2[#All],MATCH('Cash Balance'!A$3,Acc_Char!$B$1:$I$1,0),0)</f>
        <v>HOLDCO5H</v>
      </c>
      <c r="B680" s="1154" t="str">
        <f>VLOOKUP('Cash Balance'!$C680,Table2[#All],MATCH('Cash Balance'!B$3,Acc_Char!$B$1:$I$1,0),0)</f>
        <v>VIETINBANK - TIEN SON</v>
      </c>
      <c r="C680" s="1193" t="s">
        <v>1294</v>
      </c>
      <c r="D680" s="1156" t="str">
        <f>VLOOKUP('Cash Balance'!$C680,Table2[#All],MATCH('Cash Balance'!D$3,Acc_Char!$B$1:$I$1,0),0)</f>
        <v>Saving Account</v>
      </c>
      <c r="E680" s="384" t="str">
        <f>VLOOKUP('Cash Balance'!$C680,Table2[#All],MATCH('Cash Balance'!E$3,Acc_Char!$B$1:$I$1,0),0)</f>
        <v>VND</v>
      </c>
      <c r="F680" s="1084" t="e">
        <f>VLOOKUP(C680,'Cash balance (BS)'!A:C,3,)</f>
        <v>#N/A</v>
      </c>
      <c r="G680" s="1191" t="e">
        <f t="shared" si="64"/>
        <v>#N/A</v>
      </c>
      <c r="H680" s="1318">
        <f>SUMIFS('Cash balance (Prior period)'!F:F,'Cash balance (Prior period)'!C:C,Table11[[#This Row],[ACCOUNT NUMBER]],'Cash balance (Prior period)'!E:E,Table11[[#This Row],[CURRENCY]])</f>
        <v>90000000</v>
      </c>
      <c r="I680" s="1318">
        <f>SUMIFS(Movement!$F$4:$F$2136,Movement!$M$4:$M$2136,"VND",Movement!$C$4:$C$2136,Table11[[#This Row],[ACCOUNT NUMBER]],Movement!$J$4:$J$2136,Table11[[#This Row],[ENTITY]],Movement!$O$4:$O$2136,'Cash Balance'!$A$2)</f>
        <v>0</v>
      </c>
      <c r="J680" s="1318">
        <f>SUMIFS(Movement!$G$4:$G$2136,Movement!$M$4:$M$2136,"VND",Movement!$C$4:$C$2136,Table11[[#This Row],[ACCOUNT NUMBER]],Movement!$J$4:$J$2136,Table11[[#This Row],[ENTITY]],Movement!$O$4:$O$2136,'Cash Balance'!$A$2)</f>
        <v>0</v>
      </c>
      <c r="K680" s="1084">
        <f>Table11[[#This Row],[CASH IN - CREDIT (VND)]]-Table11[[#This Row],[CASH OUT - DEBIT (VND)]]</f>
        <v>0</v>
      </c>
      <c r="L680" s="1095">
        <f t="shared" si="56"/>
        <v>90000000</v>
      </c>
      <c r="M680" s="1184" t="e">
        <f>VLOOKUP(C680,'Cash balance (BS)'!A:D,4,)</f>
        <v>#N/A</v>
      </c>
      <c r="N680" s="1095" t="e">
        <f>Table11[[#This Row],[CLOSING BALANCE (VND)2]]-Table11[[#This Row],[CB_BS (VND)]]</f>
        <v>#N/A</v>
      </c>
      <c r="O680" s="1094">
        <v>0</v>
      </c>
      <c r="P680" s="1095">
        <f t="shared" si="57"/>
        <v>0</v>
      </c>
      <c r="Q680" s="817">
        <f>SUMIFS('Cash balance (Prior period)'!G:G,'Cash balance (Prior period)'!C:C,Table11[[#This Row],[ACCOUNT NUMBER]],'Cash balance (Prior period)'!E:E,Table11[[#This Row],[CURRENCY]])</f>
        <v>0</v>
      </c>
      <c r="R680" s="817">
        <f>SUMIFS(Movement!$F$4:$F$2136,Movement!$M$4:$M$2136,"USD",Movement!$C$4:$C$2136,Table11[[#This Row],[ACCOUNT NUMBER]],Movement!$J$4:$J$2136,Table11[[#This Row],[ENTITY]],Movement!$O$4:$O$2136,'Cash Balance'!$A$2)</f>
        <v>0</v>
      </c>
      <c r="S680" s="817">
        <f>SUMIFS(Movement!$G$4:$G$2136,Movement!$M$4:$M$2136,"USD",Movement!$C$4:$C$2136,Table11[[#This Row],[ACCOUNT NUMBER]],Movement!$J$4:$J$2136,Table11[[#This Row],[ENTITY]],Movement!$O$4:$O$2136,'Cash Balance'!$A$2)</f>
        <v>0</v>
      </c>
      <c r="T680" s="1087">
        <f t="shared" si="58"/>
        <v>0</v>
      </c>
      <c r="U680" s="1089"/>
      <c r="V680" s="817">
        <f>Table11[[#This Row],[CLOSING BALANCE (USD)]]-Table11[[#This Row],[CB_BS (USD)]]</f>
        <v>0</v>
      </c>
      <c r="W680" s="1156" t="str">
        <f>VLOOKUP('Cash Balance'!$C680,Table2[#All],MATCH('Cash Balance'!W$3,Acc_Char!$B$1:$I$1,0),0)</f>
        <v>Subsidiaries</v>
      </c>
      <c r="X680" s="1156" t="str">
        <f>VLOOKUP(IFERROR(MID($Y680,1,FIND("-",$Y680)-2),$Y680),Table3[#All],2,0)</f>
        <v>VTB</v>
      </c>
      <c r="Y680" s="1156" t="str">
        <f>VLOOKUP($B680,Table4[#All],2,0)</f>
        <v>VIETINBANK - TIEN SON</v>
      </c>
      <c r="Z680" s="1151"/>
      <c r="AA680" s="49"/>
    </row>
    <row r="681" spans="1:27">
      <c r="A681" s="1153" t="str">
        <f>VLOOKUP('Cash Balance'!$C681,Table2[#All],MATCH('Cash Balance'!A$3,Acc_Char!$B$1:$I$1,0),0)</f>
        <v>HOLDCO5I</v>
      </c>
      <c r="B681" s="1154" t="str">
        <f>VLOOKUP('Cash Balance'!$C681,Table2[#All],MATCH('Cash Balance'!B$3,Acc_Char!$B$1:$I$1,0),0)</f>
        <v>VIETINBANK - TIEN SON</v>
      </c>
      <c r="C681" s="1193" t="s">
        <v>1295</v>
      </c>
      <c r="D681" s="1156" t="str">
        <f>VLOOKUP('Cash Balance'!$C681,Table2[#All],MATCH('Cash Balance'!D$3,Acc_Char!$B$1:$I$1,0),0)</f>
        <v>Saving Account</v>
      </c>
      <c r="E681" s="384" t="str">
        <f>VLOOKUP('Cash Balance'!$C681,Table2[#All],MATCH('Cash Balance'!E$3,Acc_Char!$B$1:$I$1,0),0)</f>
        <v>VND</v>
      </c>
      <c r="F681" s="1084" t="e">
        <f>VLOOKUP(C681,'Cash balance (BS)'!A:C,3,)</f>
        <v>#N/A</v>
      </c>
      <c r="G681" s="1191" t="e">
        <f t="shared" si="64"/>
        <v>#N/A</v>
      </c>
      <c r="H681" s="1318">
        <f>SUMIFS('Cash balance (Prior period)'!F:F,'Cash balance (Prior period)'!C:C,Table11[[#This Row],[ACCOUNT NUMBER]],'Cash balance (Prior period)'!E:E,Table11[[#This Row],[CURRENCY]])</f>
        <v>100000000</v>
      </c>
      <c r="I681" s="1318">
        <f>SUMIFS(Movement!$F$4:$F$2136,Movement!$M$4:$M$2136,"VND",Movement!$C$4:$C$2136,Table11[[#This Row],[ACCOUNT NUMBER]],Movement!$J$4:$J$2136,Table11[[#This Row],[ENTITY]],Movement!$O$4:$O$2136,'Cash Balance'!$A$2)</f>
        <v>0</v>
      </c>
      <c r="J681" s="1318">
        <f>SUMIFS(Movement!$G$4:$G$2136,Movement!$M$4:$M$2136,"VND",Movement!$C$4:$C$2136,Table11[[#This Row],[ACCOUNT NUMBER]],Movement!$J$4:$J$2136,Table11[[#This Row],[ENTITY]],Movement!$O$4:$O$2136,'Cash Balance'!$A$2)</f>
        <v>0</v>
      </c>
      <c r="K681" s="1084">
        <f>Table11[[#This Row],[CASH IN - CREDIT (VND)]]-Table11[[#This Row],[CASH OUT - DEBIT (VND)]]</f>
        <v>0</v>
      </c>
      <c r="L681" s="1095">
        <f t="shared" si="56"/>
        <v>100000000</v>
      </c>
      <c r="M681" s="1184" t="e">
        <f>VLOOKUP(C681,'Cash balance (BS)'!A:D,4,)</f>
        <v>#N/A</v>
      </c>
      <c r="N681" s="1095" t="e">
        <f>Table11[[#This Row],[CLOSING BALANCE (VND)2]]-Table11[[#This Row],[CB_BS (VND)]]</f>
        <v>#N/A</v>
      </c>
      <c r="O681" s="1094">
        <v>0</v>
      </c>
      <c r="P681" s="1095">
        <f t="shared" si="57"/>
        <v>0</v>
      </c>
      <c r="Q681" s="817">
        <f>SUMIFS('Cash balance (Prior period)'!G:G,'Cash balance (Prior period)'!C:C,Table11[[#This Row],[ACCOUNT NUMBER]],'Cash balance (Prior period)'!E:E,Table11[[#This Row],[CURRENCY]])</f>
        <v>0</v>
      </c>
      <c r="R681" s="817">
        <f>SUMIFS(Movement!$F$4:$F$2136,Movement!$M$4:$M$2136,"USD",Movement!$C$4:$C$2136,Table11[[#This Row],[ACCOUNT NUMBER]],Movement!$J$4:$J$2136,Table11[[#This Row],[ENTITY]],Movement!$O$4:$O$2136,'Cash Balance'!$A$2)</f>
        <v>0</v>
      </c>
      <c r="S681" s="817">
        <f>SUMIFS(Movement!$G$4:$G$2136,Movement!$M$4:$M$2136,"USD",Movement!$C$4:$C$2136,Table11[[#This Row],[ACCOUNT NUMBER]],Movement!$J$4:$J$2136,Table11[[#This Row],[ENTITY]],Movement!$O$4:$O$2136,'Cash Balance'!$A$2)</f>
        <v>0</v>
      </c>
      <c r="T681" s="1087">
        <f t="shared" si="58"/>
        <v>0</v>
      </c>
      <c r="U681" s="1089"/>
      <c r="V681" s="817">
        <f>Table11[[#This Row],[CLOSING BALANCE (USD)]]-Table11[[#This Row],[CB_BS (USD)]]</f>
        <v>0</v>
      </c>
      <c r="W681" s="1156" t="str">
        <f>VLOOKUP('Cash Balance'!$C681,Table2[#All],MATCH('Cash Balance'!W$3,Acc_Char!$B$1:$I$1,0),0)</f>
        <v>Subsidiaries</v>
      </c>
      <c r="X681" s="1156" t="str">
        <f>VLOOKUP(IFERROR(MID($Y681,1,FIND("-",$Y681)-2),$Y681),Table3[#All],2,0)</f>
        <v>VTB</v>
      </c>
      <c r="Y681" s="1156" t="str">
        <f>VLOOKUP($B681,Table4[#All],2,0)</f>
        <v>VIETINBANK - TIEN SON</v>
      </c>
      <c r="Z681" s="1151"/>
      <c r="AA681" s="49"/>
    </row>
    <row r="682" spans="1:27">
      <c r="A682" s="1153" t="str">
        <f>VLOOKUP('Cash Balance'!$C682,Table2[#All],MATCH('Cash Balance'!A$3,Acc_Char!$B$1:$I$1,0),0)</f>
        <v>HOLDCO5R</v>
      </c>
      <c r="B682" s="1154" t="str">
        <f>VLOOKUP('Cash Balance'!$C682,Table2[#All],MATCH('Cash Balance'!B$3,Acc_Char!$B$1:$I$1,0),0)</f>
        <v>VIETINBANK - TIEN SON</v>
      </c>
      <c r="C682" s="1193" t="s">
        <v>1296</v>
      </c>
      <c r="D682" s="1156" t="str">
        <f>VLOOKUP('Cash Balance'!$C682,Table2[#All],MATCH('Cash Balance'!D$3,Acc_Char!$B$1:$I$1,0),0)</f>
        <v>Saving Account</v>
      </c>
      <c r="E682" s="384" t="str">
        <f>VLOOKUP('Cash Balance'!$C682,Table2[#All],MATCH('Cash Balance'!E$3,Acc_Char!$B$1:$I$1,0),0)</f>
        <v>VND</v>
      </c>
      <c r="F682" s="1084" t="e">
        <f>VLOOKUP(C682,'Cash balance (BS)'!A:C,3,)</f>
        <v>#N/A</v>
      </c>
      <c r="G682" s="1191" t="e">
        <f t="shared" si="64"/>
        <v>#N/A</v>
      </c>
      <c r="H682" s="1318">
        <f>SUMIFS('Cash balance (Prior period)'!F:F,'Cash balance (Prior period)'!C:C,Table11[[#This Row],[ACCOUNT NUMBER]],'Cash balance (Prior period)'!E:E,Table11[[#This Row],[CURRENCY]])</f>
        <v>300000000</v>
      </c>
      <c r="I682" s="1318">
        <f>SUMIFS(Movement!$F$4:$F$2136,Movement!$M$4:$M$2136,"VND",Movement!$C$4:$C$2136,Table11[[#This Row],[ACCOUNT NUMBER]],Movement!$J$4:$J$2136,Table11[[#This Row],[ENTITY]],Movement!$O$4:$O$2136,'Cash Balance'!$A$2)</f>
        <v>0</v>
      </c>
      <c r="J682" s="1318">
        <f>SUMIFS(Movement!$G$4:$G$2136,Movement!$M$4:$M$2136,"VND",Movement!$C$4:$C$2136,Table11[[#This Row],[ACCOUNT NUMBER]],Movement!$J$4:$J$2136,Table11[[#This Row],[ENTITY]],Movement!$O$4:$O$2136,'Cash Balance'!$A$2)</f>
        <v>0</v>
      </c>
      <c r="K682" s="1084">
        <f>Table11[[#This Row],[CASH IN - CREDIT (VND)]]-Table11[[#This Row],[CASH OUT - DEBIT (VND)]]</f>
        <v>0</v>
      </c>
      <c r="L682" s="1095">
        <f t="shared" si="56"/>
        <v>300000000</v>
      </c>
      <c r="M682" s="1184" t="e">
        <f>VLOOKUP(C682,'Cash balance (BS)'!A:D,4,)</f>
        <v>#N/A</v>
      </c>
      <c r="N682" s="1095" t="e">
        <f>Table11[[#This Row],[CLOSING BALANCE (VND)2]]-Table11[[#This Row],[CB_BS (VND)]]</f>
        <v>#N/A</v>
      </c>
      <c r="O682" s="1094">
        <v>0</v>
      </c>
      <c r="P682" s="1095">
        <f t="shared" si="57"/>
        <v>0</v>
      </c>
      <c r="Q682" s="817">
        <f>SUMIFS('Cash balance (Prior period)'!G:G,'Cash balance (Prior period)'!C:C,Table11[[#This Row],[ACCOUNT NUMBER]],'Cash balance (Prior period)'!E:E,Table11[[#This Row],[CURRENCY]])</f>
        <v>0</v>
      </c>
      <c r="R682" s="817">
        <f>SUMIFS(Movement!$F$4:$F$2136,Movement!$M$4:$M$2136,"USD",Movement!$C$4:$C$2136,Table11[[#This Row],[ACCOUNT NUMBER]],Movement!$J$4:$J$2136,Table11[[#This Row],[ENTITY]],Movement!$O$4:$O$2136,'Cash Balance'!$A$2)</f>
        <v>0</v>
      </c>
      <c r="S682" s="817">
        <f>SUMIFS(Movement!$G$4:$G$2136,Movement!$M$4:$M$2136,"USD",Movement!$C$4:$C$2136,Table11[[#This Row],[ACCOUNT NUMBER]],Movement!$J$4:$J$2136,Table11[[#This Row],[ENTITY]],Movement!$O$4:$O$2136,'Cash Balance'!$A$2)</f>
        <v>0</v>
      </c>
      <c r="T682" s="1087">
        <f t="shared" si="58"/>
        <v>0</v>
      </c>
      <c r="U682" s="1089"/>
      <c r="V682" s="817">
        <f>Table11[[#This Row],[CLOSING BALANCE (USD)]]-Table11[[#This Row],[CB_BS (USD)]]</f>
        <v>0</v>
      </c>
      <c r="W682" s="1156" t="str">
        <f>VLOOKUP('Cash Balance'!$C682,Table2[#All],MATCH('Cash Balance'!W$3,Acc_Char!$B$1:$I$1,0),0)</f>
        <v>Subsidiaries</v>
      </c>
      <c r="X682" s="1156" t="str">
        <f>VLOOKUP(IFERROR(MID($Y682,1,FIND("-",$Y682)-2),$Y682),Table3[#All],2,0)</f>
        <v>VTB</v>
      </c>
      <c r="Y682" s="1156" t="str">
        <f>VLOOKUP($B682,Table4[#All],2,0)</f>
        <v>VIETINBANK - TIEN SON</v>
      </c>
      <c r="Z682" s="1151"/>
      <c r="AA682" s="49"/>
    </row>
    <row r="683" spans="1:27">
      <c r="A683" s="1153" t="str">
        <f>VLOOKUP('Cash Balance'!$C683,Table2[#All],MATCH('Cash Balance'!A$3,Acc_Char!$B$1:$I$1,0),0)</f>
        <v>HOLDCO5R</v>
      </c>
      <c r="B683" s="1154" t="str">
        <f>VLOOKUP('Cash Balance'!$C683,Table2[#All],MATCH('Cash Balance'!B$3,Acc_Char!$B$1:$I$1,0),0)</f>
        <v>UOB - HCM</v>
      </c>
      <c r="C683" s="1193" t="s">
        <v>1297</v>
      </c>
      <c r="D683" s="1156" t="str">
        <f>VLOOKUP('Cash Balance'!$C683,Table2[#All],MATCH('Cash Balance'!D$3,Acc_Char!$B$1:$I$1,0),0)</f>
        <v>Current Account</v>
      </c>
      <c r="E683" s="384" t="str">
        <f>VLOOKUP('Cash Balance'!$C683,Table2[#All],MATCH('Cash Balance'!E$3,Acc_Char!$B$1:$I$1,0),0)</f>
        <v>VND</v>
      </c>
      <c r="F683" s="1084" t="e">
        <f>VLOOKUP(C683,'Cash balance (BS)'!A:C,3,)</f>
        <v>#N/A</v>
      </c>
      <c r="G683" s="1191" t="e">
        <f t="shared" ref="G683" si="65">F683-H683</f>
        <v>#N/A</v>
      </c>
      <c r="H683" s="1318">
        <f>SUMIFS('Cash balance (Prior period)'!F:F,'Cash balance (Prior period)'!C:C,Table11[[#This Row],[ACCOUNT NUMBER]],'Cash balance (Prior period)'!E:E,Table11[[#This Row],[CURRENCY]])</f>
        <v>4945000</v>
      </c>
      <c r="I683" s="1318">
        <f>SUMIFS(Movement!$F$4:$F$2136,Movement!$M$4:$M$2136,"VND",Movement!$C$4:$C$2136,Table11[[#This Row],[ACCOUNT NUMBER]],Movement!$J$4:$J$2136,Table11[[#This Row],[ENTITY]],Movement!$O$4:$O$2136,'Cash Balance'!$A$2)</f>
        <v>0</v>
      </c>
      <c r="J683" s="1318">
        <f>SUMIFS(Movement!$G$4:$G$2136,Movement!$M$4:$M$2136,"VND",Movement!$C$4:$C$2136,Table11[[#This Row],[ACCOUNT NUMBER]],Movement!$J$4:$J$2136,Table11[[#This Row],[ENTITY]],Movement!$O$4:$O$2136,'Cash Balance'!$A$2)</f>
        <v>0</v>
      </c>
      <c r="K683" s="1084">
        <f>Table11[[#This Row],[CASH IN - CREDIT (VND)]]-Table11[[#This Row],[CASH OUT - DEBIT (VND)]]</f>
        <v>0</v>
      </c>
      <c r="L683" s="1095">
        <f t="shared" ref="L683" si="66">H683+I683-J683</f>
        <v>4945000</v>
      </c>
      <c r="M683" s="1184" t="e">
        <f>VLOOKUP(C683,'Cash balance (BS)'!A:D,4,)</f>
        <v>#N/A</v>
      </c>
      <c r="N683" s="1095" t="e">
        <f>Table11[[#This Row],[CLOSING BALANCE (VND)2]]-Table11[[#This Row],[CB_BS (VND)]]</f>
        <v>#N/A</v>
      </c>
      <c r="O683" s="1094">
        <v>0</v>
      </c>
      <c r="P683" s="1095">
        <f t="shared" ref="P683" si="67">O683-Q683</f>
        <v>0</v>
      </c>
      <c r="Q683" s="817">
        <f>SUMIFS('Cash balance (Prior period)'!G:G,'Cash balance (Prior period)'!C:C,Table11[[#This Row],[ACCOUNT NUMBER]],'Cash balance (Prior period)'!E:E,Table11[[#This Row],[CURRENCY]])</f>
        <v>0</v>
      </c>
      <c r="R683" s="817">
        <f>SUMIFS(Movement!$F$4:$F$2136,Movement!$M$4:$M$2136,"USD",Movement!$C$4:$C$2136,Table11[[#This Row],[ACCOUNT NUMBER]],Movement!$J$4:$J$2136,Table11[[#This Row],[ENTITY]],Movement!$O$4:$O$2136,'Cash Balance'!$A$2)</f>
        <v>0</v>
      </c>
      <c r="S683" s="817">
        <f>SUMIFS(Movement!$G$4:$G$2136,Movement!$M$4:$M$2136,"USD",Movement!$C$4:$C$2136,Table11[[#This Row],[ACCOUNT NUMBER]],Movement!$J$4:$J$2136,Table11[[#This Row],[ENTITY]],Movement!$O$4:$O$2136,'Cash Balance'!$A$2)</f>
        <v>0</v>
      </c>
      <c r="T683" s="1087">
        <f t="shared" ref="T683" si="68">Q683+R683-S683</f>
        <v>0</v>
      </c>
      <c r="U683" s="1089"/>
      <c r="V683" s="817">
        <f>Table11[[#This Row],[CLOSING BALANCE (USD)]]-Table11[[#This Row],[CB_BS (USD)]]</f>
        <v>0</v>
      </c>
      <c r="W683" s="1156" t="str">
        <f>VLOOKUP('Cash Balance'!$C683,Table2[#All],MATCH('Cash Balance'!W$3,Acc_Char!$B$1:$I$1,0),0)</f>
        <v>Subsidiaries</v>
      </c>
      <c r="X683" s="1156" t="str">
        <f>VLOOKUP(IFERROR(MID($Y683,1,FIND("-",$Y683)-2),$Y683),Table3[#All],2,0)</f>
        <v>UOB</v>
      </c>
      <c r="Y683" s="1156" t="str">
        <f>VLOOKUP($B683,Table4[#All],2,0)</f>
        <v>UOB</v>
      </c>
      <c r="Z683" s="1151"/>
      <c r="AA683" s="49"/>
    </row>
    <row r="684" spans="1:27">
      <c r="A684" s="1153" t="str">
        <f>VLOOKUP('Cash Balance'!$C684,Table2[#All],MATCH('Cash Balance'!A$3,Acc_Char!$B$1:$I$1,0),0)</f>
        <v>HOLDCO5T</v>
      </c>
      <c r="B684" s="1154" t="str">
        <f>VLOOKUP('Cash Balance'!$C684,Table2[#All],MATCH('Cash Balance'!B$3,Acc_Char!$B$1:$I$1,0),0)</f>
        <v>VIETINBANK - TIEN SON</v>
      </c>
      <c r="C684" s="1193" t="s">
        <v>1298</v>
      </c>
      <c r="D684" s="1156" t="str">
        <f>VLOOKUP('Cash Balance'!$C684,Table2[#All],MATCH('Cash Balance'!D$3,Acc_Char!$B$1:$I$1,0),0)</f>
        <v>Saving Account</v>
      </c>
      <c r="E684" s="384" t="str">
        <f>VLOOKUP('Cash Balance'!$C684,Table2[#All],MATCH('Cash Balance'!E$3,Acc_Char!$B$1:$I$1,0),0)</f>
        <v>VND</v>
      </c>
      <c r="F684" s="1084" t="e">
        <f>VLOOKUP(C684,'Cash balance (BS)'!A:C,3,)</f>
        <v>#N/A</v>
      </c>
      <c r="G684" s="1191" t="e">
        <f t="shared" si="64"/>
        <v>#N/A</v>
      </c>
      <c r="H684" s="1318">
        <f>SUMIFS('Cash balance (Prior period)'!F:F,'Cash balance (Prior period)'!C:C,Table11[[#This Row],[ACCOUNT NUMBER]],'Cash balance (Prior period)'!E:E,Table11[[#This Row],[CURRENCY]])</f>
        <v>100000000</v>
      </c>
      <c r="I684" s="1318">
        <f>SUMIFS(Movement!$F$4:$F$2136,Movement!$M$4:$M$2136,"VND",Movement!$C$4:$C$2136,Table11[[#This Row],[ACCOUNT NUMBER]],Movement!$J$4:$J$2136,Table11[[#This Row],[ENTITY]],Movement!$O$4:$O$2136,'Cash Balance'!$A$2)</f>
        <v>0</v>
      </c>
      <c r="J684" s="1318">
        <f>SUMIFS(Movement!$G$4:$G$2136,Movement!$M$4:$M$2136,"VND",Movement!$C$4:$C$2136,Table11[[#This Row],[ACCOUNT NUMBER]],Movement!$J$4:$J$2136,Table11[[#This Row],[ENTITY]],Movement!$O$4:$O$2136,'Cash Balance'!$A$2)</f>
        <v>0</v>
      </c>
      <c r="K684" s="1084">
        <f>Table11[[#This Row],[CASH IN - CREDIT (VND)]]-Table11[[#This Row],[CASH OUT - DEBIT (VND)]]</f>
        <v>0</v>
      </c>
      <c r="L684" s="1095">
        <f t="shared" si="56"/>
        <v>100000000</v>
      </c>
      <c r="M684" s="1184" t="e">
        <f>VLOOKUP(C684,'Cash balance (BS)'!A:D,4,)</f>
        <v>#N/A</v>
      </c>
      <c r="N684" s="1095" t="e">
        <f>Table11[[#This Row],[CLOSING BALANCE (VND)2]]-Table11[[#This Row],[CB_BS (VND)]]</f>
        <v>#N/A</v>
      </c>
      <c r="O684" s="1094">
        <v>0</v>
      </c>
      <c r="P684" s="1095">
        <f t="shared" si="57"/>
        <v>0</v>
      </c>
      <c r="Q684" s="817">
        <f>SUMIFS('Cash balance (Prior period)'!G:G,'Cash balance (Prior period)'!C:C,Table11[[#This Row],[ACCOUNT NUMBER]],'Cash balance (Prior period)'!E:E,Table11[[#This Row],[CURRENCY]])</f>
        <v>0</v>
      </c>
      <c r="R684" s="817">
        <f>SUMIFS(Movement!$F$4:$F$2136,Movement!$M$4:$M$2136,"USD",Movement!$C$4:$C$2136,Table11[[#This Row],[ACCOUNT NUMBER]],Movement!$J$4:$J$2136,Table11[[#This Row],[ENTITY]],Movement!$O$4:$O$2136,'Cash Balance'!$A$2)</f>
        <v>0</v>
      </c>
      <c r="S684" s="817">
        <f>SUMIFS(Movement!$G$4:$G$2136,Movement!$M$4:$M$2136,"USD",Movement!$C$4:$C$2136,Table11[[#This Row],[ACCOUNT NUMBER]],Movement!$J$4:$J$2136,Table11[[#This Row],[ENTITY]],Movement!$O$4:$O$2136,'Cash Balance'!$A$2)</f>
        <v>0</v>
      </c>
      <c r="T684" s="1087">
        <f t="shared" si="58"/>
        <v>0</v>
      </c>
      <c r="U684" s="1089"/>
      <c r="V684" s="817">
        <f>Table11[[#This Row],[CLOSING BALANCE (USD)]]-Table11[[#This Row],[CB_BS (USD)]]</f>
        <v>0</v>
      </c>
      <c r="W684" s="1156" t="str">
        <f>VLOOKUP('Cash Balance'!$C684,Table2[#All],MATCH('Cash Balance'!W$3,Acc_Char!$B$1:$I$1,0),0)</f>
        <v>Subsidiaries</v>
      </c>
      <c r="X684" s="1156" t="str">
        <f>VLOOKUP(IFERROR(MID($Y684,1,FIND("-",$Y684)-2),$Y684),Table3[#All],2,0)</f>
        <v>VTB</v>
      </c>
      <c r="Y684" s="1156" t="str">
        <f>VLOOKUP($B684,Table4[#All],2,0)</f>
        <v>VIETINBANK - TIEN SON</v>
      </c>
      <c r="Z684" s="1151"/>
      <c r="AA684" s="49"/>
    </row>
    <row r="685" spans="1:27">
      <c r="A685" s="1153" t="str">
        <f>VLOOKUP('Cash Balance'!$C685,Table2[#All],MATCH('Cash Balance'!A$3,Acc_Char!$B$1:$I$1,0),0)</f>
        <v>HOLDCO5U</v>
      </c>
      <c r="B685" s="1154" t="str">
        <f>VLOOKUP('Cash Balance'!$C685,Table2[#All],MATCH('Cash Balance'!B$3,Acc_Char!$B$1:$I$1,0),0)</f>
        <v>VIETINBANK - TIEN SON</v>
      </c>
      <c r="C685" s="1193" t="s">
        <v>1299</v>
      </c>
      <c r="D685" s="1156" t="str">
        <f>VLOOKUP('Cash Balance'!$C685,Table2[#All],MATCH('Cash Balance'!D$3,Acc_Char!$B$1:$I$1,0),0)</f>
        <v>Saving Account</v>
      </c>
      <c r="E685" s="384" t="str">
        <f>VLOOKUP('Cash Balance'!$C685,Table2[#All],MATCH('Cash Balance'!E$3,Acc_Char!$B$1:$I$1,0),0)</f>
        <v>VND</v>
      </c>
      <c r="F685" s="1084" t="e">
        <f>VLOOKUP(C685,'Cash balance (BS)'!A:C,3,)</f>
        <v>#N/A</v>
      </c>
      <c r="G685" s="1191" t="e">
        <f t="shared" si="64"/>
        <v>#N/A</v>
      </c>
      <c r="H685" s="1318">
        <f>SUMIFS('Cash balance (Prior period)'!F:F,'Cash balance (Prior period)'!C:C,Table11[[#This Row],[ACCOUNT NUMBER]],'Cash balance (Prior period)'!E:E,Table11[[#This Row],[CURRENCY]])</f>
        <v>100000000</v>
      </c>
      <c r="I685" s="1318">
        <f>SUMIFS(Movement!$F$4:$F$2136,Movement!$M$4:$M$2136,"VND",Movement!$C$4:$C$2136,Table11[[#This Row],[ACCOUNT NUMBER]],Movement!$J$4:$J$2136,Table11[[#This Row],[ENTITY]],Movement!$O$4:$O$2136,'Cash Balance'!$A$2)</f>
        <v>0</v>
      </c>
      <c r="J685" s="1318">
        <f>SUMIFS(Movement!$G$4:$G$2136,Movement!$M$4:$M$2136,"VND",Movement!$C$4:$C$2136,Table11[[#This Row],[ACCOUNT NUMBER]],Movement!$J$4:$J$2136,Table11[[#This Row],[ENTITY]],Movement!$O$4:$O$2136,'Cash Balance'!$A$2)</f>
        <v>0</v>
      </c>
      <c r="K685" s="1084">
        <f>Table11[[#This Row],[CASH IN - CREDIT (VND)]]-Table11[[#This Row],[CASH OUT - DEBIT (VND)]]</f>
        <v>0</v>
      </c>
      <c r="L685" s="1095">
        <f t="shared" si="56"/>
        <v>100000000</v>
      </c>
      <c r="M685" s="1184" t="e">
        <f>VLOOKUP(C685,'Cash balance (BS)'!A:D,4,)</f>
        <v>#N/A</v>
      </c>
      <c r="N685" s="1095" t="e">
        <f>Table11[[#This Row],[CLOSING BALANCE (VND)2]]-Table11[[#This Row],[CB_BS (VND)]]</f>
        <v>#N/A</v>
      </c>
      <c r="O685" s="1094">
        <v>0</v>
      </c>
      <c r="P685" s="1095">
        <f t="shared" si="57"/>
        <v>0</v>
      </c>
      <c r="Q685" s="817">
        <f>SUMIFS('Cash balance (Prior period)'!G:G,'Cash balance (Prior period)'!C:C,Table11[[#This Row],[ACCOUNT NUMBER]],'Cash balance (Prior period)'!E:E,Table11[[#This Row],[CURRENCY]])</f>
        <v>0</v>
      </c>
      <c r="R685" s="817">
        <f>SUMIFS(Movement!$F$4:$F$2136,Movement!$M$4:$M$2136,"USD",Movement!$C$4:$C$2136,Table11[[#This Row],[ACCOUNT NUMBER]],Movement!$J$4:$J$2136,Table11[[#This Row],[ENTITY]],Movement!$O$4:$O$2136,'Cash Balance'!$A$2)</f>
        <v>0</v>
      </c>
      <c r="S685" s="817">
        <f>SUMIFS(Movement!$G$4:$G$2136,Movement!$M$4:$M$2136,"USD",Movement!$C$4:$C$2136,Table11[[#This Row],[ACCOUNT NUMBER]],Movement!$J$4:$J$2136,Table11[[#This Row],[ENTITY]],Movement!$O$4:$O$2136,'Cash Balance'!$A$2)</f>
        <v>0</v>
      </c>
      <c r="T685" s="1087">
        <f t="shared" si="58"/>
        <v>0</v>
      </c>
      <c r="U685" s="1089"/>
      <c r="V685" s="817">
        <f>Table11[[#This Row],[CLOSING BALANCE (USD)]]-Table11[[#This Row],[CB_BS (USD)]]</f>
        <v>0</v>
      </c>
      <c r="W685" s="1156" t="str">
        <f>VLOOKUP('Cash Balance'!$C685,Table2[#All],MATCH('Cash Balance'!W$3,Acc_Char!$B$1:$I$1,0),0)</f>
        <v>Subsidiaries</v>
      </c>
      <c r="X685" s="1156" t="str">
        <f>VLOOKUP(IFERROR(MID($Y685,1,FIND("-",$Y685)-2),$Y685),Table3[#All],2,0)</f>
        <v>VTB</v>
      </c>
      <c r="Y685" s="1156" t="str">
        <f>VLOOKUP($B685,Table4[#All],2,0)</f>
        <v>VIETINBANK - TIEN SON</v>
      </c>
      <c r="Z685" s="1151"/>
      <c r="AA685" s="49"/>
    </row>
    <row r="686" spans="1:27">
      <c r="A686" s="1153" t="str">
        <f>VLOOKUP('Cash Balance'!$C686,Table2[#All],MATCH('Cash Balance'!A$3,Acc_Char!$B$1:$I$1,0),0)</f>
        <v>IRE CONSULTANCY &amp; MANAGEMENT</v>
      </c>
      <c r="B686" s="1154" t="str">
        <f>VLOOKUP('Cash Balance'!$C686,Table2[#All],MATCH('Cash Balance'!B$3,Acc_Char!$B$1:$I$1,0),0)</f>
        <v>VIETINBANK - TIEN SON</v>
      </c>
      <c r="C686" s="1193" t="s">
        <v>1300</v>
      </c>
      <c r="D686" s="1156" t="str">
        <f>VLOOKUP('Cash Balance'!$C686,Table2[#All],MATCH('Cash Balance'!D$3,Acc_Char!$B$1:$I$1,0),0)</f>
        <v>Saving Account</v>
      </c>
      <c r="E686" s="384" t="str">
        <f>VLOOKUP('Cash Balance'!$C686,Table2[#All],MATCH('Cash Balance'!E$3,Acc_Char!$B$1:$I$1,0),0)</f>
        <v>VND</v>
      </c>
      <c r="F686" s="1084" t="e">
        <f>VLOOKUP(C686,'Cash balance (BS)'!A:C,3,)</f>
        <v>#N/A</v>
      </c>
      <c r="G686" s="1191" t="e">
        <f t="shared" si="64"/>
        <v>#N/A</v>
      </c>
      <c r="H686" s="1318">
        <f>SUMIFS('Cash balance (Prior period)'!F:F,'Cash balance (Prior period)'!C:C,Table11[[#This Row],[ACCOUNT NUMBER]],'Cash balance (Prior period)'!E:E,Table11[[#This Row],[CURRENCY]])</f>
        <v>1500000000</v>
      </c>
      <c r="I686" s="1318">
        <f>SUMIFS(Movement!$F$4:$F$2136,Movement!$M$4:$M$2136,"VND",Movement!$C$4:$C$2136,Table11[[#This Row],[ACCOUNT NUMBER]],Movement!$J$4:$J$2136,Table11[[#This Row],[ENTITY]],Movement!$O$4:$O$2136,'Cash Balance'!$A$2)</f>
        <v>0</v>
      </c>
      <c r="J686" s="1318">
        <f>SUMIFS(Movement!$G$4:$G$2136,Movement!$M$4:$M$2136,"VND",Movement!$C$4:$C$2136,Table11[[#This Row],[ACCOUNT NUMBER]],Movement!$J$4:$J$2136,Table11[[#This Row],[ENTITY]],Movement!$O$4:$O$2136,'Cash Balance'!$A$2)</f>
        <v>0</v>
      </c>
      <c r="K686" s="1084">
        <f>Table11[[#This Row],[CASH IN - CREDIT (VND)]]-Table11[[#This Row],[CASH OUT - DEBIT (VND)]]</f>
        <v>0</v>
      </c>
      <c r="L686" s="1095">
        <f t="shared" si="56"/>
        <v>1500000000</v>
      </c>
      <c r="M686" s="1184" t="e">
        <f>VLOOKUP(C686,'Cash balance (BS)'!A:D,4,)</f>
        <v>#N/A</v>
      </c>
      <c r="N686" s="1095" t="e">
        <f>Table11[[#This Row],[CLOSING BALANCE (VND)2]]-Table11[[#This Row],[CB_BS (VND)]]</f>
        <v>#N/A</v>
      </c>
      <c r="O686" s="1094">
        <v>0</v>
      </c>
      <c r="P686" s="1095">
        <f t="shared" si="57"/>
        <v>0</v>
      </c>
      <c r="Q686" s="817">
        <f>SUMIFS('Cash balance (Prior period)'!G:G,'Cash balance (Prior period)'!C:C,Table11[[#This Row],[ACCOUNT NUMBER]],'Cash balance (Prior period)'!E:E,Table11[[#This Row],[CURRENCY]])</f>
        <v>0</v>
      </c>
      <c r="R686" s="817">
        <f>SUMIFS(Movement!$F$4:$F$2136,Movement!$M$4:$M$2136,"USD",Movement!$C$4:$C$2136,Table11[[#This Row],[ACCOUNT NUMBER]],Movement!$J$4:$J$2136,Table11[[#This Row],[ENTITY]],Movement!$O$4:$O$2136,'Cash Balance'!$A$2)</f>
        <v>0</v>
      </c>
      <c r="S686" s="817">
        <f>SUMIFS(Movement!$G$4:$G$2136,Movement!$M$4:$M$2136,"USD",Movement!$C$4:$C$2136,Table11[[#This Row],[ACCOUNT NUMBER]],Movement!$J$4:$J$2136,Table11[[#This Row],[ENTITY]],Movement!$O$4:$O$2136,'Cash Balance'!$A$2)</f>
        <v>0</v>
      </c>
      <c r="T686" s="1087">
        <f t="shared" si="58"/>
        <v>0</v>
      </c>
      <c r="U686" s="1089"/>
      <c r="V686" s="817">
        <f>Table11[[#This Row],[CLOSING BALANCE (USD)]]-Table11[[#This Row],[CB_BS (USD)]]</f>
        <v>0</v>
      </c>
      <c r="W686" s="1156" t="str">
        <f>VLOOKUP('Cash Balance'!$C686,Table2[#All],MATCH('Cash Balance'!W$3,Acc_Char!$B$1:$I$1,0),0)</f>
        <v>Subsidiaries</v>
      </c>
      <c r="X686" s="1156" t="str">
        <f>VLOOKUP(IFERROR(MID($Y686,1,FIND("-",$Y686)-2),$Y686),Table3[#All],2,0)</f>
        <v>VTB</v>
      </c>
      <c r="Y686" s="1156" t="str">
        <f>VLOOKUP($B686,Table4[#All],2,0)</f>
        <v>VIETINBANK - TIEN SON</v>
      </c>
      <c r="Z686" s="1151"/>
      <c r="AA686" s="49"/>
    </row>
    <row r="687" spans="1:27">
      <c r="A687" s="1153" t="str">
        <f>VLOOKUP('Cash Balance'!$C687,Table2[#All],MATCH('Cash Balance'!A$3,Acc_Char!$B$1:$I$1,0),0)</f>
        <v>SPV5A</v>
      </c>
      <c r="B687" s="1154" t="str">
        <f>VLOOKUP('Cash Balance'!$C687,Table2[#All],MATCH('Cash Balance'!B$3,Acc_Char!$B$1:$I$1,0),0)</f>
        <v>VIETINBANK - TIEN SON</v>
      </c>
      <c r="C687" s="1193" t="s">
        <v>1301</v>
      </c>
      <c r="D687" s="1156" t="str">
        <f>VLOOKUP('Cash Balance'!$C687,Table2[#All],MATCH('Cash Balance'!D$3,Acc_Char!$B$1:$I$1,0),0)</f>
        <v>Saving Account</v>
      </c>
      <c r="E687" s="384" t="str">
        <f>VLOOKUP('Cash Balance'!$C687,Table2[#All],MATCH('Cash Balance'!E$3,Acc_Char!$B$1:$I$1,0),0)</f>
        <v>VND</v>
      </c>
      <c r="F687" s="1084" t="e">
        <f>VLOOKUP(C687,'Cash balance (BS)'!A:C,3,)</f>
        <v>#N/A</v>
      </c>
      <c r="G687" s="1191" t="e">
        <f t="shared" si="64"/>
        <v>#N/A</v>
      </c>
      <c r="H687" s="1318">
        <f>SUMIFS('Cash balance (Prior period)'!F:F,'Cash balance (Prior period)'!C:C,Table11[[#This Row],[ACCOUNT NUMBER]],'Cash balance (Prior period)'!E:E,Table11[[#This Row],[CURRENCY]])</f>
        <v>100000000</v>
      </c>
      <c r="I687" s="1318">
        <f>SUMIFS(Movement!$F$4:$F$2136,Movement!$M$4:$M$2136,"VND",Movement!$C$4:$C$2136,Table11[[#This Row],[ACCOUNT NUMBER]],Movement!$J$4:$J$2136,Table11[[#This Row],[ENTITY]],Movement!$O$4:$O$2136,'Cash Balance'!$A$2)</f>
        <v>0</v>
      </c>
      <c r="J687" s="1318">
        <f>SUMIFS(Movement!$G$4:$G$2136,Movement!$M$4:$M$2136,"VND",Movement!$C$4:$C$2136,Table11[[#This Row],[ACCOUNT NUMBER]],Movement!$J$4:$J$2136,Table11[[#This Row],[ENTITY]],Movement!$O$4:$O$2136,'Cash Balance'!$A$2)</f>
        <v>0</v>
      </c>
      <c r="K687" s="1084">
        <f>Table11[[#This Row],[CASH IN - CREDIT (VND)]]-Table11[[#This Row],[CASH OUT - DEBIT (VND)]]</f>
        <v>0</v>
      </c>
      <c r="L687" s="1095">
        <f t="shared" si="56"/>
        <v>100000000</v>
      </c>
      <c r="M687" s="1184" t="e">
        <f>VLOOKUP(C687,'Cash balance (BS)'!A:D,4,)</f>
        <v>#N/A</v>
      </c>
      <c r="N687" s="1095" t="e">
        <f>Table11[[#This Row],[CLOSING BALANCE (VND)2]]-Table11[[#This Row],[CB_BS (VND)]]</f>
        <v>#N/A</v>
      </c>
      <c r="O687" s="1094">
        <v>0</v>
      </c>
      <c r="P687" s="1095">
        <f t="shared" si="57"/>
        <v>0</v>
      </c>
      <c r="Q687" s="817">
        <f>SUMIFS('Cash balance (Prior period)'!G:G,'Cash balance (Prior period)'!C:C,Table11[[#This Row],[ACCOUNT NUMBER]],'Cash balance (Prior period)'!E:E,Table11[[#This Row],[CURRENCY]])</f>
        <v>0</v>
      </c>
      <c r="R687" s="817">
        <f>SUMIFS(Movement!$F$4:$F$2136,Movement!$M$4:$M$2136,"USD",Movement!$C$4:$C$2136,Table11[[#This Row],[ACCOUNT NUMBER]],Movement!$J$4:$J$2136,Table11[[#This Row],[ENTITY]],Movement!$O$4:$O$2136,'Cash Balance'!$A$2)</f>
        <v>0</v>
      </c>
      <c r="S687" s="817">
        <f>SUMIFS(Movement!$G$4:$G$2136,Movement!$M$4:$M$2136,"USD",Movement!$C$4:$C$2136,Table11[[#This Row],[ACCOUNT NUMBER]],Movement!$J$4:$J$2136,Table11[[#This Row],[ENTITY]],Movement!$O$4:$O$2136,'Cash Balance'!$A$2)</f>
        <v>0</v>
      </c>
      <c r="T687" s="1087">
        <f t="shared" si="58"/>
        <v>0</v>
      </c>
      <c r="U687" s="1089"/>
      <c r="V687" s="817">
        <f>Table11[[#This Row],[CLOSING BALANCE (USD)]]-Table11[[#This Row],[CB_BS (USD)]]</f>
        <v>0</v>
      </c>
      <c r="W687" s="1156" t="str">
        <f>VLOOKUP('Cash Balance'!$C687,Table2[#All],MATCH('Cash Balance'!W$3,Acc_Char!$B$1:$I$1,0),0)</f>
        <v>Subsidiaries</v>
      </c>
      <c r="X687" s="1156" t="str">
        <f>VLOOKUP(IFERROR(MID($Y687,1,FIND("-",$Y687)-2),$Y687),Table3[#All],2,0)</f>
        <v>VTB</v>
      </c>
      <c r="Y687" s="1156" t="str">
        <f>VLOOKUP($B687,Table4[#All],2,0)</f>
        <v>VIETINBANK - TIEN SON</v>
      </c>
      <c r="Z687" s="1151"/>
      <c r="AA687" s="49"/>
    </row>
    <row r="688" spans="1:27">
      <c r="A688" s="1153" t="str">
        <f>VLOOKUP('Cash Balance'!$C688,Table2[#All],MATCH('Cash Balance'!A$3,Acc_Char!$B$1:$I$1,0),0)</f>
        <v>WPJV 1</v>
      </c>
      <c r="B688" s="1154" t="str">
        <f>VLOOKUP('Cash Balance'!$C688,Table2[#All],MATCH('Cash Balance'!B$3,Acc_Char!$B$1:$I$1,0),0)</f>
        <v>VIETINBANK - TIEN SON</v>
      </c>
      <c r="C688" s="1193" t="s">
        <v>1302</v>
      </c>
      <c r="D688" s="1156" t="str">
        <f>VLOOKUP('Cash Balance'!$C688,Table2[#All],MATCH('Cash Balance'!D$3,Acc_Char!$B$1:$I$1,0),0)</f>
        <v>Saving Account</v>
      </c>
      <c r="E688" s="384" t="str">
        <f>VLOOKUP('Cash Balance'!$C688,Table2[#All],MATCH('Cash Balance'!E$3,Acc_Char!$B$1:$I$1,0),0)</f>
        <v>VND</v>
      </c>
      <c r="F688" s="1084" t="e">
        <f>VLOOKUP(C688,'Cash balance (BS)'!A:C,3,)</f>
        <v>#N/A</v>
      </c>
      <c r="G688" s="1191" t="e">
        <f t="shared" si="64"/>
        <v>#N/A</v>
      </c>
      <c r="H688" s="1318">
        <f>SUMIFS('Cash balance (Prior period)'!F:F,'Cash balance (Prior period)'!C:C,Table11[[#This Row],[ACCOUNT NUMBER]],'Cash balance (Prior period)'!E:E,Table11[[#This Row],[CURRENCY]])</f>
        <v>300000000</v>
      </c>
      <c r="I688" s="1318">
        <f>SUMIFS(Movement!$F$4:$F$2136,Movement!$M$4:$M$2136,"VND",Movement!$C$4:$C$2136,Table11[[#This Row],[ACCOUNT NUMBER]],Movement!$J$4:$J$2136,Table11[[#This Row],[ENTITY]],Movement!$O$4:$O$2136,'Cash Balance'!$A$2)</f>
        <v>0</v>
      </c>
      <c r="J688" s="1318">
        <f>SUMIFS(Movement!$G$4:$G$2136,Movement!$M$4:$M$2136,"VND",Movement!$C$4:$C$2136,Table11[[#This Row],[ACCOUNT NUMBER]],Movement!$J$4:$J$2136,Table11[[#This Row],[ENTITY]],Movement!$O$4:$O$2136,'Cash Balance'!$A$2)</f>
        <v>0</v>
      </c>
      <c r="K688" s="1084">
        <f>Table11[[#This Row],[CASH IN - CREDIT (VND)]]-Table11[[#This Row],[CASH OUT - DEBIT (VND)]]</f>
        <v>0</v>
      </c>
      <c r="L688" s="1095">
        <f t="shared" si="56"/>
        <v>300000000</v>
      </c>
      <c r="M688" s="1184" t="e">
        <f>VLOOKUP(C688,'Cash balance (BS)'!A:D,4,)</f>
        <v>#N/A</v>
      </c>
      <c r="N688" s="1095" t="e">
        <f>Table11[[#This Row],[CLOSING BALANCE (VND)2]]-Table11[[#This Row],[CB_BS (VND)]]</f>
        <v>#N/A</v>
      </c>
      <c r="O688" s="1094">
        <v>0</v>
      </c>
      <c r="P688" s="1095">
        <f t="shared" si="57"/>
        <v>0</v>
      </c>
      <c r="Q688" s="817">
        <f>SUMIFS('Cash balance (Prior period)'!G:G,'Cash balance (Prior period)'!C:C,Table11[[#This Row],[ACCOUNT NUMBER]],'Cash balance (Prior period)'!E:E,Table11[[#This Row],[CURRENCY]])</f>
        <v>0</v>
      </c>
      <c r="R688" s="817">
        <f>SUMIFS(Movement!$F$4:$F$2136,Movement!$M$4:$M$2136,"USD",Movement!$C$4:$C$2136,Table11[[#This Row],[ACCOUNT NUMBER]],Movement!$J$4:$J$2136,Table11[[#This Row],[ENTITY]],Movement!$O$4:$O$2136,'Cash Balance'!$A$2)</f>
        <v>0</v>
      </c>
      <c r="S688" s="817">
        <f>SUMIFS(Movement!$G$4:$G$2136,Movement!$M$4:$M$2136,"USD",Movement!$C$4:$C$2136,Table11[[#This Row],[ACCOUNT NUMBER]],Movement!$J$4:$J$2136,Table11[[#This Row],[ENTITY]],Movement!$O$4:$O$2136,'Cash Balance'!$A$2)</f>
        <v>0</v>
      </c>
      <c r="T688" s="1087">
        <f t="shared" si="58"/>
        <v>0</v>
      </c>
      <c r="U688" s="1089"/>
      <c r="V688" s="817">
        <f>Table11[[#This Row],[CLOSING BALANCE (USD)]]-Table11[[#This Row],[CB_BS (USD)]]</f>
        <v>0</v>
      </c>
      <c r="W688" s="1156" t="str">
        <f>VLOOKUP('Cash Balance'!$C688,Table2[#All],MATCH('Cash Balance'!W$3,Acc_Char!$B$1:$I$1,0),0)</f>
        <v>Subsidiaries</v>
      </c>
      <c r="X688" s="1156" t="str">
        <f>VLOOKUP(IFERROR(MID($Y688,1,FIND("-",$Y688)-2),$Y688),Table3[#All],2,0)</f>
        <v>VTB</v>
      </c>
      <c r="Y688" s="1156" t="str">
        <f>VLOOKUP($B688,Table4[#All],2,0)</f>
        <v>VIETINBANK - TIEN SON</v>
      </c>
      <c r="Z688" s="1151"/>
      <c r="AA688" s="49"/>
    </row>
    <row r="689" spans="1:27">
      <c r="A689" s="1153" t="str">
        <f>VLOOKUP('Cash Balance'!$C689,Table2[#All],MATCH('Cash Balance'!A$3,Acc_Char!$B$1:$I$1,0),0)</f>
        <v>WPJV 2</v>
      </c>
      <c r="B689" s="1154" t="str">
        <f>VLOOKUP('Cash Balance'!$C689,Table2[#All],MATCH('Cash Balance'!B$3,Acc_Char!$B$1:$I$1,0),0)</f>
        <v>VIETINBANK - TIEN SON</v>
      </c>
      <c r="C689" s="1193" t="s">
        <v>1303</v>
      </c>
      <c r="D689" s="1156" t="str">
        <f>VLOOKUP('Cash Balance'!$C689,Table2[#All],MATCH('Cash Balance'!D$3,Acc_Char!$B$1:$I$1,0),0)</f>
        <v>Saving Account</v>
      </c>
      <c r="E689" s="384" t="str">
        <f>VLOOKUP('Cash Balance'!$C689,Table2[#All],MATCH('Cash Balance'!E$3,Acc_Char!$B$1:$I$1,0),0)</f>
        <v>VND</v>
      </c>
      <c r="F689" s="1084" t="e">
        <f>VLOOKUP(C689,'Cash balance (BS)'!A:C,3,)</f>
        <v>#N/A</v>
      </c>
      <c r="G689" s="1191" t="e">
        <f t="shared" si="64"/>
        <v>#N/A</v>
      </c>
      <c r="H689" s="1318">
        <f>SUMIFS('Cash balance (Prior period)'!F:F,'Cash balance (Prior period)'!C:C,Table11[[#This Row],[ACCOUNT NUMBER]],'Cash balance (Prior period)'!E:E,Table11[[#This Row],[CURRENCY]])</f>
        <v>100000000</v>
      </c>
      <c r="I689" s="1318">
        <f>SUMIFS(Movement!$F$4:$F$2136,Movement!$M$4:$M$2136,"VND",Movement!$C$4:$C$2136,Table11[[#This Row],[ACCOUNT NUMBER]],Movement!$J$4:$J$2136,Table11[[#This Row],[ENTITY]],Movement!$O$4:$O$2136,'Cash Balance'!$A$2)</f>
        <v>0</v>
      </c>
      <c r="J689" s="1318">
        <f>SUMIFS(Movement!$G$4:$G$2136,Movement!$M$4:$M$2136,"VND",Movement!$C$4:$C$2136,Table11[[#This Row],[ACCOUNT NUMBER]],Movement!$J$4:$J$2136,Table11[[#This Row],[ENTITY]],Movement!$O$4:$O$2136,'Cash Balance'!$A$2)</f>
        <v>0</v>
      </c>
      <c r="K689" s="1084">
        <f>Table11[[#This Row],[CASH IN - CREDIT (VND)]]-Table11[[#This Row],[CASH OUT - DEBIT (VND)]]</f>
        <v>0</v>
      </c>
      <c r="L689" s="1095">
        <f t="shared" si="56"/>
        <v>100000000</v>
      </c>
      <c r="M689" s="1184" t="e">
        <f>VLOOKUP(C689,'Cash balance (BS)'!A:D,4,)</f>
        <v>#N/A</v>
      </c>
      <c r="N689" s="1095" t="e">
        <f>Table11[[#This Row],[CLOSING BALANCE (VND)2]]-Table11[[#This Row],[CB_BS (VND)]]</f>
        <v>#N/A</v>
      </c>
      <c r="O689" s="1094">
        <v>0</v>
      </c>
      <c r="P689" s="1095">
        <f t="shared" si="57"/>
        <v>0</v>
      </c>
      <c r="Q689" s="817">
        <f>SUMIFS('Cash balance (Prior period)'!G:G,'Cash balance (Prior period)'!C:C,Table11[[#This Row],[ACCOUNT NUMBER]],'Cash balance (Prior period)'!E:E,Table11[[#This Row],[CURRENCY]])</f>
        <v>0</v>
      </c>
      <c r="R689" s="817">
        <f>SUMIFS(Movement!$F$4:$F$2136,Movement!$M$4:$M$2136,"USD",Movement!$C$4:$C$2136,Table11[[#This Row],[ACCOUNT NUMBER]],Movement!$J$4:$J$2136,Table11[[#This Row],[ENTITY]],Movement!$O$4:$O$2136,'Cash Balance'!$A$2)</f>
        <v>0</v>
      </c>
      <c r="S689" s="817">
        <f>SUMIFS(Movement!$G$4:$G$2136,Movement!$M$4:$M$2136,"USD",Movement!$C$4:$C$2136,Table11[[#This Row],[ACCOUNT NUMBER]],Movement!$J$4:$J$2136,Table11[[#This Row],[ENTITY]],Movement!$O$4:$O$2136,'Cash Balance'!$A$2)</f>
        <v>0</v>
      </c>
      <c r="T689" s="1087">
        <f t="shared" si="58"/>
        <v>0</v>
      </c>
      <c r="U689" s="1089"/>
      <c r="V689" s="817">
        <f>Table11[[#This Row],[CLOSING BALANCE (USD)]]-Table11[[#This Row],[CB_BS (USD)]]</f>
        <v>0</v>
      </c>
      <c r="W689" s="1156" t="str">
        <f>VLOOKUP('Cash Balance'!$C689,Table2[#All],MATCH('Cash Balance'!W$3,Acc_Char!$B$1:$I$1,0),0)</f>
        <v>Subsidiaries</v>
      </c>
      <c r="X689" s="1156" t="str">
        <f>VLOOKUP(IFERROR(MID($Y689,1,FIND("-",$Y689)-2),$Y689),Table3[#All],2,0)</f>
        <v>VTB</v>
      </c>
      <c r="Y689" s="1156" t="str">
        <f>VLOOKUP($B689,Table4[#All],2,0)</f>
        <v>VIETINBANK - TIEN SON</v>
      </c>
      <c r="Z689" s="1151"/>
      <c r="AA689" s="49"/>
    </row>
    <row r="690" spans="1:27">
      <c r="A690" s="1153" t="str">
        <f>VLOOKUP('Cash Balance'!$C690,Table2[#All],MATCH('Cash Balance'!A$3,Acc_Char!$B$1:$I$1,0),0)</f>
        <v>PHUOC LOI</v>
      </c>
      <c r="B690" s="1154" t="str">
        <f>VLOOKUP('Cash Balance'!$C690,Table2[#All],MATCH('Cash Balance'!B$3,Acc_Char!$B$1:$I$1,0),0)</f>
        <v>VIETINBANK - TIEN SON</v>
      </c>
      <c r="C690" s="1193" t="s">
        <v>1304</v>
      </c>
      <c r="D690" s="1156" t="str">
        <f>VLOOKUP('Cash Balance'!$C690,Table2[#All],MATCH('Cash Balance'!D$3,Acc_Char!$B$1:$I$1,0),0)</f>
        <v>Saving Account</v>
      </c>
      <c r="E690" s="384" t="str">
        <f>VLOOKUP('Cash Balance'!$C690,Table2[#All],MATCH('Cash Balance'!E$3,Acc_Char!$B$1:$I$1,0),0)</f>
        <v>VND</v>
      </c>
      <c r="F690" s="1084" t="e">
        <f>VLOOKUP(C690,'Cash balance (BS)'!A:C,3,)</f>
        <v>#N/A</v>
      </c>
      <c r="G690" s="1191" t="e">
        <f t="shared" si="64"/>
        <v>#N/A</v>
      </c>
      <c r="H690" s="1318">
        <f>SUMIFS('Cash balance (Prior period)'!F:F,'Cash balance (Prior period)'!C:C,Table11[[#This Row],[ACCOUNT NUMBER]],'Cash balance (Prior period)'!E:E,Table11[[#This Row],[CURRENCY]])</f>
        <v>100000000</v>
      </c>
      <c r="I690" s="1318">
        <f>SUMIFS(Movement!$F$4:$F$2136,Movement!$M$4:$M$2136,"VND",Movement!$C$4:$C$2136,Table11[[#This Row],[ACCOUNT NUMBER]],Movement!$J$4:$J$2136,Table11[[#This Row],[ENTITY]],Movement!$O$4:$O$2136,'Cash Balance'!$A$2)</f>
        <v>0</v>
      </c>
      <c r="J690" s="1318">
        <f>SUMIFS(Movement!$G$4:$G$2136,Movement!$M$4:$M$2136,"VND",Movement!$C$4:$C$2136,Table11[[#This Row],[ACCOUNT NUMBER]],Movement!$J$4:$J$2136,Table11[[#This Row],[ENTITY]],Movement!$O$4:$O$2136,'Cash Balance'!$A$2)</f>
        <v>0</v>
      </c>
      <c r="K690" s="1084">
        <f>Table11[[#This Row],[CASH IN - CREDIT (VND)]]-Table11[[#This Row],[CASH OUT - DEBIT (VND)]]</f>
        <v>0</v>
      </c>
      <c r="L690" s="1095">
        <f t="shared" si="56"/>
        <v>100000000</v>
      </c>
      <c r="M690" s="1184" t="e">
        <f>VLOOKUP(C690,'Cash balance (BS)'!A:D,4,)</f>
        <v>#N/A</v>
      </c>
      <c r="N690" s="1095" t="e">
        <f>Table11[[#This Row],[CLOSING BALANCE (VND)2]]-Table11[[#This Row],[CB_BS (VND)]]</f>
        <v>#N/A</v>
      </c>
      <c r="O690" s="1094">
        <v>0</v>
      </c>
      <c r="P690" s="1095">
        <f t="shared" si="57"/>
        <v>0</v>
      </c>
      <c r="Q690" s="817">
        <f>SUMIFS('Cash balance (Prior period)'!G:G,'Cash balance (Prior period)'!C:C,Table11[[#This Row],[ACCOUNT NUMBER]],'Cash balance (Prior period)'!E:E,Table11[[#This Row],[CURRENCY]])</f>
        <v>0</v>
      </c>
      <c r="R690" s="817">
        <f>SUMIFS(Movement!$F$4:$F$2136,Movement!$M$4:$M$2136,"USD",Movement!$C$4:$C$2136,Table11[[#This Row],[ACCOUNT NUMBER]],Movement!$J$4:$J$2136,Table11[[#This Row],[ENTITY]],Movement!$O$4:$O$2136,'Cash Balance'!$A$2)</f>
        <v>0</v>
      </c>
      <c r="S690" s="817">
        <f>SUMIFS(Movement!$G$4:$G$2136,Movement!$M$4:$M$2136,"USD",Movement!$C$4:$C$2136,Table11[[#This Row],[ACCOUNT NUMBER]],Movement!$J$4:$J$2136,Table11[[#This Row],[ENTITY]],Movement!$O$4:$O$2136,'Cash Balance'!$A$2)</f>
        <v>0</v>
      </c>
      <c r="T690" s="1087">
        <f t="shared" si="58"/>
        <v>0</v>
      </c>
      <c r="U690" s="1089"/>
      <c r="V690" s="817">
        <f>Table11[[#This Row],[CLOSING BALANCE (USD)]]-Table11[[#This Row],[CB_BS (USD)]]</f>
        <v>0</v>
      </c>
      <c r="W690" s="1156" t="str">
        <f>VLOOKUP('Cash Balance'!$C690,Table2[#All],MATCH('Cash Balance'!W$3,Acc_Char!$B$1:$I$1,0),0)</f>
        <v>Subsidiaries</v>
      </c>
      <c r="X690" s="1156" t="str">
        <f>VLOOKUP(IFERROR(MID($Y690,1,FIND("-",$Y690)-2),$Y690),Table3[#All],2,0)</f>
        <v>VTB</v>
      </c>
      <c r="Y690" s="1156" t="str">
        <f>VLOOKUP($B690,Table4[#All],2,0)</f>
        <v>VIETINBANK - TIEN SON</v>
      </c>
      <c r="Z690" s="1151"/>
      <c r="AA690" s="49"/>
    </row>
    <row r="691" spans="1:27">
      <c r="A691" s="1153" t="str">
        <f>VLOOKUP('Cash Balance'!$C691,Table2[#All],MATCH('Cash Balance'!A$3,Acc_Char!$B$1:$I$1,0),0)</f>
        <v>PHUOC LOI</v>
      </c>
      <c r="B691" s="1154" t="str">
        <f>VLOOKUP('Cash Balance'!$C691,Table2[#All],MATCH('Cash Balance'!B$3,Acc_Char!$B$1:$I$1,0),0)</f>
        <v>UOB - HCM</v>
      </c>
      <c r="C691" s="1204" t="s">
        <v>1305</v>
      </c>
      <c r="D691" s="1156" t="str">
        <f>VLOOKUP('Cash Balance'!$C691,Table2[#All],MATCH('Cash Balance'!D$3,Acc_Char!$B$1:$I$1,0),0)</f>
        <v>Current Account</v>
      </c>
      <c r="E691" s="384" t="str">
        <f>VLOOKUP('Cash Balance'!$C691,Table2[#All],MATCH('Cash Balance'!E$3,Acc_Char!$B$1:$I$1,0),0)</f>
        <v>VND</v>
      </c>
      <c r="F691" s="1084" t="e">
        <f>VLOOKUP(C691,'Cash balance (BS)'!A:C,3,)</f>
        <v>#N/A</v>
      </c>
      <c r="G691" s="1191" t="e">
        <f t="shared" ref="G691" si="69">F691-H691</f>
        <v>#N/A</v>
      </c>
      <c r="H691" s="1318">
        <f>SUMIFS('Cash balance (Prior period)'!F:F,'Cash balance (Prior period)'!C:C,Table11[[#This Row],[ACCOUNT NUMBER]],'Cash balance (Prior period)'!E:E,Table11[[#This Row],[CURRENCY]])</f>
        <v>0</v>
      </c>
      <c r="I691" s="1318">
        <f>SUMIFS(Movement!$F$4:$F$2136,Movement!$M$4:$M$2136,"VND",Movement!$C$4:$C$2136,Table11[[#This Row],[ACCOUNT NUMBER]],Movement!$J$4:$J$2136,Table11[[#This Row],[ENTITY]],Movement!$O$4:$O$2136,'Cash Balance'!$A$2)</f>
        <v>0</v>
      </c>
      <c r="J691" s="1318">
        <f>SUMIFS(Movement!$G$4:$G$2136,Movement!$M$4:$M$2136,"VND",Movement!$C$4:$C$2136,Table11[[#This Row],[ACCOUNT NUMBER]],Movement!$J$4:$J$2136,Table11[[#This Row],[ENTITY]],Movement!$O$4:$O$2136,'Cash Balance'!$A$2)</f>
        <v>0</v>
      </c>
      <c r="K691" s="1084">
        <f>Table11[[#This Row],[CASH IN - CREDIT (VND)]]-Table11[[#This Row],[CASH OUT - DEBIT (VND)]]</f>
        <v>0</v>
      </c>
      <c r="L691" s="1095">
        <f t="shared" ref="L691" si="70">H691+I691-J691</f>
        <v>0</v>
      </c>
      <c r="M691" s="1184" t="e">
        <f>VLOOKUP(C691,'Cash balance (BS)'!A:D,4,)</f>
        <v>#N/A</v>
      </c>
      <c r="N691" s="1095" t="e">
        <f>Table11[[#This Row],[CLOSING BALANCE (VND)2]]-Table11[[#This Row],[CB_BS (VND)]]</f>
        <v>#N/A</v>
      </c>
      <c r="O691" s="1094">
        <v>0</v>
      </c>
      <c r="P691" s="1095">
        <f t="shared" ref="P691" si="71">O691-Q691</f>
        <v>0</v>
      </c>
      <c r="Q691" s="817">
        <f>SUMIFS('Cash balance (Prior period)'!G:G,'Cash balance (Prior period)'!C:C,Table11[[#This Row],[ACCOUNT NUMBER]],'Cash balance (Prior period)'!E:E,Table11[[#This Row],[CURRENCY]])</f>
        <v>0</v>
      </c>
      <c r="R691" s="817">
        <f>SUMIFS(Movement!$F$4:$F$2136,Movement!$M$4:$M$2136,"USD",Movement!$C$4:$C$2136,Table11[[#This Row],[ACCOUNT NUMBER]],Movement!$J$4:$J$2136,Table11[[#This Row],[ENTITY]],Movement!$O$4:$O$2136,'Cash Balance'!$A$2)</f>
        <v>0</v>
      </c>
      <c r="S691" s="817">
        <f>SUMIFS(Movement!$G$4:$G$2136,Movement!$M$4:$M$2136,"USD",Movement!$C$4:$C$2136,Table11[[#This Row],[ACCOUNT NUMBER]],Movement!$J$4:$J$2136,Table11[[#This Row],[ENTITY]],Movement!$O$4:$O$2136,'Cash Balance'!$A$2)</f>
        <v>0</v>
      </c>
      <c r="T691" s="1087">
        <f t="shared" ref="T691" si="72">Q691+R691-S691</f>
        <v>0</v>
      </c>
      <c r="U691" s="1089"/>
      <c r="V691" s="817">
        <f>Table11[[#This Row],[CLOSING BALANCE (USD)]]-Table11[[#This Row],[CB_BS (USD)]]</f>
        <v>0</v>
      </c>
      <c r="W691" s="1156" t="str">
        <f>VLOOKUP('Cash Balance'!$C691,Table2[#All],MATCH('Cash Balance'!W$3,Acc_Char!$B$1:$I$1,0),0)</f>
        <v>Subsidiaries</v>
      </c>
      <c r="X691" s="1156" t="str">
        <f>VLOOKUP(IFERROR(MID($Y691,1,FIND("-",$Y691)-2),$Y691),Table3[#All],2,0)</f>
        <v>UOB</v>
      </c>
      <c r="Y691" s="1156" t="str">
        <f>VLOOKUP($B691,Table4[#All],2,0)</f>
        <v>UOB</v>
      </c>
      <c r="Z691" s="1151"/>
      <c r="AA691" s="49"/>
    </row>
    <row r="692" spans="1:27">
      <c r="A692" s="1153" t="str">
        <f>VLOOKUP('Cash Balance'!$C692,Table2[#All],MATCH('Cash Balance'!A$3,Acc_Char!$B$1:$I$1,0),0)</f>
        <v>SPV4D</v>
      </c>
      <c r="B692" s="1154" t="str">
        <f>VLOOKUP('Cash Balance'!$C692,Table2[#All],MATCH('Cash Balance'!B$3,Acc_Char!$B$1:$I$1,0),0)</f>
        <v>VIETINBANK - TIEN SON</v>
      </c>
      <c r="C692" s="1193" t="s">
        <v>1306</v>
      </c>
      <c r="D692" s="1156" t="str">
        <f>VLOOKUP('Cash Balance'!$C692,Table2[#All],MATCH('Cash Balance'!D$3,Acc_Char!$B$1:$I$1,0),0)</f>
        <v>Saving Account</v>
      </c>
      <c r="E692" s="384" t="str">
        <f>VLOOKUP('Cash Balance'!$C692,Table2[#All],MATCH('Cash Balance'!E$3,Acc_Char!$B$1:$I$1,0),0)</f>
        <v>VND</v>
      </c>
      <c r="F692" s="1084" t="e">
        <f>VLOOKUP(C692,'Cash balance (BS)'!A:C,3,)</f>
        <v>#N/A</v>
      </c>
      <c r="G692" s="1191" t="e">
        <f t="shared" si="64"/>
        <v>#N/A</v>
      </c>
      <c r="H692" s="1318">
        <f>SUMIFS('Cash balance (Prior period)'!F:F,'Cash balance (Prior period)'!C:C,Table11[[#This Row],[ACCOUNT NUMBER]],'Cash balance (Prior period)'!E:E,Table11[[#This Row],[CURRENCY]])</f>
        <v>780000000</v>
      </c>
      <c r="I692" s="1318">
        <f>SUMIFS(Movement!$F$4:$F$2136,Movement!$M$4:$M$2136,"VND",Movement!$C$4:$C$2136,Table11[[#This Row],[ACCOUNT NUMBER]],Movement!$J$4:$J$2136,Table11[[#This Row],[ENTITY]],Movement!$O$4:$O$2136,'Cash Balance'!$A$2)</f>
        <v>0</v>
      </c>
      <c r="J692" s="1318">
        <f>SUMIFS(Movement!$G$4:$G$2136,Movement!$M$4:$M$2136,"VND",Movement!$C$4:$C$2136,Table11[[#This Row],[ACCOUNT NUMBER]],Movement!$J$4:$J$2136,Table11[[#This Row],[ENTITY]],Movement!$O$4:$O$2136,'Cash Balance'!$A$2)</f>
        <v>0</v>
      </c>
      <c r="K692" s="1084">
        <f>Table11[[#This Row],[CASH IN - CREDIT (VND)]]-Table11[[#This Row],[CASH OUT - DEBIT (VND)]]</f>
        <v>0</v>
      </c>
      <c r="L692" s="1095">
        <f t="shared" si="56"/>
        <v>780000000</v>
      </c>
      <c r="M692" s="1184" t="e">
        <f>VLOOKUP(C692,'Cash balance (BS)'!A:D,4,)</f>
        <v>#N/A</v>
      </c>
      <c r="N692" s="1095" t="e">
        <f>Table11[[#This Row],[CLOSING BALANCE (VND)2]]-Table11[[#This Row],[CB_BS (VND)]]</f>
        <v>#N/A</v>
      </c>
      <c r="O692" s="1094">
        <v>0</v>
      </c>
      <c r="P692" s="1095">
        <f t="shared" si="57"/>
        <v>0</v>
      </c>
      <c r="Q692" s="817">
        <f>SUMIFS('Cash balance (Prior period)'!G:G,'Cash balance (Prior period)'!C:C,Table11[[#This Row],[ACCOUNT NUMBER]],'Cash balance (Prior period)'!E:E,Table11[[#This Row],[CURRENCY]])</f>
        <v>0</v>
      </c>
      <c r="R692" s="817">
        <f>SUMIFS(Movement!$F$4:$F$2136,Movement!$M$4:$M$2136,"USD",Movement!$C$4:$C$2136,Table11[[#This Row],[ACCOUNT NUMBER]],Movement!$J$4:$J$2136,Table11[[#This Row],[ENTITY]],Movement!$O$4:$O$2136,'Cash Balance'!$A$2)</f>
        <v>0</v>
      </c>
      <c r="S692" s="817">
        <f>SUMIFS(Movement!$G$4:$G$2136,Movement!$M$4:$M$2136,"USD",Movement!$C$4:$C$2136,Table11[[#This Row],[ACCOUNT NUMBER]],Movement!$J$4:$J$2136,Table11[[#This Row],[ENTITY]],Movement!$O$4:$O$2136,'Cash Balance'!$A$2)</f>
        <v>0</v>
      </c>
      <c r="T692" s="1087">
        <f t="shared" si="58"/>
        <v>0</v>
      </c>
      <c r="U692" s="1089"/>
      <c r="V692" s="817">
        <f>Table11[[#This Row],[CLOSING BALANCE (USD)]]-Table11[[#This Row],[CB_BS (USD)]]</f>
        <v>0</v>
      </c>
      <c r="W692" s="1156" t="str">
        <f>VLOOKUP('Cash Balance'!$C692,Table2[#All],MATCH('Cash Balance'!W$3,Acc_Char!$B$1:$I$1,0),0)</f>
        <v>Subsidiaries</v>
      </c>
      <c r="X692" s="1156" t="str">
        <f>VLOOKUP(IFERROR(MID($Y692,1,FIND("-",$Y692)-2),$Y692),Table3[#All],2,0)</f>
        <v>VTB</v>
      </c>
      <c r="Y692" s="1156" t="str">
        <f>VLOOKUP($B692,Table4[#All],2,0)</f>
        <v>VIETINBANK - TIEN SON</v>
      </c>
      <c r="Z692" s="1151"/>
      <c r="AA692" s="49"/>
    </row>
    <row r="693" spans="1:27">
      <c r="A693" s="1153" t="str">
        <f>VLOOKUP('Cash Balance'!$C693,Table2[#All],MATCH('Cash Balance'!A$3,Acc_Char!$B$1:$I$1,0),0)</f>
        <v>SPV4E</v>
      </c>
      <c r="B693" s="1154" t="str">
        <f>VLOOKUP('Cash Balance'!$C693,Table2[#All],MATCH('Cash Balance'!B$3,Acc_Char!$B$1:$I$1,0),0)</f>
        <v>VIETINBANK - TIEN SON</v>
      </c>
      <c r="C693" s="1193" t="s">
        <v>1307</v>
      </c>
      <c r="D693" s="1156" t="str">
        <f>VLOOKUP('Cash Balance'!$C693,Table2[#All],MATCH('Cash Balance'!D$3,Acc_Char!$B$1:$I$1,0),0)</f>
        <v>Saving Account</v>
      </c>
      <c r="E693" s="384" t="str">
        <f>VLOOKUP('Cash Balance'!$C693,Table2[#All],MATCH('Cash Balance'!E$3,Acc_Char!$B$1:$I$1,0),0)</f>
        <v>VND</v>
      </c>
      <c r="F693" s="1084" t="e">
        <f>VLOOKUP(C693,'Cash balance (BS)'!A:C,3,)</f>
        <v>#N/A</v>
      </c>
      <c r="G693" s="1191" t="e">
        <f t="shared" si="64"/>
        <v>#N/A</v>
      </c>
      <c r="H693" s="1318">
        <f>SUMIFS('Cash balance (Prior period)'!F:F,'Cash balance (Prior period)'!C:C,Table11[[#This Row],[ACCOUNT NUMBER]],'Cash balance (Prior period)'!E:E,Table11[[#This Row],[CURRENCY]])</f>
        <v>400000000</v>
      </c>
      <c r="I693" s="1318">
        <f>SUMIFS(Movement!$F$4:$F$2136,Movement!$M$4:$M$2136,"VND",Movement!$C$4:$C$2136,Table11[[#This Row],[ACCOUNT NUMBER]],Movement!$J$4:$J$2136,Table11[[#This Row],[ENTITY]],Movement!$O$4:$O$2136,'Cash Balance'!$A$2)</f>
        <v>0</v>
      </c>
      <c r="J693" s="1318">
        <f>SUMIFS(Movement!$G$4:$G$2136,Movement!$M$4:$M$2136,"VND",Movement!$C$4:$C$2136,Table11[[#This Row],[ACCOUNT NUMBER]],Movement!$J$4:$J$2136,Table11[[#This Row],[ENTITY]],Movement!$O$4:$O$2136,'Cash Balance'!$A$2)</f>
        <v>0</v>
      </c>
      <c r="K693" s="1084">
        <f>Table11[[#This Row],[CASH IN - CREDIT (VND)]]-Table11[[#This Row],[CASH OUT - DEBIT (VND)]]</f>
        <v>0</v>
      </c>
      <c r="L693" s="1095">
        <f t="shared" si="56"/>
        <v>400000000</v>
      </c>
      <c r="M693" s="1184" t="e">
        <f>VLOOKUP(C693,'Cash balance (BS)'!A:D,4,)</f>
        <v>#N/A</v>
      </c>
      <c r="N693" s="1095" t="e">
        <f>Table11[[#This Row],[CLOSING BALANCE (VND)2]]-Table11[[#This Row],[CB_BS (VND)]]</f>
        <v>#N/A</v>
      </c>
      <c r="O693" s="1094">
        <v>0</v>
      </c>
      <c r="P693" s="1095">
        <f t="shared" si="57"/>
        <v>0</v>
      </c>
      <c r="Q693" s="817">
        <f>SUMIFS('Cash balance (Prior period)'!G:G,'Cash balance (Prior period)'!C:C,Table11[[#This Row],[ACCOUNT NUMBER]],'Cash balance (Prior period)'!E:E,Table11[[#This Row],[CURRENCY]])</f>
        <v>0</v>
      </c>
      <c r="R693" s="817">
        <f>SUMIFS(Movement!$F$4:$F$2136,Movement!$M$4:$M$2136,"USD",Movement!$C$4:$C$2136,Table11[[#This Row],[ACCOUNT NUMBER]],Movement!$J$4:$J$2136,Table11[[#This Row],[ENTITY]],Movement!$O$4:$O$2136,'Cash Balance'!$A$2)</f>
        <v>0</v>
      </c>
      <c r="S693" s="817">
        <f>SUMIFS(Movement!$G$4:$G$2136,Movement!$M$4:$M$2136,"USD",Movement!$C$4:$C$2136,Table11[[#This Row],[ACCOUNT NUMBER]],Movement!$J$4:$J$2136,Table11[[#This Row],[ENTITY]],Movement!$O$4:$O$2136,'Cash Balance'!$A$2)</f>
        <v>0</v>
      </c>
      <c r="T693" s="1087">
        <f t="shared" si="58"/>
        <v>0</v>
      </c>
      <c r="U693" s="1089"/>
      <c r="V693" s="817">
        <f>Table11[[#This Row],[CLOSING BALANCE (USD)]]-Table11[[#This Row],[CB_BS (USD)]]</f>
        <v>0</v>
      </c>
      <c r="W693" s="1156" t="str">
        <f>VLOOKUP('Cash Balance'!$C693,Table2[#All],MATCH('Cash Balance'!W$3,Acc_Char!$B$1:$I$1,0),0)</f>
        <v>Subsidiaries</v>
      </c>
      <c r="X693" s="1156" t="str">
        <f>VLOOKUP(IFERROR(MID($Y693,1,FIND("-",$Y693)-2),$Y693),Table3[#All],2,0)</f>
        <v>VTB</v>
      </c>
      <c r="Y693" s="1156" t="str">
        <f>VLOOKUP($B693,Table4[#All],2,0)</f>
        <v>VIETINBANK - TIEN SON</v>
      </c>
      <c r="Z693" s="1151"/>
      <c r="AA693" s="49"/>
    </row>
    <row r="694" spans="1:27">
      <c r="A694" s="1153" t="str">
        <f>VLOOKUP('Cash Balance'!$C694,Table2[#All],MATCH('Cash Balance'!A$3,Acc_Char!$B$1:$I$1,0),0)</f>
        <v>HOLDCO N4D</v>
      </c>
      <c r="B694" s="1154" t="str">
        <f>VLOOKUP('Cash Balance'!$C694,Table2[#All],MATCH('Cash Balance'!B$3,Acc_Char!$B$1:$I$1,0),0)</f>
        <v>VIETINBANK - TIEN SON</v>
      </c>
      <c r="C694" s="1193" t="s">
        <v>1308</v>
      </c>
      <c r="D694" s="1156" t="str">
        <f>VLOOKUP('Cash Balance'!$C694,Table2[#All],MATCH('Cash Balance'!D$3,Acc_Char!$B$1:$I$1,0),0)</f>
        <v>Saving Account</v>
      </c>
      <c r="E694" s="384" t="str">
        <f>VLOOKUP('Cash Balance'!$C694,Table2[#All],MATCH('Cash Balance'!E$3,Acc_Char!$B$1:$I$1,0),0)</f>
        <v>VND</v>
      </c>
      <c r="F694" s="1084" t="e">
        <f>VLOOKUP(C694,'Cash balance (BS)'!A:C,3,)</f>
        <v>#N/A</v>
      </c>
      <c r="G694" s="1191" t="e">
        <f t="shared" si="64"/>
        <v>#N/A</v>
      </c>
      <c r="H694" s="1318">
        <f>SUMIFS('Cash balance (Prior period)'!F:F,'Cash balance (Prior period)'!C:C,Table11[[#This Row],[ACCOUNT NUMBER]],'Cash balance (Prior period)'!E:E,Table11[[#This Row],[CURRENCY]])</f>
        <v>100000000</v>
      </c>
      <c r="I694" s="1318">
        <f>SUMIFS(Movement!$F$4:$F$2136,Movement!$M$4:$M$2136,"VND",Movement!$C$4:$C$2136,Table11[[#This Row],[ACCOUNT NUMBER]],Movement!$J$4:$J$2136,Table11[[#This Row],[ENTITY]],Movement!$O$4:$O$2136,'Cash Balance'!$A$2)</f>
        <v>0</v>
      </c>
      <c r="J694" s="1318">
        <f>SUMIFS(Movement!$G$4:$G$2136,Movement!$M$4:$M$2136,"VND",Movement!$C$4:$C$2136,Table11[[#This Row],[ACCOUNT NUMBER]],Movement!$J$4:$J$2136,Table11[[#This Row],[ENTITY]],Movement!$O$4:$O$2136,'Cash Balance'!$A$2)</f>
        <v>0</v>
      </c>
      <c r="K694" s="1084">
        <f>Table11[[#This Row],[CASH IN - CREDIT (VND)]]-Table11[[#This Row],[CASH OUT - DEBIT (VND)]]</f>
        <v>0</v>
      </c>
      <c r="L694" s="1095">
        <f t="shared" si="56"/>
        <v>100000000</v>
      </c>
      <c r="M694" s="1184" t="e">
        <f>VLOOKUP(C694,'Cash balance (BS)'!A:D,4,)</f>
        <v>#N/A</v>
      </c>
      <c r="N694" s="1095" t="e">
        <f>Table11[[#This Row],[CLOSING BALANCE (VND)2]]-Table11[[#This Row],[CB_BS (VND)]]</f>
        <v>#N/A</v>
      </c>
      <c r="O694" s="1094">
        <v>0</v>
      </c>
      <c r="P694" s="1095">
        <f t="shared" si="57"/>
        <v>0</v>
      </c>
      <c r="Q694" s="817">
        <f>SUMIFS('Cash balance (Prior period)'!G:G,'Cash balance (Prior period)'!C:C,Table11[[#This Row],[ACCOUNT NUMBER]],'Cash balance (Prior period)'!E:E,Table11[[#This Row],[CURRENCY]])</f>
        <v>0</v>
      </c>
      <c r="R694" s="817">
        <f>SUMIFS(Movement!$F$4:$F$2136,Movement!$M$4:$M$2136,"USD",Movement!$C$4:$C$2136,Table11[[#This Row],[ACCOUNT NUMBER]],Movement!$J$4:$J$2136,Table11[[#This Row],[ENTITY]],Movement!$O$4:$O$2136,'Cash Balance'!$A$2)</f>
        <v>0</v>
      </c>
      <c r="S694" s="817">
        <f>SUMIFS(Movement!$G$4:$G$2136,Movement!$M$4:$M$2136,"USD",Movement!$C$4:$C$2136,Table11[[#This Row],[ACCOUNT NUMBER]],Movement!$J$4:$J$2136,Table11[[#This Row],[ENTITY]],Movement!$O$4:$O$2136,'Cash Balance'!$A$2)</f>
        <v>0</v>
      </c>
      <c r="T694" s="1087">
        <f t="shared" si="58"/>
        <v>0</v>
      </c>
      <c r="U694" s="1089"/>
      <c r="V694" s="817">
        <f>Table11[[#This Row],[CLOSING BALANCE (USD)]]-Table11[[#This Row],[CB_BS (USD)]]</f>
        <v>0</v>
      </c>
      <c r="W694" s="1156" t="str">
        <f>VLOOKUP('Cash Balance'!$C694,Table2[#All],MATCH('Cash Balance'!W$3,Acc_Char!$B$1:$I$1,0),0)</f>
        <v>Subsidiaries</v>
      </c>
      <c r="X694" s="1156" t="str">
        <f>VLOOKUP(IFERROR(MID($Y694,1,FIND("-",$Y694)-2),$Y694),Table3[#All],2,0)</f>
        <v>VTB</v>
      </c>
      <c r="Y694" s="1156" t="str">
        <f>VLOOKUP($B694,Table4[#All],2,0)</f>
        <v>VIETINBANK - TIEN SON</v>
      </c>
      <c r="Z694" s="1151"/>
      <c r="AA694" s="49"/>
    </row>
    <row r="695" spans="1:27">
      <c r="A695" s="1153" t="str">
        <f>VLOOKUP('Cash Balance'!$C695,Table2[#All],MATCH('Cash Balance'!A$3,Acc_Char!$B$1:$I$1,0),0)</f>
        <v>BWID DONG AN LID</v>
      </c>
      <c r="B695" s="1154" t="str">
        <f>VLOOKUP('Cash Balance'!$C695,Table2[#All],MATCH('Cash Balance'!B$3,Acc_Char!$B$1:$I$1,0),0)</f>
        <v>VIETINBANK - DONG SAI GON</v>
      </c>
      <c r="C695" s="1193" t="s">
        <v>1309</v>
      </c>
      <c r="D695" s="1156" t="str">
        <f>VLOOKUP('Cash Balance'!$C695,Table2[#All],MATCH('Cash Balance'!D$3,Acc_Char!$B$1:$I$1,0),0)</f>
        <v>Saving Account</v>
      </c>
      <c r="E695" s="384" t="str">
        <f>VLOOKUP('Cash Balance'!$C695,Table2[#All],MATCH('Cash Balance'!E$3,Acc_Char!$B$1:$I$1,0),0)</f>
        <v>VND</v>
      </c>
      <c r="F695" s="1084" t="e">
        <f>VLOOKUP(C695,'Cash balance (BS)'!A:C,3,)</f>
        <v>#N/A</v>
      </c>
      <c r="G695" s="1191" t="e">
        <f t="shared" si="64"/>
        <v>#N/A</v>
      </c>
      <c r="H695" s="1318">
        <f>SUMIFS('Cash balance (Prior period)'!F:F,'Cash balance (Prior period)'!C:C,Table11[[#This Row],[ACCOUNT NUMBER]],'Cash balance (Prior period)'!E:E,Table11[[#This Row],[CURRENCY]])</f>
        <v>0</v>
      </c>
      <c r="I695" s="1318">
        <f>SUMIFS(Movement!$F$4:$F$2136,Movement!$M$4:$M$2136,"VND",Movement!$C$4:$C$2136,Table11[[#This Row],[ACCOUNT NUMBER]],Movement!$J$4:$J$2136,Table11[[#This Row],[ENTITY]],Movement!$O$4:$O$2136,'Cash Balance'!$A$2)</f>
        <v>0</v>
      </c>
      <c r="J695" s="1318">
        <f>SUMIFS(Movement!$G$4:$G$2136,Movement!$M$4:$M$2136,"VND",Movement!$C$4:$C$2136,Table11[[#This Row],[ACCOUNT NUMBER]],Movement!$J$4:$J$2136,Table11[[#This Row],[ENTITY]],Movement!$O$4:$O$2136,'Cash Balance'!$A$2)</f>
        <v>0</v>
      </c>
      <c r="K695" s="1084">
        <f>Table11[[#This Row],[CASH IN - CREDIT (VND)]]-Table11[[#This Row],[CASH OUT - DEBIT (VND)]]</f>
        <v>0</v>
      </c>
      <c r="L695" s="1095">
        <f t="shared" si="56"/>
        <v>0</v>
      </c>
      <c r="M695" s="1184" t="e">
        <f>VLOOKUP(C695,'Cash balance (BS)'!A:D,4,)</f>
        <v>#N/A</v>
      </c>
      <c r="N695" s="1095" t="e">
        <f>Table11[[#This Row],[CLOSING BALANCE (VND)2]]-Table11[[#This Row],[CB_BS (VND)]]</f>
        <v>#N/A</v>
      </c>
      <c r="O695" s="1094">
        <v>0</v>
      </c>
      <c r="P695" s="1095">
        <f t="shared" si="57"/>
        <v>0</v>
      </c>
      <c r="Q695" s="817">
        <f>SUMIFS('Cash balance (Prior period)'!G:G,'Cash balance (Prior period)'!C:C,Table11[[#This Row],[ACCOUNT NUMBER]],'Cash balance (Prior period)'!E:E,Table11[[#This Row],[CURRENCY]])</f>
        <v>0</v>
      </c>
      <c r="R695" s="817">
        <f>SUMIFS(Movement!$F$4:$F$2136,Movement!$M$4:$M$2136,"USD",Movement!$C$4:$C$2136,Table11[[#This Row],[ACCOUNT NUMBER]],Movement!$J$4:$J$2136,Table11[[#This Row],[ENTITY]],Movement!$O$4:$O$2136,'Cash Balance'!$A$2)</f>
        <v>0</v>
      </c>
      <c r="S695" s="817">
        <f>SUMIFS(Movement!$G$4:$G$2136,Movement!$M$4:$M$2136,"USD",Movement!$C$4:$C$2136,Table11[[#This Row],[ACCOUNT NUMBER]],Movement!$J$4:$J$2136,Table11[[#This Row],[ENTITY]],Movement!$O$4:$O$2136,'Cash Balance'!$A$2)</f>
        <v>0</v>
      </c>
      <c r="T695" s="1087">
        <f t="shared" si="58"/>
        <v>0</v>
      </c>
      <c r="U695" s="1089"/>
      <c r="V695" s="817">
        <f>Table11[[#This Row],[CLOSING BALANCE (USD)]]-Table11[[#This Row],[CB_BS (USD)]]</f>
        <v>0</v>
      </c>
      <c r="W695" s="1156" t="str">
        <f>VLOOKUP('Cash Balance'!$C695,Table2[#All],MATCH('Cash Balance'!W$3,Acc_Char!$B$1:$I$1,0),0)</f>
        <v>Subsidiaries</v>
      </c>
      <c r="X695" s="1156" t="str">
        <f>VLOOKUP(IFERROR(MID($Y695,1,FIND("-",$Y695)-2),$Y695),Table3[#All],2,0)</f>
        <v>VTB</v>
      </c>
      <c r="Y695" s="1156" t="str">
        <f>VLOOKUP($B695,Table4[#All],2,0)</f>
        <v>VIETINBANK - DONG SAI GON</v>
      </c>
      <c r="Z695" s="1151"/>
      <c r="AA695" s="49"/>
    </row>
    <row r="696" spans="1:27">
      <c r="A696" s="1153" t="str">
        <f>VLOOKUP('Cash Balance'!$C696,Table2[#All],MATCH('Cash Balance'!A$3,Acc_Char!$B$1:$I$1,0),0)</f>
        <v>BWID BINH DUONG</v>
      </c>
      <c r="B696" s="1154" t="str">
        <f>VLOOKUP('Cash Balance'!$C696,Table2[#All],MATCH('Cash Balance'!B$3,Acc_Char!$B$1:$I$1,0),0)</f>
        <v>VIETINBANK - BINH DUONG</v>
      </c>
      <c r="C696" s="1193" t="s">
        <v>1310</v>
      </c>
      <c r="D696" s="1156" t="str">
        <f>VLOOKUP('Cash Balance'!$C696,Table2[#All],MATCH('Cash Balance'!D$3,Acc_Char!$B$1:$I$1,0),0)</f>
        <v>Saving Account</v>
      </c>
      <c r="E696" s="384" t="str">
        <f>VLOOKUP('Cash Balance'!$C696,Table2[#All],MATCH('Cash Balance'!E$3,Acc_Char!$B$1:$I$1,0),0)</f>
        <v>VND</v>
      </c>
      <c r="F696" s="1084" t="e">
        <f>VLOOKUP(C696,'Cash balance (BS)'!A:C,3,)</f>
        <v>#N/A</v>
      </c>
      <c r="G696" s="1191" t="e">
        <f t="shared" si="64"/>
        <v>#N/A</v>
      </c>
      <c r="H696" s="1318">
        <f>SUMIFS('Cash balance (Prior period)'!F:F,'Cash balance (Prior period)'!C:C,Table11[[#This Row],[ACCOUNT NUMBER]],'Cash balance (Prior period)'!E:E,Table11[[#This Row],[CURRENCY]])</f>
        <v>0</v>
      </c>
      <c r="I696" s="1318">
        <f>SUMIFS(Movement!$F$4:$F$2136,Movement!$M$4:$M$2136,"VND",Movement!$C$4:$C$2136,Table11[[#This Row],[ACCOUNT NUMBER]],Movement!$J$4:$J$2136,Table11[[#This Row],[ENTITY]],Movement!$O$4:$O$2136,'Cash Balance'!$A$2)</f>
        <v>0</v>
      </c>
      <c r="J696" s="1318">
        <f>SUMIFS(Movement!$G$4:$G$2136,Movement!$M$4:$M$2136,"VND",Movement!$C$4:$C$2136,Table11[[#This Row],[ACCOUNT NUMBER]],Movement!$J$4:$J$2136,Table11[[#This Row],[ENTITY]],Movement!$O$4:$O$2136,'Cash Balance'!$A$2)</f>
        <v>0</v>
      </c>
      <c r="K696" s="1084">
        <f>Table11[[#This Row],[CASH IN - CREDIT (VND)]]-Table11[[#This Row],[CASH OUT - DEBIT (VND)]]</f>
        <v>0</v>
      </c>
      <c r="L696" s="1095">
        <f t="shared" si="56"/>
        <v>0</v>
      </c>
      <c r="M696" s="1184" t="e">
        <f>VLOOKUP(C696,'Cash balance (BS)'!A:D,4,)</f>
        <v>#N/A</v>
      </c>
      <c r="N696" s="1095" t="e">
        <f>Table11[[#This Row],[CLOSING BALANCE (VND)2]]-Table11[[#This Row],[CB_BS (VND)]]</f>
        <v>#N/A</v>
      </c>
      <c r="O696" s="1094">
        <v>0</v>
      </c>
      <c r="P696" s="1095">
        <f t="shared" si="57"/>
        <v>0</v>
      </c>
      <c r="Q696" s="817">
        <f>SUMIFS('Cash balance (Prior period)'!G:G,'Cash balance (Prior period)'!C:C,Table11[[#This Row],[ACCOUNT NUMBER]],'Cash balance (Prior period)'!E:E,Table11[[#This Row],[CURRENCY]])</f>
        <v>0</v>
      </c>
      <c r="R696" s="817">
        <f>SUMIFS(Movement!$F$4:$F$2136,Movement!$M$4:$M$2136,"USD",Movement!$C$4:$C$2136,Table11[[#This Row],[ACCOUNT NUMBER]],Movement!$J$4:$J$2136,Table11[[#This Row],[ENTITY]],Movement!$O$4:$O$2136,'Cash Balance'!$A$2)</f>
        <v>0</v>
      </c>
      <c r="S696" s="817">
        <f>SUMIFS(Movement!$G$4:$G$2136,Movement!$M$4:$M$2136,"USD",Movement!$C$4:$C$2136,Table11[[#This Row],[ACCOUNT NUMBER]],Movement!$J$4:$J$2136,Table11[[#This Row],[ENTITY]],Movement!$O$4:$O$2136,'Cash Balance'!$A$2)</f>
        <v>0</v>
      </c>
      <c r="T696" s="1087">
        <f t="shared" si="58"/>
        <v>0</v>
      </c>
      <c r="U696" s="1089"/>
      <c r="V696" s="817">
        <f>Table11[[#This Row],[CLOSING BALANCE (USD)]]-Table11[[#This Row],[CB_BS (USD)]]</f>
        <v>0</v>
      </c>
      <c r="W696" s="1156" t="str">
        <f>VLOOKUP('Cash Balance'!$C696,Table2[#All],MATCH('Cash Balance'!W$3,Acc_Char!$B$1:$I$1,0),0)</f>
        <v>BWID JSC</v>
      </c>
      <c r="X696" s="1156" t="str">
        <f>VLOOKUP(IFERROR(MID($Y696,1,FIND("-",$Y696)-2),$Y696),Table3[#All],2,0)</f>
        <v>VTB</v>
      </c>
      <c r="Y696" s="1156" t="str">
        <f>VLOOKUP($B696,Table4[#All],2,0)</f>
        <v>VIETINBANK - BINH DUONG + QM</v>
      </c>
      <c r="Z696" s="1151"/>
      <c r="AA696" s="49"/>
    </row>
    <row r="697" spans="1:27">
      <c r="A697" s="1153" t="str">
        <f>VLOOKUP('Cash Balance'!$C697,Table2[#All],MATCH('Cash Balance'!A$3,Acc_Char!$B$1:$I$1,0),0)</f>
        <v>BWID BINH DUONG</v>
      </c>
      <c r="B697" s="1154" t="str">
        <f>VLOOKUP('Cash Balance'!$C697,Table2[#All],MATCH('Cash Balance'!B$3,Acc_Char!$B$1:$I$1,0),0)</f>
        <v>VIETINBANK - BINH DUONG</v>
      </c>
      <c r="C697" s="1193" t="s">
        <v>1311</v>
      </c>
      <c r="D697" s="1156" t="str">
        <f>VLOOKUP('Cash Balance'!$C697,Table2[#All],MATCH('Cash Balance'!D$3,Acc_Char!$B$1:$I$1,0),0)</f>
        <v>Saving Account</v>
      </c>
      <c r="E697" s="384" t="str">
        <f>VLOOKUP('Cash Balance'!$C697,Table2[#All],MATCH('Cash Balance'!E$3,Acc_Char!$B$1:$I$1,0),0)</f>
        <v>VND</v>
      </c>
      <c r="F697" s="1084" t="e">
        <f>VLOOKUP(C697,'Cash balance (BS)'!A:C,3,)</f>
        <v>#N/A</v>
      </c>
      <c r="G697" s="1191" t="e">
        <f t="shared" si="64"/>
        <v>#N/A</v>
      </c>
      <c r="H697" s="1318">
        <f>SUMIFS('Cash balance (Prior period)'!F:F,'Cash balance (Prior period)'!C:C,Table11[[#This Row],[ACCOUNT NUMBER]],'Cash balance (Prior period)'!E:E,Table11[[#This Row],[CURRENCY]])</f>
        <v>0</v>
      </c>
      <c r="I697" s="1318">
        <f>SUMIFS(Movement!$F$4:$F$2136,Movement!$M$4:$M$2136,"VND",Movement!$C$4:$C$2136,Table11[[#This Row],[ACCOUNT NUMBER]],Movement!$J$4:$J$2136,Table11[[#This Row],[ENTITY]],Movement!$O$4:$O$2136,'Cash Balance'!$A$2)</f>
        <v>0</v>
      </c>
      <c r="J697" s="1318">
        <f>SUMIFS(Movement!$G$4:$G$2136,Movement!$M$4:$M$2136,"VND",Movement!$C$4:$C$2136,Table11[[#This Row],[ACCOUNT NUMBER]],Movement!$J$4:$J$2136,Table11[[#This Row],[ENTITY]],Movement!$O$4:$O$2136,'Cash Balance'!$A$2)</f>
        <v>0</v>
      </c>
      <c r="K697" s="1084">
        <f>Table11[[#This Row],[CASH IN - CREDIT (VND)]]-Table11[[#This Row],[CASH OUT - DEBIT (VND)]]</f>
        <v>0</v>
      </c>
      <c r="L697" s="1095">
        <f t="shared" si="56"/>
        <v>0</v>
      </c>
      <c r="M697" s="1184" t="e">
        <f>VLOOKUP(C697,'Cash balance (BS)'!A:D,4,)</f>
        <v>#N/A</v>
      </c>
      <c r="N697" s="1095" t="e">
        <f>Table11[[#This Row],[CLOSING BALANCE (VND)2]]-Table11[[#This Row],[CB_BS (VND)]]</f>
        <v>#N/A</v>
      </c>
      <c r="O697" s="1094">
        <v>0</v>
      </c>
      <c r="P697" s="1095">
        <f t="shared" si="57"/>
        <v>0</v>
      </c>
      <c r="Q697" s="817">
        <f>SUMIFS('Cash balance (Prior period)'!G:G,'Cash balance (Prior period)'!C:C,Table11[[#This Row],[ACCOUNT NUMBER]],'Cash balance (Prior period)'!E:E,Table11[[#This Row],[CURRENCY]])</f>
        <v>0</v>
      </c>
      <c r="R697" s="817">
        <f>SUMIFS(Movement!$F$4:$F$2136,Movement!$M$4:$M$2136,"USD",Movement!$C$4:$C$2136,Table11[[#This Row],[ACCOUNT NUMBER]],Movement!$J$4:$J$2136,Table11[[#This Row],[ENTITY]],Movement!$O$4:$O$2136,'Cash Balance'!$A$2)</f>
        <v>0</v>
      </c>
      <c r="S697" s="817">
        <f>SUMIFS(Movement!$G$4:$G$2136,Movement!$M$4:$M$2136,"USD",Movement!$C$4:$C$2136,Table11[[#This Row],[ACCOUNT NUMBER]],Movement!$J$4:$J$2136,Table11[[#This Row],[ENTITY]],Movement!$O$4:$O$2136,'Cash Balance'!$A$2)</f>
        <v>0</v>
      </c>
      <c r="T697" s="1087">
        <f t="shared" si="58"/>
        <v>0</v>
      </c>
      <c r="U697" s="1089"/>
      <c r="V697" s="817">
        <f>Table11[[#This Row],[CLOSING BALANCE (USD)]]-Table11[[#This Row],[CB_BS (USD)]]</f>
        <v>0</v>
      </c>
      <c r="W697" s="1156" t="str">
        <f>VLOOKUP('Cash Balance'!$C697,Table2[#All],MATCH('Cash Balance'!W$3,Acc_Char!$B$1:$I$1,0),0)</f>
        <v>BWID JSC</v>
      </c>
      <c r="X697" s="1156" t="str">
        <f>VLOOKUP(IFERROR(MID($Y697,1,FIND("-",$Y697)-2),$Y697),Table3[#All],2,0)</f>
        <v>VTB</v>
      </c>
      <c r="Y697" s="1156" t="str">
        <f>VLOOKUP($B697,Table4[#All],2,0)</f>
        <v>VIETINBANK - BINH DUONG + QM</v>
      </c>
      <c r="Z697" s="1151"/>
      <c r="AA697" s="49"/>
    </row>
    <row r="698" spans="1:27">
      <c r="A698" s="1153" t="str">
        <f>VLOOKUP('Cash Balance'!$C698,Table2[#All],MATCH('Cash Balance'!A$3,Acc_Char!$B$1:$I$1,0),0)</f>
        <v>HOLDCO4K</v>
      </c>
      <c r="B698" s="1154" t="str">
        <f>VLOOKUP('Cash Balance'!$C698,Table2[#All],MATCH('Cash Balance'!B$3,Acc_Char!$B$1:$I$1,0),0)</f>
        <v>BIDV - THANH XUAN</v>
      </c>
      <c r="C698" s="1193" t="s">
        <v>1312</v>
      </c>
      <c r="D698" s="1156" t="str">
        <f>VLOOKUP('Cash Balance'!$C698,Table2[#All],MATCH('Cash Balance'!D$3,Acc_Char!$B$1:$I$1,0),0)</f>
        <v>Saving Account</v>
      </c>
      <c r="E698" s="384" t="str">
        <f>VLOOKUP('Cash Balance'!$C698,Table2[#All],MATCH('Cash Balance'!E$3,Acc_Char!$B$1:$I$1,0),0)</f>
        <v>VND</v>
      </c>
      <c r="F698" s="1084" t="e">
        <f>VLOOKUP(C698,'Cash balance (BS)'!A:C,3,)</f>
        <v>#N/A</v>
      </c>
      <c r="G698" s="1191" t="e">
        <f t="shared" si="64"/>
        <v>#N/A</v>
      </c>
      <c r="H698" s="1318">
        <f>SUMIFS('Cash balance (Prior period)'!F:F,'Cash balance (Prior period)'!C:C,Table11[[#This Row],[ACCOUNT NUMBER]],'Cash balance (Prior period)'!E:E,Table11[[#This Row],[CURRENCY]])</f>
        <v>120000000</v>
      </c>
      <c r="I698" s="1318">
        <f>SUMIFS(Movement!$F$4:$F$2136,Movement!$M$4:$M$2136,"VND",Movement!$C$4:$C$2136,Table11[[#This Row],[ACCOUNT NUMBER]],Movement!$J$4:$J$2136,Table11[[#This Row],[ENTITY]],Movement!$O$4:$O$2136,'Cash Balance'!$A$2)</f>
        <v>0</v>
      </c>
      <c r="J698" s="1318">
        <f>SUMIFS(Movement!$G$4:$G$2136,Movement!$M$4:$M$2136,"VND",Movement!$C$4:$C$2136,Table11[[#This Row],[ACCOUNT NUMBER]],Movement!$J$4:$J$2136,Table11[[#This Row],[ENTITY]],Movement!$O$4:$O$2136,'Cash Balance'!$A$2)</f>
        <v>0</v>
      </c>
      <c r="K698" s="1084">
        <f>Table11[[#This Row],[CASH IN - CREDIT (VND)]]-Table11[[#This Row],[CASH OUT - DEBIT (VND)]]</f>
        <v>0</v>
      </c>
      <c r="L698" s="1095">
        <f t="shared" si="56"/>
        <v>120000000</v>
      </c>
      <c r="M698" s="1184" t="e">
        <f>VLOOKUP(C698,'Cash balance (BS)'!A:D,4,)</f>
        <v>#N/A</v>
      </c>
      <c r="N698" s="1095" t="e">
        <f>Table11[[#This Row],[CLOSING BALANCE (VND)2]]-Table11[[#This Row],[CB_BS (VND)]]</f>
        <v>#N/A</v>
      </c>
      <c r="O698" s="1094">
        <v>0</v>
      </c>
      <c r="P698" s="1095">
        <f t="shared" si="57"/>
        <v>0</v>
      </c>
      <c r="Q698" s="817">
        <f>SUMIFS('Cash balance (Prior period)'!G:G,'Cash balance (Prior period)'!C:C,Table11[[#This Row],[ACCOUNT NUMBER]],'Cash balance (Prior period)'!E:E,Table11[[#This Row],[CURRENCY]])</f>
        <v>0</v>
      </c>
      <c r="R698" s="817">
        <f>SUMIFS(Movement!$F$4:$F$2136,Movement!$M$4:$M$2136,"USD",Movement!$C$4:$C$2136,Table11[[#This Row],[ACCOUNT NUMBER]],Movement!$J$4:$J$2136,Table11[[#This Row],[ENTITY]],Movement!$O$4:$O$2136,'Cash Balance'!$A$2)</f>
        <v>0</v>
      </c>
      <c r="S698" s="817">
        <f>SUMIFS(Movement!$G$4:$G$2136,Movement!$M$4:$M$2136,"USD",Movement!$C$4:$C$2136,Table11[[#This Row],[ACCOUNT NUMBER]],Movement!$J$4:$J$2136,Table11[[#This Row],[ENTITY]],Movement!$O$4:$O$2136,'Cash Balance'!$A$2)</f>
        <v>0</v>
      </c>
      <c r="T698" s="1087">
        <f t="shared" si="58"/>
        <v>0</v>
      </c>
      <c r="U698" s="1089"/>
      <c r="V698" s="817">
        <f>Table11[[#This Row],[CLOSING BALANCE (USD)]]-Table11[[#This Row],[CB_BS (USD)]]</f>
        <v>0</v>
      </c>
      <c r="W698" s="1156" t="str">
        <f>VLOOKUP('Cash Balance'!$C698,Table2[#All],MATCH('Cash Balance'!W$3,Acc_Char!$B$1:$I$1,0),0)</f>
        <v>Subsidiaries</v>
      </c>
      <c r="X698" s="1156" t="str">
        <f>VLOOKUP(IFERROR(MID($Y698,1,FIND("-",$Y698)-2),$Y698),Table3[#All],2,0)</f>
        <v>BIDV</v>
      </c>
      <c r="Y698" s="1156" t="str">
        <f>VLOOKUP($B698,Table4[#All],2,0)</f>
        <v>BIDV - THANH XUAN</v>
      </c>
      <c r="Z698" s="1151"/>
      <c r="AA698" s="49"/>
    </row>
    <row r="699" spans="1:27">
      <c r="A699" s="1153" t="str">
        <f>VLOOKUP('Cash Balance'!$C699,Table2[#All],MATCH('Cash Balance'!A$3,Acc_Char!$B$1:$I$1,0),0)</f>
        <v>HOLDCO4M</v>
      </c>
      <c r="B699" s="1154" t="str">
        <f>VLOOKUP('Cash Balance'!$C699,Table2[#All],MATCH('Cash Balance'!B$3,Acc_Char!$B$1:$I$1,0),0)</f>
        <v>BIDV - THANH XUAN</v>
      </c>
      <c r="C699" s="1193" t="s">
        <v>1313</v>
      </c>
      <c r="D699" s="1156" t="str">
        <f>VLOOKUP('Cash Balance'!$C699,Table2[#All],MATCH('Cash Balance'!D$3,Acc_Char!$B$1:$I$1,0),0)</f>
        <v>Saving Account</v>
      </c>
      <c r="E699" s="384" t="str">
        <f>VLOOKUP('Cash Balance'!$C699,Table2[#All],MATCH('Cash Balance'!E$3,Acc_Char!$B$1:$I$1,0),0)</f>
        <v>VND</v>
      </c>
      <c r="F699" s="1084" t="e">
        <f>VLOOKUP(C699,'Cash balance (BS)'!A:C,3,)</f>
        <v>#N/A</v>
      </c>
      <c r="G699" s="1191" t="e">
        <f t="shared" si="64"/>
        <v>#N/A</v>
      </c>
      <c r="H699" s="1318">
        <f>SUMIFS('Cash balance (Prior period)'!F:F,'Cash balance (Prior period)'!C:C,Table11[[#This Row],[ACCOUNT NUMBER]],'Cash balance (Prior period)'!E:E,Table11[[#This Row],[CURRENCY]])</f>
        <v>130000000</v>
      </c>
      <c r="I699" s="1318">
        <f>SUMIFS(Movement!$F$4:$F$2136,Movement!$M$4:$M$2136,"VND",Movement!$C$4:$C$2136,Table11[[#This Row],[ACCOUNT NUMBER]],Movement!$J$4:$J$2136,Table11[[#This Row],[ENTITY]],Movement!$O$4:$O$2136,'Cash Balance'!$A$2)</f>
        <v>0</v>
      </c>
      <c r="J699" s="1318">
        <f>SUMIFS(Movement!$G$4:$G$2136,Movement!$M$4:$M$2136,"VND",Movement!$C$4:$C$2136,Table11[[#This Row],[ACCOUNT NUMBER]],Movement!$J$4:$J$2136,Table11[[#This Row],[ENTITY]],Movement!$O$4:$O$2136,'Cash Balance'!$A$2)</f>
        <v>0</v>
      </c>
      <c r="K699" s="1084">
        <f>Table11[[#This Row],[CASH IN - CREDIT (VND)]]-Table11[[#This Row],[CASH OUT - DEBIT (VND)]]</f>
        <v>0</v>
      </c>
      <c r="L699" s="1095">
        <f t="shared" si="56"/>
        <v>130000000</v>
      </c>
      <c r="M699" s="1184" t="e">
        <f>VLOOKUP(C699,'Cash balance (BS)'!A:D,4,)</f>
        <v>#N/A</v>
      </c>
      <c r="N699" s="1095" t="e">
        <f>Table11[[#This Row],[CLOSING BALANCE (VND)2]]-Table11[[#This Row],[CB_BS (VND)]]</f>
        <v>#N/A</v>
      </c>
      <c r="O699" s="1094">
        <v>0</v>
      </c>
      <c r="P699" s="1095">
        <f t="shared" si="57"/>
        <v>0</v>
      </c>
      <c r="Q699" s="817">
        <f>SUMIFS('Cash balance (Prior period)'!G:G,'Cash balance (Prior period)'!C:C,Table11[[#This Row],[ACCOUNT NUMBER]],'Cash balance (Prior period)'!E:E,Table11[[#This Row],[CURRENCY]])</f>
        <v>0</v>
      </c>
      <c r="R699" s="817">
        <f>SUMIFS(Movement!$F$4:$F$2136,Movement!$M$4:$M$2136,"USD",Movement!$C$4:$C$2136,Table11[[#This Row],[ACCOUNT NUMBER]],Movement!$J$4:$J$2136,Table11[[#This Row],[ENTITY]],Movement!$O$4:$O$2136,'Cash Balance'!$A$2)</f>
        <v>0</v>
      </c>
      <c r="S699" s="817">
        <f>SUMIFS(Movement!$G$4:$G$2136,Movement!$M$4:$M$2136,"USD",Movement!$C$4:$C$2136,Table11[[#This Row],[ACCOUNT NUMBER]],Movement!$J$4:$J$2136,Table11[[#This Row],[ENTITY]],Movement!$O$4:$O$2136,'Cash Balance'!$A$2)</f>
        <v>0</v>
      </c>
      <c r="T699" s="1087">
        <f t="shared" si="58"/>
        <v>0</v>
      </c>
      <c r="U699" s="1090"/>
      <c r="V699" s="1091">
        <f>Table11[[#This Row],[CLOSING BALANCE (USD)]]-Table11[[#This Row],[CB_BS (USD)]]</f>
        <v>0</v>
      </c>
      <c r="W699" s="1156" t="str">
        <f>VLOOKUP('Cash Balance'!$C699,Table2[#All],MATCH('Cash Balance'!W$3,Acc_Char!$B$1:$I$1,0),0)</f>
        <v>Subsidiaries</v>
      </c>
      <c r="X699" s="1156" t="str">
        <f>VLOOKUP(IFERROR(MID($Y699,1,FIND("-",$Y699)-2),$Y699),Table3[#All],2,0)</f>
        <v>BIDV</v>
      </c>
      <c r="Y699" s="1156" t="str">
        <f>VLOOKUP($B699,Table4[#All],2,0)</f>
        <v>BIDV - THANH XUAN</v>
      </c>
      <c r="Z699" s="1151"/>
      <c r="AA699" s="49"/>
    </row>
    <row r="700" spans="1:27" s="1194" customFormat="1" ht="14.4">
      <c r="A700" s="1153" t="str">
        <f>VLOOKUP('Cash Balance'!$C700,Table2[#All],MATCH('Cash Balance'!A$3,Acc_Char!$B$1:$I$1,0),0)</f>
        <v>HOLDCO5K</v>
      </c>
      <c r="B700" s="1154" t="str">
        <f>VLOOKUP('Cash Balance'!$C700,Table2[#All],MATCH('Cash Balance'!B$3,Acc_Char!$B$1:$I$1,0),0)</f>
        <v>BIDV - THANH XUAN</v>
      </c>
      <c r="C700" s="1193" t="s">
        <v>1314</v>
      </c>
      <c r="D700" s="1156" t="str">
        <f>VLOOKUP('Cash Balance'!$C700,Table2[#All],MATCH('Cash Balance'!D$3,Acc_Char!$B$1:$I$1,0),0)</f>
        <v>Saving Account</v>
      </c>
      <c r="E700" s="384" t="str">
        <f>VLOOKUP('Cash Balance'!$C700,Table2[#All],MATCH('Cash Balance'!E$3,Acc_Char!$B$1:$I$1,0),0)</f>
        <v>VND</v>
      </c>
      <c r="F700" s="1084" t="e">
        <f>VLOOKUP(C700,'Cash balance (BS)'!A:C,3,)</f>
        <v>#N/A</v>
      </c>
      <c r="G700" s="1191" t="e">
        <f t="shared" si="64"/>
        <v>#N/A</v>
      </c>
      <c r="H700" s="1318">
        <f>SUMIFS('Cash balance (Prior period)'!F:F,'Cash balance (Prior period)'!C:C,Table11[[#This Row],[ACCOUNT NUMBER]],'Cash balance (Prior period)'!E:E,Table11[[#This Row],[CURRENCY]])</f>
        <v>120000000</v>
      </c>
      <c r="I700" s="1318">
        <f>SUMIFS(Movement!$F$4:$F$2136,Movement!$M$4:$M$2136,"VND",Movement!$C$4:$C$2136,Table11[[#This Row],[ACCOUNT NUMBER]],Movement!$J$4:$J$2136,Table11[[#This Row],[ENTITY]],Movement!$O$4:$O$2136,'Cash Balance'!$A$2)</f>
        <v>0</v>
      </c>
      <c r="J700" s="1318">
        <f>SUMIFS(Movement!$G$4:$G$2136,Movement!$M$4:$M$2136,"VND",Movement!$C$4:$C$2136,Table11[[#This Row],[ACCOUNT NUMBER]],Movement!$J$4:$J$2136,Table11[[#This Row],[ENTITY]],Movement!$O$4:$O$2136,'Cash Balance'!$A$2)</f>
        <v>0</v>
      </c>
      <c r="K700" s="1084">
        <f>Table11[[#This Row],[CASH IN - CREDIT (VND)]]-Table11[[#This Row],[CASH OUT - DEBIT (VND)]]</f>
        <v>0</v>
      </c>
      <c r="L700" s="1095">
        <f t="shared" si="56"/>
        <v>120000000</v>
      </c>
      <c r="M700" s="1184" t="e">
        <f>VLOOKUP(C700,'Cash balance (BS)'!A:D,4,)</f>
        <v>#N/A</v>
      </c>
      <c r="N700" s="1095" t="e">
        <f>Table11[[#This Row],[CLOSING BALANCE (VND)2]]-Table11[[#This Row],[CB_BS (VND)]]</f>
        <v>#N/A</v>
      </c>
      <c r="O700" s="1094">
        <v>0</v>
      </c>
      <c r="P700" s="1095">
        <f t="shared" si="57"/>
        <v>0</v>
      </c>
      <c r="Q700" s="817">
        <f>SUMIFS('Cash balance (Prior period)'!G:G,'Cash balance (Prior period)'!C:C,Table11[[#This Row],[ACCOUNT NUMBER]],'Cash balance (Prior period)'!E:E,Table11[[#This Row],[CURRENCY]])</f>
        <v>0</v>
      </c>
      <c r="R700" s="817">
        <f>SUMIFS(Movement!$F$4:$F$2136,Movement!$M$4:$M$2136,"USD",Movement!$C$4:$C$2136,Table11[[#This Row],[ACCOUNT NUMBER]],Movement!$J$4:$J$2136,Table11[[#This Row],[ENTITY]],Movement!$O$4:$O$2136,'Cash Balance'!$A$2)</f>
        <v>0</v>
      </c>
      <c r="S700" s="817">
        <f>SUMIFS(Movement!$G$4:$G$2136,Movement!$M$4:$M$2136,"USD",Movement!$C$4:$C$2136,Table11[[#This Row],[ACCOUNT NUMBER]],Movement!$J$4:$J$2136,Table11[[#This Row],[ENTITY]],Movement!$O$4:$O$2136,'Cash Balance'!$A$2)</f>
        <v>0</v>
      </c>
      <c r="T700" s="1087">
        <f t="shared" si="58"/>
        <v>0</v>
      </c>
      <c r="U700" s="1090"/>
      <c r="V700" s="1091">
        <f>Table11[[#This Row],[CLOSING BALANCE (USD)]]-Table11[[#This Row],[CB_BS (USD)]]</f>
        <v>0</v>
      </c>
      <c r="W700" s="1156" t="str">
        <f>VLOOKUP('Cash Balance'!$C700,Table2[#All],MATCH('Cash Balance'!W$3,Acc_Char!$B$1:$I$1,0),0)</f>
        <v>Subsidiaries</v>
      </c>
      <c r="X700" s="1156" t="str">
        <f>VLOOKUP(IFERROR(MID($Y700,1,FIND("-",$Y700)-2),$Y700),Table3[#All],2,0)</f>
        <v>BIDV</v>
      </c>
      <c r="Y700" s="1156" t="str">
        <f>VLOOKUP($B700,Table4[#All],2,0)</f>
        <v>BIDV - THANH XUAN</v>
      </c>
      <c r="Z700" s="1151"/>
      <c r="AA700" s="49"/>
    </row>
    <row r="701" spans="1:27" s="1194" customFormat="1" ht="14.4">
      <c r="A701" s="1153" t="str">
        <f>VLOOKUP('Cash Balance'!$C701,Table2[#All],MATCH('Cash Balance'!A$3,Acc_Char!$B$1:$I$1,0),0)</f>
        <v>HOLDCO5M</v>
      </c>
      <c r="B701" s="1154" t="str">
        <f>VLOOKUP('Cash Balance'!$C701,Table2[#All],MATCH('Cash Balance'!B$3,Acc_Char!$B$1:$I$1,0),0)</f>
        <v>BIDV - THANH XUAN</v>
      </c>
      <c r="C701" s="1193" t="s">
        <v>1315</v>
      </c>
      <c r="D701" s="1156" t="str">
        <f>VLOOKUP('Cash Balance'!$C701,Table2[#All],MATCH('Cash Balance'!D$3,Acc_Char!$B$1:$I$1,0),0)</f>
        <v>Saving Account</v>
      </c>
      <c r="E701" s="384" t="str">
        <f>VLOOKUP('Cash Balance'!$C701,Table2[#All],MATCH('Cash Balance'!E$3,Acc_Char!$B$1:$I$1,0),0)</f>
        <v>VND</v>
      </c>
      <c r="F701" s="1084" t="e">
        <f>VLOOKUP(C701,'Cash balance (BS)'!A:C,3,)</f>
        <v>#N/A</v>
      </c>
      <c r="G701" s="1191" t="e">
        <f t="shared" si="64"/>
        <v>#N/A</v>
      </c>
      <c r="H701" s="1318">
        <f>SUMIFS('Cash balance (Prior period)'!F:F,'Cash balance (Prior period)'!C:C,Table11[[#This Row],[ACCOUNT NUMBER]],'Cash balance (Prior period)'!E:E,Table11[[#This Row],[CURRENCY]])</f>
        <v>110000000</v>
      </c>
      <c r="I701" s="1318">
        <f>SUMIFS(Movement!$F$4:$F$2136,Movement!$M$4:$M$2136,"VND",Movement!$C$4:$C$2136,Table11[[#This Row],[ACCOUNT NUMBER]],Movement!$J$4:$J$2136,Table11[[#This Row],[ENTITY]],Movement!$O$4:$O$2136,'Cash Balance'!$A$2)</f>
        <v>0</v>
      </c>
      <c r="J701" s="1318">
        <f>SUMIFS(Movement!$G$4:$G$2136,Movement!$M$4:$M$2136,"VND",Movement!$C$4:$C$2136,Table11[[#This Row],[ACCOUNT NUMBER]],Movement!$J$4:$J$2136,Table11[[#This Row],[ENTITY]],Movement!$O$4:$O$2136,'Cash Balance'!$A$2)</f>
        <v>0</v>
      </c>
      <c r="K701" s="1084">
        <f>Table11[[#This Row],[CASH IN - CREDIT (VND)]]-Table11[[#This Row],[CASH OUT - DEBIT (VND)]]</f>
        <v>0</v>
      </c>
      <c r="L701" s="1095">
        <f t="shared" si="56"/>
        <v>110000000</v>
      </c>
      <c r="M701" s="1184" t="e">
        <f>VLOOKUP(C701,'Cash balance (BS)'!A:D,4,)</f>
        <v>#N/A</v>
      </c>
      <c r="N701" s="1095" t="e">
        <f>Table11[[#This Row],[CLOSING BALANCE (VND)2]]-Table11[[#This Row],[CB_BS (VND)]]</f>
        <v>#N/A</v>
      </c>
      <c r="O701" s="1094">
        <v>0</v>
      </c>
      <c r="P701" s="1095">
        <f t="shared" si="57"/>
        <v>0</v>
      </c>
      <c r="Q701" s="817">
        <f>SUMIFS('Cash balance (Prior period)'!G:G,'Cash balance (Prior period)'!C:C,Table11[[#This Row],[ACCOUNT NUMBER]],'Cash balance (Prior period)'!E:E,Table11[[#This Row],[CURRENCY]])</f>
        <v>0</v>
      </c>
      <c r="R701" s="817">
        <f>SUMIFS(Movement!$F$4:$F$2136,Movement!$M$4:$M$2136,"USD",Movement!$C$4:$C$2136,Table11[[#This Row],[ACCOUNT NUMBER]],Movement!$J$4:$J$2136,Table11[[#This Row],[ENTITY]],Movement!$O$4:$O$2136,'Cash Balance'!$A$2)</f>
        <v>0</v>
      </c>
      <c r="S701" s="817">
        <f>SUMIFS(Movement!$G$4:$G$2136,Movement!$M$4:$M$2136,"USD",Movement!$C$4:$C$2136,Table11[[#This Row],[ACCOUNT NUMBER]],Movement!$J$4:$J$2136,Table11[[#This Row],[ENTITY]],Movement!$O$4:$O$2136,'Cash Balance'!$A$2)</f>
        <v>0</v>
      </c>
      <c r="T701" s="1087">
        <f t="shared" si="58"/>
        <v>0</v>
      </c>
      <c r="U701" s="1090"/>
      <c r="V701" s="1091">
        <f>Table11[[#This Row],[CLOSING BALANCE (USD)]]-Table11[[#This Row],[CB_BS (USD)]]</f>
        <v>0</v>
      </c>
      <c r="W701" s="1156" t="str">
        <f>VLOOKUP('Cash Balance'!$C701,Table2[#All],MATCH('Cash Balance'!W$3,Acc_Char!$B$1:$I$1,0),0)</f>
        <v>Subsidiaries</v>
      </c>
      <c r="X701" s="1156" t="str">
        <f>VLOOKUP(IFERROR(MID($Y701,1,FIND("-",$Y701)-2),$Y701),Table3[#All],2,0)</f>
        <v>BIDV</v>
      </c>
      <c r="Y701" s="1156" t="str">
        <f>VLOOKUP($B701,Table4[#All],2,0)</f>
        <v>BIDV - THANH XUAN</v>
      </c>
      <c r="Z701" s="1151"/>
      <c r="AA701" s="49"/>
    </row>
    <row r="702" spans="1:27" s="1194" customFormat="1" ht="14.4">
      <c r="A702" s="1153" t="str">
        <f>VLOOKUP('Cash Balance'!$C702,Table2[#All],MATCH('Cash Balance'!A$3,Acc_Char!$B$1:$I$1,0),0)</f>
        <v>HOLDCO4N</v>
      </c>
      <c r="B702" s="1154" t="str">
        <f>VLOOKUP('Cash Balance'!$C702,Table2[#All],MATCH('Cash Balance'!B$3,Acc_Char!$B$1:$I$1,0),0)</f>
        <v>BIDV - THANH XUAN</v>
      </c>
      <c r="C702" s="1193" t="s">
        <v>1316</v>
      </c>
      <c r="D702" s="1156" t="str">
        <f>VLOOKUP('Cash Balance'!$C702,Table2[#All],MATCH('Cash Balance'!D$3,Acc_Char!$B$1:$I$1,0),0)</f>
        <v>Saving Account</v>
      </c>
      <c r="E702" s="384" t="str">
        <f>VLOOKUP('Cash Balance'!$C702,Table2[#All],MATCH('Cash Balance'!E$3,Acc_Char!$B$1:$I$1,0),0)</f>
        <v>VND</v>
      </c>
      <c r="F702" s="1084" t="e">
        <f>VLOOKUP(C702,'Cash balance (BS)'!A:C,3,)</f>
        <v>#N/A</v>
      </c>
      <c r="G702" s="1191" t="e">
        <f t="shared" si="64"/>
        <v>#N/A</v>
      </c>
      <c r="H702" s="1318">
        <f>SUMIFS('Cash balance (Prior period)'!F:F,'Cash balance (Prior period)'!C:C,Table11[[#This Row],[ACCOUNT NUMBER]],'Cash balance (Prior period)'!E:E,Table11[[#This Row],[CURRENCY]])</f>
        <v>100000000</v>
      </c>
      <c r="I702" s="1318">
        <f>SUMIFS(Movement!$F$4:$F$2136,Movement!$M$4:$M$2136,"VND",Movement!$C$4:$C$2136,Table11[[#This Row],[ACCOUNT NUMBER]],Movement!$J$4:$J$2136,Table11[[#This Row],[ENTITY]],Movement!$O$4:$O$2136,'Cash Balance'!$A$2)</f>
        <v>0</v>
      </c>
      <c r="J702" s="1318">
        <f>SUMIFS(Movement!$G$4:$G$2136,Movement!$M$4:$M$2136,"VND",Movement!$C$4:$C$2136,Table11[[#This Row],[ACCOUNT NUMBER]],Movement!$J$4:$J$2136,Table11[[#This Row],[ENTITY]],Movement!$O$4:$O$2136,'Cash Balance'!$A$2)</f>
        <v>0</v>
      </c>
      <c r="K702" s="1084">
        <f>Table11[[#This Row],[CASH IN - CREDIT (VND)]]-Table11[[#This Row],[CASH OUT - DEBIT (VND)]]</f>
        <v>0</v>
      </c>
      <c r="L702" s="1095">
        <f t="shared" si="56"/>
        <v>100000000</v>
      </c>
      <c r="M702" s="1184" t="e">
        <f>VLOOKUP(C702,'Cash balance (BS)'!A:D,4,)</f>
        <v>#N/A</v>
      </c>
      <c r="N702" s="1095" t="e">
        <f>Table11[[#This Row],[CLOSING BALANCE (VND)2]]-Table11[[#This Row],[CB_BS (VND)]]</f>
        <v>#N/A</v>
      </c>
      <c r="O702" s="1094">
        <v>0</v>
      </c>
      <c r="P702" s="1095">
        <f t="shared" si="57"/>
        <v>0</v>
      </c>
      <c r="Q702" s="817">
        <f>SUMIFS('Cash balance (Prior period)'!G:G,'Cash balance (Prior period)'!C:C,Table11[[#This Row],[ACCOUNT NUMBER]],'Cash balance (Prior period)'!E:E,Table11[[#This Row],[CURRENCY]])</f>
        <v>0</v>
      </c>
      <c r="R702" s="817">
        <f>SUMIFS(Movement!$F$4:$F$2136,Movement!$M$4:$M$2136,"USD",Movement!$C$4:$C$2136,Table11[[#This Row],[ACCOUNT NUMBER]],Movement!$J$4:$J$2136,Table11[[#This Row],[ENTITY]],Movement!$O$4:$O$2136,'Cash Balance'!$A$2)</f>
        <v>0</v>
      </c>
      <c r="S702" s="817">
        <f>SUMIFS(Movement!$G$4:$G$2136,Movement!$M$4:$M$2136,"USD",Movement!$C$4:$C$2136,Table11[[#This Row],[ACCOUNT NUMBER]],Movement!$J$4:$J$2136,Table11[[#This Row],[ENTITY]],Movement!$O$4:$O$2136,'Cash Balance'!$A$2)</f>
        <v>0</v>
      </c>
      <c r="T702" s="1087">
        <f t="shared" si="58"/>
        <v>0</v>
      </c>
      <c r="U702" s="1090"/>
      <c r="V702" s="1091">
        <f>Table11[[#This Row],[CLOSING BALANCE (USD)]]-Table11[[#This Row],[CB_BS (USD)]]</f>
        <v>0</v>
      </c>
      <c r="W702" s="1156" t="str">
        <f>VLOOKUP('Cash Balance'!$C702,Table2[#All],MATCH('Cash Balance'!W$3,Acc_Char!$B$1:$I$1,0),0)</f>
        <v>Subsidiaries</v>
      </c>
      <c r="X702" s="1156" t="str">
        <f>VLOOKUP(IFERROR(MID($Y702,1,FIND("-",$Y702)-2),$Y702),Table3[#All],2,0)</f>
        <v>BIDV</v>
      </c>
      <c r="Y702" s="1156" t="str">
        <f>VLOOKUP($B702,Table4[#All],2,0)</f>
        <v>BIDV - THANH XUAN</v>
      </c>
      <c r="Z702" s="1151"/>
      <c r="AA702" s="49"/>
    </row>
    <row r="703" spans="1:27" s="1194" customFormat="1" ht="14.4">
      <c r="A703" s="1153" t="str">
        <f>VLOOKUP('Cash Balance'!$C703,Table2[#All],MATCH('Cash Balance'!A$3,Acc_Char!$B$1:$I$1,0),0)</f>
        <v>HOLDCO4O</v>
      </c>
      <c r="B703" s="1154" t="str">
        <f>VLOOKUP('Cash Balance'!$C703,Table2[#All],MATCH('Cash Balance'!B$3,Acc_Char!$B$1:$I$1,0),0)</f>
        <v>BIDV - THANH XUAN</v>
      </c>
      <c r="C703" s="1193" t="s">
        <v>1317</v>
      </c>
      <c r="D703" s="1156" t="str">
        <f>VLOOKUP('Cash Balance'!$C703,Table2[#All],MATCH('Cash Balance'!D$3,Acc_Char!$B$1:$I$1,0),0)</f>
        <v>Saving Account</v>
      </c>
      <c r="E703" s="384" t="str">
        <f>VLOOKUP('Cash Balance'!$C703,Table2[#All],MATCH('Cash Balance'!E$3,Acc_Char!$B$1:$I$1,0),0)</f>
        <v>VND</v>
      </c>
      <c r="F703" s="1084" t="e">
        <f>VLOOKUP(C703,'Cash balance (BS)'!A:C,3,)</f>
        <v>#N/A</v>
      </c>
      <c r="G703" s="1191" t="e">
        <f t="shared" si="64"/>
        <v>#N/A</v>
      </c>
      <c r="H703" s="1318">
        <f>SUMIFS('Cash balance (Prior period)'!F:F,'Cash balance (Prior period)'!C:C,Table11[[#This Row],[ACCOUNT NUMBER]],'Cash balance (Prior period)'!E:E,Table11[[#This Row],[CURRENCY]])</f>
        <v>100000000</v>
      </c>
      <c r="I703" s="1318">
        <f>SUMIFS(Movement!$F$4:$F$2136,Movement!$M$4:$M$2136,"VND",Movement!$C$4:$C$2136,Table11[[#This Row],[ACCOUNT NUMBER]],Movement!$J$4:$J$2136,Table11[[#This Row],[ENTITY]],Movement!$O$4:$O$2136,'Cash Balance'!$A$2)</f>
        <v>0</v>
      </c>
      <c r="J703" s="1318">
        <f>SUMIFS(Movement!$G$4:$G$2136,Movement!$M$4:$M$2136,"VND",Movement!$C$4:$C$2136,Table11[[#This Row],[ACCOUNT NUMBER]],Movement!$J$4:$J$2136,Table11[[#This Row],[ENTITY]],Movement!$O$4:$O$2136,'Cash Balance'!$A$2)</f>
        <v>0</v>
      </c>
      <c r="K703" s="1084">
        <f>Table11[[#This Row],[CASH IN - CREDIT (VND)]]-Table11[[#This Row],[CASH OUT - DEBIT (VND)]]</f>
        <v>0</v>
      </c>
      <c r="L703" s="1095">
        <f t="shared" si="56"/>
        <v>100000000</v>
      </c>
      <c r="M703" s="1184" t="e">
        <f>VLOOKUP(C703,'Cash balance (BS)'!A:D,4,)</f>
        <v>#N/A</v>
      </c>
      <c r="N703" s="1095" t="e">
        <f>Table11[[#This Row],[CLOSING BALANCE (VND)2]]-Table11[[#This Row],[CB_BS (VND)]]</f>
        <v>#N/A</v>
      </c>
      <c r="O703" s="1094">
        <v>0</v>
      </c>
      <c r="P703" s="1095">
        <f t="shared" si="57"/>
        <v>0</v>
      </c>
      <c r="Q703" s="817">
        <f>SUMIFS('Cash balance (Prior period)'!G:G,'Cash balance (Prior period)'!C:C,Table11[[#This Row],[ACCOUNT NUMBER]],'Cash balance (Prior period)'!E:E,Table11[[#This Row],[CURRENCY]])</f>
        <v>0</v>
      </c>
      <c r="R703" s="817">
        <f>SUMIFS(Movement!$F$4:$F$2136,Movement!$M$4:$M$2136,"USD",Movement!$C$4:$C$2136,Table11[[#This Row],[ACCOUNT NUMBER]],Movement!$J$4:$J$2136,Table11[[#This Row],[ENTITY]],Movement!$O$4:$O$2136,'Cash Balance'!$A$2)</f>
        <v>0</v>
      </c>
      <c r="S703" s="817">
        <f>SUMIFS(Movement!$G$4:$G$2136,Movement!$M$4:$M$2136,"USD",Movement!$C$4:$C$2136,Table11[[#This Row],[ACCOUNT NUMBER]],Movement!$J$4:$J$2136,Table11[[#This Row],[ENTITY]],Movement!$O$4:$O$2136,'Cash Balance'!$A$2)</f>
        <v>0</v>
      </c>
      <c r="T703" s="1087">
        <f t="shared" si="58"/>
        <v>0</v>
      </c>
      <c r="U703" s="1090"/>
      <c r="V703" s="1091">
        <f>Table11[[#This Row],[CLOSING BALANCE (USD)]]-Table11[[#This Row],[CB_BS (USD)]]</f>
        <v>0</v>
      </c>
      <c r="W703" s="1156" t="str">
        <f>VLOOKUP('Cash Balance'!$C703,Table2[#All],MATCH('Cash Balance'!W$3,Acc_Char!$B$1:$I$1,0),0)</f>
        <v>Subsidiaries</v>
      </c>
      <c r="X703" s="1156" t="str">
        <f>VLOOKUP(IFERROR(MID($Y703,1,FIND("-",$Y703)-2),$Y703),Table3[#All],2,0)</f>
        <v>BIDV</v>
      </c>
      <c r="Y703" s="1156" t="str">
        <f>VLOOKUP($B703,Table4[#All],2,0)</f>
        <v>BIDV - THANH XUAN</v>
      </c>
      <c r="Z703" s="1151"/>
      <c r="AA703" s="49"/>
    </row>
    <row r="704" spans="1:27" s="1194" customFormat="1" ht="14.4">
      <c r="A704" s="1153" t="str">
        <f>VLOOKUP('Cash Balance'!$C704,Table2[#All],MATCH('Cash Balance'!A$3,Acc_Char!$B$1:$I$1,0),0)</f>
        <v>HOLDCO4P</v>
      </c>
      <c r="B704" s="1154" t="str">
        <f>VLOOKUP('Cash Balance'!$C704,Table2[#All],MATCH('Cash Balance'!B$3,Acc_Char!$B$1:$I$1,0),0)</f>
        <v>BIDV - THANH XUAN</v>
      </c>
      <c r="C704" s="1193" t="s">
        <v>1318</v>
      </c>
      <c r="D704" s="1156" t="str">
        <f>VLOOKUP('Cash Balance'!$C704,Table2[#All],MATCH('Cash Balance'!D$3,Acc_Char!$B$1:$I$1,0),0)</f>
        <v>Saving Account</v>
      </c>
      <c r="E704" s="384" t="str">
        <f>VLOOKUP('Cash Balance'!$C704,Table2[#All],MATCH('Cash Balance'!E$3,Acc_Char!$B$1:$I$1,0),0)</f>
        <v>VND</v>
      </c>
      <c r="F704" s="1084" t="e">
        <f>VLOOKUP(C704,'Cash balance (BS)'!A:C,3,)</f>
        <v>#N/A</v>
      </c>
      <c r="G704" s="1191" t="e">
        <f t="shared" ref="G704:G705" si="73">F704-H704</f>
        <v>#N/A</v>
      </c>
      <c r="H704" s="1318">
        <f>SUMIFS('Cash balance (Prior period)'!F:F,'Cash balance (Prior period)'!C:C,Table11[[#This Row],[ACCOUNT NUMBER]],'Cash balance (Prior period)'!E:E,Table11[[#This Row],[CURRENCY]])</f>
        <v>120000000</v>
      </c>
      <c r="I704" s="1318">
        <f>SUMIFS(Movement!$F$4:$F$2136,Movement!$M$4:$M$2136,"VND",Movement!$C$4:$C$2136,Table11[[#This Row],[ACCOUNT NUMBER]],Movement!$J$4:$J$2136,Table11[[#This Row],[ENTITY]],Movement!$O$4:$O$2136,'Cash Balance'!$A$2)</f>
        <v>0</v>
      </c>
      <c r="J704" s="1318">
        <f>SUMIFS(Movement!$G$4:$G$2136,Movement!$M$4:$M$2136,"VND",Movement!$C$4:$C$2136,Table11[[#This Row],[ACCOUNT NUMBER]],Movement!$J$4:$J$2136,Table11[[#This Row],[ENTITY]],Movement!$O$4:$O$2136,'Cash Balance'!$A$2)</f>
        <v>0</v>
      </c>
      <c r="K704" s="1084">
        <f>Table11[[#This Row],[CASH IN - CREDIT (VND)]]-Table11[[#This Row],[CASH OUT - DEBIT (VND)]]</f>
        <v>0</v>
      </c>
      <c r="L704" s="1095">
        <f t="shared" si="56"/>
        <v>120000000</v>
      </c>
      <c r="M704" s="1184" t="e">
        <f>VLOOKUP(C704,'Cash balance (BS)'!A:D,4,)</f>
        <v>#N/A</v>
      </c>
      <c r="N704" s="1095" t="e">
        <f>Table11[[#This Row],[CLOSING BALANCE (VND)2]]-Table11[[#This Row],[CB_BS (VND)]]</f>
        <v>#N/A</v>
      </c>
      <c r="O704" s="1094">
        <v>0</v>
      </c>
      <c r="P704" s="1095">
        <f t="shared" si="57"/>
        <v>0</v>
      </c>
      <c r="Q704" s="817">
        <f>SUMIFS('Cash balance (Prior period)'!G:G,'Cash balance (Prior period)'!C:C,Table11[[#This Row],[ACCOUNT NUMBER]],'Cash balance (Prior period)'!E:E,Table11[[#This Row],[CURRENCY]])</f>
        <v>0</v>
      </c>
      <c r="R704" s="817">
        <f>SUMIFS(Movement!$F$4:$F$2136,Movement!$M$4:$M$2136,"USD",Movement!$C$4:$C$2136,Table11[[#This Row],[ACCOUNT NUMBER]],Movement!$J$4:$J$2136,Table11[[#This Row],[ENTITY]],Movement!$O$4:$O$2136,'Cash Balance'!$A$2)</f>
        <v>0</v>
      </c>
      <c r="S704" s="817">
        <f>SUMIFS(Movement!$G$4:$G$2136,Movement!$M$4:$M$2136,"USD",Movement!$C$4:$C$2136,Table11[[#This Row],[ACCOUNT NUMBER]],Movement!$J$4:$J$2136,Table11[[#This Row],[ENTITY]],Movement!$O$4:$O$2136,'Cash Balance'!$A$2)</f>
        <v>0</v>
      </c>
      <c r="T704" s="1087">
        <f t="shared" si="58"/>
        <v>0</v>
      </c>
      <c r="U704" s="1090"/>
      <c r="V704" s="1091">
        <f>Table11[[#This Row],[CLOSING BALANCE (USD)]]-Table11[[#This Row],[CB_BS (USD)]]</f>
        <v>0</v>
      </c>
      <c r="W704" s="1156" t="str">
        <f>VLOOKUP('Cash Balance'!$C704,Table2[#All],MATCH('Cash Balance'!W$3,Acc_Char!$B$1:$I$1,0),0)</f>
        <v>Subsidiaries</v>
      </c>
      <c r="X704" s="1156" t="str">
        <f>VLOOKUP(IFERROR(MID($Y704,1,FIND("-",$Y704)-2),$Y704),Table3[#All],2,0)</f>
        <v>BIDV</v>
      </c>
      <c r="Y704" s="1156" t="str">
        <f>VLOOKUP($B704,Table4[#All],2,0)</f>
        <v>BIDV - THANH XUAN</v>
      </c>
      <c r="Z704" s="1151"/>
      <c r="AA704" s="49"/>
    </row>
    <row r="705" spans="1:27" s="1194" customFormat="1" ht="14.4">
      <c r="A705" s="1153" t="str">
        <f>VLOOKUP('Cash Balance'!$C705,Table2[#All],MATCH('Cash Balance'!A$3,Acc_Char!$B$1:$I$1,0),0)</f>
        <v>BW SAIGON LOGISTICS</v>
      </c>
      <c r="B705" s="1154" t="str">
        <f>VLOOKUP('Cash Balance'!$C705,Table2[#All],MATCH('Cash Balance'!B$3,Acc_Char!$B$1:$I$1,0),0)</f>
        <v>VIETCOMBANK - HCM</v>
      </c>
      <c r="C705" s="1193" t="s">
        <v>1319</v>
      </c>
      <c r="D705" s="1156" t="str">
        <f>VLOOKUP('Cash Balance'!$C705,Table2[#All],MATCH('Cash Balance'!D$3,Acc_Char!$B$1:$I$1,0),0)</f>
        <v>Saving Account</v>
      </c>
      <c r="E705" s="384" t="str">
        <f>VLOOKUP('Cash Balance'!$C705,Table2[#All],MATCH('Cash Balance'!E$3,Acc_Char!$B$1:$I$1,0),0)</f>
        <v>VND</v>
      </c>
      <c r="F705" s="1084" t="e">
        <f>VLOOKUP(C705,'Cash balance (BS)'!A:C,3,)</f>
        <v>#N/A</v>
      </c>
      <c r="G705" s="1191" t="e">
        <f t="shared" si="73"/>
        <v>#N/A</v>
      </c>
      <c r="H705" s="1318">
        <f>SUMIFS('Cash balance (Prior period)'!F:F,'Cash balance (Prior period)'!C:C,Table11[[#This Row],[ACCOUNT NUMBER]],'Cash balance (Prior period)'!E:E,Table11[[#This Row],[CURRENCY]])</f>
        <v>0</v>
      </c>
      <c r="I705" s="1318">
        <f>SUMIFS(Movement!$F$4:$F$2136,Movement!$M$4:$M$2136,"VND",Movement!$C$4:$C$2136,Table11[[#This Row],[ACCOUNT NUMBER]],Movement!$J$4:$J$2136,Table11[[#This Row],[ENTITY]],Movement!$O$4:$O$2136,'Cash Balance'!$A$2)</f>
        <v>0</v>
      </c>
      <c r="J705" s="1318">
        <f>SUMIFS(Movement!$G$4:$G$2136,Movement!$M$4:$M$2136,"VND",Movement!$C$4:$C$2136,Table11[[#This Row],[ACCOUNT NUMBER]],Movement!$J$4:$J$2136,Table11[[#This Row],[ENTITY]],Movement!$O$4:$O$2136,'Cash Balance'!$A$2)</f>
        <v>0</v>
      </c>
      <c r="K705" s="1084">
        <f>Table11[[#This Row],[CASH IN - CREDIT (VND)]]-Table11[[#This Row],[CASH OUT - DEBIT (VND)]]</f>
        <v>0</v>
      </c>
      <c r="L705" s="1095">
        <f t="shared" si="56"/>
        <v>0</v>
      </c>
      <c r="M705" s="1184" t="e">
        <f>VLOOKUP(C705,'Cash balance (BS)'!A:D,4,)</f>
        <v>#N/A</v>
      </c>
      <c r="N705" s="1095" t="e">
        <f>Table11[[#This Row],[CLOSING BALANCE (VND)2]]-Table11[[#This Row],[CB_BS (VND)]]</f>
        <v>#N/A</v>
      </c>
      <c r="O705" s="1094">
        <v>0</v>
      </c>
      <c r="P705" s="1095">
        <f t="shared" si="57"/>
        <v>0</v>
      </c>
      <c r="Q705" s="817">
        <f>SUMIFS('Cash balance (Prior period)'!G:G,'Cash balance (Prior period)'!C:C,Table11[[#This Row],[ACCOUNT NUMBER]],'Cash balance (Prior period)'!E:E,Table11[[#This Row],[CURRENCY]])</f>
        <v>0</v>
      </c>
      <c r="R705" s="817">
        <f>SUMIFS(Movement!$F$4:$F$2136,Movement!$M$4:$M$2136,"USD",Movement!$C$4:$C$2136,Table11[[#This Row],[ACCOUNT NUMBER]],Movement!$J$4:$J$2136,Table11[[#This Row],[ENTITY]],Movement!$O$4:$O$2136,'Cash Balance'!$A$2)</f>
        <v>0</v>
      </c>
      <c r="S705" s="817">
        <f>SUMIFS(Movement!$G$4:$G$2136,Movement!$M$4:$M$2136,"USD",Movement!$C$4:$C$2136,Table11[[#This Row],[ACCOUNT NUMBER]],Movement!$J$4:$J$2136,Table11[[#This Row],[ENTITY]],Movement!$O$4:$O$2136,'Cash Balance'!$A$2)</f>
        <v>0</v>
      </c>
      <c r="T705" s="1087">
        <f t="shared" si="58"/>
        <v>0</v>
      </c>
      <c r="U705" s="1090"/>
      <c r="V705" s="1091">
        <f>Table11[[#This Row],[CLOSING BALANCE (USD)]]-Table11[[#This Row],[CB_BS (USD)]]</f>
        <v>0</v>
      </c>
      <c r="W705" s="1156" t="str">
        <f>VLOOKUP('Cash Balance'!$C705,Table2[#All],MATCH('Cash Balance'!W$3,Acc_Char!$B$1:$I$1,0),0)</f>
        <v>Subsidiaries</v>
      </c>
      <c r="X705" s="1156" t="str">
        <f>VLOOKUP(IFERROR(MID($Y705,1,FIND("-",$Y705)-2),$Y705),Table3[#All],2,0)</f>
        <v>VCB</v>
      </c>
      <c r="Y705" s="1156" t="str">
        <f>VLOOKUP($B705,Table4[#All],2,0)</f>
        <v>VIETCOMBANK - HCM</v>
      </c>
      <c r="Z705" s="1151"/>
      <c r="AA705" s="49"/>
    </row>
    <row r="706" spans="1:27" s="1194" customFormat="1" ht="14.4">
      <c r="A706" s="1153" t="str">
        <f>VLOOKUP('Cash Balance'!$C706,Table2[#All],MATCH('Cash Balance'!A$3,Acc_Char!$B$1:$I$1,0),0)</f>
        <v>NSHL HOLDCO</v>
      </c>
      <c r="B706" s="1154" t="str">
        <f>VLOOKUP('Cash Balance'!$C706,Table2[#All],MATCH('Cash Balance'!B$3,Acc_Char!$B$1:$I$1,0),0)</f>
        <v>BIDV - THANH XUAN</v>
      </c>
      <c r="C706" s="1193" t="s">
        <v>1320</v>
      </c>
      <c r="D706" s="1156" t="str">
        <f>VLOOKUP('Cash Balance'!$C706,Table2[#All],MATCH('Cash Balance'!D$3,Acc_Char!$B$1:$I$1,0),0)</f>
        <v>Saving Account</v>
      </c>
      <c r="E706" s="384" t="str">
        <f>VLOOKUP('Cash Balance'!$C706,Table2[#All],MATCH('Cash Balance'!E$3,Acc_Char!$B$1:$I$1,0),0)</f>
        <v>VND</v>
      </c>
      <c r="F706" s="1084" t="e">
        <f>VLOOKUP(C706,'Cash balance (BS)'!A:C,3,)</f>
        <v>#N/A</v>
      </c>
      <c r="G706" s="1191" t="e">
        <f t="shared" ref="G706:G725" si="74">F706-H706</f>
        <v>#N/A</v>
      </c>
      <c r="H706" s="1318">
        <f>SUMIFS('Cash balance (Prior period)'!F:F,'Cash balance (Prior period)'!C:C,Table11[[#This Row],[ACCOUNT NUMBER]],'Cash balance (Prior period)'!E:E,Table11[[#This Row],[CURRENCY]])</f>
        <v>200000000</v>
      </c>
      <c r="I706" s="1318">
        <f>SUMIFS(Movement!$F$4:$F$2136,Movement!$M$4:$M$2136,"VND",Movement!$C$4:$C$2136,Table11[[#This Row],[ACCOUNT NUMBER]],Movement!$J$4:$J$2136,Table11[[#This Row],[ENTITY]],Movement!$O$4:$O$2136,'Cash Balance'!$A$2)</f>
        <v>0</v>
      </c>
      <c r="J706" s="1318">
        <f>SUMIFS(Movement!$G$4:$G$2136,Movement!$M$4:$M$2136,"VND",Movement!$C$4:$C$2136,Table11[[#This Row],[ACCOUNT NUMBER]],Movement!$J$4:$J$2136,Table11[[#This Row],[ENTITY]],Movement!$O$4:$O$2136,'Cash Balance'!$A$2)</f>
        <v>0</v>
      </c>
      <c r="K706" s="1084">
        <f>Table11[[#This Row],[CASH IN - CREDIT (VND)]]-Table11[[#This Row],[CASH OUT - DEBIT (VND)]]</f>
        <v>0</v>
      </c>
      <c r="L706" s="1095">
        <f t="shared" si="56"/>
        <v>200000000</v>
      </c>
      <c r="M706" s="1184" t="e">
        <f>VLOOKUP(C706,'Cash balance (BS)'!A:D,4,)</f>
        <v>#N/A</v>
      </c>
      <c r="N706" s="1095" t="e">
        <f>Table11[[#This Row],[CLOSING BALANCE (VND)2]]-Table11[[#This Row],[CB_BS (VND)]]</f>
        <v>#N/A</v>
      </c>
      <c r="O706" s="1094">
        <v>0</v>
      </c>
      <c r="P706" s="1095">
        <f t="shared" si="57"/>
        <v>0</v>
      </c>
      <c r="Q706" s="817">
        <f>SUMIFS('Cash balance (Prior period)'!G:G,'Cash balance (Prior period)'!C:C,Table11[[#This Row],[ACCOUNT NUMBER]],'Cash balance (Prior period)'!E:E,Table11[[#This Row],[CURRENCY]])</f>
        <v>0</v>
      </c>
      <c r="R706" s="817">
        <f>SUMIFS(Movement!$F$4:$F$2136,Movement!$M$4:$M$2136,"USD",Movement!$C$4:$C$2136,Table11[[#This Row],[ACCOUNT NUMBER]],Movement!$J$4:$J$2136,Table11[[#This Row],[ENTITY]],Movement!$O$4:$O$2136,'Cash Balance'!$A$2)</f>
        <v>0</v>
      </c>
      <c r="S706" s="817">
        <f>SUMIFS(Movement!$G$4:$G$2136,Movement!$M$4:$M$2136,"USD",Movement!$C$4:$C$2136,Table11[[#This Row],[ACCOUNT NUMBER]],Movement!$J$4:$J$2136,Table11[[#This Row],[ENTITY]],Movement!$O$4:$O$2136,'Cash Balance'!$A$2)</f>
        <v>0</v>
      </c>
      <c r="T706" s="1087">
        <f t="shared" si="58"/>
        <v>0</v>
      </c>
      <c r="U706" s="1090"/>
      <c r="V706" s="1091">
        <f>Table11[[#This Row],[CLOSING BALANCE (USD)]]-Table11[[#This Row],[CB_BS (USD)]]</f>
        <v>0</v>
      </c>
      <c r="W706" s="1156" t="str">
        <f>VLOOKUP('Cash Balance'!$C706,Table2[#All],MATCH('Cash Balance'!W$3,Acc_Char!$B$1:$I$1,0),0)</f>
        <v>Subsidiaries</v>
      </c>
      <c r="X706" s="1156" t="str">
        <f>VLOOKUP(IFERROR(MID($Y706,1,FIND("-",$Y706)-2),$Y706),Table3[#All],2,0)</f>
        <v>BIDV</v>
      </c>
      <c r="Y706" s="1156" t="str">
        <f>VLOOKUP($B706,Table4[#All],2,0)</f>
        <v>BIDV - THANH XUAN</v>
      </c>
      <c r="Z706" s="1151"/>
      <c r="AA706" s="49"/>
    </row>
    <row r="707" spans="1:27" s="1194" customFormat="1" ht="14.4">
      <c r="A707" s="1153" t="str">
        <f>VLOOKUP('Cash Balance'!$C707,Table2[#All],MATCH('Cash Balance'!A$3,Acc_Char!$B$1:$I$1,0),0)</f>
        <v>YEN PHONG PROJECT CO</v>
      </c>
      <c r="B707" s="1154" t="str">
        <f>VLOOKUP('Cash Balance'!$C707,Table2[#All],MATCH('Cash Balance'!B$3,Acc_Char!$B$1:$I$1,0),0)</f>
        <v>BIDV - THANH XUAN</v>
      </c>
      <c r="C707" s="1193" t="s">
        <v>1321</v>
      </c>
      <c r="D707" s="1156" t="str">
        <f>VLOOKUP('Cash Balance'!$C707,Table2[#All],MATCH('Cash Balance'!D$3,Acc_Char!$B$1:$I$1,0),0)</f>
        <v>Saving Account</v>
      </c>
      <c r="E707" s="384" t="str">
        <f>VLOOKUP('Cash Balance'!$C707,Table2[#All],MATCH('Cash Balance'!E$3,Acc_Char!$B$1:$I$1,0),0)</f>
        <v>VND</v>
      </c>
      <c r="F707" s="1084" t="e">
        <f>VLOOKUP(C707,'Cash balance (BS)'!A:C,3,)</f>
        <v>#N/A</v>
      </c>
      <c r="G707" s="1191" t="e">
        <f t="shared" si="74"/>
        <v>#N/A</v>
      </c>
      <c r="H707" s="1318">
        <f>SUMIFS('Cash balance (Prior period)'!F:F,'Cash balance (Prior period)'!C:C,Table11[[#This Row],[ACCOUNT NUMBER]],'Cash balance (Prior period)'!E:E,Table11[[#This Row],[CURRENCY]])</f>
        <v>2000000000</v>
      </c>
      <c r="I707" s="1318">
        <f>SUMIFS(Movement!$F$4:$F$2136,Movement!$M$4:$M$2136,"VND",Movement!$C$4:$C$2136,Table11[[#This Row],[ACCOUNT NUMBER]],Movement!$J$4:$J$2136,Table11[[#This Row],[ENTITY]],Movement!$O$4:$O$2136,'Cash Balance'!$A$2)</f>
        <v>0</v>
      </c>
      <c r="J707" s="1318">
        <f>SUMIFS(Movement!$G$4:$G$2136,Movement!$M$4:$M$2136,"VND",Movement!$C$4:$C$2136,Table11[[#This Row],[ACCOUNT NUMBER]],Movement!$J$4:$J$2136,Table11[[#This Row],[ENTITY]],Movement!$O$4:$O$2136,'Cash Balance'!$A$2)</f>
        <v>0</v>
      </c>
      <c r="K707" s="1084">
        <f>Table11[[#This Row],[CASH IN - CREDIT (VND)]]-Table11[[#This Row],[CASH OUT - DEBIT (VND)]]</f>
        <v>0</v>
      </c>
      <c r="L707" s="1095">
        <f t="shared" ref="L707:L764" si="75">H707+I707-J707</f>
        <v>2000000000</v>
      </c>
      <c r="M707" s="1184" t="e">
        <f>VLOOKUP(C707,'Cash balance (BS)'!A:D,4,)</f>
        <v>#N/A</v>
      </c>
      <c r="N707" s="1095" t="e">
        <f>Table11[[#This Row],[CLOSING BALANCE (VND)2]]-Table11[[#This Row],[CB_BS (VND)]]</f>
        <v>#N/A</v>
      </c>
      <c r="O707" s="1094">
        <v>0</v>
      </c>
      <c r="P707" s="1095">
        <f t="shared" ref="P707:P764" si="76">O707-Q707</f>
        <v>0</v>
      </c>
      <c r="Q707" s="817">
        <f>SUMIFS('Cash balance (Prior period)'!G:G,'Cash balance (Prior period)'!C:C,Table11[[#This Row],[ACCOUNT NUMBER]],'Cash balance (Prior period)'!E:E,Table11[[#This Row],[CURRENCY]])</f>
        <v>0</v>
      </c>
      <c r="R707" s="817">
        <f>SUMIFS(Movement!$F$4:$F$2136,Movement!$M$4:$M$2136,"USD",Movement!$C$4:$C$2136,Table11[[#This Row],[ACCOUNT NUMBER]],Movement!$J$4:$J$2136,Table11[[#This Row],[ENTITY]],Movement!$O$4:$O$2136,'Cash Balance'!$A$2)</f>
        <v>0</v>
      </c>
      <c r="S707" s="817">
        <f>SUMIFS(Movement!$G$4:$G$2136,Movement!$M$4:$M$2136,"USD",Movement!$C$4:$C$2136,Table11[[#This Row],[ACCOUNT NUMBER]],Movement!$J$4:$J$2136,Table11[[#This Row],[ENTITY]],Movement!$O$4:$O$2136,'Cash Balance'!$A$2)</f>
        <v>0</v>
      </c>
      <c r="T707" s="1087">
        <f t="shared" ref="T707:T764" si="77">Q707+R707-S707</f>
        <v>0</v>
      </c>
      <c r="U707" s="1090"/>
      <c r="V707" s="1091">
        <f>Table11[[#This Row],[CLOSING BALANCE (USD)]]-Table11[[#This Row],[CB_BS (USD)]]</f>
        <v>0</v>
      </c>
      <c r="W707" s="1156" t="str">
        <f>VLOOKUP('Cash Balance'!$C707,Table2[#All],MATCH('Cash Balance'!W$3,Acc_Char!$B$1:$I$1,0),0)</f>
        <v>Subsidiaries</v>
      </c>
      <c r="X707" s="1156" t="str">
        <f>VLOOKUP(IFERROR(MID($Y707,1,FIND("-",$Y707)-2),$Y707),Table3[#All],2,0)</f>
        <v>BIDV</v>
      </c>
      <c r="Y707" s="1156" t="str">
        <f>VLOOKUP($B707,Table4[#All],2,0)</f>
        <v>BIDV - THANH XUAN</v>
      </c>
      <c r="Z707" s="1151"/>
      <c r="AA707" s="49"/>
    </row>
    <row r="708" spans="1:27" s="1194" customFormat="1" ht="14.4">
      <c r="A708" s="988" t="str">
        <f>VLOOKUP('Cash Balance'!$C708,Table2[#All],MATCH('Cash Balance'!A$3,Acc_Char!$B$1:$I$1,0),0)</f>
        <v>SAO HOA</v>
      </c>
      <c r="B708" s="1154" t="str">
        <f>VLOOKUP('Cash Balance'!$C708,Table2[#All],MATCH('Cash Balance'!B$3,Acc_Char!$B$1:$I$1,0),0)</f>
        <v>VIETINBANK - QUANG MINH</v>
      </c>
      <c r="C708" s="1195" t="s">
        <v>1322</v>
      </c>
      <c r="D708" s="1156" t="str">
        <f>VLOOKUP('Cash Balance'!$C708,Table2[#All],MATCH('Cash Balance'!D$3,Acc_Char!$B$1:$I$1,0),0)</f>
        <v>Saving Account</v>
      </c>
      <c r="E708" s="384" t="str">
        <f>VLOOKUP('Cash Balance'!$C708,Table2[#All],MATCH('Cash Balance'!E$3,Acc_Char!$B$1:$I$1,0),0)</f>
        <v>VND</v>
      </c>
      <c r="F708" s="1084" t="e">
        <f>VLOOKUP(C708,'Cash balance (BS)'!A:C,3,)</f>
        <v>#N/A</v>
      </c>
      <c r="G708" s="1191" t="e">
        <f t="shared" si="74"/>
        <v>#N/A</v>
      </c>
      <c r="H708" s="1318">
        <f>SUMIFS('Cash balance (Prior period)'!F:F,'Cash balance (Prior period)'!C:C,Table11[[#This Row],[ACCOUNT NUMBER]],'Cash balance (Prior period)'!E:E,Table11[[#This Row],[CURRENCY]])</f>
        <v>0</v>
      </c>
      <c r="I708" s="1318">
        <f>SUMIFS(Movement!$F$4:$F$2136,Movement!$M$4:$M$2136,"VND",Movement!$C$4:$C$2136,Table11[[#This Row],[ACCOUNT NUMBER]],Movement!$J$4:$J$2136,Table11[[#This Row],[ENTITY]],Movement!$O$4:$O$2136,'Cash Balance'!$A$2)</f>
        <v>0</v>
      </c>
      <c r="J708" s="1318">
        <f>SUMIFS(Movement!$G$4:$G$2136,Movement!$M$4:$M$2136,"VND",Movement!$C$4:$C$2136,Table11[[#This Row],[ACCOUNT NUMBER]],Movement!$J$4:$J$2136,Table11[[#This Row],[ENTITY]],Movement!$O$4:$O$2136,'Cash Balance'!$A$2)</f>
        <v>0</v>
      </c>
      <c r="K708" s="1084">
        <f>Table11[[#This Row],[CASH IN - CREDIT (VND)]]-Table11[[#This Row],[CASH OUT - DEBIT (VND)]]</f>
        <v>0</v>
      </c>
      <c r="L708" s="1095">
        <f t="shared" si="75"/>
        <v>0</v>
      </c>
      <c r="M708" s="1184" t="e">
        <f>VLOOKUP(C708,'Cash balance (BS)'!A:D,4,)</f>
        <v>#N/A</v>
      </c>
      <c r="N708" s="1095" t="e">
        <f>Table11[[#This Row],[CLOSING BALANCE (VND)2]]-Table11[[#This Row],[CB_BS (VND)]]</f>
        <v>#N/A</v>
      </c>
      <c r="O708" s="1094">
        <v>0</v>
      </c>
      <c r="P708" s="1095">
        <f t="shared" si="76"/>
        <v>0</v>
      </c>
      <c r="Q708" s="817">
        <f>SUMIFS('Cash balance (Prior period)'!G:G,'Cash balance (Prior period)'!C:C,Table11[[#This Row],[ACCOUNT NUMBER]],'Cash balance (Prior period)'!E:E,Table11[[#This Row],[CURRENCY]])</f>
        <v>0</v>
      </c>
      <c r="R708" s="817">
        <f>SUMIFS(Movement!$F$4:$F$2136,Movement!$M$4:$M$2136,"USD",Movement!$C$4:$C$2136,Table11[[#This Row],[ACCOUNT NUMBER]],Movement!$J$4:$J$2136,Table11[[#This Row],[ENTITY]],Movement!$O$4:$O$2136,'Cash Balance'!$A$2)</f>
        <v>0</v>
      </c>
      <c r="S708" s="817">
        <f>SUMIFS(Movement!$G$4:$G$2136,Movement!$M$4:$M$2136,"USD",Movement!$C$4:$C$2136,Table11[[#This Row],[ACCOUNT NUMBER]],Movement!$J$4:$J$2136,Table11[[#This Row],[ENTITY]],Movement!$O$4:$O$2136,'Cash Balance'!$A$2)</f>
        <v>0</v>
      </c>
      <c r="T708" s="1087">
        <f t="shared" si="77"/>
        <v>0</v>
      </c>
      <c r="U708" s="1090"/>
      <c r="V708" s="1091">
        <f>Table11[[#This Row],[CLOSING BALANCE (USD)]]-Table11[[#This Row],[CB_BS (USD)]]</f>
        <v>0</v>
      </c>
      <c r="W708" s="1156" t="str">
        <f>VLOOKUP('Cash Balance'!$C708,Table2[#All],MATCH('Cash Balance'!W$3,Acc_Char!$B$1:$I$1,0),0)</f>
        <v>VC3</v>
      </c>
      <c r="X708" s="1156" t="str">
        <f>VLOOKUP(IFERROR(MID($Y708,1,FIND("-",$Y708)-2),$Y708),Table3[#All],2,0)</f>
        <v>VTB</v>
      </c>
      <c r="Y708" s="1156" t="str">
        <f>VLOOKUP($B708,Table4[#All],2,0)</f>
        <v>VIETINBANK - BINH DUONG + QM</v>
      </c>
      <c r="Z708" s="1151"/>
      <c r="AA708" s="49"/>
    </row>
    <row r="709" spans="1:27" s="1194" customFormat="1" ht="14.4">
      <c r="A709" s="988" t="str">
        <f>VLOOKUP('Cash Balance'!$C709,Table2[#All],MATCH('Cash Balance'!A$3,Acc_Char!$B$1:$I$1,0),0)</f>
        <v>BCI JSC</v>
      </c>
      <c r="B709" s="1154" t="str">
        <f>VLOOKUP('Cash Balance'!$C709,Table2[#All],MATCH('Cash Balance'!B$3,Acc_Char!$B$1:$I$1,0),0)</f>
        <v>VIETINBANK - TIEN SON</v>
      </c>
      <c r="C709" s="1195" t="s">
        <v>1323</v>
      </c>
      <c r="D709" s="1156" t="str">
        <f>VLOOKUP('Cash Balance'!$C709,Table2[#All],MATCH('Cash Balance'!D$3,Acc_Char!$B$1:$I$1,0),0)</f>
        <v>Saving Account</v>
      </c>
      <c r="E709" s="384" t="str">
        <f>VLOOKUP('Cash Balance'!$C709,Table2[#All],MATCH('Cash Balance'!E$3,Acc_Char!$B$1:$I$1,0),0)</f>
        <v>VND</v>
      </c>
      <c r="F709" s="1084" t="e">
        <f>VLOOKUP(C709,'Cash balance (BS)'!A:C,3,)</f>
        <v>#N/A</v>
      </c>
      <c r="G709" s="1191" t="e">
        <f t="shared" si="74"/>
        <v>#N/A</v>
      </c>
      <c r="H709" s="1318">
        <f>SUMIFS('Cash balance (Prior period)'!F:F,'Cash balance (Prior period)'!C:C,Table11[[#This Row],[ACCOUNT NUMBER]],'Cash balance (Prior period)'!E:E,Table11[[#This Row],[CURRENCY]])</f>
        <v>6000000000</v>
      </c>
      <c r="I709" s="1318">
        <f>SUMIFS(Movement!$F$4:$F$2136,Movement!$M$4:$M$2136,"VND",Movement!$C$4:$C$2136,Table11[[#This Row],[ACCOUNT NUMBER]],Movement!$J$4:$J$2136,Table11[[#This Row],[ENTITY]],Movement!$O$4:$O$2136,'Cash Balance'!$A$2)</f>
        <v>0</v>
      </c>
      <c r="J709" s="1318">
        <f>SUMIFS(Movement!$G$4:$G$2136,Movement!$M$4:$M$2136,"VND",Movement!$C$4:$C$2136,Table11[[#This Row],[ACCOUNT NUMBER]],Movement!$J$4:$J$2136,Table11[[#This Row],[ENTITY]],Movement!$O$4:$O$2136,'Cash Balance'!$A$2)</f>
        <v>0</v>
      </c>
      <c r="K709" s="1084">
        <f>Table11[[#This Row],[CASH IN - CREDIT (VND)]]-Table11[[#This Row],[CASH OUT - DEBIT (VND)]]</f>
        <v>0</v>
      </c>
      <c r="L709" s="1095">
        <f t="shared" si="75"/>
        <v>6000000000</v>
      </c>
      <c r="M709" s="1184" t="e">
        <f>VLOOKUP(C709,'Cash balance (BS)'!A:D,4,)</f>
        <v>#N/A</v>
      </c>
      <c r="N709" s="1095" t="e">
        <f>Table11[[#This Row],[CLOSING BALANCE (VND)2]]-Table11[[#This Row],[CB_BS (VND)]]</f>
        <v>#N/A</v>
      </c>
      <c r="O709" s="1094">
        <v>0</v>
      </c>
      <c r="P709" s="1095">
        <f t="shared" si="76"/>
        <v>0</v>
      </c>
      <c r="Q709" s="817">
        <f>SUMIFS('Cash balance (Prior period)'!G:G,'Cash balance (Prior period)'!C:C,Table11[[#This Row],[ACCOUNT NUMBER]],'Cash balance (Prior period)'!E:E,Table11[[#This Row],[CURRENCY]])</f>
        <v>0</v>
      </c>
      <c r="R709" s="817">
        <f>SUMIFS(Movement!$F$4:$F$2136,Movement!$M$4:$M$2136,"USD",Movement!$C$4:$C$2136,Table11[[#This Row],[ACCOUNT NUMBER]],Movement!$J$4:$J$2136,Table11[[#This Row],[ENTITY]],Movement!$O$4:$O$2136,'Cash Balance'!$A$2)</f>
        <v>0</v>
      </c>
      <c r="S709" s="817">
        <f>SUMIFS(Movement!$G$4:$G$2136,Movement!$M$4:$M$2136,"USD",Movement!$C$4:$C$2136,Table11[[#This Row],[ACCOUNT NUMBER]],Movement!$J$4:$J$2136,Table11[[#This Row],[ENTITY]],Movement!$O$4:$O$2136,'Cash Balance'!$A$2)</f>
        <v>0</v>
      </c>
      <c r="T709" s="1087">
        <f t="shared" si="77"/>
        <v>0</v>
      </c>
      <c r="U709" s="1090"/>
      <c r="V709" s="1091">
        <f>Table11[[#This Row],[CLOSING BALANCE (USD)]]-Table11[[#This Row],[CB_BS (USD)]]</f>
        <v>0</v>
      </c>
      <c r="W709" s="1156" t="str">
        <f>VLOOKUP('Cash Balance'!$C709,Table2[#All],MATCH('Cash Balance'!W$3,Acc_Char!$B$1:$I$1,0),0)</f>
        <v>Subsidiaries</v>
      </c>
      <c r="X709" s="1156" t="str">
        <f>VLOOKUP(IFERROR(MID($Y709,1,FIND("-",$Y709)-2),$Y709),Table3[#All],2,0)</f>
        <v>VTB</v>
      </c>
      <c r="Y709" s="1156" t="str">
        <f>VLOOKUP($B709,Table4[#All],2,0)</f>
        <v>VIETINBANK - TIEN SON</v>
      </c>
      <c r="Z709" s="1151"/>
      <c r="AA709" s="49"/>
    </row>
    <row r="710" spans="1:27" s="1194" customFormat="1" ht="14.4">
      <c r="A710" s="988" t="str">
        <f>VLOOKUP('Cash Balance'!$C710,Table2[#All],MATCH('Cash Balance'!A$3,Acc_Char!$B$1:$I$1,0),0)</f>
        <v>BWID Tan Phu Trung</v>
      </c>
      <c r="B710" s="1154" t="str">
        <f>VLOOKUP('Cash Balance'!$C710,Table2[#All],MATCH('Cash Balance'!B$3,Acc_Char!$B$1:$I$1,0),0)</f>
        <v>VIETINBANK - TIEN SON</v>
      </c>
      <c r="C710" s="1195" t="s">
        <v>1324</v>
      </c>
      <c r="D710" s="1156" t="str">
        <f>VLOOKUP('Cash Balance'!$C710,Table2[#All],MATCH('Cash Balance'!D$3,Acc_Char!$B$1:$I$1,0),0)</f>
        <v>Saving Account</v>
      </c>
      <c r="E710" s="384" t="str">
        <f>VLOOKUP('Cash Balance'!$C710,Table2[#All],MATCH('Cash Balance'!E$3,Acc_Char!$B$1:$I$1,0),0)</f>
        <v>VND</v>
      </c>
      <c r="F710" s="1084" t="e">
        <f>VLOOKUP(C710,'Cash balance (BS)'!A:C,3,)</f>
        <v>#N/A</v>
      </c>
      <c r="G710" s="1191" t="e">
        <f t="shared" si="74"/>
        <v>#N/A</v>
      </c>
      <c r="H710" s="1318">
        <f>SUMIFS('Cash balance (Prior period)'!F:F,'Cash balance (Prior period)'!C:C,Table11[[#This Row],[ACCOUNT NUMBER]],'Cash balance (Prior period)'!E:E,Table11[[#This Row],[CURRENCY]])</f>
        <v>0</v>
      </c>
      <c r="I710" s="1318">
        <f>SUMIFS(Movement!$F$4:$F$2136,Movement!$M$4:$M$2136,"VND",Movement!$C$4:$C$2136,Table11[[#This Row],[ACCOUNT NUMBER]],Movement!$J$4:$J$2136,Table11[[#This Row],[ENTITY]],Movement!$O$4:$O$2136,'Cash Balance'!$A$2)</f>
        <v>0</v>
      </c>
      <c r="J710" s="1318">
        <f>SUMIFS(Movement!$G$4:$G$2136,Movement!$M$4:$M$2136,"VND",Movement!$C$4:$C$2136,Table11[[#This Row],[ACCOUNT NUMBER]],Movement!$J$4:$J$2136,Table11[[#This Row],[ENTITY]],Movement!$O$4:$O$2136,'Cash Balance'!$A$2)</f>
        <v>0</v>
      </c>
      <c r="K710" s="1084">
        <f>Table11[[#This Row],[CASH IN - CREDIT (VND)]]-Table11[[#This Row],[CASH OUT - DEBIT (VND)]]</f>
        <v>0</v>
      </c>
      <c r="L710" s="1095">
        <f t="shared" si="75"/>
        <v>0</v>
      </c>
      <c r="M710" s="1184" t="e">
        <f>VLOOKUP(C710,'Cash balance (BS)'!A:D,4,)</f>
        <v>#N/A</v>
      </c>
      <c r="N710" s="1095" t="e">
        <f>Table11[[#This Row],[CLOSING BALANCE (VND)2]]-Table11[[#This Row],[CB_BS (VND)]]</f>
        <v>#N/A</v>
      </c>
      <c r="O710" s="1094">
        <v>0</v>
      </c>
      <c r="P710" s="1095">
        <f t="shared" si="76"/>
        <v>0</v>
      </c>
      <c r="Q710" s="817">
        <f>SUMIFS('Cash balance (Prior period)'!G:G,'Cash balance (Prior period)'!C:C,Table11[[#This Row],[ACCOUNT NUMBER]],'Cash balance (Prior period)'!E:E,Table11[[#This Row],[CURRENCY]])</f>
        <v>0</v>
      </c>
      <c r="R710" s="817">
        <f>SUMIFS(Movement!$F$4:$F$2136,Movement!$M$4:$M$2136,"USD",Movement!$C$4:$C$2136,Table11[[#This Row],[ACCOUNT NUMBER]],Movement!$J$4:$J$2136,Table11[[#This Row],[ENTITY]],Movement!$O$4:$O$2136,'Cash Balance'!$A$2)</f>
        <v>0</v>
      </c>
      <c r="S710" s="817">
        <f>SUMIFS(Movement!$G$4:$G$2136,Movement!$M$4:$M$2136,"USD",Movement!$C$4:$C$2136,Table11[[#This Row],[ACCOUNT NUMBER]],Movement!$J$4:$J$2136,Table11[[#This Row],[ENTITY]],Movement!$O$4:$O$2136,'Cash Balance'!$A$2)</f>
        <v>0</v>
      </c>
      <c r="T710" s="1087">
        <f t="shared" si="77"/>
        <v>0</v>
      </c>
      <c r="U710" s="1090"/>
      <c r="V710" s="1091">
        <f>Table11[[#This Row],[CLOSING BALANCE (USD)]]-Table11[[#This Row],[CB_BS (USD)]]</f>
        <v>0</v>
      </c>
      <c r="W710" s="1156" t="str">
        <f>VLOOKUP('Cash Balance'!$C710,Table2[#All],MATCH('Cash Balance'!W$3,Acc_Char!$B$1:$I$1,0),0)</f>
        <v>Subsidiaries</v>
      </c>
      <c r="X710" s="1156" t="str">
        <f>VLOOKUP(IFERROR(MID($Y710,1,FIND("-",$Y710)-2),$Y710),Table3[#All],2,0)</f>
        <v>VTB</v>
      </c>
      <c r="Y710" s="1156" t="str">
        <f>VLOOKUP($B710,Table4[#All],2,0)</f>
        <v>VIETINBANK - TIEN SON</v>
      </c>
      <c r="Z710" s="1151"/>
      <c r="AA710" s="49"/>
    </row>
    <row r="711" spans="1:27" s="1194" customFormat="1" ht="14.4">
      <c r="A711" s="1196" t="str">
        <f>VLOOKUP('Cash Balance'!$C711,Table2[#All],MATCH('Cash Balance'!A$3,Acc_Char!$B$1:$I$1,0),0)</f>
        <v>BWID HAI DUONG 2</v>
      </c>
      <c r="B711" s="1154" t="str">
        <f>VLOOKUP('Cash Balance'!$C711,Table2[#All],MATCH('Cash Balance'!B$3,Acc_Char!$B$1:$I$1,0),0)</f>
        <v>VIETINBANK - TIEN SON</v>
      </c>
      <c r="C711" s="1195" t="s">
        <v>1325</v>
      </c>
      <c r="D711" s="1156" t="str">
        <f>VLOOKUP('Cash Balance'!$C711,Table2[#All],MATCH('Cash Balance'!D$3,Acc_Char!$B$1:$I$1,0),0)</f>
        <v>Saving Account</v>
      </c>
      <c r="E711" s="384" t="str">
        <f>VLOOKUP('Cash Balance'!$C711,Table2[#All],MATCH('Cash Balance'!E$3,Acc_Char!$B$1:$I$1,0),0)</f>
        <v>VND</v>
      </c>
      <c r="F711" s="1084" t="e">
        <f>VLOOKUP(C711,'Cash balance (BS)'!A:C,3,)</f>
        <v>#N/A</v>
      </c>
      <c r="G711" s="1191" t="e">
        <f t="shared" si="74"/>
        <v>#N/A</v>
      </c>
      <c r="H711" s="1318">
        <f>SUMIFS('Cash balance (Prior period)'!F:F,'Cash balance (Prior period)'!C:C,Table11[[#This Row],[ACCOUNT NUMBER]],'Cash balance (Prior period)'!E:E,Table11[[#This Row],[CURRENCY]])</f>
        <v>16000000000</v>
      </c>
      <c r="I711" s="1318">
        <f>SUMIFS(Movement!$F$4:$F$2136,Movement!$M$4:$M$2136,"VND",Movement!$C$4:$C$2136,Table11[[#This Row],[ACCOUNT NUMBER]],Movement!$J$4:$J$2136,Table11[[#This Row],[ENTITY]],Movement!$O$4:$O$2136,'Cash Balance'!$A$2)</f>
        <v>0</v>
      </c>
      <c r="J711" s="1318">
        <f>SUMIFS(Movement!$G$4:$G$2136,Movement!$M$4:$M$2136,"VND",Movement!$C$4:$C$2136,Table11[[#This Row],[ACCOUNT NUMBER]],Movement!$J$4:$J$2136,Table11[[#This Row],[ENTITY]],Movement!$O$4:$O$2136,'Cash Balance'!$A$2)</f>
        <v>0</v>
      </c>
      <c r="K711" s="1084">
        <f>Table11[[#This Row],[CASH IN - CREDIT (VND)]]-Table11[[#This Row],[CASH OUT - DEBIT (VND)]]</f>
        <v>0</v>
      </c>
      <c r="L711" s="1095">
        <f t="shared" si="75"/>
        <v>16000000000</v>
      </c>
      <c r="M711" s="1184" t="e">
        <f>VLOOKUP(C711,'Cash balance (BS)'!A:D,4,)</f>
        <v>#N/A</v>
      </c>
      <c r="N711" s="1095" t="e">
        <f>Table11[[#This Row],[CLOSING BALANCE (VND)2]]-Table11[[#This Row],[CB_BS (VND)]]</f>
        <v>#N/A</v>
      </c>
      <c r="O711" s="1094">
        <v>0</v>
      </c>
      <c r="P711" s="1095">
        <f t="shared" si="76"/>
        <v>0</v>
      </c>
      <c r="Q711" s="817">
        <f>SUMIFS('Cash balance (Prior period)'!G:G,'Cash balance (Prior period)'!C:C,Table11[[#This Row],[ACCOUNT NUMBER]],'Cash balance (Prior period)'!E:E,Table11[[#This Row],[CURRENCY]])</f>
        <v>0</v>
      </c>
      <c r="R711" s="817">
        <f>SUMIFS(Movement!$F$4:$F$2136,Movement!$M$4:$M$2136,"USD",Movement!$C$4:$C$2136,Table11[[#This Row],[ACCOUNT NUMBER]],Movement!$J$4:$J$2136,Table11[[#This Row],[ENTITY]],Movement!$O$4:$O$2136,'Cash Balance'!$A$2)</f>
        <v>0</v>
      </c>
      <c r="S711" s="817">
        <f>SUMIFS(Movement!$G$4:$G$2136,Movement!$M$4:$M$2136,"USD",Movement!$C$4:$C$2136,Table11[[#This Row],[ACCOUNT NUMBER]],Movement!$J$4:$J$2136,Table11[[#This Row],[ENTITY]],Movement!$O$4:$O$2136,'Cash Balance'!$A$2)</f>
        <v>0</v>
      </c>
      <c r="T711" s="1087">
        <f t="shared" si="77"/>
        <v>0</v>
      </c>
      <c r="U711" s="1090"/>
      <c r="V711" s="1091">
        <f>Table11[[#This Row],[CLOSING BALANCE (USD)]]-Table11[[#This Row],[CB_BS (USD)]]</f>
        <v>0</v>
      </c>
      <c r="W711" s="1156" t="str">
        <f>VLOOKUP('Cash Balance'!$C711,Table2[#All],MATCH('Cash Balance'!W$3,Acc_Char!$B$1:$I$1,0),0)</f>
        <v>Subsidiaries</v>
      </c>
      <c r="X711" s="1156" t="str">
        <f>VLOOKUP(IFERROR(MID($Y711,1,FIND("-",$Y711)-2),$Y711),Table3[#All],2,0)</f>
        <v>VTB</v>
      </c>
      <c r="Y711" s="1156" t="str">
        <f>VLOOKUP($B711,Table4[#All],2,0)</f>
        <v>VIETINBANK - TIEN SON</v>
      </c>
      <c r="Z711" s="1151"/>
      <c r="AA711" s="49"/>
    </row>
    <row r="712" spans="1:27" s="1194" customFormat="1" ht="14.4">
      <c r="A712" s="1196" t="str">
        <f>VLOOKUP('Cash Balance'!$C712,Table2[#All],MATCH('Cash Balance'!A$3,Acc_Char!$B$1:$I$1,0),0)</f>
        <v>BWID HAI DUONG</v>
      </c>
      <c r="B712" s="1154" t="str">
        <f>VLOOKUP('Cash Balance'!$C712,Table2[#All],MATCH('Cash Balance'!B$3,Acc_Char!$B$1:$I$1,0),0)</f>
        <v>VIETINBANK - TIEN SON</v>
      </c>
      <c r="C712" s="1195" t="s">
        <v>1326</v>
      </c>
      <c r="D712" s="1156" t="str">
        <f>VLOOKUP('Cash Balance'!$C712,Table2[#All],MATCH('Cash Balance'!D$3,Acc_Char!$B$1:$I$1,0),0)</f>
        <v>Saving Account</v>
      </c>
      <c r="E712" s="384" t="str">
        <f>VLOOKUP('Cash Balance'!$C712,Table2[#All],MATCH('Cash Balance'!E$3,Acc_Char!$B$1:$I$1,0),0)</f>
        <v>VND</v>
      </c>
      <c r="F712" s="1224" t="e">
        <f>VLOOKUP(C712,'Cash balance (BS)'!A:C,3,)</f>
        <v>#N/A</v>
      </c>
      <c r="G712" s="1191" t="e">
        <f>F712-H712</f>
        <v>#N/A</v>
      </c>
      <c r="H712" s="1319">
        <f>SUMIFS('Cash balance (Prior period)'!F:F,'Cash balance (Prior period)'!C:C,Table11[[#This Row],[ACCOUNT NUMBER]],'Cash balance (Prior period)'!E:E,Table11[[#This Row],[CURRENCY]])</f>
        <v>0</v>
      </c>
      <c r="I712" s="1319">
        <f>SUMIFS(Movement!$F$4:$F$2136,Movement!$M$4:$M$2136,"VND",Movement!$C$4:$C$2136,Table11[[#This Row],[ACCOUNT NUMBER]],Movement!$J$4:$J$2136,Table11[[#This Row],[ENTITY]],Movement!$O$4:$O$2136,'Cash Balance'!$A$2)</f>
        <v>0</v>
      </c>
      <c r="J712" s="1319">
        <f>SUMIFS(Movement!$G$4:$G$2136,Movement!$M$4:$M$2136,"VND",Movement!$C$4:$C$2136,Table11[[#This Row],[ACCOUNT NUMBER]],Movement!$J$4:$J$2136,Table11[[#This Row],[ENTITY]],Movement!$O$4:$O$2136,'Cash Balance'!$A$2)</f>
        <v>0</v>
      </c>
      <c r="K712" s="1224">
        <f>Table11[[#This Row],[CASH IN - CREDIT (VND)]]-Table11[[#This Row],[CASH OUT - DEBIT (VND)]]</f>
        <v>0</v>
      </c>
      <c r="L712" s="1225">
        <f>H712+I712-J712</f>
        <v>0</v>
      </c>
      <c r="M712" s="1184" t="e">
        <f>VLOOKUP(C712,'Cash balance (BS)'!A:D,4,)</f>
        <v>#N/A</v>
      </c>
      <c r="N712" s="1225" t="e">
        <f>Table11[[#This Row],[CLOSING BALANCE (VND)2]]-Table11[[#This Row],[CB_BS (VND)]]</f>
        <v>#N/A</v>
      </c>
      <c r="O712" s="1230">
        <v>0</v>
      </c>
      <c r="P712" s="1225">
        <f>O712-Q712</f>
        <v>0</v>
      </c>
      <c r="Q712" s="1285">
        <f>SUMIFS('Cash balance (Prior period)'!G:G,'Cash balance (Prior period)'!C:C,Table11[[#This Row],[ACCOUNT NUMBER]],'Cash balance (Prior period)'!E:E,Table11[[#This Row],[CURRENCY]])</f>
        <v>0</v>
      </c>
      <c r="R712" s="1285">
        <f>SUMIFS(Movement!$F$4:$F$2136,Movement!$M$4:$M$2136,"USD",Movement!$C$4:$C$2136,Table11[[#This Row],[ACCOUNT NUMBER]],Movement!$J$4:$J$2136,Table11[[#This Row],[ENTITY]],Movement!$O$4:$O$2136,'Cash Balance'!$A$2)</f>
        <v>0</v>
      </c>
      <c r="S712" s="1285">
        <f>SUMIFS(Movement!$G$4:$G$2136,Movement!$M$4:$M$2136,"USD",Movement!$C$4:$C$2136,Table11[[#This Row],[ACCOUNT NUMBER]],Movement!$J$4:$J$2136,Table11[[#This Row],[ENTITY]],Movement!$O$4:$O$2136,'Cash Balance'!$A$2)</f>
        <v>0</v>
      </c>
      <c r="T712" s="1236">
        <f>Q712+R712-S712</f>
        <v>0</v>
      </c>
      <c r="U712" s="1231"/>
      <c r="V712" s="1232">
        <f>Table11[[#This Row],[CLOSING BALANCE (USD)]]-Table11[[#This Row],[CB_BS (USD)]]</f>
        <v>0</v>
      </c>
      <c r="W712" s="1156" t="str">
        <f>VLOOKUP('Cash Balance'!$C712,Table2[#All],MATCH('Cash Balance'!W$3,Acc_Char!$B$1:$I$1,0),0)</f>
        <v>Subsidiaries</v>
      </c>
      <c r="X712" s="1156" t="str">
        <f>VLOOKUP(IFERROR(MID($Y712,1,FIND("-",$Y712)-2),$Y712),Table3[#All],2,0)</f>
        <v>VTB</v>
      </c>
      <c r="Y712" s="1156" t="str">
        <f>VLOOKUP($B712,Table4[#All],2,0)</f>
        <v>VIETINBANK - TIEN SON</v>
      </c>
      <c r="Z712" s="1151"/>
      <c r="AA712" s="49"/>
    </row>
    <row r="713" spans="1:27" s="1194" customFormat="1" ht="14.4">
      <c r="A713" s="1196" t="str">
        <f>VLOOKUP('Cash Balance'!$C713,Table2[#All],MATCH('Cash Balance'!A$3,Acc_Char!$B$1:$I$1,0),0)</f>
        <v>TAN DONG HIEP B ELECTRON</v>
      </c>
      <c r="B713" s="1154" t="str">
        <f>VLOOKUP('Cash Balance'!$C713,Table2[#All],MATCH('Cash Balance'!B$3,Acc_Char!$B$1:$I$1,0),0)</f>
        <v>VIETINBANK - TPHCM</v>
      </c>
      <c r="C713" s="1195" t="s">
        <v>1327</v>
      </c>
      <c r="D713" s="1156" t="str">
        <f>VLOOKUP('Cash Balance'!$C713,Table2[#All],MATCH('Cash Balance'!D$3,Acc_Char!$B$1:$I$1,0),0)</f>
        <v>Saving Account</v>
      </c>
      <c r="E713" s="384" t="str">
        <f>VLOOKUP('Cash Balance'!$C713,Table2[#All],MATCH('Cash Balance'!E$3,Acc_Char!$B$1:$I$1,0),0)</f>
        <v>VND</v>
      </c>
      <c r="F713" s="1084" t="e">
        <f>VLOOKUP(C713,'Cash balance (BS)'!A:C,3,)</f>
        <v>#N/A</v>
      </c>
      <c r="G713" s="1191" t="e">
        <f t="shared" si="74"/>
        <v>#N/A</v>
      </c>
      <c r="H713" s="1318">
        <f>SUMIFS('Cash balance (Prior period)'!F:F,'Cash balance (Prior period)'!C:C,Table11[[#This Row],[ACCOUNT NUMBER]],'Cash balance (Prior period)'!E:E,Table11[[#This Row],[CURRENCY]])</f>
        <v>15000000000</v>
      </c>
      <c r="I713" s="1318">
        <f>SUMIFS(Movement!$F$4:$F$2136,Movement!$M$4:$M$2136,"VND",Movement!$C$4:$C$2136,Table11[[#This Row],[ACCOUNT NUMBER]],Movement!$J$4:$J$2136,Table11[[#This Row],[ENTITY]],Movement!$O$4:$O$2136,'Cash Balance'!$A$2)</f>
        <v>0</v>
      </c>
      <c r="J713" s="1318">
        <f>SUMIFS(Movement!$G$4:$G$2136,Movement!$M$4:$M$2136,"VND",Movement!$C$4:$C$2136,Table11[[#This Row],[ACCOUNT NUMBER]],Movement!$J$4:$J$2136,Table11[[#This Row],[ENTITY]],Movement!$O$4:$O$2136,'Cash Balance'!$A$2)</f>
        <v>0</v>
      </c>
      <c r="K713" s="1084">
        <f>Table11[[#This Row],[CASH IN - CREDIT (VND)]]-Table11[[#This Row],[CASH OUT - DEBIT (VND)]]</f>
        <v>0</v>
      </c>
      <c r="L713" s="1095">
        <f t="shared" si="75"/>
        <v>15000000000</v>
      </c>
      <c r="M713" s="1184" t="e">
        <f>VLOOKUP(C713,'Cash balance (BS)'!A:D,4,)</f>
        <v>#N/A</v>
      </c>
      <c r="N713" s="1095" t="e">
        <f>Table11[[#This Row],[CLOSING BALANCE (VND)2]]-Table11[[#This Row],[CB_BS (VND)]]</f>
        <v>#N/A</v>
      </c>
      <c r="O713" s="1094">
        <v>0</v>
      </c>
      <c r="P713" s="1095">
        <f t="shared" si="76"/>
        <v>0</v>
      </c>
      <c r="Q713" s="817">
        <f>SUMIFS('Cash balance (Prior period)'!G:G,'Cash balance (Prior period)'!C:C,Table11[[#This Row],[ACCOUNT NUMBER]],'Cash balance (Prior period)'!E:E,Table11[[#This Row],[CURRENCY]])</f>
        <v>0</v>
      </c>
      <c r="R713" s="817">
        <f>SUMIFS(Movement!$F$4:$F$2136,Movement!$M$4:$M$2136,"USD",Movement!$C$4:$C$2136,Table11[[#This Row],[ACCOUNT NUMBER]],Movement!$J$4:$J$2136,Table11[[#This Row],[ENTITY]],Movement!$O$4:$O$2136,'Cash Balance'!$A$2)</f>
        <v>0</v>
      </c>
      <c r="S713" s="817">
        <f>SUMIFS(Movement!$G$4:$G$2136,Movement!$M$4:$M$2136,"USD",Movement!$C$4:$C$2136,Table11[[#This Row],[ACCOUNT NUMBER]],Movement!$J$4:$J$2136,Table11[[#This Row],[ENTITY]],Movement!$O$4:$O$2136,'Cash Balance'!$A$2)</f>
        <v>0</v>
      </c>
      <c r="T713" s="1087">
        <f t="shared" si="77"/>
        <v>0</v>
      </c>
      <c r="U713" s="1090"/>
      <c r="V713" s="1091">
        <f>Table11[[#This Row],[CLOSING BALANCE (USD)]]-Table11[[#This Row],[CB_BS (USD)]]</f>
        <v>0</v>
      </c>
      <c r="W713" s="1156" t="str">
        <f>VLOOKUP('Cash Balance'!$C713,Table2[#All],MATCH('Cash Balance'!W$3,Acc_Char!$B$1:$I$1,0),0)</f>
        <v>Subsidiaries</v>
      </c>
      <c r="X713" s="1156" t="str">
        <f>VLOOKUP(IFERROR(MID($Y713,1,FIND("-",$Y713)-2),$Y713),Table3[#All],2,0)</f>
        <v>VTB</v>
      </c>
      <c r="Y713" s="1156" t="str">
        <f>VLOOKUP($B713,Table4[#All],2,0)</f>
        <v>VIETINBANK - TPHCM</v>
      </c>
      <c r="Z713" s="1151"/>
      <c r="AA713" s="49"/>
    </row>
    <row r="714" spans="1:27" s="1194" customFormat="1" ht="14.4">
      <c r="A714" s="1196" t="str">
        <f>VLOOKUP('Cash Balance'!$C714,Table2[#All],MATCH('Cash Balance'!A$3,Acc_Char!$B$1:$I$1,0),0)</f>
        <v>LONG BINH</v>
      </c>
      <c r="B714" s="1154" t="str">
        <f>VLOOKUP('Cash Balance'!$C714,Table2[#All],MATCH('Cash Balance'!B$3,Acc_Char!$B$1:$I$1,0),0)</f>
        <v>VIETINBANK - CN1</v>
      </c>
      <c r="C714" s="1195" t="s">
        <v>1328</v>
      </c>
      <c r="D714" s="1156" t="str">
        <f>VLOOKUP('Cash Balance'!$C714,Table2[#All],MATCH('Cash Balance'!D$3,Acc_Char!$B$1:$I$1,0),0)</f>
        <v>Saving Account</v>
      </c>
      <c r="E714" s="384" t="str">
        <f>VLOOKUP('Cash Balance'!$C714,Table2[#All],MATCH('Cash Balance'!E$3,Acc_Char!$B$1:$I$1,0),0)</f>
        <v>VND</v>
      </c>
      <c r="F714" s="1084" t="e">
        <f>VLOOKUP(C714,'Cash balance (BS)'!A:C,3,)</f>
        <v>#N/A</v>
      </c>
      <c r="G714" s="1191" t="e">
        <f t="shared" si="74"/>
        <v>#N/A</v>
      </c>
      <c r="H714" s="1318">
        <f>SUMIFS('Cash balance (Prior period)'!F:F,'Cash balance (Prior period)'!C:C,Table11[[#This Row],[ACCOUNT NUMBER]],'Cash balance (Prior period)'!E:E,Table11[[#This Row],[CURRENCY]])</f>
        <v>0</v>
      </c>
      <c r="I714" s="1318">
        <f>SUMIFS(Movement!$F$4:$F$2136,Movement!$M$4:$M$2136,"VND",Movement!$C$4:$C$2136,Table11[[#This Row],[ACCOUNT NUMBER]],Movement!$J$4:$J$2136,Table11[[#This Row],[ENTITY]],Movement!$O$4:$O$2136,'Cash Balance'!$A$2)</f>
        <v>0</v>
      </c>
      <c r="J714" s="1318">
        <f>SUMIFS(Movement!$G$4:$G$2136,Movement!$M$4:$M$2136,"VND",Movement!$C$4:$C$2136,Table11[[#This Row],[ACCOUNT NUMBER]],Movement!$J$4:$J$2136,Table11[[#This Row],[ENTITY]],Movement!$O$4:$O$2136,'Cash Balance'!$A$2)</f>
        <v>0</v>
      </c>
      <c r="K714" s="1084">
        <f>Table11[[#This Row],[CASH IN - CREDIT (VND)]]-Table11[[#This Row],[CASH OUT - DEBIT (VND)]]</f>
        <v>0</v>
      </c>
      <c r="L714" s="1095">
        <f t="shared" si="75"/>
        <v>0</v>
      </c>
      <c r="M714" s="1184" t="e">
        <f>VLOOKUP(C714,'Cash balance (BS)'!A:D,4,)</f>
        <v>#N/A</v>
      </c>
      <c r="N714" s="1095" t="e">
        <f>Table11[[#This Row],[CLOSING BALANCE (VND)2]]-Table11[[#This Row],[CB_BS (VND)]]</f>
        <v>#N/A</v>
      </c>
      <c r="O714" s="1094">
        <v>0</v>
      </c>
      <c r="P714" s="1095">
        <f t="shared" si="76"/>
        <v>0</v>
      </c>
      <c r="Q714" s="817">
        <f>SUMIFS('Cash balance (Prior period)'!G:G,'Cash balance (Prior period)'!C:C,Table11[[#This Row],[ACCOUNT NUMBER]],'Cash balance (Prior period)'!E:E,Table11[[#This Row],[CURRENCY]])</f>
        <v>0</v>
      </c>
      <c r="R714" s="817">
        <f>SUMIFS(Movement!$F$4:$F$2136,Movement!$M$4:$M$2136,"USD",Movement!$C$4:$C$2136,Table11[[#This Row],[ACCOUNT NUMBER]],Movement!$J$4:$J$2136,Table11[[#This Row],[ENTITY]],Movement!$O$4:$O$2136,'Cash Balance'!$A$2)</f>
        <v>0</v>
      </c>
      <c r="S714" s="817">
        <f>SUMIFS(Movement!$G$4:$G$2136,Movement!$M$4:$M$2136,"USD",Movement!$C$4:$C$2136,Table11[[#This Row],[ACCOUNT NUMBER]],Movement!$J$4:$J$2136,Table11[[#This Row],[ENTITY]],Movement!$O$4:$O$2136,'Cash Balance'!$A$2)</f>
        <v>0</v>
      </c>
      <c r="T714" s="1087">
        <f t="shared" si="77"/>
        <v>0</v>
      </c>
      <c r="U714" s="1090"/>
      <c r="V714" s="1091">
        <f>Table11[[#This Row],[CLOSING BALANCE (USD)]]-Table11[[#This Row],[CB_BS (USD)]]</f>
        <v>0</v>
      </c>
      <c r="W714" s="1156" t="str">
        <f>VLOOKUP('Cash Balance'!$C714,Table2[#All],MATCH('Cash Balance'!W$3,Acc_Char!$B$1:$I$1,0),0)</f>
        <v>Subsidiaries</v>
      </c>
      <c r="X714" s="1156" t="str">
        <f>VLOOKUP(IFERROR(MID($Y714,1,FIND("-",$Y714)-2),$Y714),Table3[#All],2,0)</f>
        <v>VTB</v>
      </c>
      <c r="Y714" s="1156" t="str">
        <f>VLOOKUP($B714,Table4[#All],2,0)</f>
        <v>VIETINBANK - CN1</v>
      </c>
      <c r="Z714" s="1151"/>
      <c r="AA714" s="49"/>
    </row>
    <row r="715" spans="1:27">
      <c r="A715" s="1196" t="str">
        <f>VLOOKUP('Cash Balance'!$C715,Table2[#All],MATCH('Cash Balance'!A$3,Acc_Char!$B$1:$I$1,0),0)</f>
        <v>BWID Tan Phu Trung</v>
      </c>
      <c r="B715" s="1154" t="str">
        <f>VLOOKUP('Cash Balance'!$C715,Table2[#All],MATCH('Cash Balance'!B$3,Acc_Char!$B$1:$I$1,0),0)</f>
        <v>VIETINBANK - TIEN SON</v>
      </c>
      <c r="C715" s="1195" t="s">
        <v>1329</v>
      </c>
      <c r="D715" s="1156" t="str">
        <f>VLOOKUP('Cash Balance'!$C715,Table2[#All],MATCH('Cash Balance'!D$3,Acc_Char!$B$1:$I$1,0),0)</f>
        <v>Saving Account</v>
      </c>
      <c r="E715" s="384" t="str">
        <f>VLOOKUP('Cash Balance'!$C715,Table2[#All],MATCH('Cash Balance'!E$3,Acc_Char!$B$1:$I$1,0),0)</f>
        <v>VND</v>
      </c>
      <c r="F715" s="1084" t="e">
        <f>VLOOKUP(C715,'Cash balance (BS)'!A:C,3,)</f>
        <v>#N/A</v>
      </c>
      <c r="G715" s="1191" t="e">
        <f t="shared" si="74"/>
        <v>#N/A</v>
      </c>
      <c r="H715" s="1318">
        <f>SUMIFS('Cash balance (Prior period)'!F:F,'Cash balance (Prior period)'!C:C,Table11[[#This Row],[ACCOUNT NUMBER]],'Cash balance (Prior period)'!E:E,Table11[[#This Row],[CURRENCY]])</f>
        <v>0</v>
      </c>
      <c r="I715" s="1318">
        <f>SUMIFS(Movement!$F$4:$F$2136,Movement!$M$4:$M$2136,"VND",Movement!$C$4:$C$2136,Table11[[#This Row],[ACCOUNT NUMBER]],Movement!$J$4:$J$2136,Table11[[#This Row],[ENTITY]],Movement!$O$4:$O$2136,'Cash Balance'!$A$2)</f>
        <v>0</v>
      </c>
      <c r="J715" s="1318">
        <f>SUMIFS(Movement!$G$4:$G$2136,Movement!$M$4:$M$2136,"VND",Movement!$C$4:$C$2136,Table11[[#This Row],[ACCOUNT NUMBER]],Movement!$J$4:$J$2136,Table11[[#This Row],[ENTITY]],Movement!$O$4:$O$2136,'Cash Balance'!$A$2)</f>
        <v>0</v>
      </c>
      <c r="K715" s="1084">
        <f>Table11[[#This Row],[CASH IN - CREDIT (VND)]]-Table11[[#This Row],[CASH OUT - DEBIT (VND)]]</f>
        <v>0</v>
      </c>
      <c r="L715" s="1095">
        <f t="shared" si="75"/>
        <v>0</v>
      </c>
      <c r="M715" s="1184" t="e">
        <f>VLOOKUP(C715,'Cash balance (BS)'!A:D,4,)</f>
        <v>#N/A</v>
      </c>
      <c r="N715" s="1095" t="e">
        <f>Table11[[#This Row],[CLOSING BALANCE (VND)2]]-Table11[[#This Row],[CB_BS (VND)]]</f>
        <v>#N/A</v>
      </c>
      <c r="O715" s="1094">
        <v>0</v>
      </c>
      <c r="P715" s="1095">
        <f t="shared" si="76"/>
        <v>0</v>
      </c>
      <c r="Q715" s="817">
        <f>SUMIFS('Cash balance (Prior period)'!G:G,'Cash balance (Prior period)'!C:C,Table11[[#This Row],[ACCOUNT NUMBER]],'Cash balance (Prior period)'!E:E,Table11[[#This Row],[CURRENCY]])</f>
        <v>0</v>
      </c>
      <c r="R715" s="817">
        <f>SUMIFS(Movement!$F$4:$F$2136,Movement!$M$4:$M$2136,"USD",Movement!$C$4:$C$2136,Table11[[#This Row],[ACCOUNT NUMBER]],Movement!$J$4:$J$2136,Table11[[#This Row],[ENTITY]],Movement!$O$4:$O$2136,'Cash Balance'!$A$2)</f>
        <v>0</v>
      </c>
      <c r="S715" s="817">
        <f>SUMIFS(Movement!$G$4:$G$2136,Movement!$M$4:$M$2136,"USD",Movement!$C$4:$C$2136,Table11[[#This Row],[ACCOUNT NUMBER]],Movement!$J$4:$J$2136,Table11[[#This Row],[ENTITY]],Movement!$O$4:$O$2136,'Cash Balance'!$A$2)</f>
        <v>0</v>
      </c>
      <c r="T715" s="1087">
        <f t="shared" si="77"/>
        <v>0</v>
      </c>
      <c r="U715" s="1090"/>
      <c r="V715" s="1091">
        <f>Table11[[#This Row],[CLOSING BALANCE (USD)]]-Table11[[#This Row],[CB_BS (USD)]]</f>
        <v>0</v>
      </c>
      <c r="W715" s="1156" t="str">
        <f>VLOOKUP('Cash Balance'!$C715,Table2[#All],MATCH('Cash Balance'!W$3,Acc_Char!$B$1:$I$1,0),0)</f>
        <v>Subsidiaries</v>
      </c>
      <c r="X715" s="1156" t="str">
        <f>VLOOKUP(IFERROR(MID($Y715,1,FIND("-",$Y715)-2),$Y715),Table3[#All],2,0)</f>
        <v>VTB</v>
      </c>
      <c r="Y715" s="1156" t="str">
        <f>VLOOKUP($B715,Table4[#All],2,0)</f>
        <v>VIETINBANK - TIEN SON</v>
      </c>
      <c r="Z715" s="1151"/>
      <c r="AA715" s="49"/>
    </row>
    <row r="716" spans="1:27">
      <c r="A716" s="1196" t="str">
        <f>VLOOKUP('Cash Balance'!$C716,Table2[#All],MATCH('Cash Balance'!A$3,Acc_Char!$B$1:$I$1,0),0)</f>
        <v>BWID BAC NINH</v>
      </c>
      <c r="B716" s="1154" t="str">
        <f>VLOOKUP('Cash Balance'!$C716,Table2[#All],MATCH('Cash Balance'!B$3,Acc_Char!$B$1:$I$1,0),0)</f>
        <v>VIETINBANK - TIEN SON</v>
      </c>
      <c r="C716" s="1195" t="s">
        <v>1330</v>
      </c>
      <c r="D716" s="1156" t="str">
        <f>VLOOKUP('Cash Balance'!$C716,Table2[#All],MATCH('Cash Balance'!D$3,Acc_Char!$B$1:$I$1,0),0)</f>
        <v>Saving Account</v>
      </c>
      <c r="E716" s="384" t="str">
        <f>VLOOKUP('Cash Balance'!$C716,Table2[#All],MATCH('Cash Balance'!E$3,Acc_Char!$B$1:$I$1,0),0)</f>
        <v>VND</v>
      </c>
      <c r="F716" s="1084" t="e">
        <f>VLOOKUP(C716,'Cash balance (BS)'!A:C,3,)</f>
        <v>#N/A</v>
      </c>
      <c r="G716" s="1191" t="e">
        <f t="shared" si="74"/>
        <v>#N/A</v>
      </c>
      <c r="H716" s="1318">
        <f>SUMIFS('Cash balance (Prior period)'!F:F,'Cash balance (Prior period)'!C:C,Table11[[#This Row],[ACCOUNT NUMBER]],'Cash balance (Prior period)'!E:E,Table11[[#This Row],[CURRENCY]])</f>
        <v>0</v>
      </c>
      <c r="I716" s="1318">
        <f>SUMIFS(Movement!$F$4:$F$2136,Movement!$M$4:$M$2136,"VND",Movement!$C$4:$C$2136,Table11[[#This Row],[ACCOUNT NUMBER]],Movement!$J$4:$J$2136,Table11[[#This Row],[ENTITY]],Movement!$O$4:$O$2136,'Cash Balance'!$A$2)</f>
        <v>0</v>
      </c>
      <c r="J716" s="1318">
        <f>SUMIFS(Movement!$G$4:$G$2136,Movement!$M$4:$M$2136,"VND",Movement!$C$4:$C$2136,Table11[[#This Row],[ACCOUNT NUMBER]],Movement!$J$4:$J$2136,Table11[[#This Row],[ENTITY]],Movement!$O$4:$O$2136,'Cash Balance'!$A$2)</f>
        <v>0</v>
      </c>
      <c r="K716" s="1084">
        <f>Table11[[#This Row],[CASH IN - CREDIT (VND)]]-Table11[[#This Row],[CASH OUT - DEBIT (VND)]]</f>
        <v>0</v>
      </c>
      <c r="L716" s="1095">
        <f t="shared" si="75"/>
        <v>0</v>
      </c>
      <c r="M716" s="1184" t="e">
        <f>VLOOKUP(C716,'Cash balance (BS)'!A:D,4,)</f>
        <v>#N/A</v>
      </c>
      <c r="N716" s="1095" t="e">
        <f>Table11[[#This Row],[CLOSING BALANCE (VND)2]]-Table11[[#This Row],[CB_BS (VND)]]</f>
        <v>#N/A</v>
      </c>
      <c r="O716" s="1094">
        <v>0</v>
      </c>
      <c r="P716" s="1095">
        <f t="shared" si="76"/>
        <v>0</v>
      </c>
      <c r="Q716" s="817">
        <f>SUMIFS('Cash balance (Prior period)'!G:G,'Cash balance (Prior period)'!C:C,Table11[[#This Row],[ACCOUNT NUMBER]],'Cash balance (Prior period)'!E:E,Table11[[#This Row],[CURRENCY]])</f>
        <v>0</v>
      </c>
      <c r="R716" s="817">
        <f>SUMIFS(Movement!$F$4:$F$2136,Movement!$M$4:$M$2136,"USD",Movement!$C$4:$C$2136,Table11[[#This Row],[ACCOUNT NUMBER]],Movement!$J$4:$J$2136,Table11[[#This Row],[ENTITY]],Movement!$O$4:$O$2136,'Cash Balance'!$A$2)</f>
        <v>0</v>
      </c>
      <c r="S716" s="817">
        <f>SUMIFS(Movement!$G$4:$G$2136,Movement!$M$4:$M$2136,"USD",Movement!$C$4:$C$2136,Table11[[#This Row],[ACCOUNT NUMBER]],Movement!$J$4:$J$2136,Table11[[#This Row],[ENTITY]],Movement!$O$4:$O$2136,'Cash Balance'!$A$2)</f>
        <v>0</v>
      </c>
      <c r="T716" s="1087">
        <f t="shared" si="77"/>
        <v>0</v>
      </c>
      <c r="U716" s="1090"/>
      <c r="V716" s="1091">
        <f>Table11[[#This Row],[CLOSING BALANCE (USD)]]-Table11[[#This Row],[CB_BS (USD)]]</f>
        <v>0</v>
      </c>
      <c r="W716" s="1156" t="str">
        <f>VLOOKUP('Cash Balance'!$C716,Table2[#All],MATCH('Cash Balance'!W$3,Acc_Char!$B$1:$I$1,0),0)</f>
        <v>Subsidiaries</v>
      </c>
      <c r="X716" s="1156" t="str">
        <f>VLOOKUP(IFERROR(MID($Y716,1,FIND("-",$Y716)-2),$Y716),Table3[#All],2,0)</f>
        <v>VTB</v>
      </c>
      <c r="Y716" s="1156" t="str">
        <f>VLOOKUP($B716,Table4[#All],2,0)</f>
        <v>VIETINBANK - TIEN SON</v>
      </c>
      <c r="Z716" s="1151"/>
      <c r="AA716" s="49"/>
    </row>
    <row r="717" spans="1:27">
      <c r="A717" s="1196" t="str">
        <f>VLOOKUP('Cash Balance'!$C717,Table2[#All],MATCH('Cash Balance'!A$3,Acc_Char!$B$1:$I$1,0),0)</f>
        <v>BWID HAI DUONG 2</v>
      </c>
      <c r="B717" s="1154" t="str">
        <f>VLOOKUP('Cash Balance'!$C717,Table2[#All],MATCH('Cash Balance'!B$3,Acc_Char!$B$1:$I$1,0),0)</f>
        <v>VIETINBANK - TIEN SON</v>
      </c>
      <c r="C717" s="1195" t="s">
        <v>1331</v>
      </c>
      <c r="D717" s="1156" t="str">
        <f>VLOOKUP('Cash Balance'!$C717,Table2[#All],MATCH('Cash Balance'!D$3,Acc_Char!$B$1:$I$1,0),0)</f>
        <v>Saving Account</v>
      </c>
      <c r="E717" s="384" t="str">
        <f>VLOOKUP('Cash Balance'!$C717,Table2[#All],MATCH('Cash Balance'!E$3,Acc_Char!$B$1:$I$1,0),0)</f>
        <v>VND</v>
      </c>
      <c r="F717" s="1084" t="e">
        <f>VLOOKUP(C717,'Cash balance (BS)'!A:C,3,)</f>
        <v>#N/A</v>
      </c>
      <c r="G717" s="1191" t="e">
        <f t="shared" si="74"/>
        <v>#N/A</v>
      </c>
      <c r="H717" s="1318">
        <f>SUMIFS('Cash balance (Prior period)'!F:F,'Cash balance (Prior period)'!C:C,Table11[[#This Row],[ACCOUNT NUMBER]],'Cash balance (Prior period)'!E:E,Table11[[#This Row],[CURRENCY]])</f>
        <v>0</v>
      </c>
      <c r="I717" s="1318">
        <f>SUMIFS(Movement!$F$4:$F$2136,Movement!$M$4:$M$2136,"VND",Movement!$C$4:$C$2136,Table11[[#This Row],[ACCOUNT NUMBER]],Movement!$J$4:$J$2136,Table11[[#This Row],[ENTITY]],Movement!$O$4:$O$2136,'Cash Balance'!$A$2)</f>
        <v>0</v>
      </c>
      <c r="J717" s="1318">
        <f>SUMIFS(Movement!$G$4:$G$2136,Movement!$M$4:$M$2136,"VND",Movement!$C$4:$C$2136,Table11[[#This Row],[ACCOUNT NUMBER]],Movement!$J$4:$J$2136,Table11[[#This Row],[ENTITY]],Movement!$O$4:$O$2136,'Cash Balance'!$A$2)</f>
        <v>0</v>
      </c>
      <c r="K717" s="1084">
        <f>Table11[[#This Row],[CASH IN - CREDIT (VND)]]-Table11[[#This Row],[CASH OUT - DEBIT (VND)]]</f>
        <v>0</v>
      </c>
      <c r="L717" s="1095">
        <f t="shared" si="75"/>
        <v>0</v>
      </c>
      <c r="M717" s="1184" t="e">
        <f>VLOOKUP(C717,'Cash balance (BS)'!A:D,4,)</f>
        <v>#N/A</v>
      </c>
      <c r="N717" s="1095" t="e">
        <f>Table11[[#This Row],[CLOSING BALANCE (VND)2]]-Table11[[#This Row],[CB_BS (VND)]]</f>
        <v>#N/A</v>
      </c>
      <c r="O717" s="1094">
        <v>0</v>
      </c>
      <c r="P717" s="1095">
        <f t="shared" si="76"/>
        <v>0</v>
      </c>
      <c r="Q717" s="817">
        <f>SUMIFS('Cash balance (Prior period)'!G:G,'Cash balance (Prior period)'!C:C,Table11[[#This Row],[ACCOUNT NUMBER]],'Cash balance (Prior period)'!E:E,Table11[[#This Row],[CURRENCY]])</f>
        <v>0</v>
      </c>
      <c r="R717" s="817">
        <f>SUMIFS(Movement!$F$4:$F$2136,Movement!$M$4:$M$2136,"USD",Movement!$C$4:$C$2136,Table11[[#This Row],[ACCOUNT NUMBER]],Movement!$J$4:$J$2136,Table11[[#This Row],[ENTITY]],Movement!$O$4:$O$2136,'Cash Balance'!$A$2)</f>
        <v>0</v>
      </c>
      <c r="S717" s="817">
        <f>SUMIFS(Movement!$G$4:$G$2136,Movement!$M$4:$M$2136,"USD",Movement!$C$4:$C$2136,Table11[[#This Row],[ACCOUNT NUMBER]],Movement!$J$4:$J$2136,Table11[[#This Row],[ENTITY]],Movement!$O$4:$O$2136,'Cash Balance'!$A$2)</f>
        <v>0</v>
      </c>
      <c r="T717" s="1087">
        <f t="shared" si="77"/>
        <v>0</v>
      </c>
      <c r="U717" s="1090"/>
      <c r="V717" s="1091">
        <f>Table11[[#This Row],[CLOSING BALANCE (USD)]]-Table11[[#This Row],[CB_BS (USD)]]</f>
        <v>0</v>
      </c>
      <c r="W717" s="1156" t="str">
        <f>VLOOKUP('Cash Balance'!$C717,Table2[#All],MATCH('Cash Balance'!W$3,Acc_Char!$B$1:$I$1,0),0)</f>
        <v>Subsidiaries</v>
      </c>
      <c r="X717" s="1156" t="str">
        <f>VLOOKUP(IFERROR(MID($Y717,1,FIND("-",$Y717)-2),$Y717),Table3[#All],2,0)</f>
        <v>VTB</v>
      </c>
      <c r="Y717" s="1156" t="str">
        <f>VLOOKUP($B717,Table4[#All],2,0)</f>
        <v>VIETINBANK - TIEN SON</v>
      </c>
      <c r="Z717" s="1151"/>
      <c r="AA717" s="49"/>
    </row>
    <row r="718" spans="1:27">
      <c r="A718" s="1196" t="str">
        <f>VLOOKUP('Cash Balance'!$C718,Table2[#All],MATCH('Cash Balance'!A$3,Acc_Char!$B$1:$I$1,0),0)</f>
        <v>XENIA 2</v>
      </c>
      <c r="B718" s="1154" t="str">
        <f>VLOOKUP('Cash Balance'!$C718,Table2[#All],MATCH('Cash Balance'!B$3,Acc_Char!$B$1:$I$1,0),0)</f>
        <v>VIETINBANK - TIEN SON</v>
      </c>
      <c r="C718" s="1195" t="s">
        <v>1332</v>
      </c>
      <c r="D718" s="1156" t="str">
        <f>VLOOKUP('Cash Balance'!$C718,Table2[#All],MATCH('Cash Balance'!D$3,Acc_Char!$B$1:$I$1,0),0)</f>
        <v>Saving Account</v>
      </c>
      <c r="E718" s="384" t="str">
        <f>VLOOKUP('Cash Balance'!$C718,Table2[#All],MATCH('Cash Balance'!E$3,Acc_Char!$B$1:$I$1,0),0)</f>
        <v>VND</v>
      </c>
      <c r="F718" s="1084" t="e">
        <f>VLOOKUP(C718,'Cash balance (BS)'!A:C,3,)</f>
        <v>#N/A</v>
      </c>
      <c r="G718" s="1191" t="e">
        <f t="shared" si="74"/>
        <v>#N/A</v>
      </c>
      <c r="H718" s="1318">
        <f>SUMIFS('Cash balance (Prior period)'!F:F,'Cash balance (Prior period)'!C:C,Table11[[#This Row],[ACCOUNT NUMBER]],'Cash balance (Prior period)'!E:E,Table11[[#This Row],[CURRENCY]])</f>
        <v>22000000000</v>
      </c>
      <c r="I718" s="1318">
        <f>SUMIFS(Movement!$F$4:$F$2136,Movement!$M$4:$M$2136,"VND",Movement!$C$4:$C$2136,Table11[[#This Row],[ACCOUNT NUMBER]],Movement!$J$4:$J$2136,Table11[[#This Row],[ENTITY]],Movement!$O$4:$O$2136,'Cash Balance'!$A$2)</f>
        <v>0</v>
      </c>
      <c r="J718" s="1318">
        <f>SUMIFS(Movement!$G$4:$G$2136,Movement!$M$4:$M$2136,"VND",Movement!$C$4:$C$2136,Table11[[#This Row],[ACCOUNT NUMBER]],Movement!$J$4:$J$2136,Table11[[#This Row],[ENTITY]],Movement!$O$4:$O$2136,'Cash Balance'!$A$2)</f>
        <v>0</v>
      </c>
      <c r="K718" s="1084">
        <f>Table11[[#This Row],[CASH IN - CREDIT (VND)]]-Table11[[#This Row],[CASH OUT - DEBIT (VND)]]</f>
        <v>0</v>
      </c>
      <c r="L718" s="1095">
        <f t="shared" si="75"/>
        <v>22000000000</v>
      </c>
      <c r="M718" s="1184" t="e">
        <f>VLOOKUP(C718,'Cash balance (BS)'!A:D,4,)</f>
        <v>#N/A</v>
      </c>
      <c r="N718" s="1095" t="e">
        <f>Table11[[#This Row],[CLOSING BALANCE (VND)2]]-Table11[[#This Row],[CB_BS (VND)]]</f>
        <v>#N/A</v>
      </c>
      <c r="O718" s="1094">
        <v>0</v>
      </c>
      <c r="P718" s="1095">
        <f t="shared" si="76"/>
        <v>0</v>
      </c>
      <c r="Q718" s="817">
        <f>SUMIFS('Cash balance (Prior period)'!G:G,'Cash balance (Prior period)'!C:C,Table11[[#This Row],[ACCOUNT NUMBER]],'Cash balance (Prior period)'!E:E,Table11[[#This Row],[CURRENCY]])</f>
        <v>0</v>
      </c>
      <c r="R718" s="817">
        <f>SUMIFS(Movement!$F$4:$F$2136,Movement!$M$4:$M$2136,"USD",Movement!$C$4:$C$2136,Table11[[#This Row],[ACCOUNT NUMBER]],Movement!$J$4:$J$2136,Table11[[#This Row],[ENTITY]],Movement!$O$4:$O$2136,'Cash Balance'!$A$2)</f>
        <v>0</v>
      </c>
      <c r="S718" s="817">
        <f>SUMIFS(Movement!$G$4:$G$2136,Movement!$M$4:$M$2136,"USD",Movement!$C$4:$C$2136,Table11[[#This Row],[ACCOUNT NUMBER]],Movement!$J$4:$J$2136,Table11[[#This Row],[ENTITY]],Movement!$O$4:$O$2136,'Cash Balance'!$A$2)</f>
        <v>0</v>
      </c>
      <c r="T718" s="1087">
        <f t="shared" si="77"/>
        <v>0</v>
      </c>
      <c r="U718" s="1090"/>
      <c r="V718" s="1091">
        <f>Table11[[#This Row],[CLOSING BALANCE (USD)]]-Table11[[#This Row],[CB_BS (USD)]]</f>
        <v>0</v>
      </c>
      <c r="W718" s="1156" t="str">
        <f>VLOOKUP('Cash Balance'!$C718,Table2[#All],MATCH('Cash Balance'!W$3,Acc_Char!$B$1:$I$1,0),0)</f>
        <v>Subsidiaries</v>
      </c>
      <c r="X718" s="1156" t="str">
        <f>VLOOKUP(IFERROR(MID($Y718,1,FIND("-",$Y718)-2),$Y718),Table3[#All],2,0)</f>
        <v>VTB</v>
      </c>
      <c r="Y718" s="1156" t="str">
        <f>VLOOKUP($B718,Table4[#All],2,0)</f>
        <v>VIETINBANK - TIEN SON</v>
      </c>
      <c r="Z718" s="1151"/>
      <c r="AA718" s="49"/>
    </row>
    <row r="719" spans="1:27">
      <c r="A719" s="1196" t="str">
        <f>VLOOKUP('Cash Balance'!$C719,Table2[#All],MATCH('Cash Balance'!A$3,Acc_Char!$B$1:$I$1,0),0)</f>
        <v>XENIA 2</v>
      </c>
      <c r="B719" s="1154" t="str">
        <f>VLOOKUP('Cash Balance'!$C719,Table2[#All],MATCH('Cash Balance'!B$3,Acc_Char!$B$1:$I$1,0),0)</f>
        <v>VIETINBANK - TIEN SON</v>
      </c>
      <c r="C719" s="1195" t="s">
        <v>1333</v>
      </c>
      <c r="D719" s="1156" t="str">
        <f>VLOOKUP('Cash Balance'!$C719,Table2[#All],MATCH('Cash Balance'!D$3,Acc_Char!$B$1:$I$1,0),0)</f>
        <v>Saving Account</v>
      </c>
      <c r="E719" s="384" t="str">
        <f>VLOOKUP('Cash Balance'!$C719,Table2[#All],MATCH('Cash Balance'!E$3,Acc_Char!$B$1:$I$1,0),0)</f>
        <v>VND</v>
      </c>
      <c r="F719" s="1084" t="e">
        <f>VLOOKUP(C719,'Cash balance (BS)'!A:C,3,)</f>
        <v>#N/A</v>
      </c>
      <c r="G719" s="1191" t="e">
        <f t="shared" si="74"/>
        <v>#N/A</v>
      </c>
      <c r="H719" s="1318">
        <f>SUMIFS('Cash balance (Prior period)'!F:F,'Cash balance (Prior period)'!C:C,Table11[[#This Row],[ACCOUNT NUMBER]],'Cash balance (Prior period)'!E:E,Table11[[#This Row],[CURRENCY]])</f>
        <v>0</v>
      </c>
      <c r="I719" s="1318">
        <f>SUMIFS(Movement!$F$4:$F$2136,Movement!$M$4:$M$2136,"VND",Movement!$C$4:$C$2136,Table11[[#This Row],[ACCOUNT NUMBER]],Movement!$J$4:$J$2136,Table11[[#This Row],[ENTITY]],Movement!$O$4:$O$2136,'Cash Balance'!$A$2)</f>
        <v>0</v>
      </c>
      <c r="J719" s="1318">
        <f>SUMIFS(Movement!$G$4:$G$2136,Movement!$M$4:$M$2136,"VND",Movement!$C$4:$C$2136,Table11[[#This Row],[ACCOUNT NUMBER]],Movement!$J$4:$J$2136,Table11[[#This Row],[ENTITY]],Movement!$O$4:$O$2136,'Cash Balance'!$A$2)</f>
        <v>0</v>
      </c>
      <c r="K719" s="1084">
        <f>Table11[[#This Row],[CASH IN - CREDIT (VND)]]-Table11[[#This Row],[CASH OUT - DEBIT (VND)]]</f>
        <v>0</v>
      </c>
      <c r="L719" s="1095">
        <f t="shared" si="75"/>
        <v>0</v>
      </c>
      <c r="M719" s="1184" t="e">
        <f>VLOOKUP(C719,'Cash balance (BS)'!A:D,4,)</f>
        <v>#N/A</v>
      </c>
      <c r="N719" s="1095" t="e">
        <f>Table11[[#This Row],[CLOSING BALANCE (VND)2]]-Table11[[#This Row],[CB_BS (VND)]]</f>
        <v>#N/A</v>
      </c>
      <c r="O719" s="1094">
        <v>0</v>
      </c>
      <c r="P719" s="1095">
        <f t="shared" si="76"/>
        <v>0</v>
      </c>
      <c r="Q719" s="817">
        <f>SUMIFS('Cash balance (Prior period)'!G:G,'Cash balance (Prior period)'!C:C,Table11[[#This Row],[ACCOUNT NUMBER]],'Cash balance (Prior period)'!E:E,Table11[[#This Row],[CURRENCY]])</f>
        <v>0</v>
      </c>
      <c r="R719" s="817">
        <f>SUMIFS(Movement!$F$4:$F$2136,Movement!$M$4:$M$2136,"USD",Movement!$C$4:$C$2136,Table11[[#This Row],[ACCOUNT NUMBER]],Movement!$J$4:$J$2136,Table11[[#This Row],[ENTITY]],Movement!$O$4:$O$2136,'Cash Balance'!$A$2)</f>
        <v>0</v>
      </c>
      <c r="S719" s="817">
        <f>SUMIFS(Movement!$G$4:$G$2136,Movement!$M$4:$M$2136,"USD",Movement!$C$4:$C$2136,Table11[[#This Row],[ACCOUNT NUMBER]],Movement!$J$4:$J$2136,Table11[[#This Row],[ENTITY]],Movement!$O$4:$O$2136,'Cash Balance'!$A$2)</f>
        <v>0</v>
      </c>
      <c r="T719" s="1087">
        <f t="shared" si="77"/>
        <v>0</v>
      </c>
      <c r="U719" s="1090"/>
      <c r="V719" s="1091">
        <f>Table11[[#This Row],[CLOSING BALANCE (USD)]]-Table11[[#This Row],[CB_BS (USD)]]</f>
        <v>0</v>
      </c>
      <c r="W719" s="1156" t="str">
        <f>VLOOKUP('Cash Balance'!$C719,Table2[#All],MATCH('Cash Balance'!W$3,Acc_Char!$B$1:$I$1,0),0)</f>
        <v>Subsidiaries</v>
      </c>
      <c r="X719" s="1156" t="str">
        <f>VLOOKUP(IFERROR(MID($Y719,1,FIND("-",$Y719)-2),$Y719),Table3[#All],2,0)</f>
        <v>VTB</v>
      </c>
      <c r="Y719" s="1156" t="str">
        <f>VLOOKUP($B719,Table4[#All],2,0)</f>
        <v>VIETINBANK - TIEN SON</v>
      </c>
      <c r="Z719" s="1151"/>
      <c r="AA719" s="49"/>
    </row>
    <row r="720" spans="1:27">
      <c r="A720" s="1196" t="str">
        <f>VLOOKUP('Cash Balance'!$C720,Table2[#All],MATCH('Cash Balance'!A$3,Acc_Char!$B$1:$I$1,0),0)</f>
        <v>NASTEC JSC</v>
      </c>
      <c r="B720" s="1154" t="str">
        <f>VLOOKUP('Cash Balance'!$C720,Table2[#All],MATCH('Cash Balance'!B$3,Acc_Char!$B$1:$I$1,0),0)</f>
        <v>VIETINBANK - TIEN SON</v>
      </c>
      <c r="C720" s="1195" t="s">
        <v>1334</v>
      </c>
      <c r="D720" s="1156" t="str">
        <f>VLOOKUP('Cash Balance'!$C720,Table2[#All],MATCH('Cash Balance'!D$3,Acc_Char!$B$1:$I$1,0),0)</f>
        <v>Saving Account</v>
      </c>
      <c r="E720" s="384" t="str">
        <f>VLOOKUP('Cash Balance'!$C720,Table2[#All],MATCH('Cash Balance'!E$3,Acc_Char!$B$1:$I$1,0),0)</f>
        <v>VND</v>
      </c>
      <c r="F720" s="1084" t="e">
        <f>VLOOKUP(C720,'Cash balance (BS)'!A:C,3,)</f>
        <v>#N/A</v>
      </c>
      <c r="G720" s="1191" t="e">
        <f t="shared" si="74"/>
        <v>#N/A</v>
      </c>
      <c r="H720" s="1318">
        <f>SUMIFS('Cash balance (Prior period)'!F:F,'Cash balance (Prior period)'!C:C,Table11[[#This Row],[ACCOUNT NUMBER]],'Cash balance (Prior period)'!E:E,Table11[[#This Row],[CURRENCY]])</f>
        <v>39400000000</v>
      </c>
      <c r="I720" s="1318">
        <f>SUMIFS(Movement!$F$4:$F$2136,Movement!$M$4:$M$2136,"VND",Movement!$C$4:$C$2136,Table11[[#This Row],[ACCOUNT NUMBER]],Movement!$J$4:$J$2136,Table11[[#This Row],[ENTITY]],Movement!$O$4:$O$2136,'Cash Balance'!$A$2)</f>
        <v>0</v>
      </c>
      <c r="J720" s="1318">
        <f>SUMIFS(Movement!$G$4:$G$2136,Movement!$M$4:$M$2136,"VND",Movement!$C$4:$C$2136,Table11[[#This Row],[ACCOUNT NUMBER]],Movement!$J$4:$J$2136,Table11[[#This Row],[ENTITY]],Movement!$O$4:$O$2136,'Cash Balance'!$A$2)</f>
        <v>0</v>
      </c>
      <c r="K720" s="1084">
        <f>Table11[[#This Row],[CASH IN - CREDIT (VND)]]-Table11[[#This Row],[CASH OUT - DEBIT (VND)]]</f>
        <v>0</v>
      </c>
      <c r="L720" s="1095">
        <f t="shared" si="75"/>
        <v>39400000000</v>
      </c>
      <c r="M720" s="1184" t="e">
        <f>VLOOKUP(C720,'Cash balance (BS)'!A:D,4,)</f>
        <v>#N/A</v>
      </c>
      <c r="N720" s="1095" t="e">
        <f>Table11[[#This Row],[CLOSING BALANCE (VND)2]]-Table11[[#This Row],[CB_BS (VND)]]</f>
        <v>#N/A</v>
      </c>
      <c r="O720" s="1094">
        <v>0</v>
      </c>
      <c r="P720" s="1095">
        <f t="shared" si="76"/>
        <v>0</v>
      </c>
      <c r="Q720" s="817">
        <f>SUMIFS('Cash balance (Prior period)'!G:G,'Cash balance (Prior period)'!C:C,Table11[[#This Row],[ACCOUNT NUMBER]],'Cash balance (Prior period)'!E:E,Table11[[#This Row],[CURRENCY]])</f>
        <v>0</v>
      </c>
      <c r="R720" s="817">
        <f>SUMIFS(Movement!$F$4:$F$2136,Movement!$M$4:$M$2136,"USD",Movement!$C$4:$C$2136,Table11[[#This Row],[ACCOUNT NUMBER]],Movement!$J$4:$J$2136,Table11[[#This Row],[ENTITY]],Movement!$O$4:$O$2136,'Cash Balance'!$A$2)</f>
        <v>0</v>
      </c>
      <c r="S720" s="817">
        <f>SUMIFS(Movement!$G$4:$G$2136,Movement!$M$4:$M$2136,"USD",Movement!$C$4:$C$2136,Table11[[#This Row],[ACCOUNT NUMBER]],Movement!$J$4:$J$2136,Table11[[#This Row],[ENTITY]],Movement!$O$4:$O$2136,'Cash Balance'!$A$2)</f>
        <v>0</v>
      </c>
      <c r="T720" s="1087">
        <f t="shared" si="77"/>
        <v>0</v>
      </c>
      <c r="U720" s="1090"/>
      <c r="V720" s="1091">
        <f>Table11[[#This Row],[CLOSING BALANCE (USD)]]-Table11[[#This Row],[CB_BS (USD)]]</f>
        <v>0</v>
      </c>
      <c r="W720" s="1156" t="str">
        <f>VLOOKUP('Cash Balance'!$C720,Table2[#All],MATCH('Cash Balance'!W$3,Acc_Char!$B$1:$I$1,0),0)</f>
        <v>Subsidiaries</v>
      </c>
      <c r="X720" s="1156" t="str">
        <f>VLOOKUP(IFERROR(MID($Y720,1,FIND("-",$Y720)-2),$Y720),Table3[#All],2,0)</f>
        <v>VTB</v>
      </c>
      <c r="Y720" s="1156" t="str">
        <f>VLOOKUP($B720,Table4[#All],2,0)</f>
        <v>VIETINBANK - TIEN SON</v>
      </c>
      <c r="Z720" s="1151"/>
      <c r="AA720" s="49"/>
    </row>
    <row r="721" spans="1:27">
      <c r="A721" s="1196" t="str">
        <f>VLOOKUP('Cash Balance'!$C721,Table2[#All],MATCH('Cash Balance'!A$3,Acc_Char!$B$1:$I$1,0),0)</f>
        <v>BWID NHON TRACH</v>
      </c>
      <c r="B721" s="1154" t="str">
        <f>VLOOKUP('Cash Balance'!$C721,Table2[#All],MATCH('Cash Balance'!B$3,Acc_Char!$B$1:$I$1,0),0)</f>
        <v>VIETCOMBANK - HCM</v>
      </c>
      <c r="C721" s="1195" t="s">
        <v>1335</v>
      </c>
      <c r="D721" s="1156" t="str">
        <f>VLOOKUP('Cash Balance'!$C721,Table2[#All],MATCH('Cash Balance'!D$3,Acc_Char!$B$1:$I$1,0),0)</f>
        <v>Saving Account</v>
      </c>
      <c r="E721" s="384" t="str">
        <f>VLOOKUP('Cash Balance'!$C721,Table2[#All],MATCH('Cash Balance'!E$3,Acc_Char!$B$1:$I$1,0),0)</f>
        <v>VND</v>
      </c>
      <c r="F721" s="1084" t="e">
        <f>VLOOKUP(C721,'Cash balance (BS)'!A:C,3,)</f>
        <v>#N/A</v>
      </c>
      <c r="G721" s="1191" t="e">
        <f t="shared" si="74"/>
        <v>#N/A</v>
      </c>
      <c r="H721" s="1318">
        <f>SUMIFS('Cash balance (Prior period)'!F:F,'Cash balance (Prior period)'!C:C,Table11[[#This Row],[ACCOUNT NUMBER]],'Cash balance (Prior period)'!E:E,Table11[[#This Row],[CURRENCY]])</f>
        <v>0</v>
      </c>
      <c r="I721" s="1318">
        <f>SUMIFS(Movement!$F$4:$F$2136,Movement!$M$4:$M$2136,"VND",Movement!$C$4:$C$2136,Table11[[#This Row],[ACCOUNT NUMBER]],Movement!$J$4:$J$2136,Table11[[#This Row],[ENTITY]],Movement!$O$4:$O$2136,'Cash Balance'!$A$2)</f>
        <v>0</v>
      </c>
      <c r="J721" s="1318">
        <f>SUMIFS(Movement!$G$4:$G$2136,Movement!$M$4:$M$2136,"VND",Movement!$C$4:$C$2136,Table11[[#This Row],[ACCOUNT NUMBER]],Movement!$J$4:$J$2136,Table11[[#This Row],[ENTITY]],Movement!$O$4:$O$2136,'Cash Balance'!$A$2)</f>
        <v>0</v>
      </c>
      <c r="K721" s="1084">
        <f>Table11[[#This Row],[CASH IN - CREDIT (VND)]]-Table11[[#This Row],[CASH OUT - DEBIT (VND)]]</f>
        <v>0</v>
      </c>
      <c r="L721" s="1095">
        <f t="shared" si="75"/>
        <v>0</v>
      </c>
      <c r="M721" s="1184" t="e">
        <f>VLOOKUP(C721,'Cash balance (BS)'!A:D,4,)</f>
        <v>#N/A</v>
      </c>
      <c r="N721" s="1095" t="e">
        <f>Table11[[#This Row],[CLOSING BALANCE (VND)2]]-Table11[[#This Row],[CB_BS (VND)]]</f>
        <v>#N/A</v>
      </c>
      <c r="O721" s="1094">
        <v>0</v>
      </c>
      <c r="P721" s="1095">
        <f t="shared" si="76"/>
        <v>0</v>
      </c>
      <c r="Q721" s="817">
        <f>SUMIFS('Cash balance (Prior period)'!G:G,'Cash balance (Prior period)'!C:C,Table11[[#This Row],[ACCOUNT NUMBER]],'Cash balance (Prior period)'!E:E,Table11[[#This Row],[CURRENCY]])</f>
        <v>0</v>
      </c>
      <c r="R721" s="817">
        <f>SUMIFS(Movement!$F$4:$F$2136,Movement!$M$4:$M$2136,"USD",Movement!$C$4:$C$2136,Table11[[#This Row],[ACCOUNT NUMBER]],Movement!$J$4:$J$2136,Table11[[#This Row],[ENTITY]],Movement!$O$4:$O$2136,'Cash Balance'!$A$2)</f>
        <v>0</v>
      </c>
      <c r="S721" s="817">
        <f>SUMIFS(Movement!$G$4:$G$2136,Movement!$M$4:$M$2136,"USD",Movement!$C$4:$C$2136,Table11[[#This Row],[ACCOUNT NUMBER]],Movement!$J$4:$J$2136,Table11[[#This Row],[ENTITY]],Movement!$O$4:$O$2136,'Cash Balance'!$A$2)</f>
        <v>0</v>
      </c>
      <c r="T721" s="1087">
        <f t="shared" si="77"/>
        <v>0</v>
      </c>
      <c r="U721" s="1090"/>
      <c r="V721" s="1091">
        <f>Table11[[#This Row],[CLOSING BALANCE (USD)]]-Table11[[#This Row],[CB_BS (USD)]]</f>
        <v>0</v>
      </c>
      <c r="W721" s="1156" t="str">
        <f>VLOOKUP('Cash Balance'!$C721,Table2[#All],MATCH('Cash Balance'!W$3,Acc_Char!$B$1:$I$1,0),0)</f>
        <v>Subsidiaries</v>
      </c>
      <c r="X721" s="1156" t="str">
        <f>VLOOKUP(IFERROR(MID($Y721,1,FIND("-",$Y721)-2),$Y721),Table3[#All],2,0)</f>
        <v>VCB</v>
      </c>
      <c r="Y721" s="1156" t="str">
        <f>VLOOKUP($B721,Table4[#All],2,0)</f>
        <v>VIETCOMBANK - HCM</v>
      </c>
      <c r="Z721" s="1151"/>
      <c r="AA721" s="49"/>
    </row>
    <row r="722" spans="1:27">
      <c r="A722" s="1196" t="str">
        <f>VLOOKUP('Cash Balance'!$C722,Table2[#All],MATCH('Cash Balance'!A$3,Acc_Char!$B$1:$I$1,0),0)</f>
        <v>BW SAIGON LOGISTICS</v>
      </c>
      <c r="B722" s="1154" t="str">
        <f>VLOOKUP('Cash Balance'!$C722,Table2[#All],MATCH('Cash Balance'!B$3,Acc_Char!$B$1:$I$1,0),0)</f>
        <v>VIETCOMBANK - HCM</v>
      </c>
      <c r="C722" s="1195" t="s">
        <v>1336</v>
      </c>
      <c r="D722" s="1156" t="str">
        <f>VLOOKUP('Cash Balance'!$C722,Table2[#All],MATCH('Cash Balance'!D$3,Acc_Char!$B$1:$I$1,0),0)</f>
        <v>Saving Account</v>
      </c>
      <c r="E722" s="384" t="str">
        <f>VLOOKUP('Cash Balance'!$C722,Table2[#All],MATCH('Cash Balance'!E$3,Acc_Char!$B$1:$I$1,0),0)</f>
        <v>VND</v>
      </c>
      <c r="F722" s="1084" t="e">
        <f>VLOOKUP(C722,'Cash balance (BS)'!A:C,3,)</f>
        <v>#N/A</v>
      </c>
      <c r="G722" s="1191" t="e">
        <f t="shared" si="74"/>
        <v>#N/A</v>
      </c>
      <c r="H722" s="1318">
        <f>SUMIFS('Cash balance (Prior period)'!F:F,'Cash balance (Prior period)'!C:C,Table11[[#This Row],[ACCOUNT NUMBER]],'Cash balance (Prior period)'!E:E,Table11[[#This Row],[CURRENCY]])</f>
        <v>0</v>
      </c>
      <c r="I722" s="1318">
        <f>SUMIFS(Movement!$F$4:$F$2136,Movement!$M$4:$M$2136,"VND",Movement!$C$4:$C$2136,Table11[[#This Row],[ACCOUNT NUMBER]],Movement!$J$4:$J$2136,Table11[[#This Row],[ENTITY]],Movement!$O$4:$O$2136,'Cash Balance'!$A$2)</f>
        <v>0</v>
      </c>
      <c r="J722" s="1318">
        <f>SUMIFS(Movement!$G$4:$G$2136,Movement!$M$4:$M$2136,"VND",Movement!$C$4:$C$2136,Table11[[#This Row],[ACCOUNT NUMBER]],Movement!$J$4:$J$2136,Table11[[#This Row],[ENTITY]],Movement!$O$4:$O$2136,'Cash Balance'!$A$2)</f>
        <v>0</v>
      </c>
      <c r="K722" s="1084">
        <f>Table11[[#This Row],[CASH IN - CREDIT (VND)]]-Table11[[#This Row],[CASH OUT - DEBIT (VND)]]</f>
        <v>0</v>
      </c>
      <c r="L722" s="1095">
        <f t="shared" si="75"/>
        <v>0</v>
      </c>
      <c r="M722" s="1184" t="e">
        <f>VLOOKUP(C722,'Cash balance (BS)'!A:D,4,)</f>
        <v>#N/A</v>
      </c>
      <c r="N722" s="1095" t="e">
        <f>Table11[[#This Row],[CLOSING BALANCE (VND)2]]-Table11[[#This Row],[CB_BS (VND)]]</f>
        <v>#N/A</v>
      </c>
      <c r="O722" s="1094">
        <v>0</v>
      </c>
      <c r="P722" s="1095">
        <f t="shared" si="76"/>
        <v>0</v>
      </c>
      <c r="Q722" s="817">
        <f>SUMIFS('Cash balance (Prior period)'!G:G,'Cash balance (Prior period)'!C:C,Table11[[#This Row],[ACCOUNT NUMBER]],'Cash balance (Prior period)'!E:E,Table11[[#This Row],[CURRENCY]])</f>
        <v>0</v>
      </c>
      <c r="R722" s="817">
        <f>SUMIFS(Movement!$F$4:$F$2136,Movement!$M$4:$M$2136,"USD",Movement!$C$4:$C$2136,Table11[[#This Row],[ACCOUNT NUMBER]],Movement!$J$4:$J$2136,Table11[[#This Row],[ENTITY]],Movement!$O$4:$O$2136,'Cash Balance'!$A$2)</f>
        <v>0</v>
      </c>
      <c r="S722" s="817">
        <f>SUMIFS(Movement!$G$4:$G$2136,Movement!$M$4:$M$2136,"USD",Movement!$C$4:$C$2136,Table11[[#This Row],[ACCOUNT NUMBER]],Movement!$J$4:$J$2136,Table11[[#This Row],[ENTITY]],Movement!$O$4:$O$2136,'Cash Balance'!$A$2)</f>
        <v>0</v>
      </c>
      <c r="T722" s="1087">
        <f t="shared" si="77"/>
        <v>0</v>
      </c>
      <c r="U722" s="1090"/>
      <c r="V722" s="1091">
        <f>Table11[[#This Row],[CLOSING BALANCE (USD)]]-Table11[[#This Row],[CB_BS (USD)]]</f>
        <v>0</v>
      </c>
      <c r="W722" s="1156" t="str">
        <f>VLOOKUP('Cash Balance'!$C722,Table2[#All],MATCH('Cash Balance'!W$3,Acc_Char!$B$1:$I$1,0),0)</f>
        <v>Subsidiaries</v>
      </c>
      <c r="X722" s="1156" t="str">
        <f>VLOOKUP(IFERROR(MID($Y722,1,FIND("-",$Y722)-2),$Y722),Table3[#All],2,0)</f>
        <v>VCB</v>
      </c>
      <c r="Y722" s="1156" t="str">
        <f>VLOOKUP($B722,Table4[#All],2,0)</f>
        <v>VIETCOMBANK - HCM</v>
      </c>
      <c r="Z722" s="1151"/>
      <c r="AA722" s="49"/>
    </row>
    <row r="723" spans="1:27">
      <c r="A723" s="1196" t="str">
        <f>VLOOKUP('Cash Balance'!$C723,Table2[#All],MATCH('Cash Balance'!A$3,Acc_Char!$B$1:$I$1,0),0)</f>
        <v>SAO HOA</v>
      </c>
      <c r="B723" s="1154" t="str">
        <f>VLOOKUP('Cash Balance'!$C723,Table2[#All],MATCH('Cash Balance'!B$3,Acc_Char!$B$1:$I$1,0),0)</f>
        <v>VIETCOMBANK - HCM</v>
      </c>
      <c r="C723" s="1195" t="s">
        <v>1337</v>
      </c>
      <c r="D723" s="1156" t="str">
        <f>VLOOKUP('Cash Balance'!$C723,Table2[#All],MATCH('Cash Balance'!D$3,Acc_Char!$B$1:$I$1,0),0)</f>
        <v>Saving Account</v>
      </c>
      <c r="E723" s="384" t="str">
        <f>VLOOKUP('Cash Balance'!$C723,Table2[#All],MATCH('Cash Balance'!E$3,Acc_Char!$B$1:$I$1,0),0)</f>
        <v>VND</v>
      </c>
      <c r="F723" s="1084" t="e">
        <f>VLOOKUP(C723,'Cash balance (BS)'!A:C,3,)</f>
        <v>#N/A</v>
      </c>
      <c r="G723" s="1191" t="e">
        <f t="shared" si="74"/>
        <v>#N/A</v>
      </c>
      <c r="H723" s="1318">
        <f>SUMIFS('Cash balance (Prior period)'!F:F,'Cash balance (Prior period)'!C:C,Table11[[#This Row],[ACCOUNT NUMBER]],'Cash balance (Prior period)'!E:E,Table11[[#This Row],[CURRENCY]])</f>
        <v>0</v>
      </c>
      <c r="I723" s="1318">
        <f>SUMIFS(Movement!$F$4:$F$2136,Movement!$M$4:$M$2136,"VND",Movement!$C$4:$C$2136,Table11[[#This Row],[ACCOUNT NUMBER]],Movement!$J$4:$J$2136,Table11[[#This Row],[ENTITY]],Movement!$O$4:$O$2136,'Cash Balance'!$A$2)</f>
        <v>0</v>
      </c>
      <c r="J723" s="1318">
        <f>SUMIFS(Movement!$G$4:$G$2136,Movement!$M$4:$M$2136,"VND",Movement!$C$4:$C$2136,Table11[[#This Row],[ACCOUNT NUMBER]],Movement!$J$4:$J$2136,Table11[[#This Row],[ENTITY]],Movement!$O$4:$O$2136,'Cash Balance'!$A$2)</f>
        <v>0</v>
      </c>
      <c r="K723" s="1084">
        <f>Table11[[#This Row],[CASH IN - CREDIT (VND)]]-Table11[[#This Row],[CASH OUT - DEBIT (VND)]]</f>
        <v>0</v>
      </c>
      <c r="L723" s="1095">
        <f t="shared" si="75"/>
        <v>0</v>
      </c>
      <c r="M723" s="1184" t="e">
        <f>VLOOKUP(C723,'Cash balance (BS)'!A:D,4,)</f>
        <v>#N/A</v>
      </c>
      <c r="N723" s="1095" t="e">
        <f>Table11[[#This Row],[CLOSING BALANCE (VND)2]]-Table11[[#This Row],[CB_BS (VND)]]</f>
        <v>#N/A</v>
      </c>
      <c r="O723" s="1094">
        <v>0</v>
      </c>
      <c r="P723" s="1095">
        <f t="shared" si="76"/>
        <v>0</v>
      </c>
      <c r="Q723" s="817">
        <f>SUMIFS('Cash balance (Prior period)'!G:G,'Cash balance (Prior period)'!C:C,Table11[[#This Row],[ACCOUNT NUMBER]],'Cash balance (Prior period)'!E:E,Table11[[#This Row],[CURRENCY]])</f>
        <v>0</v>
      </c>
      <c r="R723" s="817">
        <f>SUMIFS(Movement!$F$4:$F$2136,Movement!$M$4:$M$2136,"USD",Movement!$C$4:$C$2136,Table11[[#This Row],[ACCOUNT NUMBER]],Movement!$J$4:$J$2136,Table11[[#This Row],[ENTITY]],Movement!$O$4:$O$2136,'Cash Balance'!$A$2)</f>
        <v>0</v>
      </c>
      <c r="S723" s="817">
        <f>SUMIFS(Movement!$G$4:$G$2136,Movement!$M$4:$M$2136,"USD",Movement!$C$4:$C$2136,Table11[[#This Row],[ACCOUNT NUMBER]],Movement!$J$4:$J$2136,Table11[[#This Row],[ENTITY]],Movement!$O$4:$O$2136,'Cash Balance'!$A$2)</f>
        <v>0</v>
      </c>
      <c r="T723" s="1087">
        <f t="shared" si="77"/>
        <v>0</v>
      </c>
      <c r="U723" s="1090"/>
      <c r="V723" s="1091">
        <f>Table11[[#This Row],[CLOSING BALANCE (USD)]]-Table11[[#This Row],[CB_BS (USD)]]</f>
        <v>0</v>
      </c>
      <c r="W723" s="1156" t="str">
        <f>VLOOKUP('Cash Balance'!$C723,Table2[#All],MATCH('Cash Balance'!W$3,Acc_Char!$B$1:$I$1,0),0)</f>
        <v>VC3</v>
      </c>
      <c r="X723" s="1156" t="str">
        <f>VLOOKUP(IFERROR(MID($Y723,1,FIND("-",$Y723)-2),$Y723),Table3[#All],2,0)</f>
        <v>VCB</v>
      </c>
      <c r="Y723" s="1156" t="str">
        <f>VLOOKUP($B723,Table4[#All],2,0)</f>
        <v>VIETCOMBANK - HCM</v>
      </c>
      <c r="Z723" s="1151"/>
      <c r="AA723" s="49"/>
    </row>
    <row r="724" spans="1:27">
      <c r="A724" s="1196" t="str">
        <f>VLOOKUP('Cash Balance'!$C724,Table2[#All],MATCH('Cash Balance'!A$3,Acc_Char!$B$1:$I$1,0),0)</f>
        <v>SAO HOA</v>
      </c>
      <c r="B724" s="1154" t="str">
        <f>VLOOKUP('Cash Balance'!$C724,Table2[#All],MATCH('Cash Balance'!B$3,Acc_Char!$B$1:$I$1,0),0)</f>
        <v>VIETCOMBANK - HCM</v>
      </c>
      <c r="C724" s="1195" t="s">
        <v>1338</v>
      </c>
      <c r="D724" s="1156" t="str">
        <f>VLOOKUP('Cash Balance'!$C724,Table2[#All],MATCH('Cash Balance'!D$3,Acc_Char!$B$1:$I$1,0),0)</f>
        <v>Saving Account</v>
      </c>
      <c r="E724" s="384" t="str">
        <f>VLOOKUP('Cash Balance'!$C724,Table2[#All],MATCH('Cash Balance'!E$3,Acc_Char!$B$1:$I$1,0),0)</f>
        <v>VND</v>
      </c>
      <c r="F724" s="1084" t="e">
        <f>VLOOKUP(C724,'Cash balance (BS)'!A:C,3,)</f>
        <v>#N/A</v>
      </c>
      <c r="G724" s="1191" t="e">
        <f t="shared" si="74"/>
        <v>#N/A</v>
      </c>
      <c r="H724" s="1318">
        <f>SUMIFS('Cash balance (Prior period)'!F:F,'Cash balance (Prior period)'!C:C,Table11[[#This Row],[ACCOUNT NUMBER]],'Cash balance (Prior period)'!E:E,Table11[[#This Row],[CURRENCY]])</f>
        <v>0</v>
      </c>
      <c r="I724" s="1318">
        <f>SUMIFS(Movement!$F$4:$F$2136,Movement!$M$4:$M$2136,"VND",Movement!$C$4:$C$2136,Table11[[#This Row],[ACCOUNT NUMBER]],Movement!$J$4:$J$2136,Table11[[#This Row],[ENTITY]],Movement!$O$4:$O$2136,'Cash Balance'!$A$2)</f>
        <v>0</v>
      </c>
      <c r="J724" s="1318">
        <f>SUMIFS(Movement!$G$4:$G$2136,Movement!$M$4:$M$2136,"VND",Movement!$C$4:$C$2136,Table11[[#This Row],[ACCOUNT NUMBER]],Movement!$J$4:$J$2136,Table11[[#This Row],[ENTITY]],Movement!$O$4:$O$2136,'Cash Balance'!$A$2)</f>
        <v>0</v>
      </c>
      <c r="K724" s="1084">
        <f>Table11[[#This Row],[CASH IN - CREDIT (VND)]]-Table11[[#This Row],[CASH OUT - DEBIT (VND)]]</f>
        <v>0</v>
      </c>
      <c r="L724" s="1095">
        <f t="shared" si="75"/>
        <v>0</v>
      </c>
      <c r="M724" s="1184" t="e">
        <f>VLOOKUP(C724,'Cash balance (BS)'!A:D,4,)</f>
        <v>#N/A</v>
      </c>
      <c r="N724" s="1095" t="e">
        <f>Table11[[#This Row],[CLOSING BALANCE (VND)2]]-Table11[[#This Row],[CB_BS (VND)]]</f>
        <v>#N/A</v>
      </c>
      <c r="O724" s="1094">
        <v>0</v>
      </c>
      <c r="P724" s="1095">
        <f t="shared" si="76"/>
        <v>0</v>
      </c>
      <c r="Q724" s="817">
        <f>SUMIFS('Cash balance (Prior period)'!G:G,'Cash balance (Prior period)'!C:C,Table11[[#This Row],[ACCOUNT NUMBER]],'Cash balance (Prior period)'!E:E,Table11[[#This Row],[CURRENCY]])</f>
        <v>0</v>
      </c>
      <c r="R724" s="817">
        <f>SUMIFS(Movement!$F$4:$F$2136,Movement!$M$4:$M$2136,"USD",Movement!$C$4:$C$2136,Table11[[#This Row],[ACCOUNT NUMBER]],Movement!$J$4:$J$2136,Table11[[#This Row],[ENTITY]],Movement!$O$4:$O$2136,'Cash Balance'!$A$2)</f>
        <v>0</v>
      </c>
      <c r="S724" s="817">
        <f>SUMIFS(Movement!$G$4:$G$2136,Movement!$M$4:$M$2136,"USD",Movement!$C$4:$C$2136,Table11[[#This Row],[ACCOUNT NUMBER]],Movement!$J$4:$J$2136,Table11[[#This Row],[ENTITY]],Movement!$O$4:$O$2136,'Cash Balance'!$A$2)</f>
        <v>0</v>
      </c>
      <c r="T724" s="1087">
        <f t="shared" si="77"/>
        <v>0</v>
      </c>
      <c r="U724" s="1090"/>
      <c r="V724" s="1091">
        <f>Table11[[#This Row],[CLOSING BALANCE (USD)]]-Table11[[#This Row],[CB_BS (USD)]]</f>
        <v>0</v>
      </c>
      <c r="W724" s="1156" t="str">
        <f>VLOOKUP('Cash Balance'!$C724,Table2[#All],MATCH('Cash Balance'!W$3,Acc_Char!$B$1:$I$1,0),0)</f>
        <v>VC3</v>
      </c>
      <c r="X724" s="1156" t="str">
        <f>VLOOKUP(IFERROR(MID($Y724,1,FIND("-",$Y724)-2),$Y724),Table3[#All],2,0)</f>
        <v>VCB</v>
      </c>
      <c r="Y724" s="1156" t="str">
        <f>VLOOKUP($B724,Table4[#All],2,0)</f>
        <v>VIETCOMBANK - HCM</v>
      </c>
      <c r="Z724" s="1151"/>
      <c r="AA724" s="49"/>
    </row>
    <row r="725" spans="1:27">
      <c r="A725" s="1196" t="str">
        <f>VLOOKUP('Cash Balance'!$C725,Table2[#All],MATCH('Cash Balance'!A$3,Acc_Char!$B$1:$I$1,0),0)</f>
        <v>THUAN THANH 3B</v>
      </c>
      <c r="B725" s="1154" t="str">
        <f>VLOOKUP('Cash Balance'!$C725,Table2[#All],MATCH('Cash Balance'!B$3,Acc_Char!$B$1:$I$1,0),0)</f>
        <v>VIETCOMBANK - BA DINH</v>
      </c>
      <c r="C725" s="1195" t="s">
        <v>1339</v>
      </c>
      <c r="D725" s="1156" t="str">
        <f>VLOOKUP('Cash Balance'!$C725,Table2[#All],MATCH('Cash Balance'!D$3,Acc_Char!$B$1:$I$1,0),0)</f>
        <v>Saving Account</v>
      </c>
      <c r="E725" s="384" t="str">
        <f>VLOOKUP('Cash Balance'!$C725,Table2[#All],MATCH('Cash Balance'!E$3,Acc_Char!$B$1:$I$1,0),0)</f>
        <v>VND</v>
      </c>
      <c r="F725" s="1084" t="e">
        <f>VLOOKUP(C725,'Cash balance (BS)'!A:C,3,)</f>
        <v>#N/A</v>
      </c>
      <c r="G725" s="1191" t="e">
        <f t="shared" si="74"/>
        <v>#N/A</v>
      </c>
      <c r="H725" s="1318">
        <f>SUMIFS('Cash balance (Prior period)'!F:F,'Cash balance (Prior period)'!C:C,Table11[[#This Row],[ACCOUNT NUMBER]],'Cash balance (Prior period)'!E:E,Table11[[#This Row],[CURRENCY]])</f>
        <v>3000000000</v>
      </c>
      <c r="I725" s="1318">
        <f>SUMIFS(Movement!$F$4:$F$2136,Movement!$M$4:$M$2136,"VND",Movement!$C$4:$C$2136,Table11[[#This Row],[ACCOUNT NUMBER]],Movement!$J$4:$J$2136,Table11[[#This Row],[ENTITY]],Movement!$O$4:$O$2136,'Cash Balance'!$A$2)</f>
        <v>0</v>
      </c>
      <c r="J725" s="1318">
        <f>SUMIFS(Movement!$G$4:$G$2136,Movement!$M$4:$M$2136,"VND",Movement!$C$4:$C$2136,Table11[[#This Row],[ACCOUNT NUMBER]],Movement!$J$4:$J$2136,Table11[[#This Row],[ENTITY]],Movement!$O$4:$O$2136,'Cash Balance'!$A$2)</f>
        <v>0</v>
      </c>
      <c r="K725" s="1084">
        <f>Table11[[#This Row],[CASH IN - CREDIT (VND)]]-Table11[[#This Row],[CASH OUT - DEBIT (VND)]]</f>
        <v>0</v>
      </c>
      <c r="L725" s="1095">
        <f t="shared" si="75"/>
        <v>3000000000</v>
      </c>
      <c r="M725" s="1184" t="e">
        <f>VLOOKUP(C725,'Cash balance (BS)'!A:D,4,)</f>
        <v>#N/A</v>
      </c>
      <c r="N725" s="1095" t="e">
        <f>Table11[[#This Row],[CLOSING BALANCE (VND)2]]-Table11[[#This Row],[CB_BS (VND)]]</f>
        <v>#N/A</v>
      </c>
      <c r="O725" s="1094">
        <v>0</v>
      </c>
      <c r="P725" s="1095">
        <f t="shared" si="76"/>
        <v>0</v>
      </c>
      <c r="Q725" s="817">
        <f>SUMIFS('Cash balance (Prior period)'!G:G,'Cash balance (Prior period)'!C:C,Table11[[#This Row],[ACCOUNT NUMBER]],'Cash balance (Prior period)'!E:E,Table11[[#This Row],[CURRENCY]])</f>
        <v>0</v>
      </c>
      <c r="R725" s="817">
        <f>SUMIFS(Movement!$F$4:$F$2136,Movement!$M$4:$M$2136,"USD",Movement!$C$4:$C$2136,Table11[[#This Row],[ACCOUNT NUMBER]],Movement!$J$4:$J$2136,Table11[[#This Row],[ENTITY]],Movement!$O$4:$O$2136,'Cash Balance'!$A$2)</f>
        <v>0</v>
      </c>
      <c r="S725" s="817">
        <f>SUMIFS(Movement!$G$4:$G$2136,Movement!$M$4:$M$2136,"USD",Movement!$C$4:$C$2136,Table11[[#This Row],[ACCOUNT NUMBER]],Movement!$J$4:$J$2136,Table11[[#This Row],[ENTITY]],Movement!$O$4:$O$2136,'Cash Balance'!$A$2)</f>
        <v>0</v>
      </c>
      <c r="T725" s="1087">
        <f t="shared" si="77"/>
        <v>0</v>
      </c>
      <c r="U725" s="1090"/>
      <c r="V725" s="1091">
        <f>Table11[[#This Row],[CLOSING BALANCE (USD)]]-Table11[[#This Row],[CB_BS (USD)]]</f>
        <v>0</v>
      </c>
      <c r="W725" s="1156" t="str">
        <f>VLOOKUP('Cash Balance'!$C725,Table2[#All],MATCH('Cash Balance'!W$3,Acc_Char!$B$1:$I$1,0),0)</f>
        <v>Subsidiaries</v>
      </c>
      <c r="X725" s="1156" t="str">
        <f>VLOOKUP(IFERROR(MID($Y725,1,FIND("-",$Y725)-2),$Y725),Table3[#All],2,0)</f>
        <v>VCB</v>
      </c>
      <c r="Y725" s="1156" t="str">
        <f>VLOOKUP($B725,Table4[#All],2,0)</f>
        <v>VIETCOMBANK - BA DINH</v>
      </c>
      <c r="Z725" s="1151"/>
      <c r="AA725" s="49"/>
    </row>
    <row r="726" spans="1:27">
      <c r="A726" s="1196" t="str">
        <f>VLOOKUP('Cash Balance'!$C726,Table2[#All],MATCH('Cash Balance'!A$3,Acc_Char!$B$1:$I$1,0),0)</f>
        <v>THUAN THANH 3B</v>
      </c>
      <c r="B726" s="1154" t="str">
        <f>VLOOKUP('Cash Balance'!$C726,Table2[#All],MATCH('Cash Balance'!B$3,Acc_Char!$B$1:$I$1,0),0)</f>
        <v>VIETCOMBANK - BA DINH</v>
      </c>
      <c r="C726" s="1195" t="s">
        <v>1340</v>
      </c>
      <c r="D726" s="1156" t="str">
        <f>VLOOKUP('Cash Balance'!$C726,Table2[#All],MATCH('Cash Balance'!D$3,Acc_Char!$B$1:$I$1,0),0)</f>
        <v>Saving Account</v>
      </c>
      <c r="E726" s="384" t="str">
        <f>VLOOKUP('Cash Balance'!$C726,Table2[#All],MATCH('Cash Balance'!E$3,Acc_Char!$B$1:$I$1,0),0)</f>
        <v>VND</v>
      </c>
      <c r="F726" s="1084" t="e">
        <f>VLOOKUP(C726,'Cash balance (BS)'!A:C,3,)</f>
        <v>#N/A</v>
      </c>
      <c r="G726" s="1191" t="e">
        <f t="shared" ref="G726:G733" si="78">F726-H726</f>
        <v>#N/A</v>
      </c>
      <c r="H726" s="1318">
        <f>SUMIFS('Cash balance (Prior period)'!F:F,'Cash balance (Prior period)'!C:C,Table11[[#This Row],[ACCOUNT NUMBER]],'Cash balance (Prior period)'!E:E,Table11[[#This Row],[CURRENCY]])</f>
        <v>0</v>
      </c>
      <c r="I726" s="1318">
        <f>SUMIFS(Movement!$F$4:$F$2136,Movement!$M$4:$M$2136,"VND",Movement!$C$4:$C$2136,Table11[[#This Row],[ACCOUNT NUMBER]],Movement!$J$4:$J$2136,Table11[[#This Row],[ENTITY]],Movement!$O$4:$O$2136,'Cash Balance'!$A$2)</f>
        <v>0</v>
      </c>
      <c r="J726" s="1318">
        <f>SUMIFS(Movement!$G$4:$G$2136,Movement!$M$4:$M$2136,"VND",Movement!$C$4:$C$2136,Table11[[#This Row],[ACCOUNT NUMBER]],Movement!$J$4:$J$2136,Table11[[#This Row],[ENTITY]],Movement!$O$4:$O$2136,'Cash Balance'!$A$2)</f>
        <v>0</v>
      </c>
      <c r="K726" s="1084">
        <f>Table11[[#This Row],[CASH IN - CREDIT (VND)]]-Table11[[#This Row],[CASH OUT - DEBIT (VND)]]</f>
        <v>0</v>
      </c>
      <c r="L726" s="1095">
        <f t="shared" si="75"/>
        <v>0</v>
      </c>
      <c r="M726" s="1184" t="e">
        <f>VLOOKUP(C726,'Cash balance (BS)'!A:D,4,)</f>
        <v>#N/A</v>
      </c>
      <c r="N726" s="1095" t="e">
        <f>Table11[[#This Row],[CLOSING BALANCE (VND)2]]-Table11[[#This Row],[CB_BS (VND)]]</f>
        <v>#N/A</v>
      </c>
      <c r="O726" s="1094">
        <v>0</v>
      </c>
      <c r="P726" s="1095">
        <f t="shared" si="76"/>
        <v>0</v>
      </c>
      <c r="Q726" s="817">
        <f>SUMIFS('Cash balance (Prior period)'!G:G,'Cash balance (Prior period)'!C:C,Table11[[#This Row],[ACCOUNT NUMBER]],'Cash balance (Prior period)'!E:E,Table11[[#This Row],[CURRENCY]])</f>
        <v>0</v>
      </c>
      <c r="R726" s="817">
        <f>SUMIFS(Movement!$F$4:$F$2136,Movement!$M$4:$M$2136,"USD",Movement!$C$4:$C$2136,Table11[[#This Row],[ACCOUNT NUMBER]],Movement!$J$4:$J$2136,Table11[[#This Row],[ENTITY]],Movement!$O$4:$O$2136,'Cash Balance'!$A$2)</f>
        <v>0</v>
      </c>
      <c r="S726" s="817">
        <f>SUMIFS(Movement!$G$4:$G$2136,Movement!$M$4:$M$2136,"USD",Movement!$C$4:$C$2136,Table11[[#This Row],[ACCOUNT NUMBER]],Movement!$J$4:$J$2136,Table11[[#This Row],[ENTITY]],Movement!$O$4:$O$2136,'Cash Balance'!$A$2)</f>
        <v>0</v>
      </c>
      <c r="T726" s="1087">
        <f t="shared" si="77"/>
        <v>0</v>
      </c>
      <c r="U726" s="1090"/>
      <c r="V726" s="1091">
        <f>Table11[[#This Row],[CLOSING BALANCE (USD)]]-Table11[[#This Row],[CB_BS (USD)]]</f>
        <v>0</v>
      </c>
      <c r="W726" s="1156" t="str">
        <f>VLOOKUP('Cash Balance'!$C726,Table2[#All],MATCH('Cash Balance'!W$3,Acc_Char!$B$1:$I$1,0),0)</f>
        <v>Subsidiaries</v>
      </c>
      <c r="X726" s="1156" t="str">
        <f>VLOOKUP(IFERROR(MID($Y726,1,FIND("-",$Y726)-2),$Y726),Table3[#All],2,0)</f>
        <v>VCB</v>
      </c>
      <c r="Y726" s="1156" t="str">
        <f>VLOOKUP($B726,Table4[#All],2,0)</f>
        <v>VIETCOMBANK - BA DINH</v>
      </c>
      <c r="Z726" s="1151"/>
      <c r="AA726" s="49"/>
    </row>
    <row r="727" spans="1:27">
      <c r="A727" s="1196" t="str">
        <f>VLOOKUP('Cash Balance'!$C727,Table2[#All],MATCH('Cash Balance'!A$3,Acc_Char!$B$1:$I$1,0),0)</f>
        <v>BW NAM HAI</v>
      </c>
      <c r="B727" s="1154" t="str">
        <f>VLOOKUP('Cash Balance'!$C727,Table2[#All],MATCH('Cash Balance'!B$3,Acc_Char!$B$1:$I$1,0),0)</f>
        <v>VIETCOMBANK - BA DINH</v>
      </c>
      <c r="C727" s="1195" t="s">
        <v>1341</v>
      </c>
      <c r="D727" s="1156" t="str">
        <f>VLOOKUP('Cash Balance'!$C727,Table2[#All],MATCH('Cash Balance'!D$3,Acc_Char!$B$1:$I$1,0),0)</f>
        <v>Saving Account</v>
      </c>
      <c r="E727" s="384" t="str">
        <f>VLOOKUP('Cash Balance'!$C727,Table2[#All],MATCH('Cash Balance'!E$3,Acc_Char!$B$1:$I$1,0),0)</f>
        <v>VND</v>
      </c>
      <c r="F727" s="1084" t="e">
        <f>VLOOKUP(C727,'Cash balance (BS)'!A:C,3,)</f>
        <v>#N/A</v>
      </c>
      <c r="G727" s="1191" t="e">
        <f t="shared" si="78"/>
        <v>#N/A</v>
      </c>
      <c r="H727" s="1318">
        <f>SUMIFS('Cash balance (Prior period)'!F:F,'Cash balance (Prior period)'!C:C,Table11[[#This Row],[ACCOUNT NUMBER]],'Cash balance (Prior period)'!E:E,Table11[[#This Row],[CURRENCY]])</f>
        <v>2300000000</v>
      </c>
      <c r="I727" s="1318">
        <f>SUMIFS(Movement!$F$4:$F$2136,Movement!$M$4:$M$2136,"VND",Movement!$C$4:$C$2136,Table11[[#This Row],[ACCOUNT NUMBER]],Movement!$J$4:$J$2136,Table11[[#This Row],[ENTITY]],Movement!$O$4:$O$2136,'Cash Balance'!$A$2)</f>
        <v>0</v>
      </c>
      <c r="J727" s="1318">
        <f>SUMIFS(Movement!$G$4:$G$2136,Movement!$M$4:$M$2136,"VND",Movement!$C$4:$C$2136,Table11[[#This Row],[ACCOUNT NUMBER]],Movement!$J$4:$J$2136,Table11[[#This Row],[ENTITY]],Movement!$O$4:$O$2136,'Cash Balance'!$A$2)</f>
        <v>0</v>
      </c>
      <c r="K727" s="1084">
        <f>Table11[[#This Row],[CASH IN - CREDIT (VND)]]-Table11[[#This Row],[CASH OUT - DEBIT (VND)]]</f>
        <v>0</v>
      </c>
      <c r="L727" s="1095">
        <f t="shared" si="75"/>
        <v>2300000000</v>
      </c>
      <c r="M727" s="1184" t="e">
        <f>VLOOKUP(C727,'Cash balance (BS)'!A:D,4,)</f>
        <v>#N/A</v>
      </c>
      <c r="N727" s="1095" t="e">
        <f>Table11[[#This Row],[CLOSING BALANCE (VND)2]]-Table11[[#This Row],[CB_BS (VND)]]</f>
        <v>#N/A</v>
      </c>
      <c r="O727" s="1094">
        <v>0</v>
      </c>
      <c r="P727" s="1095">
        <f t="shared" si="76"/>
        <v>0</v>
      </c>
      <c r="Q727" s="817">
        <f>SUMIFS('Cash balance (Prior period)'!G:G,'Cash balance (Prior period)'!C:C,Table11[[#This Row],[ACCOUNT NUMBER]],'Cash balance (Prior period)'!E:E,Table11[[#This Row],[CURRENCY]])</f>
        <v>0</v>
      </c>
      <c r="R727" s="817">
        <f>SUMIFS(Movement!$F$4:$F$2136,Movement!$M$4:$M$2136,"USD",Movement!$C$4:$C$2136,Table11[[#This Row],[ACCOUNT NUMBER]],Movement!$J$4:$J$2136,Table11[[#This Row],[ENTITY]],Movement!$O$4:$O$2136,'Cash Balance'!$A$2)</f>
        <v>0</v>
      </c>
      <c r="S727" s="817">
        <f>SUMIFS(Movement!$G$4:$G$2136,Movement!$M$4:$M$2136,"USD",Movement!$C$4:$C$2136,Table11[[#This Row],[ACCOUNT NUMBER]],Movement!$J$4:$J$2136,Table11[[#This Row],[ENTITY]],Movement!$O$4:$O$2136,'Cash Balance'!$A$2)</f>
        <v>0</v>
      </c>
      <c r="T727" s="1087">
        <f t="shared" si="77"/>
        <v>0</v>
      </c>
      <c r="U727" s="1090"/>
      <c r="V727" s="1091">
        <f>Table11[[#This Row],[CLOSING BALANCE (USD)]]-Table11[[#This Row],[CB_BS (USD)]]</f>
        <v>0</v>
      </c>
      <c r="W727" s="1156" t="str">
        <f>VLOOKUP('Cash Balance'!$C727,Table2[#All],MATCH('Cash Balance'!W$3,Acc_Char!$B$1:$I$1,0),0)</f>
        <v>Subsidiaries</v>
      </c>
      <c r="X727" s="1156" t="str">
        <f>VLOOKUP(IFERROR(MID($Y727,1,FIND("-",$Y727)-2),$Y727),Table3[#All],2,0)</f>
        <v>VCB</v>
      </c>
      <c r="Y727" s="1156" t="str">
        <f>VLOOKUP($B727,Table4[#All],2,0)</f>
        <v>VIETCOMBANK - BA DINH</v>
      </c>
      <c r="Z727" s="1151"/>
      <c r="AA727" s="49"/>
    </row>
    <row r="728" spans="1:27">
      <c r="A728" s="1196" t="str">
        <f>VLOOKUP('Cash Balance'!$C728,Table2[#All],MATCH('Cash Balance'!A$3,Acc_Char!$B$1:$I$1,0),0)</f>
        <v>BWID THOI HOA</v>
      </c>
      <c r="B728" s="1154" t="str">
        <f>VLOOKUP('Cash Balance'!$C728,Table2[#All],MATCH('Cash Balance'!B$3,Acc_Char!$B$1:$I$1,0),0)</f>
        <v>VIETCOMBANK - HCM</v>
      </c>
      <c r="C728" s="1195" t="s">
        <v>1342</v>
      </c>
      <c r="D728" s="1156" t="str">
        <f>VLOOKUP('Cash Balance'!$C728,Table2[#All],MATCH('Cash Balance'!D$3,Acc_Char!$B$1:$I$1,0),0)</f>
        <v>Saving Account</v>
      </c>
      <c r="E728" s="384" t="str">
        <f>VLOOKUP('Cash Balance'!$C728,Table2[#All],MATCH('Cash Balance'!E$3,Acc_Char!$B$1:$I$1,0),0)</f>
        <v>VND</v>
      </c>
      <c r="F728" s="1084" t="e">
        <f>VLOOKUP(C728,'Cash balance (BS)'!A:C,3,)</f>
        <v>#N/A</v>
      </c>
      <c r="G728" s="1191" t="e">
        <f t="shared" si="78"/>
        <v>#N/A</v>
      </c>
      <c r="H728" s="1318">
        <f>SUMIFS('Cash balance (Prior period)'!F:F,'Cash balance (Prior period)'!C:C,Table11[[#This Row],[ACCOUNT NUMBER]],'Cash balance (Prior period)'!E:E,Table11[[#This Row],[CURRENCY]])</f>
        <v>0</v>
      </c>
      <c r="I728" s="1318">
        <f>SUMIFS(Movement!$F$4:$F$2136,Movement!$M$4:$M$2136,"VND",Movement!$C$4:$C$2136,Table11[[#This Row],[ACCOUNT NUMBER]],Movement!$J$4:$J$2136,Table11[[#This Row],[ENTITY]],Movement!$O$4:$O$2136,'Cash Balance'!$A$2)</f>
        <v>0</v>
      </c>
      <c r="J728" s="1318">
        <f>SUMIFS(Movement!$G$4:$G$2136,Movement!$M$4:$M$2136,"VND",Movement!$C$4:$C$2136,Table11[[#This Row],[ACCOUNT NUMBER]],Movement!$J$4:$J$2136,Table11[[#This Row],[ENTITY]],Movement!$O$4:$O$2136,'Cash Balance'!$A$2)</f>
        <v>0</v>
      </c>
      <c r="K728" s="1084">
        <f>Table11[[#This Row],[CASH IN - CREDIT (VND)]]-Table11[[#This Row],[CASH OUT - DEBIT (VND)]]</f>
        <v>0</v>
      </c>
      <c r="L728" s="1095">
        <f t="shared" si="75"/>
        <v>0</v>
      </c>
      <c r="M728" s="1184" t="e">
        <f>VLOOKUP(C728,'Cash balance (BS)'!A:D,4,)</f>
        <v>#N/A</v>
      </c>
      <c r="N728" s="1095" t="e">
        <f>Table11[[#This Row],[CLOSING BALANCE (VND)2]]-Table11[[#This Row],[CB_BS (VND)]]</f>
        <v>#N/A</v>
      </c>
      <c r="O728" s="1094">
        <v>0</v>
      </c>
      <c r="P728" s="1095">
        <f t="shared" si="76"/>
        <v>0</v>
      </c>
      <c r="Q728" s="817">
        <f>SUMIFS('Cash balance (Prior period)'!G:G,'Cash balance (Prior period)'!C:C,Table11[[#This Row],[ACCOUNT NUMBER]],'Cash balance (Prior period)'!E:E,Table11[[#This Row],[CURRENCY]])</f>
        <v>0</v>
      </c>
      <c r="R728" s="817">
        <f>SUMIFS(Movement!$F$4:$F$2136,Movement!$M$4:$M$2136,"USD",Movement!$C$4:$C$2136,Table11[[#This Row],[ACCOUNT NUMBER]],Movement!$J$4:$J$2136,Table11[[#This Row],[ENTITY]],Movement!$O$4:$O$2136,'Cash Balance'!$A$2)</f>
        <v>0</v>
      </c>
      <c r="S728" s="817">
        <f>SUMIFS(Movement!$G$4:$G$2136,Movement!$M$4:$M$2136,"USD",Movement!$C$4:$C$2136,Table11[[#This Row],[ACCOUNT NUMBER]],Movement!$J$4:$J$2136,Table11[[#This Row],[ENTITY]],Movement!$O$4:$O$2136,'Cash Balance'!$A$2)</f>
        <v>0</v>
      </c>
      <c r="T728" s="1087">
        <f t="shared" si="77"/>
        <v>0</v>
      </c>
      <c r="U728" s="1090"/>
      <c r="V728" s="1091">
        <f>Table11[[#This Row],[CLOSING BALANCE (USD)]]-Table11[[#This Row],[CB_BS (USD)]]</f>
        <v>0</v>
      </c>
      <c r="W728" s="1156" t="str">
        <f>VLOOKUP('Cash Balance'!$C728,Table2[#All],MATCH('Cash Balance'!W$3,Acc_Char!$B$1:$I$1,0),0)</f>
        <v>Subsidiaries</v>
      </c>
      <c r="X728" s="1156" t="str">
        <f>VLOOKUP(IFERROR(MID($Y728,1,FIND("-",$Y728)-2),$Y728),Table3[#All],2,0)</f>
        <v>VCB</v>
      </c>
      <c r="Y728" s="1156" t="str">
        <f>VLOOKUP($B728,Table4[#All],2,0)</f>
        <v>VIETCOMBANK - HCM</v>
      </c>
      <c r="Z728" s="1151"/>
      <c r="AA728" s="49"/>
    </row>
    <row r="729" spans="1:27">
      <c r="A729" s="1196" t="str">
        <f>VLOOKUP('Cash Balance'!$C729,Table2[#All],MATCH('Cash Balance'!A$3,Acc_Char!$B$1:$I$1,0),0)</f>
        <v>BWID THOI HOA</v>
      </c>
      <c r="B729" s="1154" t="str">
        <f>VLOOKUP('Cash Balance'!$C729,Table2[#All],MATCH('Cash Balance'!B$3,Acc_Char!$B$1:$I$1,0),0)</f>
        <v>VIETCOMBANK - HCM</v>
      </c>
      <c r="C729" s="1195" t="s">
        <v>1343</v>
      </c>
      <c r="D729" s="1156" t="str">
        <f>VLOOKUP('Cash Balance'!$C729,Table2[#All],MATCH('Cash Balance'!D$3,Acc_Char!$B$1:$I$1,0),0)</f>
        <v>Saving Account</v>
      </c>
      <c r="E729" s="384" t="str">
        <f>VLOOKUP('Cash Balance'!$C729,Table2[#All],MATCH('Cash Balance'!E$3,Acc_Char!$B$1:$I$1,0),0)</f>
        <v>VND</v>
      </c>
      <c r="F729" s="1084" t="e">
        <f>VLOOKUP(C729,'Cash balance (BS)'!A:C,3,)</f>
        <v>#N/A</v>
      </c>
      <c r="G729" s="1191" t="e">
        <f t="shared" si="78"/>
        <v>#N/A</v>
      </c>
      <c r="H729" s="1318">
        <f>SUMIFS('Cash balance (Prior period)'!F:F,'Cash balance (Prior period)'!C:C,Table11[[#This Row],[ACCOUNT NUMBER]],'Cash balance (Prior period)'!E:E,Table11[[#This Row],[CURRENCY]])</f>
        <v>0</v>
      </c>
      <c r="I729" s="1318">
        <f>SUMIFS(Movement!$F$4:$F$2136,Movement!$M$4:$M$2136,"VND",Movement!$C$4:$C$2136,Table11[[#This Row],[ACCOUNT NUMBER]],Movement!$J$4:$J$2136,Table11[[#This Row],[ENTITY]],Movement!$O$4:$O$2136,'Cash Balance'!$A$2)</f>
        <v>0</v>
      </c>
      <c r="J729" s="1318">
        <f>SUMIFS(Movement!$G$4:$G$2136,Movement!$M$4:$M$2136,"VND",Movement!$C$4:$C$2136,Table11[[#This Row],[ACCOUNT NUMBER]],Movement!$J$4:$J$2136,Table11[[#This Row],[ENTITY]],Movement!$O$4:$O$2136,'Cash Balance'!$A$2)</f>
        <v>0</v>
      </c>
      <c r="K729" s="1084">
        <f>Table11[[#This Row],[CASH IN - CREDIT (VND)]]-Table11[[#This Row],[CASH OUT - DEBIT (VND)]]</f>
        <v>0</v>
      </c>
      <c r="L729" s="1095">
        <f t="shared" si="75"/>
        <v>0</v>
      </c>
      <c r="M729" s="1184" t="e">
        <f>VLOOKUP(C729,'Cash balance (BS)'!A:D,4,)</f>
        <v>#N/A</v>
      </c>
      <c r="N729" s="1095" t="e">
        <f>Table11[[#This Row],[CLOSING BALANCE (VND)2]]-Table11[[#This Row],[CB_BS (VND)]]</f>
        <v>#N/A</v>
      </c>
      <c r="O729" s="1094">
        <v>0</v>
      </c>
      <c r="P729" s="1095">
        <f t="shared" si="76"/>
        <v>0</v>
      </c>
      <c r="Q729" s="817">
        <f>SUMIFS('Cash balance (Prior period)'!G:G,'Cash balance (Prior period)'!C:C,Table11[[#This Row],[ACCOUNT NUMBER]],'Cash balance (Prior period)'!E:E,Table11[[#This Row],[CURRENCY]])</f>
        <v>0</v>
      </c>
      <c r="R729" s="817">
        <f>SUMIFS(Movement!$F$4:$F$2136,Movement!$M$4:$M$2136,"USD",Movement!$C$4:$C$2136,Table11[[#This Row],[ACCOUNT NUMBER]],Movement!$J$4:$J$2136,Table11[[#This Row],[ENTITY]],Movement!$O$4:$O$2136,'Cash Balance'!$A$2)</f>
        <v>0</v>
      </c>
      <c r="S729" s="817">
        <f>SUMIFS(Movement!$G$4:$G$2136,Movement!$M$4:$M$2136,"USD",Movement!$C$4:$C$2136,Table11[[#This Row],[ACCOUNT NUMBER]],Movement!$J$4:$J$2136,Table11[[#This Row],[ENTITY]],Movement!$O$4:$O$2136,'Cash Balance'!$A$2)</f>
        <v>0</v>
      </c>
      <c r="T729" s="1087">
        <f t="shared" si="77"/>
        <v>0</v>
      </c>
      <c r="U729" s="1090"/>
      <c r="V729" s="1091">
        <f>Table11[[#This Row],[CLOSING BALANCE (USD)]]-Table11[[#This Row],[CB_BS (USD)]]</f>
        <v>0</v>
      </c>
      <c r="W729" s="1156" t="str">
        <f>VLOOKUP('Cash Balance'!$C729,Table2[#All],MATCH('Cash Balance'!W$3,Acc_Char!$B$1:$I$1,0),0)</f>
        <v>Subsidiaries</v>
      </c>
      <c r="X729" s="1156" t="str">
        <f>VLOOKUP(IFERROR(MID($Y729,1,FIND("-",$Y729)-2),$Y729),Table3[#All],2,0)</f>
        <v>VCB</v>
      </c>
      <c r="Y729" s="1156" t="str">
        <f>VLOOKUP($B729,Table4[#All],2,0)</f>
        <v>VIETCOMBANK - HCM</v>
      </c>
      <c r="Z729" s="1151"/>
      <c r="AA729" s="49"/>
    </row>
    <row r="730" spans="1:27">
      <c r="A730" s="1196" t="str">
        <f>VLOOKUP('Cash Balance'!$C730,Table2[#All],MATCH('Cash Balance'!A$3,Acc_Char!$B$1:$I$1,0),0)</f>
        <v>BWID THOI HOA</v>
      </c>
      <c r="B730" s="1154" t="str">
        <f>VLOOKUP('Cash Balance'!$C730,Table2[#All],MATCH('Cash Balance'!B$3,Acc_Char!$B$1:$I$1,0),0)</f>
        <v>VIETCOMBANK - HCM</v>
      </c>
      <c r="C730" s="1195" t="s">
        <v>1344</v>
      </c>
      <c r="D730" s="1156" t="str">
        <f>VLOOKUP('Cash Balance'!$C730,Table2[#All],MATCH('Cash Balance'!D$3,Acc_Char!$B$1:$I$1,0),0)</f>
        <v>Saving Account</v>
      </c>
      <c r="E730" s="384" t="str">
        <f>VLOOKUP('Cash Balance'!$C730,Table2[#All],MATCH('Cash Balance'!E$3,Acc_Char!$B$1:$I$1,0),0)</f>
        <v>VND</v>
      </c>
      <c r="F730" s="1084" t="e">
        <f>VLOOKUP(C730,'Cash balance (BS)'!A:C,3,)</f>
        <v>#N/A</v>
      </c>
      <c r="G730" s="1191" t="e">
        <f t="shared" si="78"/>
        <v>#N/A</v>
      </c>
      <c r="H730" s="1318">
        <f>SUMIFS('Cash balance (Prior period)'!F:F,'Cash balance (Prior period)'!C:C,Table11[[#This Row],[ACCOUNT NUMBER]],'Cash balance (Prior period)'!E:E,Table11[[#This Row],[CURRENCY]])</f>
        <v>0</v>
      </c>
      <c r="I730" s="1318">
        <f>SUMIFS(Movement!$F$4:$F$2136,Movement!$M$4:$M$2136,"VND",Movement!$C$4:$C$2136,Table11[[#This Row],[ACCOUNT NUMBER]],Movement!$J$4:$J$2136,Table11[[#This Row],[ENTITY]],Movement!$O$4:$O$2136,'Cash Balance'!$A$2)</f>
        <v>0</v>
      </c>
      <c r="J730" s="1318">
        <f>SUMIFS(Movement!$G$4:$G$2136,Movement!$M$4:$M$2136,"VND",Movement!$C$4:$C$2136,Table11[[#This Row],[ACCOUNT NUMBER]],Movement!$J$4:$J$2136,Table11[[#This Row],[ENTITY]],Movement!$O$4:$O$2136,'Cash Balance'!$A$2)</f>
        <v>0</v>
      </c>
      <c r="K730" s="1084">
        <f>Table11[[#This Row],[CASH IN - CREDIT (VND)]]-Table11[[#This Row],[CASH OUT - DEBIT (VND)]]</f>
        <v>0</v>
      </c>
      <c r="L730" s="1095">
        <f t="shared" si="75"/>
        <v>0</v>
      </c>
      <c r="M730" s="1184" t="e">
        <f>VLOOKUP(C730,'Cash balance (BS)'!A:D,4,)</f>
        <v>#N/A</v>
      </c>
      <c r="N730" s="1095" t="e">
        <f>Table11[[#This Row],[CLOSING BALANCE (VND)2]]-Table11[[#This Row],[CB_BS (VND)]]</f>
        <v>#N/A</v>
      </c>
      <c r="O730" s="1094">
        <v>0</v>
      </c>
      <c r="P730" s="1095">
        <f t="shared" si="76"/>
        <v>0</v>
      </c>
      <c r="Q730" s="817">
        <f>SUMIFS('Cash balance (Prior period)'!G:G,'Cash balance (Prior period)'!C:C,Table11[[#This Row],[ACCOUNT NUMBER]],'Cash balance (Prior period)'!E:E,Table11[[#This Row],[CURRENCY]])</f>
        <v>0</v>
      </c>
      <c r="R730" s="817">
        <f>SUMIFS(Movement!$F$4:$F$2136,Movement!$M$4:$M$2136,"USD",Movement!$C$4:$C$2136,Table11[[#This Row],[ACCOUNT NUMBER]],Movement!$J$4:$J$2136,Table11[[#This Row],[ENTITY]],Movement!$O$4:$O$2136,'Cash Balance'!$A$2)</f>
        <v>0</v>
      </c>
      <c r="S730" s="817">
        <f>SUMIFS(Movement!$G$4:$G$2136,Movement!$M$4:$M$2136,"USD",Movement!$C$4:$C$2136,Table11[[#This Row],[ACCOUNT NUMBER]],Movement!$J$4:$J$2136,Table11[[#This Row],[ENTITY]],Movement!$O$4:$O$2136,'Cash Balance'!$A$2)</f>
        <v>0</v>
      </c>
      <c r="T730" s="1087">
        <f t="shared" si="77"/>
        <v>0</v>
      </c>
      <c r="U730" s="1090"/>
      <c r="V730" s="1091">
        <f>Table11[[#This Row],[CLOSING BALANCE (USD)]]-Table11[[#This Row],[CB_BS (USD)]]</f>
        <v>0</v>
      </c>
      <c r="W730" s="1156" t="str">
        <f>VLOOKUP('Cash Balance'!$C730,Table2[#All],MATCH('Cash Balance'!W$3,Acc_Char!$B$1:$I$1,0),0)</f>
        <v>Subsidiaries</v>
      </c>
      <c r="X730" s="1156" t="str">
        <f>VLOOKUP(IFERROR(MID($Y730,1,FIND("-",$Y730)-2),$Y730),Table3[#All],2,0)</f>
        <v>VCB</v>
      </c>
      <c r="Y730" s="1156" t="str">
        <f>VLOOKUP($B730,Table4[#All],2,0)</f>
        <v>VIETCOMBANK - HCM</v>
      </c>
      <c r="Z730" s="1151"/>
      <c r="AA730" s="49"/>
    </row>
    <row r="731" spans="1:27">
      <c r="A731" s="1196" t="str">
        <f>VLOOKUP('Cash Balance'!$C731,Table2[#All],MATCH('Cash Balance'!A$3,Acc_Char!$B$1:$I$1,0),0)</f>
        <v>BWID TAN DONG HIEP</v>
      </c>
      <c r="B731" s="1154" t="str">
        <f>VLOOKUP('Cash Balance'!$C731,Table2[#All],MATCH('Cash Balance'!B$3,Acc_Char!$B$1:$I$1,0),0)</f>
        <v>SINOPAC</v>
      </c>
      <c r="C731" s="1195" t="s">
        <v>1345</v>
      </c>
      <c r="D731" s="1156" t="str">
        <f>VLOOKUP('Cash Balance'!$C731,Table2[#All],MATCH('Cash Balance'!D$3,Acc_Char!$B$1:$I$1,0),0)</f>
        <v>Saving Account</v>
      </c>
      <c r="E731" s="384" t="str">
        <f>VLOOKUP('Cash Balance'!$C731,Table2[#All],MATCH('Cash Balance'!E$3,Acc_Char!$B$1:$I$1,0),0)</f>
        <v>VND</v>
      </c>
      <c r="F731" s="1084" t="e">
        <f>VLOOKUP(C731,'Cash balance (BS)'!A:C,3,)</f>
        <v>#N/A</v>
      </c>
      <c r="G731" s="1191" t="e">
        <f t="shared" si="78"/>
        <v>#N/A</v>
      </c>
      <c r="H731" s="1318">
        <f>SUMIFS('Cash balance (Prior period)'!F:F,'Cash balance (Prior period)'!C:C,Table11[[#This Row],[ACCOUNT NUMBER]],'Cash balance (Prior period)'!E:E,Table11[[#This Row],[CURRENCY]])</f>
        <v>0</v>
      </c>
      <c r="I731" s="1318">
        <f>SUMIFS(Movement!$F$4:$F$2136,Movement!$M$4:$M$2136,"VND",Movement!$C$4:$C$2136,Table11[[#This Row],[ACCOUNT NUMBER]],Movement!$J$4:$J$2136,Table11[[#This Row],[ENTITY]],Movement!$O$4:$O$2136,'Cash Balance'!$A$2)</f>
        <v>0</v>
      </c>
      <c r="J731" s="1318">
        <f>SUMIFS(Movement!$G$4:$G$2136,Movement!$M$4:$M$2136,"VND",Movement!$C$4:$C$2136,Table11[[#This Row],[ACCOUNT NUMBER]],Movement!$J$4:$J$2136,Table11[[#This Row],[ENTITY]],Movement!$O$4:$O$2136,'Cash Balance'!$A$2)</f>
        <v>0</v>
      </c>
      <c r="K731" s="1084">
        <f>Table11[[#This Row],[CASH IN - CREDIT (VND)]]-Table11[[#This Row],[CASH OUT - DEBIT (VND)]]</f>
        <v>0</v>
      </c>
      <c r="L731" s="1095">
        <f t="shared" si="75"/>
        <v>0</v>
      </c>
      <c r="M731" s="1184" t="e">
        <f>VLOOKUP(C731,'Cash balance (BS)'!A:D,4,)</f>
        <v>#N/A</v>
      </c>
      <c r="N731" s="1095" t="e">
        <f>Table11[[#This Row],[CLOSING BALANCE (VND)2]]-Table11[[#This Row],[CB_BS (VND)]]</f>
        <v>#N/A</v>
      </c>
      <c r="O731" s="1094">
        <v>0</v>
      </c>
      <c r="P731" s="1095">
        <f t="shared" si="76"/>
        <v>0</v>
      </c>
      <c r="Q731" s="817">
        <f>SUMIFS('Cash balance (Prior period)'!G:G,'Cash balance (Prior period)'!C:C,Table11[[#This Row],[ACCOUNT NUMBER]],'Cash balance (Prior period)'!E:E,Table11[[#This Row],[CURRENCY]])</f>
        <v>0</v>
      </c>
      <c r="R731" s="817">
        <f>SUMIFS(Movement!$F$4:$F$2136,Movement!$M$4:$M$2136,"USD",Movement!$C$4:$C$2136,Table11[[#This Row],[ACCOUNT NUMBER]],Movement!$J$4:$J$2136,Table11[[#This Row],[ENTITY]],Movement!$O$4:$O$2136,'Cash Balance'!$A$2)</f>
        <v>0</v>
      </c>
      <c r="S731" s="817">
        <f>SUMIFS(Movement!$G$4:$G$2136,Movement!$M$4:$M$2136,"USD",Movement!$C$4:$C$2136,Table11[[#This Row],[ACCOUNT NUMBER]],Movement!$J$4:$J$2136,Table11[[#This Row],[ENTITY]],Movement!$O$4:$O$2136,'Cash Balance'!$A$2)</f>
        <v>0</v>
      </c>
      <c r="T731" s="1087">
        <f t="shared" si="77"/>
        <v>0</v>
      </c>
      <c r="U731" s="1090"/>
      <c r="V731" s="1091">
        <f>Table11[[#This Row],[CLOSING BALANCE (USD)]]-Table11[[#This Row],[CB_BS (USD)]]</f>
        <v>0</v>
      </c>
      <c r="W731" s="1156" t="str">
        <f>VLOOKUP('Cash Balance'!$C731,Table2[#All],MATCH('Cash Balance'!W$3,Acc_Char!$B$1:$I$1,0),0)</f>
        <v>Subsidiaries</v>
      </c>
      <c r="X731" s="1156" t="str">
        <f>VLOOKUP(IFERROR(MID($Y731,1,FIND("-",$Y731)-2),$Y731),Table3[#All],2,0)</f>
        <v>SNP</v>
      </c>
      <c r="Y731" s="1156" t="str">
        <f>VLOOKUP($B731,Table4[#All],2,0)</f>
        <v>SINOPAC</v>
      </c>
      <c r="Z731" s="1151"/>
      <c r="AA731" s="49"/>
    </row>
    <row r="732" spans="1:27">
      <c r="A732" s="1196" t="str">
        <f>VLOOKUP('Cash Balance'!$C732,Table2[#All],MATCH('Cash Balance'!A$3,Acc_Char!$B$1:$I$1,0),0)</f>
        <v>BWID THOI HOA 2</v>
      </c>
      <c r="B732" s="1154" t="str">
        <f>VLOOKUP('Cash Balance'!$C732,Table2[#All],MATCH('Cash Balance'!B$3,Acc_Char!$B$1:$I$1,0),0)</f>
        <v>KBank - HCM</v>
      </c>
      <c r="C732" s="1195" t="s">
        <v>1346</v>
      </c>
      <c r="D732" s="1156" t="str">
        <f>VLOOKUP('Cash Balance'!$C732,Table2[#All],MATCH('Cash Balance'!D$3,Acc_Char!$B$1:$I$1,0),0)</f>
        <v>Saving Account</v>
      </c>
      <c r="E732" s="384" t="str">
        <f>VLOOKUP('Cash Balance'!$C732,Table2[#All],MATCH('Cash Balance'!E$3,Acc_Char!$B$1:$I$1,0),0)</f>
        <v>VND</v>
      </c>
      <c r="F732" s="1084" t="e">
        <f>VLOOKUP(C732,'Cash balance (BS)'!A:C,3,)</f>
        <v>#N/A</v>
      </c>
      <c r="G732" s="1191" t="e">
        <f t="shared" si="78"/>
        <v>#N/A</v>
      </c>
      <c r="H732" s="1318">
        <f>SUMIFS('Cash balance (Prior period)'!F:F,'Cash balance (Prior period)'!C:C,Table11[[#This Row],[ACCOUNT NUMBER]],'Cash balance (Prior period)'!E:E,Table11[[#This Row],[CURRENCY]])</f>
        <v>0</v>
      </c>
      <c r="I732" s="1318">
        <f>SUMIFS(Movement!$F$4:$F$2136,Movement!$M$4:$M$2136,"VND",Movement!$C$4:$C$2136,Table11[[#This Row],[ACCOUNT NUMBER]],Movement!$J$4:$J$2136,Table11[[#This Row],[ENTITY]],Movement!$O$4:$O$2136,'Cash Balance'!$A$2)</f>
        <v>0</v>
      </c>
      <c r="J732" s="1318">
        <f>SUMIFS(Movement!$G$4:$G$2136,Movement!$M$4:$M$2136,"VND",Movement!$C$4:$C$2136,Table11[[#This Row],[ACCOUNT NUMBER]],Movement!$J$4:$J$2136,Table11[[#This Row],[ENTITY]],Movement!$O$4:$O$2136,'Cash Balance'!$A$2)</f>
        <v>0</v>
      </c>
      <c r="K732" s="1084">
        <f>Table11[[#This Row],[CASH IN - CREDIT (VND)]]-Table11[[#This Row],[CASH OUT - DEBIT (VND)]]</f>
        <v>0</v>
      </c>
      <c r="L732" s="1095">
        <f t="shared" si="75"/>
        <v>0</v>
      </c>
      <c r="M732" s="1184" t="e">
        <f>VLOOKUP(C732,'Cash balance (BS)'!A:D,4,)</f>
        <v>#N/A</v>
      </c>
      <c r="N732" s="1095" t="e">
        <f>Table11[[#This Row],[CLOSING BALANCE (VND)2]]-Table11[[#This Row],[CB_BS (VND)]]</f>
        <v>#N/A</v>
      </c>
      <c r="O732" s="1094">
        <v>0</v>
      </c>
      <c r="P732" s="1095">
        <f t="shared" si="76"/>
        <v>0</v>
      </c>
      <c r="Q732" s="817">
        <f>SUMIFS('Cash balance (Prior period)'!G:G,'Cash balance (Prior period)'!C:C,Table11[[#This Row],[ACCOUNT NUMBER]],'Cash balance (Prior period)'!E:E,Table11[[#This Row],[CURRENCY]])</f>
        <v>0</v>
      </c>
      <c r="R732" s="817">
        <f>SUMIFS(Movement!$F$4:$F$2136,Movement!$M$4:$M$2136,"USD",Movement!$C$4:$C$2136,Table11[[#This Row],[ACCOUNT NUMBER]],Movement!$J$4:$J$2136,Table11[[#This Row],[ENTITY]],Movement!$O$4:$O$2136,'Cash Balance'!$A$2)</f>
        <v>0</v>
      </c>
      <c r="S732" s="817">
        <f>SUMIFS(Movement!$G$4:$G$2136,Movement!$M$4:$M$2136,"USD",Movement!$C$4:$C$2136,Table11[[#This Row],[ACCOUNT NUMBER]],Movement!$J$4:$J$2136,Table11[[#This Row],[ENTITY]],Movement!$O$4:$O$2136,'Cash Balance'!$A$2)</f>
        <v>0</v>
      </c>
      <c r="T732" s="1087">
        <f t="shared" si="77"/>
        <v>0</v>
      </c>
      <c r="U732" s="1090"/>
      <c r="V732" s="1091">
        <f>Table11[[#This Row],[CLOSING BALANCE (USD)]]-Table11[[#This Row],[CB_BS (USD)]]</f>
        <v>0</v>
      </c>
      <c r="W732" s="1156" t="str">
        <f>VLOOKUP('Cash Balance'!$C732,Table2[#All],MATCH('Cash Balance'!W$3,Acc_Char!$B$1:$I$1,0),0)</f>
        <v>Subsidiaries</v>
      </c>
      <c r="X732" s="1156" t="str">
        <f>VLOOKUP(IFERROR(MID($Y732,1,FIND("-",$Y732)-2),$Y732),Table3[#All],2,0)</f>
        <v>Others</v>
      </c>
      <c r="Y732" s="1156" t="str">
        <f>VLOOKUP($B732,Table4[#All],2,0)</f>
        <v>OTHERS</v>
      </c>
      <c r="Z732" s="1151"/>
      <c r="AA732" s="49"/>
    </row>
    <row r="733" spans="1:27">
      <c r="A733" s="1196" t="str">
        <f>VLOOKUP('Cash Balance'!$C733,Table2[#All],MATCH('Cash Balance'!A$3,Acc_Char!$B$1:$I$1,0),0)</f>
        <v>SAO HOA</v>
      </c>
      <c r="B733" s="1154" t="str">
        <f>VLOOKUP('Cash Balance'!$C733,Table2[#All],MATCH('Cash Balance'!B$3,Acc_Char!$B$1:$I$1,0),0)</f>
        <v>VIETINBANK - CN1</v>
      </c>
      <c r="C733" s="1195" t="s">
        <v>1347</v>
      </c>
      <c r="D733" s="1156" t="str">
        <f>VLOOKUP('Cash Balance'!$C733,Table2[#All],MATCH('Cash Balance'!D$3,Acc_Char!$B$1:$I$1,0),0)</f>
        <v>Saving Account</v>
      </c>
      <c r="E733" s="384" t="str">
        <f>VLOOKUP('Cash Balance'!$C733,Table2[#All],MATCH('Cash Balance'!E$3,Acc_Char!$B$1:$I$1,0),0)</f>
        <v>VND</v>
      </c>
      <c r="F733" s="1084" t="e">
        <f>VLOOKUP(C733,'Cash balance (BS)'!A:C,3,)</f>
        <v>#N/A</v>
      </c>
      <c r="G733" s="1191" t="e">
        <f t="shared" si="78"/>
        <v>#N/A</v>
      </c>
      <c r="H733" s="1318">
        <f>SUMIFS('Cash balance (Prior period)'!F:F,'Cash balance (Prior period)'!C:C,Table11[[#This Row],[ACCOUNT NUMBER]],'Cash balance (Prior period)'!E:E,Table11[[#This Row],[CURRENCY]])</f>
        <v>0</v>
      </c>
      <c r="I733" s="1318">
        <f>SUMIFS(Movement!$F$4:$F$2136,Movement!$M$4:$M$2136,"VND",Movement!$C$4:$C$2136,Table11[[#This Row],[ACCOUNT NUMBER]],Movement!$J$4:$J$2136,Table11[[#This Row],[ENTITY]],Movement!$O$4:$O$2136,'Cash Balance'!$A$2)</f>
        <v>0</v>
      </c>
      <c r="J733" s="1318">
        <f>SUMIFS(Movement!$G$4:$G$2136,Movement!$M$4:$M$2136,"VND",Movement!$C$4:$C$2136,Table11[[#This Row],[ACCOUNT NUMBER]],Movement!$J$4:$J$2136,Table11[[#This Row],[ENTITY]],Movement!$O$4:$O$2136,'Cash Balance'!$A$2)</f>
        <v>0</v>
      </c>
      <c r="K733" s="1084">
        <f>Table11[[#This Row],[CASH IN - CREDIT (VND)]]-Table11[[#This Row],[CASH OUT - DEBIT (VND)]]</f>
        <v>0</v>
      </c>
      <c r="L733" s="1095">
        <f t="shared" si="75"/>
        <v>0</v>
      </c>
      <c r="M733" s="1184" t="e">
        <f>VLOOKUP(C733,'Cash balance (BS)'!A:D,4,)</f>
        <v>#N/A</v>
      </c>
      <c r="N733" s="1095" t="e">
        <f>Table11[[#This Row],[CLOSING BALANCE (VND)2]]-Table11[[#This Row],[CB_BS (VND)]]</f>
        <v>#N/A</v>
      </c>
      <c r="O733" s="1094">
        <v>0</v>
      </c>
      <c r="P733" s="1095">
        <f t="shared" si="76"/>
        <v>0</v>
      </c>
      <c r="Q733" s="817">
        <f>SUMIFS('Cash balance (Prior period)'!G:G,'Cash balance (Prior period)'!C:C,Table11[[#This Row],[ACCOUNT NUMBER]],'Cash balance (Prior period)'!E:E,Table11[[#This Row],[CURRENCY]])</f>
        <v>0</v>
      </c>
      <c r="R733" s="817">
        <f>SUMIFS(Movement!$F$4:$F$2136,Movement!$M$4:$M$2136,"USD",Movement!$C$4:$C$2136,Table11[[#This Row],[ACCOUNT NUMBER]],Movement!$J$4:$J$2136,Table11[[#This Row],[ENTITY]],Movement!$O$4:$O$2136,'Cash Balance'!$A$2)</f>
        <v>0</v>
      </c>
      <c r="S733" s="817">
        <f>SUMIFS(Movement!$G$4:$G$2136,Movement!$M$4:$M$2136,"USD",Movement!$C$4:$C$2136,Table11[[#This Row],[ACCOUNT NUMBER]],Movement!$J$4:$J$2136,Table11[[#This Row],[ENTITY]],Movement!$O$4:$O$2136,'Cash Balance'!$A$2)</f>
        <v>0</v>
      </c>
      <c r="T733" s="1087">
        <f t="shared" si="77"/>
        <v>0</v>
      </c>
      <c r="U733" s="1090"/>
      <c r="V733" s="1091">
        <f>Table11[[#This Row],[CLOSING BALANCE (USD)]]-Table11[[#This Row],[CB_BS (USD)]]</f>
        <v>0</v>
      </c>
      <c r="W733" s="1156" t="str">
        <f>VLOOKUP('Cash Balance'!$C733,Table2[#All],MATCH('Cash Balance'!W$3,Acc_Char!$B$1:$I$1,0),0)</f>
        <v>VC3</v>
      </c>
      <c r="X733" s="1156" t="str">
        <f>VLOOKUP(IFERROR(MID($Y733,1,FIND("-",$Y733)-2),$Y733),Table3[#All],2,0)</f>
        <v>VTB</v>
      </c>
      <c r="Y733" s="1156" t="str">
        <f>VLOOKUP($B733,Table4[#All],2,0)</f>
        <v>VIETINBANK - CN1</v>
      </c>
      <c r="Z733" s="1151"/>
      <c r="AA733" s="49"/>
    </row>
    <row r="734" spans="1:27">
      <c r="A734" s="1196" t="str">
        <f>VLOOKUP('Cash Balance'!$C734,Table2[#All],MATCH('Cash Balance'!A$3,Acc_Char!$B$1:$I$1,0),0)</f>
        <v>BWID HAI DUONG 3</v>
      </c>
      <c r="B734" s="1154" t="str">
        <f>VLOOKUP('Cash Balance'!$C734,Table2[#All],MATCH('Cash Balance'!B$3,Acc_Char!$B$1:$I$1,0),0)</f>
        <v>BIDV - THANH XUAN</v>
      </c>
      <c r="C734" s="1195" t="s">
        <v>1348</v>
      </c>
      <c r="D734" s="1156" t="str">
        <f>VLOOKUP('Cash Balance'!$C734,Table2[#All],MATCH('Cash Balance'!D$3,Acc_Char!$B$1:$I$1,0),0)</f>
        <v>Saving Account</v>
      </c>
      <c r="E734" s="384" t="str">
        <f>VLOOKUP('Cash Balance'!$C734,Table2[#All],MATCH('Cash Balance'!E$3,Acc_Char!$B$1:$I$1,0),0)</f>
        <v>VND</v>
      </c>
      <c r="F734" s="1084" t="e">
        <f>VLOOKUP(C734,'Cash balance (BS)'!A:C,3,)</f>
        <v>#N/A</v>
      </c>
      <c r="G734" s="1191" t="e">
        <f t="shared" ref="G734:G740" si="79">F734-H734</f>
        <v>#N/A</v>
      </c>
      <c r="H734" s="1318">
        <f>SUMIFS('Cash balance (Prior period)'!F:F,'Cash balance (Prior period)'!C:C,Table11[[#This Row],[ACCOUNT NUMBER]],'Cash balance (Prior period)'!E:E,Table11[[#This Row],[CURRENCY]])</f>
        <v>0</v>
      </c>
      <c r="I734" s="1318">
        <f>SUMIFS(Movement!$F$4:$F$2136,Movement!$M$4:$M$2136,"VND",Movement!$C$4:$C$2136,Table11[[#This Row],[ACCOUNT NUMBER]],Movement!$J$4:$J$2136,Table11[[#This Row],[ENTITY]],Movement!$O$4:$O$2136,'Cash Balance'!$A$2)</f>
        <v>0</v>
      </c>
      <c r="J734" s="1318">
        <f>SUMIFS(Movement!$G$4:$G$2136,Movement!$M$4:$M$2136,"VND",Movement!$C$4:$C$2136,Table11[[#This Row],[ACCOUNT NUMBER]],Movement!$J$4:$J$2136,Table11[[#This Row],[ENTITY]],Movement!$O$4:$O$2136,'Cash Balance'!$A$2)</f>
        <v>0</v>
      </c>
      <c r="K734" s="1084">
        <f>Table11[[#This Row],[CASH IN - CREDIT (VND)]]-Table11[[#This Row],[CASH OUT - DEBIT (VND)]]</f>
        <v>0</v>
      </c>
      <c r="L734" s="1095">
        <f t="shared" si="75"/>
        <v>0</v>
      </c>
      <c r="M734" s="1184" t="e">
        <f>VLOOKUP(C734,'Cash balance (BS)'!A:D,4,)</f>
        <v>#N/A</v>
      </c>
      <c r="N734" s="1095" t="e">
        <f>Table11[[#This Row],[CLOSING BALANCE (VND)2]]-Table11[[#This Row],[CB_BS (VND)]]</f>
        <v>#N/A</v>
      </c>
      <c r="O734" s="1094">
        <v>0</v>
      </c>
      <c r="P734" s="1095">
        <f t="shared" si="76"/>
        <v>0</v>
      </c>
      <c r="Q734" s="817">
        <f>SUMIFS('Cash balance (Prior period)'!G:G,'Cash balance (Prior period)'!C:C,Table11[[#This Row],[ACCOUNT NUMBER]],'Cash balance (Prior period)'!E:E,Table11[[#This Row],[CURRENCY]])</f>
        <v>0</v>
      </c>
      <c r="R734" s="817">
        <f>SUMIFS(Movement!$F$4:$F$2136,Movement!$M$4:$M$2136,"USD",Movement!$C$4:$C$2136,Table11[[#This Row],[ACCOUNT NUMBER]],Movement!$J$4:$J$2136,Table11[[#This Row],[ENTITY]],Movement!$O$4:$O$2136,'Cash Balance'!$A$2)</f>
        <v>0</v>
      </c>
      <c r="S734" s="817">
        <f>SUMIFS(Movement!$G$4:$G$2136,Movement!$M$4:$M$2136,"USD",Movement!$C$4:$C$2136,Table11[[#This Row],[ACCOUNT NUMBER]],Movement!$J$4:$J$2136,Table11[[#This Row],[ENTITY]],Movement!$O$4:$O$2136,'Cash Balance'!$A$2)</f>
        <v>0</v>
      </c>
      <c r="T734" s="1087">
        <f t="shared" si="77"/>
        <v>0</v>
      </c>
      <c r="U734" s="1090"/>
      <c r="V734" s="1091">
        <f>Table11[[#This Row],[CLOSING BALANCE (USD)]]-Table11[[#This Row],[CB_BS (USD)]]</f>
        <v>0</v>
      </c>
      <c r="W734" s="1156" t="str">
        <f>VLOOKUP('Cash Balance'!$C734,Table2[#All],MATCH('Cash Balance'!W$3,Acc_Char!$B$1:$I$1,0),0)</f>
        <v>Subsidiaries</v>
      </c>
      <c r="X734" s="1156" t="str">
        <f>VLOOKUP(IFERROR(MID($Y734,1,FIND("-",$Y734)-2),$Y734),Table3[#All],2,0)</f>
        <v>BIDV</v>
      </c>
      <c r="Y734" s="1156" t="str">
        <f>VLOOKUP($B734,Table4[#All],2,0)</f>
        <v>BIDV - THANH XUAN</v>
      </c>
      <c r="Z734" s="1151"/>
      <c r="AA734" s="49"/>
    </row>
    <row r="735" spans="1:27">
      <c r="A735" s="1196" t="str">
        <f>VLOOKUP('Cash Balance'!$C735,Table2[#All],MATCH('Cash Balance'!A$3,Acc_Char!$B$1:$I$1,0),0)</f>
        <v>BW NAM DINH VU</v>
      </c>
      <c r="B735" s="1154" t="str">
        <f>VLOOKUP('Cash Balance'!$C735,Table2[#All],MATCH('Cash Balance'!B$3,Acc_Char!$B$1:$I$1,0),0)</f>
        <v>BIDV - THANH XUAN</v>
      </c>
      <c r="C735" s="1195" t="s">
        <v>1349</v>
      </c>
      <c r="D735" s="1156" t="str">
        <f>VLOOKUP('Cash Balance'!$C735,Table2[#All],MATCH('Cash Balance'!D$3,Acc_Char!$B$1:$I$1,0),0)</f>
        <v>Saving Account</v>
      </c>
      <c r="E735" s="384" t="str">
        <f>VLOOKUP('Cash Balance'!$C735,Table2[#All],MATCH('Cash Balance'!E$3,Acc_Char!$B$1:$I$1,0),0)</f>
        <v>VND</v>
      </c>
      <c r="F735" s="1084" t="e">
        <f>VLOOKUP(C735,'Cash balance (BS)'!A:C,3,)</f>
        <v>#N/A</v>
      </c>
      <c r="G735" s="1191" t="e">
        <f t="shared" si="79"/>
        <v>#N/A</v>
      </c>
      <c r="H735" s="1318">
        <f>SUMIFS('Cash balance (Prior period)'!F:F,'Cash balance (Prior period)'!C:C,Table11[[#This Row],[ACCOUNT NUMBER]],'Cash balance (Prior period)'!E:E,Table11[[#This Row],[CURRENCY]])</f>
        <v>0</v>
      </c>
      <c r="I735" s="1318">
        <f>SUMIFS(Movement!$F$4:$F$2136,Movement!$M$4:$M$2136,"VND",Movement!$C$4:$C$2136,Table11[[#This Row],[ACCOUNT NUMBER]],Movement!$J$4:$J$2136,Table11[[#This Row],[ENTITY]],Movement!$O$4:$O$2136,'Cash Balance'!$A$2)</f>
        <v>0</v>
      </c>
      <c r="J735" s="1318">
        <f>SUMIFS(Movement!$G$4:$G$2136,Movement!$M$4:$M$2136,"VND",Movement!$C$4:$C$2136,Table11[[#This Row],[ACCOUNT NUMBER]],Movement!$J$4:$J$2136,Table11[[#This Row],[ENTITY]],Movement!$O$4:$O$2136,'Cash Balance'!$A$2)</f>
        <v>0</v>
      </c>
      <c r="K735" s="1084">
        <f>Table11[[#This Row],[CASH IN - CREDIT (VND)]]-Table11[[#This Row],[CASH OUT - DEBIT (VND)]]</f>
        <v>0</v>
      </c>
      <c r="L735" s="1095">
        <f t="shared" si="75"/>
        <v>0</v>
      </c>
      <c r="M735" s="1184" t="e">
        <f>VLOOKUP(C735,'Cash balance (BS)'!A:D,4,)</f>
        <v>#N/A</v>
      </c>
      <c r="N735" s="1095" t="e">
        <f>Table11[[#This Row],[CLOSING BALANCE (VND)2]]-Table11[[#This Row],[CB_BS (VND)]]</f>
        <v>#N/A</v>
      </c>
      <c r="O735" s="1094">
        <v>0</v>
      </c>
      <c r="P735" s="1095">
        <f t="shared" si="76"/>
        <v>0</v>
      </c>
      <c r="Q735" s="817">
        <f>SUMIFS('Cash balance (Prior period)'!G:G,'Cash balance (Prior period)'!C:C,Table11[[#This Row],[ACCOUNT NUMBER]],'Cash balance (Prior period)'!E:E,Table11[[#This Row],[CURRENCY]])</f>
        <v>0</v>
      </c>
      <c r="R735" s="817">
        <f>SUMIFS(Movement!$F$4:$F$2136,Movement!$M$4:$M$2136,"USD",Movement!$C$4:$C$2136,Table11[[#This Row],[ACCOUNT NUMBER]],Movement!$J$4:$J$2136,Table11[[#This Row],[ENTITY]],Movement!$O$4:$O$2136,'Cash Balance'!$A$2)</f>
        <v>0</v>
      </c>
      <c r="S735" s="817">
        <f>SUMIFS(Movement!$G$4:$G$2136,Movement!$M$4:$M$2136,"USD",Movement!$C$4:$C$2136,Table11[[#This Row],[ACCOUNT NUMBER]],Movement!$J$4:$J$2136,Table11[[#This Row],[ENTITY]],Movement!$O$4:$O$2136,'Cash Balance'!$A$2)</f>
        <v>0</v>
      </c>
      <c r="T735" s="1087">
        <f t="shared" si="77"/>
        <v>0</v>
      </c>
      <c r="U735" s="1090"/>
      <c r="V735" s="1091">
        <f>Table11[[#This Row],[CLOSING BALANCE (USD)]]-Table11[[#This Row],[CB_BS (USD)]]</f>
        <v>0</v>
      </c>
      <c r="W735" s="1156" t="str">
        <f>VLOOKUP('Cash Balance'!$C735,Table2[#All],MATCH('Cash Balance'!W$3,Acc_Char!$B$1:$I$1,0),0)</f>
        <v>Subsidiaries</v>
      </c>
      <c r="X735" s="1156" t="str">
        <f>VLOOKUP(IFERROR(MID($Y735,1,FIND("-",$Y735)-2),$Y735),Table3[#All],2,0)</f>
        <v>BIDV</v>
      </c>
      <c r="Y735" s="1156" t="str">
        <f>VLOOKUP($B735,Table4[#All],2,0)</f>
        <v>BIDV - THANH XUAN</v>
      </c>
      <c r="Z735" s="1151"/>
      <c r="AA735" s="49"/>
    </row>
    <row r="736" spans="1:27">
      <c r="A736" s="1196" t="str">
        <f>VLOOKUP('Cash Balance'!$C736,Table2[#All],MATCH('Cash Balance'!A$3,Acc_Char!$B$1:$I$1,0),0)</f>
        <v>BW NAM DINH VU</v>
      </c>
      <c r="B736" s="1154" t="str">
        <f>VLOOKUP('Cash Balance'!$C736,Table2[#All],MATCH('Cash Balance'!B$3,Acc_Char!$B$1:$I$1,0),0)</f>
        <v>BIDV - THANH XUAN</v>
      </c>
      <c r="C736" s="1195" t="s">
        <v>1350</v>
      </c>
      <c r="D736" s="1156" t="str">
        <f>VLOOKUP('Cash Balance'!$C736,Table2[#All],MATCH('Cash Balance'!D$3,Acc_Char!$B$1:$I$1,0),0)</f>
        <v>Saving Account</v>
      </c>
      <c r="E736" s="384" t="str">
        <f>VLOOKUP('Cash Balance'!$C736,Table2[#All],MATCH('Cash Balance'!E$3,Acc_Char!$B$1:$I$1,0),0)</f>
        <v>VND</v>
      </c>
      <c r="F736" s="1084" t="e">
        <f>VLOOKUP(C736,'Cash balance (BS)'!A:C,3,)</f>
        <v>#N/A</v>
      </c>
      <c r="G736" s="1191" t="e">
        <f t="shared" si="79"/>
        <v>#N/A</v>
      </c>
      <c r="H736" s="1318">
        <f>SUMIFS('Cash balance (Prior period)'!F:F,'Cash balance (Prior period)'!C:C,Table11[[#This Row],[ACCOUNT NUMBER]],'Cash balance (Prior period)'!E:E,Table11[[#This Row],[CURRENCY]])</f>
        <v>0</v>
      </c>
      <c r="I736" s="1318">
        <f>SUMIFS(Movement!$F$4:$F$2136,Movement!$M$4:$M$2136,"VND",Movement!$C$4:$C$2136,Table11[[#This Row],[ACCOUNT NUMBER]],Movement!$J$4:$J$2136,Table11[[#This Row],[ENTITY]],Movement!$O$4:$O$2136,'Cash Balance'!$A$2)</f>
        <v>0</v>
      </c>
      <c r="J736" s="1318">
        <f>SUMIFS(Movement!$G$4:$G$2136,Movement!$M$4:$M$2136,"VND",Movement!$C$4:$C$2136,Table11[[#This Row],[ACCOUNT NUMBER]],Movement!$J$4:$J$2136,Table11[[#This Row],[ENTITY]],Movement!$O$4:$O$2136,'Cash Balance'!$A$2)</f>
        <v>0</v>
      </c>
      <c r="K736" s="1084">
        <f>Table11[[#This Row],[CASH IN - CREDIT (VND)]]-Table11[[#This Row],[CASH OUT - DEBIT (VND)]]</f>
        <v>0</v>
      </c>
      <c r="L736" s="1095">
        <f t="shared" si="75"/>
        <v>0</v>
      </c>
      <c r="M736" s="1184" t="e">
        <f>VLOOKUP(C736,'Cash balance (BS)'!A:D,4,)</f>
        <v>#N/A</v>
      </c>
      <c r="N736" s="1095" t="e">
        <f>Table11[[#This Row],[CLOSING BALANCE (VND)2]]-Table11[[#This Row],[CB_BS (VND)]]</f>
        <v>#N/A</v>
      </c>
      <c r="O736" s="1094">
        <v>0</v>
      </c>
      <c r="P736" s="1095">
        <f t="shared" si="76"/>
        <v>0</v>
      </c>
      <c r="Q736" s="817">
        <f>SUMIFS('Cash balance (Prior period)'!G:G,'Cash balance (Prior period)'!C:C,Table11[[#This Row],[ACCOUNT NUMBER]],'Cash balance (Prior period)'!E:E,Table11[[#This Row],[CURRENCY]])</f>
        <v>0</v>
      </c>
      <c r="R736" s="817">
        <f>SUMIFS(Movement!$F$4:$F$2136,Movement!$M$4:$M$2136,"USD",Movement!$C$4:$C$2136,Table11[[#This Row],[ACCOUNT NUMBER]],Movement!$J$4:$J$2136,Table11[[#This Row],[ENTITY]],Movement!$O$4:$O$2136,'Cash Balance'!$A$2)</f>
        <v>0</v>
      </c>
      <c r="S736" s="817">
        <f>SUMIFS(Movement!$G$4:$G$2136,Movement!$M$4:$M$2136,"USD",Movement!$C$4:$C$2136,Table11[[#This Row],[ACCOUNT NUMBER]],Movement!$J$4:$J$2136,Table11[[#This Row],[ENTITY]],Movement!$O$4:$O$2136,'Cash Balance'!$A$2)</f>
        <v>0</v>
      </c>
      <c r="T736" s="1087">
        <f t="shared" si="77"/>
        <v>0</v>
      </c>
      <c r="U736" s="1090"/>
      <c r="V736" s="1091">
        <f>Table11[[#This Row],[CLOSING BALANCE (USD)]]-Table11[[#This Row],[CB_BS (USD)]]</f>
        <v>0</v>
      </c>
      <c r="W736" s="1156" t="str">
        <f>VLOOKUP('Cash Balance'!$C736,Table2[#All],MATCH('Cash Balance'!W$3,Acc_Char!$B$1:$I$1,0),0)</f>
        <v>Subsidiaries</v>
      </c>
      <c r="X736" s="1156" t="str">
        <f>VLOOKUP(IFERROR(MID($Y736,1,FIND("-",$Y736)-2),$Y736),Table3[#All],2,0)</f>
        <v>BIDV</v>
      </c>
      <c r="Y736" s="1156" t="str">
        <f>VLOOKUP($B736,Table4[#All],2,0)</f>
        <v>BIDV - THANH XUAN</v>
      </c>
      <c r="Z736" s="1151"/>
      <c r="AA736" s="49"/>
    </row>
    <row r="737" spans="1:27">
      <c r="A737" s="1196" t="str">
        <f>VLOOKUP('Cash Balance'!$C737,Table2[#All],MATCH('Cash Balance'!A$3,Acc_Char!$B$1:$I$1,0),0)</f>
        <v>BAC TIEN PHONG</v>
      </c>
      <c r="B737" s="1154" t="str">
        <f>VLOOKUP('Cash Balance'!$C737,Table2[#All],MATCH('Cash Balance'!B$3,Acc_Char!$B$1:$I$1,0),0)</f>
        <v>BIDV - THANH XUAN</v>
      </c>
      <c r="C737" s="1195" t="s">
        <v>1351</v>
      </c>
      <c r="D737" s="1156" t="str">
        <f>VLOOKUP('Cash Balance'!$C737,Table2[#All],MATCH('Cash Balance'!D$3,Acc_Char!$B$1:$I$1,0),0)</f>
        <v>Saving Account</v>
      </c>
      <c r="E737" s="384" t="str">
        <f>VLOOKUP('Cash Balance'!$C737,Table2[#All],MATCH('Cash Balance'!E$3,Acc_Char!$B$1:$I$1,0),0)</f>
        <v>VND</v>
      </c>
      <c r="F737" s="1084" t="e">
        <f>VLOOKUP(C737,'Cash balance (BS)'!A:C,3,)</f>
        <v>#N/A</v>
      </c>
      <c r="G737" s="1191" t="e">
        <f t="shared" si="79"/>
        <v>#N/A</v>
      </c>
      <c r="H737" s="1318">
        <f>SUMIFS('Cash balance (Prior period)'!F:F,'Cash balance (Prior period)'!C:C,Table11[[#This Row],[ACCOUNT NUMBER]],'Cash balance (Prior period)'!E:E,Table11[[#This Row],[CURRENCY]])</f>
        <v>0</v>
      </c>
      <c r="I737" s="1318">
        <f>SUMIFS(Movement!$F$4:$F$2136,Movement!$M$4:$M$2136,"VND",Movement!$C$4:$C$2136,Table11[[#This Row],[ACCOUNT NUMBER]],Movement!$J$4:$J$2136,Table11[[#This Row],[ENTITY]],Movement!$O$4:$O$2136,'Cash Balance'!$A$2)</f>
        <v>0</v>
      </c>
      <c r="J737" s="1318">
        <f>SUMIFS(Movement!$G$4:$G$2136,Movement!$M$4:$M$2136,"VND",Movement!$C$4:$C$2136,Table11[[#This Row],[ACCOUNT NUMBER]],Movement!$J$4:$J$2136,Table11[[#This Row],[ENTITY]],Movement!$O$4:$O$2136,'Cash Balance'!$A$2)</f>
        <v>0</v>
      </c>
      <c r="K737" s="1084">
        <f>Table11[[#This Row],[CASH IN - CREDIT (VND)]]-Table11[[#This Row],[CASH OUT - DEBIT (VND)]]</f>
        <v>0</v>
      </c>
      <c r="L737" s="1095">
        <f t="shared" si="75"/>
        <v>0</v>
      </c>
      <c r="M737" s="1184" t="e">
        <f>VLOOKUP(C737,'Cash balance (BS)'!A:D,4,)</f>
        <v>#N/A</v>
      </c>
      <c r="N737" s="1095" t="e">
        <f>Table11[[#This Row],[CLOSING BALANCE (VND)2]]-Table11[[#This Row],[CB_BS (VND)]]</f>
        <v>#N/A</v>
      </c>
      <c r="O737" s="1094">
        <v>0</v>
      </c>
      <c r="P737" s="1095">
        <f t="shared" si="76"/>
        <v>0</v>
      </c>
      <c r="Q737" s="817">
        <f>SUMIFS('Cash balance (Prior period)'!G:G,'Cash balance (Prior period)'!C:C,Table11[[#This Row],[ACCOUNT NUMBER]],'Cash balance (Prior period)'!E:E,Table11[[#This Row],[CURRENCY]])</f>
        <v>0</v>
      </c>
      <c r="R737" s="817">
        <f>SUMIFS(Movement!$F$4:$F$2136,Movement!$M$4:$M$2136,"USD",Movement!$C$4:$C$2136,Table11[[#This Row],[ACCOUNT NUMBER]],Movement!$J$4:$J$2136,Table11[[#This Row],[ENTITY]],Movement!$O$4:$O$2136,'Cash Balance'!$A$2)</f>
        <v>0</v>
      </c>
      <c r="S737" s="817">
        <f>SUMIFS(Movement!$G$4:$G$2136,Movement!$M$4:$M$2136,"USD",Movement!$C$4:$C$2136,Table11[[#This Row],[ACCOUNT NUMBER]],Movement!$J$4:$J$2136,Table11[[#This Row],[ENTITY]],Movement!$O$4:$O$2136,'Cash Balance'!$A$2)</f>
        <v>0</v>
      </c>
      <c r="T737" s="1087">
        <f t="shared" si="77"/>
        <v>0</v>
      </c>
      <c r="U737" s="1090"/>
      <c r="V737" s="1091">
        <f>Table11[[#This Row],[CLOSING BALANCE (USD)]]-Table11[[#This Row],[CB_BS (USD)]]</f>
        <v>0</v>
      </c>
      <c r="W737" s="1156" t="str">
        <f>VLOOKUP('Cash Balance'!$C737,Table2[#All],MATCH('Cash Balance'!W$3,Acc_Char!$B$1:$I$1,0),0)</f>
        <v>Subsidiaries</v>
      </c>
      <c r="X737" s="1156" t="str">
        <f>VLOOKUP(IFERROR(MID($Y737,1,FIND("-",$Y737)-2),$Y737),Table3[#All],2,0)</f>
        <v>BIDV</v>
      </c>
      <c r="Y737" s="1156" t="str">
        <f>VLOOKUP($B737,Table4[#All],2,0)</f>
        <v>BIDV - THANH XUAN</v>
      </c>
      <c r="Z737" s="1151"/>
      <c r="AA737" s="49"/>
    </row>
    <row r="738" spans="1:27">
      <c r="A738" s="1196" t="str">
        <f>VLOOKUP('Cash Balance'!$C738,Table2[#All],MATCH('Cash Balance'!A$3,Acc_Char!$B$1:$I$1,0),0)</f>
        <v>BAC TIEN PHONG</v>
      </c>
      <c r="B738" s="1154" t="str">
        <f>VLOOKUP('Cash Balance'!$C738,Table2[#All],MATCH('Cash Balance'!B$3,Acc_Char!$B$1:$I$1,0),0)</f>
        <v>BIDV - THANH XUAN</v>
      </c>
      <c r="C738" s="1195" t="s">
        <v>1352</v>
      </c>
      <c r="D738" s="1156" t="str">
        <f>VLOOKUP('Cash Balance'!$C738,Table2[#All],MATCH('Cash Balance'!D$3,Acc_Char!$B$1:$I$1,0),0)</f>
        <v>Saving Account</v>
      </c>
      <c r="E738" s="384" t="str">
        <f>VLOOKUP('Cash Balance'!$C738,Table2[#All],MATCH('Cash Balance'!E$3,Acc_Char!$B$1:$I$1,0),0)</f>
        <v>VND</v>
      </c>
      <c r="F738" s="1084" t="e">
        <f>VLOOKUP(C738,'Cash balance (BS)'!A:C,3,)</f>
        <v>#N/A</v>
      </c>
      <c r="G738" s="1191" t="e">
        <f t="shared" si="79"/>
        <v>#N/A</v>
      </c>
      <c r="H738" s="1318">
        <f>SUMIFS('Cash balance (Prior period)'!F:F,'Cash balance (Prior period)'!C:C,Table11[[#This Row],[ACCOUNT NUMBER]],'Cash balance (Prior period)'!E:E,Table11[[#This Row],[CURRENCY]])</f>
        <v>0</v>
      </c>
      <c r="I738" s="1318">
        <f>SUMIFS(Movement!$F$4:$F$2136,Movement!$M$4:$M$2136,"VND",Movement!$C$4:$C$2136,Table11[[#This Row],[ACCOUNT NUMBER]],Movement!$J$4:$J$2136,Table11[[#This Row],[ENTITY]],Movement!$O$4:$O$2136,'Cash Balance'!$A$2)</f>
        <v>0</v>
      </c>
      <c r="J738" s="1318">
        <f>SUMIFS(Movement!$G$4:$G$2136,Movement!$M$4:$M$2136,"VND",Movement!$C$4:$C$2136,Table11[[#This Row],[ACCOUNT NUMBER]],Movement!$J$4:$J$2136,Table11[[#This Row],[ENTITY]],Movement!$O$4:$O$2136,'Cash Balance'!$A$2)</f>
        <v>0</v>
      </c>
      <c r="K738" s="1084">
        <f>Table11[[#This Row],[CASH IN - CREDIT (VND)]]-Table11[[#This Row],[CASH OUT - DEBIT (VND)]]</f>
        <v>0</v>
      </c>
      <c r="L738" s="1095">
        <f t="shared" si="75"/>
        <v>0</v>
      </c>
      <c r="M738" s="1184" t="e">
        <f>VLOOKUP(C738,'Cash balance (BS)'!A:D,4,)</f>
        <v>#N/A</v>
      </c>
      <c r="N738" s="1095" t="e">
        <f>Table11[[#This Row],[CLOSING BALANCE (VND)2]]-Table11[[#This Row],[CB_BS (VND)]]</f>
        <v>#N/A</v>
      </c>
      <c r="O738" s="1094">
        <v>0</v>
      </c>
      <c r="P738" s="1095">
        <f t="shared" si="76"/>
        <v>0</v>
      </c>
      <c r="Q738" s="817">
        <f>SUMIFS('Cash balance (Prior period)'!G:G,'Cash balance (Prior period)'!C:C,Table11[[#This Row],[ACCOUNT NUMBER]],'Cash balance (Prior period)'!E:E,Table11[[#This Row],[CURRENCY]])</f>
        <v>0</v>
      </c>
      <c r="R738" s="817">
        <f>SUMIFS(Movement!$F$4:$F$2136,Movement!$M$4:$M$2136,"USD",Movement!$C$4:$C$2136,Table11[[#This Row],[ACCOUNT NUMBER]],Movement!$J$4:$J$2136,Table11[[#This Row],[ENTITY]],Movement!$O$4:$O$2136,'Cash Balance'!$A$2)</f>
        <v>0</v>
      </c>
      <c r="S738" s="817">
        <f>SUMIFS(Movement!$G$4:$G$2136,Movement!$M$4:$M$2136,"USD",Movement!$C$4:$C$2136,Table11[[#This Row],[ACCOUNT NUMBER]],Movement!$J$4:$J$2136,Table11[[#This Row],[ENTITY]],Movement!$O$4:$O$2136,'Cash Balance'!$A$2)</f>
        <v>0</v>
      </c>
      <c r="T738" s="1087">
        <f t="shared" si="77"/>
        <v>0</v>
      </c>
      <c r="U738" s="1090"/>
      <c r="V738" s="1091">
        <f>Table11[[#This Row],[CLOSING BALANCE (USD)]]-Table11[[#This Row],[CB_BS (USD)]]</f>
        <v>0</v>
      </c>
      <c r="W738" s="1156" t="str">
        <f>VLOOKUP('Cash Balance'!$C738,Table2[#All],MATCH('Cash Balance'!W$3,Acc_Char!$B$1:$I$1,0),0)</f>
        <v>Subsidiaries</v>
      </c>
      <c r="X738" s="1156" t="str">
        <f>VLOOKUP(IFERROR(MID($Y738,1,FIND("-",$Y738)-2),$Y738),Table3[#All],2,0)</f>
        <v>BIDV</v>
      </c>
      <c r="Y738" s="1156" t="str">
        <f>VLOOKUP($B738,Table4[#All],2,0)</f>
        <v>BIDV - THANH XUAN</v>
      </c>
      <c r="Z738" s="1151"/>
      <c r="AA738" s="49"/>
    </row>
    <row r="739" spans="1:27">
      <c r="A739" s="1196" t="str">
        <f>VLOOKUP('Cash Balance'!$C739,Table2[#All],MATCH('Cash Balance'!A$3,Acc_Char!$B$1:$I$1,0),0)</f>
        <v>BAC TIEN PHONG</v>
      </c>
      <c r="B739" s="1154" t="str">
        <f>VLOOKUP('Cash Balance'!$C739,Table2[#All],MATCH('Cash Balance'!B$3,Acc_Char!$B$1:$I$1,0),0)</f>
        <v>BIDV - THANH XUAN</v>
      </c>
      <c r="C739" s="1195" t="s">
        <v>1353</v>
      </c>
      <c r="D739" s="1156" t="str">
        <f>VLOOKUP('Cash Balance'!$C739,Table2[#All],MATCH('Cash Balance'!D$3,Acc_Char!$B$1:$I$1,0),0)</f>
        <v>Saving Account</v>
      </c>
      <c r="E739" s="384" t="str">
        <f>VLOOKUP('Cash Balance'!$C739,Table2[#All],MATCH('Cash Balance'!E$3,Acc_Char!$B$1:$I$1,0),0)</f>
        <v>VND</v>
      </c>
      <c r="F739" s="1084" t="e">
        <f>VLOOKUP(C739,'Cash balance (BS)'!A:C,3,)</f>
        <v>#N/A</v>
      </c>
      <c r="G739" s="1191" t="e">
        <f t="shared" si="79"/>
        <v>#N/A</v>
      </c>
      <c r="H739" s="1318">
        <f>SUMIFS('Cash balance (Prior period)'!F:F,'Cash balance (Prior period)'!C:C,Table11[[#This Row],[ACCOUNT NUMBER]],'Cash balance (Prior period)'!E:E,Table11[[#This Row],[CURRENCY]])</f>
        <v>3000000000</v>
      </c>
      <c r="I739" s="1318">
        <f>SUMIFS(Movement!$F$4:$F$2136,Movement!$M$4:$M$2136,"VND",Movement!$C$4:$C$2136,Table11[[#This Row],[ACCOUNT NUMBER]],Movement!$J$4:$J$2136,Table11[[#This Row],[ENTITY]],Movement!$O$4:$O$2136,'Cash Balance'!$A$2)</f>
        <v>0</v>
      </c>
      <c r="J739" s="1318">
        <f>SUMIFS(Movement!$G$4:$G$2136,Movement!$M$4:$M$2136,"VND",Movement!$C$4:$C$2136,Table11[[#This Row],[ACCOUNT NUMBER]],Movement!$J$4:$J$2136,Table11[[#This Row],[ENTITY]],Movement!$O$4:$O$2136,'Cash Balance'!$A$2)</f>
        <v>0</v>
      </c>
      <c r="K739" s="1084">
        <f>Table11[[#This Row],[CASH IN - CREDIT (VND)]]-Table11[[#This Row],[CASH OUT - DEBIT (VND)]]</f>
        <v>0</v>
      </c>
      <c r="L739" s="1095">
        <f t="shared" si="75"/>
        <v>3000000000</v>
      </c>
      <c r="M739" s="1184" t="e">
        <f>VLOOKUP(C739,'Cash balance (BS)'!A:D,4,)</f>
        <v>#N/A</v>
      </c>
      <c r="N739" s="1095" t="e">
        <f>Table11[[#This Row],[CLOSING BALANCE (VND)2]]-Table11[[#This Row],[CB_BS (VND)]]</f>
        <v>#N/A</v>
      </c>
      <c r="O739" s="1094">
        <v>0</v>
      </c>
      <c r="P739" s="1095">
        <f t="shared" si="76"/>
        <v>0</v>
      </c>
      <c r="Q739" s="817">
        <f>SUMIFS('Cash balance (Prior period)'!G:G,'Cash balance (Prior period)'!C:C,Table11[[#This Row],[ACCOUNT NUMBER]],'Cash balance (Prior period)'!E:E,Table11[[#This Row],[CURRENCY]])</f>
        <v>0</v>
      </c>
      <c r="R739" s="817">
        <f>SUMIFS(Movement!$F$4:$F$2136,Movement!$M$4:$M$2136,"USD",Movement!$C$4:$C$2136,Table11[[#This Row],[ACCOUNT NUMBER]],Movement!$J$4:$J$2136,Table11[[#This Row],[ENTITY]],Movement!$O$4:$O$2136,'Cash Balance'!$A$2)</f>
        <v>0</v>
      </c>
      <c r="S739" s="817">
        <f>SUMIFS(Movement!$G$4:$G$2136,Movement!$M$4:$M$2136,"USD",Movement!$C$4:$C$2136,Table11[[#This Row],[ACCOUNT NUMBER]],Movement!$J$4:$J$2136,Table11[[#This Row],[ENTITY]],Movement!$O$4:$O$2136,'Cash Balance'!$A$2)</f>
        <v>0</v>
      </c>
      <c r="T739" s="1087">
        <f t="shared" si="77"/>
        <v>0</v>
      </c>
      <c r="U739" s="1090"/>
      <c r="V739" s="1091">
        <f>Table11[[#This Row],[CLOSING BALANCE (USD)]]-Table11[[#This Row],[CB_BS (USD)]]</f>
        <v>0</v>
      </c>
      <c r="W739" s="1156" t="str">
        <f>VLOOKUP('Cash Balance'!$C739,Table2[#All],MATCH('Cash Balance'!W$3,Acc_Char!$B$1:$I$1,0),0)</f>
        <v>Subsidiaries</v>
      </c>
      <c r="X739" s="1156" t="str">
        <f>VLOOKUP(IFERROR(MID($Y739,1,FIND("-",$Y739)-2),$Y739),Table3[#All],2,0)</f>
        <v>BIDV</v>
      </c>
      <c r="Y739" s="1156" t="str">
        <f>VLOOKUP($B739,Table4[#All],2,0)</f>
        <v>BIDV - THANH XUAN</v>
      </c>
      <c r="Z739" s="1151"/>
      <c r="AA739" s="49"/>
    </row>
    <row r="740" spans="1:27">
      <c r="A740" s="1196" t="str">
        <f>VLOOKUP('Cash Balance'!$C740,Table2[#All],MATCH('Cash Balance'!A$3,Acc_Char!$B$1:$I$1,0),0)</f>
        <v>NDV PROJECT CO</v>
      </c>
      <c r="B740" s="1154" t="str">
        <f>VLOOKUP('Cash Balance'!$C740,Table2[#All],MATCH('Cash Balance'!B$3,Acc_Char!$B$1:$I$1,0),0)</f>
        <v>BIDV - THANH XUAN</v>
      </c>
      <c r="C740" s="1195" t="s">
        <v>1354</v>
      </c>
      <c r="D740" s="1156" t="str">
        <f>VLOOKUP('Cash Balance'!$C740,Table2[#All],MATCH('Cash Balance'!D$3,Acc_Char!$B$1:$I$1,0),0)</f>
        <v>Saving Account</v>
      </c>
      <c r="E740" s="384" t="str">
        <f>VLOOKUP('Cash Balance'!$C740,Table2[#All],MATCH('Cash Balance'!E$3,Acc_Char!$B$1:$I$1,0),0)</f>
        <v>VND</v>
      </c>
      <c r="F740" s="1084" t="e">
        <f>VLOOKUP(C740,'Cash balance (BS)'!A:C,3,)</f>
        <v>#N/A</v>
      </c>
      <c r="G740" s="1191" t="e">
        <f t="shared" si="79"/>
        <v>#N/A</v>
      </c>
      <c r="H740" s="1318">
        <f>SUMIFS('Cash balance (Prior period)'!F:F,'Cash balance (Prior period)'!C:C,Table11[[#This Row],[ACCOUNT NUMBER]],'Cash balance (Prior period)'!E:E,Table11[[#This Row],[CURRENCY]])</f>
        <v>11000000000</v>
      </c>
      <c r="I740" s="1318">
        <f>SUMIFS(Movement!$F$4:$F$2136,Movement!$M$4:$M$2136,"VND",Movement!$C$4:$C$2136,Table11[[#This Row],[ACCOUNT NUMBER]],Movement!$J$4:$J$2136,Table11[[#This Row],[ENTITY]],Movement!$O$4:$O$2136,'Cash Balance'!$A$2)</f>
        <v>0</v>
      </c>
      <c r="J740" s="1318">
        <f>SUMIFS(Movement!$G$4:$G$2136,Movement!$M$4:$M$2136,"VND",Movement!$C$4:$C$2136,Table11[[#This Row],[ACCOUNT NUMBER]],Movement!$J$4:$J$2136,Table11[[#This Row],[ENTITY]],Movement!$O$4:$O$2136,'Cash Balance'!$A$2)</f>
        <v>0</v>
      </c>
      <c r="K740" s="1084">
        <f>Table11[[#This Row],[CASH IN - CREDIT (VND)]]-Table11[[#This Row],[CASH OUT - DEBIT (VND)]]</f>
        <v>0</v>
      </c>
      <c r="L740" s="1095">
        <f t="shared" si="75"/>
        <v>11000000000</v>
      </c>
      <c r="M740" s="1184" t="e">
        <f>VLOOKUP(C740,'Cash balance (BS)'!A:D,4,)</f>
        <v>#N/A</v>
      </c>
      <c r="N740" s="1095" t="e">
        <f>Table11[[#This Row],[CLOSING BALANCE (VND)2]]-Table11[[#This Row],[CB_BS (VND)]]</f>
        <v>#N/A</v>
      </c>
      <c r="O740" s="1094">
        <v>0</v>
      </c>
      <c r="P740" s="1095">
        <f t="shared" si="76"/>
        <v>0</v>
      </c>
      <c r="Q740" s="817">
        <f>SUMIFS('Cash balance (Prior period)'!G:G,'Cash balance (Prior period)'!C:C,Table11[[#This Row],[ACCOUNT NUMBER]],'Cash balance (Prior period)'!E:E,Table11[[#This Row],[CURRENCY]])</f>
        <v>0</v>
      </c>
      <c r="R740" s="817">
        <f>SUMIFS(Movement!$F$4:$F$2136,Movement!$M$4:$M$2136,"USD",Movement!$C$4:$C$2136,Table11[[#This Row],[ACCOUNT NUMBER]],Movement!$J$4:$J$2136,Table11[[#This Row],[ENTITY]],Movement!$O$4:$O$2136,'Cash Balance'!$A$2)</f>
        <v>0</v>
      </c>
      <c r="S740" s="817">
        <f>SUMIFS(Movement!$G$4:$G$2136,Movement!$M$4:$M$2136,"USD",Movement!$C$4:$C$2136,Table11[[#This Row],[ACCOUNT NUMBER]],Movement!$J$4:$J$2136,Table11[[#This Row],[ENTITY]],Movement!$O$4:$O$2136,'Cash Balance'!$A$2)</f>
        <v>0</v>
      </c>
      <c r="T740" s="1087">
        <f t="shared" si="77"/>
        <v>0</v>
      </c>
      <c r="U740" s="1090"/>
      <c r="V740" s="1091">
        <f>Table11[[#This Row],[CLOSING BALANCE (USD)]]-Table11[[#This Row],[CB_BS (USD)]]</f>
        <v>0</v>
      </c>
      <c r="W740" s="1156" t="str">
        <f>VLOOKUP('Cash Balance'!$C740,Table2[#All],MATCH('Cash Balance'!W$3,Acc_Char!$B$1:$I$1,0),0)</f>
        <v>Subsidiaries</v>
      </c>
      <c r="X740" s="1156" t="str">
        <f>VLOOKUP(IFERROR(MID($Y740,1,FIND("-",$Y740)-2),$Y740),Table3[#All],2,0)</f>
        <v>BIDV</v>
      </c>
      <c r="Y740" s="1156" t="str">
        <f>VLOOKUP($B740,Table4[#All],2,0)</f>
        <v>BIDV - THANH XUAN</v>
      </c>
      <c r="Z740" s="1151"/>
      <c r="AA740" s="49"/>
    </row>
    <row r="741" spans="1:27">
      <c r="A741" s="1196" t="str">
        <f>VLOOKUP('Cash Balance'!$C741,Table2[#All],MATCH('Cash Balance'!A$3,Acc_Char!$B$1:$I$1,0),0)</f>
        <v>THUAN THANH 3B</v>
      </c>
      <c r="B741" s="1154" t="str">
        <f>VLOOKUP('Cash Balance'!$C741,Table2[#All],MATCH('Cash Balance'!B$3,Acc_Char!$B$1:$I$1,0),0)</f>
        <v>VIETCOMBANK - BA DINH</v>
      </c>
      <c r="C741" s="1197" t="s">
        <v>1355</v>
      </c>
      <c r="D741" s="1156" t="str">
        <f>VLOOKUP('Cash Balance'!$C741,Table2[#All],MATCH('Cash Balance'!D$3,Acc_Char!$B$1:$I$1,0),0)</f>
        <v>Saving Account</v>
      </c>
      <c r="E741" s="384" t="str">
        <f>VLOOKUP('Cash Balance'!$C741,Table2[#All],MATCH('Cash Balance'!E$3,Acc_Char!$B$1:$I$1,0),0)</f>
        <v>VND</v>
      </c>
      <c r="F741" s="1084" t="e">
        <f>VLOOKUP(C741,'Cash balance (BS)'!A:C,3,)</f>
        <v>#N/A</v>
      </c>
      <c r="G741" s="1191" t="e">
        <f t="shared" ref="G741:G749" si="80">F741-H741</f>
        <v>#N/A</v>
      </c>
      <c r="H741" s="1318">
        <f>SUMIFS('Cash balance (Prior period)'!F:F,'Cash balance (Prior period)'!C:C,Table11[[#This Row],[ACCOUNT NUMBER]],'Cash balance (Prior period)'!E:E,Table11[[#This Row],[CURRENCY]])</f>
        <v>0</v>
      </c>
      <c r="I741" s="1318">
        <f>SUMIFS(Movement!$F$4:$F$2136,Movement!$M$4:$M$2136,"VND",Movement!$C$4:$C$2136,Table11[[#This Row],[ACCOUNT NUMBER]],Movement!$J$4:$J$2136,Table11[[#This Row],[ENTITY]],Movement!$O$4:$O$2136,'Cash Balance'!$A$2)</f>
        <v>0</v>
      </c>
      <c r="J741" s="1318">
        <f>SUMIFS(Movement!$G$4:$G$2136,Movement!$M$4:$M$2136,"VND",Movement!$C$4:$C$2136,Table11[[#This Row],[ACCOUNT NUMBER]],Movement!$J$4:$J$2136,Table11[[#This Row],[ENTITY]],Movement!$O$4:$O$2136,'Cash Balance'!$A$2)</f>
        <v>0</v>
      </c>
      <c r="K741" s="1084">
        <f>Table11[[#This Row],[CASH IN - CREDIT (VND)]]-Table11[[#This Row],[CASH OUT - DEBIT (VND)]]</f>
        <v>0</v>
      </c>
      <c r="L741" s="1095">
        <f t="shared" si="75"/>
        <v>0</v>
      </c>
      <c r="M741" s="1184" t="e">
        <f>VLOOKUP(C741,'Cash balance (BS)'!A:D,4,)</f>
        <v>#N/A</v>
      </c>
      <c r="N741" s="1095" t="e">
        <f>Table11[[#This Row],[CLOSING BALANCE (VND)2]]-Table11[[#This Row],[CB_BS (VND)]]</f>
        <v>#N/A</v>
      </c>
      <c r="O741" s="1094">
        <v>0</v>
      </c>
      <c r="P741" s="1095">
        <f t="shared" si="76"/>
        <v>0</v>
      </c>
      <c r="Q741" s="817">
        <f>SUMIFS('Cash balance (Prior period)'!G:G,'Cash balance (Prior period)'!C:C,Table11[[#This Row],[ACCOUNT NUMBER]],'Cash balance (Prior period)'!E:E,Table11[[#This Row],[CURRENCY]])</f>
        <v>0</v>
      </c>
      <c r="R741" s="817">
        <f>SUMIFS(Movement!$F$4:$F$2136,Movement!$M$4:$M$2136,"USD",Movement!$C$4:$C$2136,Table11[[#This Row],[ACCOUNT NUMBER]],Movement!$J$4:$J$2136,Table11[[#This Row],[ENTITY]],Movement!$O$4:$O$2136,'Cash Balance'!$A$2)</f>
        <v>0</v>
      </c>
      <c r="S741" s="817">
        <f>SUMIFS(Movement!$G$4:$G$2136,Movement!$M$4:$M$2136,"USD",Movement!$C$4:$C$2136,Table11[[#This Row],[ACCOUNT NUMBER]],Movement!$J$4:$J$2136,Table11[[#This Row],[ENTITY]],Movement!$O$4:$O$2136,'Cash Balance'!$A$2)</f>
        <v>0</v>
      </c>
      <c r="T741" s="1087">
        <f t="shared" si="77"/>
        <v>0</v>
      </c>
      <c r="U741" s="1090"/>
      <c r="V741" s="1091">
        <f>Table11[[#This Row],[CLOSING BALANCE (USD)]]-Table11[[#This Row],[CB_BS (USD)]]</f>
        <v>0</v>
      </c>
      <c r="W741" s="1156" t="str">
        <f>VLOOKUP('Cash Balance'!$C741,Table2[#All],MATCH('Cash Balance'!W$3,Acc_Char!$B$1:$I$1,0),0)</f>
        <v>Subsidiaries</v>
      </c>
      <c r="X741" s="1156" t="str">
        <f>VLOOKUP(IFERROR(MID($Y741,1,FIND("-",$Y741)-2),$Y741),Table3[#All],2,0)</f>
        <v>VCB</v>
      </c>
      <c r="Y741" s="1156" t="str">
        <f>VLOOKUP($B741,Table4[#All],2,0)</f>
        <v>VIETCOMBANK - BA DINH</v>
      </c>
      <c r="Z741" s="1151"/>
      <c r="AA741" s="49"/>
    </row>
    <row r="742" spans="1:27">
      <c r="A742" s="1196" t="str">
        <f>VLOOKUP('Cash Balance'!$C742,Table2[#All],MATCH('Cash Balance'!A$3,Acc_Char!$B$1:$I$1,0),0)</f>
        <v>THUAN THANH 3B</v>
      </c>
      <c r="B742" s="1154" t="str">
        <f>VLOOKUP('Cash Balance'!$C742,Table2[#All],MATCH('Cash Balance'!B$3,Acc_Char!$B$1:$I$1,0),0)</f>
        <v>VIETCOMBANK - BA DINH</v>
      </c>
      <c r="C742" s="1197" t="s">
        <v>1356</v>
      </c>
      <c r="D742" s="1156" t="str">
        <f>VLOOKUP('Cash Balance'!$C742,Table2[#All],MATCH('Cash Balance'!D$3,Acc_Char!$B$1:$I$1,0),0)</f>
        <v>Saving Account</v>
      </c>
      <c r="E742" s="384" t="str">
        <f>VLOOKUP('Cash Balance'!$C742,Table2[#All],MATCH('Cash Balance'!E$3,Acc_Char!$B$1:$I$1,0),0)</f>
        <v>VND</v>
      </c>
      <c r="F742" s="1084" t="e">
        <f>VLOOKUP(C742,'Cash balance (BS)'!A:C,3,)</f>
        <v>#N/A</v>
      </c>
      <c r="G742" s="1191" t="e">
        <f t="shared" si="80"/>
        <v>#N/A</v>
      </c>
      <c r="H742" s="1318">
        <f>SUMIFS('Cash balance (Prior period)'!F:F,'Cash balance (Prior period)'!C:C,Table11[[#This Row],[ACCOUNT NUMBER]],'Cash balance (Prior period)'!E:E,Table11[[#This Row],[CURRENCY]])</f>
        <v>1500000000</v>
      </c>
      <c r="I742" s="1318">
        <f>SUMIFS(Movement!$F$4:$F$2136,Movement!$M$4:$M$2136,"VND",Movement!$C$4:$C$2136,Table11[[#This Row],[ACCOUNT NUMBER]],Movement!$J$4:$J$2136,Table11[[#This Row],[ENTITY]],Movement!$O$4:$O$2136,'Cash Balance'!$A$2)</f>
        <v>0</v>
      </c>
      <c r="J742" s="1318">
        <f>SUMIFS(Movement!$G$4:$G$2136,Movement!$M$4:$M$2136,"VND",Movement!$C$4:$C$2136,Table11[[#This Row],[ACCOUNT NUMBER]],Movement!$J$4:$J$2136,Table11[[#This Row],[ENTITY]],Movement!$O$4:$O$2136,'Cash Balance'!$A$2)</f>
        <v>0</v>
      </c>
      <c r="K742" s="1084">
        <f>Table11[[#This Row],[CASH IN - CREDIT (VND)]]-Table11[[#This Row],[CASH OUT - DEBIT (VND)]]</f>
        <v>0</v>
      </c>
      <c r="L742" s="1095">
        <f t="shared" si="75"/>
        <v>1500000000</v>
      </c>
      <c r="M742" s="1184" t="e">
        <f>VLOOKUP(C742,'Cash balance (BS)'!A:D,4,)</f>
        <v>#N/A</v>
      </c>
      <c r="N742" s="1095" t="e">
        <f>Table11[[#This Row],[CLOSING BALANCE (VND)2]]-Table11[[#This Row],[CB_BS (VND)]]</f>
        <v>#N/A</v>
      </c>
      <c r="O742" s="1094">
        <v>0</v>
      </c>
      <c r="P742" s="1095">
        <f t="shared" si="76"/>
        <v>0</v>
      </c>
      <c r="Q742" s="817">
        <f>SUMIFS('Cash balance (Prior period)'!G:G,'Cash balance (Prior period)'!C:C,Table11[[#This Row],[ACCOUNT NUMBER]],'Cash balance (Prior period)'!E:E,Table11[[#This Row],[CURRENCY]])</f>
        <v>0</v>
      </c>
      <c r="R742" s="817">
        <f>SUMIFS(Movement!$F$4:$F$2136,Movement!$M$4:$M$2136,"USD",Movement!$C$4:$C$2136,Table11[[#This Row],[ACCOUNT NUMBER]],Movement!$J$4:$J$2136,Table11[[#This Row],[ENTITY]],Movement!$O$4:$O$2136,'Cash Balance'!$A$2)</f>
        <v>0</v>
      </c>
      <c r="S742" s="817">
        <f>SUMIFS(Movement!$G$4:$G$2136,Movement!$M$4:$M$2136,"USD",Movement!$C$4:$C$2136,Table11[[#This Row],[ACCOUNT NUMBER]],Movement!$J$4:$J$2136,Table11[[#This Row],[ENTITY]],Movement!$O$4:$O$2136,'Cash Balance'!$A$2)</f>
        <v>0</v>
      </c>
      <c r="T742" s="1087">
        <f t="shared" si="77"/>
        <v>0</v>
      </c>
      <c r="U742" s="1090"/>
      <c r="V742" s="1091">
        <f>Table11[[#This Row],[CLOSING BALANCE (USD)]]-Table11[[#This Row],[CB_BS (USD)]]</f>
        <v>0</v>
      </c>
      <c r="W742" s="1156" t="str">
        <f>VLOOKUP('Cash Balance'!$C742,Table2[#All],MATCH('Cash Balance'!W$3,Acc_Char!$B$1:$I$1,0),0)</f>
        <v>Subsidiaries</v>
      </c>
      <c r="X742" s="1156" t="str">
        <f>VLOOKUP(IFERROR(MID($Y742,1,FIND("-",$Y742)-2),$Y742),Table3[#All],2,0)</f>
        <v>VCB</v>
      </c>
      <c r="Y742" s="1156" t="str">
        <f>VLOOKUP($B742,Table4[#All],2,0)</f>
        <v>VIETCOMBANK - BA DINH</v>
      </c>
      <c r="Z742" s="1151"/>
      <c r="AA742" s="49"/>
    </row>
    <row r="743" spans="1:27">
      <c r="A743" s="1196" t="str">
        <f>VLOOKUP('Cash Balance'!$C743,Table2[#All],MATCH('Cash Balance'!A$3,Acc_Char!$B$1:$I$1,0),0)</f>
        <v>BWID LOGISTICS TAN UYEN</v>
      </c>
      <c r="B743" s="1154" t="str">
        <f>VLOOKUP('Cash Balance'!$C743,Table2[#All],MATCH('Cash Balance'!B$3,Acc_Char!$B$1:$I$1,0),0)</f>
        <v>VIETCOMBANK - BA DINH</v>
      </c>
      <c r="C743" s="1197" t="s">
        <v>1357</v>
      </c>
      <c r="D743" s="1156" t="str">
        <f>VLOOKUP('Cash Balance'!$C743,Table2[#All],MATCH('Cash Balance'!D$3,Acc_Char!$B$1:$I$1,0),0)</f>
        <v>Saving Account</v>
      </c>
      <c r="E743" s="384" t="str">
        <f>VLOOKUP('Cash Balance'!$C743,Table2[#All],MATCH('Cash Balance'!E$3,Acc_Char!$B$1:$I$1,0),0)</f>
        <v>VND</v>
      </c>
      <c r="F743" s="1084" t="e">
        <f>VLOOKUP(C743,'Cash balance (BS)'!A:C,3,)</f>
        <v>#N/A</v>
      </c>
      <c r="G743" s="1191" t="e">
        <f t="shared" si="80"/>
        <v>#N/A</v>
      </c>
      <c r="H743" s="1318">
        <f>SUMIFS('Cash balance (Prior period)'!F:F,'Cash balance (Prior period)'!C:C,Table11[[#This Row],[ACCOUNT NUMBER]],'Cash balance (Prior period)'!E:E,Table11[[#This Row],[CURRENCY]])</f>
        <v>0</v>
      </c>
      <c r="I743" s="1318">
        <f>SUMIFS(Movement!$F$4:$F$2136,Movement!$M$4:$M$2136,"VND",Movement!$C$4:$C$2136,Table11[[#This Row],[ACCOUNT NUMBER]],Movement!$J$4:$J$2136,Table11[[#This Row],[ENTITY]],Movement!$O$4:$O$2136,'Cash Balance'!$A$2)</f>
        <v>0</v>
      </c>
      <c r="J743" s="1318">
        <f>SUMIFS(Movement!$G$4:$G$2136,Movement!$M$4:$M$2136,"VND",Movement!$C$4:$C$2136,Table11[[#This Row],[ACCOUNT NUMBER]],Movement!$J$4:$J$2136,Table11[[#This Row],[ENTITY]],Movement!$O$4:$O$2136,'Cash Balance'!$A$2)</f>
        <v>0</v>
      </c>
      <c r="K743" s="1084">
        <f>Table11[[#This Row],[CASH IN - CREDIT (VND)]]-Table11[[#This Row],[CASH OUT - DEBIT (VND)]]</f>
        <v>0</v>
      </c>
      <c r="L743" s="1095">
        <f t="shared" si="75"/>
        <v>0</v>
      </c>
      <c r="M743" s="1184" t="e">
        <f>VLOOKUP(C743,'Cash balance (BS)'!A:D,4,)</f>
        <v>#N/A</v>
      </c>
      <c r="N743" s="1095" t="e">
        <f>Table11[[#This Row],[CLOSING BALANCE (VND)2]]-Table11[[#This Row],[CB_BS (VND)]]</f>
        <v>#N/A</v>
      </c>
      <c r="O743" s="1094">
        <v>0</v>
      </c>
      <c r="P743" s="1095">
        <f t="shared" si="76"/>
        <v>0</v>
      </c>
      <c r="Q743" s="817">
        <f>SUMIFS('Cash balance (Prior period)'!G:G,'Cash balance (Prior period)'!C:C,Table11[[#This Row],[ACCOUNT NUMBER]],'Cash balance (Prior period)'!E:E,Table11[[#This Row],[CURRENCY]])</f>
        <v>0</v>
      </c>
      <c r="R743" s="817">
        <f>SUMIFS(Movement!$F$4:$F$2136,Movement!$M$4:$M$2136,"USD",Movement!$C$4:$C$2136,Table11[[#This Row],[ACCOUNT NUMBER]],Movement!$J$4:$J$2136,Table11[[#This Row],[ENTITY]],Movement!$O$4:$O$2136,'Cash Balance'!$A$2)</f>
        <v>0</v>
      </c>
      <c r="S743" s="817">
        <f>SUMIFS(Movement!$G$4:$G$2136,Movement!$M$4:$M$2136,"USD",Movement!$C$4:$C$2136,Table11[[#This Row],[ACCOUNT NUMBER]],Movement!$J$4:$J$2136,Table11[[#This Row],[ENTITY]],Movement!$O$4:$O$2136,'Cash Balance'!$A$2)</f>
        <v>0</v>
      </c>
      <c r="T743" s="1087">
        <f t="shared" si="77"/>
        <v>0</v>
      </c>
      <c r="U743" s="1090"/>
      <c r="V743" s="1091">
        <f>Table11[[#This Row],[CLOSING BALANCE (USD)]]-Table11[[#This Row],[CB_BS (USD)]]</f>
        <v>0</v>
      </c>
      <c r="W743" s="1156" t="str">
        <f>VLOOKUP('Cash Balance'!$C743,Table2[#All],MATCH('Cash Balance'!W$3,Acc_Char!$B$1:$I$1,0),0)</f>
        <v>Subsidiaries</v>
      </c>
      <c r="X743" s="1156" t="str">
        <f>VLOOKUP(IFERROR(MID($Y743,1,FIND("-",$Y743)-2),$Y743),Table3[#All],2,0)</f>
        <v>VCB</v>
      </c>
      <c r="Y743" s="1156" t="str">
        <f>VLOOKUP($B743,Table4[#All],2,0)</f>
        <v>VIETCOMBANK - BA DINH</v>
      </c>
      <c r="Z743" s="1151"/>
      <c r="AA743" s="49"/>
    </row>
    <row r="744" spans="1:27">
      <c r="A744" s="1196" t="str">
        <f>VLOOKUP('Cash Balance'!$C744,Table2[#All],MATCH('Cash Balance'!A$3,Acc_Char!$B$1:$I$1,0),0)</f>
        <v>BW SUPLLY CHAIN CITY</v>
      </c>
      <c r="B744" s="1154" t="str">
        <f>VLOOKUP('Cash Balance'!$C744,Table2[#All],MATCH('Cash Balance'!B$3,Acc_Char!$B$1:$I$1,0),0)</f>
        <v>VIETCOMBANK - HCM</v>
      </c>
      <c r="C744" s="1197" t="s">
        <v>1358</v>
      </c>
      <c r="D744" s="1156" t="str">
        <f>VLOOKUP('Cash Balance'!$C744,Table2[#All],MATCH('Cash Balance'!D$3,Acc_Char!$B$1:$I$1,0),0)</f>
        <v>Saving Account</v>
      </c>
      <c r="E744" s="384" t="str">
        <f>VLOOKUP('Cash Balance'!$C744,Table2[#All],MATCH('Cash Balance'!E$3,Acc_Char!$B$1:$I$1,0),0)</f>
        <v>VND</v>
      </c>
      <c r="F744" s="1084" t="e">
        <f>VLOOKUP(C744,'Cash balance (BS)'!A:C,3,)</f>
        <v>#N/A</v>
      </c>
      <c r="G744" s="1191" t="e">
        <f t="shared" si="80"/>
        <v>#N/A</v>
      </c>
      <c r="H744" s="1318">
        <f>SUMIFS('Cash balance (Prior period)'!F:F,'Cash balance (Prior period)'!C:C,Table11[[#This Row],[ACCOUNT NUMBER]],'Cash balance (Prior period)'!E:E,Table11[[#This Row],[CURRENCY]])</f>
        <v>0</v>
      </c>
      <c r="I744" s="1318">
        <f>SUMIFS(Movement!$F$4:$F$2136,Movement!$M$4:$M$2136,"VND",Movement!$C$4:$C$2136,Table11[[#This Row],[ACCOUNT NUMBER]],Movement!$J$4:$J$2136,Table11[[#This Row],[ENTITY]],Movement!$O$4:$O$2136,'Cash Balance'!$A$2)</f>
        <v>0</v>
      </c>
      <c r="J744" s="1318">
        <f>SUMIFS(Movement!$G$4:$G$2136,Movement!$M$4:$M$2136,"VND",Movement!$C$4:$C$2136,Table11[[#This Row],[ACCOUNT NUMBER]],Movement!$J$4:$J$2136,Table11[[#This Row],[ENTITY]],Movement!$O$4:$O$2136,'Cash Balance'!$A$2)</f>
        <v>0</v>
      </c>
      <c r="K744" s="1084">
        <f>Table11[[#This Row],[CASH IN - CREDIT (VND)]]-Table11[[#This Row],[CASH OUT - DEBIT (VND)]]</f>
        <v>0</v>
      </c>
      <c r="L744" s="1095">
        <f t="shared" si="75"/>
        <v>0</v>
      </c>
      <c r="M744" s="1184" t="e">
        <f>VLOOKUP(C744,'Cash balance (BS)'!A:D,4,)</f>
        <v>#N/A</v>
      </c>
      <c r="N744" s="1095" t="e">
        <f>Table11[[#This Row],[CLOSING BALANCE (VND)2]]-Table11[[#This Row],[CB_BS (VND)]]</f>
        <v>#N/A</v>
      </c>
      <c r="O744" s="1094">
        <v>0</v>
      </c>
      <c r="P744" s="1095">
        <f t="shared" si="76"/>
        <v>0</v>
      </c>
      <c r="Q744" s="817">
        <f>SUMIFS('Cash balance (Prior period)'!G:G,'Cash balance (Prior period)'!C:C,Table11[[#This Row],[ACCOUNT NUMBER]],'Cash balance (Prior period)'!E:E,Table11[[#This Row],[CURRENCY]])</f>
        <v>0</v>
      </c>
      <c r="R744" s="817">
        <f>SUMIFS(Movement!$F$4:$F$2136,Movement!$M$4:$M$2136,"USD",Movement!$C$4:$C$2136,Table11[[#This Row],[ACCOUNT NUMBER]],Movement!$J$4:$J$2136,Table11[[#This Row],[ENTITY]],Movement!$O$4:$O$2136,'Cash Balance'!$A$2)</f>
        <v>0</v>
      </c>
      <c r="S744" s="817">
        <f>SUMIFS(Movement!$G$4:$G$2136,Movement!$M$4:$M$2136,"USD",Movement!$C$4:$C$2136,Table11[[#This Row],[ACCOUNT NUMBER]],Movement!$J$4:$J$2136,Table11[[#This Row],[ENTITY]],Movement!$O$4:$O$2136,'Cash Balance'!$A$2)</f>
        <v>0</v>
      </c>
      <c r="T744" s="1087">
        <f t="shared" si="77"/>
        <v>0</v>
      </c>
      <c r="U744" s="1090"/>
      <c r="V744" s="1091">
        <f>Table11[[#This Row],[CLOSING BALANCE (USD)]]-Table11[[#This Row],[CB_BS (USD)]]</f>
        <v>0</v>
      </c>
      <c r="W744" s="1156" t="str">
        <f>VLOOKUP('Cash Balance'!$C744,Table2[#All],MATCH('Cash Balance'!W$3,Acc_Char!$B$1:$I$1,0),0)</f>
        <v>Subsidiaries</v>
      </c>
      <c r="X744" s="1156" t="str">
        <f>VLOOKUP(IFERROR(MID($Y744,1,FIND("-",$Y744)-2),$Y744),Table3[#All],2,0)</f>
        <v>VCB</v>
      </c>
      <c r="Y744" s="1156" t="str">
        <f>VLOOKUP($B744,Table4[#All],2,0)</f>
        <v>VIETCOMBANK - HCM</v>
      </c>
      <c r="Z744" s="1151"/>
      <c r="AA744" s="49"/>
    </row>
    <row r="745" spans="1:27">
      <c r="A745" s="1196" t="str">
        <f>VLOOKUP('Cash Balance'!$C745,Table2[#All],MATCH('Cash Balance'!A$3,Acc_Char!$B$1:$I$1,0),0)</f>
        <v>BWID HAI DUONG 3</v>
      </c>
      <c r="B745" s="1154" t="str">
        <f>VLOOKUP('Cash Balance'!$C745,Table2[#All],MATCH('Cash Balance'!B$3,Acc_Char!$B$1:$I$1,0),0)</f>
        <v>BIDV - THANH XUAN</v>
      </c>
      <c r="C745" s="1197" t="s">
        <v>1359</v>
      </c>
      <c r="D745" s="1156" t="str">
        <f>VLOOKUP('Cash Balance'!$C745,Table2[#All],MATCH('Cash Balance'!D$3,Acc_Char!$B$1:$I$1,0),0)</f>
        <v>Saving Account</v>
      </c>
      <c r="E745" s="384" t="str">
        <f>VLOOKUP('Cash Balance'!$C745,Table2[#All],MATCH('Cash Balance'!E$3,Acc_Char!$B$1:$I$1,0),0)</f>
        <v>VND</v>
      </c>
      <c r="F745" s="1084" t="e">
        <f>VLOOKUP(C745,'Cash balance (BS)'!A:C,3,)</f>
        <v>#N/A</v>
      </c>
      <c r="G745" s="1191" t="e">
        <f t="shared" si="80"/>
        <v>#N/A</v>
      </c>
      <c r="H745" s="1318">
        <f>SUMIFS('Cash balance (Prior period)'!F:F,'Cash balance (Prior period)'!C:C,Table11[[#This Row],[ACCOUNT NUMBER]],'Cash balance (Prior period)'!E:E,Table11[[#This Row],[CURRENCY]])</f>
        <v>3800000000</v>
      </c>
      <c r="I745" s="1318">
        <f>SUMIFS(Movement!$F$4:$F$2136,Movement!$M$4:$M$2136,"VND",Movement!$C$4:$C$2136,Table11[[#This Row],[ACCOUNT NUMBER]],Movement!$J$4:$J$2136,Table11[[#This Row],[ENTITY]],Movement!$O$4:$O$2136,'Cash Balance'!$A$2)</f>
        <v>0</v>
      </c>
      <c r="J745" s="1318">
        <f>SUMIFS(Movement!$G$4:$G$2136,Movement!$M$4:$M$2136,"VND",Movement!$C$4:$C$2136,Table11[[#This Row],[ACCOUNT NUMBER]],Movement!$J$4:$J$2136,Table11[[#This Row],[ENTITY]],Movement!$O$4:$O$2136,'Cash Balance'!$A$2)</f>
        <v>0</v>
      </c>
      <c r="K745" s="1084">
        <f>Table11[[#This Row],[CASH IN - CREDIT (VND)]]-Table11[[#This Row],[CASH OUT - DEBIT (VND)]]</f>
        <v>0</v>
      </c>
      <c r="L745" s="1095">
        <f t="shared" si="75"/>
        <v>3800000000</v>
      </c>
      <c r="M745" s="1184" t="e">
        <f>VLOOKUP(C745,'Cash balance (BS)'!A:D,4,)</f>
        <v>#N/A</v>
      </c>
      <c r="N745" s="1095" t="e">
        <f>Table11[[#This Row],[CLOSING BALANCE (VND)2]]-Table11[[#This Row],[CB_BS (VND)]]</f>
        <v>#N/A</v>
      </c>
      <c r="O745" s="1094">
        <v>0</v>
      </c>
      <c r="P745" s="1095">
        <f t="shared" si="76"/>
        <v>0</v>
      </c>
      <c r="Q745" s="817">
        <f>SUMIFS('Cash balance (Prior period)'!G:G,'Cash balance (Prior period)'!C:C,Table11[[#This Row],[ACCOUNT NUMBER]],'Cash balance (Prior period)'!E:E,Table11[[#This Row],[CURRENCY]])</f>
        <v>0</v>
      </c>
      <c r="R745" s="817">
        <f>SUMIFS(Movement!$F$4:$F$2136,Movement!$M$4:$M$2136,"USD",Movement!$C$4:$C$2136,Table11[[#This Row],[ACCOUNT NUMBER]],Movement!$J$4:$J$2136,Table11[[#This Row],[ENTITY]],Movement!$O$4:$O$2136,'Cash Balance'!$A$2)</f>
        <v>0</v>
      </c>
      <c r="S745" s="817">
        <f>SUMIFS(Movement!$G$4:$G$2136,Movement!$M$4:$M$2136,"USD",Movement!$C$4:$C$2136,Table11[[#This Row],[ACCOUNT NUMBER]],Movement!$J$4:$J$2136,Table11[[#This Row],[ENTITY]],Movement!$O$4:$O$2136,'Cash Balance'!$A$2)</f>
        <v>0</v>
      </c>
      <c r="T745" s="1087">
        <f t="shared" si="77"/>
        <v>0</v>
      </c>
      <c r="U745" s="1090"/>
      <c r="V745" s="1091">
        <f>Table11[[#This Row],[CLOSING BALANCE (USD)]]-Table11[[#This Row],[CB_BS (USD)]]</f>
        <v>0</v>
      </c>
      <c r="W745" s="1156" t="str">
        <f>VLOOKUP('Cash Balance'!$C745,Table2[#All],MATCH('Cash Balance'!W$3,Acc_Char!$B$1:$I$1,0),0)</f>
        <v>Subsidiaries</v>
      </c>
      <c r="X745" s="1156" t="str">
        <f>VLOOKUP(IFERROR(MID($Y745,1,FIND("-",$Y745)-2),$Y745),Table3[#All],2,0)</f>
        <v>BIDV</v>
      </c>
      <c r="Y745" s="1156" t="str">
        <f>VLOOKUP($B745,Table4[#All],2,0)</f>
        <v>BIDV - THANH XUAN</v>
      </c>
      <c r="Z745" s="1151"/>
      <c r="AA745" s="49"/>
    </row>
    <row r="746" spans="1:27">
      <c r="A746" s="1196" t="str">
        <f>VLOOKUP('Cash Balance'!$C746,Table2[#All],MATCH('Cash Balance'!A$3,Acc_Char!$B$1:$I$1,0),0)</f>
        <v>LE MINH XUAN 3</v>
      </c>
      <c r="B746" s="1154" t="str">
        <f>VLOOKUP('Cash Balance'!$C746,Table2[#All],MATCH('Cash Balance'!B$3,Acc_Char!$B$1:$I$1,0),0)</f>
        <v>VIETINBANK - TPHCM</v>
      </c>
      <c r="C746" s="1197" t="s">
        <v>1360</v>
      </c>
      <c r="D746" s="1156" t="str">
        <f>VLOOKUP('Cash Balance'!$C746,Table2[#All],MATCH('Cash Balance'!D$3,Acc_Char!$B$1:$I$1,0),0)</f>
        <v>Saving Account</v>
      </c>
      <c r="E746" s="384" t="str">
        <f>VLOOKUP('Cash Balance'!$C746,Table2[#All],MATCH('Cash Balance'!E$3,Acc_Char!$B$1:$I$1,0),0)</f>
        <v>VND</v>
      </c>
      <c r="F746" s="1084" t="e">
        <f>VLOOKUP(C746,'Cash balance (BS)'!A:C,3,)</f>
        <v>#N/A</v>
      </c>
      <c r="G746" s="1191" t="e">
        <f t="shared" si="80"/>
        <v>#N/A</v>
      </c>
      <c r="H746" s="1318">
        <f>SUMIFS('Cash balance (Prior period)'!F:F,'Cash balance (Prior period)'!C:C,Table11[[#This Row],[ACCOUNT NUMBER]],'Cash balance (Prior period)'!E:E,Table11[[#This Row],[CURRENCY]])</f>
        <v>0</v>
      </c>
      <c r="I746" s="1318">
        <f>SUMIFS(Movement!$F$4:$F$2136,Movement!$M$4:$M$2136,"VND",Movement!$C$4:$C$2136,Table11[[#This Row],[ACCOUNT NUMBER]],Movement!$J$4:$J$2136,Table11[[#This Row],[ENTITY]],Movement!$O$4:$O$2136,'Cash Balance'!$A$2)</f>
        <v>0</v>
      </c>
      <c r="J746" s="1318">
        <f>SUMIFS(Movement!$G$4:$G$2136,Movement!$M$4:$M$2136,"VND",Movement!$C$4:$C$2136,Table11[[#This Row],[ACCOUNT NUMBER]],Movement!$J$4:$J$2136,Table11[[#This Row],[ENTITY]],Movement!$O$4:$O$2136,'Cash Balance'!$A$2)</f>
        <v>0</v>
      </c>
      <c r="K746" s="1084">
        <f>Table11[[#This Row],[CASH IN - CREDIT (VND)]]-Table11[[#This Row],[CASH OUT - DEBIT (VND)]]</f>
        <v>0</v>
      </c>
      <c r="L746" s="1095">
        <f t="shared" si="75"/>
        <v>0</v>
      </c>
      <c r="M746" s="1184" t="e">
        <f>VLOOKUP(C746,'Cash balance (BS)'!A:D,4,)</f>
        <v>#N/A</v>
      </c>
      <c r="N746" s="1095" t="e">
        <f>Table11[[#This Row],[CLOSING BALANCE (VND)2]]-Table11[[#This Row],[CB_BS (VND)]]</f>
        <v>#N/A</v>
      </c>
      <c r="O746" s="1094">
        <v>0</v>
      </c>
      <c r="P746" s="1095">
        <f t="shared" si="76"/>
        <v>0</v>
      </c>
      <c r="Q746" s="817">
        <f>SUMIFS('Cash balance (Prior period)'!G:G,'Cash balance (Prior period)'!C:C,Table11[[#This Row],[ACCOUNT NUMBER]],'Cash balance (Prior period)'!E:E,Table11[[#This Row],[CURRENCY]])</f>
        <v>0</v>
      </c>
      <c r="R746" s="817">
        <f>SUMIFS(Movement!$F$4:$F$2136,Movement!$M$4:$M$2136,"USD",Movement!$C$4:$C$2136,Table11[[#This Row],[ACCOUNT NUMBER]],Movement!$J$4:$J$2136,Table11[[#This Row],[ENTITY]],Movement!$O$4:$O$2136,'Cash Balance'!$A$2)</f>
        <v>0</v>
      </c>
      <c r="S746" s="817">
        <f>SUMIFS(Movement!$G$4:$G$2136,Movement!$M$4:$M$2136,"USD",Movement!$C$4:$C$2136,Table11[[#This Row],[ACCOUNT NUMBER]],Movement!$J$4:$J$2136,Table11[[#This Row],[ENTITY]],Movement!$O$4:$O$2136,'Cash Balance'!$A$2)</f>
        <v>0</v>
      </c>
      <c r="T746" s="1087">
        <f t="shared" si="77"/>
        <v>0</v>
      </c>
      <c r="U746" s="1090"/>
      <c r="V746" s="1091">
        <f>Table11[[#This Row],[CLOSING BALANCE (USD)]]-Table11[[#This Row],[CB_BS (USD)]]</f>
        <v>0</v>
      </c>
      <c r="W746" s="1156" t="str">
        <f>VLOOKUP('Cash Balance'!$C746,Table2[#All],MATCH('Cash Balance'!W$3,Acc_Char!$B$1:$I$1,0),0)</f>
        <v>Subsidiaries</v>
      </c>
      <c r="X746" s="1156" t="str">
        <f>VLOOKUP(IFERROR(MID($Y746,1,FIND("-",$Y746)-2),$Y746),Table3[#All],2,0)</f>
        <v>VTB</v>
      </c>
      <c r="Y746" s="1156" t="str">
        <f>VLOOKUP($B746,Table4[#All],2,0)</f>
        <v>VIETINBANK - TPHCM</v>
      </c>
      <c r="Z746" s="1151"/>
      <c r="AA746" s="49"/>
    </row>
    <row r="747" spans="1:27">
      <c r="A747" s="1196" t="str">
        <f>VLOOKUP('Cash Balance'!$C747,Table2[#All],MATCH('Cash Balance'!A$3,Acc_Char!$B$1:$I$1,0),0)</f>
        <v>SONG THAN 2</v>
      </c>
      <c r="B747" s="1154" t="str">
        <f>VLOOKUP('Cash Balance'!$C747,Table2[#All],MATCH('Cash Balance'!B$3,Acc_Char!$B$1:$I$1,0),0)</f>
        <v>VIETINBANK - TPHCM</v>
      </c>
      <c r="C747" s="1197" t="s">
        <v>1361</v>
      </c>
      <c r="D747" s="1156" t="str">
        <f>VLOOKUP('Cash Balance'!$C747,Table2[#All],MATCH('Cash Balance'!D$3,Acc_Char!$B$1:$I$1,0),0)</f>
        <v>Saving Account</v>
      </c>
      <c r="E747" s="384" t="str">
        <f>VLOOKUP('Cash Balance'!$C747,Table2[#All],MATCH('Cash Balance'!E$3,Acc_Char!$B$1:$I$1,0),0)</f>
        <v>VND</v>
      </c>
      <c r="F747" s="1084" t="e">
        <f>VLOOKUP(C747,'Cash balance (BS)'!A:C,3,)</f>
        <v>#N/A</v>
      </c>
      <c r="G747" s="1191" t="e">
        <f t="shared" si="80"/>
        <v>#N/A</v>
      </c>
      <c r="H747" s="1318">
        <f>SUMIFS('Cash balance (Prior period)'!F:F,'Cash balance (Prior period)'!C:C,Table11[[#This Row],[ACCOUNT NUMBER]],'Cash balance (Prior period)'!E:E,Table11[[#This Row],[CURRENCY]])</f>
        <v>0</v>
      </c>
      <c r="I747" s="1318">
        <f>SUMIFS(Movement!$F$4:$F$2136,Movement!$M$4:$M$2136,"VND",Movement!$C$4:$C$2136,Table11[[#This Row],[ACCOUNT NUMBER]],Movement!$J$4:$J$2136,Table11[[#This Row],[ENTITY]],Movement!$O$4:$O$2136,'Cash Balance'!$A$2)</f>
        <v>0</v>
      </c>
      <c r="J747" s="1318">
        <f>SUMIFS(Movement!$G$4:$G$2136,Movement!$M$4:$M$2136,"VND",Movement!$C$4:$C$2136,Table11[[#This Row],[ACCOUNT NUMBER]],Movement!$J$4:$J$2136,Table11[[#This Row],[ENTITY]],Movement!$O$4:$O$2136,'Cash Balance'!$A$2)</f>
        <v>0</v>
      </c>
      <c r="K747" s="1084">
        <f>Table11[[#This Row],[CASH IN - CREDIT (VND)]]-Table11[[#This Row],[CASH OUT - DEBIT (VND)]]</f>
        <v>0</v>
      </c>
      <c r="L747" s="1095">
        <f t="shared" si="75"/>
        <v>0</v>
      </c>
      <c r="M747" s="1184" t="e">
        <f>VLOOKUP(C747,'Cash balance (BS)'!A:D,4,)</f>
        <v>#N/A</v>
      </c>
      <c r="N747" s="1095" t="e">
        <f>Table11[[#This Row],[CLOSING BALANCE (VND)2]]-Table11[[#This Row],[CB_BS (VND)]]</f>
        <v>#N/A</v>
      </c>
      <c r="O747" s="1094">
        <v>0</v>
      </c>
      <c r="P747" s="1095">
        <f t="shared" si="76"/>
        <v>0</v>
      </c>
      <c r="Q747" s="817">
        <f>SUMIFS('Cash balance (Prior period)'!G:G,'Cash balance (Prior period)'!C:C,Table11[[#This Row],[ACCOUNT NUMBER]],'Cash balance (Prior period)'!E:E,Table11[[#This Row],[CURRENCY]])</f>
        <v>0</v>
      </c>
      <c r="R747" s="817">
        <f>SUMIFS(Movement!$F$4:$F$2136,Movement!$M$4:$M$2136,"USD",Movement!$C$4:$C$2136,Table11[[#This Row],[ACCOUNT NUMBER]],Movement!$J$4:$J$2136,Table11[[#This Row],[ENTITY]],Movement!$O$4:$O$2136,'Cash Balance'!$A$2)</f>
        <v>0</v>
      </c>
      <c r="S747" s="817">
        <f>SUMIFS(Movement!$G$4:$G$2136,Movement!$M$4:$M$2136,"USD",Movement!$C$4:$C$2136,Table11[[#This Row],[ACCOUNT NUMBER]],Movement!$J$4:$J$2136,Table11[[#This Row],[ENTITY]],Movement!$O$4:$O$2136,'Cash Balance'!$A$2)</f>
        <v>0</v>
      </c>
      <c r="T747" s="1087">
        <f t="shared" si="77"/>
        <v>0</v>
      </c>
      <c r="U747" s="1090"/>
      <c r="V747" s="1091">
        <f>Table11[[#This Row],[CLOSING BALANCE (USD)]]-Table11[[#This Row],[CB_BS (USD)]]</f>
        <v>0</v>
      </c>
      <c r="W747" s="1156" t="str">
        <f>VLOOKUP('Cash Balance'!$C747,Table2[#All],MATCH('Cash Balance'!W$3,Acc_Char!$B$1:$I$1,0),0)</f>
        <v>Subsidiaries</v>
      </c>
      <c r="X747" s="1156" t="str">
        <f>VLOOKUP(IFERROR(MID($Y747,1,FIND("-",$Y747)-2),$Y747),Table3[#All],2,0)</f>
        <v>VTB</v>
      </c>
      <c r="Y747" s="1156" t="str">
        <f>VLOOKUP($B747,Table4[#All],2,0)</f>
        <v>VIETINBANK - TPHCM</v>
      </c>
      <c r="Z747" s="1151"/>
      <c r="AA747" s="49"/>
    </row>
    <row r="748" spans="1:27">
      <c r="A748" s="1196" t="str">
        <f>VLOOKUP('Cash Balance'!$C748,Table2[#All],MATCH('Cash Balance'!A$3,Acc_Char!$B$1:$I$1,0),0)</f>
        <v>XENIA 2</v>
      </c>
      <c r="B748" s="1154" t="str">
        <f>VLOOKUP('Cash Balance'!$C748,Table2[#All],MATCH('Cash Balance'!B$3,Acc_Char!$B$1:$I$1,0),0)</f>
        <v>VIETINBANK - TIEN SON</v>
      </c>
      <c r="C748" s="1197" t="s">
        <v>1362</v>
      </c>
      <c r="D748" s="1156" t="str">
        <f>VLOOKUP('Cash Balance'!$C748,Table2[#All],MATCH('Cash Balance'!D$3,Acc_Char!$B$1:$I$1,0),0)</f>
        <v>Saving Account</v>
      </c>
      <c r="E748" s="384" t="str">
        <f>VLOOKUP('Cash Balance'!$C748,Table2[#All],MATCH('Cash Balance'!E$3,Acc_Char!$B$1:$I$1,0),0)</f>
        <v>VND</v>
      </c>
      <c r="F748" s="1084" t="e">
        <f>VLOOKUP(C748,'Cash balance (BS)'!A:C,3,)</f>
        <v>#N/A</v>
      </c>
      <c r="G748" s="1191" t="e">
        <f t="shared" si="80"/>
        <v>#N/A</v>
      </c>
      <c r="H748" s="1318">
        <f>SUMIFS('Cash balance (Prior period)'!F:F,'Cash balance (Prior period)'!C:C,Table11[[#This Row],[ACCOUNT NUMBER]],'Cash balance (Prior period)'!E:E,Table11[[#This Row],[CURRENCY]])</f>
        <v>12000000000</v>
      </c>
      <c r="I748" s="1318">
        <f>SUMIFS(Movement!$F$4:$F$2136,Movement!$M$4:$M$2136,"VND",Movement!$C$4:$C$2136,Table11[[#This Row],[ACCOUNT NUMBER]],Movement!$J$4:$J$2136,Table11[[#This Row],[ENTITY]],Movement!$O$4:$O$2136,'Cash Balance'!$A$2)</f>
        <v>0</v>
      </c>
      <c r="J748" s="1318">
        <f>SUMIFS(Movement!$G$4:$G$2136,Movement!$M$4:$M$2136,"VND",Movement!$C$4:$C$2136,Table11[[#This Row],[ACCOUNT NUMBER]],Movement!$J$4:$J$2136,Table11[[#This Row],[ENTITY]],Movement!$O$4:$O$2136,'Cash Balance'!$A$2)</f>
        <v>0</v>
      </c>
      <c r="K748" s="1084">
        <f>Table11[[#This Row],[CASH IN - CREDIT (VND)]]-Table11[[#This Row],[CASH OUT - DEBIT (VND)]]</f>
        <v>0</v>
      </c>
      <c r="L748" s="1095">
        <f t="shared" si="75"/>
        <v>12000000000</v>
      </c>
      <c r="M748" s="1184" t="e">
        <f>VLOOKUP(C748,'Cash balance (BS)'!A:D,4,)</f>
        <v>#N/A</v>
      </c>
      <c r="N748" s="1095" t="e">
        <f>Table11[[#This Row],[CLOSING BALANCE (VND)2]]-Table11[[#This Row],[CB_BS (VND)]]</f>
        <v>#N/A</v>
      </c>
      <c r="O748" s="1094">
        <v>0</v>
      </c>
      <c r="P748" s="1095">
        <f t="shared" si="76"/>
        <v>0</v>
      </c>
      <c r="Q748" s="817">
        <f>SUMIFS('Cash balance (Prior period)'!G:G,'Cash balance (Prior period)'!C:C,Table11[[#This Row],[ACCOUNT NUMBER]],'Cash balance (Prior period)'!E:E,Table11[[#This Row],[CURRENCY]])</f>
        <v>0</v>
      </c>
      <c r="R748" s="817">
        <f>SUMIFS(Movement!$F$4:$F$2136,Movement!$M$4:$M$2136,"USD",Movement!$C$4:$C$2136,Table11[[#This Row],[ACCOUNT NUMBER]],Movement!$J$4:$J$2136,Table11[[#This Row],[ENTITY]],Movement!$O$4:$O$2136,'Cash Balance'!$A$2)</f>
        <v>0</v>
      </c>
      <c r="S748" s="817">
        <f>SUMIFS(Movement!$G$4:$G$2136,Movement!$M$4:$M$2136,"USD",Movement!$C$4:$C$2136,Table11[[#This Row],[ACCOUNT NUMBER]],Movement!$J$4:$J$2136,Table11[[#This Row],[ENTITY]],Movement!$O$4:$O$2136,'Cash Balance'!$A$2)</f>
        <v>0</v>
      </c>
      <c r="T748" s="1087">
        <f t="shared" si="77"/>
        <v>0</v>
      </c>
      <c r="U748" s="1090"/>
      <c r="V748" s="1091">
        <f>Table11[[#This Row],[CLOSING BALANCE (USD)]]-Table11[[#This Row],[CB_BS (USD)]]</f>
        <v>0</v>
      </c>
      <c r="W748" s="1156" t="str">
        <f>VLOOKUP('Cash Balance'!$C748,Table2[#All],MATCH('Cash Balance'!W$3,Acc_Char!$B$1:$I$1,0),0)</f>
        <v>Subsidiaries</v>
      </c>
      <c r="X748" s="1156" t="str">
        <f>VLOOKUP(IFERROR(MID($Y748,1,FIND("-",$Y748)-2),$Y748),Table3[#All],2,0)</f>
        <v>VTB</v>
      </c>
      <c r="Y748" s="1156" t="str">
        <f>VLOOKUP($B748,Table4[#All],2,0)</f>
        <v>VIETINBANK - TIEN SON</v>
      </c>
      <c r="Z748" s="1151"/>
      <c r="AA748" s="49"/>
    </row>
    <row r="749" spans="1:27">
      <c r="A749" s="1196" t="str">
        <f>VLOOKUP('Cash Balance'!$C749,Table2[#All],MATCH('Cash Balance'!A$3,Acc_Char!$B$1:$I$1,0),0)</f>
        <v>XENIA 1</v>
      </c>
      <c r="B749" s="1154" t="str">
        <f>VLOOKUP('Cash Balance'!$C749,Table2[#All],MATCH('Cash Balance'!B$3,Acc_Char!$B$1:$I$1,0),0)</f>
        <v>VIETINBANK - TIEN SON</v>
      </c>
      <c r="C749" s="1197" t="s">
        <v>1363</v>
      </c>
      <c r="D749" s="1156" t="str">
        <f>VLOOKUP('Cash Balance'!$C749,Table2[#All],MATCH('Cash Balance'!D$3,Acc_Char!$B$1:$I$1,0),0)</f>
        <v>Saving Account</v>
      </c>
      <c r="E749" s="384" t="str">
        <f>VLOOKUP('Cash Balance'!$C749,Table2[#All],MATCH('Cash Balance'!E$3,Acc_Char!$B$1:$I$1,0),0)</f>
        <v>VND</v>
      </c>
      <c r="F749" s="1084" t="e">
        <f>VLOOKUP(C749,'Cash balance (BS)'!A:C,3,)</f>
        <v>#N/A</v>
      </c>
      <c r="G749" s="1191" t="e">
        <f t="shared" si="80"/>
        <v>#N/A</v>
      </c>
      <c r="H749" s="1318">
        <f>SUMIFS('Cash balance (Prior period)'!F:F,'Cash balance (Prior period)'!C:C,Table11[[#This Row],[ACCOUNT NUMBER]],'Cash balance (Prior period)'!E:E,Table11[[#This Row],[CURRENCY]])</f>
        <v>13000000000</v>
      </c>
      <c r="I749" s="1318">
        <f>SUMIFS(Movement!$F$4:$F$2136,Movement!$M$4:$M$2136,"VND",Movement!$C$4:$C$2136,Table11[[#This Row],[ACCOUNT NUMBER]],Movement!$J$4:$J$2136,Table11[[#This Row],[ENTITY]],Movement!$O$4:$O$2136,'Cash Balance'!$A$2)</f>
        <v>0</v>
      </c>
      <c r="J749" s="1318">
        <f>SUMIFS(Movement!$G$4:$G$2136,Movement!$M$4:$M$2136,"VND",Movement!$C$4:$C$2136,Table11[[#This Row],[ACCOUNT NUMBER]],Movement!$J$4:$J$2136,Table11[[#This Row],[ENTITY]],Movement!$O$4:$O$2136,'Cash Balance'!$A$2)</f>
        <v>0</v>
      </c>
      <c r="K749" s="1084">
        <f>Table11[[#This Row],[CASH IN - CREDIT (VND)]]-Table11[[#This Row],[CASH OUT - DEBIT (VND)]]</f>
        <v>0</v>
      </c>
      <c r="L749" s="1095">
        <f t="shared" si="75"/>
        <v>13000000000</v>
      </c>
      <c r="M749" s="1184" t="e">
        <f>VLOOKUP(C749,'Cash balance (BS)'!A:D,4,)</f>
        <v>#N/A</v>
      </c>
      <c r="N749" s="1095" t="e">
        <f>Table11[[#This Row],[CLOSING BALANCE (VND)2]]-Table11[[#This Row],[CB_BS (VND)]]</f>
        <v>#N/A</v>
      </c>
      <c r="O749" s="1094">
        <v>0</v>
      </c>
      <c r="P749" s="1095">
        <f t="shared" si="76"/>
        <v>0</v>
      </c>
      <c r="Q749" s="817">
        <f>SUMIFS('Cash balance (Prior period)'!G:G,'Cash balance (Prior period)'!C:C,Table11[[#This Row],[ACCOUNT NUMBER]],'Cash balance (Prior period)'!E:E,Table11[[#This Row],[CURRENCY]])</f>
        <v>0</v>
      </c>
      <c r="R749" s="817">
        <f>SUMIFS(Movement!$F$4:$F$2136,Movement!$M$4:$M$2136,"USD",Movement!$C$4:$C$2136,Table11[[#This Row],[ACCOUNT NUMBER]],Movement!$J$4:$J$2136,Table11[[#This Row],[ENTITY]],Movement!$O$4:$O$2136,'Cash Balance'!$A$2)</f>
        <v>0</v>
      </c>
      <c r="S749" s="817">
        <f>SUMIFS(Movement!$G$4:$G$2136,Movement!$M$4:$M$2136,"USD",Movement!$C$4:$C$2136,Table11[[#This Row],[ACCOUNT NUMBER]],Movement!$J$4:$J$2136,Table11[[#This Row],[ENTITY]],Movement!$O$4:$O$2136,'Cash Balance'!$A$2)</f>
        <v>0</v>
      </c>
      <c r="T749" s="1087">
        <f t="shared" si="77"/>
        <v>0</v>
      </c>
      <c r="U749" s="1090"/>
      <c r="V749" s="1091">
        <f>Table11[[#This Row],[CLOSING BALANCE (USD)]]-Table11[[#This Row],[CB_BS (USD)]]</f>
        <v>0</v>
      </c>
      <c r="W749" s="1156" t="str">
        <f>VLOOKUP('Cash Balance'!$C749,Table2[#All],MATCH('Cash Balance'!W$3,Acc_Char!$B$1:$I$1,0),0)</f>
        <v>Subsidiaries</v>
      </c>
      <c r="X749" s="1156" t="str">
        <f>VLOOKUP(IFERROR(MID($Y749,1,FIND("-",$Y749)-2),$Y749),Table3[#All],2,0)</f>
        <v>VTB</v>
      </c>
      <c r="Y749" s="1156" t="str">
        <f>VLOOKUP($B749,Table4[#All],2,0)</f>
        <v>VIETINBANK - TIEN SON</v>
      </c>
      <c r="Z749" s="1151"/>
      <c r="AA749" s="49"/>
    </row>
    <row r="750" spans="1:27">
      <c r="A750" s="1153" t="str">
        <f>VLOOKUP('Cash Balance'!$C750,Table2[#All],MATCH('Cash Balance'!A$3,Acc_Char!$B$1:$I$1,0),0)</f>
        <v>BW MY PHUOC 3</v>
      </c>
      <c r="B750" s="1154" t="str">
        <f>VLOOKUP('Cash Balance'!$C750,Table2[#All],MATCH('Cash Balance'!B$3,Acc_Char!$B$1:$I$1,0),0)</f>
        <v>Woori Bank</v>
      </c>
      <c r="C750" s="1197" t="s">
        <v>1364</v>
      </c>
      <c r="D750" s="1156" t="str">
        <f>VLOOKUP('Cash Balance'!$C750,Table2[#All],MATCH('Cash Balance'!D$3,Acc_Char!$B$1:$I$1,0),0)</f>
        <v>Current Account</v>
      </c>
      <c r="E750" s="384" t="str">
        <f>VLOOKUP('Cash Balance'!$C750,Table2[#All],MATCH('Cash Balance'!E$3,Acc_Char!$B$1:$I$1,0),0)</f>
        <v>VND</v>
      </c>
      <c r="F750" s="1084" t="e">
        <f>VLOOKUP(C750,'Cash balance (BS)'!A:C,3,)</f>
        <v>#N/A</v>
      </c>
      <c r="G750" s="1191" t="e">
        <f t="shared" ref="G750:G755" si="81">F750-H750</f>
        <v>#N/A</v>
      </c>
      <c r="H750" s="1318">
        <f>SUMIFS('Cash balance (Prior period)'!F:F,'Cash balance (Prior period)'!C:C,Table11[[#This Row],[ACCOUNT NUMBER]],'Cash balance (Prior period)'!E:E,Table11[[#This Row],[CURRENCY]])</f>
        <v>9932302350</v>
      </c>
      <c r="I750" s="1318">
        <f>SUMIFS(Movement!$F$4:$F$2136,Movement!$M$4:$M$2136,"VND",Movement!$C$4:$C$2136,Table11[[#This Row],[ACCOUNT NUMBER]],Movement!$J$4:$J$2136,Table11[[#This Row],[ENTITY]],Movement!$O$4:$O$2136,'Cash Balance'!$A$2)</f>
        <v>28312450798</v>
      </c>
      <c r="J750" s="1318">
        <f>SUMIFS(Movement!$G$4:$G$2136,Movement!$M$4:$M$2136,"VND",Movement!$C$4:$C$2136,Table11[[#This Row],[ACCOUNT NUMBER]],Movement!$J$4:$J$2136,Table11[[#This Row],[ENTITY]],Movement!$O$4:$O$2136,'Cash Balance'!$A$2)</f>
        <v>5468503760</v>
      </c>
      <c r="K750" s="1084">
        <f>Table11[[#This Row],[CASH IN - CREDIT (VND)]]-Table11[[#This Row],[CASH OUT - DEBIT (VND)]]</f>
        <v>22843947038</v>
      </c>
      <c r="L750" s="1095">
        <f t="shared" si="75"/>
        <v>32776249388</v>
      </c>
      <c r="M750" s="1184" t="e">
        <f>VLOOKUP(C750,'Cash balance (BS)'!A:D,4,)</f>
        <v>#N/A</v>
      </c>
      <c r="N750" s="1095" t="e">
        <f>Table11[[#This Row],[CLOSING BALANCE (VND)2]]-Table11[[#This Row],[CB_BS (VND)]]</f>
        <v>#N/A</v>
      </c>
      <c r="O750" s="1094">
        <v>0</v>
      </c>
      <c r="P750" s="1095">
        <f t="shared" si="76"/>
        <v>0</v>
      </c>
      <c r="Q750" s="817">
        <f>SUMIFS('Cash balance (Prior period)'!G:G,'Cash balance (Prior period)'!C:C,Table11[[#This Row],[ACCOUNT NUMBER]],'Cash balance (Prior period)'!E:E,Table11[[#This Row],[CURRENCY]])</f>
        <v>0</v>
      </c>
      <c r="R750" s="817">
        <f>SUMIFS(Movement!$F$4:$F$2136,Movement!$M$4:$M$2136,"USD",Movement!$C$4:$C$2136,Table11[[#This Row],[ACCOUNT NUMBER]],Movement!$J$4:$J$2136,Table11[[#This Row],[ENTITY]],Movement!$O$4:$O$2136,'Cash Balance'!$A$2)</f>
        <v>0</v>
      </c>
      <c r="S750" s="817">
        <f>SUMIFS(Movement!$G$4:$G$2136,Movement!$M$4:$M$2136,"USD",Movement!$C$4:$C$2136,Table11[[#This Row],[ACCOUNT NUMBER]],Movement!$J$4:$J$2136,Table11[[#This Row],[ENTITY]],Movement!$O$4:$O$2136,'Cash Balance'!$A$2)</f>
        <v>0</v>
      </c>
      <c r="T750" s="1087">
        <f t="shared" si="77"/>
        <v>0</v>
      </c>
      <c r="U750" s="1090"/>
      <c r="V750" s="1091">
        <f>Table11[[#This Row],[CLOSING BALANCE (USD)]]-Table11[[#This Row],[CB_BS (USD)]]</f>
        <v>0</v>
      </c>
      <c r="W750" s="1156" t="str">
        <f>VLOOKUP('Cash Balance'!$C750,Table2[#All],MATCH('Cash Balance'!W$3,Acc_Char!$B$1:$I$1,0),0)</f>
        <v>Subsidiaries</v>
      </c>
      <c r="X750" s="1156" t="str">
        <f>VLOOKUP(IFERROR(MID($Y750,1,FIND("-",$Y750)-2),$Y750),Table3[#All],2,0)</f>
        <v>Others</v>
      </c>
      <c r="Y750" s="1156" t="str">
        <f>VLOOKUP($B750,Table4[#All],2,0)</f>
        <v>OTHERS</v>
      </c>
      <c r="Z750" s="1151"/>
      <c r="AA750" s="49"/>
    </row>
    <row r="751" spans="1:27">
      <c r="A751" s="1153" t="str">
        <f>VLOOKUP('Cash Balance'!$C751,Table2[#All],MATCH('Cash Balance'!A$3,Acc_Char!$B$1:$I$1,0),0)</f>
        <v>BW MY PHUOC 3</v>
      </c>
      <c r="B751" s="1154" t="str">
        <f>VLOOKUP('Cash Balance'!$C751,Table2[#All],MATCH('Cash Balance'!B$3,Acc_Char!$B$1:$I$1,0),0)</f>
        <v>Woori Bank</v>
      </c>
      <c r="C751" s="1197" t="s">
        <v>1365</v>
      </c>
      <c r="D751" s="1156" t="str">
        <f>VLOOKUP('Cash Balance'!$C751,Table2[#All],MATCH('Cash Balance'!D$3,Acc_Char!$B$1:$I$1,0),0)</f>
        <v>Current Account</v>
      </c>
      <c r="E751" s="384" t="str">
        <f>VLOOKUP('Cash Balance'!$C751,Table2[#All],MATCH('Cash Balance'!E$3,Acc_Char!$B$1:$I$1,0),0)</f>
        <v>VND</v>
      </c>
      <c r="F751" s="1084" t="e">
        <f>VLOOKUP(C751,'Cash balance (BS)'!A:C,3,)</f>
        <v>#N/A</v>
      </c>
      <c r="G751" s="1191" t="e">
        <f t="shared" si="81"/>
        <v>#N/A</v>
      </c>
      <c r="H751" s="1318">
        <f>SUMIFS('Cash balance (Prior period)'!F:F,'Cash balance (Prior period)'!C:C,Table11[[#This Row],[ACCOUNT NUMBER]],'Cash balance (Prior period)'!E:E,Table11[[#This Row],[CURRENCY]])</f>
        <v>2095642230</v>
      </c>
      <c r="I751" s="1318">
        <f>SUMIFS(Movement!$F$4:$F$2136,Movement!$M$4:$M$2136,"VND",Movement!$C$4:$C$2136,Table11[[#This Row],[ACCOUNT NUMBER]],Movement!$J$4:$J$2136,Table11[[#This Row],[ENTITY]],Movement!$O$4:$O$2136,'Cash Balance'!$A$2)</f>
        <v>0</v>
      </c>
      <c r="J751" s="1318">
        <f>SUMIFS(Movement!$G$4:$G$2136,Movement!$M$4:$M$2136,"VND",Movement!$C$4:$C$2136,Table11[[#This Row],[ACCOUNT NUMBER]],Movement!$J$4:$J$2136,Table11[[#This Row],[ENTITY]],Movement!$O$4:$O$2136,'Cash Balance'!$A$2)</f>
        <v>1900446498</v>
      </c>
      <c r="K751" s="1084">
        <f>Table11[[#This Row],[CASH IN - CREDIT (VND)]]-Table11[[#This Row],[CASH OUT - DEBIT (VND)]]</f>
        <v>-1900446498</v>
      </c>
      <c r="L751" s="1095">
        <f t="shared" si="75"/>
        <v>195195732</v>
      </c>
      <c r="M751" s="1184" t="e">
        <f>VLOOKUP(C751,'Cash balance (BS)'!A:D,4,)</f>
        <v>#N/A</v>
      </c>
      <c r="N751" s="1095" t="e">
        <f>Table11[[#This Row],[CLOSING BALANCE (VND)2]]-Table11[[#This Row],[CB_BS (VND)]]</f>
        <v>#N/A</v>
      </c>
      <c r="O751" s="1094">
        <v>0</v>
      </c>
      <c r="P751" s="1095">
        <f t="shared" si="76"/>
        <v>0</v>
      </c>
      <c r="Q751" s="817">
        <f>SUMIFS('Cash balance (Prior period)'!G:G,'Cash balance (Prior period)'!C:C,Table11[[#This Row],[ACCOUNT NUMBER]],'Cash balance (Prior period)'!E:E,Table11[[#This Row],[CURRENCY]])</f>
        <v>0</v>
      </c>
      <c r="R751" s="817">
        <f>SUMIFS(Movement!$F$4:$F$2136,Movement!$M$4:$M$2136,"USD",Movement!$C$4:$C$2136,Table11[[#This Row],[ACCOUNT NUMBER]],Movement!$J$4:$J$2136,Table11[[#This Row],[ENTITY]],Movement!$O$4:$O$2136,'Cash Balance'!$A$2)</f>
        <v>0</v>
      </c>
      <c r="S751" s="817">
        <f>SUMIFS(Movement!$G$4:$G$2136,Movement!$M$4:$M$2136,"USD",Movement!$C$4:$C$2136,Table11[[#This Row],[ACCOUNT NUMBER]],Movement!$J$4:$J$2136,Table11[[#This Row],[ENTITY]],Movement!$O$4:$O$2136,'Cash Balance'!$A$2)</f>
        <v>0</v>
      </c>
      <c r="T751" s="1087">
        <f t="shared" si="77"/>
        <v>0</v>
      </c>
      <c r="U751" s="1090"/>
      <c r="V751" s="1091">
        <f>Table11[[#This Row],[CLOSING BALANCE (USD)]]-Table11[[#This Row],[CB_BS (USD)]]</f>
        <v>0</v>
      </c>
      <c r="W751" s="1156" t="str">
        <f>VLOOKUP('Cash Balance'!$C751,Table2[#All],MATCH('Cash Balance'!W$3,Acc_Char!$B$1:$I$1,0),0)</f>
        <v>Subsidiaries</v>
      </c>
      <c r="X751" s="1156" t="str">
        <f>VLOOKUP(IFERROR(MID($Y751,1,FIND("-",$Y751)-2),$Y751),Table3[#All],2,0)</f>
        <v>Others</v>
      </c>
      <c r="Y751" s="1156" t="str">
        <f>VLOOKUP($B751,Table4[#All],2,0)</f>
        <v>OTHERS</v>
      </c>
      <c r="Z751" s="1151"/>
      <c r="AA751" s="49"/>
    </row>
    <row r="752" spans="1:27">
      <c r="A752" s="1153" t="str">
        <f>VLOOKUP('Cash Balance'!$C752,Table2[#All],MATCH('Cash Balance'!A$3,Acc_Char!$B$1:$I$1,0),0)</f>
        <v>BW MY PHUOC 3</v>
      </c>
      <c r="B752" s="1154" t="str">
        <f>VLOOKUP('Cash Balance'!$C752,Table2[#All],MATCH('Cash Balance'!B$3,Acc_Char!$B$1:$I$1,0),0)</f>
        <v>Woori Bank</v>
      </c>
      <c r="C752" s="1198" t="s">
        <v>1366</v>
      </c>
      <c r="D752" s="1156" t="str">
        <f>VLOOKUP('Cash Balance'!$C752,Table2[#All],MATCH('Cash Balance'!D$3,Acc_Char!$B$1:$I$1,0),0)</f>
        <v>Current Account</v>
      </c>
      <c r="E752" s="384" t="str">
        <f>VLOOKUP('Cash Balance'!$C752,Table2[#All],MATCH('Cash Balance'!E$3,Acc_Char!$B$1:$I$1,0),0)</f>
        <v>VND</v>
      </c>
      <c r="F752" s="1084" t="e">
        <f>VLOOKUP(C752,'Cash balance (BS)'!A:C,3,)</f>
        <v>#N/A</v>
      </c>
      <c r="G752" s="1191" t="e">
        <f t="shared" si="81"/>
        <v>#N/A</v>
      </c>
      <c r="H752" s="1318">
        <f>SUMIFS('Cash balance (Prior period)'!F:F,'Cash balance (Prior period)'!C:C,Table11[[#This Row],[ACCOUNT NUMBER]],'Cash balance (Prior period)'!E:E,Table11[[#This Row],[CURRENCY]])</f>
        <v>163030</v>
      </c>
      <c r="I752" s="1318">
        <f>SUMIFS(Movement!$F$4:$F$2136,Movement!$M$4:$M$2136,"VND",Movement!$C$4:$C$2136,Table11[[#This Row],[ACCOUNT NUMBER]],Movement!$J$4:$J$2136,Table11[[#This Row],[ENTITY]],Movement!$O$4:$O$2136,'Cash Balance'!$A$2)</f>
        <v>6</v>
      </c>
      <c r="J752" s="1318">
        <f>SUMIFS(Movement!$G$4:$G$2136,Movement!$M$4:$M$2136,"VND",Movement!$C$4:$C$2136,Table11[[#This Row],[ACCOUNT NUMBER]],Movement!$J$4:$J$2136,Table11[[#This Row],[ENTITY]],Movement!$O$4:$O$2136,'Cash Balance'!$A$2)</f>
        <v>0</v>
      </c>
      <c r="K752" s="1084">
        <f>Table11[[#This Row],[CASH IN - CREDIT (VND)]]-Table11[[#This Row],[CASH OUT - DEBIT (VND)]]</f>
        <v>6</v>
      </c>
      <c r="L752" s="1095">
        <f t="shared" si="75"/>
        <v>163036</v>
      </c>
      <c r="M752" s="1184" t="e">
        <f>VLOOKUP(C752,'Cash balance (BS)'!A:D,4,)</f>
        <v>#N/A</v>
      </c>
      <c r="N752" s="1095" t="e">
        <f>Table11[[#This Row],[CLOSING BALANCE (VND)2]]-Table11[[#This Row],[CB_BS (VND)]]</f>
        <v>#N/A</v>
      </c>
      <c r="O752" s="1094">
        <v>0</v>
      </c>
      <c r="P752" s="1095">
        <f t="shared" si="76"/>
        <v>0</v>
      </c>
      <c r="Q752" s="817">
        <f>SUMIFS('Cash balance (Prior period)'!G:G,'Cash balance (Prior period)'!C:C,Table11[[#This Row],[ACCOUNT NUMBER]],'Cash balance (Prior period)'!E:E,Table11[[#This Row],[CURRENCY]])</f>
        <v>0</v>
      </c>
      <c r="R752" s="817">
        <f>SUMIFS(Movement!$F$4:$F$2136,Movement!$M$4:$M$2136,"USD",Movement!$C$4:$C$2136,Table11[[#This Row],[ACCOUNT NUMBER]],Movement!$J$4:$J$2136,Table11[[#This Row],[ENTITY]],Movement!$O$4:$O$2136,'Cash Balance'!$A$2)</f>
        <v>0</v>
      </c>
      <c r="S752" s="817">
        <f>SUMIFS(Movement!$G$4:$G$2136,Movement!$M$4:$M$2136,"USD",Movement!$C$4:$C$2136,Table11[[#This Row],[ACCOUNT NUMBER]],Movement!$J$4:$J$2136,Table11[[#This Row],[ENTITY]],Movement!$O$4:$O$2136,'Cash Balance'!$A$2)</f>
        <v>0</v>
      </c>
      <c r="T752" s="1087">
        <f t="shared" si="77"/>
        <v>0</v>
      </c>
      <c r="U752" s="1090"/>
      <c r="V752" s="1091">
        <f>Table11[[#This Row],[CLOSING BALANCE (USD)]]-Table11[[#This Row],[CB_BS (USD)]]</f>
        <v>0</v>
      </c>
      <c r="W752" s="1156" t="str">
        <f>VLOOKUP('Cash Balance'!$C752,Table2[#All],MATCH('Cash Balance'!W$3,Acc_Char!$B$1:$I$1,0),0)</f>
        <v>Subsidiaries</v>
      </c>
      <c r="X752" s="1156" t="str">
        <f>VLOOKUP(IFERROR(MID($Y752,1,FIND("-",$Y752)-2),$Y752),Table3[#All],2,0)</f>
        <v>Others</v>
      </c>
      <c r="Y752" s="1156" t="str">
        <f>VLOOKUP($B752,Table4[#All],2,0)</f>
        <v>OTHERS</v>
      </c>
      <c r="Z752" s="1151"/>
      <c r="AA752" s="49"/>
    </row>
    <row r="753" spans="1:27">
      <c r="A753" s="1153" t="str">
        <f>VLOOKUP('Cash Balance'!$C753,Table2[#All],MATCH('Cash Balance'!A$3,Acc_Char!$B$1:$I$1,0),0)</f>
        <v>BW MY PHUOC 3</v>
      </c>
      <c r="B753" s="1154" t="str">
        <f>VLOOKUP('Cash Balance'!$C753,Table2[#All],MATCH('Cash Balance'!B$3,Acc_Char!$B$1:$I$1,0),0)</f>
        <v>Woori Bank</v>
      </c>
      <c r="C753" s="1197" t="s">
        <v>1367</v>
      </c>
      <c r="D753" s="1156" t="str">
        <f>VLOOKUP('Cash Balance'!$C753,Table2[#All],MATCH('Cash Balance'!D$3,Acc_Char!$B$1:$I$1,0),0)</f>
        <v>Current Account</v>
      </c>
      <c r="E753" s="384" t="str">
        <f>VLOOKUP('Cash Balance'!$C753,Table2[#All],MATCH('Cash Balance'!E$3,Acc_Char!$B$1:$I$1,0),0)</f>
        <v>VND</v>
      </c>
      <c r="F753" s="1084" t="e">
        <f>VLOOKUP(C753,'Cash balance (BS)'!A:C,3,)</f>
        <v>#N/A</v>
      </c>
      <c r="G753" s="1191" t="e">
        <f t="shared" si="81"/>
        <v>#N/A</v>
      </c>
      <c r="H753" s="1318">
        <f>SUMIFS('Cash balance (Prior period)'!F:F,'Cash balance (Prior period)'!C:C,Table11[[#This Row],[ACCOUNT NUMBER]],'Cash balance (Prior period)'!E:E,Table11[[#This Row],[CURRENCY]])</f>
        <v>473783680</v>
      </c>
      <c r="I753" s="1318">
        <f>SUMIFS(Movement!$F$4:$F$2136,Movement!$M$4:$M$2136,"VND",Movement!$C$4:$C$2136,Table11[[#This Row],[ACCOUNT NUMBER]],Movement!$J$4:$J$2136,Table11[[#This Row],[ENTITY]],Movement!$O$4:$O$2136,'Cash Balance'!$A$2)</f>
        <v>0</v>
      </c>
      <c r="J753" s="1318">
        <f>SUMIFS(Movement!$G$4:$G$2136,Movement!$M$4:$M$2136,"VND",Movement!$C$4:$C$2136,Table11[[#This Row],[ACCOUNT NUMBER]],Movement!$J$4:$J$2136,Table11[[#This Row],[ENTITY]],Movement!$O$4:$O$2136,'Cash Balance'!$A$2)</f>
        <v>0</v>
      </c>
      <c r="K753" s="1084">
        <f>Table11[[#This Row],[CASH IN - CREDIT (VND)]]-Table11[[#This Row],[CASH OUT - DEBIT (VND)]]</f>
        <v>0</v>
      </c>
      <c r="L753" s="1095">
        <f t="shared" si="75"/>
        <v>473783680</v>
      </c>
      <c r="M753" s="1184" t="e">
        <f>VLOOKUP(C753,'Cash balance (BS)'!A:D,4,)</f>
        <v>#N/A</v>
      </c>
      <c r="N753" s="1095" t="e">
        <f>Table11[[#This Row],[CLOSING BALANCE (VND)2]]-Table11[[#This Row],[CB_BS (VND)]]</f>
        <v>#N/A</v>
      </c>
      <c r="O753" s="1094">
        <v>0</v>
      </c>
      <c r="P753" s="1095">
        <f t="shared" si="76"/>
        <v>0</v>
      </c>
      <c r="Q753" s="817">
        <f>SUMIFS('Cash balance (Prior period)'!G:G,'Cash balance (Prior period)'!C:C,Table11[[#This Row],[ACCOUNT NUMBER]],'Cash balance (Prior period)'!E:E,Table11[[#This Row],[CURRENCY]])</f>
        <v>0</v>
      </c>
      <c r="R753" s="817">
        <f>SUMIFS(Movement!$F$4:$F$2136,Movement!$M$4:$M$2136,"USD",Movement!$C$4:$C$2136,Table11[[#This Row],[ACCOUNT NUMBER]],Movement!$J$4:$J$2136,Table11[[#This Row],[ENTITY]],Movement!$O$4:$O$2136,'Cash Balance'!$A$2)</f>
        <v>0</v>
      </c>
      <c r="S753" s="817">
        <f>SUMIFS(Movement!$G$4:$G$2136,Movement!$M$4:$M$2136,"USD",Movement!$C$4:$C$2136,Table11[[#This Row],[ACCOUNT NUMBER]],Movement!$J$4:$J$2136,Table11[[#This Row],[ENTITY]],Movement!$O$4:$O$2136,'Cash Balance'!$A$2)</f>
        <v>0</v>
      </c>
      <c r="T753" s="1087">
        <f t="shared" si="77"/>
        <v>0</v>
      </c>
      <c r="U753" s="1090"/>
      <c r="V753" s="1091">
        <f>Table11[[#This Row],[CLOSING BALANCE (USD)]]-Table11[[#This Row],[CB_BS (USD)]]</f>
        <v>0</v>
      </c>
      <c r="W753" s="1156" t="str">
        <f>VLOOKUP('Cash Balance'!$C753,Table2[#All],MATCH('Cash Balance'!W$3,Acc_Char!$B$1:$I$1,0),0)</f>
        <v>Subsidiaries</v>
      </c>
      <c r="X753" s="1156" t="str">
        <f>VLOOKUP(IFERROR(MID($Y753,1,FIND("-",$Y753)-2),$Y753),Table3[#All],2,0)</f>
        <v>Others</v>
      </c>
      <c r="Y753" s="1156" t="str">
        <f>VLOOKUP($B753,Table4[#All],2,0)</f>
        <v>OTHERS</v>
      </c>
      <c r="Z753" s="1151"/>
      <c r="AA753" s="49"/>
    </row>
    <row r="754" spans="1:27">
      <c r="A754" s="1153" t="str">
        <f>VLOOKUP('Cash Balance'!$C754,Table2[#All],MATCH('Cash Balance'!A$3,Acc_Char!$B$1:$I$1,0),0)</f>
        <v>BW MY PHUOC 3</v>
      </c>
      <c r="B754" s="1154" t="str">
        <f>VLOOKUP('Cash Balance'!$C754,Table2[#All],MATCH('Cash Balance'!B$3,Acc_Char!$B$1:$I$1,0),0)</f>
        <v>Woori Bank</v>
      </c>
      <c r="C754" s="1197" t="s">
        <v>1368</v>
      </c>
      <c r="D754" s="1156" t="str">
        <f>VLOOKUP('Cash Balance'!$C754,Table2[#All],MATCH('Cash Balance'!D$3,Acc_Char!$B$1:$I$1,0),0)</f>
        <v>Saving Account</v>
      </c>
      <c r="E754" s="384" t="str">
        <f>VLOOKUP('Cash Balance'!$C754,Table2[#All],MATCH('Cash Balance'!E$3,Acc_Char!$B$1:$I$1,0),0)</f>
        <v>VND</v>
      </c>
      <c r="F754" s="1084" t="e">
        <f>VLOOKUP(C754,'Cash balance (BS)'!A:C,3,)</f>
        <v>#N/A</v>
      </c>
      <c r="G754" s="1191" t="e">
        <f t="shared" si="81"/>
        <v>#N/A</v>
      </c>
      <c r="H754" s="1318">
        <f>SUMIFS('Cash balance (Prior period)'!F:F,'Cash balance (Prior period)'!C:C,Table11[[#This Row],[ACCOUNT NUMBER]],'Cash balance (Prior period)'!E:E,Table11[[#This Row],[CURRENCY]])</f>
        <v>0</v>
      </c>
      <c r="I754" s="1318">
        <f>SUMIFS(Movement!$F$4:$F$2136,Movement!$M$4:$M$2136,"VND",Movement!$C$4:$C$2136,Table11[[#This Row],[ACCOUNT NUMBER]],Movement!$J$4:$J$2136,Table11[[#This Row],[ENTITY]],Movement!$O$4:$O$2136,'Cash Balance'!$A$2)</f>
        <v>0</v>
      </c>
      <c r="J754" s="1318">
        <f>SUMIFS(Movement!$G$4:$G$2136,Movement!$M$4:$M$2136,"VND",Movement!$C$4:$C$2136,Table11[[#This Row],[ACCOUNT NUMBER]],Movement!$J$4:$J$2136,Table11[[#This Row],[ENTITY]],Movement!$O$4:$O$2136,'Cash Balance'!$A$2)</f>
        <v>0</v>
      </c>
      <c r="K754" s="1084">
        <f>Table11[[#This Row],[CASH IN - CREDIT (VND)]]-Table11[[#This Row],[CASH OUT - DEBIT (VND)]]</f>
        <v>0</v>
      </c>
      <c r="L754" s="1095">
        <f t="shared" si="75"/>
        <v>0</v>
      </c>
      <c r="M754" s="1184" t="e">
        <f>VLOOKUP(C754,'Cash balance (BS)'!A:D,4,)</f>
        <v>#N/A</v>
      </c>
      <c r="N754" s="1095" t="e">
        <f>Table11[[#This Row],[CLOSING BALANCE (VND)2]]-Table11[[#This Row],[CB_BS (VND)]]</f>
        <v>#N/A</v>
      </c>
      <c r="O754" s="1094">
        <v>0</v>
      </c>
      <c r="P754" s="1095">
        <f t="shared" si="76"/>
        <v>0</v>
      </c>
      <c r="Q754" s="817">
        <f>SUMIFS('Cash balance (Prior period)'!G:G,'Cash balance (Prior period)'!C:C,Table11[[#This Row],[ACCOUNT NUMBER]],'Cash balance (Prior period)'!E:E,Table11[[#This Row],[CURRENCY]])</f>
        <v>0</v>
      </c>
      <c r="R754" s="817">
        <f>SUMIFS(Movement!$F$4:$F$2136,Movement!$M$4:$M$2136,"USD",Movement!$C$4:$C$2136,Table11[[#This Row],[ACCOUNT NUMBER]],Movement!$J$4:$J$2136,Table11[[#This Row],[ENTITY]],Movement!$O$4:$O$2136,'Cash Balance'!$A$2)</f>
        <v>0</v>
      </c>
      <c r="S754" s="817">
        <f>SUMIFS(Movement!$G$4:$G$2136,Movement!$M$4:$M$2136,"USD",Movement!$C$4:$C$2136,Table11[[#This Row],[ACCOUNT NUMBER]],Movement!$J$4:$J$2136,Table11[[#This Row],[ENTITY]],Movement!$O$4:$O$2136,'Cash Balance'!$A$2)</f>
        <v>0</v>
      </c>
      <c r="T754" s="1087">
        <f t="shared" si="77"/>
        <v>0</v>
      </c>
      <c r="U754" s="1090"/>
      <c r="V754" s="1091">
        <f>Table11[[#This Row],[CLOSING BALANCE (USD)]]-Table11[[#This Row],[CB_BS (USD)]]</f>
        <v>0</v>
      </c>
      <c r="W754" s="1156" t="str">
        <f>VLOOKUP('Cash Balance'!$C754,Table2[#All],MATCH('Cash Balance'!W$3,Acc_Char!$B$1:$I$1,0),0)</f>
        <v>Subsidiaries</v>
      </c>
      <c r="X754" s="1156" t="str">
        <f>VLOOKUP(IFERROR(MID($Y754,1,FIND("-",$Y754)-2),$Y754),Table3[#All],2,0)</f>
        <v>Others</v>
      </c>
      <c r="Y754" s="1156" t="str">
        <f>VLOOKUP($B754,Table4[#All],2,0)</f>
        <v>OTHERS</v>
      </c>
      <c r="Z754" s="1151"/>
      <c r="AA754" s="49"/>
    </row>
    <row r="755" spans="1:27">
      <c r="A755" s="1153" t="str">
        <f>VLOOKUP('Cash Balance'!$C755,Table2[#All],MATCH('Cash Balance'!A$3,Acc_Char!$B$1:$I$1,0),0)</f>
        <v>BW MY PHUOC 3</v>
      </c>
      <c r="B755" s="1154" t="str">
        <f>VLOOKUP('Cash Balance'!$C755,Table2[#All],MATCH('Cash Balance'!B$3,Acc_Char!$B$1:$I$1,0),0)</f>
        <v>Woori Bank</v>
      </c>
      <c r="C755" s="1195" t="s">
        <v>1369</v>
      </c>
      <c r="D755" s="1156" t="str">
        <f>VLOOKUP('Cash Balance'!$C755,Table2[#All],MATCH('Cash Balance'!D$3,Acc_Char!$B$1:$I$1,0),0)</f>
        <v>Saving Account</v>
      </c>
      <c r="E755" s="384" t="str">
        <f>VLOOKUP('Cash Balance'!$C755,Table2[#All],MATCH('Cash Balance'!E$3,Acc_Char!$B$1:$I$1,0),0)</f>
        <v>VND</v>
      </c>
      <c r="F755" s="1084" t="e">
        <f>VLOOKUP(C755,'Cash balance (BS)'!A:C,3,)</f>
        <v>#N/A</v>
      </c>
      <c r="G755" s="1191" t="e">
        <f t="shared" si="81"/>
        <v>#N/A</v>
      </c>
      <c r="H755" s="1318">
        <f>SUMIFS('Cash balance (Prior period)'!F:F,'Cash balance (Prior period)'!C:C,Table11[[#This Row],[ACCOUNT NUMBER]],'Cash balance (Prior period)'!E:E,Table11[[#This Row],[CURRENCY]])</f>
        <v>17000000000</v>
      </c>
      <c r="I755" s="1318">
        <f>SUMIFS(Movement!$F$4:$F$2136,Movement!$M$4:$M$2136,"VND",Movement!$C$4:$C$2136,Table11[[#This Row],[ACCOUNT NUMBER]],Movement!$J$4:$J$2136,Table11[[#This Row],[ENTITY]],Movement!$O$4:$O$2136,'Cash Balance'!$A$2)</f>
        <v>0</v>
      </c>
      <c r="J755" s="1318">
        <f>SUMIFS(Movement!$G$4:$G$2136,Movement!$M$4:$M$2136,"VND",Movement!$C$4:$C$2136,Table11[[#This Row],[ACCOUNT NUMBER]],Movement!$J$4:$J$2136,Table11[[#This Row],[ENTITY]],Movement!$O$4:$O$2136,'Cash Balance'!$A$2)</f>
        <v>0</v>
      </c>
      <c r="K755" s="1084">
        <f>Table11[[#This Row],[CASH IN - CREDIT (VND)]]-Table11[[#This Row],[CASH OUT - DEBIT (VND)]]</f>
        <v>0</v>
      </c>
      <c r="L755" s="1095">
        <f t="shared" si="75"/>
        <v>17000000000</v>
      </c>
      <c r="M755" s="1184" t="e">
        <f>VLOOKUP(C755,'Cash balance (BS)'!A:D,4,)</f>
        <v>#N/A</v>
      </c>
      <c r="N755" s="1095" t="e">
        <f>Table11[[#This Row],[CLOSING BALANCE (VND)2]]-Table11[[#This Row],[CB_BS (VND)]]</f>
        <v>#N/A</v>
      </c>
      <c r="O755" s="1094">
        <v>0</v>
      </c>
      <c r="P755" s="1095">
        <f t="shared" si="76"/>
        <v>0</v>
      </c>
      <c r="Q755" s="817">
        <f>SUMIFS('Cash balance (Prior period)'!G:G,'Cash balance (Prior period)'!C:C,Table11[[#This Row],[ACCOUNT NUMBER]],'Cash balance (Prior period)'!E:E,Table11[[#This Row],[CURRENCY]])</f>
        <v>0</v>
      </c>
      <c r="R755" s="817">
        <f>SUMIFS(Movement!$F$4:$F$2136,Movement!$M$4:$M$2136,"USD",Movement!$C$4:$C$2136,Table11[[#This Row],[ACCOUNT NUMBER]],Movement!$J$4:$J$2136,Table11[[#This Row],[ENTITY]],Movement!$O$4:$O$2136,'Cash Balance'!$A$2)</f>
        <v>0</v>
      </c>
      <c r="S755" s="817">
        <f>SUMIFS(Movement!$G$4:$G$2136,Movement!$M$4:$M$2136,"USD",Movement!$C$4:$C$2136,Table11[[#This Row],[ACCOUNT NUMBER]],Movement!$J$4:$J$2136,Table11[[#This Row],[ENTITY]],Movement!$O$4:$O$2136,'Cash Balance'!$A$2)</f>
        <v>0</v>
      </c>
      <c r="T755" s="1087">
        <f t="shared" si="77"/>
        <v>0</v>
      </c>
      <c r="U755" s="1090"/>
      <c r="V755" s="1091">
        <f>Table11[[#This Row],[CLOSING BALANCE (USD)]]-Table11[[#This Row],[CB_BS (USD)]]</f>
        <v>0</v>
      </c>
      <c r="W755" s="1156" t="str">
        <f>VLOOKUP('Cash Balance'!$C755,Table2[#All],MATCH('Cash Balance'!W$3,Acc_Char!$B$1:$I$1,0),0)</f>
        <v>Subsidiaries</v>
      </c>
      <c r="X755" s="1156" t="str">
        <f>VLOOKUP(IFERROR(MID($Y755,1,FIND("-",$Y755)-2),$Y755),Table3[#All],2,0)</f>
        <v>Others</v>
      </c>
      <c r="Y755" s="1156" t="str">
        <f>VLOOKUP($B755,Table4[#All],2,0)</f>
        <v>OTHERS</v>
      </c>
      <c r="Z755" s="1151"/>
      <c r="AA755" s="49"/>
    </row>
    <row r="756" spans="1:27">
      <c r="A756" s="1153" t="str">
        <f>VLOOKUP('Cash Balance'!$C756,Table2[#All],MATCH('Cash Balance'!A$3,Acc_Char!$B$1:$I$1,0),0)</f>
        <v>THUAN THANH 3B</v>
      </c>
      <c r="B756" s="1154" t="str">
        <f>VLOOKUP('Cash Balance'!$C756,Table2[#All],MATCH('Cash Balance'!B$3,Acc_Char!$B$1:$I$1,0),0)</f>
        <v>VIETCOMBANK - BA DINH</v>
      </c>
      <c r="C756" s="1193" t="s">
        <v>1370</v>
      </c>
      <c r="D756" s="1156" t="str">
        <f>VLOOKUP('Cash Balance'!$C756,Table2[#All],MATCH('Cash Balance'!D$3,Acc_Char!$B$1:$I$1,0),0)</f>
        <v>Saving Account</v>
      </c>
      <c r="E756" s="384" t="str">
        <f>VLOOKUP('Cash Balance'!$C756,Table2[#All],MATCH('Cash Balance'!E$3,Acc_Char!$B$1:$I$1,0),0)</f>
        <v>VND</v>
      </c>
      <c r="F756" s="1084" t="e">
        <f>VLOOKUP(C756,'Cash balance (BS)'!A:C,3,)</f>
        <v>#N/A</v>
      </c>
      <c r="G756" s="1191" t="e">
        <f t="shared" ref="G756:G759" si="82">F756-H756</f>
        <v>#N/A</v>
      </c>
      <c r="H756" s="1318">
        <f>SUMIFS('Cash balance (Prior period)'!F:F,'Cash balance (Prior period)'!C:C,Table11[[#This Row],[ACCOUNT NUMBER]],'Cash balance (Prior period)'!E:E,Table11[[#This Row],[CURRENCY]])</f>
        <v>6000000000</v>
      </c>
      <c r="I756" s="1318">
        <f>SUMIFS(Movement!$F$4:$F$2136,Movement!$M$4:$M$2136,"VND",Movement!$C$4:$C$2136,Table11[[#This Row],[ACCOUNT NUMBER]],Movement!$J$4:$J$2136,Table11[[#This Row],[ENTITY]],Movement!$O$4:$O$2136,'Cash Balance'!$A$2)</f>
        <v>0</v>
      </c>
      <c r="J756" s="1318">
        <f>SUMIFS(Movement!$G$4:$G$2136,Movement!$M$4:$M$2136,"VND",Movement!$C$4:$C$2136,Table11[[#This Row],[ACCOUNT NUMBER]],Movement!$J$4:$J$2136,Table11[[#This Row],[ENTITY]],Movement!$O$4:$O$2136,'Cash Balance'!$A$2)</f>
        <v>0</v>
      </c>
      <c r="K756" s="1084">
        <f>Table11[[#This Row],[CASH IN - CREDIT (VND)]]-Table11[[#This Row],[CASH OUT - DEBIT (VND)]]</f>
        <v>0</v>
      </c>
      <c r="L756" s="1095">
        <f t="shared" si="75"/>
        <v>6000000000</v>
      </c>
      <c r="M756" s="1184" t="e">
        <f>VLOOKUP(C756,'Cash balance (BS)'!A:D,4,)</f>
        <v>#N/A</v>
      </c>
      <c r="N756" s="1095" t="e">
        <f>Table11[[#This Row],[CLOSING BALANCE (VND)2]]-Table11[[#This Row],[CB_BS (VND)]]</f>
        <v>#N/A</v>
      </c>
      <c r="O756" s="1094">
        <v>0</v>
      </c>
      <c r="P756" s="1095">
        <f t="shared" si="76"/>
        <v>0</v>
      </c>
      <c r="Q756" s="817">
        <f>SUMIFS('Cash balance (Prior period)'!G:G,'Cash balance (Prior period)'!C:C,Table11[[#This Row],[ACCOUNT NUMBER]],'Cash balance (Prior period)'!E:E,Table11[[#This Row],[CURRENCY]])</f>
        <v>0</v>
      </c>
      <c r="R756" s="817">
        <f>SUMIFS(Movement!$F$4:$F$2136,Movement!$M$4:$M$2136,"USD",Movement!$C$4:$C$2136,Table11[[#This Row],[ACCOUNT NUMBER]],Movement!$J$4:$J$2136,Table11[[#This Row],[ENTITY]],Movement!$O$4:$O$2136,'Cash Balance'!$A$2)</f>
        <v>0</v>
      </c>
      <c r="S756" s="817">
        <f>SUMIFS(Movement!$G$4:$G$2136,Movement!$M$4:$M$2136,"USD",Movement!$C$4:$C$2136,Table11[[#This Row],[ACCOUNT NUMBER]],Movement!$J$4:$J$2136,Table11[[#This Row],[ENTITY]],Movement!$O$4:$O$2136,'Cash Balance'!$A$2)</f>
        <v>0</v>
      </c>
      <c r="T756" s="1087">
        <f t="shared" si="77"/>
        <v>0</v>
      </c>
      <c r="U756" s="1090"/>
      <c r="V756" s="1091">
        <f>Table11[[#This Row],[CLOSING BALANCE (USD)]]-Table11[[#This Row],[CB_BS (USD)]]</f>
        <v>0</v>
      </c>
      <c r="W756" s="1156" t="str">
        <f>VLOOKUP('Cash Balance'!$C756,Table2[#All],MATCH('Cash Balance'!W$3,Acc_Char!$B$1:$I$1,0),0)</f>
        <v>Subsidiaries</v>
      </c>
      <c r="X756" s="1156" t="str">
        <f>VLOOKUP(IFERROR(MID($Y756,1,FIND("-",$Y756)-2),$Y756),Table3[#All],2,0)</f>
        <v>VCB</v>
      </c>
      <c r="Y756" s="1156" t="str">
        <f>VLOOKUP($B756,Table4[#All],2,0)</f>
        <v>VIETCOMBANK - BA DINH</v>
      </c>
      <c r="Z756" s="1151"/>
      <c r="AA756" s="49"/>
    </row>
    <row r="757" spans="1:27">
      <c r="A757" s="1153" t="str">
        <f>VLOOKUP('Cash Balance'!$C757,Table2[#All],MATCH('Cash Balance'!A$3,Acc_Char!$B$1:$I$1,0),0)</f>
        <v>BWID THOI HOA 2</v>
      </c>
      <c r="B757" s="1154" t="str">
        <f>VLOOKUP('Cash Balance'!$C757,Table2[#All],MATCH('Cash Balance'!B$3,Acc_Char!$B$1:$I$1,0),0)</f>
        <v>KBank - HCM</v>
      </c>
      <c r="C757" s="1193" t="s">
        <v>1371</v>
      </c>
      <c r="D757" s="1156" t="str">
        <f>VLOOKUP('Cash Balance'!$C757,Table2[#All],MATCH('Cash Balance'!D$3,Acc_Char!$B$1:$I$1,0),0)</f>
        <v>Saving Account</v>
      </c>
      <c r="E757" s="384" t="str">
        <f>VLOOKUP('Cash Balance'!$C757,Table2[#All],MATCH('Cash Balance'!E$3,Acc_Char!$B$1:$I$1,0),0)</f>
        <v>VND</v>
      </c>
      <c r="F757" s="1084" t="e">
        <f>VLOOKUP(C757,'Cash balance (BS)'!A:C,3,)</f>
        <v>#N/A</v>
      </c>
      <c r="G757" s="1191" t="e">
        <f t="shared" si="82"/>
        <v>#N/A</v>
      </c>
      <c r="H757" s="1318">
        <f>SUMIFS('Cash balance (Prior period)'!F:F,'Cash balance (Prior period)'!C:C,Table11[[#This Row],[ACCOUNT NUMBER]],'Cash balance (Prior period)'!E:E,Table11[[#This Row],[CURRENCY]])</f>
        <v>12000000000</v>
      </c>
      <c r="I757" s="1318">
        <f>SUMIFS(Movement!$F$4:$F$2136,Movement!$M$4:$M$2136,"VND",Movement!$C$4:$C$2136,Table11[[#This Row],[ACCOUNT NUMBER]],Movement!$J$4:$J$2136,Table11[[#This Row],[ENTITY]],Movement!$O$4:$O$2136,'Cash Balance'!$A$2)</f>
        <v>0</v>
      </c>
      <c r="J757" s="1318">
        <f>SUMIFS(Movement!$G$4:$G$2136,Movement!$M$4:$M$2136,"VND",Movement!$C$4:$C$2136,Table11[[#This Row],[ACCOUNT NUMBER]],Movement!$J$4:$J$2136,Table11[[#This Row],[ENTITY]],Movement!$O$4:$O$2136,'Cash Balance'!$A$2)</f>
        <v>0</v>
      </c>
      <c r="K757" s="1084">
        <f>Table11[[#This Row],[CASH IN - CREDIT (VND)]]-Table11[[#This Row],[CASH OUT - DEBIT (VND)]]</f>
        <v>0</v>
      </c>
      <c r="L757" s="1095">
        <f t="shared" si="75"/>
        <v>12000000000</v>
      </c>
      <c r="M757" s="1184" t="e">
        <f>VLOOKUP(C757,'Cash balance (BS)'!A:D,4,)</f>
        <v>#N/A</v>
      </c>
      <c r="N757" s="1095" t="e">
        <f>Table11[[#This Row],[CLOSING BALANCE (VND)2]]-Table11[[#This Row],[CB_BS (VND)]]</f>
        <v>#N/A</v>
      </c>
      <c r="O757" s="1094">
        <v>0</v>
      </c>
      <c r="P757" s="1095">
        <f t="shared" si="76"/>
        <v>0</v>
      </c>
      <c r="Q757" s="817">
        <f>SUMIFS('Cash balance (Prior period)'!G:G,'Cash balance (Prior period)'!C:C,Table11[[#This Row],[ACCOUNT NUMBER]],'Cash balance (Prior period)'!E:E,Table11[[#This Row],[CURRENCY]])</f>
        <v>0</v>
      </c>
      <c r="R757" s="817">
        <f>SUMIFS(Movement!$F$4:$F$2136,Movement!$M$4:$M$2136,"USD",Movement!$C$4:$C$2136,Table11[[#This Row],[ACCOUNT NUMBER]],Movement!$J$4:$J$2136,Table11[[#This Row],[ENTITY]],Movement!$O$4:$O$2136,'Cash Balance'!$A$2)</f>
        <v>0</v>
      </c>
      <c r="S757" s="817">
        <f>SUMIFS(Movement!$G$4:$G$2136,Movement!$M$4:$M$2136,"USD",Movement!$C$4:$C$2136,Table11[[#This Row],[ACCOUNT NUMBER]],Movement!$J$4:$J$2136,Table11[[#This Row],[ENTITY]],Movement!$O$4:$O$2136,'Cash Balance'!$A$2)</f>
        <v>0</v>
      </c>
      <c r="T757" s="1087">
        <f t="shared" si="77"/>
        <v>0</v>
      </c>
      <c r="U757" s="1090"/>
      <c r="V757" s="1091">
        <f>Table11[[#This Row],[CLOSING BALANCE (USD)]]-Table11[[#This Row],[CB_BS (USD)]]</f>
        <v>0</v>
      </c>
      <c r="W757" s="1156" t="str">
        <f>VLOOKUP('Cash Balance'!$C757,Table2[#All],MATCH('Cash Balance'!W$3,Acc_Char!$B$1:$I$1,0),0)</f>
        <v>Subsidiaries</v>
      </c>
      <c r="X757" s="1156" t="str">
        <f>VLOOKUP(IFERROR(MID($Y757,1,FIND("-",$Y757)-2),$Y757),Table3[#All],2,0)</f>
        <v>Others</v>
      </c>
      <c r="Y757" s="1156" t="str">
        <f>VLOOKUP($B757,Table4[#All],2,0)</f>
        <v>OTHERS</v>
      </c>
      <c r="Z757" s="1151"/>
      <c r="AA757" s="49"/>
    </row>
    <row r="758" spans="1:27">
      <c r="A758" s="1153" t="str">
        <f>VLOOKUP('Cash Balance'!$C758,Table2[#All],MATCH('Cash Balance'!A$3,Acc_Char!$B$1:$I$1,0),0)</f>
        <v>SAO HOA</v>
      </c>
      <c r="B758" s="1154" t="str">
        <f>VLOOKUP('Cash Balance'!$C758,Table2[#All],MATCH('Cash Balance'!B$3,Acc_Char!$B$1:$I$1,0),0)</f>
        <v>SINOPAC</v>
      </c>
      <c r="C758" s="1193" t="s">
        <v>1372</v>
      </c>
      <c r="D758" s="1156" t="str">
        <f>VLOOKUP('Cash Balance'!$C758,Table2[#All],MATCH('Cash Balance'!D$3,Acc_Char!$B$1:$I$1,0),0)</f>
        <v>Saving Account</v>
      </c>
      <c r="E758" s="384" t="str">
        <f>VLOOKUP('Cash Balance'!$C758,Table2[#All],MATCH('Cash Balance'!E$3,Acc_Char!$B$1:$I$1,0),0)</f>
        <v>VND</v>
      </c>
      <c r="F758" s="1084" t="e">
        <f>VLOOKUP(C758,'Cash balance (BS)'!A:C,3,)</f>
        <v>#N/A</v>
      </c>
      <c r="G758" s="1191" t="e">
        <f t="shared" si="82"/>
        <v>#N/A</v>
      </c>
      <c r="H758" s="1318">
        <f>SUMIFS('Cash balance (Prior period)'!F:F,'Cash balance (Prior period)'!C:C,Table11[[#This Row],[ACCOUNT NUMBER]],'Cash balance (Prior period)'!E:E,Table11[[#This Row],[CURRENCY]])</f>
        <v>0</v>
      </c>
      <c r="I758" s="1318">
        <f>SUMIFS(Movement!$F$4:$F$2136,Movement!$M$4:$M$2136,"VND",Movement!$C$4:$C$2136,Table11[[#This Row],[ACCOUNT NUMBER]],Movement!$J$4:$J$2136,Table11[[#This Row],[ENTITY]],Movement!$O$4:$O$2136,'Cash Balance'!$A$2)</f>
        <v>0</v>
      </c>
      <c r="J758" s="1318">
        <f>SUMIFS(Movement!$G$4:$G$2136,Movement!$M$4:$M$2136,"VND",Movement!$C$4:$C$2136,Table11[[#This Row],[ACCOUNT NUMBER]],Movement!$J$4:$J$2136,Table11[[#This Row],[ENTITY]],Movement!$O$4:$O$2136,'Cash Balance'!$A$2)</f>
        <v>0</v>
      </c>
      <c r="K758" s="1084">
        <f>Table11[[#This Row],[CASH IN - CREDIT (VND)]]-Table11[[#This Row],[CASH OUT - DEBIT (VND)]]</f>
        <v>0</v>
      </c>
      <c r="L758" s="1095">
        <f t="shared" si="75"/>
        <v>0</v>
      </c>
      <c r="M758" s="1184" t="e">
        <f>VLOOKUP(C758,'Cash balance (BS)'!A:D,4,)</f>
        <v>#N/A</v>
      </c>
      <c r="N758" s="1095" t="e">
        <f>Table11[[#This Row],[CLOSING BALANCE (VND)2]]-Table11[[#This Row],[CB_BS (VND)]]</f>
        <v>#N/A</v>
      </c>
      <c r="O758" s="1094">
        <v>0</v>
      </c>
      <c r="P758" s="1095">
        <f t="shared" si="76"/>
        <v>0</v>
      </c>
      <c r="Q758" s="817">
        <f>SUMIFS('Cash balance (Prior period)'!G:G,'Cash balance (Prior period)'!C:C,Table11[[#This Row],[ACCOUNT NUMBER]],'Cash balance (Prior period)'!E:E,Table11[[#This Row],[CURRENCY]])</f>
        <v>0</v>
      </c>
      <c r="R758" s="817">
        <f>SUMIFS(Movement!$F$4:$F$2136,Movement!$M$4:$M$2136,"USD",Movement!$C$4:$C$2136,Table11[[#This Row],[ACCOUNT NUMBER]],Movement!$J$4:$J$2136,Table11[[#This Row],[ENTITY]],Movement!$O$4:$O$2136,'Cash Balance'!$A$2)</f>
        <v>0</v>
      </c>
      <c r="S758" s="817">
        <f>SUMIFS(Movement!$G$4:$G$2136,Movement!$M$4:$M$2136,"USD",Movement!$C$4:$C$2136,Table11[[#This Row],[ACCOUNT NUMBER]],Movement!$J$4:$J$2136,Table11[[#This Row],[ENTITY]],Movement!$O$4:$O$2136,'Cash Balance'!$A$2)</f>
        <v>0</v>
      </c>
      <c r="T758" s="1087">
        <f t="shared" si="77"/>
        <v>0</v>
      </c>
      <c r="U758" s="1090"/>
      <c r="V758" s="1091">
        <f>Table11[[#This Row],[CLOSING BALANCE (USD)]]-Table11[[#This Row],[CB_BS (USD)]]</f>
        <v>0</v>
      </c>
      <c r="W758" s="1156" t="str">
        <f>VLOOKUP('Cash Balance'!$C758,Table2[#All],MATCH('Cash Balance'!W$3,Acc_Char!$B$1:$I$1,0),0)</f>
        <v>VC3</v>
      </c>
      <c r="X758" s="1156" t="str">
        <f>VLOOKUP(IFERROR(MID($Y758,1,FIND("-",$Y758)-2),$Y758),Table3[#All],2,0)</f>
        <v>SNP</v>
      </c>
      <c r="Y758" s="1156" t="str">
        <f>VLOOKUP($B758,Table4[#All],2,0)</f>
        <v>SINOPAC</v>
      </c>
      <c r="Z758" s="1151"/>
      <c r="AA758" s="49"/>
    </row>
    <row r="759" spans="1:27">
      <c r="A759" s="1153" t="str">
        <f>VLOOKUP('Cash Balance'!$C759,Table2[#All],MATCH('Cash Balance'!A$3,Acc_Char!$B$1:$I$1,0),0)</f>
        <v>BWID DONG AN LID</v>
      </c>
      <c r="B759" s="1154" t="str">
        <f>VLOOKUP('Cash Balance'!$C759,Table2[#All],MATCH('Cash Balance'!B$3,Acc_Char!$B$1:$I$1,0),0)</f>
        <v>VIETINBANK - DONG SAI GON</v>
      </c>
      <c r="C759" s="1199" t="s">
        <v>1373</v>
      </c>
      <c r="D759" s="1156" t="str">
        <f>VLOOKUP('Cash Balance'!$C759,Table2[#All],MATCH('Cash Balance'!D$3,Acc_Char!$B$1:$I$1,0),0)</f>
        <v>Saving Account</v>
      </c>
      <c r="E759" s="384" t="str">
        <f>VLOOKUP('Cash Balance'!$C759,Table2[#All],MATCH('Cash Balance'!E$3,Acc_Char!$B$1:$I$1,0),0)</f>
        <v>VND</v>
      </c>
      <c r="F759" s="1084" t="e">
        <f>VLOOKUP(C759,'Cash balance (BS)'!A:C,3,)</f>
        <v>#N/A</v>
      </c>
      <c r="G759" s="1191" t="e">
        <f t="shared" si="82"/>
        <v>#N/A</v>
      </c>
      <c r="H759" s="1318">
        <f>SUMIFS('Cash balance (Prior period)'!F:F,'Cash balance (Prior period)'!C:C,Table11[[#This Row],[ACCOUNT NUMBER]],'Cash balance (Prior period)'!E:E,Table11[[#This Row],[CURRENCY]])</f>
        <v>0</v>
      </c>
      <c r="I759" s="1318">
        <f>SUMIFS(Movement!$F$4:$F$2136,Movement!$M$4:$M$2136,"VND",Movement!$C$4:$C$2136,Table11[[#This Row],[ACCOUNT NUMBER]],Movement!$J$4:$J$2136,Table11[[#This Row],[ENTITY]],Movement!$O$4:$O$2136,'Cash Balance'!$A$2)</f>
        <v>0</v>
      </c>
      <c r="J759" s="1318">
        <f>SUMIFS(Movement!$G$4:$G$2136,Movement!$M$4:$M$2136,"VND",Movement!$C$4:$C$2136,Table11[[#This Row],[ACCOUNT NUMBER]],Movement!$J$4:$J$2136,Table11[[#This Row],[ENTITY]],Movement!$O$4:$O$2136,'Cash Balance'!$A$2)</f>
        <v>0</v>
      </c>
      <c r="K759" s="1084">
        <f>Table11[[#This Row],[CASH IN - CREDIT (VND)]]-Table11[[#This Row],[CASH OUT - DEBIT (VND)]]</f>
        <v>0</v>
      </c>
      <c r="L759" s="1095">
        <f t="shared" si="75"/>
        <v>0</v>
      </c>
      <c r="M759" s="1184" t="e">
        <f>VLOOKUP(C759,'Cash balance (BS)'!A:D,4,)</f>
        <v>#N/A</v>
      </c>
      <c r="N759" s="1095" t="e">
        <f>Table11[[#This Row],[CLOSING BALANCE (VND)2]]-Table11[[#This Row],[CB_BS (VND)]]</f>
        <v>#N/A</v>
      </c>
      <c r="O759" s="1094">
        <v>0</v>
      </c>
      <c r="P759" s="1095">
        <f t="shared" si="76"/>
        <v>0</v>
      </c>
      <c r="Q759" s="817">
        <f>SUMIFS('Cash balance (Prior period)'!G:G,'Cash balance (Prior period)'!C:C,Table11[[#This Row],[ACCOUNT NUMBER]],'Cash balance (Prior period)'!E:E,Table11[[#This Row],[CURRENCY]])</f>
        <v>0</v>
      </c>
      <c r="R759" s="817">
        <f>SUMIFS(Movement!$F$4:$F$2136,Movement!$M$4:$M$2136,"USD",Movement!$C$4:$C$2136,Table11[[#This Row],[ACCOUNT NUMBER]],Movement!$J$4:$J$2136,Table11[[#This Row],[ENTITY]],Movement!$O$4:$O$2136,'Cash Balance'!$A$2)</f>
        <v>0</v>
      </c>
      <c r="S759" s="817">
        <f>SUMIFS(Movement!$G$4:$G$2136,Movement!$M$4:$M$2136,"USD",Movement!$C$4:$C$2136,Table11[[#This Row],[ACCOUNT NUMBER]],Movement!$J$4:$J$2136,Table11[[#This Row],[ENTITY]],Movement!$O$4:$O$2136,'Cash Balance'!$A$2)</f>
        <v>0</v>
      </c>
      <c r="T759" s="1087">
        <f t="shared" si="77"/>
        <v>0</v>
      </c>
      <c r="U759" s="1090"/>
      <c r="V759" s="1091">
        <f>Table11[[#This Row],[CLOSING BALANCE (USD)]]-Table11[[#This Row],[CB_BS (USD)]]</f>
        <v>0</v>
      </c>
      <c r="W759" s="1156" t="str">
        <f>VLOOKUP('Cash Balance'!$C759,Table2[#All],MATCH('Cash Balance'!W$3,Acc_Char!$B$1:$I$1,0),0)</f>
        <v>Subsidiaries</v>
      </c>
      <c r="X759" s="1156" t="str">
        <f>VLOOKUP(IFERROR(MID($Y759,1,FIND("-",$Y759)-2),$Y759),Table3[#All],2,0)</f>
        <v>VTB</v>
      </c>
      <c r="Y759" s="1156" t="str">
        <f>VLOOKUP($B759,Table4[#All],2,0)</f>
        <v>VIETINBANK - DONG SAI GON</v>
      </c>
      <c r="Z759" s="1151"/>
      <c r="AA759" s="49"/>
    </row>
    <row r="760" spans="1:27">
      <c r="A760" s="1153" t="str">
        <f>VLOOKUP('Cash Balance'!$C760,Table2[#All],MATCH('Cash Balance'!A$3,Acc_Char!$B$1:$I$1,0),0)</f>
        <v>WINLOCK 2A</v>
      </c>
      <c r="B760" s="1154" t="str">
        <f>VLOOKUP('Cash Balance'!$C760,Table2[#All],MATCH('Cash Balance'!B$3,Acc_Char!$B$1:$I$1,0),0)</f>
        <v>VIETINBANK - TIEN SON</v>
      </c>
      <c r="C760" s="1200" t="s">
        <v>1374</v>
      </c>
      <c r="D760" s="1156" t="str">
        <f>VLOOKUP('Cash Balance'!$C760,Table2[#All],MATCH('Cash Balance'!D$3,Acc_Char!$B$1:$I$1,0),0)</f>
        <v>Saving Account</v>
      </c>
      <c r="E760" s="1201" t="str">
        <f>VLOOKUP('Cash Balance'!$C760,Table2[#All],MATCH('Cash Balance'!E$3,Acc_Char!$B$1:$I$1,0),0)</f>
        <v>VND</v>
      </c>
      <c r="F760" s="1084" t="e">
        <f>VLOOKUP(C760,'Cash balance (BS)'!A:C,3,)</f>
        <v>#N/A</v>
      </c>
      <c r="G760" s="1191" t="e">
        <f t="shared" ref="G760:G761" si="83">F760-H760</f>
        <v>#N/A</v>
      </c>
      <c r="H760" s="1318">
        <f>SUMIFS('Cash balance (Prior period)'!F:F,'Cash balance (Prior period)'!C:C,Table11[[#This Row],[ACCOUNT NUMBER]],'Cash balance (Prior period)'!E:E,Table11[[#This Row],[CURRENCY]])</f>
        <v>16000000000</v>
      </c>
      <c r="I760" s="1318">
        <f>SUMIFS(Movement!$F$4:$F$2136,Movement!$M$4:$M$2136,"VND",Movement!$C$4:$C$2136,Table11[[#This Row],[ACCOUNT NUMBER]],Movement!$J$4:$J$2136,Table11[[#This Row],[ENTITY]],Movement!$O$4:$O$2136,'Cash Balance'!$A$2)</f>
        <v>0</v>
      </c>
      <c r="J760" s="1318">
        <f>SUMIFS(Movement!$G$4:$G$2136,Movement!$M$4:$M$2136,"VND",Movement!$C$4:$C$2136,Table11[[#This Row],[ACCOUNT NUMBER]],Movement!$J$4:$J$2136,Table11[[#This Row],[ENTITY]],Movement!$O$4:$O$2136,'Cash Balance'!$A$2)</f>
        <v>0</v>
      </c>
      <c r="K760" s="1084">
        <f>Table11[[#This Row],[CASH IN - CREDIT (VND)]]-Table11[[#This Row],[CASH OUT - DEBIT (VND)]]</f>
        <v>0</v>
      </c>
      <c r="L760" s="1095">
        <f t="shared" si="75"/>
        <v>16000000000</v>
      </c>
      <c r="M760" s="1184" t="e">
        <f>VLOOKUP(C760,'Cash balance (BS)'!A:D,4,)</f>
        <v>#N/A</v>
      </c>
      <c r="N760" s="1095" t="e">
        <f>Table11[[#This Row],[CLOSING BALANCE (VND)2]]-Table11[[#This Row],[CB_BS (VND)]]</f>
        <v>#N/A</v>
      </c>
      <c r="O760" s="1094">
        <v>0</v>
      </c>
      <c r="P760" s="1095">
        <f t="shared" si="76"/>
        <v>0</v>
      </c>
      <c r="Q760" s="817">
        <f>SUMIFS('Cash balance (Prior period)'!G:G,'Cash balance (Prior period)'!C:C,Table11[[#This Row],[ACCOUNT NUMBER]],'Cash balance (Prior period)'!E:E,Table11[[#This Row],[CURRENCY]])</f>
        <v>0</v>
      </c>
      <c r="R760" s="817">
        <f>SUMIFS(Movement!$F$4:$F$2136,Movement!$M$4:$M$2136,"USD",Movement!$C$4:$C$2136,Table11[[#This Row],[ACCOUNT NUMBER]],Movement!$J$4:$J$2136,Table11[[#This Row],[ENTITY]],Movement!$O$4:$O$2136,'Cash Balance'!$A$2)</f>
        <v>0</v>
      </c>
      <c r="S760" s="817">
        <f>SUMIFS(Movement!$G$4:$G$2136,Movement!$M$4:$M$2136,"USD",Movement!$C$4:$C$2136,Table11[[#This Row],[ACCOUNT NUMBER]],Movement!$J$4:$J$2136,Table11[[#This Row],[ENTITY]],Movement!$O$4:$O$2136,'Cash Balance'!$A$2)</f>
        <v>0</v>
      </c>
      <c r="T760" s="1087">
        <f t="shared" si="77"/>
        <v>0</v>
      </c>
      <c r="U760" s="1090"/>
      <c r="V760" s="1091">
        <f>Table11[[#This Row],[CLOSING BALANCE (USD)]]-Table11[[#This Row],[CB_BS (USD)]]</f>
        <v>0</v>
      </c>
      <c r="W760" s="1186" t="str">
        <f>VLOOKUP('Cash Balance'!$C760,Table2[#All],MATCH('Cash Balance'!W$3,Acc_Char!$B$1:$I$1,0),0)</f>
        <v>Subsidiaries</v>
      </c>
      <c r="X760" s="1156" t="str">
        <f>VLOOKUP(IFERROR(MID($Y760,1,FIND("-",$Y760)-2),$Y760),Table3[#All],2,0)</f>
        <v>VTB</v>
      </c>
      <c r="Y760" s="1156" t="str">
        <f>VLOOKUP($B760,Table4[#All],2,0)</f>
        <v>VIETINBANK - TIEN SON</v>
      </c>
      <c r="Z760" s="1151"/>
      <c r="AA760" s="49"/>
    </row>
    <row r="761" spans="1:27">
      <c r="A761" s="1153" t="str">
        <f>VLOOKUP('Cash Balance'!$C761,Table2[#All],MATCH('Cash Balance'!A$3,Acc_Char!$B$1:$I$1,0),0)</f>
        <v>WINLOCK 2A</v>
      </c>
      <c r="B761" s="1154" t="str">
        <f>VLOOKUP('Cash Balance'!$C761,Table2[#All],MATCH('Cash Balance'!B$3,Acc_Char!$B$1:$I$1,0),0)</f>
        <v>VIETINBANK - TIEN SON</v>
      </c>
      <c r="C761" s="1202" t="s">
        <v>1375</v>
      </c>
      <c r="D761" s="1156" t="str">
        <f>VLOOKUP('Cash Balance'!$C761,Table2[#All],MATCH('Cash Balance'!D$3,Acc_Char!$B$1:$I$1,0),0)</f>
        <v>Saving Account</v>
      </c>
      <c r="E761" s="384" t="str">
        <f>VLOOKUP('Cash Balance'!$C761,Table2[#All],MATCH('Cash Balance'!E$3,Acc_Char!$B$1:$I$1,0),0)</f>
        <v>VND</v>
      </c>
      <c r="F761" s="1084" t="e">
        <f>VLOOKUP(C761,'Cash balance (BS)'!A:C,3,)</f>
        <v>#N/A</v>
      </c>
      <c r="G761" s="1191" t="e">
        <f t="shared" si="83"/>
        <v>#N/A</v>
      </c>
      <c r="H761" s="1318">
        <f>SUMIFS('Cash balance (Prior period)'!F:F,'Cash balance (Prior period)'!C:C,Table11[[#This Row],[ACCOUNT NUMBER]],'Cash balance (Prior period)'!E:E,Table11[[#This Row],[CURRENCY]])</f>
        <v>15000000000</v>
      </c>
      <c r="I761" s="1318">
        <f>SUMIFS(Movement!$F$4:$F$2136,Movement!$M$4:$M$2136,"VND",Movement!$C$4:$C$2136,Table11[[#This Row],[ACCOUNT NUMBER]],Movement!$J$4:$J$2136,Table11[[#This Row],[ENTITY]],Movement!$O$4:$O$2136,'Cash Balance'!$A$2)</f>
        <v>0</v>
      </c>
      <c r="J761" s="1318">
        <f>SUMIFS(Movement!$G$4:$G$2136,Movement!$M$4:$M$2136,"VND",Movement!$C$4:$C$2136,Table11[[#This Row],[ACCOUNT NUMBER]],Movement!$J$4:$J$2136,Table11[[#This Row],[ENTITY]],Movement!$O$4:$O$2136,'Cash Balance'!$A$2)</f>
        <v>0</v>
      </c>
      <c r="K761" s="1084">
        <f>Table11[[#This Row],[CASH IN - CREDIT (VND)]]-Table11[[#This Row],[CASH OUT - DEBIT (VND)]]</f>
        <v>0</v>
      </c>
      <c r="L761" s="1095">
        <f t="shared" si="75"/>
        <v>15000000000</v>
      </c>
      <c r="M761" s="1184" t="e">
        <f>VLOOKUP(C761,'Cash balance (BS)'!A:D,4,)</f>
        <v>#N/A</v>
      </c>
      <c r="N761" s="1095" t="e">
        <f>Table11[[#This Row],[CLOSING BALANCE (VND)2]]-Table11[[#This Row],[CB_BS (VND)]]</f>
        <v>#N/A</v>
      </c>
      <c r="O761" s="1094">
        <v>0</v>
      </c>
      <c r="P761" s="1095">
        <f t="shared" si="76"/>
        <v>0</v>
      </c>
      <c r="Q761" s="817">
        <f>SUMIFS('Cash balance (Prior period)'!G:G,'Cash balance (Prior period)'!C:C,Table11[[#This Row],[ACCOUNT NUMBER]],'Cash balance (Prior period)'!E:E,Table11[[#This Row],[CURRENCY]])</f>
        <v>0</v>
      </c>
      <c r="R761" s="817">
        <f>SUMIFS(Movement!$F$4:$F$2136,Movement!$M$4:$M$2136,"USD",Movement!$C$4:$C$2136,Table11[[#This Row],[ACCOUNT NUMBER]],Movement!$J$4:$J$2136,Table11[[#This Row],[ENTITY]],Movement!$O$4:$O$2136,'Cash Balance'!$A$2)</f>
        <v>0</v>
      </c>
      <c r="S761" s="817">
        <f>SUMIFS(Movement!$G$4:$G$2136,Movement!$M$4:$M$2136,"USD",Movement!$C$4:$C$2136,Table11[[#This Row],[ACCOUNT NUMBER]],Movement!$J$4:$J$2136,Table11[[#This Row],[ENTITY]],Movement!$O$4:$O$2136,'Cash Balance'!$A$2)</f>
        <v>0</v>
      </c>
      <c r="T761" s="1087">
        <f t="shared" si="77"/>
        <v>0</v>
      </c>
      <c r="U761" s="1090"/>
      <c r="V761" s="1091">
        <f>Table11[[#This Row],[CLOSING BALANCE (USD)]]-Table11[[#This Row],[CB_BS (USD)]]</f>
        <v>0</v>
      </c>
      <c r="W761" s="1156" t="str">
        <f>VLOOKUP('Cash Balance'!$C761,Table2[#All],MATCH('Cash Balance'!W$3,Acc_Char!$B$1:$I$1,0),0)</f>
        <v>Subsidiaries</v>
      </c>
      <c r="X761" s="1156" t="str">
        <f>VLOOKUP(IFERROR(MID($Y761,1,FIND("-",$Y761)-2),$Y761),Table3[#All],2,0)</f>
        <v>VTB</v>
      </c>
      <c r="Y761" s="1156" t="str">
        <f>VLOOKUP($B761,Table4[#All],2,0)</f>
        <v>VIETINBANK - TIEN SON</v>
      </c>
      <c r="Z761" s="1151"/>
      <c r="AA761" s="49"/>
    </row>
    <row r="762" spans="1:27">
      <c r="A762" s="1153" t="str">
        <f>VLOOKUP('Cash Balance'!$C762,Table2[#All],MATCH('Cash Balance'!A$3,Acc_Char!$B$1:$I$1,0),0)</f>
        <v>WINLOCK 2A</v>
      </c>
      <c r="B762" s="1154" t="str">
        <f>VLOOKUP('Cash Balance'!$C762,Table2[#All],MATCH('Cash Balance'!B$3,Acc_Char!$B$1:$I$1,0),0)</f>
        <v>VIETINBANK - TIEN SON</v>
      </c>
      <c r="C762" s="1202" t="s">
        <v>1376</v>
      </c>
      <c r="D762" s="1156" t="str">
        <f>VLOOKUP('Cash Balance'!$C762,Table2[#All],MATCH('Cash Balance'!D$3,Acc_Char!$B$1:$I$1,0),0)</f>
        <v>Saving Account</v>
      </c>
      <c r="E762" s="384" t="str">
        <f>VLOOKUP('Cash Balance'!$C762,Table2[#All],MATCH('Cash Balance'!E$3,Acc_Char!$B$1:$I$1,0),0)</f>
        <v>VND</v>
      </c>
      <c r="F762" s="1084" t="e">
        <f>VLOOKUP(C762,'Cash balance (BS)'!A:C,3,)</f>
        <v>#N/A</v>
      </c>
      <c r="G762" s="1191" t="e">
        <f t="shared" ref="G762:G880" si="84">F762-H762</f>
        <v>#N/A</v>
      </c>
      <c r="H762" s="1318">
        <f>SUMIFS('Cash balance (Prior period)'!F:F,'Cash balance (Prior period)'!C:C,Table11[[#This Row],[ACCOUNT NUMBER]],'Cash balance (Prior period)'!E:E,Table11[[#This Row],[CURRENCY]])</f>
        <v>0</v>
      </c>
      <c r="I762" s="1318">
        <f>SUMIFS(Movement!$F$4:$F$2136,Movement!$M$4:$M$2136,"VND",Movement!$C$4:$C$2136,Table11[[#This Row],[ACCOUNT NUMBER]],Movement!$J$4:$J$2136,Table11[[#This Row],[ENTITY]],Movement!$O$4:$O$2136,'Cash Balance'!$A$2)</f>
        <v>0</v>
      </c>
      <c r="J762" s="1318">
        <f>SUMIFS(Movement!$G$4:$G$2136,Movement!$M$4:$M$2136,"VND",Movement!$C$4:$C$2136,Table11[[#This Row],[ACCOUNT NUMBER]],Movement!$J$4:$J$2136,Table11[[#This Row],[ENTITY]],Movement!$O$4:$O$2136,'Cash Balance'!$A$2)</f>
        <v>0</v>
      </c>
      <c r="K762" s="1084">
        <f>Table11[[#This Row],[CASH IN - CREDIT (VND)]]-Table11[[#This Row],[CASH OUT - DEBIT (VND)]]</f>
        <v>0</v>
      </c>
      <c r="L762" s="1095">
        <f t="shared" si="75"/>
        <v>0</v>
      </c>
      <c r="M762" s="1184" t="e">
        <f>VLOOKUP(C762,'Cash balance (BS)'!A:D,4,)</f>
        <v>#N/A</v>
      </c>
      <c r="N762" s="1095" t="e">
        <f>Table11[[#This Row],[CLOSING BALANCE (VND)2]]-Table11[[#This Row],[CB_BS (VND)]]</f>
        <v>#N/A</v>
      </c>
      <c r="O762" s="1094">
        <v>0</v>
      </c>
      <c r="P762" s="1095">
        <f t="shared" si="76"/>
        <v>0</v>
      </c>
      <c r="Q762" s="817">
        <f>SUMIFS('Cash balance (Prior period)'!G:G,'Cash balance (Prior period)'!C:C,Table11[[#This Row],[ACCOUNT NUMBER]],'Cash balance (Prior period)'!E:E,Table11[[#This Row],[CURRENCY]])</f>
        <v>0</v>
      </c>
      <c r="R762" s="817">
        <f>SUMIFS(Movement!$F$4:$F$2136,Movement!$M$4:$M$2136,"USD",Movement!$C$4:$C$2136,Table11[[#This Row],[ACCOUNT NUMBER]],Movement!$J$4:$J$2136,Table11[[#This Row],[ENTITY]],Movement!$O$4:$O$2136,'Cash Balance'!$A$2)</f>
        <v>0</v>
      </c>
      <c r="S762" s="817">
        <f>SUMIFS(Movement!$G$4:$G$2136,Movement!$M$4:$M$2136,"USD",Movement!$C$4:$C$2136,Table11[[#This Row],[ACCOUNT NUMBER]],Movement!$J$4:$J$2136,Table11[[#This Row],[ENTITY]],Movement!$O$4:$O$2136,'Cash Balance'!$A$2)</f>
        <v>0</v>
      </c>
      <c r="T762" s="1087">
        <f t="shared" si="77"/>
        <v>0</v>
      </c>
      <c r="U762" s="1090"/>
      <c r="V762" s="1091">
        <f>Table11[[#This Row],[CLOSING BALANCE (USD)]]-Table11[[#This Row],[CB_BS (USD)]]</f>
        <v>0</v>
      </c>
      <c r="W762" s="1156" t="str">
        <f>VLOOKUP('Cash Balance'!$C762,Table2[#All],MATCH('Cash Balance'!W$3,Acc_Char!$B$1:$I$1,0),0)</f>
        <v>Subsidiaries</v>
      </c>
      <c r="X762" s="1156" t="str">
        <f>VLOOKUP(IFERROR(MID($Y762,1,FIND("-",$Y762)-2),$Y762),Table3[#All],2,0)</f>
        <v>VTB</v>
      </c>
      <c r="Y762" s="1156" t="str">
        <f>VLOOKUP($B762,Table4[#All],2,0)</f>
        <v>VIETINBANK - TIEN SON</v>
      </c>
      <c r="Z762" s="1151"/>
      <c r="AA762" s="49"/>
    </row>
    <row r="763" spans="1:27">
      <c r="A763" s="1153" t="str">
        <f>VLOOKUP('Cash Balance'!$C763,Table2[#All],MATCH('Cash Balance'!A$3,Acc_Char!$B$1:$I$1,0),0)</f>
        <v>BWID HAI PHONG</v>
      </c>
      <c r="B763" s="1154" t="str">
        <f>VLOOKUP('Cash Balance'!$C763,Table2[#All],MATCH('Cash Balance'!B$3,Acc_Char!$B$1:$I$1,0),0)</f>
        <v>VIETINBANK - TIEN SON</v>
      </c>
      <c r="C763" s="1193" t="s">
        <v>1377</v>
      </c>
      <c r="D763" s="1156" t="str">
        <f>VLOOKUP('Cash Balance'!$C763,Table2[#All],MATCH('Cash Balance'!D$3,Acc_Char!$B$1:$I$1,0),0)</f>
        <v>Saving Account</v>
      </c>
      <c r="E763" s="384" t="str">
        <f>VLOOKUP('Cash Balance'!$C763,Table2[#All],MATCH('Cash Balance'!E$3,Acc_Char!$B$1:$I$1,0),0)</f>
        <v>VND</v>
      </c>
      <c r="F763" s="1084" t="e">
        <f>VLOOKUP(C763,'Cash balance (BS)'!A:C,3,)</f>
        <v>#N/A</v>
      </c>
      <c r="G763" s="1191" t="e">
        <f t="shared" si="84"/>
        <v>#N/A</v>
      </c>
      <c r="H763" s="1318">
        <f>SUMIFS('Cash balance (Prior period)'!F:F,'Cash balance (Prior period)'!C:C,Table11[[#This Row],[ACCOUNT NUMBER]],'Cash balance (Prior period)'!E:E,Table11[[#This Row],[CURRENCY]])</f>
        <v>0</v>
      </c>
      <c r="I763" s="1318">
        <f>SUMIFS(Movement!$F$4:$F$2136,Movement!$M$4:$M$2136,"VND",Movement!$C$4:$C$2136,Table11[[#This Row],[ACCOUNT NUMBER]],Movement!$J$4:$J$2136,Table11[[#This Row],[ENTITY]],Movement!$O$4:$O$2136,'Cash Balance'!$A$2)</f>
        <v>0</v>
      </c>
      <c r="J763" s="1318">
        <f>SUMIFS(Movement!$G$4:$G$2136,Movement!$M$4:$M$2136,"VND",Movement!$C$4:$C$2136,Table11[[#This Row],[ACCOUNT NUMBER]],Movement!$J$4:$J$2136,Table11[[#This Row],[ENTITY]],Movement!$O$4:$O$2136,'Cash Balance'!$A$2)</f>
        <v>0</v>
      </c>
      <c r="K763" s="1084">
        <f>Table11[[#This Row],[CASH IN - CREDIT (VND)]]-Table11[[#This Row],[CASH OUT - DEBIT (VND)]]</f>
        <v>0</v>
      </c>
      <c r="L763" s="1095">
        <f t="shared" si="75"/>
        <v>0</v>
      </c>
      <c r="M763" s="1184" t="e">
        <f>VLOOKUP(C763,'Cash balance (BS)'!A:D,4,)</f>
        <v>#N/A</v>
      </c>
      <c r="N763" s="1095" t="e">
        <f>Table11[[#This Row],[CLOSING BALANCE (VND)2]]-Table11[[#This Row],[CB_BS (VND)]]</f>
        <v>#N/A</v>
      </c>
      <c r="O763" s="1094">
        <v>0</v>
      </c>
      <c r="P763" s="1095">
        <f t="shared" si="76"/>
        <v>0</v>
      </c>
      <c r="Q763" s="817">
        <f>SUMIFS('Cash balance (Prior period)'!G:G,'Cash balance (Prior period)'!C:C,Table11[[#This Row],[ACCOUNT NUMBER]],'Cash balance (Prior period)'!E:E,Table11[[#This Row],[CURRENCY]])</f>
        <v>0</v>
      </c>
      <c r="R763" s="817">
        <f>SUMIFS(Movement!$F$4:$F$2136,Movement!$M$4:$M$2136,"USD",Movement!$C$4:$C$2136,Table11[[#This Row],[ACCOUNT NUMBER]],Movement!$J$4:$J$2136,Table11[[#This Row],[ENTITY]],Movement!$O$4:$O$2136,'Cash Balance'!$A$2)</f>
        <v>0</v>
      </c>
      <c r="S763" s="817">
        <f>SUMIFS(Movement!$G$4:$G$2136,Movement!$M$4:$M$2136,"USD",Movement!$C$4:$C$2136,Table11[[#This Row],[ACCOUNT NUMBER]],Movement!$J$4:$J$2136,Table11[[#This Row],[ENTITY]],Movement!$O$4:$O$2136,'Cash Balance'!$A$2)</f>
        <v>0</v>
      </c>
      <c r="T763" s="1087">
        <f t="shared" si="77"/>
        <v>0</v>
      </c>
      <c r="U763" s="1090"/>
      <c r="V763" s="1091">
        <f>Table11[[#This Row],[CLOSING BALANCE (USD)]]-Table11[[#This Row],[CB_BS (USD)]]</f>
        <v>0</v>
      </c>
      <c r="W763" s="1156" t="str">
        <f>VLOOKUP('Cash Balance'!$C763,Table2[#All],MATCH('Cash Balance'!W$3,Acc_Char!$B$1:$I$1,0),0)</f>
        <v>Subsidiaries</v>
      </c>
      <c r="X763" s="1156" t="str">
        <f>VLOOKUP(IFERROR(MID($Y763,1,FIND("-",$Y763)-2),$Y763),Table3[#All],2,0)</f>
        <v>VTB</v>
      </c>
      <c r="Y763" s="1156" t="str">
        <f>VLOOKUP($B763,Table4[#All],2,0)</f>
        <v>VIETINBANK - TIEN SON</v>
      </c>
      <c r="Z763" s="1151"/>
      <c r="AA763" s="49"/>
    </row>
    <row r="764" spans="1:27">
      <c r="A764" s="1153" t="str">
        <f>VLOOKUP('Cash Balance'!$C764,Table2[#All],MATCH('Cash Balance'!A$3,Acc_Char!$B$1:$I$1,0),0)</f>
        <v>XENIA 1</v>
      </c>
      <c r="B764" s="1154" t="str">
        <f>VLOOKUP('Cash Balance'!$C764,Table2[#All],MATCH('Cash Balance'!B$3,Acc_Char!$B$1:$I$1,0),0)</f>
        <v>VIETINBANK - TIEN SON</v>
      </c>
      <c r="C764" s="1193" t="s">
        <v>1378</v>
      </c>
      <c r="D764" s="1156" t="str">
        <f>VLOOKUP('Cash Balance'!$C764,Table2[#All],MATCH('Cash Balance'!D$3,Acc_Char!$B$1:$I$1,0),0)</f>
        <v>Saving Account</v>
      </c>
      <c r="E764" s="384" t="str">
        <f>VLOOKUP('Cash Balance'!$C764,Table2[#All],MATCH('Cash Balance'!E$3,Acc_Char!$B$1:$I$1,0),0)</f>
        <v>VND</v>
      </c>
      <c r="F764" s="1084" t="e">
        <f>VLOOKUP(C764,'Cash balance (BS)'!A:C,3,)</f>
        <v>#N/A</v>
      </c>
      <c r="G764" s="1191" t="e">
        <f t="shared" si="84"/>
        <v>#N/A</v>
      </c>
      <c r="H764" s="1318">
        <f>SUMIFS('Cash balance (Prior period)'!F:F,'Cash balance (Prior period)'!C:C,Table11[[#This Row],[ACCOUNT NUMBER]],'Cash balance (Prior period)'!E:E,Table11[[#This Row],[CURRENCY]])</f>
        <v>0</v>
      </c>
      <c r="I764" s="1318">
        <f>SUMIFS(Movement!$F$4:$F$2136,Movement!$M$4:$M$2136,"VND",Movement!$C$4:$C$2136,Table11[[#This Row],[ACCOUNT NUMBER]],Movement!$J$4:$J$2136,Table11[[#This Row],[ENTITY]],Movement!$O$4:$O$2136,'Cash Balance'!$A$2)</f>
        <v>0</v>
      </c>
      <c r="J764" s="1318">
        <f>SUMIFS(Movement!$G$4:$G$2136,Movement!$M$4:$M$2136,"VND",Movement!$C$4:$C$2136,Table11[[#This Row],[ACCOUNT NUMBER]],Movement!$J$4:$J$2136,Table11[[#This Row],[ENTITY]],Movement!$O$4:$O$2136,'Cash Balance'!$A$2)</f>
        <v>0</v>
      </c>
      <c r="K764" s="1084">
        <f>Table11[[#This Row],[CASH IN - CREDIT (VND)]]-Table11[[#This Row],[CASH OUT - DEBIT (VND)]]</f>
        <v>0</v>
      </c>
      <c r="L764" s="1095">
        <f t="shared" si="75"/>
        <v>0</v>
      </c>
      <c r="M764" s="1184" t="e">
        <f>VLOOKUP(C764,'Cash balance (BS)'!A:D,4,)</f>
        <v>#N/A</v>
      </c>
      <c r="N764" s="1095" t="e">
        <f>Table11[[#This Row],[CLOSING BALANCE (VND)2]]-Table11[[#This Row],[CB_BS (VND)]]</f>
        <v>#N/A</v>
      </c>
      <c r="O764" s="1094">
        <v>0</v>
      </c>
      <c r="P764" s="1095">
        <f t="shared" si="76"/>
        <v>0</v>
      </c>
      <c r="Q764" s="817">
        <f>SUMIFS('Cash balance (Prior period)'!G:G,'Cash balance (Prior period)'!C:C,Table11[[#This Row],[ACCOUNT NUMBER]],'Cash balance (Prior period)'!E:E,Table11[[#This Row],[CURRENCY]])</f>
        <v>0</v>
      </c>
      <c r="R764" s="817">
        <f>SUMIFS(Movement!$F$4:$F$2136,Movement!$M$4:$M$2136,"USD",Movement!$C$4:$C$2136,Table11[[#This Row],[ACCOUNT NUMBER]],Movement!$J$4:$J$2136,Table11[[#This Row],[ENTITY]],Movement!$O$4:$O$2136,'Cash Balance'!$A$2)</f>
        <v>0</v>
      </c>
      <c r="S764" s="817">
        <f>SUMIFS(Movement!$G$4:$G$2136,Movement!$M$4:$M$2136,"USD",Movement!$C$4:$C$2136,Table11[[#This Row],[ACCOUNT NUMBER]],Movement!$J$4:$J$2136,Table11[[#This Row],[ENTITY]],Movement!$O$4:$O$2136,'Cash Balance'!$A$2)</f>
        <v>0</v>
      </c>
      <c r="T764" s="1087">
        <f t="shared" si="77"/>
        <v>0</v>
      </c>
      <c r="U764" s="1090"/>
      <c r="V764" s="1091">
        <f>Table11[[#This Row],[CLOSING BALANCE (USD)]]-Table11[[#This Row],[CB_BS (USD)]]</f>
        <v>0</v>
      </c>
      <c r="W764" s="1156" t="str">
        <f>VLOOKUP('Cash Balance'!$C764,Table2[#All],MATCH('Cash Balance'!W$3,Acc_Char!$B$1:$I$1,0),0)</f>
        <v>Subsidiaries</v>
      </c>
      <c r="X764" s="1156" t="str">
        <f>VLOOKUP(IFERROR(MID($Y764,1,FIND("-",$Y764)-2),$Y764),Table3[#All],2,0)</f>
        <v>VTB</v>
      </c>
      <c r="Y764" s="1156" t="str">
        <f>VLOOKUP($B764,Table4[#All],2,0)</f>
        <v>VIETINBANK - TIEN SON</v>
      </c>
      <c r="Z764" s="1151"/>
      <c r="AA764" s="49"/>
    </row>
    <row r="765" spans="1:27">
      <c r="A765" s="1153" t="str">
        <f>VLOOKUP('Cash Balance'!$C765,Table2[#All],MATCH('Cash Balance'!A$3,Acc_Char!$B$1:$I$1,0),0)</f>
        <v>BWID HAI DUONG 2</v>
      </c>
      <c r="B765" s="1154" t="str">
        <f>VLOOKUP('Cash Balance'!$C765,Table2[#All],MATCH('Cash Balance'!B$3,Acc_Char!$B$1:$I$1,0),0)</f>
        <v>VIETINBANK - TIEN SON</v>
      </c>
      <c r="C765" s="1193" t="s">
        <v>1379</v>
      </c>
      <c r="D765" s="1156" t="str">
        <f>VLOOKUP('Cash Balance'!$C765,Table2[#All],MATCH('Cash Balance'!D$3,Acc_Char!$B$1:$I$1,0),0)</f>
        <v>Saving Account</v>
      </c>
      <c r="E765" s="384" t="str">
        <f>VLOOKUP('Cash Balance'!$C765,Table2[#All],MATCH('Cash Balance'!E$3,Acc_Char!$B$1:$I$1,0),0)</f>
        <v>VND</v>
      </c>
      <c r="F765" s="1084" t="e">
        <f>VLOOKUP(C765,'Cash balance (BS)'!A:C,3,)</f>
        <v>#N/A</v>
      </c>
      <c r="G765" s="1191" t="e">
        <f t="shared" si="84"/>
        <v>#N/A</v>
      </c>
      <c r="H765" s="1318">
        <f>SUMIFS('Cash balance (Prior period)'!F:F,'Cash balance (Prior period)'!C:C,Table11[[#This Row],[ACCOUNT NUMBER]],'Cash balance (Prior period)'!E:E,Table11[[#This Row],[CURRENCY]])</f>
        <v>0</v>
      </c>
      <c r="I765" s="1318">
        <f>SUMIFS(Movement!$F$4:$F$2136,Movement!$M$4:$M$2136,"VND",Movement!$C$4:$C$2136,Table11[[#This Row],[ACCOUNT NUMBER]],Movement!$J$4:$J$2136,Table11[[#This Row],[ENTITY]],Movement!$O$4:$O$2136,'Cash Balance'!$A$2)</f>
        <v>0</v>
      </c>
      <c r="J765" s="1318">
        <f>SUMIFS(Movement!$G$4:$G$2136,Movement!$M$4:$M$2136,"VND",Movement!$C$4:$C$2136,Table11[[#This Row],[ACCOUNT NUMBER]],Movement!$J$4:$J$2136,Table11[[#This Row],[ENTITY]],Movement!$O$4:$O$2136,'Cash Balance'!$A$2)</f>
        <v>0</v>
      </c>
      <c r="K765" s="1084">
        <f>Table11[[#This Row],[CASH IN - CREDIT (VND)]]-Table11[[#This Row],[CASH OUT - DEBIT (VND)]]</f>
        <v>0</v>
      </c>
      <c r="L765" s="1095">
        <f t="shared" ref="L765:L919" si="85">H765+I765-J765</f>
        <v>0</v>
      </c>
      <c r="M765" s="1184" t="e">
        <f>VLOOKUP(C765,'Cash balance (BS)'!A:D,4,)</f>
        <v>#N/A</v>
      </c>
      <c r="N765" s="1095" t="e">
        <f>Table11[[#This Row],[CLOSING BALANCE (VND)2]]-Table11[[#This Row],[CB_BS (VND)]]</f>
        <v>#N/A</v>
      </c>
      <c r="O765" s="1094">
        <v>0</v>
      </c>
      <c r="P765" s="1095">
        <f t="shared" ref="P765:P880" si="86">O765-Q765</f>
        <v>0</v>
      </c>
      <c r="Q765" s="817">
        <f>SUMIFS('Cash balance (Prior period)'!G:G,'Cash balance (Prior period)'!C:C,Table11[[#This Row],[ACCOUNT NUMBER]],'Cash balance (Prior period)'!E:E,Table11[[#This Row],[CURRENCY]])</f>
        <v>0</v>
      </c>
      <c r="R765" s="817">
        <f>SUMIFS(Movement!$F$4:$F$2136,Movement!$M$4:$M$2136,"USD",Movement!$C$4:$C$2136,Table11[[#This Row],[ACCOUNT NUMBER]],Movement!$J$4:$J$2136,Table11[[#This Row],[ENTITY]],Movement!$O$4:$O$2136,'Cash Balance'!$A$2)</f>
        <v>0</v>
      </c>
      <c r="S765" s="817">
        <f>SUMIFS(Movement!$G$4:$G$2136,Movement!$M$4:$M$2136,"USD",Movement!$C$4:$C$2136,Table11[[#This Row],[ACCOUNT NUMBER]],Movement!$J$4:$J$2136,Table11[[#This Row],[ENTITY]],Movement!$O$4:$O$2136,'Cash Balance'!$A$2)</f>
        <v>0</v>
      </c>
      <c r="T765" s="1087">
        <f t="shared" ref="T765:T919" si="87">Q765+R765-S765</f>
        <v>0</v>
      </c>
      <c r="U765" s="1090"/>
      <c r="V765" s="1091">
        <f>Table11[[#This Row],[CLOSING BALANCE (USD)]]-Table11[[#This Row],[CB_BS (USD)]]</f>
        <v>0</v>
      </c>
      <c r="W765" s="1156" t="str">
        <f>VLOOKUP('Cash Balance'!$C765,Table2[#All],MATCH('Cash Balance'!W$3,Acc_Char!$B$1:$I$1,0),0)</f>
        <v>Subsidiaries</v>
      </c>
      <c r="X765" s="1156" t="str">
        <f>VLOOKUP(IFERROR(MID($Y765,1,FIND("-",$Y765)-2),$Y765),Table3[#All],2,0)</f>
        <v>VTB</v>
      </c>
      <c r="Y765" s="1156" t="str">
        <f>VLOOKUP($B765,Table4[#All],2,0)</f>
        <v>VIETINBANK - TIEN SON</v>
      </c>
      <c r="Z765" s="1151"/>
      <c r="AA765" s="49"/>
    </row>
    <row r="766" spans="1:27">
      <c r="A766" s="1153" t="str">
        <f>VLOOKUP('Cash Balance'!$C766,Table2[#All],MATCH('Cash Balance'!A$3,Acc_Char!$B$1:$I$1,0),0)</f>
        <v>TAN DONG HIEP B ELECTRON</v>
      </c>
      <c r="B766" s="1154" t="str">
        <f>VLOOKUP('Cash Balance'!$C766,Table2[#All],MATCH('Cash Balance'!B$3,Acc_Char!$B$1:$I$1,0),0)</f>
        <v>VIETINBANK - TPHCM</v>
      </c>
      <c r="C766" s="1193" t="s">
        <v>1380</v>
      </c>
      <c r="D766" s="1156" t="str">
        <f>VLOOKUP('Cash Balance'!$C766,Table2[#All],MATCH('Cash Balance'!D$3,Acc_Char!$B$1:$I$1,0),0)</f>
        <v>Saving Account</v>
      </c>
      <c r="E766" s="384" t="str">
        <f>VLOOKUP('Cash Balance'!$C766,Table2[#All],MATCH('Cash Balance'!E$3,Acc_Char!$B$1:$I$1,0),0)</f>
        <v>VND</v>
      </c>
      <c r="F766" s="1084" t="e">
        <f>VLOOKUP(C766,'Cash balance (BS)'!A:C,3,)</f>
        <v>#N/A</v>
      </c>
      <c r="G766" s="1191" t="e">
        <f t="shared" si="84"/>
        <v>#N/A</v>
      </c>
      <c r="H766" s="1318">
        <f>SUMIFS('Cash balance (Prior period)'!F:F,'Cash balance (Prior period)'!C:C,Table11[[#This Row],[ACCOUNT NUMBER]],'Cash balance (Prior period)'!E:E,Table11[[#This Row],[CURRENCY]])</f>
        <v>0</v>
      </c>
      <c r="I766" s="1318">
        <f>SUMIFS(Movement!$F$4:$F$2136,Movement!$M$4:$M$2136,"VND",Movement!$C$4:$C$2136,Table11[[#This Row],[ACCOUNT NUMBER]],Movement!$J$4:$J$2136,Table11[[#This Row],[ENTITY]],Movement!$O$4:$O$2136,'Cash Balance'!$A$2)</f>
        <v>0</v>
      </c>
      <c r="J766" s="1318">
        <f>SUMIFS(Movement!$G$4:$G$2136,Movement!$M$4:$M$2136,"VND",Movement!$C$4:$C$2136,Table11[[#This Row],[ACCOUNT NUMBER]],Movement!$J$4:$J$2136,Table11[[#This Row],[ENTITY]],Movement!$O$4:$O$2136,'Cash Balance'!$A$2)</f>
        <v>0</v>
      </c>
      <c r="K766" s="1084">
        <f>Table11[[#This Row],[CASH IN - CREDIT (VND)]]-Table11[[#This Row],[CASH OUT - DEBIT (VND)]]</f>
        <v>0</v>
      </c>
      <c r="L766" s="1095">
        <f t="shared" si="85"/>
        <v>0</v>
      </c>
      <c r="M766" s="1184" t="e">
        <f>VLOOKUP(C766,'Cash balance (BS)'!A:D,4,)</f>
        <v>#N/A</v>
      </c>
      <c r="N766" s="1095" t="e">
        <f>Table11[[#This Row],[CLOSING BALANCE (VND)2]]-Table11[[#This Row],[CB_BS (VND)]]</f>
        <v>#N/A</v>
      </c>
      <c r="O766" s="1094">
        <v>0</v>
      </c>
      <c r="P766" s="1095">
        <f t="shared" si="86"/>
        <v>0</v>
      </c>
      <c r="Q766" s="817">
        <f>SUMIFS('Cash balance (Prior period)'!G:G,'Cash balance (Prior period)'!C:C,Table11[[#This Row],[ACCOUNT NUMBER]],'Cash balance (Prior period)'!E:E,Table11[[#This Row],[CURRENCY]])</f>
        <v>0</v>
      </c>
      <c r="R766" s="817">
        <f>SUMIFS(Movement!$F$4:$F$2136,Movement!$M$4:$M$2136,"USD",Movement!$C$4:$C$2136,Table11[[#This Row],[ACCOUNT NUMBER]],Movement!$J$4:$J$2136,Table11[[#This Row],[ENTITY]],Movement!$O$4:$O$2136,'Cash Balance'!$A$2)</f>
        <v>0</v>
      </c>
      <c r="S766" s="817">
        <f>SUMIFS(Movement!$G$4:$G$2136,Movement!$M$4:$M$2136,"USD",Movement!$C$4:$C$2136,Table11[[#This Row],[ACCOUNT NUMBER]],Movement!$J$4:$J$2136,Table11[[#This Row],[ENTITY]],Movement!$O$4:$O$2136,'Cash Balance'!$A$2)</f>
        <v>0</v>
      </c>
      <c r="T766" s="1087">
        <f t="shared" si="87"/>
        <v>0</v>
      </c>
      <c r="U766" s="1090"/>
      <c r="V766" s="1091">
        <f>Table11[[#This Row],[CLOSING BALANCE (USD)]]-Table11[[#This Row],[CB_BS (USD)]]</f>
        <v>0</v>
      </c>
      <c r="W766" s="1156" t="str">
        <f>VLOOKUP('Cash Balance'!$C766,Table2[#All],MATCH('Cash Balance'!W$3,Acc_Char!$B$1:$I$1,0),0)</f>
        <v>Subsidiaries</v>
      </c>
      <c r="X766" s="1156" t="str">
        <f>VLOOKUP(IFERROR(MID($Y766,1,FIND("-",$Y766)-2),$Y766),Table3[#All],2,0)</f>
        <v>VTB</v>
      </c>
      <c r="Y766" s="1156" t="str">
        <f>VLOOKUP($B766,Table4[#All],2,0)</f>
        <v>VIETINBANK - TPHCM</v>
      </c>
      <c r="Z766" s="1151"/>
      <c r="AA766" s="49"/>
    </row>
    <row r="767" spans="1:27">
      <c r="A767" s="1153" t="str">
        <f>VLOOKUP('Cash Balance'!$C767,Table2[#All],MATCH('Cash Balance'!A$3,Acc_Char!$B$1:$I$1,0),0)</f>
        <v>GREAT KINGDOM NT 2</v>
      </c>
      <c r="B767" s="1154" t="str">
        <f>VLOOKUP('Cash Balance'!$C767,Table2[#All],MATCH('Cash Balance'!B$3,Acc_Char!$B$1:$I$1,0),0)</f>
        <v>VIETINBANK - CN1</v>
      </c>
      <c r="C767" s="1193" t="s">
        <v>1381</v>
      </c>
      <c r="D767" s="1156" t="str">
        <f>VLOOKUP('Cash Balance'!$C767,Table2[#All],MATCH('Cash Balance'!D$3,Acc_Char!$B$1:$I$1,0),0)</f>
        <v>Saving Account</v>
      </c>
      <c r="E767" s="384" t="str">
        <f>VLOOKUP('Cash Balance'!$C767,Table2[#All],MATCH('Cash Balance'!E$3,Acc_Char!$B$1:$I$1,0),0)</f>
        <v>VND</v>
      </c>
      <c r="F767" s="1084" t="e">
        <f>VLOOKUP(C767,'Cash balance (BS)'!A:C,3,)</f>
        <v>#N/A</v>
      </c>
      <c r="G767" s="1191" t="e">
        <f t="shared" si="84"/>
        <v>#N/A</v>
      </c>
      <c r="H767" s="1318">
        <f>SUMIFS('Cash balance (Prior period)'!F:F,'Cash balance (Prior period)'!C:C,Table11[[#This Row],[ACCOUNT NUMBER]],'Cash balance (Prior period)'!E:E,Table11[[#This Row],[CURRENCY]])</f>
        <v>0</v>
      </c>
      <c r="I767" s="1318">
        <f>SUMIFS(Movement!$F$4:$F$2136,Movement!$M$4:$M$2136,"VND",Movement!$C$4:$C$2136,Table11[[#This Row],[ACCOUNT NUMBER]],Movement!$J$4:$J$2136,Table11[[#This Row],[ENTITY]],Movement!$O$4:$O$2136,'Cash Balance'!$A$2)</f>
        <v>0</v>
      </c>
      <c r="J767" s="1318">
        <f>SUMIFS(Movement!$G$4:$G$2136,Movement!$M$4:$M$2136,"VND",Movement!$C$4:$C$2136,Table11[[#This Row],[ACCOUNT NUMBER]],Movement!$J$4:$J$2136,Table11[[#This Row],[ENTITY]],Movement!$O$4:$O$2136,'Cash Balance'!$A$2)</f>
        <v>0</v>
      </c>
      <c r="K767" s="1084">
        <f>Table11[[#This Row],[CASH IN - CREDIT (VND)]]-Table11[[#This Row],[CASH OUT - DEBIT (VND)]]</f>
        <v>0</v>
      </c>
      <c r="L767" s="1095">
        <f t="shared" si="85"/>
        <v>0</v>
      </c>
      <c r="M767" s="1184" t="e">
        <f>VLOOKUP(C767,'Cash balance (BS)'!A:D,4,)</f>
        <v>#N/A</v>
      </c>
      <c r="N767" s="1095" t="e">
        <f>Table11[[#This Row],[CLOSING BALANCE (VND)2]]-Table11[[#This Row],[CB_BS (VND)]]</f>
        <v>#N/A</v>
      </c>
      <c r="O767" s="1094">
        <v>0</v>
      </c>
      <c r="P767" s="1095">
        <f t="shared" si="86"/>
        <v>0</v>
      </c>
      <c r="Q767" s="817">
        <f>SUMIFS('Cash balance (Prior period)'!G:G,'Cash balance (Prior period)'!C:C,Table11[[#This Row],[ACCOUNT NUMBER]],'Cash balance (Prior period)'!E:E,Table11[[#This Row],[CURRENCY]])</f>
        <v>0</v>
      </c>
      <c r="R767" s="817">
        <f>SUMIFS(Movement!$F$4:$F$2136,Movement!$M$4:$M$2136,"USD",Movement!$C$4:$C$2136,Table11[[#This Row],[ACCOUNT NUMBER]],Movement!$J$4:$J$2136,Table11[[#This Row],[ENTITY]],Movement!$O$4:$O$2136,'Cash Balance'!$A$2)</f>
        <v>0</v>
      </c>
      <c r="S767" s="817">
        <f>SUMIFS(Movement!$G$4:$G$2136,Movement!$M$4:$M$2136,"USD",Movement!$C$4:$C$2136,Table11[[#This Row],[ACCOUNT NUMBER]],Movement!$J$4:$J$2136,Table11[[#This Row],[ENTITY]],Movement!$O$4:$O$2136,'Cash Balance'!$A$2)</f>
        <v>0</v>
      </c>
      <c r="T767" s="1087">
        <f t="shared" si="87"/>
        <v>0</v>
      </c>
      <c r="U767" s="1090"/>
      <c r="V767" s="1091">
        <f>Table11[[#This Row],[CLOSING BALANCE (USD)]]-Table11[[#This Row],[CB_BS (USD)]]</f>
        <v>0</v>
      </c>
      <c r="W767" s="1156" t="str">
        <f>VLOOKUP('Cash Balance'!$C767,Table2[#All],MATCH('Cash Balance'!W$3,Acc_Char!$B$1:$I$1,0),0)</f>
        <v>Subsidiaries</v>
      </c>
      <c r="X767" s="1156" t="str">
        <f>VLOOKUP(IFERROR(MID($Y767,1,FIND("-",$Y767)-2),$Y767),Table3[#All],2,0)</f>
        <v>VTB</v>
      </c>
      <c r="Y767" s="1156" t="str">
        <f>VLOOKUP($B767,Table4[#All],2,0)</f>
        <v>VIETINBANK - CN1</v>
      </c>
      <c r="Z767" s="1151"/>
      <c r="AA767" s="49"/>
    </row>
    <row r="768" spans="1:27">
      <c r="A768" s="1153" t="str">
        <f>VLOOKUP('Cash Balance'!$C768,Table2[#All],MATCH('Cash Balance'!A$3,Acc_Char!$B$1:$I$1,0),0)</f>
        <v>BW MY PHUOC 3</v>
      </c>
      <c r="B768" s="1154" t="str">
        <f>VLOOKUP('Cash Balance'!$C768,Table2[#All],MATCH('Cash Balance'!B$3,Acc_Char!$B$1:$I$1,0),0)</f>
        <v>VIETINBANK - BINH DUONG</v>
      </c>
      <c r="C768" s="1193" t="s">
        <v>1382</v>
      </c>
      <c r="D768" s="1156" t="str">
        <f>VLOOKUP('Cash Balance'!$C768,Table2[#All],MATCH('Cash Balance'!D$3,Acc_Char!$B$1:$I$1,0),0)</f>
        <v>Saving Account</v>
      </c>
      <c r="E768" s="384" t="str">
        <f>VLOOKUP('Cash Balance'!$C768,Table2[#All],MATCH('Cash Balance'!E$3,Acc_Char!$B$1:$I$1,0),0)</f>
        <v>VND</v>
      </c>
      <c r="F768" s="1084" t="e">
        <f>VLOOKUP(C768,'Cash balance (BS)'!A:C,3,)</f>
        <v>#N/A</v>
      </c>
      <c r="G768" s="1191" t="e">
        <f t="shared" si="84"/>
        <v>#N/A</v>
      </c>
      <c r="H768" s="1318">
        <f>SUMIFS('Cash balance (Prior period)'!F:F,'Cash balance (Prior period)'!C:C,Table11[[#This Row],[ACCOUNT NUMBER]],'Cash balance (Prior period)'!E:E,Table11[[#This Row],[CURRENCY]])</f>
        <v>0</v>
      </c>
      <c r="I768" s="1318">
        <f>SUMIFS(Movement!$F$4:$F$2136,Movement!$M$4:$M$2136,"VND",Movement!$C$4:$C$2136,Table11[[#This Row],[ACCOUNT NUMBER]],Movement!$J$4:$J$2136,Table11[[#This Row],[ENTITY]],Movement!$O$4:$O$2136,'Cash Balance'!$A$2)</f>
        <v>0</v>
      </c>
      <c r="J768" s="1318">
        <f>SUMIFS(Movement!$G$4:$G$2136,Movement!$M$4:$M$2136,"VND",Movement!$C$4:$C$2136,Table11[[#This Row],[ACCOUNT NUMBER]],Movement!$J$4:$J$2136,Table11[[#This Row],[ENTITY]],Movement!$O$4:$O$2136,'Cash Balance'!$A$2)</f>
        <v>0</v>
      </c>
      <c r="K768" s="1084">
        <f>Table11[[#This Row],[CASH IN - CREDIT (VND)]]-Table11[[#This Row],[CASH OUT - DEBIT (VND)]]</f>
        <v>0</v>
      </c>
      <c r="L768" s="1095">
        <f t="shared" si="85"/>
        <v>0</v>
      </c>
      <c r="M768" s="1184" t="e">
        <f>VLOOKUP(C768,'Cash balance (BS)'!A:D,4,)</f>
        <v>#N/A</v>
      </c>
      <c r="N768" s="1095" t="e">
        <f>Table11[[#This Row],[CLOSING BALANCE (VND)2]]-Table11[[#This Row],[CB_BS (VND)]]</f>
        <v>#N/A</v>
      </c>
      <c r="O768" s="1094">
        <v>0</v>
      </c>
      <c r="P768" s="1095">
        <f t="shared" si="86"/>
        <v>0</v>
      </c>
      <c r="Q768" s="817">
        <f>SUMIFS('Cash balance (Prior period)'!G:G,'Cash balance (Prior period)'!C:C,Table11[[#This Row],[ACCOUNT NUMBER]],'Cash balance (Prior period)'!E:E,Table11[[#This Row],[CURRENCY]])</f>
        <v>0</v>
      </c>
      <c r="R768" s="817">
        <f>SUMIFS(Movement!$F$4:$F$2136,Movement!$M$4:$M$2136,"USD",Movement!$C$4:$C$2136,Table11[[#This Row],[ACCOUNT NUMBER]],Movement!$J$4:$J$2136,Table11[[#This Row],[ENTITY]],Movement!$O$4:$O$2136,'Cash Balance'!$A$2)</f>
        <v>0</v>
      </c>
      <c r="S768" s="817">
        <f>SUMIFS(Movement!$G$4:$G$2136,Movement!$M$4:$M$2136,"USD",Movement!$C$4:$C$2136,Table11[[#This Row],[ACCOUNT NUMBER]],Movement!$J$4:$J$2136,Table11[[#This Row],[ENTITY]],Movement!$O$4:$O$2136,'Cash Balance'!$A$2)</f>
        <v>0</v>
      </c>
      <c r="T768" s="1087">
        <f t="shared" si="87"/>
        <v>0</v>
      </c>
      <c r="U768" s="1090"/>
      <c r="V768" s="1091">
        <f>Table11[[#This Row],[CLOSING BALANCE (USD)]]-Table11[[#This Row],[CB_BS (USD)]]</f>
        <v>0</v>
      </c>
      <c r="W768" s="1156" t="str">
        <f>VLOOKUP('Cash Balance'!$C768,Table2[#All],MATCH('Cash Balance'!W$3,Acc_Char!$B$1:$I$1,0),0)</f>
        <v>Subsidiaries</v>
      </c>
      <c r="X768" s="1156" t="str">
        <f>VLOOKUP(IFERROR(MID($Y768,1,FIND("-",$Y768)-2),$Y768),Table3[#All],2,0)</f>
        <v>VTB</v>
      </c>
      <c r="Y768" s="1156" t="str">
        <f>VLOOKUP($B768,Table4[#All],2,0)</f>
        <v>VIETINBANK - BINH DUONG + QM</v>
      </c>
      <c r="Z768" s="1151"/>
      <c r="AA768" s="49"/>
    </row>
    <row r="769" spans="1:27">
      <c r="A769" s="1153" t="str">
        <f>VLOOKUP('Cash Balance'!$C769,Table2[#All],MATCH('Cash Balance'!A$3,Acc_Char!$B$1:$I$1,0),0)</f>
        <v>BW MY PHUOC 3</v>
      </c>
      <c r="B769" s="1154" t="str">
        <f>VLOOKUP('Cash Balance'!$C769,Table2[#All],MATCH('Cash Balance'!B$3,Acc_Char!$B$1:$I$1,0),0)</f>
        <v>VIETINBANK - BINH DUONG</v>
      </c>
      <c r="C769" s="1193" t="s">
        <v>1383</v>
      </c>
      <c r="D769" s="1156" t="str">
        <f>VLOOKUP('Cash Balance'!$C769,Table2[#All],MATCH('Cash Balance'!D$3,Acc_Char!$B$1:$I$1,0),0)</f>
        <v>Saving Account</v>
      </c>
      <c r="E769" s="384" t="str">
        <f>VLOOKUP('Cash Balance'!$C769,Table2[#All],MATCH('Cash Balance'!E$3,Acc_Char!$B$1:$I$1,0),0)</f>
        <v>VND</v>
      </c>
      <c r="F769" s="1084" t="e">
        <f>VLOOKUP(C769,'Cash balance (BS)'!A:C,3,)</f>
        <v>#N/A</v>
      </c>
      <c r="G769" s="1191" t="e">
        <f t="shared" si="84"/>
        <v>#N/A</v>
      </c>
      <c r="H769" s="1318">
        <f>SUMIFS('Cash balance (Prior period)'!F:F,'Cash balance (Prior period)'!C:C,Table11[[#This Row],[ACCOUNT NUMBER]],'Cash balance (Prior period)'!E:E,Table11[[#This Row],[CURRENCY]])</f>
        <v>0</v>
      </c>
      <c r="I769" s="1318">
        <f>SUMIFS(Movement!$F$4:$F$2136,Movement!$M$4:$M$2136,"VND",Movement!$C$4:$C$2136,Table11[[#This Row],[ACCOUNT NUMBER]],Movement!$J$4:$J$2136,Table11[[#This Row],[ENTITY]],Movement!$O$4:$O$2136,'Cash Balance'!$A$2)</f>
        <v>0</v>
      </c>
      <c r="J769" s="1318">
        <f>SUMIFS(Movement!$G$4:$G$2136,Movement!$M$4:$M$2136,"VND",Movement!$C$4:$C$2136,Table11[[#This Row],[ACCOUNT NUMBER]],Movement!$J$4:$J$2136,Table11[[#This Row],[ENTITY]],Movement!$O$4:$O$2136,'Cash Balance'!$A$2)</f>
        <v>0</v>
      </c>
      <c r="K769" s="1084">
        <f>Table11[[#This Row],[CASH IN - CREDIT (VND)]]-Table11[[#This Row],[CASH OUT - DEBIT (VND)]]</f>
        <v>0</v>
      </c>
      <c r="L769" s="1095">
        <f t="shared" si="85"/>
        <v>0</v>
      </c>
      <c r="M769" s="1184" t="e">
        <f>VLOOKUP(C769,'Cash balance (BS)'!A:D,4,)</f>
        <v>#N/A</v>
      </c>
      <c r="N769" s="1095" t="e">
        <f>Table11[[#This Row],[CLOSING BALANCE (VND)2]]-Table11[[#This Row],[CB_BS (VND)]]</f>
        <v>#N/A</v>
      </c>
      <c r="O769" s="1094">
        <v>0</v>
      </c>
      <c r="P769" s="1095">
        <f t="shared" si="86"/>
        <v>0</v>
      </c>
      <c r="Q769" s="817">
        <f>SUMIFS('Cash balance (Prior period)'!G:G,'Cash balance (Prior period)'!C:C,Table11[[#This Row],[ACCOUNT NUMBER]],'Cash balance (Prior period)'!E:E,Table11[[#This Row],[CURRENCY]])</f>
        <v>0</v>
      </c>
      <c r="R769" s="817">
        <f>SUMIFS(Movement!$F$4:$F$2136,Movement!$M$4:$M$2136,"USD",Movement!$C$4:$C$2136,Table11[[#This Row],[ACCOUNT NUMBER]],Movement!$J$4:$J$2136,Table11[[#This Row],[ENTITY]],Movement!$O$4:$O$2136,'Cash Balance'!$A$2)</f>
        <v>0</v>
      </c>
      <c r="S769" s="817">
        <f>SUMIFS(Movement!$G$4:$G$2136,Movement!$M$4:$M$2136,"USD",Movement!$C$4:$C$2136,Table11[[#This Row],[ACCOUNT NUMBER]],Movement!$J$4:$J$2136,Table11[[#This Row],[ENTITY]],Movement!$O$4:$O$2136,'Cash Balance'!$A$2)</f>
        <v>0</v>
      </c>
      <c r="T769" s="1087">
        <f t="shared" si="87"/>
        <v>0</v>
      </c>
      <c r="U769" s="1090"/>
      <c r="V769" s="1091">
        <f>Table11[[#This Row],[CLOSING BALANCE (USD)]]-Table11[[#This Row],[CB_BS (USD)]]</f>
        <v>0</v>
      </c>
      <c r="W769" s="1156" t="str">
        <f>VLOOKUP('Cash Balance'!$C769,Table2[#All],MATCH('Cash Balance'!W$3,Acc_Char!$B$1:$I$1,0),0)</f>
        <v>Subsidiaries</v>
      </c>
      <c r="X769" s="1156" t="str">
        <f>VLOOKUP(IFERROR(MID($Y769,1,FIND("-",$Y769)-2),$Y769),Table3[#All],2,0)</f>
        <v>VTB</v>
      </c>
      <c r="Y769" s="1156" t="str">
        <f>VLOOKUP($B769,Table4[#All],2,0)</f>
        <v>VIETINBANK - BINH DUONG + QM</v>
      </c>
      <c r="Z769" s="1151"/>
      <c r="AA769" s="49"/>
    </row>
    <row r="770" spans="1:27" s="1368" customFormat="1">
      <c r="A770" s="1153" t="str">
        <f>VLOOKUP('Cash Balance'!$C770,Table2[#All],MATCH('Cash Balance'!A$3,Acc_Char!$B$1:$I$1,0),0)</f>
        <v>BWID HAI DUONG</v>
      </c>
      <c r="B770" s="1154" t="str">
        <f>VLOOKUP('Cash Balance'!$C770,Table2[#All],MATCH('Cash Balance'!B$3,Acc_Char!$B$1:$I$1,0),0)</f>
        <v>VIETINBANK - TIEN SON</v>
      </c>
      <c r="C770" s="1203" t="s">
        <v>1384</v>
      </c>
      <c r="D770" s="1156" t="str">
        <f>VLOOKUP('Cash Balance'!$C770,Table2[#All],MATCH('Cash Balance'!D$3,Acc_Char!$B$1:$I$1,0),0)</f>
        <v>Saving Account</v>
      </c>
      <c r="E770" s="384" t="str">
        <f>VLOOKUP('Cash Balance'!$C770,Table2[#All],MATCH('Cash Balance'!E$3,Acc_Char!$B$1:$I$1,0),0)</f>
        <v>VND</v>
      </c>
      <c r="F770" s="1224" t="e">
        <f>VLOOKUP(C770,'Cash balance (BS)'!A:C,3,)</f>
        <v>#N/A</v>
      </c>
      <c r="G770" s="1191" t="e">
        <f>F770-H770</f>
        <v>#N/A</v>
      </c>
      <c r="H770" s="1319">
        <f>SUMIFS('Cash balance (Prior period)'!F:F,'Cash balance (Prior period)'!C:C,Table11[[#This Row],[ACCOUNT NUMBER]],'Cash balance (Prior period)'!E:E,Table11[[#This Row],[CURRENCY]])</f>
        <v>0</v>
      </c>
      <c r="I770" s="1319">
        <f>SUMIFS(Movement!$F$4:$F$2136,Movement!$M$4:$M$2136,"VND",Movement!$C$4:$C$2136,Table11[[#This Row],[ACCOUNT NUMBER]],Movement!$J$4:$J$2136,Table11[[#This Row],[ENTITY]],Movement!$O$4:$O$2136,'Cash Balance'!$A$2)</f>
        <v>0</v>
      </c>
      <c r="J770" s="1319">
        <f>SUMIFS(Movement!$G$4:$G$2136,Movement!$M$4:$M$2136,"VND",Movement!$C$4:$C$2136,Table11[[#This Row],[ACCOUNT NUMBER]],Movement!$J$4:$J$2136,Table11[[#This Row],[ENTITY]],Movement!$O$4:$O$2136,'Cash Balance'!$A$2)</f>
        <v>0</v>
      </c>
      <c r="K770" s="1224">
        <f>Table11[[#This Row],[CASH IN - CREDIT (VND)]]-Table11[[#This Row],[CASH OUT - DEBIT (VND)]]</f>
        <v>0</v>
      </c>
      <c r="L770" s="1225">
        <f>H770+I770-J770</f>
        <v>0</v>
      </c>
      <c r="M770" s="1184" t="e">
        <f>VLOOKUP(C770,'Cash balance (BS)'!A:D,4,)</f>
        <v>#N/A</v>
      </c>
      <c r="N770" s="1225" t="e">
        <f>Table11[[#This Row],[CLOSING BALANCE (VND)2]]-Table11[[#This Row],[CB_BS (VND)]]</f>
        <v>#N/A</v>
      </c>
      <c r="O770" s="1230">
        <v>0</v>
      </c>
      <c r="P770" s="1225">
        <f>O770-Q770</f>
        <v>0</v>
      </c>
      <c r="Q770" s="1285">
        <f>SUMIFS('Cash balance (Prior period)'!G:G,'Cash balance (Prior period)'!C:C,Table11[[#This Row],[ACCOUNT NUMBER]],'Cash balance (Prior period)'!E:E,Table11[[#This Row],[CURRENCY]])</f>
        <v>0</v>
      </c>
      <c r="R770" s="1285">
        <f>SUMIFS(Movement!$F$4:$F$2136,Movement!$M$4:$M$2136,"USD",Movement!$C$4:$C$2136,Table11[[#This Row],[ACCOUNT NUMBER]],Movement!$J$4:$J$2136,Table11[[#This Row],[ENTITY]],Movement!$O$4:$O$2136,'Cash Balance'!$A$2)</f>
        <v>0</v>
      </c>
      <c r="S770" s="1285">
        <f>SUMIFS(Movement!$G$4:$G$2136,Movement!$M$4:$M$2136,"USD",Movement!$C$4:$C$2136,Table11[[#This Row],[ACCOUNT NUMBER]],Movement!$J$4:$J$2136,Table11[[#This Row],[ENTITY]],Movement!$O$4:$O$2136,'Cash Balance'!$A$2)</f>
        <v>0</v>
      </c>
      <c r="T770" s="1236">
        <f>Q770+R770-S770</f>
        <v>0</v>
      </c>
      <c r="U770" s="1231"/>
      <c r="V770" s="1232">
        <f>Table11[[#This Row],[CLOSING BALANCE (USD)]]-Table11[[#This Row],[CB_BS (USD)]]</f>
        <v>0</v>
      </c>
      <c r="W770" s="1156" t="str">
        <f>VLOOKUP('Cash Balance'!$C770,Table2[#All],MATCH('Cash Balance'!W$3,Acc_Char!$B$1:$I$1,0),0)</f>
        <v>Subsidiaries</v>
      </c>
      <c r="X770" s="1156" t="str">
        <f>VLOOKUP(IFERROR(MID($Y770,1,FIND("-",$Y770)-2),$Y770),Table3[#All],2,0)</f>
        <v>VTB</v>
      </c>
      <c r="Y770" s="1156" t="str">
        <f>VLOOKUP($B770,Table4[#All],2,0)</f>
        <v>VIETINBANK - TIEN SON</v>
      </c>
      <c r="Z770" s="1151"/>
      <c r="AA770" s="49"/>
    </row>
    <row r="771" spans="1:27">
      <c r="A771" s="1153" t="str">
        <f>VLOOKUP('Cash Balance'!$C771,Table2[#All],MATCH('Cash Balance'!A$3,Acc_Char!$B$1:$I$1,0),0)</f>
        <v>KIM TRUC DN</v>
      </c>
      <c r="B771" s="1154" t="str">
        <f>VLOOKUP('Cash Balance'!$C771,Table2[#All],MATCH('Cash Balance'!B$3,Acc_Char!$B$1:$I$1,0),0)</f>
        <v>BIDV - NAM SAI GON</v>
      </c>
      <c r="C771" s="1193" t="s">
        <v>1385</v>
      </c>
      <c r="D771" s="1156" t="str">
        <f>VLOOKUP('Cash Balance'!$C771,Table2[#All],MATCH('Cash Balance'!D$3,Acc_Char!$B$1:$I$1,0),0)</f>
        <v>Saving Account</v>
      </c>
      <c r="E771" s="384" t="str">
        <f>VLOOKUP('Cash Balance'!$C771,Table2[#All],MATCH('Cash Balance'!E$3,Acc_Char!$B$1:$I$1,0),0)</f>
        <v>VND</v>
      </c>
      <c r="F771" s="1084" t="e">
        <f>VLOOKUP(C771,'Cash balance (BS)'!A:C,3,)</f>
        <v>#N/A</v>
      </c>
      <c r="G771" s="1191" t="e">
        <f t="shared" ref="G771:G794" si="88">F771-H771</f>
        <v>#N/A</v>
      </c>
      <c r="H771" s="1318">
        <f>SUMIFS('Cash balance (Prior period)'!F:F,'Cash balance (Prior period)'!C:C,Table11[[#This Row],[ACCOUNT NUMBER]],'Cash balance (Prior period)'!E:E,Table11[[#This Row],[CURRENCY]])</f>
        <v>0</v>
      </c>
      <c r="I771" s="1318">
        <f>SUMIFS(Movement!$F$4:$F$2136,Movement!$M$4:$M$2136,"VND",Movement!$C$4:$C$2136,Table11[[#This Row],[ACCOUNT NUMBER]],Movement!$J$4:$J$2136,Table11[[#This Row],[ENTITY]],Movement!$O$4:$O$2136,'Cash Balance'!$A$2)</f>
        <v>0</v>
      </c>
      <c r="J771" s="1318">
        <f>SUMIFS(Movement!$G$4:$G$2136,Movement!$M$4:$M$2136,"VND",Movement!$C$4:$C$2136,Table11[[#This Row],[ACCOUNT NUMBER]],Movement!$J$4:$J$2136,Table11[[#This Row],[ENTITY]],Movement!$O$4:$O$2136,'Cash Balance'!$A$2)</f>
        <v>0</v>
      </c>
      <c r="K771" s="1084">
        <f>Table11[[#This Row],[CASH IN - CREDIT (VND)]]-Table11[[#This Row],[CASH OUT - DEBIT (VND)]]</f>
        <v>0</v>
      </c>
      <c r="L771" s="1095">
        <f t="shared" si="85"/>
        <v>0</v>
      </c>
      <c r="M771" s="1184" t="e">
        <f>VLOOKUP(C771,'Cash balance (BS)'!A:D,4,)</f>
        <v>#N/A</v>
      </c>
      <c r="N771" s="1095" t="e">
        <f>Table11[[#This Row],[CLOSING BALANCE (VND)2]]-Table11[[#This Row],[CB_BS (VND)]]</f>
        <v>#N/A</v>
      </c>
      <c r="O771" s="1094">
        <v>0</v>
      </c>
      <c r="P771" s="1095">
        <f t="shared" si="86"/>
        <v>0</v>
      </c>
      <c r="Q771" s="817">
        <f>SUMIFS('Cash balance (Prior period)'!G:G,'Cash balance (Prior period)'!C:C,Table11[[#This Row],[ACCOUNT NUMBER]],'Cash balance (Prior period)'!E:E,Table11[[#This Row],[CURRENCY]])</f>
        <v>0</v>
      </c>
      <c r="R771" s="817">
        <f>SUMIFS(Movement!$F$4:$F$2136,Movement!$M$4:$M$2136,"USD",Movement!$C$4:$C$2136,Table11[[#This Row],[ACCOUNT NUMBER]],Movement!$J$4:$J$2136,Table11[[#This Row],[ENTITY]],Movement!$O$4:$O$2136,'Cash Balance'!$A$2)</f>
        <v>0</v>
      </c>
      <c r="S771" s="817">
        <f>SUMIFS(Movement!$G$4:$G$2136,Movement!$M$4:$M$2136,"USD",Movement!$C$4:$C$2136,Table11[[#This Row],[ACCOUNT NUMBER]],Movement!$J$4:$J$2136,Table11[[#This Row],[ENTITY]],Movement!$O$4:$O$2136,'Cash Balance'!$A$2)</f>
        <v>0</v>
      </c>
      <c r="T771" s="1087">
        <f t="shared" si="87"/>
        <v>0</v>
      </c>
      <c r="U771" s="1090"/>
      <c r="V771" s="1091">
        <f>Table11[[#This Row],[CLOSING BALANCE (USD)]]-Table11[[#This Row],[CB_BS (USD)]]</f>
        <v>0</v>
      </c>
      <c r="W771" s="1156" t="str">
        <f>VLOOKUP('Cash Balance'!$C771,Table2[#All],MATCH('Cash Balance'!W$3,Acc_Char!$B$1:$I$1,0),0)</f>
        <v>Subsidiaries</v>
      </c>
      <c r="X771" s="1156" t="str">
        <f>VLOOKUP(IFERROR(MID($Y771,1,FIND("-",$Y771)-2),$Y771),Table3[#All],2,0)</f>
        <v>BIDV</v>
      </c>
      <c r="Y771" s="1156" t="str">
        <f>VLOOKUP($B771,Table4[#All],2,0)</f>
        <v>BIDV - NAM SAI GON</v>
      </c>
      <c r="Z771" s="1151"/>
      <c r="AA771" s="49"/>
    </row>
    <row r="772" spans="1:27">
      <c r="A772" s="1153" t="str">
        <f>VLOOKUP('Cash Balance'!$C772,Table2[#All],MATCH('Cash Balance'!A$3,Acc_Char!$B$1:$I$1,0),0)</f>
        <v>KIM TRUC DN</v>
      </c>
      <c r="B772" s="1154" t="str">
        <f>VLOOKUP('Cash Balance'!$C772,Table2[#All],MATCH('Cash Balance'!B$3,Acc_Char!$B$1:$I$1,0),0)</f>
        <v>BIDV - NAM SAI GON</v>
      </c>
      <c r="C772" s="1193" t="s">
        <v>1386</v>
      </c>
      <c r="D772" s="1156" t="str">
        <f>VLOOKUP('Cash Balance'!$C772,Table2[#All],MATCH('Cash Balance'!D$3,Acc_Char!$B$1:$I$1,0),0)</f>
        <v>Saving Account</v>
      </c>
      <c r="E772" s="384" t="str">
        <f>VLOOKUP('Cash Balance'!$C772,Table2[#All],MATCH('Cash Balance'!E$3,Acc_Char!$B$1:$I$1,0),0)</f>
        <v>VND</v>
      </c>
      <c r="F772" s="1084" t="e">
        <f>VLOOKUP(C772,'Cash balance (BS)'!A:C,3,)</f>
        <v>#N/A</v>
      </c>
      <c r="G772" s="1191" t="e">
        <f t="shared" si="88"/>
        <v>#N/A</v>
      </c>
      <c r="H772" s="1318">
        <f>SUMIFS('Cash balance (Prior period)'!F:F,'Cash balance (Prior period)'!C:C,Table11[[#This Row],[ACCOUNT NUMBER]],'Cash balance (Prior period)'!E:E,Table11[[#This Row],[CURRENCY]])</f>
        <v>0</v>
      </c>
      <c r="I772" s="1318">
        <f>SUMIFS(Movement!$F$4:$F$2136,Movement!$M$4:$M$2136,"VND",Movement!$C$4:$C$2136,Table11[[#This Row],[ACCOUNT NUMBER]],Movement!$J$4:$J$2136,Table11[[#This Row],[ENTITY]],Movement!$O$4:$O$2136,'Cash Balance'!$A$2)</f>
        <v>0</v>
      </c>
      <c r="J772" s="1318">
        <f>SUMIFS(Movement!$G$4:$G$2136,Movement!$M$4:$M$2136,"VND",Movement!$C$4:$C$2136,Table11[[#This Row],[ACCOUNT NUMBER]],Movement!$J$4:$J$2136,Table11[[#This Row],[ENTITY]],Movement!$O$4:$O$2136,'Cash Balance'!$A$2)</f>
        <v>0</v>
      </c>
      <c r="K772" s="1084">
        <f>Table11[[#This Row],[CASH IN - CREDIT (VND)]]-Table11[[#This Row],[CASH OUT - DEBIT (VND)]]</f>
        <v>0</v>
      </c>
      <c r="L772" s="1095">
        <f t="shared" si="85"/>
        <v>0</v>
      </c>
      <c r="M772" s="1184" t="e">
        <f>VLOOKUP(C772,'Cash balance (BS)'!A:D,4,)</f>
        <v>#N/A</v>
      </c>
      <c r="N772" s="1095" t="e">
        <f>Table11[[#This Row],[CLOSING BALANCE (VND)2]]-Table11[[#This Row],[CB_BS (VND)]]</f>
        <v>#N/A</v>
      </c>
      <c r="O772" s="1094">
        <v>0</v>
      </c>
      <c r="P772" s="1095">
        <f t="shared" si="86"/>
        <v>0</v>
      </c>
      <c r="Q772" s="817">
        <f>SUMIFS('Cash balance (Prior period)'!G:G,'Cash balance (Prior period)'!C:C,Table11[[#This Row],[ACCOUNT NUMBER]],'Cash balance (Prior period)'!E:E,Table11[[#This Row],[CURRENCY]])</f>
        <v>0</v>
      </c>
      <c r="R772" s="817">
        <f>SUMIFS(Movement!$F$4:$F$2136,Movement!$M$4:$M$2136,"USD",Movement!$C$4:$C$2136,Table11[[#This Row],[ACCOUNT NUMBER]],Movement!$J$4:$J$2136,Table11[[#This Row],[ENTITY]],Movement!$O$4:$O$2136,'Cash Balance'!$A$2)</f>
        <v>0</v>
      </c>
      <c r="S772" s="817">
        <f>SUMIFS(Movement!$G$4:$G$2136,Movement!$M$4:$M$2136,"USD",Movement!$C$4:$C$2136,Table11[[#This Row],[ACCOUNT NUMBER]],Movement!$J$4:$J$2136,Table11[[#This Row],[ENTITY]],Movement!$O$4:$O$2136,'Cash Balance'!$A$2)</f>
        <v>0</v>
      </c>
      <c r="T772" s="1087">
        <f t="shared" si="87"/>
        <v>0</v>
      </c>
      <c r="U772" s="1090"/>
      <c r="V772" s="1091">
        <f>Table11[[#This Row],[CLOSING BALANCE (USD)]]-Table11[[#This Row],[CB_BS (USD)]]</f>
        <v>0</v>
      </c>
      <c r="W772" s="1156" t="str">
        <f>VLOOKUP('Cash Balance'!$C772,Table2[#All],MATCH('Cash Balance'!W$3,Acc_Char!$B$1:$I$1,0),0)</f>
        <v>Subsidiaries</v>
      </c>
      <c r="X772" s="1156" t="str">
        <f>VLOOKUP(IFERROR(MID($Y772,1,FIND("-",$Y772)-2),$Y772),Table3[#All],2,0)</f>
        <v>BIDV</v>
      </c>
      <c r="Y772" s="1156" t="str">
        <f>VLOOKUP($B772,Table4[#All],2,0)</f>
        <v>BIDV - NAM SAI GON</v>
      </c>
      <c r="Z772" s="1151"/>
      <c r="AA772" s="49"/>
    </row>
    <row r="773" spans="1:27">
      <c r="A773" s="1153" t="str">
        <f>VLOOKUP('Cash Balance'!$C773,Table2[#All],MATCH('Cash Balance'!A$3,Acc_Char!$B$1:$I$1,0),0)</f>
        <v>SAO HOA</v>
      </c>
      <c r="B773" s="1154" t="str">
        <f>VLOOKUP('Cash Balance'!$C773,Table2[#All],MATCH('Cash Balance'!B$3,Acc_Char!$B$1:$I$1,0),0)</f>
        <v>TECHCOMBANK</v>
      </c>
      <c r="C773" s="1204" t="s">
        <v>1387</v>
      </c>
      <c r="D773" s="1156" t="str">
        <f>VLOOKUP('Cash Balance'!$C773,Table2[#All],MATCH('Cash Balance'!D$3,Acc_Char!$B$1:$I$1,0),0)</f>
        <v>Saving Account</v>
      </c>
      <c r="E773" s="384" t="str">
        <f>VLOOKUP('Cash Balance'!$C773,Table2[#All],MATCH('Cash Balance'!E$3,Acc_Char!$B$1:$I$1,0),0)</f>
        <v>VND</v>
      </c>
      <c r="F773" s="1084" t="e">
        <f>VLOOKUP(C773,'Cash balance (BS)'!A:C,3,)</f>
        <v>#N/A</v>
      </c>
      <c r="G773" s="1191" t="e">
        <f t="shared" si="88"/>
        <v>#N/A</v>
      </c>
      <c r="H773" s="1318">
        <f>SUMIFS('Cash balance (Prior period)'!F:F,'Cash balance (Prior period)'!C:C,Table11[[#This Row],[ACCOUNT NUMBER]],'Cash balance (Prior period)'!E:E,Table11[[#This Row],[CURRENCY]])</f>
        <v>0</v>
      </c>
      <c r="I773" s="1318">
        <f>SUMIFS(Movement!$F$4:$F$2136,Movement!$M$4:$M$2136,"VND",Movement!$C$4:$C$2136,Table11[[#This Row],[ACCOUNT NUMBER]],Movement!$J$4:$J$2136,Table11[[#This Row],[ENTITY]],Movement!$O$4:$O$2136,'Cash Balance'!$A$2)</f>
        <v>0</v>
      </c>
      <c r="J773" s="1318">
        <f>SUMIFS(Movement!$G$4:$G$2136,Movement!$M$4:$M$2136,"VND",Movement!$C$4:$C$2136,Table11[[#This Row],[ACCOUNT NUMBER]],Movement!$J$4:$J$2136,Table11[[#This Row],[ENTITY]],Movement!$O$4:$O$2136,'Cash Balance'!$A$2)</f>
        <v>0</v>
      </c>
      <c r="K773" s="1084">
        <f>Table11[[#This Row],[CASH IN - CREDIT (VND)]]-Table11[[#This Row],[CASH OUT - DEBIT (VND)]]</f>
        <v>0</v>
      </c>
      <c r="L773" s="1095">
        <f t="shared" si="85"/>
        <v>0</v>
      </c>
      <c r="M773" s="1184" t="e">
        <f>VLOOKUP(C773,'Cash balance (BS)'!A:D,4,)</f>
        <v>#N/A</v>
      </c>
      <c r="N773" s="1095" t="e">
        <f>Table11[[#This Row],[CLOSING BALANCE (VND)2]]-Table11[[#This Row],[CB_BS (VND)]]</f>
        <v>#N/A</v>
      </c>
      <c r="O773" s="1094">
        <v>0</v>
      </c>
      <c r="P773" s="1095">
        <f t="shared" si="86"/>
        <v>0</v>
      </c>
      <c r="Q773" s="817">
        <f>SUMIFS('Cash balance (Prior period)'!G:G,'Cash balance (Prior period)'!C:C,Table11[[#This Row],[ACCOUNT NUMBER]],'Cash balance (Prior period)'!E:E,Table11[[#This Row],[CURRENCY]])</f>
        <v>0</v>
      </c>
      <c r="R773" s="817">
        <f>SUMIFS(Movement!$F$4:$F$2136,Movement!$M$4:$M$2136,"USD",Movement!$C$4:$C$2136,Table11[[#This Row],[ACCOUNT NUMBER]],Movement!$J$4:$J$2136,Table11[[#This Row],[ENTITY]],Movement!$O$4:$O$2136,'Cash Balance'!$A$2)</f>
        <v>0</v>
      </c>
      <c r="S773" s="817">
        <f>SUMIFS(Movement!$G$4:$G$2136,Movement!$M$4:$M$2136,"USD",Movement!$C$4:$C$2136,Table11[[#This Row],[ACCOUNT NUMBER]],Movement!$J$4:$J$2136,Table11[[#This Row],[ENTITY]],Movement!$O$4:$O$2136,'Cash Balance'!$A$2)</f>
        <v>0</v>
      </c>
      <c r="T773" s="1087">
        <f t="shared" si="87"/>
        <v>0</v>
      </c>
      <c r="U773" s="1090"/>
      <c r="V773" s="1091">
        <f>Table11[[#This Row],[CLOSING BALANCE (USD)]]-Table11[[#This Row],[CB_BS (USD)]]</f>
        <v>0</v>
      </c>
      <c r="W773" s="1156" t="str">
        <f>VLOOKUP('Cash Balance'!$C773,Table2[#All],MATCH('Cash Balance'!W$3,Acc_Char!$B$1:$I$1,0),0)</f>
        <v>VC3</v>
      </c>
      <c r="X773" s="1156" t="str">
        <f>VLOOKUP(IFERROR(MID($Y773,1,FIND("-",$Y773)-2),$Y773),Table3[#All],2,0)</f>
        <v>TCB</v>
      </c>
      <c r="Y773" s="1156" t="str">
        <f>VLOOKUP($B773,Table4[#All],2,0)</f>
        <v>TECHCOMBANK</v>
      </c>
      <c r="Z773" s="1151"/>
      <c r="AA773" s="49"/>
    </row>
    <row r="774" spans="1:27">
      <c r="A774" s="1153" t="str">
        <f>VLOOKUP('Cash Balance'!$C774,Table2[#All],MATCH('Cash Balance'!A$3,Acc_Char!$B$1:$I$1,0),0)</f>
        <v>SAO HOA</v>
      </c>
      <c r="B774" s="1154" t="str">
        <f>VLOOKUP('Cash Balance'!$C774,Table2[#All],MATCH('Cash Balance'!B$3,Acc_Char!$B$1:$I$1,0),0)</f>
        <v>BIDV - THANH XUAN</v>
      </c>
      <c r="C774" s="1193" t="s">
        <v>1388</v>
      </c>
      <c r="D774" s="1156" t="str">
        <f>VLOOKUP('Cash Balance'!$C774,Table2[#All],MATCH('Cash Balance'!D$3,Acc_Char!$B$1:$I$1,0),0)</f>
        <v>Saving Account</v>
      </c>
      <c r="E774" s="384" t="str">
        <f>VLOOKUP('Cash Balance'!$C774,Table2[#All],MATCH('Cash Balance'!E$3,Acc_Char!$B$1:$I$1,0),0)</f>
        <v>VND</v>
      </c>
      <c r="F774" s="1084" t="e">
        <f>VLOOKUP(C774,'Cash balance (BS)'!A:C,3,)</f>
        <v>#N/A</v>
      </c>
      <c r="G774" s="1191" t="e">
        <f t="shared" si="88"/>
        <v>#N/A</v>
      </c>
      <c r="H774" s="1318">
        <f>SUMIFS('Cash balance (Prior period)'!F:F,'Cash balance (Prior period)'!C:C,Table11[[#This Row],[ACCOUNT NUMBER]],'Cash balance (Prior period)'!E:E,Table11[[#This Row],[CURRENCY]])</f>
        <v>0</v>
      </c>
      <c r="I774" s="1318">
        <f>SUMIFS(Movement!$F$4:$F$2136,Movement!$M$4:$M$2136,"VND",Movement!$C$4:$C$2136,Table11[[#This Row],[ACCOUNT NUMBER]],Movement!$J$4:$J$2136,Table11[[#This Row],[ENTITY]],Movement!$O$4:$O$2136,'Cash Balance'!$A$2)</f>
        <v>0</v>
      </c>
      <c r="J774" s="1318">
        <f>SUMIFS(Movement!$G$4:$G$2136,Movement!$M$4:$M$2136,"VND",Movement!$C$4:$C$2136,Table11[[#This Row],[ACCOUNT NUMBER]],Movement!$J$4:$J$2136,Table11[[#This Row],[ENTITY]],Movement!$O$4:$O$2136,'Cash Balance'!$A$2)</f>
        <v>0</v>
      </c>
      <c r="K774" s="1084">
        <f>Table11[[#This Row],[CASH IN - CREDIT (VND)]]-Table11[[#This Row],[CASH OUT - DEBIT (VND)]]</f>
        <v>0</v>
      </c>
      <c r="L774" s="1095">
        <f t="shared" si="85"/>
        <v>0</v>
      </c>
      <c r="M774" s="1184" t="e">
        <f>VLOOKUP(C774,'Cash balance (BS)'!A:D,4,)</f>
        <v>#N/A</v>
      </c>
      <c r="N774" s="1095" t="e">
        <f>Table11[[#This Row],[CLOSING BALANCE (VND)2]]-Table11[[#This Row],[CB_BS (VND)]]</f>
        <v>#N/A</v>
      </c>
      <c r="O774" s="1094">
        <v>0</v>
      </c>
      <c r="P774" s="1095">
        <f t="shared" si="86"/>
        <v>0</v>
      </c>
      <c r="Q774" s="817">
        <f>SUMIFS('Cash balance (Prior period)'!G:G,'Cash balance (Prior period)'!C:C,Table11[[#This Row],[ACCOUNT NUMBER]],'Cash balance (Prior period)'!E:E,Table11[[#This Row],[CURRENCY]])</f>
        <v>0</v>
      </c>
      <c r="R774" s="817">
        <f>SUMIFS(Movement!$F$4:$F$2136,Movement!$M$4:$M$2136,"USD",Movement!$C$4:$C$2136,Table11[[#This Row],[ACCOUNT NUMBER]],Movement!$J$4:$J$2136,Table11[[#This Row],[ENTITY]],Movement!$O$4:$O$2136,'Cash Balance'!$A$2)</f>
        <v>0</v>
      </c>
      <c r="S774" s="817">
        <f>SUMIFS(Movement!$G$4:$G$2136,Movement!$M$4:$M$2136,"USD",Movement!$C$4:$C$2136,Table11[[#This Row],[ACCOUNT NUMBER]],Movement!$J$4:$J$2136,Table11[[#This Row],[ENTITY]],Movement!$O$4:$O$2136,'Cash Balance'!$A$2)</f>
        <v>0</v>
      </c>
      <c r="T774" s="1087">
        <f t="shared" si="87"/>
        <v>0</v>
      </c>
      <c r="U774" s="1090"/>
      <c r="V774" s="1091">
        <f>Table11[[#This Row],[CLOSING BALANCE (USD)]]-Table11[[#This Row],[CB_BS (USD)]]</f>
        <v>0</v>
      </c>
      <c r="W774" s="1156" t="str">
        <f>VLOOKUP('Cash Balance'!$C774,Table2[#All],MATCH('Cash Balance'!W$3,Acc_Char!$B$1:$I$1,0),0)</f>
        <v>VC3</v>
      </c>
      <c r="X774" s="1156" t="str">
        <f>VLOOKUP(IFERROR(MID($Y774,1,FIND("-",$Y774)-2),$Y774),Table3[#All],2,0)</f>
        <v>BIDV</v>
      </c>
      <c r="Y774" s="1156" t="str">
        <f>VLOOKUP($B774,Table4[#All],2,0)</f>
        <v>BIDV - THANH XUAN</v>
      </c>
      <c r="Z774" s="1151"/>
      <c r="AA774" s="49"/>
    </row>
    <row r="775" spans="1:27">
      <c r="A775" s="1153" t="str">
        <f>VLOOKUP('Cash Balance'!$C775,Table2[#All],MATCH('Cash Balance'!A$3,Acc_Char!$B$1:$I$1,0),0)</f>
        <v>BAC TIEN PHONG</v>
      </c>
      <c r="B775" s="1154" t="str">
        <f>VLOOKUP('Cash Balance'!$C775,Table2[#All],MATCH('Cash Balance'!B$3,Acc_Char!$B$1:$I$1,0),0)</f>
        <v>BIDV - THANH XUAN</v>
      </c>
      <c r="C775" s="1204" t="s">
        <v>1389</v>
      </c>
      <c r="D775" s="1156" t="str">
        <f>VLOOKUP('Cash Balance'!$C775,Table2[#All],MATCH('Cash Balance'!D$3,Acc_Char!$B$1:$I$1,0),0)</f>
        <v>Saving Account</v>
      </c>
      <c r="E775" s="384" t="str">
        <f>VLOOKUP('Cash Balance'!$C775,Table2[#All],MATCH('Cash Balance'!E$3,Acc_Char!$B$1:$I$1,0),0)</f>
        <v>VND</v>
      </c>
      <c r="F775" s="1084" t="e">
        <f>VLOOKUP(C775,'Cash balance (BS)'!A:C,3,)</f>
        <v>#N/A</v>
      </c>
      <c r="G775" s="1191" t="e">
        <f t="shared" si="88"/>
        <v>#N/A</v>
      </c>
      <c r="H775" s="1318">
        <f>SUMIFS('Cash balance (Prior period)'!F:F,'Cash balance (Prior period)'!C:C,Table11[[#This Row],[ACCOUNT NUMBER]],'Cash balance (Prior period)'!E:E,Table11[[#This Row],[CURRENCY]])</f>
        <v>0</v>
      </c>
      <c r="I775" s="1318">
        <f>SUMIFS(Movement!$F$4:$F$2136,Movement!$M$4:$M$2136,"VND",Movement!$C$4:$C$2136,Table11[[#This Row],[ACCOUNT NUMBER]],Movement!$J$4:$J$2136,Table11[[#This Row],[ENTITY]],Movement!$O$4:$O$2136,'Cash Balance'!$A$2)</f>
        <v>0</v>
      </c>
      <c r="J775" s="1318">
        <f>SUMIFS(Movement!$G$4:$G$2136,Movement!$M$4:$M$2136,"VND",Movement!$C$4:$C$2136,Table11[[#This Row],[ACCOUNT NUMBER]],Movement!$J$4:$J$2136,Table11[[#This Row],[ENTITY]],Movement!$O$4:$O$2136,'Cash Balance'!$A$2)</f>
        <v>0</v>
      </c>
      <c r="K775" s="1084">
        <f>Table11[[#This Row],[CASH IN - CREDIT (VND)]]-Table11[[#This Row],[CASH OUT - DEBIT (VND)]]</f>
        <v>0</v>
      </c>
      <c r="L775" s="1095">
        <f t="shared" si="85"/>
        <v>0</v>
      </c>
      <c r="M775" s="1184" t="e">
        <f>VLOOKUP(C775,'Cash balance (BS)'!A:D,4,)</f>
        <v>#N/A</v>
      </c>
      <c r="N775" s="1095" t="e">
        <f>Table11[[#This Row],[CLOSING BALANCE (VND)2]]-Table11[[#This Row],[CB_BS (VND)]]</f>
        <v>#N/A</v>
      </c>
      <c r="O775" s="1094">
        <v>0</v>
      </c>
      <c r="P775" s="1095">
        <f t="shared" si="86"/>
        <v>0</v>
      </c>
      <c r="Q775" s="817">
        <f>SUMIFS('Cash balance (Prior period)'!G:G,'Cash balance (Prior period)'!C:C,Table11[[#This Row],[ACCOUNT NUMBER]],'Cash balance (Prior period)'!E:E,Table11[[#This Row],[CURRENCY]])</f>
        <v>0</v>
      </c>
      <c r="R775" s="817">
        <f>SUMIFS(Movement!$F$4:$F$2136,Movement!$M$4:$M$2136,"USD",Movement!$C$4:$C$2136,Table11[[#This Row],[ACCOUNT NUMBER]],Movement!$J$4:$J$2136,Table11[[#This Row],[ENTITY]],Movement!$O$4:$O$2136,'Cash Balance'!$A$2)</f>
        <v>0</v>
      </c>
      <c r="S775" s="817">
        <f>SUMIFS(Movement!$G$4:$G$2136,Movement!$M$4:$M$2136,"USD",Movement!$C$4:$C$2136,Table11[[#This Row],[ACCOUNT NUMBER]],Movement!$J$4:$J$2136,Table11[[#This Row],[ENTITY]],Movement!$O$4:$O$2136,'Cash Balance'!$A$2)</f>
        <v>0</v>
      </c>
      <c r="T775" s="1087">
        <f t="shared" si="87"/>
        <v>0</v>
      </c>
      <c r="U775" s="1090"/>
      <c r="V775" s="1091">
        <f>Table11[[#This Row],[CLOSING BALANCE (USD)]]-Table11[[#This Row],[CB_BS (USD)]]</f>
        <v>0</v>
      </c>
      <c r="W775" s="1156" t="str">
        <f>VLOOKUP('Cash Balance'!$C775,Table2[#All],MATCH('Cash Balance'!W$3,Acc_Char!$B$1:$I$1,0),0)</f>
        <v>Subsidiaries</v>
      </c>
      <c r="X775" s="1156" t="str">
        <f>VLOOKUP(IFERROR(MID($Y775,1,FIND("-",$Y775)-2),$Y775),Table3[#All],2,0)</f>
        <v>BIDV</v>
      </c>
      <c r="Y775" s="1156" t="str">
        <f>VLOOKUP($B775,Table4[#All],2,0)</f>
        <v>BIDV - THANH XUAN</v>
      </c>
      <c r="Z775" s="1151"/>
      <c r="AA775" s="49"/>
    </row>
    <row r="776" spans="1:27" s="1368" customFormat="1">
      <c r="A776" s="1153" t="str">
        <f>VLOOKUP('Cash Balance'!$C776,Table2[#All],MATCH('Cash Balance'!A$3,Acc_Char!$B$1:$I$1,0),0)</f>
        <v>BWID HAI DUONG</v>
      </c>
      <c r="B776" s="1154" t="str">
        <f>VLOOKUP('Cash Balance'!$C776,Table2[#All],MATCH('Cash Balance'!B$3,Acc_Char!$B$1:$I$1,0),0)</f>
        <v>VIETINBANK - TIEN SON</v>
      </c>
      <c r="C776" s="1204" t="s">
        <v>1390</v>
      </c>
      <c r="D776" s="1156" t="str">
        <f>VLOOKUP('Cash Balance'!$C776,Table2[#All],MATCH('Cash Balance'!D$3,Acc_Char!$B$1:$I$1,0),0)</f>
        <v>Saving Account</v>
      </c>
      <c r="E776" s="384" t="str">
        <f>VLOOKUP('Cash Balance'!$C776,Table2[#All],MATCH('Cash Balance'!E$3,Acc_Char!$B$1:$I$1,0),0)</f>
        <v>VND</v>
      </c>
      <c r="F776" s="1224" t="e">
        <f>VLOOKUP(C776,'Cash balance (BS)'!A:C,3,)</f>
        <v>#N/A</v>
      </c>
      <c r="G776" s="1191" t="e">
        <f>F776-H776</f>
        <v>#N/A</v>
      </c>
      <c r="H776" s="1319">
        <f>SUMIFS('Cash balance (Prior period)'!F:F,'Cash balance (Prior period)'!C:C,Table11[[#This Row],[ACCOUNT NUMBER]],'Cash balance (Prior period)'!E:E,Table11[[#This Row],[CURRENCY]])</f>
        <v>0</v>
      </c>
      <c r="I776" s="1319">
        <f>SUMIFS(Movement!$F$4:$F$2136,Movement!$M$4:$M$2136,"VND",Movement!$C$4:$C$2136,Table11[[#This Row],[ACCOUNT NUMBER]],Movement!$J$4:$J$2136,Table11[[#This Row],[ENTITY]],Movement!$O$4:$O$2136,'Cash Balance'!$A$2)</f>
        <v>0</v>
      </c>
      <c r="J776" s="1319">
        <f>SUMIFS(Movement!$G$4:$G$2136,Movement!$M$4:$M$2136,"VND",Movement!$C$4:$C$2136,Table11[[#This Row],[ACCOUNT NUMBER]],Movement!$J$4:$J$2136,Table11[[#This Row],[ENTITY]],Movement!$O$4:$O$2136,'Cash Balance'!$A$2)</f>
        <v>0</v>
      </c>
      <c r="K776" s="1224">
        <f>Table11[[#This Row],[CASH IN - CREDIT (VND)]]-Table11[[#This Row],[CASH OUT - DEBIT (VND)]]</f>
        <v>0</v>
      </c>
      <c r="L776" s="1225">
        <f>H776+I776-J776</f>
        <v>0</v>
      </c>
      <c r="M776" s="1184" t="e">
        <f>VLOOKUP(C776,'Cash balance (BS)'!A:D,4,)</f>
        <v>#N/A</v>
      </c>
      <c r="N776" s="1225" t="e">
        <f>Table11[[#This Row],[CLOSING BALANCE (VND)2]]-Table11[[#This Row],[CB_BS (VND)]]</f>
        <v>#N/A</v>
      </c>
      <c r="O776" s="1230">
        <v>0</v>
      </c>
      <c r="P776" s="1225">
        <f>O776-Q776</f>
        <v>0</v>
      </c>
      <c r="Q776" s="1285">
        <f>SUMIFS('Cash balance (Prior period)'!G:G,'Cash balance (Prior period)'!C:C,Table11[[#This Row],[ACCOUNT NUMBER]],'Cash balance (Prior period)'!E:E,Table11[[#This Row],[CURRENCY]])</f>
        <v>0</v>
      </c>
      <c r="R776" s="1285">
        <f>SUMIFS(Movement!$F$4:$F$2136,Movement!$M$4:$M$2136,"USD",Movement!$C$4:$C$2136,Table11[[#This Row],[ACCOUNT NUMBER]],Movement!$J$4:$J$2136,Table11[[#This Row],[ENTITY]],Movement!$O$4:$O$2136,'Cash Balance'!$A$2)</f>
        <v>0</v>
      </c>
      <c r="S776" s="1285">
        <f>SUMIFS(Movement!$G$4:$G$2136,Movement!$M$4:$M$2136,"USD",Movement!$C$4:$C$2136,Table11[[#This Row],[ACCOUNT NUMBER]],Movement!$J$4:$J$2136,Table11[[#This Row],[ENTITY]],Movement!$O$4:$O$2136,'Cash Balance'!$A$2)</f>
        <v>0</v>
      </c>
      <c r="T776" s="1236">
        <f>Q776+R776-S776</f>
        <v>0</v>
      </c>
      <c r="U776" s="1231"/>
      <c r="V776" s="1232">
        <f>Table11[[#This Row],[CLOSING BALANCE (USD)]]-Table11[[#This Row],[CB_BS (USD)]]</f>
        <v>0</v>
      </c>
      <c r="W776" s="1156" t="str">
        <f>VLOOKUP('Cash Balance'!$C776,Table2[#All],MATCH('Cash Balance'!W$3,Acc_Char!$B$1:$I$1,0),0)</f>
        <v>Subsidiaries</v>
      </c>
      <c r="X776" s="1156" t="str">
        <f>VLOOKUP(IFERROR(MID($Y776,1,FIND("-",$Y776)-2),$Y776),Table3[#All],2,0)</f>
        <v>VTB</v>
      </c>
      <c r="Y776" s="1156" t="str">
        <f>VLOOKUP($B776,Table4[#All],2,0)</f>
        <v>VIETINBANK - TIEN SON</v>
      </c>
      <c r="Z776" s="1151"/>
      <c r="AA776" s="49"/>
    </row>
    <row r="777" spans="1:27">
      <c r="A777" s="1153" t="str">
        <f>VLOOKUP('Cash Balance'!$C777,Table2[#All],MATCH('Cash Balance'!A$3,Acc_Char!$B$1:$I$1,0),0)</f>
        <v>MP3 SOLAR POWER</v>
      </c>
      <c r="B777" s="1154" t="str">
        <f>VLOOKUP('Cash Balance'!$C777,Table2[#All],MATCH('Cash Balance'!B$3,Acc_Char!$B$1:$I$1,0),0)</f>
        <v>VIETINBANK - DONG SAI GON</v>
      </c>
      <c r="C777" s="1204" t="s">
        <v>1391</v>
      </c>
      <c r="D777" s="1156" t="str">
        <f>VLOOKUP('Cash Balance'!$C777,Table2[#All],MATCH('Cash Balance'!D$3,Acc_Char!$B$1:$I$1,0),0)</f>
        <v>Saving Account</v>
      </c>
      <c r="E777" s="384" t="str">
        <f>VLOOKUP('Cash Balance'!$C777,Table2[#All],MATCH('Cash Balance'!E$3,Acc_Char!$B$1:$I$1,0),0)</f>
        <v>VND</v>
      </c>
      <c r="F777" s="1084" t="e">
        <f>VLOOKUP(C777,'Cash balance (BS)'!A:C,3,)</f>
        <v>#N/A</v>
      </c>
      <c r="G777" s="1191" t="e">
        <f t="shared" si="88"/>
        <v>#N/A</v>
      </c>
      <c r="H777" s="1318">
        <f>SUMIFS('Cash balance (Prior period)'!F:F,'Cash balance (Prior period)'!C:C,Table11[[#This Row],[ACCOUNT NUMBER]],'Cash balance (Prior period)'!E:E,Table11[[#This Row],[CURRENCY]])</f>
        <v>1500000000</v>
      </c>
      <c r="I777" s="1318">
        <f>SUMIFS(Movement!$F$4:$F$2136,Movement!$M$4:$M$2136,"VND",Movement!$C$4:$C$2136,Table11[[#This Row],[ACCOUNT NUMBER]],Movement!$J$4:$J$2136,Table11[[#This Row],[ENTITY]],Movement!$O$4:$O$2136,'Cash Balance'!$A$2)</f>
        <v>0</v>
      </c>
      <c r="J777" s="1318">
        <f>SUMIFS(Movement!$G$4:$G$2136,Movement!$M$4:$M$2136,"VND",Movement!$C$4:$C$2136,Table11[[#This Row],[ACCOUNT NUMBER]],Movement!$J$4:$J$2136,Table11[[#This Row],[ENTITY]],Movement!$O$4:$O$2136,'Cash Balance'!$A$2)</f>
        <v>0</v>
      </c>
      <c r="K777" s="1084">
        <f>Table11[[#This Row],[CASH IN - CREDIT (VND)]]-Table11[[#This Row],[CASH OUT - DEBIT (VND)]]</f>
        <v>0</v>
      </c>
      <c r="L777" s="1095">
        <f t="shared" si="85"/>
        <v>1500000000</v>
      </c>
      <c r="M777" s="1184" t="e">
        <f>VLOOKUP(C777,'Cash balance (BS)'!A:D,4,)</f>
        <v>#N/A</v>
      </c>
      <c r="N777" s="1095" t="e">
        <f>Table11[[#This Row],[CLOSING BALANCE (VND)2]]-Table11[[#This Row],[CB_BS (VND)]]</f>
        <v>#N/A</v>
      </c>
      <c r="O777" s="1094">
        <v>0</v>
      </c>
      <c r="P777" s="1095">
        <f t="shared" si="86"/>
        <v>0</v>
      </c>
      <c r="Q777" s="817">
        <f>SUMIFS('Cash balance (Prior period)'!G:G,'Cash balance (Prior period)'!C:C,Table11[[#This Row],[ACCOUNT NUMBER]],'Cash balance (Prior period)'!E:E,Table11[[#This Row],[CURRENCY]])</f>
        <v>0</v>
      </c>
      <c r="R777" s="817">
        <f>SUMIFS(Movement!$F$4:$F$2136,Movement!$M$4:$M$2136,"USD",Movement!$C$4:$C$2136,Table11[[#This Row],[ACCOUNT NUMBER]],Movement!$J$4:$J$2136,Table11[[#This Row],[ENTITY]],Movement!$O$4:$O$2136,'Cash Balance'!$A$2)</f>
        <v>0</v>
      </c>
      <c r="S777" s="817">
        <f>SUMIFS(Movement!$G$4:$G$2136,Movement!$M$4:$M$2136,"USD",Movement!$C$4:$C$2136,Table11[[#This Row],[ACCOUNT NUMBER]],Movement!$J$4:$J$2136,Table11[[#This Row],[ENTITY]],Movement!$O$4:$O$2136,'Cash Balance'!$A$2)</f>
        <v>0</v>
      </c>
      <c r="T777" s="1087">
        <f t="shared" si="87"/>
        <v>0</v>
      </c>
      <c r="U777" s="1090"/>
      <c r="V777" s="1091">
        <f>Table11[[#This Row],[CLOSING BALANCE (USD)]]-Table11[[#This Row],[CB_BS (USD)]]</f>
        <v>0</v>
      </c>
      <c r="W777" s="1156" t="str">
        <f>VLOOKUP('Cash Balance'!$C777,Table2[#All],MATCH('Cash Balance'!W$3,Acc_Char!$B$1:$I$1,0),0)</f>
        <v>Subsidiaries</v>
      </c>
      <c r="X777" s="1156" t="str">
        <f>VLOOKUP(IFERROR(MID($Y777,1,FIND("-",$Y777)-2),$Y777),Table3[#All],2,0)</f>
        <v>VTB</v>
      </c>
      <c r="Y777" s="1156" t="str">
        <f>VLOOKUP($B777,Table4[#All],2,0)</f>
        <v>VIETINBANK - DONG SAI GON</v>
      </c>
      <c r="Z777" s="1151"/>
      <c r="AA777" s="49"/>
    </row>
    <row r="778" spans="1:27">
      <c r="A778" s="1153" t="str">
        <f>VLOOKUP('Cash Balance'!$C778,Table2[#All],MATCH('Cash Balance'!A$3,Acc_Char!$B$1:$I$1,0),0)</f>
        <v>TPT1 SOLAR POWER</v>
      </c>
      <c r="B778" s="1154" t="str">
        <f>VLOOKUP('Cash Balance'!$C778,Table2[#All],MATCH('Cash Balance'!B$3,Acc_Char!$B$1:$I$1,0),0)</f>
        <v>VIETINBANK - DONG SAI GON</v>
      </c>
      <c r="C778" s="1204" t="s">
        <v>1392</v>
      </c>
      <c r="D778" s="1156" t="str">
        <f>VLOOKUP('Cash Balance'!$C778,Table2[#All],MATCH('Cash Balance'!D$3,Acc_Char!$B$1:$I$1,0),0)</f>
        <v>Saving Account</v>
      </c>
      <c r="E778" s="384" t="str">
        <f>VLOOKUP('Cash Balance'!$C778,Table2[#All],MATCH('Cash Balance'!E$3,Acc_Char!$B$1:$I$1,0),0)</f>
        <v>VND</v>
      </c>
      <c r="F778" s="1084" t="e">
        <f>VLOOKUP(C778,'Cash balance (BS)'!A:C,3,)</f>
        <v>#N/A</v>
      </c>
      <c r="G778" s="1191" t="e">
        <f t="shared" si="88"/>
        <v>#N/A</v>
      </c>
      <c r="H778" s="1318">
        <f>SUMIFS('Cash balance (Prior period)'!F:F,'Cash balance (Prior period)'!C:C,Table11[[#This Row],[ACCOUNT NUMBER]],'Cash balance (Prior period)'!E:E,Table11[[#This Row],[CURRENCY]])</f>
        <v>1000000000</v>
      </c>
      <c r="I778" s="1318">
        <f>SUMIFS(Movement!$F$4:$F$2136,Movement!$M$4:$M$2136,"VND",Movement!$C$4:$C$2136,Table11[[#This Row],[ACCOUNT NUMBER]],Movement!$J$4:$J$2136,Table11[[#This Row],[ENTITY]],Movement!$O$4:$O$2136,'Cash Balance'!$A$2)</f>
        <v>0</v>
      </c>
      <c r="J778" s="1318">
        <f>SUMIFS(Movement!$G$4:$G$2136,Movement!$M$4:$M$2136,"VND",Movement!$C$4:$C$2136,Table11[[#This Row],[ACCOUNT NUMBER]],Movement!$J$4:$J$2136,Table11[[#This Row],[ENTITY]],Movement!$O$4:$O$2136,'Cash Balance'!$A$2)</f>
        <v>0</v>
      </c>
      <c r="K778" s="1084">
        <f>Table11[[#This Row],[CASH IN - CREDIT (VND)]]-Table11[[#This Row],[CASH OUT - DEBIT (VND)]]</f>
        <v>0</v>
      </c>
      <c r="L778" s="1095">
        <f t="shared" si="85"/>
        <v>1000000000</v>
      </c>
      <c r="M778" s="1184" t="e">
        <f>VLOOKUP(C778,'Cash balance (BS)'!A:D,4,)</f>
        <v>#N/A</v>
      </c>
      <c r="N778" s="1095" t="e">
        <f>Table11[[#This Row],[CLOSING BALANCE (VND)2]]-Table11[[#This Row],[CB_BS (VND)]]</f>
        <v>#N/A</v>
      </c>
      <c r="O778" s="1094">
        <v>0</v>
      </c>
      <c r="P778" s="1095">
        <f t="shared" si="86"/>
        <v>0</v>
      </c>
      <c r="Q778" s="817">
        <f>SUMIFS('Cash balance (Prior period)'!G:G,'Cash balance (Prior period)'!C:C,Table11[[#This Row],[ACCOUNT NUMBER]],'Cash balance (Prior period)'!E:E,Table11[[#This Row],[CURRENCY]])</f>
        <v>0</v>
      </c>
      <c r="R778" s="817">
        <f>SUMIFS(Movement!$F$4:$F$2136,Movement!$M$4:$M$2136,"USD",Movement!$C$4:$C$2136,Table11[[#This Row],[ACCOUNT NUMBER]],Movement!$J$4:$J$2136,Table11[[#This Row],[ENTITY]],Movement!$O$4:$O$2136,'Cash Balance'!$A$2)</f>
        <v>0</v>
      </c>
      <c r="S778" s="817">
        <f>SUMIFS(Movement!$G$4:$G$2136,Movement!$M$4:$M$2136,"USD",Movement!$C$4:$C$2136,Table11[[#This Row],[ACCOUNT NUMBER]],Movement!$J$4:$J$2136,Table11[[#This Row],[ENTITY]],Movement!$O$4:$O$2136,'Cash Balance'!$A$2)</f>
        <v>0</v>
      </c>
      <c r="T778" s="1087">
        <f t="shared" si="87"/>
        <v>0</v>
      </c>
      <c r="U778" s="1090"/>
      <c r="V778" s="1091">
        <f>Table11[[#This Row],[CLOSING BALANCE (USD)]]-Table11[[#This Row],[CB_BS (USD)]]</f>
        <v>0</v>
      </c>
      <c r="W778" s="1156" t="str">
        <f>VLOOKUP('Cash Balance'!$C778,Table2[#All],MATCH('Cash Balance'!W$3,Acc_Char!$B$1:$I$1,0),0)</f>
        <v>Subsidiaries</v>
      </c>
      <c r="X778" s="1156" t="str">
        <f>VLOOKUP(IFERROR(MID($Y778,1,FIND("-",$Y778)-2),$Y778),Table3[#All],2,0)</f>
        <v>VTB</v>
      </c>
      <c r="Y778" s="1156" t="str">
        <f>VLOOKUP($B778,Table4[#All],2,0)</f>
        <v>VIETINBANK - DONG SAI GON</v>
      </c>
      <c r="Z778" s="1151"/>
      <c r="AA778" s="49"/>
    </row>
    <row r="779" spans="1:27">
      <c r="A779" s="1153" t="str">
        <f>VLOOKUP('Cash Balance'!$C779,Table2[#All],MATCH('Cash Balance'!A$3,Acc_Char!$B$1:$I$1,0),0)</f>
        <v>GREAT KINGDOM NT 2</v>
      </c>
      <c r="B779" s="1154" t="str">
        <f>VLOOKUP('Cash Balance'!$C779,Table2[#All],MATCH('Cash Balance'!B$3,Acc_Char!$B$1:$I$1,0),0)</f>
        <v>VIETINBANK - CN1</v>
      </c>
      <c r="C779" s="1204" t="s">
        <v>1393</v>
      </c>
      <c r="D779" s="1156" t="str">
        <f>VLOOKUP('Cash Balance'!$C779,Table2[#All],MATCH('Cash Balance'!D$3,Acc_Char!$B$1:$I$1,0),0)</f>
        <v>Saving Account</v>
      </c>
      <c r="E779" s="384" t="str">
        <f>VLOOKUP('Cash Balance'!$C779,Table2[#All],MATCH('Cash Balance'!E$3,Acc_Char!$B$1:$I$1,0),0)</f>
        <v>VND</v>
      </c>
      <c r="F779" s="1084" t="e">
        <f>VLOOKUP(C779,'Cash balance (BS)'!A:C,3,)</f>
        <v>#N/A</v>
      </c>
      <c r="G779" s="1191" t="e">
        <f t="shared" si="88"/>
        <v>#N/A</v>
      </c>
      <c r="H779" s="1318">
        <f>SUMIFS('Cash balance (Prior period)'!F:F,'Cash balance (Prior period)'!C:C,Table11[[#This Row],[ACCOUNT NUMBER]],'Cash balance (Prior period)'!E:E,Table11[[#This Row],[CURRENCY]])</f>
        <v>0</v>
      </c>
      <c r="I779" s="1318">
        <f>SUMIFS(Movement!$F$4:$F$2136,Movement!$M$4:$M$2136,"VND",Movement!$C$4:$C$2136,Table11[[#This Row],[ACCOUNT NUMBER]],Movement!$J$4:$J$2136,Table11[[#This Row],[ENTITY]],Movement!$O$4:$O$2136,'Cash Balance'!$A$2)</f>
        <v>0</v>
      </c>
      <c r="J779" s="1318">
        <f>SUMIFS(Movement!$G$4:$G$2136,Movement!$M$4:$M$2136,"VND",Movement!$C$4:$C$2136,Table11[[#This Row],[ACCOUNT NUMBER]],Movement!$J$4:$J$2136,Table11[[#This Row],[ENTITY]],Movement!$O$4:$O$2136,'Cash Balance'!$A$2)</f>
        <v>0</v>
      </c>
      <c r="K779" s="1084">
        <f>Table11[[#This Row],[CASH IN - CREDIT (VND)]]-Table11[[#This Row],[CASH OUT - DEBIT (VND)]]</f>
        <v>0</v>
      </c>
      <c r="L779" s="1095">
        <f t="shared" si="85"/>
        <v>0</v>
      </c>
      <c r="M779" s="1184" t="e">
        <f>VLOOKUP(C779,'Cash balance (BS)'!A:D,4,)</f>
        <v>#N/A</v>
      </c>
      <c r="N779" s="1095" t="e">
        <f>Table11[[#This Row],[CLOSING BALANCE (VND)2]]-Table11[[#This Row],[CB_BS (VND)]]</f>
        <v>#N/A</v>
      </c>
      <c r="O779" s="1094">
        <v>0</v>
      </c>
      <c r="P779" s="1095">
        <f t="shared" si="86"/>
        <v>0</v>
      </c>
      <c r="Q779" s="817">
        <f>SUMIFS('Cash balance (Prior period)'!G:G,'Cash balance (Prior period)'!C:C,Table11[[#This Row],[ACCOUNT NUMBER]],'Cash balance (Prior period)'!E:E,Table11[[#This Row],[CURRENCY]])</f>
        <v>0</v>
      </c>
      <c r="R779" s="817">
        <f>SUMIFS(Movement!$F$4:$F$2136,Movement!$M$4:$M$2136,"USD",Movement!$C$4:$C$2136,Table11[[#This Row],[ACCOUNT NUMBER]],Movement!$J$4:$J$2136,Table11[[#This Row],[ENTITY]],Movement!$O$4:$O$2136,'Cash Balance'!$A$2)</f>
        <v>0</v>
      </c>
      <c r="S779" s="817">
        <f>SUMIFS(Movement!$G$4:$G$2136,Movement!$M$4:$M$2136,"USD",Movement!$C$4:$C$2136,Table11[[#This Row],[ACCOUNT NUMBER]],Movement!$J$4:$J$2136,Table11[[#This Row],[ENTITY]],Movement!$O$4:$O$2136,'Cash Balance'!$A$2)</f>
        <v>0</v>
      </c>
      <c r="T779" s="1087">
        <f t="shared" si="87"/>
        <v>0</v>
      </c>
      <c r="U779" s="1090"/>
      <c r="V779" s="1091">
        <f>Table11[[#This Row],[CLOSING BALANCE (USD)]]-Table11[[#This Row],[CB_BS (USD)]]</f>
        <v>0</v>
      </c>
      <c r="W779" s="1156" t="str">
        <f>VLOOKUP('Cash Balance'!$C779,Table2[#All],MATCH('Cash Balance'!W$3,Acc_Char!$B$1:$I$1,0),0)</f>
        <v>Subsidiaries</v>
      </c>
      <c r="X779" s="1156" t="str">
        <f>VLOOKUP(IFERROR(MID($Y779,1,FIND("-",$Y779)-2),$Y779),Table3[#All],2,0)</f>
        <v>VTB</v>
      </c>
      <c r="Y779" s="1156" t="str">
        <f>VLOOKUP($B779,Table4[#All],2,0)</f>
        <v>VIETINBANK - CN1</v>
      </c>
      <c r="Z779" s="1151"/>
      <c r="AA779" s="49"/>
    </row>
    <row r="780" spans="1:27">
      <c r="A780" s="1153" t="str">
        <f>VLOOKUP('Cash Balance'!$C780,Table2[#All],MATCH('Cash Balance'!A$3,Acc_Char!$B$1:$I$1,0),0)</f>
        <v>BWID THOI HOA</v>
      </c>
      <c r="B780" s="1154" t="str">
        <f>VLOOKUP('Cash Balance'!$C780,Table2[#All],MATCH('Cash Balance'!B$3,Acc_Char!$B$1:$I$1,0),0)</f>
        <v>VIETCOMBANK - HCM</v>
      </c>
      <c r="C780" s="1204" t="s">
        <v>1394</v>
      </c>
      <c r="D780" s="1156" t="str">
        <f>VLOOKUP('Cash Balance'!$C780,Table2[#All],MATCH('Cash Balance'!D$3,Acc_Char!$B$1:$I$1,0),0)</f>
        <v>Saving Account</v>
      </c>
      <c r="E780" s="384" t="str">
        <f>VLOOKUP('Cash Balance'!$C780,Table2[#All],MATCH('Cash Balance'!E$3,Acc_Char!$B$1:$I$1,0),0)</f>
        <v>VND</v>
      </c>
      <c r="F780" s="1084" t="e">
        <f>VLOOKUP(C780,'Cash balance (BS)'!A:C,3,)</f>
        <v>#N/A</v>
      </c>
      <c r="G780" s="1191" t="e">
        <f t="shared" si="88"/>
        <v>#N/A</v>
      </c>
      <c r="H780" s="1318">
        <f>SUMIFS('Cash balance (Prior period)'!F:F,'Cash balance (Prior period)'!C:C,Table11[[#This Row],[ACCOUNT NUMBER]],'Cash balance (Prior period)'!E:E,Table11[[#This Row],[CURRENCY]])</f>
        <v>24000000000</v>
      </c>
      <c r="I780" s="1318">
        <f>SUMIFS(Movement!$F$4:$F$2136,Movement!$M$4:$M$2136,"VND",Movement!$C$4:$C$2136,Table11[[#This Row],[ACCOUNT NUMBER]],Movement!$J$4:$J$2136,Table11[[#This Row],[ENTITY]],Movement!$O$4:$O$2136,'Cash Balance'!$A$2)</f>
        <v>0</v>
      </c>
      <c r="J780" s="1318">
        <f>SUMIFS(Movement!$G$4:$G$2136,Movement!$M$4:$M$2136,"VND",Movement!$C$4:$C$2136,Table11[[#This Row],[ACCOUNT NUMBER]],Movement!$J$4:$J$2136,Table11[[#This Row],[ENTITY]],Movement!$O$4:$O$2136,'Cash Balance'!$A$2)</f>
        <v>0</v>
      </c>
      <c r="K780" s="1084">
        <f>Table11[[#This Row],[CASH IN - CREDIT (VND)]]-Table11[[#This Row],[CASH OUT - DEBIT (VND)]]</f>
        <v>0</v>
      </c>
      <c r="L780" s="1095">
        <f t="shared" si="85"/>
        <v>24000000000</v>
      </c>
      <c r="M780" s="1184" t="e">
        <f>VLOOKUP(C780,'Cash balance (BS)'!A:D,4,)</f>
        <v>#N/A</v>
      </c>
      <c r="N780" s="1095" t="e">
        <f>Table11[[#This Row],[CLOSING BALANCE (VND)2]]-Table11[[#This Row],[CB_BS (VND)]]</f>
        <v>#N/A</v>
      </c>
      <c r="O780" s="1094">
        <v>0</v>
      </c>
      <c r="P780" s="1095">
        <f t="shared" si="86"/>
        <v>0</v>
      </c>
      <c r="Q780" s="817">
        <f>SUMIFS('Cash balance (Prior period)'!G:G,'Cash balance (Prior period)'!C:C,Table11[[#This Row],[ACCOUNT NUMBER]],'Cash balance (Prior period)'!E:E,Table11[[#This Row],[CURRENCY]])</f>
        <v>0</v>
      </c>
      <c r="R780" s="817">
        <f>SUMIFS(Movement!$F$4:$F$2136,Movement!$M$4:$M$2136,"USD",Movement!$C$4:$C$2136,Table11[[#This Row],[ACCOUNT NUMBER]],Movement!$J$4:$J$2136,Table11[[#This Row],[ENTITY]],Movement!$O$4:$O$2136,'Cash Balance'!$A$2)</f>
        <v>0</v>
      </c>
      <c r="S780" s="817">
        <f>SUMIFS(Movement!$G$4:$G$2136,Movement!$M$4:$M$2136,"USD",Movement!$C$4:$C$2136,Table11[[#This Row],[ACCOUNT NUMBER]],Movement!$J$4:$J$2136,Table11[[#This Row],[ENTITY]],Movement!$O$4:$O$2136,'Cash Balance'!$A$2)</f>
        <v>0</v>
      </c>
      <c r="T780" s="1087">
        <f t="shared" si="87"/>
        <v>0</v>
      </c>
      <c r="U780" s="1090"/>
      <c r="V780" s="1091">
        <f>Table11[[#This Row],[CLOSING BALANCE (USD)]]-Table11[[#This Row],[CB_BS (USD)]]</f>
        <v>0</v>
      </c>
      <c r="W780" s="1156" t="str">
        <f>VLOOKUP('Cash Balance'!$C780,Table2[#All],MATCH('Cash Balance'!W$3,Acc_Char!$B$1:$I$1,0),0)</f>
        <v>Subsidiaries</v>
      </c>
      <c r="X780" s="1156" t="str">
        <f>VLOOKUP(IFERROR(MID($Y780,1,FIND("-",$Y780)-2),$Y780),Table3[#All],2,0)</f>
        <v>VCB</v>
      </c>
      <c r="Y780" s="1156" t="str">
        <f>VLOOKUP($B780,Table4[#All],2,0)</f>
        <v>VIETCOMBANK - HCM</v>
      </c>
      <c r="Z780" s="1151"/>
      <c r="AA780" s="49"/>
    </row>
    <row r="781" spans="1:27">
      <c r="A781" s="1153" t="str">
        <f>VLOOKUP('Cash Balance'!$C781,Table2[#All],MATCH('Cash Balance'!A$3,Acc_Char!$B$1:$I$1,0),0)</f>
        <v>THUAN DAO</v>
      </c>
      <c r="B781" s="1154" t="str">
        <f>VLOOKUP('Cash Balance'!$C781,Table2[#All],MATCH('Cash Balance'!B$3,Acc_Char!$B$1:$I$1,0),0)</f>
        <v>VIETINBANK - TPHCM</v>
      </c>
      <c r="C781" s="1204" t="s">
        <v>1395</v>
      </c>
      <c r="D781" s="1156" t="str">
        <f>VLOOKUP('Cash Balance'!$C781,Table2[#All],MATCH('Cash Balance'!D$3,Acc_Char!$B$1:$I$1,0),0)</f>
        <v>Saving Account</v>
      </c>
      <c r="E781" s="384" t="str">
        <f>VLOOKUP('Cash Balance'!$C781,Table2[#All],MATCH('Cash Balance'!E$3,Acc_Char!$B$1:$I$1,0),0)</f>
        <v>VND</v>
      </c>
      <c r="F781" s="1084" t="e">
        <f>VLOOKUP(C781,'Cash balance (BS)'!A:C,3,)</f>
        <v>#N/A</v>
      </c>
      <c r="G781" s="1191" t="e">
        <f t="shared" si="88"/>
        <v>#N/A</v>
      </c>
      <c r="H781" s="1318">
        <f>SUMIFS('Cash balance (Prior period)'!F:F,'Cash balance (Prior period)'!C:C,Table11[[#This Row],[ACCOUNT NUMBER]],'Cash balance (Prior period)'!E:E,Table11[[#This Row],[CURRENCY]])</f>
        <v>0</v>
      </c>
      <c r="I781" s="1318">
        <f>SUMIFS(Movement!$F$4:$F$2136,Movement!$M$4:$M$2136,"VND",Movement!$C$4:$C$2136,Table11[[#This Row],[ACCOUNT NUMBER]],Movement!$J$4:$J$2136,Table11[[#This Row],[ENTITY]],Movement!$O$4:$O$2136,'Cash Balance'!$A$2)</f>
        <v>0</v>
      </c>
      <c r="J781" s="1318">
        <f>SUMIFS(Movement!$G$4:$G$2136,Movement!$M$4:$M$2136,"VND",Movement!$C$4:$C$2136,Table11[[#This Row],[ACCOUNT NUMBER]],Movement!$J$4:$J$2136,Table11[[#This Row],[ENTITY]],Movement!$O$4:$O$2136,'Cash Balance'!$A$2)</f>
        <v>0</v>
      </c>
      <c r="K781" s="1084">
        <f>Table11[[#This Row],[CASH IN - CREDIT (VND)]]-Table11[[#This Row],[CASH OUT - DEBIT (VND)]]</f>
        <v>0</v>
      </c>
      <c r="L781" s="1095">
        <f t="shared" si="85"/>
        <v>0</v>
      </c>
      <c r="M781" s="1184" t="e">
        <f>VLOOKUP(C781,'Cash balance (BS)'!A:D,4,)</f>
        <v>#N/A</v>
      </c>
      <c r="N781" s="1095" t="e">
        <f>Table11[[#This Row],[CLOSING BALANCE (VND)2]]-Table11[[#This Row],[CB_BS (VND)]]</f>
        <v>#N/A</v>
      </c>
      <c r="O781" s="1094">
        <v>0</v>
      </c>
      <c r="P781" s="1095">
        <f t="shared" si="86"/>
        <v>0</v>
      </c>
      <c r="Q781" s="817">
        <f>SUMIFS('Cash balance (Prior period)'!G:G,'Cash balance (Prior period)'!C:C,Table11[[#This Row],[ACCOUNT NUMBER]],'Cash balance (Prior period)'!E:E,Table11[[#This Row],[CURRENCY]])</f>
        <v>0</v>
      </c>
      <c r="R781" s="817">
        <f>SUMIFS(Movement!$F$4:$F$2136,Movement!$M$4:$M$2136,"USD",Movement!$C$4:$C$2136,Table11[[#This Row],[ACCOUNT NUMBER]],Movement!$J$4:$J$2136,Table11[[#This Row],[ENTITY]],Movement!$O$4:$O$2136,'Cash Balance'!$A$2)</f>
        <v>0</v>
      </c>
      <c r="S781" s="817">
        <f>SUMIFS(Movement!$G$4:$G$2136,Movement!$M$4:$M$2136,"USD",Movement!$C$4:$C$2136,Table11[[#This Row],[ACCOUNT NUMBER]],Movement!$J$4:$J$2136,Table11[[#This Row],[ENTITY]],Movement!$O$4:$O$2136,'Cash Balance'!$A$2)</f>
        <v>0</v>
      </c>
      <c r="T781" s="1087">
        <f t="shared" si="87"/>
        <v>0</v>
      </c>
      <c r="U781" s="1090"/>
      <c r="V781" s="1091">
        <f>Table11[[#This Row],[CLOSING BALANCE (USD)]]-Table11[[#This Row],[CB_BS (USD)]]</f>
        <v>0</v>
      </c>
      <c r="W781" s="1156" t="str">
        <f>VLOOKUP('Cash Balance'!$C781,Table2[#All],MATCH('Cash Balance'!W$3,Acc_Char!$B$1:$I$1,0),0)</f>
        <v>Subsidiaries</v>
      </c>
      <c r="X781" s="1156" t="str">
        <f>VLOOKUP(IFERROR(MID($Y781,1,FIND("-",$Y781)-2),$Y781),Table3[#All],2,0)</f>
        <v>VTB</v>
      </c>
      <c r="Y781" s="1156" t="str">
        <f>VLOOKUP($B781,Table4[#All],2,0)</f>
        <v>VIETINBANK - TPHCM</v>
      </c>
      <c r="Z781" s="1151"/>
      <c r="AA781" s="49"/>
    </row>
    <row r="782" spans="1:27">
      <c r="A782" s="1153" t="str">
        <f>VLOOKUP('Cash Balance'!$C782,Table2[#All],MATCH('Cash Balance'!A$3,Acc_Char!$B$1:$I$1,0),0)</f>
        <v>BWID LOGISTICS TAN UYEN</v>
      </c>
      <c r="B782" s="1154" t="str">
        <f>VLOOKUP('Cash Balance'!$C782,Table2[#All],MATCH('Cash Balance'!B$3,Acc_Char!$B$1:$I$1,0),0)</f>
        <v>VIETCOMBANK - BA DINH</v>
      </c>
      <c r="C782" s="1204" t="s">
        <v>1396</v>
      </c>
      <c r="D782" s="1156" t="str">
        <f>VLOOKUP('Cash Balance'!$C782,Table2[#All],MATCH('Cash Balance'!D$3,Acc_Char!$B$1:$I$1,0),0)</f>
        <v>Saving Account</v>
      </c>
      <c r="E782" s="384" t="str">
        <f>VLOOKUP('Cash Balance'!$C782,Table2[#All],MATCH('Cash Balance'!E$3,Acc_Char!$B$1:$I$1,0),0)</f>
        <v>VND</v>
      </c>
      <c r="F782" s="1084" t="e">
        <f>VLOOKUP(C782,'Cash balance (BS)'!A:C,3,)</f>
        <v>#N/A</v>
      </c>
      <c r="G782" s="1191" t="e">
        <f t="shared" si="88"/>
        <v>#N/A</v>
      </c>
      <c r="H782" s="1318">
        <f>SUMIFS('Cash balance (Prior period)'!F:F,'Cash balance (Prior period)'!C:C,Table11[[#This Row],[ACCOUNT NUMBER]],'Cash balance (Prior period)'!E:E,Table11[[#This Row],[CURRENCY]])</f>
        <v>0</v>
      </c>
      <c r="I782" s="1318">
        <f>SUMIFS(Movement!$F$4:$F$2136,Movement!$M$4:$M$2136,"VND",Movement!$C$4:$C$2136,Table11[[#This Row],[ACCOUNT NUMBER]],Movement!$J$4:$J$2136,Table11[[#This Row],[ENTITY]],Movement!$O$4:$O$2136,'Cash Balance'!$A$2)</f>
        <v>0</v>
      </c>
      <c r="J782" s="1318">
        <f>SUMIFS(Movement!$G$4:$G$2136,Movement!$M$4:$M$2136,"VND",Movement!$C$4:$C$2136,Table11[[#This Row],[ACCOUNT NUMBER]],Movement!$J$4:$J$2136,Table11[[#This Row],[ENTITY]],Movement!$O$4:$O$2136,'Cash Balance'!$A$2)</f>
        <v>0</v>
      </c>
      <c r="K782" s="1084">
        <f>Table11[[#This Row],[CASH IN - CREDIT (VND)]]-Table11[[#This Row],[CASH OUT - DEBIT (VND)]]</f>
        <v>0</v>
      </c>
      <c r="L782" s="1095">
        <f t="shared" si="85"/>
        <v>0</v>
      </c>
      <c r="M782" s="1184" t="e">
        <f>VLOOKUP(C782,'Cash balance (BS)'!A:D,4,)</f>
        <v>#N/A</v>
      </c>
      <c r="N782" s="1095" t="e">
        <f>Table11[[#This Row],[CLOSING BALANCE (VND)2]]-Table11[[#This Row],[CB_BS (VND)]]</f>
        <v>#N/A</v>
      </c>
      <c r="O782" s="1094">
        <v>0</v>
      </c>
      <c r="P782" s="1095">
        <f t="shared" si="86"/>
        <v>0</v>
      </c>
      <c r="Q782" s="817">
        <f>SUMIFS('Cash balance (Prior period)'!G:G,'Cash balance (Prior period)'!C:C,Table11[[#This Row],[ACCOUNT NUMBER]],'Cash balance (Prior period)'!E:E,Table11[[#This Row],[CURRENCY]])</f>
        <v>0</v>
      </c>
      <c r="R782" s="817">
        <f>SUMIFS(Movement!$F$4:$F$2136,Movement!$M$4:$M$2136,"USD",Movement!$C$4:$C$2136,Table11[[#This Row],[ACCOUNT NUMBER]],Movement!$J$4:$J$2136,Table11[[#This Row],[ENTITY]],Movement!$O$4:$O$2136,'Cash Balance'!$A$2)</f>
        <v>0</v>
      </c>
      <c r="S782" s="817">
        <f>SUMIFS(Movement!$G$4:$G$2136,Movement!$M$4:$M$2136,"USD",Movement!$C$4:$C$2136,Table11[[#This Row],[ACCOUNT NUMBER]],Movement!$J$4:$J$2136,Table11[[#This Row],[ENTITY]],Movement!$O$4:$O$2136,'Cash Balance'!$A$2)</f>
        <v>0</v>
      </c>
      <c r="T782" s="1087">
        <f t="shared" si="87"/>
        <v>0</v>
      </c>
      <c r="U782" s="1090"/>
      <c r="V782" s="1091">
        <f>Table11[[#This Row],[CLOSING BALANCE (USD)]]-Table11[[#This Row],[CB_BS (USD)]]</f>
        <v>0</v>
      </c>
      <c r="W782" s="1156" t="str">
        <f>VLOOKUP('Cash Balance'!$C782,Table2[#All],MATCH('Cash Balance'!W$3,Acc_Char!$B$1:$I$1,0),0)</f>
        <v>Subsidiaries</v>
      </c>
      <c r="X782" s="1156" t="str">
        <f>VLOOKUP(IFERROR(MID($Y782,1,FIND("-",$Y782)-2),$Y782),Table3[#All],2,0)</f>
        <v>VCB</v>
      </c>
      <c r="Y782" s="1156" t="str">
        <f>VLOOKUP($B782,Table4[#All],2,0)</f>
        <v>VIETCOMBANK - BA DINH</v>
      </c>
      <c r="Z782" s="1151"/>
      <c r="AA782" s="49"/>
    </row>
    <row r="783" spans="1:27">
      <c r="A783" s="1153" t="str">
        <f>VLOOKUP('Cash Balance'!$C783,Table2[#All],MATCH('Cash Balance'!A$3,Acc_Char!$B$1:$I$1,0),0)</f>
        <v>BWID HAI DUONG 2</v>
      </c>
      <c r="B783" s="1154" t="str">
        <f>VLOOKUP('Cash Balance'!$C783,Table2[#All],MATCH('Cash Balance'!B$3,Acc_Char!$B$1:$I$1,0),0)</f>
        <v>VIETINBANK - TIEN SON</v>
      </c>
      <c r="C783" s="1204" t="s">
        <v>1397</v>
      </c>
      <c r="D783" s="1156" t="str">
        <f>VLOOKUP('Cash Balance'!$C783,Table2[#All],MATCH('Cash Balance'!D$3,Acc_Char!$B$1:$I$1,0),0)</f>
        <v>Saving Account</v>
      </c>
      <c r="E783" s="384" t="str">
        <f>VLOOKUP('Cash Balance'!$C783,Table2[#All],MATCH('Cash Balance'!E$3,Acc_Char!$B$1:$I$1,0),0)</f>
        <v>VND</v>
      </c>
      <c r="F783" s="1084" t="e">
        <f>VLOOKUP(C783,'Cash balance (BS)'!A:C,3,)</f>
        <v>#N/A</v>
      </c>
      <c r="G783" s="1191" t="e">
        <f t="shared" ref="G783" si="89">F783-H783</f>
        <v>#N/A</v>
      </c>
      <c r="H783" s="1318">
        <f>SUMIFS('Cash balance (Prior period)'!F:F,'Cash balance (Prior period)'!C:C,Table11[[#This Row],[ACCOUNT NUMBER]],'Cash balance (Prior period)'!E:E,Table11[[#This Row],[CURRENCY]])</f>
        <v>0</v>
      </c>
      <c r="I783" s="1318">
        <f>SUMIFS(Movement!$F$4:$F$2136,Movement!$M$4:$M$2136,"VND",Movement!$C$4:$C$2136,Table11[[#This Row],[ACCOUNT NUMBER]],Movement!$J$4:$J$2136,Table11[[#This Row],[ENTITY]],Movement!$O$4:$O$2136,'Cash Balance'!$A$2)</f>
        <v>0</v>
      </c>
      <c r="J783" s="1318">
        <f>SUMIFS(Movement!$G$4:$G$2136,Movement!$M$4:$M$2136,"VND",Movement!$C$4:$C$2136,Table11[[#This Row],[ACCOUNT NUMBER]],Movement!$J$4:$J$2136,Table11[[#This Row],[ENTITY]],Movement!$O$4:$O$2136,'Cash Balance'!$A$2)</f>
        <v>0</v>
      </c>
      <c r="K783" s="1084">
        <f>Table11[[#This Row],[CASH IN - CREDIT (VND)]]-Table11[[#This Row],[CASH OUT - DEBIT (VND)]]</f>
        <v>0</v>
      </c>
      <c r="L783" s="1095">
        <f t="shared" si="85"/>
        <v>0</v>
      </c>
      <c r="M783" s="1184" t="e">
        <f>VLOOKUP(C783,'Cash balance (BS)'!A:D,4,)</f>
        <v>#N/A</v>
      </c>
      <c r="N783" s="1095" t="e">
        <f>Table11[[#This Row],[CLOSING BALANCE (VND)2]]-Table11[[#This Row],[CB_BS (VND)]]</f>
        <v>#N/A</v>
      </c>
      <c r="O783" s="1094">
        <v>0</v>
      </c>
      <c r="P783" s="1095">
        <f t="shared" si="86"/>
        <v>0</v>
      </c>
      <c r="Q783" s="817">
        <f>SUMIFS('Cash balance (Prior period)'!G:G,'Cash balance (Prior period)'!C:C,Table11[[#This Row],[ACCOUNT NUMBER]],'Cash balance (Prior period)'!E:E,Table11[[#This Row],[CURRENCY]])</f>
        <v>0</v>
      </c>
      <c r="R783" s="817">
        <f>SUMIFS(Movement!$F$4:$F$2136,Movement!$M$4:$M$2136,"USD",Movement!$C$4:$C$2136,Table11[[#This Row],[ACCOUNT NUMBER]],Movement!$J$4:$J$2136,Table11[[#This Row],[ENTITY]],Movement!$O$4:$O$2136,'Cash Balance'!$A$2)</f>
        <v>0</v>
      </c>
      <c r="S783" s="817">
        <f>SUMIFS(Movement!$G$4:$G$2136,Movement!$M$4:$M$2136,"USD",Movement!$C$4:$C$2136,Table11[[#This Row],[ACCOUNT NUMBER]],Movement!$J$4:$J$2136,Table11[[#This Row],[ENTITY]],Movement!$O$4:$O$2136,'Cash Balance'!$A$2)</f>
        <v>0</v>
      </c>
      <c r="T783" s="1087">
        <f t="shared" si="87"/>
        <v>0</v>
      </c>
      <c r="U783" s="1090"/>
      <c r="V783" s="1091">
        <f>Table11[[#This Row],[CLOSING BALANCE (USD)]]-Table11[[#This Row],[CB_BS (USD)]]</f>
        <v>0</v>
      </c>
      <c r="W783" s="1156" t="str">
        <f>VLOOKUP('Cash Balance'!$C783,Table2[#All],MATCH('Cash Balance'!W$3,Acc_Char!$B$1:$I$1,0),0)</f>
        <v>Subsidiaries</v>
      </c>
      <c r="X783" s="1156" t="str">
        <f>VLOOKUP(IFERROR(MID($Y783,1,FIND("-",$Y783)-2),$Y783),Table3[#All],2,0)</f>
        <v>VTB</v>
      </c>
      <c r="Y783" s="1156" t="str">
        <f>VLOOKUP($B783,Table4[#All],2,0)</f>
        <v>VIETINBANK - TIEN SON</v>
      </c>
      <c r="Z783" s="1151"/>
      <c r="AA783" s="49"/>
    </row>
    <row r="784" spans="1:27">
      <c r="A784" s="1153" t="str">
        <f>VLOOKUP('Cash Balance'!$C784,Table2[#All],MATCH('Cash Balance'!A$3,Acc_Char!$B$1:$I$1,0),0)</f>
        <v>LE MINH XUAN 3</v>
      </c>
      <c r="B784" s="1154" t="str">
        <f>VLOOKUP('Cash Balance'!$C784,Table2[#All],MATCH('Cash Balance'!B$3,Acc_Char!$B$1:$I$1,0),0)</f>
        <v>VIETINBANK - TPHCM</v>
      </c>
      <c r="C784" s="1204" t="s">
        <v>1398</v>
      </c>
      <c r="D784" s="1156" t="str">
        <f>VLOOKUP('Cash Balance'!$C784,Table2[#All],MATCH('Cash Balance'!D$3,Acc_Char!$B$1:$I$1,0),0)</f>
        <v>Saving Account</v>
      </c>
      <c r="E784" s="384" t="str">
        <f>VLOOKUP('Cash Balance'!$C784,Table2[#All],MATCH('Cash Balance'!E$3,Acc_Char!$B$1:$I$1,0),0)</f>
        <v>VND</v>
      </c>
      <c r="F784" s="1084" t="e">
        <f>VLOOKUP(C784,'Cash balance (BS)'!A:C,3,)</f>
        <v>#N/A</v>
      </c>
      <c r="G784" s="1191" t="e">
        <f t="shared" si="88"/>
        <v>#N/A</v>
      </c>
      <c r="H784" s="1318">
        <f>SUMIFS('Cash balance (Prior period)'!F:F,'Cash balance (Prior period)'!C:C,Table11[[#This Row],[ACCOUNT NUMBER]],'Cash balance (Prior period)'!E:E,Table11[[#This Row],[CURRENCY]])</f>
        <v>0</v>
      </c>
      <c r="I784" s="1318">
        <f>SUMIFS(Movement!$F$4:$F$2136,Movement!$M$4:$M$2136,"VND",Movement!$C$4:$C$2136,Table11[[#This Row],[ACCOUNT NUMBER]],Movement!$J$4:$J$2136,Table11[[#This Row],[ENTITY]],Movement!$O$4:$O$2136,'Cash Balance'!$A$2)</f>
        <v>0</v>
      </c>
      <c r="J784" s="1318">
        <f>SUMIFS(Movement!$G$4:$G$2136,Movement!$M$4:$M$2136,"VND",Movement!$C$4:$C$2136,Table11[[#This Row],[ACCOUNT NUMBER]],Movement!$J$4:$J$2136,Table11[[#This Row],[ENTITY]],Movement!$O$4:$O$2136,'Cash Balance'!$A$2)</f>
        <v>0</v>
      </c>
      <c r="K784" s="1084">
        <f>Table11[[#This Row],[CASH IN - CREDIT (VND)]]-Table11[[#This Row],[CASH OUT - DEBIT (VND)]]</f>
        <v>0</v>
      </c>
      <c r="L784" s="1095">
        <f t="shared" si="85"/>
        <v>0</v>
      </c>
      <c r="M784" s="1184" t="e">
        <f>VLOOKUP(C784,'Cash balance (BS)'!A:D,4,)</f>
        <v>#N/A</v>
      </c>
      <c r="N784" s="1095" t="e">
        <f>Table11[[#This Row],[CLOSING BALANCE (VND)2]]-Table11[[#This Row],[CB_BS (VND)]]</f>
        <v>#N/A</v>
      </c>
      <c r="O784" s="1094">
        <v>0</v>
      </c>
      <c r="P784" s="1095">
        <f t="shared" si="86"/>
        <v>0</v>
      </c>
      <c r="Q784" s="817">
        <f>SUMIFS('Cash balance (Prior period)'!G:G,'Cash balance (Prior period)'!C:C,Table11[[#This Row],[ACCOUNT NUMBER]],'Cash balance (Prior period)'!E:E,Table11[[#This Row],[CURRENCY]])</f>
        <v>0</v>
      </c>
      <c r="R784" s="817">
        <f>SUMIFS(Movement!$F$4:$F$2136,Movement!$M$4:$M$2136,"USD",Movement!$C$4:$C$2136,Table11[[#This Row],[ACCOUNT NUMBER]],Movement!$J$4:$J$2136,Table11[[#This Row],[ENTITY]],Movement!$O$4:$O$2136,'Cash Balance'!$A$2)</f>
        <v>0</v>
      </c>
      <c r="S784" s="817">
        <f>SUMIFS(Movement!$G$4:$G$2136,Movement!$M$4:$M$2136,"USD",Movement!$C$4:$C$2136,Table11[[#This Row],[ACCOUNT NUMBER]],Movement!$J$4:$J$2136,Table11[[#This Row],[ENTITY]],Movement!$O$4:$O$2136,'Cash Balance'!$A$2)</f>
        <v>0</v>
      </c>
      <c r="T784" s="1087">
        <f t="shared" si="87"/>
        <v>0</v>
      </c>
      <c r="U784" s="1090"/>
      <c r="V784" s="1091">
        <f>Table11[[#This Row],[CLOSING BALANCE (USD)]]-Table11[[#This Row],[CB_BS (USD)]]</f>
        <v>0</v>
      </c>
      <c r="W784" s="1156" t="str">
        <f>VLOOKUP('Cash Balance'!$C784,Table2[#All],MATCH('Cash Balance'!W$3,Acc_Char!$B$1:$I$1,0),0)</f>
        <v>Subsidiaries</v>
      </c>
      <c r="X784" s="1156" t="str">
        <f>VLOOKUP(IFERROR(MID($Y784,1,FIND("-",$Y784)-2),$Y784),Table3[#All],2,0)</f>
        <v>VTB</v>
      </c>
      <c r="Y784" s="1156" t="str">
        <f>VLOOKUP($B784,Table4[#All],2,0)</f>
        <v>VIETINBANK - TPHCM</v>
      </c>
      <c r="Z784" s="1151"/>
      <c r="AA784" s="49"/>
    </row>
    <row r="785" spans="1:27">
      <c r="A785" s="1153" t="str">
        <f>VLOOKUP('Cash Balance'!$C785,Table2[#All],MATCH('Cash Balance'!A$3,Acc_Char!$B$1:$I$1,0),0)</f>
        <v>BWID Tan Phu Trung</v>
      </c>
      <c r="B785" s="1154" t="str">
        <f>VLOOKUP('Cash Balance'!$C785,Table2[#All],MATCH('Cash Balance'!B$3,Acc_Char!$B$1:$I$1,0),0)</f>
        <v>VIETINBANK - TIEN SON</v>
      </c>
      <c r="C785" s="1204" t="s">
        <v>1399</v>
      </c>
      <c r="D785" s="1156" t="str">
        <f>VLOOKUP('Cash Balance'!$C785,Table2[#All],MATCH('Cash Balance'!D$3,Acc_Char!$B$1:$I$1,0),0)</f>
        <v>Saving Account</v>
      </c>
      <c r="E785" s="384" t="str">
        <f>VLOOKUP('Cash Balance'!$C785,Table2[#All],MATCH('Cash Balance'!E$3,Acc_Char!$B$1:$I$1,0),0)</f>
        <v>VND</v>
      </c>
      <c r="F785" s="1084" t="e">
        <f>VLOOKUP(C785,'Cash balance (BS)'!A:C,3,)</f>
        <v>#N/A</v>
      </c>
      <c r="G785" s="1191" t="e">
        <f t="shared" ref="G785" si="90">F785-H785</f>
        <v>#N/A</v>
      </c>
      <c r="H785" s="1318">
        <f>SUMIFS('Cash balance (Prior period)'!F:F,'Cash balance (Prior period)'!C:C,Table11[[#This Row],[ACCOUNT NUMBER]],'Cash balance (Prior period)'!E:E,Table11[[#This Row],[CURRENCY]])</f>
        <v>0</v>
      </c>
      <c r="I785" s="1318">
        <f>SUMIFS(Movement!$F$4:$F$2136,Movement!$M$4:$M$2136,"VND",Movement!$C$4:$C$2136,Table11[[#This Row],[ACCOUNT NUMBER]],Movement!$J$4:$J$2136,Table11[[#This Row],[ENTITY]],Movement!$O$4:$O$2136,'Cash Balance'!$A$2)</f>
        <v>0</v>
      </c>
      <c r="J785" s="1318">
        <f>SUMIFS(Movement!$G$4:$G$2136,Movement!$M$4:$M$2136,"VND",Movement!$C$4:$C$2136,Table11[[#This Row],[ACCOUNT NUMBER]],Movement!$J$4:$J$2136,Table11[[#This Row],[ENTITY]],Movement!$O$4:$O$2136,'Cash Balance'!$A$2)</f>
        <v>0</v>
      </c>
      <c r="K785" s="1084">
        <f>Table11[[#This Row],[CASH IN - CREDIT (VND)]]-Table11[[#This Row],[CASH OUT - DEBIT (VND)]]</f>
        <v>0</v>
      </c>
      <c r="L785" s="1095">
        <f t="shared" si="85"/>
        <v>0</v>
      </c>
      <c r="M785" s="1184" t="e">
        <f>VLOOKUP(C785,'Cash balance (BS)'!A:D,4,)</f>
        <v>#N/A</v>
      </c>
      <c r="N785" s="1095" t="e">
        <f>Table11[[#This Row],[CLOSING BALANCE (VND)2]]-Table11[[#This Row],[CB_BS (VND)]]</f>
        <v>#N/A</v>
      </c>
      <c r="O785" s="1094">
        <v>0</v>
      </c>
      <c r="P785" s="1095">
        <f t="shared" si="86"/>
        <v>0</v>
      </c>
      <c r="Q785" s="817">
        <f>SUMIFS('Cash balance (Prior period)'!G:G,'Cash balance (Prior period)'!C:C,Table11[[#This Row],[ACCOUNT NUMBER]],'Cash balance (Prior period)'!E:E,Table11[[#This Row],[CURRENCY]])</f>
        <v>0</v>
      </c>
      <c r="R785" s="817">
        <f>SUMIFS(Movement!$F$4:$F$2136,Movement!$M$4:$M$2136,"USD",Movement!$C$4:$C$2136,Table11[[#This Row],[ACCOUNT NUMBER]],Movement!$J$4:$J$2136,Table11[[#This Row],[ENTITY]],Movement!$O$4:$O$2136,'Cash Balance'!$A$2)</f>
        <v>0</v>
      </c>
      <c r="S785" s="817">
        <f>SUMIFS(Movement!$G$4:$G$2136,Movement!$M$4:$M$2136,"USD",Movement!$C$4:$C$2136,Table11[[#This Row],[ACCOUNT NUMBER]],Movement!$J$4:$J$2136,Table11[[#This Row],[ENTITY]],Movement!$O$4:$O$2136,'Cash Balance'!$A$2)</f>
        <v>0</v>
      </c>
      <c r="T785" s="1087">
        <f t="shared" si="87"/>
        <v>0</v>
      </c>
      <c r="U785" s="1090"/>
      <c r="V785" s="1091">
        <f>Table11[[#This Row],[CLOSING BALANCE (USD)]]-Table11[[#This Row],[CB_BS (USD)]]</f>
        <v>0</v>
      </c>
      <c r="W785" s="1156" t="str">
        <f>VLOOKUP('Cash Balance'!$C785,Table2[#All],MATCH('Cash Balance'!W$3,Acc_Char!$B$1:$I$1,0),0)</f>
        <v>Subsidiaries</v>
      </c>
      <c r="X785" s="1156" t="str">
        <f>VLOOKUP(IFERROR(MID($Y785,1,FIND("-",$Y785)-2),$Y785),Table3[#All],2,0)</f>
        <v>VTB</v>
      </c>
      <c r="Y785" s="1156" t="str">
        <f>VLOOKUP($B785,Table4[#All],2,0)</f>
        <v>VIETINBANK - TIEN SON</v>
      </c>
      <c r="Z785" s="1151"/>
      <c r="AA785" s="49"/>
    </row>
    <row r="786" spans="1:27">
      <c r="A786" s="1153" t="str">
        <f>VLOOKUP('Cash Balance'!$C786,Table2[#All],MATCH('Cash Balance'!A$3,Acc_Char!$B$1:$I$1,0),0)</f>
        <v>THUAN THANH 3B</v>
      </c>
      <c r="B786" s="1154" t="str">
        <f>VLOOKUP('Cash Balance'!$C786,Table2[#All],MATCH('Cash Balance'!B$3,Acc_Char!$B$1:$I$1,0),0)</f>
        <v>VIETCOMBANK - BA DINH</v>
      </c>
      <c r="C786" s="1204" t="s">
        <v>5392</v>
      </c>
      <c r="D786" s="1156" t="str">
        <f>VLOOKUP('Cash Balance'!$C786,Table2[#All],MATCH('Cash Balance'!D$3,Acc_Char!$B$1:$I$1,0),0)</f>
        <v>Saving Account</v>
      </c>
      <c r="E786" s="384" t="str">
        <f>VLOOKUP('Cash Balance'!$C786,Table2[#All],MATCH('Cash Balance'!E$3,Acc_Char!$B$1:$I$1,0),0)</f>
        <v>VND</v>
      </c>
      <c r="F786" s="1084" t="e">
        <f>VLOOKUP(C786,'Cash balance (BS)'!A:C,3,)</f>
        <v>#N/A</v>
      </c>
      <c r="G786" s="1191" t="e">
        <f t="shared" ref="G786" si="91">F786-H786</f>
        <v>#N/A</v>
      </c>
      <c r="H786" s="1318">
        <f>SUMIFS('Cash balance (Prior period)'!F:F,'Cash balance (Prior period)'!C:C,Table11[[#This Row],[ACCOUNT NUMBER]],'Cash balance (Prior period)'!E:E,Table11[[#This Row],[CURRENCY]])</f>
        <v>3500000000</v>
      </c>
      <c r="I786" s="1318">
        <f>SUMIFS(Movement!$F$4:$F$2136,Movement!$M$4:$M$2136,"VND",Movement!$C$4:$C$2136,Table11[[#This Row],[ACCOUNT NUMBER]],Movement!$J$4:$J$2136,Table11[[#This Row],[ENTITY]],Movement!$O$4:$O$2136,'Cash Balance'!$A$2)</f>
        <v>0</v>
      </c>
      <c r="J786" s="1318">
        <f>SUMIFS(Movement!$G$4:$G$2136,Movement!$M$4:$M$2136,"VND",Movement!$C$4:$C$2136,Table11[[#This Row],[ACCOUNT NUMBER]],Movement!$J$4:$J$2136,Table11[[#This Row],[ENTITY]],Movement!$O$4:$O$2136,'Cash Balance'!$A$2)</f>
        <v>0</v>
      </c>
      <c r="K786" s="1084">
        <f>Table11[[#This Row],[CASH IN - CREDIT (VND)]]-Table11[[#This Row],[CASH OUT - DEBIT (VND)]]</f>
        <v>0</v>
      </c>
      <c r="L786" s="1095">
        <f t="shared" si="85"/>
        <v>3500000000</v>
      </c>
      <c r="M786" s="1184" t="e">
        <f>VLOOKUP(C786,'Cash balance (BS)'!A:D,4,)</f>
        <v>#N/A</v>
      </c>
      <c r="N786" s="1095" t="e">
        <f>Table11[[#This Row],[CLOSING BALANCE (VND)2]]-Table11[[#This Row],[CB_BS (VND)]]</f>
        <v>#N/A</v>
      </c>
      <c r="O786" s="1094">
        <v>0</v>
      </c>
      <c r="P786" s="1095">
        <f t="shared" si="86"/>
        <v>0</v>
      </c>
      <c r="Q786" s="817">
        <f>SUMIFS('Cash balance (Prior period)'!G:G,'Cash balance (Prior period)'!C:C,Table11[[#This Row],[ACCOUNT NUMBER]],'Cash balance (Prior period)'!E:E,Table11[[#This Row],[CURRENCY]])</f>
        <v>0</v>
      </c>
      <c r="R786" s="817">
        <f>SUMIFS(Movement!$F$4:$F$2136,Movement!$M$4:$M$2136,"USD",Movement!$C$4:$C$2136,Table11[[#This Row],[ACCOUNT NUMBER]],Movement!$J$4:$J$2136,Table11[[#This Row],[ENTITY]],Movement!$O$4:$O$2136,'Cash Balance'!$A$2)</f>
        <v>0</v>
      </c>
      <c r="S786" s="817">
        <f>SUMIFS(Movement!$G$4:$G$2136,Movement!$M$4:$M$2136,"USD",Movement!$C$4:$C$2136,Table11[[#This Row],[ACCOUNT NUMBER]],Movement!$J$4:$J$2136,Table11[[#This Row],[ENTITY]],Movement!$O$4:$O$2136,'Cash Balance'!$A$2)</f>
        <v>0</v>
      </c>
      <c r="T786" s="1087">
        <f t="shared" si="87"/>
        <v>0</v>
      </c>
      <c r="U786" s="1090"/>
      <c r="V786" s="1091">
        <f>Table11[[#This Row],[CLOSING BALANCE (USD)]]-Table11[[#This Row],[CB_BS (USD)]]</f>
        <v>0</v>
      </c>
      <c r="W786" s="1156" t="str">
        <f>VLOOKUP('Cash Balance'!$C786,Table2[#All],MATCH('Cash Balance'!W$3,Acc_Char!$B$1:$I$1,0),0)</f>
        <v>Subsidiaries</v>
      </c>
      <c r="X786" s="1156" t="str">
        <f>VLOOKUP(IFERROR(MID($Y786,1,FIND("-",$Y786)-2),$Y786),Table3[#All],2,0)</f>
        <v>VCB</v>
      </c>
      <c r="Y786" s="1156" t="str">
        <f>VLOOKUP($B786,Table4[#All],2,0)</f>
        <v>VIETCOMBANK - BA DINH</v>
      </c>
      <c r="Z786" s="1151"/>
      <c r="AA786" s="49"/>
    </row>
    <row r="787" spans="1:27">
      <c r="A787" s="1153" t="str">
        <f>VLOOKUP('Cash Balance'!$C787,Table2[#All],MATCH('Cash Balance'!A$3,Acc_Char!$B$1:$I$1,0),0)</f>
        <v>THUAN THANH 3B</v>
      </c>
      <c r="B787" s="1154" t="str">
        <f>VLOOKUP('Cash Balance'!$C787,Table2[#All],MATCH('Cash Balance'!B$3,Acc_Char!$B$1:$I$1,0),0)</f>
        <v>VIETCOMBANK - BA DINH</v>
      </c>
      <c r="C787" s="1204" t="s">
        <v>5393</v>
      </c>
      <c r="D787" s="1156" t="str">
        <f>VLOOKUP('Cash Balance'!$C787,Table2[#All],MATCH('Cash Balance'!D$3,Acc_Char!$B$1:$I$1,0),0)</f>
        <v>Saving Account</v>
      </c>
      <c r="E787" s="384" t="str">
        <f>VLOOKUP('Cash Balance'!$C787,Table2[#All],MATCH('Cash Balance'!E$3,Acc_Char!$B$1:$I$1,0),0)</f>
        <v>VND</v>
      </c>
      <c r="F787" s="1084" t="e">
        <f>VLOOKUP(C787,'Cash balance (BS)'!A:C,3,)</f>
        <v>#N/A</v>
      </c>
      <c r="G787" s="1191" t="e">
        <f t="shared" ref="G787" si="92">F787-H787</f>
        <v>#N/A</v>
      </c>
      <c r="H787" s="1318">
        <f>SUMIFS('Cash balance (Prior period)'!F:F,'Cash balance (Prior period)'!C:C,Table11[[#This Row],[ACCOUNT NUMBER]],'Cash balance (Prior period)'!E:E,Table11[[#This Row],[CURRENCY]])</f>
        <v>0</v>
      </c>
      <c r="I787" s="1318">
        <f>SUMIFS(Movement!$F$4:$F$2136,Movement!$M$4:$M$2136,"VND",Movement!$C$4:$C$2136,Table11[[#This Row],[ACCOUNT NUMBER]],Movement!$J$4:$J$2136,Table11[[#This Row],[ENTITY]],Movement!$O$4:$O$2136,'Cash Balance'!$A$2)</f>
        <v>0</v>
      </c>
      <c r="J787" s="1318">
        <f>SUMIFS(Movement!$G$4:$G$2136,Movement!$M$4:$M$2136,"VND",Movement!$C$4:$C$2136,Table11[[#This Row],[ACCOUNT NUMBER]],Movement!$J$4:$J$2136,Table11[[#This Row],[ENTITY]],Movement!$O$4:$O$2136,'Cash Balance'!$A$2)</f>
        <v>0</v>
      </c>
      <c r="K787" s="1084">
        <f>Table11[[#This Row],[CASH IN - CREDIT (VND)]]-Table11[[#This Row],[CASH OUT - DEBIT (VND)]]</f>
        <v>0</v>
      </c>
      <c r="L787" s="1095">
        <f t="shared" si="85"/>
        <v>0</v>
      </c>
      <c r="M787" s="1184" t="e">
        <f>VLOOKUP(C787,'Cash balance (BS)'!A:D,4,)</f>
        <v>#N/A</v>
      </c>
      <c r="N787" s="1095" t="e">
        <f>Table11[[#This Row],[CLOSING BALANCE (VND)2]]-Table11[[#This Row],[CB_BS (VND)]]</f>
        <v>#N/A</v>
      </c>
      <c r="O787" s="1094">
        <v>0</v>
      </c>
      <c r="P787" s="1095">
        <f t="shared" si="86"/>
        <v>0</v>
      </c>
      <c r="Q787" s="817">
        <f>SUMIFS('Cash balance (Prior period)'!G:G,'Cash balance (Prior period)'!C:C,Table11[[#This Row],[ACCOUNT NUMBER]],'Cash balance (Prior period)'!E:E,Table11[[#This Row],[CURRENCY]])</f>
        <v>0</v>
      </c>
      <c r="R787" s="817">
        <f>SUMIFS(Movement!$F$4:$F$2136,Movement!$M$4:$M$2136,"USD",Movement!$C$4:$C$2136,Table11[[#This Row],[ACCOUNT NUMBER]],Movement!$J$4:$J$2136,Table11[[#This Row],[ENTITY]],Movement!$O$4:$O$2136,'Cash Balance'!$A$2)</f>
        <v>0</v>
      </c>
      <c r="S787" s="817">
        <f>SUMIFS(Movement!$G$4:$G$2136,Movement!$M$4:$M$2136,"USD",Movement!$C$4:$C$2136,Table11[[#This Row],[ACCOUNT NUMBER]],Movement!$J$4:$J$2136,Table11[[#This Row],[ENTITY]],Movement!$O$4:$O$2136,'Cash Balance'!$A$2)</f>
        <v>0</v>
      </c>
      <c r="T787" s="1087">
        <f t="shared" si="87"/>
        <v>0</v>
      </c>
      <c r="U787" s="1090"/>
      <c r="V787" s="1091">
        <f>Table11[[#This Row],[CLOSING BALANCE (USD)]]-Table11[[#This Row],[CB_BS (USD)]]</f>
        <v>0</v>
      </c>
      <c r="W787" s="1156" t="str">
        <f>VLOOKUP('Cash Balance'!$C787,Table2[#All],MATCH('Cash Balance'!W$3,Acc_Char!$B$1:$I$1,0),0)</f>
        <v>Subsidiaries</v>
      </c>
      <c r="X787" s="1156" t="str">
        <f>VLOOKUP(IFERROR(MID($Y787,1,FIND("-",$Y787)-2),$Y787),Table3[#All],2,0)</f>
        <v>VCB</v>
      </c>
      <c r="Y787" s="1156" t="str">
        <f>VLOOKUP($B787,Table4[#All],2,0)</f>
        <v>VIETCOMBANK - BA DINH</v>
      </c>
      <c r="Z787" s="1151"/>
      <c r="AA787" s="49"/>
    </row>
    <row r="788" spans="1:27">
      <c r="A788" s="1153" t="str">
        <f>VLOOKUP('Cash Balance'!$C788,Table2[#All],MATCH('Cash Balance'!A$3,Acc_Char!$B$1:$I$1,0),0)</f>
        <v>SAO HOA</v>
      </c>
      <c r="B788" s="1154" t="str">
        <f>VLOOKUP('Cash Balance'!$C788,Table2[#All],MATCH('Cash Balance'!B$3,Acc_Char!$B$1:$I$1,0),0)</f>
        <v>VIETCOMBANK - HCM</v>
      </c>
      <c r="C788" s="1204" t="s">
        <v>1400</v>
      </c>
      <c r="D788" s="1156" t="str">
        <f>VLOOKUP('Cash Balance'!$C788,Table2[#All],MATCH('Cash Balance'!D$3,Acc_Char!$B$1:$I$1,0),0)</f>
        <v>Saving Account</v>
      </c>
      <c r="E788" s="384" t="str">
        <f>VLOOKUP('Cash Balance'!$C788,Table2[#All],MATCH('Cash Balance'!E$3,Acc_Char!$B$1:$I$1,0),0)</f>
        <v>VND</v>
      </c>
      <c r="F788" s="1084" t="e">
        <f>VLOOKUP(C788,'Cash balance (BS)'!A:C,3,)</f>
        <v>#N/A</v>
      </c>
      <c r="G788" s="1191" t="e">
        <f t="shared" ref="G788" si="93">F788-H788</f>
        <v>#N/A</v>
      </c>
      <c r="H788" s="1318">
        <f>SUMIFS('Cash balance (Prior period)'!F:F,'Cash balance (Prior period)'!C:C,Table11[[#This Row],[ACCOUNT NUMBER]],'Cash balance (Prior period)'!E:E,Table11[[#This Row],[CURRENCY]])</f>
        <v>0</v>
      </c>
      <c r="I788" s="1318">
        <f>SUMIFS(Movement!$F$4:$F$2136,Movement!$M$4:$M$2136,"VND",Movement!$C$4:$C$2136,Table11[[#This Row],[ACCOUNT NUMBER]],Movement!$J$4:$J$2136,Table11[[#This Row],[ENTITY]],Movement!$O$4:$O$2136,'Cash Balance'!$A$2)</f>
        <v>0</v>
      </c>
      <c r="J788" s="1318">
        <f>SUMIFS(Movement!$G$4:$G$2136,Movement!$M$4:$M$2136,"VND",Movement!$C$4:$C$2136,Table11[[#This Row],[ACCOUNT NUMBER]],Movement!$J$4:$J$2136,Table11[[#This Row],[ENTITY]],Movement!$O$4:$O$2136,'Cash Balance'!$A$2)</f>
        <v>0</v>
      </c>
      <c r="K788" s="1084">
        <f>Table11[[#This Row],[CASH IN - CREDIT (VND)]]-Table11[[#This Row],[CASH OUT - DEBIT (VND)]]</f>
        <v>0</v>
      </c>
      <c r="L788" s="1095">
        <f t="shared" si="85"/>
        <v>0</v>
      </c>
      <c r="M788" s="1184" t="e">
        <f>VLOOKUP(C788,'Cash balance (BS)'!A:D,4,)</f>
        <v>#N/A</v>
      </c>
      <c r="N788" s="1095" t="e">
        <f>Table11[[#This Row],[CLOSING BALANCE (VND)2]]-Table11[[#This Row],[CB_BS (VND)]]</f>
        <v>#N/A</v>
      </c>
      <c r="O788" s="1094">
        <v>0</v>
      </c>
      <c r="P788" s="1095">
        <f t="shared" si="86"/>
        <v>0</v>
      </c>
      <c r="Q788" s="817">
        <f>SUMIFS('Cash balance (Prior period)'!G:G,'Cash balance (Prior period)'!C:C,Table11[[#This Row],[ACCOUNT NUMBER]],'Cash balance (Prior period)'!E:E,Table11[[#This Row],[CURRENCY]])</f>
        <v>0</v>
      </c>
      <c r="R788" s="817">
        <f>SUMIFS(Movement!$F$4:$F$2136,Movement!$M$4:$M$2136,"USD",Movement!$C$4:$C$2136,Table11[[#This Row],[ACCOUNT NUMBER]],Movement!$J$4:$J$2136,Table11[[#This Row],[ENTITY]],Movement!$O$4:$O$2136,'Cash Balance'!$A$2)</f>
        <v>0</v>
      </c>
      <c r="S788" s="817">
        <f>SUMIFS(Movement!$G$4:$G$2136,Movement!$M$4:$M$2136,"USD",Movement!$C$4:$C$2136,Table11[[#This Row],[ACCOUNT NUMBER]],Movement!$J$4:$J$2136,Table11[[#This Row],[ENTITY]],Movement!$O$4:$O$2136,'Cash Balance'!$A$2)</f>
        <v>0</v>
      </c>
      <c r="T788" s="1087">
        <f t="shared" si="87"/>
        <v>0</v>
      </c>
      <c r="U788" s="1090"/>
      <c r="V788" s="1091">
        <f>Table11[[#This Row],[CLOSING BALANCE (USD)]]-Table11[[#This Row],[CB_BS (USD)]]</f>
        <v>0</v>
      </c>
      <c r="W788" s="1156" t="str">
        <f>VLOOKUP('Cash Balance'!$C788,Table2[#All],MATCH('Cash Balance'!W$3,Acc_Char!$B$1:$I$1,0),0)</f>
        <v>VC3</v>
      </c>
      <c r="X788" s="1156" t="str">
        <f>VLOOKUP(IFERROR(MID($Y788,1,FIND("-",$Y788)-2),$Y788),Table3[#All],2,0)</f>
        <v>VCB</v>
      </c>
      <c r="Y788" s="1156" t="str">
        <f>VLOOKUP($B788,Table4[#All],2,0)</f>
        <v>VIETCOMBANK - HCM</v>
      </c>
      <c r="Z788" s="1151"/>
      <c r="AA788" s="49"/>
    </row>
    <row r="789" spans="1:27">
      <c r="A789" s="1153" t="str">
        <f>VLOOKUP('Cash Balance'!$C789,Table2[#All],MATCH('Cash Balance'!A$3,Acc_Char!$B$1:$I$1,0),0)</f>
        <v>SAO HOA</v>
      </c>
      <c r="B789" s="1154" t="str">
        <f>VLOOKUP('Cash Balance'!$C789,Table2[#All],MATCH('Cash Balance'!B$3,Acc_Char!$B$1:$I$1,0),0)</f>
        <v>SINOPAC</v>
      </c>
      <c r="C789" s="1204" t="s">
        <v>1401</v>
      </c>
      <c r="D789" s="1156" t="str">
        <f>VLOOKUP('Cash Balance'!$C789,Table2[#All],MATCH('Cash Balance'!D$3,Acc_Char!$B$1:$I$1,0),0)</f>
        <v>Saving Account</v>
      </c>
      <c r="E789" s="384" t="str">
        <f>VLOOKUP('Cash Balance'!$C789,Table2[#All],MATCH('Cash Balance'!E$3,Acc_Char!$B$1:$I$1,0),0)</f>
        <v>VND</v>
      </c>
      <c r="F789" s="1084" t="e">
        <f>VLOOKUP(C789,'Cash balance (BS)'!A:C,3,)</f>
        <v>#N/A</v>
      </c>
      <c r="G789" s="1191" t="e">
        <f t="shared" ref="G789" si="94">F789-H789</f>
        <v>#N/A</v>
      </c>
      <c r="H789" s="1318">
        <f>SUMIFS('Cash balance (Prior period)'!F:F,'Cash balance (Prior period)'!C:C,Table11[[#This Row],[ACCOUNT NUMBER]],'Cash balance (Prior period)'!E:E,Table11[[#This Row],[CURRENCY]])</f>
        <v>0</v>
      </c>
      <c r="I789" s="1318">
        <f>SUMIFS(Movement!$F$4:$F$2136,Movement!$M$4:$M$2136,"VND",Movement!$C$4:$C$2136,Table11[[#This Row],[ACCOUNT NUMBER]],Movement!$J$4:$J$2136,Table11[[#This Row],[ENTITY]],Movement!$O$4:$O$2136,'Cash Balance'!$A$2)</f>
        <v>0</v>
      </c>
      <c r="J789" s="1318">
        <f>SUMIFS(Movement!$G$4:$G$2136,Movement!$M$4:$M$2136,"VND",Movement!$C$4:$C$2136,Table11[[#This Row],[ACCOUNT NUMBER]],Movement!$J$4:$J$2136,Table11[[#This Row],[ENTITY]],Movement!$O$4:$O$2136,'Cash Balance'!$A$2)</f>
        <v>0</v>
      </c>
      <c r="K789" s="1084">
        <f>Table11[[#This Row],[CASH IN - CREDIT (VND)]]-Table11[[#This Row],[CASH OUT - DEBIT (VND)]]</f>
        <v>0</v>
      </c>
      <c r="L789" s="1095">
        <f t="shared" si="85"/>
        <v>0</v>
      </c>
      <c r="M789" s="1184" t="e">
        <f>VLOOKUP(C789,'Cash balance (BS)'!A:D,4,)</f>
        <v>#N/A</v>
      </c>
      <c r="N789" s="1095" t="e">
        <f>Table11[[#This Row],[CLOSING BALANCE (VND)2]]-Table11[[#This Row],[CB_BS (VND)]]</f>
        <v>#N/A</v>
      </c>
      <c r="O789" s="1094">
        <v>0</v>
      </c>
      <c r="P789" s="1095">
        <f t="shared" si="86"/>
        <v>0</v>
      </c>
      <c r="Q789" s="817">
        <f>SUMIFS('Cash balance (Prior period)'!G:G,'Cash balance (Prior period)'!C:C,Table11[[#This Row],[ACCOUNT NUMBER]],'Cash balance (Prior period)'!E:E,Table11[[#This Row],[CURRENCY]])</f>
        <v>0</v>
      </c>
      <c r="R789" s="817">
        <f>SUMIFS(Movement!$F$4:$F$2136,Movement!$M$4:$M$2136,"USD",Movement!$C$4:$C$2136,Table11[[#This Row],[ACCOUNT NUMBER]],Movement!$J$4:$J$2136,Table11[[#This Row],[ENTITY]],Movement!$O$4:$O$2136,'Cash Balance'!$A$2)</f>
        <v>0</v>
      </c>
      <c r="S789" s="817">
        <f>SUMIFS(Movement!$G$4:$G$2136,Movement!$M$4:$M$2136,"USD",Movement!$C$4:$C$2136,Table11[[#This Row],[ACCOUNT NUMBER]],Movement!$J$4:$J$2136,Table11[[#This Row],[ENTITY]],Movement!$O$4:$O$2136,'Cash Balance'!$A$2)</f>
        <v>0</v>
      </c>
      <c r="T789" s="1087">
        <f t="shared" si="87"/>
        <v>0</v>
      </c>
      <c r="U789" s="1090"/>
      <c r="V789" s="1091">
        <f>Table11[[#This Row],[CLOSING BALANCE (USD)]]-Table11[[#This Row],[CB_BS (USD)]]</f>
        <v>0</v>
      </c>
      <c r="W789" s="1156" t="str">
        <f>VLOOKUP('Cash Balance'!$C789,Table2[#All],MATCH('Cash Balance'!W$3,Acc_Char!$B$1:$I$1,0),0)</f>
        <v>VC3</v>
      </c>
      <c r="X789" s="1156" t="str">
        <f>VLOOKUP(IFERROR(MID($Y789,1,FIND("-",$Y789)-2),$Y789),Table3[#All],2,0)</f>
        <v>SNP</v>
      </c>
      <c r="Y789" s="1156" t="str">
        <f>VLOOKUP($B789,Table4[#All],2,0)</f>
        <v>SINOPAC</v>
      </c>
      <c r="Z789" s="1151"/>
      <c r="AA789" s="49"/>
    </row>
    <row r="790" spans="1:27">
      <c r="A790" s="1153" t="str">
        <f>VLOOKUP('Cash Balance'!$C790,Table2[#All],MATCH('Cash Balance'!A$3,Acc_Char!$B$1:$I$1,0),0)</f>
        <v>SAO HOA</v>
      </c>
      <c r="B790" s="1154" t="str">
        <f>VLOOKUP('Cash Balance'!$C790,Table2[#All],MATCH('Cash Balance'!B$3,Acc_Char!$B$1:$I$1,0),0)</f>
        <v>BIDV - THANH XUAN</v>
      </c>
      <c r="C790" s="1204" t="s">
        <v>1402</v>
      </c>
      <c r="D790" s="1156" t="str">
        <f>VLOOKUP('Cash Balance'!$C790,Table2[#All],MATCH('Cash Balance'!D$3,Acc_Char!$B$1:$I$1,0),0)</f>
        <v>Saving Account</v>
      </c>
      <c r="E790" s="384" t="str">
        <f>VLOOKUP('Cash Balance'!$C790,Table2[#All],MATCH('Cash Balance'!E$3,Acc_Char!$B$1:$I$1,0),0)</f>
        <v>VND</v>
      </c>
      <c r="F790" s="1084" t="e">
        <f>VLOOKUP(C790,'Cash balance (BS)'!A:C,3,)</f>
        <v>#N/A</v>
      </c>
      <c r="G790" s="1191" t="e">
        <f t="shared" ref="G790" si="95">F790-H790</f>
        <v>#N/A</v>
      </c>
      <c r="H790" s="1318">
        <f>SUMIFS('Cash balance (Prior period)'!F:F,'Cash balance (Prior period)'!C:C,Table11[[#This Row],[ACCOUNT NUMBER]],'Cash balance (Prior period)'!E:E,Table11[[#This Row],[CURRENCY]])</f>
        <v>0</v>
      </c>
      <c r="I790" s="1318">
        <f>SUMIFS(Movement!$F$4:$F$2136,Movement!$M$4:$M$2136,"VND",Movement!$C$4:$C$2136,Table11[[#This Row],[ACCOUNT NUMBER]],Movement!$J$4:$J$2136,Table11[[#This Row],[ENTITY]],Movement!$O$4:$O$2136,'Cash Balance'!$A$2)</f>
        <v>0</v>
      </c>
      <c r="J790" s="1318">
        <f>SUMIFS(Movement!$G$4:$G$2136,Movement!$M$4:$M$2136,"VND",Movement!$C$4:$C$2136,Table11[[#This Row],[ACCOUNT NUMBER]],Movement!$J$4:$J$2136,Table11[[#This Row],[ENTITY]],Movement!$O$4:$O$2136,'Cash Balance'!$A$2)</f>
        <v>0</v>
      </c>
      <c r="K790" s="1084">
        <f>Table11[[#This Row],[CASH IN - CREDIT (VND)]]-Table11[[#This Row],[CASH OUT - DEBIT (VND)]]</f>
        <v>0</v>
      </c>
      <c r="L790" s="1095">
        <f t="shared" si="85"/>
        <v>0</v>
      </c>
      <c r="M790" s="1184" t="e">
        <f>VLOOKUP(C790,'Cash balance (BS)'!A:D,4,)</f>
        <v>#N/A</v>
      </c>
      <c r="N790" s="1095" t="e">
        <f>Table11[[#This Row],[CLOSING BALANCE (VND)2]]-Table11[[#This Row],[CB_BS (VND)]]</f>
        <v>#N/A</v>
      </c>
      <c r="O790" s="1094">
        <v>0</v>
      </c>
      <c r="P790" s="1095">
        <f t="shared" si="86"/>
        <v>0</v>
      </c>
      <c r="Q790" s="817">
        <f>SUMIFS('Cash balance (Prior period)'!G:G,'Cash balance (Prior period)'!C:C,Table11[[#This Row],[ACCOUNT NUMBER]],'Cash balance (Prior period)'!E:E,Table11[[#This Row],[CURRENCY]])</f>
        <v>0</v>
      </c>
      <c r="R790" s="817">
        <f>SUMIFS(Movement!$F$4:$F$2136,Movement!$M$4:$M$2136,"USD",Movement!$C$4:$C$2136,Table11[[#This Row],[ACCOUNT NUMBER]],Movement!$J$4:$J$2136,Table11[[#This Row],[ENTITY]],Movement!$O$4:$O$2136,'Cash Balance'!$A$2)</f>
        <v>0</v>
      </c>
      <c r="S790" s="817">
        <f>SUMIFS(Movement!$G$4:$G$2136,Movement!$M$4:$M$2136,"USD",Movement!$C$4:$C$2136,Table11[[#This Row],[ACCOUNT NUMBER]],Movement!$J$4:$J$2136,Table11[[#This Row],[ENTITY]],Movement!$O$4:$O$2136,'Cash Balance'!$A$2)</f>
        <v>0</v>
      </c>
      <c r="T790" s="1087">
        <f t="shared" si="87"/>
        <v>0</v>
      </c>
      <c r="U790" s="1090"/>
      <c r="V790" s="1091">
        <f>Table11[[#This Row],[CLOSING BALANCE (USD)]]-Table11[[#This Row],[CB_BS (USD)]]</f>
        <v>0</v>
      </c>
      <c r="W790" s="1156" t="str">
        <f>VLOOKUP('Cash Balance'!$C790,Table2[#All],MATCH('Cash Balance'!W$3,Acc_Char!$B$1:$I$1,0),0)</f>
        <v>VC3</v>
      </c>
      <c r="X790" s="1156" t="str">
        <f>VLOOKUP(IFERROR(MID($Y790,1,FIND("-",$Y790)-2),$Y790),Table3[#All],2,0)</f>
        <v>BIDV</v>
      </c>
      <c r="Y790" s="1156" t="str">
        <f>VLOOKUP($B790,Table4[#All],2,0)</f>
        <v>BIDV - THANH XUAN</v>
      </c>
      <c r="Z790" s="1151"/>
      <c r="AA790" s="49"/>
    </row>
    <row r="791" spans="1:27">
      <c r="A791" s="1153" t="str">
        <f>VLOOKUP('Cash Balance'!$C791,Table2[#All],MATCH('Cash Balance'!A$3,Acc_Char!$B$1:$I$1,0),0)</f>
        <v>KIM TRUC DN</v>
      </c>
      <c r="B791" s="1154" t="str">
        <f>VLOOKUP('Cash Balance'!$C791,Table2[#All],MATCH('Cash Balance'!B$3,Acc_Char!$B$1:$I$1,0),0)</f>
        <v>BIDV - NAM SAI GON</v>
      </c>
      <c r="C791" s="1204" t="s">
        <v>1403</v>
      </c>
      <c r="D791" s="1156" t="str">
        <f>VLOOKUP('Cash Balance'!$C791,Table2[#All],MATCH('Cash Balance'!D$3,Acc_Char!$B$1:$I$1,0),0)</f>
        <v>Saving Account</v>
      </c>
      <c r="E791" s="384" t="str">
        <f>VLOOKUP('Cash Balance'!$C791,Table2[#All],MATCH('Cash Balance'!E$3,Acc_Char!$B$1:$I$1,0),0)</f>
        <v>VND</v>
      </c>
      <c r="F791" s="1084" t="e">
        <f>VLOOKUP(C791,'Cash balance (BS)'!A:C,3,)</f>
        <v>#N/A</v>
      </c>
      <c r="G791" s="1191" t="e">
        <f t="shared" ref="G791" si="96">F791-H791</f>
        <v>#N/A</v>
      </c>
      <c r="H791" s="1318">
        <f>SUMIFS('Cash balance (Prior period)'!F:F,'Cash balance (Prior period)'!C:C,Table11[[#This Row],[ACCOUNT NUMBER]],'Cash balance (Prior period)'!E:E,Table11[[#This Row],[CURRENCY]])</f>
        <v>32000000000</v>
      </c>
      <c r="I791" s="1318">
        <f>SUMIFS(Movement!$F$4:$F$2136,Movement!$M$4:$M$2136,"VND",Movement!$C$4:$C$2136,Table11[[#This Row],[ACCOUNT NUMBER]],Movement!$J$4:$J$2136,Table11[[#This Row],[ENTITY]],Movement!$O$4:$O$2136,'Cash Balance'!$A$2)</f>
        <v>0</v>
      </c>
      <c r="J791" s="1318">
        <f>SUMIFS(Movement!$G$4:$G$2136,Movement!$M$4:$M$2136,"VND",Movement!$C$4:$C$2136,Table11[[#This Row],[ACCOUNT NUMBER]],Movement!$J$4:$J$2136,Table11[[#This Row],[ENTITY]],Movement!$O$4:$O$2136,'Cash Balance'!$A$2)</f>
        <v>0</v>
      </c>
      <c r="K791" s="1084">
        <f>Table11[[#This Row],[CASH IN - CREDIT (VND)]]-Table11[[#This Row],[CASH OUT - DEBIT (VND)]]</f>
        <v>0</v>
      </c>
      <c r="L791" s="1095">
        <f t="shared" si="85"/>
        <v>32000000000</v>
      </c>
      <c r="M791" s="1184" t="e">
        <f>VLOOKUP(C791,'Cash balance (BS)'!A:D,4,)</f>
        <v>#N/A</v>
      </c>
      <c r="N791" s="1095" t="e">
        <f>Table11[[#This Row],[CLOSING BALANCE (VND)2]]-Table11[[#This Row],[CB_BS (VND)]]</f>
        <v>#N/A</v>
      </c>
      <c r="O791" s="1094">
        <v>0</v>
      </c>
      <c r="P791" s="1095">
        <f t="shared" si="86"/>
        <v>0</v>
      </c>
      <c r="Q791" s="817">
        <f>SUMIFS('Cash balance (Prior period)'!G:G,'Cash balance (Prior period)'!C:C,Table11[[#This Row],[ACCOUNT NUMBER]],'Cash balance (Prior period)'!E:E,Table11[[#This Row],[CURRENCY]])</f>
        <v>0</v>
      </c>
      <c r="R791" s="817">
        <f>SUMIFS(Movement!$F$4:$F$2136,Movement!$M$4:$M$2136,"USD",Movement!$C$4:$C$2136,Table11[[#This Row],[ACCOUNT NUMBER]],Movement!$J$4:$J$2136,Table11[[#This Row],[ENTITY]],Movement!$O$4:$O$2136,'Cash Balance'!$A$2)</f>
        <v>0</v>
      </c>
      <c r="S791" s="817">
        <f>SUMIFS(Movement!$G$4:$G$2136,Movement!$M$4:$M$2136,"USD",Movement!$C$4:$C$2136,Table11[[#This Row],[ACCOUNT NUMBER]],Movement!$J$4:$J$2136,Table11[[#This Row],[ENTITY]],Movement!$O$4:$O$2136,'Cash Balance'!$A$2)</f>
        <v>0</v>
      </c>
      <c r="T791" s="1087">
        <f t="shared" si="87"/>
        <v>0</v>
      </c>
      <c r="U791" s="1090"/>
      <c r="V791" s="1091">
        <f>Table11[[#This Row],[CLOSING BALANCE (USD)]]-Table11[[#This Row],[CB_BS (USD)]]</f>
        <v>0</v>
      </c>
      <c r="W791" s="1156" t="str">
        <f>VLOOKUP('Cash Balance'!$C791,Table2[#All],MATCH('Cash Balance'!W$3,Acc_Char!$B$1:$I$1,0),0)</f>
        <v>Subsidiaries</v>
      </c>
      <c r="X791" s="1156" t="str">
        <f>VLOOKUP(IFERROR(MID($Y791,1,FIND("-",$Y791)-2),$Y791),Table3[#All],2,0)</f>
        <v>BIDV</v>
      </c>
      <c r="Y791" s="1156" t="str">
        <f>VLOOKUP($B791,Table4[#All],2,0)</f>
        <v>BIDV - NAM SAI GON</v>
      </c>
      <c r="Z791" s="1151"/>
      <c r="AA791" s="49"/>
    </row>
    <row r="792" spans="1:27">
      <c r="A792" s="1153" t="str">
        <f>VLOOKUP('Cash Balance'!$C792,Table2[#All],MATCH('Cash Balance'!A$3,Acc_Char!$B$1:$I$1,0),0)</f>
        <v>KIM TRUC DN</v>
      </c>
      <c r="B792" s="1154" t="str">
        <f>VLOOKUP('Cash Balance'!$C792,Table2[#All],MATCH('Cash Balance'!B$3,Acc_Char!$B$1:$I$1,0),0)</f>
        <v>BIDV - NAM SAI GON</v>
      </c>
      <c r="C792" s="1204" t="s">
        <v>1404</v>
      </c>
      <c r="D792" s="1156" t="str">
        <f>VLOOKUP('Cash Balance'!$C792,Table2[#All],MATCH('Cash Balance'!D$3,Acc_Char!$B$1:$I$1,0),0)</f>
        <v>Saving Account</v>
      </c>
      <c r="E792" s="384" t="str">
        <f>VLOOKUP('Cash Balance'!$C792,Table2[#All],MATCH('Cash Balance'!E$3,Acc_Char!$B$1:$I$1,0),0)</f>
        <v>VND</v>
      </c>
      <c r="F792" s="1084" t="e">
        <f>VLOOKUP(C792,'Cash balance (BS)'!A:C,3,)</f>
        <v>#N/A</v>
      </c>
      <c r="G792" s="1191" t="e">
        <f t="shared" ref="G792" si="97">F792-H792</f>
        <v>#N/A</v>
      </c>
      <c r="H792" s="1318">
        <f>SUMIFS('Cash balance (Prior period)'!F:F,'Cash balance (Prior period)'!C:C,Table11[[#This Row],[ACCOUNT NUMBER]],'Cash balance (Prior period)'!E:E,Table11[[#This Row],[CURRENCY]])</f>
        <v>4000000000</v>
      </c>
      <c r="I792" s="1318">
        <f>SUMIFS(Movement!$F$4:$F$2136,Movement!$M$4:$M$2136,"VND",Movement!$C$4:$C$2136,Table11[[#This Row],[ACCOUNT NUMBER]],Movement!$J$4:$J$2136,Table11[[#This Row],[ENTITY]],Movement!$O$4:$O$2136,'Cash Balance'!$A$2)</f>
        <v>0</v>
      </c>
      <c r="J792" s="1318">
        <f>SUMIFS(Movement!$G$4:$G$2136,Movement!$M$4:$M$2136,"VND",Movement!$C$4:$C$2136,Table11[[#This Row],[ACCOUNT NUMBER]],Movement!$J$4:$J$2136,Table11[[#This Row],[ENTITY]],Movement!$O$4:$O$2136,'Cash Balance'!$A$2)</f>
        <v>0</v>
      </c>
      <c r="K792" s="1084">
        <f>Table11[[#This Row],[CASH IN - CREDIT (VND)]]-Table11[[#This Row],[CASH OUT - DEBIT (VND)]]</f>
        <v>0</v>
      </c>
      <c r="L792" s="1095">
        <f t="shared" si="85"/>
        <v>4000000000</v>
      </c>
      <c r="M792" s="1184" t="e">
        <f>VLOOKUP(C792,'Cash balance (BS)'!A:D,4,)</f>
        <v>#N/A</v>
      </c>
      <c r="N792" s="1095" t="e">
        <f>Table11[[#This Row],[CLOSING BALANCE (VND)2]]-Table11[[#This Row],[CB_BS (VND)]]</f>
        <v>#N/A</v>
      </c>
      <c r="O792" s="1094">
        <v>0</v>
      </c>
      <c r="P792" s="1095">
        <f t="shared" si="86"/>
        <v>0</v>
      </c>
      <c r="Q792" s="817">
        <f>SUMIFS('Cash balance (Prior period)'!G:G,'Cash balance (Prior period)'!C:C,Table11[[#This Row],[ACCOUNT NUMBER]],'Cash balance (Prior period)'!E:E,Table11[[#This Row],[CURRENCY]])</f>
        <v>0</v>
      </c>
      <c r="R792" s="817">
        <f>SUMIFS(Movement!$F$4:$F$2136,Movement!$M$4:$M$2136,"USD",Movement!$C$4:$C$2136,Table11[[#This Row],[ACCOUNT NUMBER]],Movement!$J$4:$J$2136,Table11[[#This Row],[ENTITY]],Movement!$O$4:$O$2136,'Cash Balance'!$A$2)</f>
        <v>0</v>
      </c>
      <c r="S792" s="817">
        <f>SUMIFS(Movement!$G$4:$G$2136,Movement!$M$4:$M$2136,"USD",Movement!$C$4:$C$2136,Table11[[#This Row],[ACCOUNT NUMBER]],Movement!$J$4:$J$2136,Table11[[#This Row],[ENTITY]],Movement!$O$4:$O$2136,'Cash Balance'!$A$2)</f>
        <v>0</v>
      </c>
      <c r="T792" s="1087">
        <f t="shared" si="87"/>
        <v>0</v>
      </c>
      <c r="U792" s="1090"/>
      <c r="V792" s="1091">
        <f>Table11[[#This Row],[CLOSING BALANCE (USD)]]-Table11[[#This Row],[CB_BS (USD)]]</f>
        <v>0</v>
      </c>
      <c r="W792" s="1156" t="str">
        <f>VLOOKUP('Cash Balance'!$C792,Table2[#All],MATCH('Cash Balance'!W$3,Acc_Char!$B$1:$I$1,0),0)</f>
        <v>Subsidiaries</v>
      </c>
      <c r="X792" s="1156" t="str">
        <f>VLOOKUP(IFERROR(MID($Y792,1,FIND("-",$Y792)-2),$Y792),Table3[#All],2,0)</f>
        <v>BIDV</v>
      </c>
      <c r="Y792" s="1156" t="str">
        <f>VLOOKUP($B792,Table4[#All],2,0)</f>
        <v>BIDV - NAM SAI GON</v>
      </c>
      <c r="Z792" s="1151"/>
      <c r="AA792" s="49"/>
    </row>
    <row r="793" spans="1:27">
      <c r="A793" s="1153" t="str">
        <f>VLOOKUP('Cash Balance'!$C793,Table2[#All],MATCH('Cash Balance'!A$3,Acc_Char!$B$1:$I$1,0),0)</f>
        <v>SONG THAN 2</v>
      </c>
      <c r="B793" s="1154" t="str">
        <f>VLOOKUP('Cash Balance'!$C793,Table2[#All],MATCH('Cash Balance'!B$3,Acc_Char!$B$1:$I$1,0),0)</f>
        <v>VIETINBANK - TPHCM</v>
      </c>
      <c r="C793" s="1204" t="s">
        <v>1405</v>
      </c>
      <c r="D793" s="1156" t="str">
        <f>VLOOKUP('Cash Balance'!$C793,Table2[#All],MATCH('Cash Balance'!D$3,Acc_Char!$B$1:$I$1,0),0)</f>
        <v>Saving Account</v>
      </c>
      <c r="E793" s="384" t="str">
        <f>VLOOKUP('Cash Balance'!$C793,Table2[#All],MATCH('Cash Balance'!E$3,Acc_Char!$B$1:$I$1,0),0)</f>
        <v>VND</v>
      </c>
      <c r="F793" s="1084" t="e">
        <f>VLOOKUP(C793,'Cash balance (BS)'!A:C,3,)</f>
        <v>#N/A</v>
      </c>
      <c r="G793" s="1191" t="e">
        <f t="shared" ref="G793" si="98">F793-H793</f>
        <v>#N/A</v>
      </c>
      <c r="H793" s="1318">
        <f>SUMIFS('Cash balance (Prior period)'!F:F,'Cash balance (Prior period)'!C:C,Table11[[#This Row],[ACCOUNT NUMBER]],'Cash balance (Prior period)'!E:E,Table11[[#This Row],[CURRENCY]])</f>
        <v>4000000000</v>
      </c>
      <c r="I793" s="1318">
        <f>SUMIFS(Movement!$F$4:$F$2136,Movement!$M$4:$M$2136,"VND",Movement!$C$4:$C$2136,Table11[[#This Row],[ACCOUNT NUMBER]],Movement!$J$4:$J$2136,Table11[[#This Row],[ENTITY]],Movement!$O$4:$O$2136,'Cash Balance'!$A$2)</f>
        <v>0</v>
      </c>
      <c r="J793" s="1318">
        <f>SUMIFS(Movement!$G$4:$G$2136,Movement!$M$4:$M$2136,"VND",Movement!$C$4:$C$2136,Table11[[#This Row],[ACCOUNT NUMBER]],Movement!$J$4:$J$2136,Table11[[#This Row],[ENTITY]],Movement!$O$4:$O$2136,'Cash Balance'!$A$2)</f>
        <v>0</v>
      </c>
      <c r="K793" s="1084">
        <f>Table11[[#This Row],[CASH IN - CREDIT (VND)]]-Table11[[#This Row],[CASH OUT - DEBIT (VND)]]</f>
        <v>0</v>
      </c>
      <c r="L793" s="1095">
        <f t="shared" si="85"/>
        <v>4000000000</v>
      </c>
      <c r="M793" s="1184" t="e">
        <f>VLOOKUP(C793,'Cash balance (BS)'!A:D,4,)</f>
        <v>#N/A</v>
      </c>
      <c r="N793" s="1095" t="e">
        <f>Table11[[#This Row],[CLOSING BALANCE (VND)2]]-Table11[[#This Row],[CB_BS (VND)]]</f>
        <v>#N/A</v>
      </c>
      <c r="O793" s="1094">
        <v>0</v>
      </c>
      <c r="P793" s="1095">
        <f t="shared" si="86"/>
        <v>0</v>
      </c>
      <c r="Q793" s="817">
        <f>SUMIFS('Cash balance (Prior period)'!G:G,'Cash balance (Prior period)'!C:C,Table11[[#This Row],[ACCOUNT NUMBER]],'Cash balance (Prior period)'!E:E,Table11[[#This Row],[CURRENCY]])</f>
        <v>0</v>
      </c>
      <c r="R793" s="817">
        <f>SUMIFS(Movement!$F$4:$F$2136,Movement!$M$4:$M$2136,"USD",Movement!$C$4:$C$2136,Table11[[#This Row],[ACCOUNT NUMBER]],Movement!$J$4:$J$2136,Table11[[#This Row],[ENTITY]],Movement!$O$4:$O$2136,'Cash Balance'!$A$2)</f>
        <v>0</v>
      </c>
      <c r="S793" s="817">
        <f>SUMIFS(Movement!$G$4:$G$2136,Movement!$M$4:$M$2136,"USD",Movement!$C$4:$C$2136,Table11[[#This Row],[ACCOUNT NUMBER]],Movement!$J$4:$J$2136,Table11[[#This Row],[ENTITY]],Movement!$O$4:$O$2136,'Cash Balance'!$A$2)</f>
        <v>0</v>
      </c>
      <c r="T793" s="1087">
        <f t="shared" si="87"/>
        <v>0</v>
      </c>
      <c r="U793" s="1090"/>
      <c r="V793" s="1091">
        <f>Table11[[#This Row],[CLOSING BALANCE (USD)]]-Table11[[#This Row],[CB_BS (USD)]]</f>
        <v>0</v>
      </c>
      <c r="W793" s="1156" t="str">
        <f>VLOOKUP('Cash Balance'!$C793,Table2[#All],MATCH('Cash Balance'!W$3,Acc_Char!$B$1:$I$1,0),0)</f>
        <v>Subsidiaries</v>
      </c>
      <c r="X793" s="1156" t="str">
        <f>VLOOKUP(IFERROR(MID($Y793,1,FIND("-",$Y793)-2),$Y793),Table3[#All],2,0)</f>
        <v>VTB</v>
      </c>
      <c r="Y793" s="1156" t="str">
        <f>VLOOKUP($B793,Table4[#All],2,0)</f>
        <v>VIETINBANK - TPHCM</v>
      </c>
      <c r="Z793" s="1151"/>
      <c r="AA793" s="49"/>
    </row>
    <row r="794" spans="1:27">
      <c r="A794" s="1153" t="str">
        <f>VLOOKUP('Cash Balance'!$C794,Table2[#All],MATCH('Cash Balance'!A$3,Acc_Char!$B$1:$I$1,0),0)</f>
        <v>THUAN DAO</v>
      </c>
      <c r="B794" s="1154" t="str">
        <f>VLOOKUP('Cash Balance'!$C794,Table2[#All],MATCH('Cash Balance'!B$3,Acc_Char!$B$1:$I$1,0),0)</f>
        <v>VIETINBANK - TPHCM</v>
      </c>
      <c r="C794" s="1204" t="s">
        <v>1406</v>
      </c>
      <c r="D794" s="1156" t="str">
        <f>VLOOKUP('Cash Balance'!$C794,Table2[#All],MATCH('Cash Balance'!D$3,Acc_Char!$B$1:$I$1,0),0)</f>
        <v>Saving Account</v>
      </c>
      <c r="E794" s="384" t="str">
        <f>VLOOKUP('Cash Balance'!$C794,Table2[#All],MATCH('Cash Balance'!E$3,Acc_Char!$B$1:$I$1,0),0)</f>
        <v>VND</v>
      </c>
      <c r="F794" s="1084" t="e">
        <f>VLOOKUP(C794,'Cash balance (BS)'!A:C,3,)</f>
        <v>#N/A</v>
      </c>
      <c r="G794" s="1191" t="e">
        <f t="shared" si="88"/>
        <v>#N/A</v>
      </c>
      <c r="H794" s="1318">
        <f>SUMIFS('Cash balance (Prior period)'!F:F,'Cash balance (Prior period)'!C:C,Table11[[#This Row],[ACCOUNT NUMBER]],'Cash balance (Prior period)'!E:E,Table11[[#This Row],[CURRENCY]])</f>
        <v>3033907661</v>
      </c>
      <c r="I794" s="1318">
        <f>SUMIFS(Movement!$F$4:$F$2136,Movement!$M$4:$M$2136,"VND",Movement!$C$4:$C$2136,Table11[[#This Row],[ACCOUNT NUMBER]],Movement!$J$4:$J$2136,Table11[[#This Row],[ENTITY]],Movement!$O$4:$O$2136,'Cash Balance'!$A$2)</f>
        <v>0</v>
      </c>
      <c r="J794" s="1318">
        <f>SUMIFS(Movement!$G$4:$G$2136,Movement!$M$4:$M$2136,"VND",Movement!$C$4:$C$2136,Table11[[#This Row],[ACCOUNT NUMBER]],Movement!$J$4:$J$2136,Table11[[#This Row],[ENTITY]],Movement!$O$4:$O$2136,'Cash Balance'!$A$2)</f>
        <v>0</v>
      </c>
      <c r="K794" s="1084">
        <f>Table11[[#This Row],[CASH IN - CREDIT (VND)]]-Table11[[#This Row],[CASH OUT - DEBIT (VND)]]</f>
        <v>0</v>
      </c>
      <c r="L794" s="1095">
        <f t="shared" si="85"/>
        <v>3033907661</v>
      </c>
      <c r="M794" s="1184" t="e">
        <f>VLOOKUP(C794,'Cash balance (BS)'!A:D,4,)</f>
        <v>#N/A</v>
      </c>
      <c r="N794" s="1095" t="e">
        <f>Table11[[#This Row],[CLOSING BALANCE (VND)2]]-Table11[[#This Row],[CB_BS (VND)]]</f>
        <v>#N/A</v>
      </c>
      <c r="O794" s="1094">
        <v>0</v>
      </c>
      <c r="P794" s="1095">
        <f t="shared" si="86"/>
        <v>0</v>
      </c>
      <c r="Q794" s="817">
        <f>SUMIFS('Cash balance (Prior period)'!G:G,'Cash balance (Prior period)'!C:C,Table11[[#This Row],[ACCOUNT NUMBER]],'Cash balance (Prior period)'!E:E,Table11[[#This Row],[CURRENCY]])</f>
        <v>0</v>
      </c>
      <c r="R794" s="817">
        <f>SUMIFS(Movement!$F$4:$F$2136,Movement!$M$4:$M$2136,"USD",Movement!$C$4:$C$2136,Table11[[#This Row],[ACCOUNT NUMBER]],Movement!$J$4:$J$2136,Table11[[#This Row],[ENTITY]],Movement!$O$4:$O$2136,'Cash Balance'!$A$2)</f>
        <v>0</v>
      </c>
      <c r="S794" s="817">
        <f>SUMIFS(Movement!$G$4:$G$2136,Movement!$M$4:$M$2136,"USD",Movement!$C$4:$C$2136,Table11[[#This Row],[ACCOUNT NUMBER]],Movement!$J$4:$J$2136,Table11[[#This Row],[ENTITY]],Movement!$O$4:$O$2136,'Cash Balance'!$A$2)</f>
        <v>0</v>
      </c>
      <c r="T794" s="1087">
        <f t="shared" si="87"/>
        <v>0</v>
      </c>
      <c r="U794" s="1090"/>
      <c r="V794" s="1091">
        <f>Table11[[#This Row],[CLOSING BALANCE (USD)]]-Table11[[#This Row],[CB_BS (USD)]]</f>
        <v>0</v>
      </c>
      <c r="W794" s="1156" t="str">
        <f>VLOOKUP('Cash Balance'!$C794,Table2[#All],MATCH('Cash Balance'!W$3,Acc_Char!$B$1:$I$1,0),0)</f>
        <v>Subsidiaries</v>
      </c>
      <c r="X794" s="1156" t="str">
        <f>VLOOKUP(IFERROR(MID($Y794,1,FIND("-",$Y794)-2),$Y794),Table3[#All],2,0)</f>
        <v>VTB</v>
      </c>
      <c r="Y794" s="1156" t="str">
        <f>VLOOKUP($B794,Table4[#All],2,0)</f>
        <v>VIETINBANK - TPHCM</v>
      </c>
      <c r="Z794" s="1151"/>
      <c r="AA794" s="49"/>
    </row>
    <row r="795" spans="1:27">
      <c r="A795" s="1153" t="str">
        <f>VLOOKUP('Cash Balance'!$C795,Table2[#All],MATCH('Cash Balance'!A$3,Acc_Char!$B$1:$I$1,0),0)</f>
        <v>BW NAM DINH VU</v>
      </c>
      <c r="B795" s="1154" t="str">
        <f>VLOOKUP('Cash Balance'!$C795,Table2[#All],MATCH('Cash Balance'!B$3,Acc_Char!$B$1:$I$1,0),0)</f>
        <v>VIETINBANK - BINH DUONG</v>
      </c>
      <c r="C795" s="1204" t="s">
        <v>1407</v>
      </c>
      <c r="D795" s="1156" t="str">
        <f>VLOOKUP('Cash Balance'!$C795,Table2[#All],MATCH('Cash Balance'!D$3,Acc_Char!$B$1:$I$1,0),0)</f>
        <v>Current Account</v>
      </c>
      <c r="E795" s="384" t="str">
        <f>VLOOKUP('Cash Balance'!$C795,Table2[#All],MATCH('Cash Balance'!E$3,Acc_Char!$B$1:$I$1,0),0)</f>
        <v>VND</v>
      </c>
      <c r="F795" s="1084" t="e">
        <f>VLOOKUP(C795,'Cash balance (BS)'!A:C,3,)</f>
        <v>#N/A</v>
      </c>
      <c r="G795" s="1191" t="e">
        <f t="shared" ref="G795" si="99">F795-H795</f>
        <v>#N/A</v>
      </c>
      <c r="H795" s="1318">
        <f>SUMIFS('Cash balance (Prior period)'!F:F,'Cash balance (Prior period)'!C:C,Table11[[#This Row],[ACCOUNT NUMBER]],'Cash balance (Prior period)'!E:E,Table11[[#This Row],[CURRENCY]])</f>
        <v>6088161640</v>
      </c>
      <c r="I795" s="1318">
        <f>SUMIFS(Movement!$F$4:$F$2136,Movement!$M$4:$M$2136,"VND",Movement!$C$4:$C$2136,Table11[[#This Row],[ACCOUNT NUMBER]],Movement!$J$4:$J$2136,Table11[[#This Row],[ENTITY]],Movement!$O$4:$O$2136,'Cash Balance'!$A$2)</f>
        <v>12741665612</v>
      </c>
      <c r="J795" s="1318">
        <f>SUMIFS(Movement!$G$4:$G$2136,Movement!$M$4:$M$2136,"VND",Movement!$C$4:$C$2136,Table11[[#This Row],[ACCOUNT NUMBER]],Movement!$J$4:$J$2136,Table11[[#This Row],[ENTITY]],Movement!$O$4:$O$2136,'Cash Balance'!$A$2)</f>
        <v>1135285508</v>
      </c>
      <c r="K795" s="1084">
        <f>Table11[[#This Row],[CASH IN - CREDIT (VND)]]-Table11[[#This Row],[CASH OUT - DEBIT (VND)]]</f>
        <v>11606380104</v>
      </c>
      <c r="L795" s="1095">
        <f t="shared" si="85"/>
        <v>17694541744</v>
      </c>
      <c r="M795" s="1184" t="e">
        <f>VLOOKUP(C795,'Cash balance (BS)'!A:D,4,)</f>
        <v>#N/A</v>
      </c>
      <c r="N795" s="1095" t="e">
        <f>Table11[[#This Row],[CLOSING BALANCE (VND)2]]-Table11[[#This Row],[CB_BS (VND)]]</f>
        <v>#N/A</v>
      </c>
      <c r="O795" s="1094">
        <v>0</v>
      </c>
      <c r="P795" s="1095">
        <f t="shared" si="86"/>
        <v>0</v>
      </c>
      <c r="Q795" s="817">
        <f>SUMIFS('Cash balance (Prior period)'!G:G,'Cash balance (Prior period)'!C:C,Table11[[#This Row],[ACCOUNT NUMBER]],'Cash balance (Prior period)'!E:E,Table11[[#This Row],[CURRENCY]])</f>
        <v>0</v>
      </c>
      <c r="R795" s="817">
        <f>SUMIFS(Movement!$F$4:$F$2136,Movement!$M$4:$M$2136,"USD",Movement!$C$4:$C$2136,Table11[[#This Row],[ACCOUNT NUMBER]],Movement!$J$4:$J$2136,Table11[[#This Row],[ENTITY]],Movement!$O$4:$O$2136,'Cash Balance'!$A$2)</f>
        <v>0</v>
      </c>
      <c r="S795" s="817">
        <f>SUMIFS(Movement!$G$4:$G$2136,Movement!$M$4:$M$2136,"USD",Movement!$C$4:$C$2136,Table11[[#This Row],[ACCOUNT NUMBER]],Movement!$J$4:$J$2136,Table11[[#This Row],[ENTITY]],Movement!$O$4:$O$2136,'Cash Balance'!$A$2)</f>
        <v>0</v>
      </c>
      <c r="T795" s="1087">
        <f t="shared" si="87"/>
        <v>0</v>
      </c>
      <c r="U795" s="1090"/>
      <c r="V795" s="1091">
        <f>Table11[[#This Row],[CLOSING BALANCE (USD)]]-Table11[[#This Row],[CB_BS (USD)]]</f>
        <v>0</v>
      </c>
      <c r="W795" s="1156" t="str">
        <f>VLOOKUP('Cash Balance'!$C795,Table2[#All],MATCH('Cash Balance'!W$3,Acc_Char!$B$1:$I$1,0),0)</f>
        <v>Subsidiaries</v>
      </c>
      <c r="X795" s="1156" t="str">
        <f>VLOOKUP(IFERROR(MID($Y795,1,FIND("-",$Y795)-2),$Y795),Table3[#All],2,0)</f>
        <v>VTB</v>
      </c>
      <c r="Y795" s="1156" t="str">
        <f>VLOOKUP($B795,Table4[#All],2,0)</f>
        <v>VIETINBANK - BINH DUONG + QM</v>
      </c>
      <c r="Z795" s="1151"/>
      <c r="AA795" s="49"/>
    </row>
    <row r="796" spans="1:27">
      <c r="A796" s="1153" t="str">
        <f>VLOOKUP('Cash Balance'!$C796,Table2[#All],MATCH('Cash Balance'!A$3,Acc_Char!$B$1:$I$1,0),0)</f>
        <v>LONG BINH</v>
      </c>
      <c r="B796" s="1154" t="str">
        <f>VLOOKUP('Cash Balance'!$C796,Table2[#All],MATCH('Cash Balance'!B$3,Acc_Char!$B$1:$I$1,0),0)</f>
        <v>VIETCOMBANK - HCM</v>
      </c>
      <c r="C796" s="1204" t="s">
        <v>1408</v>
      </c>
      <c r="D796" s="1156" t="str">
        <f>VLOOKUP('Cash Balance'!$C796,Table2[#All],MATCH('Cash Balance'!D$3,Acc_Char!$B$1:$I$1,0),0)</f>
        <v>Current Account</v>
      </c>
      <c r="E796" s="384" t="str">
        <f>VLOOKUP('Cash Balance'!$C796,Table2[#All],MATCH('Cash Balance'!E$3,Acc_Char!$B$1:$I$1,0),0)</f>
        <v>VND</v>
      </c>
      <c r="F796" s="1084" t="e">
        <f>VLOOKUP(C796,'Cash balance (BS)'!A:C,3,)</f>
        <v>#N/A</v>
      </c>
      <c r="G796" s="1191" t="e">
        <f t="shared" ref="G796" si="100">F796-H796</f>
        <v>#N/A</v>
      </c>
      <c r="H796" s="1318">
        <f>SUMIFS('Cash balance (Prior period)'!F:F,'Cash balance (Prior period)'!C:C,Table11[[#This Row],[ACCOUNT NUMBER]],'Cash balance (Prior period)'!E:E,Table11[[#This Row],[CURRENCY]])</f>
        <v>8726672361</v>
      </c>
      <c r="I796" s="1318">
        <f>SUMIFS(Movement!$F$4:$F$2136,Movement!$M$4:$M$2136,"VND",Movement!$C$4:$C$2136,Table11[[#This Row],[ACCOUNT NUMBER]],Movement!$J$4:$J$2136,Table11[[#This Row],[ENTITY]],Movement!$O$4:$O$2136,'Cash Balance'!$A$2)</f>
        <v>14603515972</v>
      </c>
      <c r="J796" s="1318">
        <f>SUMIFS(Movement!$G$4:$G$2136,Movement!$M$4:$M$2136,"VND",Movement!$C$4:$C$2136,Table11[[#This Row],[ACCOUNT NUMBER]],Movement!$J$4:$J$2136,Table11[[#This Row],[ENTITY]],Movement!$O$4:$O$2136,'Cash Balance'!$A$2)</f>
        <v>2092168227</v>
      </c>
      <c r="K796" s="1084">
        <f>Table11[[#This Row],[CASH IN - CREDIT (VND)]]-Table11[[#This Row],[CASH OUT - DEBIT (VND)]]</f>
        <v>12511347745</v>
      </c>
      <c r="L796" s="1095">
        <f t="shared" si="85"/>
        <v>21238020106</v>
      </c>
      <c r="M796" s="1184" t="e">
        <f>VLOOKUP(C796,'Cash balance (BS)'!A:D,4,)</f>
        <v>#N/A</v>
      </c>
      <c r="N796" s="1095" t="e">
        <f>Table11[[#This Row],[CLOSING BALANCE (VND)2]]-Table11[[#This Row],[CB_BS (VND)]]</f>
        <v>#N/A</v>
      </c>
      <c r="O796" s="1094">
        <v>0</v>
      </c>
      <c r="P796" s="1095">
        <f t="shared" si="86"/>
        <v>0</v>
      </c>
      <c r="Q796" s="817">
        <f>SUMIFS('Cash balance (Prior period)'!G:G,'Cash balance (Prior period)'!C:C,Table11[[#This Row],[ACCOUNT NUMBER]],'Cash balance (Prior period)'!E:E,Table11[[#This Row],[CURRENCY]])</f>
        <v>0</v>
      </c>
      <c r="R796" s="817">
        <f>SUMIFS(Movement!$F$4:$F$2136,Movement!$M$4:$M$2136,"USD",Movement!$C$4:$C$2136,Table11[[#This Row],[ACCOUNT NUMBER]],Movement!$J$4:$J$2136,Table11[[#This Row],[ENTITY]],Movement!$O$4:$O$2136,'Cash Balance'!$A$2)</f>
        <v>0</v>
      </c>
      <c r="S796" s="817">
        <f>SUMIFS(Movement!$G$4:$G$2136,Movement!$M$4:$M$2136,"USD",Movement!$C$4:$C$2136,Table11[[#This Row],[ACCOUNT NUMBER]],Movement!$J$4:$J$2136,Table11[[#This Row],[ENTITY]],Movement!$O$4:$O$2136,'Cash Balance'!$A$2)</f>
        <v>0</v>
      </c>
      <c r="T796" s="1087">
        <f t="shared" si="87"/>
        <v>0</v>
      </c>
      <c r="U796" s="1090"/>
      <c r="V796" s="1091">
        <f>Table11[[#This Row],[CLOSING BALANCE (USD)]]-Table11[[#This Row],[CB_BS (USD)]]</f>
        <v>0</v>
      </c>
      <c r="W796" s="1156" t="str">
        <f>VLOOKUP('Cash Balance'!$C796,Table2[#All],MATCH('Cash Balance'!W$3,Acc_Char!$B$1:$I$1,0),0)</f>
        <v>Subsidiaries</v>
      </c>
      <c r="X796" s="1156" t="str">
        <f>VLOOKUP(IFERROR(MID($Y796,1,FIND("-",$Y796)-2),$Y796),Table3[#All],2,0)</f>
        <v>VCB</v>
      </c>
      <c r="Y796" s="1156" t="str">
        <f>VLOOKUP($B796,Table4[#All],2,0)</f>
        <v>VIETCOMBANK - HCM</v>
      </c>
      <c r="Z796" s="1151"/>
      <c r="AA796" s="49"/>
    </row>
    <row r="797" spans="1:27">
      <c r="A797" s="1153" t="str">
        <f>VLOOKUP('Cash Balance'!$C797,Table2[#All],MATCH('Cash Balance'!A$3,Acc_Char!$B$1:$I$1,0),0)</f>
        <v>SAO HOA</v>
      </c>
      <c r="B797" s="1154" t="str">
        <f>VLOOKUP('Cash Balance'!$C797,Table2[#All],MATCH('Cash Balance'!B$3,Acc_Char!$B$1:$I$1,0),0)</f>
        <v>VIB - HOI SO</v>
      </c>
      <c r="C797" s="1204" t="s">
        <v>1409</v>
      </c>
      <c r="D797" s="1156" t="str">
        <f>VLOOKUP('Cash Balance'!$C797,Table2[#All],MATCH('Cash Balance'!D$3,Acc_Char!$B$1:$I$1,0),0)</f>
        <v>Saving Account</v>
      </c>
      <c r="E797" s="384" t="str">
        <f>VLOOKUP('Cash Balance'!$C797,Table2[#All],MATCH('Cash Balance'!E$3,Acc_Char!$B$1:$I$1,0),0)</f>
        <v>VND</v>
      </c>
      <c r="F797" s="1084" t="e">
        <f>VLOOKUP(C797,'Cash balance (BS)'!A:C,3,)</f>
        <v>#N/A</v>
      </c>
      <c r="G797" s="1191" t="e">
        <f t="shared" ref="G797" si="101">F797-H797</f>
        <v>#N/A</v>
      </c>
      <c r="H797" s="1318">
        <f>SUMIFS('Cash balance (Prior period)'!F:F,'Cash balance (Prior period)'!C:C,Table11[[#This Row],[ACCOUNT NUMBER]],'Cash balance (Prior period)'!E:E,Table11[[#This Row],[CURRENCY]])</f>
        <v>170000000000</v>
      </c>
      <c r="I797" s="1318">
        <f>SUMIFS(Movement!$F$4:$F$2136,Movement!$M$4:$M$2136,"VND",Movement!$C$4:$C$2136,Table11[[#This Row],[ACCOUNT NUMBER]],Movement!$J$4:$J$2136,Table11[[#This Row],[ENTITY]],Movement!$O$4:$O$2136,'Cash Balance'!$A$2)</f>
        <v>0</v>
      </c>
      <c r="J797" s="1318">
        <f>SUMIFS(Movement!$G$4:$G$2136,Movement!$M$4:$M$2136,"VND",Movement!$C$4:$C$2136,Table11[[#This Row],[ACCOUNT NUMBER]],Movement!$J$4:$J$2136,Table11[[#This Row],[ENTITY]],Movement!$O$4:$O$2136,'Cash Balance'!$A$2)</f>
        <v>0</v>
      </c>
      <c r="K797" s="1084">
        <f>Table11[[#This Row],[CASH IN - CREDIT (VND)]]-Table11[[#This Row],[CASH OUT - DEBIT (VND)]]</f>
        <v>0</v>
      </c>
      <c r="L797" s="1095">
        <f t="shared" si="85"/>
        <v>170000000000</v>
      </c>
      <c r="M797" s="1184" t="e">
        <f>VLOOKUP(C797,'Cash balance (BS)'!A:D,4,)</f>
        <v>#N/A</v>
      </c>
      <c r="N797" s="1095" t="e">
        <f>Table11[[#This Row],[CLOSING BALANCE (VND)2]]-Table11[[#This Row],[CB_BS (VND)]]</f>
        <v>#N/A</v>
      </c>
      <c r="O797" s="1094">
        <v>0</v>
      </c>
      <c r="P797" s="1095">
        <f t="shared" si="86"/>
        <v>0</v>
      </c>
      <c r="Q797" s="817">
        <f>SUMIFS('Cash balance (Prior period)'!G:G,'Cash balance (Prior period)'!C:C,Table11[[#This Row],[ACCOUNT NUMBER]],'Cash balance (Prior period)'!E:E,Table11[[#This Row],[CURRENCY]])</f>
        <v>0</v>
      </c>
      <c r="R797" s="817">
        <f>SUMIFS(Movement!$F$4:$F$2136,Movement!$M$4:$M$2136,"USD",Movement!$C$4:$C$2136,Table11[[#This Row],[ACCOUNT NUMBER]],Movement!$J$4:$J$2136,Table11[[#This Row],[ENTITY]],Movement!$O$4:$O$2136,'Cash Balance'!$A$2)</f>
        <v>0</v>
      </c>
      <c r="S797" s="817">
        <f>SUMIFS(Movement!$G$4:$G$2136,Movement!$M$4:$M$2136,"USD",Movement!$C$4:$C$2136,Table11[[#This Row],[ACCOUNT NUMBER]],Movement!$J$4:$J$2136,Table11[[#This Row],[ENTITY]],Movement!$O$4:$O$2136,'Cash Balance'!$A$2)</f>
        <v>0</v>
      </c>
      <c r="T797" s="1087">
        <f t="shared" si="87"/>
        <v>0</v>
      </c>
      <c r="U797" s="1090"/>
      <c r="V797" s="1091">
        <f>Table11[[#This Row],[CLOSING BALANCE (USD)]]-Table11[[#This Row],[CB_BS (USD)]]</f>
        <v>0</v>
      </c>
      <c r="W797" s="1156" t="str">
        <f>VLOOKUP('Cash Balance'!$C797,Table2[#All],MATCH('Cash Balance'!W$3,Acc_Char!$B$1:$I$1,0),0)</f>
        <v>VC3</v>
      </c>
      <c r="X797" s="1156" t="str">
        <f>VLOOKUP(IFERROR(MID($Y797,1,FIND("-",$Y797)-2),$Y797),Table3[#All],2,0)</f>
        <v>VIB</v>
      </c>
      <c r="Y797" s="1156" t="str">
        <f>VLOOKUP($B797,Table4[#All],2,0)</f>
        <v>VIB - HOI SO</v>
      </c>
      <c r="Z797" s="1151"/>
    </row>
    <row r="798" spans="1:27">
      <c r="A798" s="1153" t="str">
        <f>VLOOKUP('Cash Balance'!$C798,Table2[#All],MATCH('Cash Balance'!A$3,Acc_Char!$B$1:$I$1,0),0)</f>
        <v>SAO HOA</v>
      </c>
      <c r="B798" s="1154" t="str">
        <f>VLOOKUP('Cash Balance'!$C798,Table2[#All],MATCH('Cash Balance'!B$3,Acc_Char!$B$1:$I$1,0),0)</f>
        <v>VIETINBANK - BINH DUONG</v>
      </c>
      <c r="C798" s="1204" t="s">
        <v>1410</v>
      </c>
      <c r="D798" s="1156" t="str">
        <f>VLOOKUP('Cash Balance'!$C798,Table2[#All],MATCH('Cash Balance'!D$3,Acc_Char!$B$1:$I$1,0),0)</f>
        <v>Saving Account</v>
      </c>
      <c r="E798" s="384" t="str">
        <f>VLOOKUP('Cash Balance'!$C798,Table2[#All],MATCH('Cash Balance'!E$3,Acc_Char!$B$1:$I$1,0),0)</f>
        <v>VND</v>
      </c>
      <c r="F798" s="1084" t="e">
        <f>VLOOKUP(C798,'Cash balance (BS)'!A:C,3,)</f>
        <v>#N/A</v>
      </c>
      <c r="G798" s="1191" t="e">
        <f t="shared" ref="G798" si="102">F798-H798</f>
        <v>#N/A</v>
      </c>
      <c r="H798" s="1318">
        <f>SUMIFS('Cash balance (Prior period)'!F:F,'Cash balance (Prior period)'!C:C,Table11[[#This Row],[ACCOUNT NUMBER]],'Cash balance (Prior period)'!E:E,Table11[[#This Row],[CURRENCY]])</f>
        <v>0</v>
      </c>
      <c r="I798" s="1318">
        <f>SUMIFS(Movement!$F$4:$F$2136,Movement!$M$4:$M$2136,"VND",Movement!$C$4:$C$2136,Table11[[#This Row],[ACCOUNT NUMBER]],Movement!$J$4:$J$2136,Table11[[#This Row],[ENTITY]],Movement!$O$4:$O$2136,'Cash Balance'!$A$2)</f>
        <v>0</v>
      </c>
      <c r="J798" s="1318">
        <f>SUMIFS(Movement!$G$4:$G$2136,Movement!$M$4:$M$2136,"VND",Movement!$C$4:$C$2136,Table11[[#This Row],[ACCOUNT NUMBER]],Movement!$J$4:$J$2136,Table11[[#This Row],[ENTITY]],Movement!$O$4:$O$2136,'Cash Balance'!$A$2)</f>
        <v>0</v>
      </c>
      <c r="K798" s="1084">
        <f>Table11[[#This Row],[CASH IN - CREDIT (VND)]]-Table11[[#This Row],[CASH OUT - DEBIT (VND)]]</f>
        <v>0</v>
      </c>
      <c r="L798" s="1095">
        <f t="shared" si="85"/>
        <v>0</v>
      </c>
      <c r="M798" s="1184" t="e">
        <f>VLOOKUP(C798,'Cash balance (BS)'!A:D,4,)</f>
        <v>#N/A</v>
      </c>
      <c r="N798" s="1095" t="e">
        <f>Table11[[#This Row],[CLOSING BALANCE (VND)2]]-Table11[[#This Row],[CB_BS (VND)]]</f>
        <v>#N/A</v>
      </c>
      <c r="O798" s="1094">
        <v>0</v>
      </c>
      <c r="P798" s="1095">
        <f t="shared" si="86"/>
        <v>0</v>
      </c>
      <c r="Q798" s="817">
        <f>SUMIFS('Cash balance (Prior period)'!G:G,'Cash balance (Prior period)'!C:C,Table11[[#This Row],[ACCOUNT NUMBER]],'Cash balance (Prior period)'!E:E,Table11[[#This Row],[CURRENCY]])</f>
        <v>0</v>
      </c>
      <c r="R798" s="817">
        <f>SUMIFS(Movement!$F$4:$F$2136,Movement!$M$4:$M$2136,"USD",Movement!$C$4:$C$2136,Table11[[#This Row],[ACCOUNT NUMBER]],Movement!$J$4:$J$2136,Table11[[#This Row],[ENTITY]],Movement!$O$4:$O$2136,'Cash Balance'!$A$2)</f>
        <v>0</v>
      </c>
      <c r="S798" s="817">
        <f>SUMIFS(Movement!$G$4:$G$2136,Movement!$M$4:$M$2136,"USD",Movement!$C$4:$C$2136,Table11[[#This Row],[ACCOUNT NUMBER]],Movement!$J$4:$J$2136,Table11[[#This Row],[ENTITY]],Movement!$O$4:$O$2136,'Cash Balance'!$A$2)</f>
        <v>0</v>
      </c>
      <c r="T798" s="1087">
        <f t="shared" si="87"/>
        <v>0</v>
      </c>
      <c r="U798" s="1090"/>
      <c r="V798" s="1091">
        <f>Table11[[#This Row],[CLOSING BALANCE (USD)]]-Table11[[#This Row],[CB_BS (USD)]]</f>
        <v>0</v>
      </c>
      <c r="W798" s="1156" t="str">
        <f>VLOOKUP('Cash Balance'!$C798,Table2[#All],MATCH('Cash Balance'!W$3,Acc_Char!$B$1:$I$1,0),0)</f>
        <v>VC3</v>
      </c>
      <c r="X798" s="1156" t="str">
        <f>VLOOKUP(IFERROR(MID($Y798,1,FIND("-",$Y798)-2),$Y798),Table3[#All],2,0)</f>
        <v>VTB</v>
      </c>
      <c r="Y798" s="1156" t="str">
        <f>VLOOKUP($B798,Table4[#All],2,0)</f>
        <v>VIETINBANK - BINH DUONG + QM</v>
      </c>
      <c r="Z798" s="1151"/>
    </row>
    <row r="799" spans="1:27">
      <c r="A799" s="1153" t="str">
        <f>VLOOKUP('Cash Balance'!$C799,Table2[#All],MATCH('Cash Balance'!A$3,Acc_Char!$B$1:$I$1,0),0)</f>
        <v>LONG BINH</v>
      </c>
      <c r="B799" s="1154" t="str">
        <f>VLOOKUP('Cash Balance'!$C799,Table2[#All],MATCH('Cash Balance'!B$3,Acc_Char!$B$1:$I$1,0),0)</f>
        <v>VIETCOMBANK - HCM</v>
      </c>
      <c r="C799" s="1204" t="s">
        <v>1411</v>
      </c>
      <c r="D799" s="1156" t="str">
        <f>VLOOKUP('Cash Balance'!$C799,Table2[#All],MATCH('Cash Balance'!D$3,Acc_Char!$B$1:$I$1,0),0)</f>
        <v>Saving Account</v>
      </c>
      <c r="E799" s="384" t="str">
        <f>VLOOKUP('Cash Balance'!$C799,Table2[#All],MATCH('Cash Balance'!E$3,Acc_Char!$B$1:$I$1,0),0)</f>
        <v>VND</v>
      </c>
      <c r="F799" s="1084" t="e">
        <f>VLOOKUP(C799,'Cash balance (BS)'!A:C,3,)</f>
        <v>#N/A</v>
      </c>
      <c r="G799" s="1191" t="e">
        <f t="shared" ref="G799:G832" si="103">F799-H799</f>
        <v>#N/A</v>
      </c>
      <c r="H799" s="1318">
        <f>SUMIFS('Cash balance (Prior period)'!F:F,'Cash balance (Prior period)'!C:C,Table11[[#This Row],[ACCOUNT NUMBER]],'Cash balance (Prior period)'!E:E,Table11[[#This Row],[CURRENCY]])</f>
        <v>0</v>
      </c>
      <c r="I799" s="1318">
        <f>SUMIFS(Movement!$F$4:$F$2136,Movement!$M$4:$M$2136,"VND",Movement!$C$4:$C$2136,Table11[[#This Row],[ACCOUNT NUMBER]],Movement!$J$4:$J$2136,Table11[[#This Row],[ENTITY]],Movement!$O$4:$O$2136,'Cash Balance'!$A$2)</f>
        <v>0</v>
      </c>
      <c r="J799" s="1318">
        <f>SUMIFS(Movement!$G$4:$G$2136,Movement!$M$4:$M$2136,"VND",Movement!$C$4:$C$2136,Table11[[#This Row],[ACCOUNT NUMBER]],Movement!$J$4:$J$2136,Table11[[#This Row],[ENTITY]],Movement!$O$4:$O$2136,'Cash Balance'!$A$2)</f>
        <v>0</v>
      </c>
      <c r="K799" s="1084">
        <f>Table11[[#This Row],[CASH IN - CREDIT (VND)]]-Table11[[#This Row],[CASH OUT - DEBIT (VND)]]</f>
        <v>0</v>
      </c>
      <c r="L799" s="1095">
        <f>H799+I799-J799</f>
        <v>0</v>
      </c>
      <c r="M799" s="1184" t="e">
        <f>VLOOKUP(C799,'Cash balance (BS)'!A:D,4,)</f>
        <v>#N/A</v>
      </c>
      <c r="N799" s="1095" t="e">
        <f>Table11[[#This Row],[CLOSING BALANCE (VND)2]]-Table11[[#This Row],[CB_BS (VND)]]</f>
        <v>#N/A</v>
      </c>
      <c r="O799" s="1094">
        <v>0</v>
      </c>
      <c r="P799" s="1095">
        <f>O799-Q799</f>
        <v>0</v>
      </c>
      <c r="Q799" s="817">
        <f>SUMIFS('Cash balance (Prior period)'!G:G,'Cash balance (Prior period)'!C:C,Table11[[#This Row],[ACCOUNT NUMBER]],'Cash balance (Prior period)'!E:E,Table11[[#This Row],[CURRENCY]])</f>
        <v>0</v>
      </c>
      <c r="R799" s="817">
        <f>SUMIFS(Movement!$F$4:$F$2136,Movement!$M$4:$M$2136,"USD",Movement!$C$4:$C$2136,Table11[[#This Row],[ACCOUNT NUMBER]],Movement!$J$4:$J$2136,Table11[[#This Row],[ENTITY]],Movement!$O$4:$O$2136,'Cash Balance'!$A$2)</f>
        <v>0</v>
      </c>
      <c r="S799" s="817">
        <f>SUMIFS(Movement!$G$4:$G$2136,Movement!$M$4:$M$2136,"USD",Movement!$C$4:$C$2136,Table11[[#This Row],[ACCOUNT NUMBER]],Movement!$J$4:$J$2136,Table11[[#This Row],[ENTITY]],Movement!$O$4:$O$2136,'Cash Balance'!$A$2)</f>
        <v>0</v>
      </c>
      <c r="T799" s="1087">
        <f>Q799+R799-S799</f>
        <v>0</v>
      </c>
      <c r="U799" s="1090"/>
      <c r="V799" s="1091">
        <f>Table11[[#This Row],[CLOSING BALANCE (USD)]]-Table11[[#This Row],[CB_BS (USD)]]</f>
        <v>0</v>
      </c>
      <c r="W799" s="1156" t="str">
        <f>VLOOKUP('Cash Balance'!$C799,Table2[#All],MATCH('Cash Balance'!W$3,Acc_Char!$B$1:$I$1,0),0)</f>
        <v>Subsidiaries</v>
      </c>
      <c r="X799" s="1156" t="str">
        <f>VLOOKUP(IFERROR(MID($Y799,1,FIND("-",$Y799)-2),$Y799),Table3[#All],2,0)</f>
        <v>VCB</v>
      </c>
      <c r="Y799" s="1156" t="str">
        <f>VLOOKUP($B799,Table4[#All],2,0)</f>
        <v>VIETCOMBANK - HCM</v>
      </c>
      <c r="Z799" s="1151"/>
    </row>
    <row r="800" spans="1:27">
      <c r="A800" s="1153" t="str">
        <f>VLOOKUP('Cash Balance'!$C800,Table2[#All],MATCH('Cash Balance'!A$3,Acc_Char!$B$1:$I$1,0),0)</f>
        <v>BW SAI GON</v>
      </c>
      <c r="B800" s="1154" t="str">
        <f>VLOOKUP('Cash Balance'!$C800,Table2[#All],MATCH('Cash Balance'!B$3,Acc_Char!$B$1:$I$1,0),0)</f>
        <v>SINOPAC</v>
      </c>
      <c r="C800" s="1204" t="s">
        <v>1412</v>
      </c>
      <c r="D800" s="1156" t="str">
        <f>VLOOKUP('Cash Balance'!$C800,Table2[#All],MATCH('Cash Balance'!D$3,Acc_Char!$B$1:$I$1,0),0)</f>
        <v>Saving Account</v>
      </c>
      <c r="E800" s="384" t="str">
        <f>VLOOKUP('Cash Balance'!$C800,Table2[#All],MATCH('Cash Balance'!E$3,Acc_Char!$B$1:$I$1,0),0)</f>
        <v>VND</v>
      </c>
      <c r="F800" s="1084" t="e">
        <f>VLOOKUP(C800,'Cash balance (BS)'!A:C,3,)</f>
        <v>#N/A</v>
      </c>
      <c r="G800" s="1191" t="e">
        <f t="shared" si="103"/>
        <v>#N/A</v>
      </c>
      <c r="H800" s="1318">
        <f>SUMIFS('Cash balance (Prior period)'!F:F,'Cash balance (Prior period)'!C:C,Table11[[#This Row],[ACCOUNT NUMBER]],'Cash balance (Prior period)'!E:E,Table11[[#This Row],[CURRENCY]])</f>
        <v>5500000000</v>
      </c>
      <c r="I800" s="1318">
        <f>SUMIFS(Movement!$F$4:$F$2136,Movement!$M$4:$M$2136,"VND",Movement!$C$4:$C$2136,Table11[[#This Row],[ACCOUNT NUMBER]],Movement!$J$4:$J$2136,Table11[[#This Row],[ENTITY]],Movement!$O$4:$O$2136,'Cash Balance'!$A$2)</f>
        <v>0</v>
      </c>
      <c r="J800" s="1318">
        <f>SUMIFS(Movement!$G$4:$G$2136,Movement!$M$4:$M$2136,"VND",Movement!$C$4:$C$2136,Table11[[#This Row],[ACCOUNT NUMBER]],Movement!$J$4:$J$2136,Table11[[#This Row],[ENTITY]],Movement!$O$4:$O$2136,'Cash Balance'!$A$2)</f>
        <v>0</v>
      </c>
      <c r="K800" s="1084">
        <f>Table11[[#This Row],[CASH IN - CREDIT (VND)]]-Table11[[#This Row],[CASH OUT - DEBIT (VND)]]</f>
        <v>0</v>
      </c>
      <c r="L800" s="1095">
        <f t="shared" si="85"/>
        <v>5500000000</v>
      </c>
      <c r="M800" s="1184" t="e">
        <f>VLOOKUP(C800,'Cash balance (BS)'!A:D,4,)</f>
        <v>#N/A</v>
      </c>
      <c r="N800" s="1095" t="e">
        <f>Table11[[#This Row],[CLOSING BALANCE (VND)2]]-Table11[[#This Row],[CB_BS (VND)]]</f>
        <v>#N/A</v>
      </c>
      <c r="O800" s="1094">
        <v>0</v>
      </c>
      <c r="P800" s="1095">
        <f t="shared" si="86"/>
        <v>0</v>
      </c>
      <c r="Q800" s="817">
        <f>SUMIFS('Cash balance (Prior period)'!G:G,'Cash balance (Prior period)'!C:C,Table11[[#This Row],[ACCOUNT NUMBER]],'Cash balance (Prior period)'!E:E,Table11[[#This Row],[CURRENCY]])</f>
        <v>0</v>
      </c>
      <c r="R800" s="817">
        <f>SUMIFS(Movement!$F$4:$F$2136,Movement!$M$4:$M$2136,"USD",Movement!$C$4:$C$2136,Table11[[#This Row],[ACCOUNT NUMBER]],Movement!$J$4:$J$2136,Table11[[#This Row],[ENTITY]],Movement!$O$4:$O$2136,'Cash Balance'!$A$2)</f>
        <v>0</v>
      </c>
      <c r="S800" s="817">
        <f>SUMIFS(Movement!$G$4:$G$2136,Movement!$M$4:$M$2136,"USD",Movement!$C$4:$C$2136,Table11[[#This Row],[ACCOUNT NUMBER]],Movement!$J$4:$J$2136,Table11[[#This Row],[ENTITY]],Movement!$O$4:$O$2136,'Cash Balance'!$A$2)</f>
        <v>0</v>
      </c>
      <c r="T800" s="1087">
        <f t="shared" si="87"/>
        <v>0</v>
      </c>
      <c r="U800" s="1090"/>
      <c r="V800" s="1091">
        <f>Table11[[#This Row],[CLOSING BALANCE (USD)]]-Table11[[#This Row],[CB_BS (USD)]]</f>
        <v>0</v>
      </c>
      <c r="W800" s="1156" t="str">
        <f>VLOOKUP('Cash Balance'!$C800,Table2[#All],MATCH('Cash Balance'!W$3,Acc_Char!$B$1:$I$1,0),0)</f>
        <v>Subsidiaries</v>
      </c>
      <c r="X800" s="1156" t="str">
        <f>VLOOKUP(IFERROR(MID($Y800,1,FIND("-",$Y800)-2),$Y800),Table3[#All],2,0)</f>
        <v>SNP</v>
      </c>
      <c r="Y800" s="1156" t="str">
        <f>VLOOKUP($B800,Table4[#All],2,0)</f>
        <v>SINOPAC</v>
      </c>
      <c r="Z800" s="1151"/>
    </row>
    <row r="801" spans="1:26">
      <c r="A801" s="1153" t="str">
        <f>VLOOKUP('Cash Balance'!$C801,Table2[#All],MATCH('Cash Balance'!A$3,Acc_Char!$B$1:$I$1,0),0)</f>
        <v>SONG THAN 2</v>
      </c>
      <c r="B801" s="1154" t="str">
        <f>VLOOKUP('Cash Balance'!$C801,Table2[#All],MATCH('Cash Balance'!B$3,Acc_Char!$B$1:$I$1,0),0)</f>
        <v>VIETINBANK - TPHCM</v>
      </c>
      <c r="C801" s="1204" t="s">
        <v>1413</v>
      </c>
      <c r="D801" s="1156" t="str">
        <f>VLOOKUP('Cash Balance'!$C801,Table2[#All],MATCH('Cash Balance'!D$3,Acc_Char!$B$1:$I$1,0),0)</f>
        <v>Saving Account</v>
      </c>
      <c r="E801" s="384" t="str">
        <f>VLOOKUP('Cash Balance'!$C801,Table2[#All],MATCH('Cash Balance'!E$3,Acc_Char!$B$1:$I$1,0),0)</f>
        <v>VND</v>
      </c>
      <c r="F801" s="1084" t="e">
        <f>VLOOKUP(C801,'Cash balance (BS)'!A:C,3,)</f>
        <v>#N/A</v>
      </c>
      <c r="G801" s="1191" t="e">
        <f t="shared" si="103"/>
        <v>#N/A</v>
      </c>
      <c r="H801" s="1318">
        <f>SUMIFS('Cash balance (Prior period)'!F:F,'Cash balance (Prior period)'!C:C,Table11[[#This Row],[ACCOUNT NUMBER]],'Cash balance (Prior period)'!E:E,Table11[[#This Row],[CURRENCY]])</f>
        <v>5000000000</v>
      </c>
      <c r="I801" s="1318">
        <f>SUMIFS(Movement!$F$4:$F$2136,Movement!$M$4:$M$2136,"VND",Movement!$C$4:$C$2136,Table11[[#This Row],[ACCOUNT NUMBER]],Movement!$J$4:$J$2136,Table11[[#This Row],[ENTITY]],Movement!$O$4:$O$2136,'Cash Balance'!$A$2)</f>
        <v>0</v>
      </c>
      <c r="J801" s="1318">
        <f>SUMIFS(Movement!$G$4:$G$2136,Movement!$M$4:$M$2136,"VND",Movement!$C$4:$C$2136,Table11[[#This Row],[ACCOUNT NUMBER]],Movement!$J$4:$J$2136,Table11[[#This Row],[ENTITY]],Movement!$O$4:$O$2136,'Cash Balance'!$A$2)</f>
        <v>0</v>
      </c>
      <c r="K801" s="1084">
        <f>Table11[[#This Row],[CASH IN - CREDIT (VND)]]-Table11[[#This Row],[CASH OUT - DEBIT (VND)]]</f>
        <v>0</v>
      </c>
      <c r="L801" s="1095">
        <f t="shared" ref="L801:L819" si="104">H801+I801-J801</f>
        <v>5000000000</v>
      </c>
      <c r="M801" s="1184" t="e">
        <f>VLOOKUP(C801,'Cash balance (BS)'!A:D,4,)</f>
        <v>#N/A</v>
      </c>
      <c r="N801" s="1095" t="e">
        <f>Table11[[#This Row],[CLOSING BALANCE (VND)2]]-Table11[[#This Row],[CB_BS (VND)]]</f>
        <v>#N/A</v>
      </c>
      <c r="O801" s="1094"/>
      <c r="P801" s="1095">
        <f t="shared" ref="P801:P820" si="105">O801-Q801</f>
        <v>0</v>
      </c>
      <c r="Q801" s="817">
        <f>SUMIFS('Cash balance (Prior period)'!G:G,'Cash balance (Prior period)'!C:C,Table11[[#This Row],[ACCOUNT NUMBER]],'Cash balance (Prior period)'!E:E,Table11[[#This Row],[CURRENCY]])</f>
        <v>0</v>
      </c>
      <c r="R801" s="817">
        <f>SUMIFS(Movement!$F$4:$F$2136,Movement!$M$4:$M$2136,"USD",Movement!$C$4:$C$2136,Table11[[#This Row],[ACCOUNT NUMBER]],Movement!$J$4:$J$2136,Table11[[#This Row],[ENTITY]],Movement!$O$4:$O$2136,'Cash Balance'!$A$2)</f>
        <v>0</v>
      </c>
      <c r="S801" s="817">
        <f>SUMIFS(Movement!$G$4:$G$2136,Movement!$M$4:$M$2136,"USD",Movement!$C$4:$C$2136,Table11[[#This Row],[ACCOUNT NUMBER]],Movement!$J$4:$J$2136,Table11[[#This Row],[ENTITY]],Movement!$O$4:$O$2136,'Cash Balance'!$A$2)</f>
        <v>0</v>
      </c>
      <c r="T801" s="1087">
        <f t="shared" ref="T801" si="106">Q801+R801-S801</f>
        <v>0</v>
      </c>
      <c r="U801" s="1090"/>
      <c r="V801" s="1091">
        <f>Table11[[#This Row],[CLOSING BALANCE (USD)]]-Table11[[#This Row],[CB_BS (USD)]]</f>
        <v>0</v>
      </c>
      <c r="W801" s="1156" t="str">
        <f>VLOOKUP('Cash Balance'!$C801,Table2[#All],MATCH('Cash Balance'!W$3,Acc_Char!$B$1:$I$1,0),0)</f>
        <v>Subsidiaries</v>
      </c>
      <c r="X801" s="1156" t="str">
        <f>VLOOKUP(IFERROR(MID($Y801,1,FIND("-",$Y801)-2),$Y801),Table3[#All],2,0)</f>
        <v>VTB</v>
      </c>
      <c r="Y801" s="1156" t="str">
        <f>VLOOKUP($B801,Table4[#All],2,0)</f>
        <v>VIETINBANK - TPHCM</v>
      </c>
      <c r="Z801" s="1151"/>
    </row>
    <row r="802" spans="1:26">
      <c r="A802" s="1153" t="str">
        <f>VLOOKUP('Cash Balance'!$C802,Table2[#All],MATCH('Cash Balance'!A$3,Acc_Char!$B$1:$I$1,0),0)</f>
        <v>THUAN THANH 3B</v>
      </c>
      <c r="B802" s="1154" t="str">
        <f>VLOOKUP('Cash Balance'!$C802,Table2[#All],MATCH('Cash Balance'!B$3,Acc_Char!$B$1:$I$1,0),0)</f>
        <v>VIETCOMBANK - BA DINH</v>
      </c>
      <c r="C802" s="1204" t="s">
        <v>1414</v>
      </c>
      <c r="D802" s="1156" t="str">
        <f>VLOOKUP('Cash Balance'!$C802,Table2[#All],MATCH('Cash Balance'!D$3,Acc_Char!$B$1:$I$1,0),0)</f>
        <v>Saving Account</v>
      </c>
      <c r="E802" s="384" t="str">
        <f>VLOOKUP('Cash Balance'!$C802,Table2[#All],MATCH('Cash Balance'!E$3,Acc_Char!$B$1:$I$1,0),0)</f>
        <v>VND</v>
      </c>
      <c r="F802" s="1084" t="e">
        <f>VLOOKUP(C802,'Cash balance (BS)'!A:C,3,)</f>
        <v>#N/A</v>
      </c>
      <c r="G802" s="1191" t="e">
        <f t="shared" si="103"/>
        <v>#N/A</v>
      </c>
      <c r="H802" s="1318">
        <f>SUMIFS('Cash balance (Prior period)'!F:F,'Cash balance (Prior period)'!C:C,Table11[[#This Row],[ACCOUNT NUMBER]],'Cash balance (Prior period)'!E:E,Table11[[#This Row],[CURRENCY]])</f>
        <v>4500000000</v>
      </c>
      <c r="I802" s="1318">
        <f>SUMIFS(Movement!$F$4:$F$2136,Movement!$M$4:$M$2136,"VND",Movement!$C$4:$C$2136,Table11[[#This Row],[ACCOUNT NUMBER]],Movement!$J$4:$J$2136,Table11[[#This Row],[ENTITY]],Movement!$O$4:$O$2136,'Cash Balance'!$A$2)</f>
        <v>0</v>
      </c>
      <c r="J802" s="1318">
        <f>SUMIFS(Movement!$G$4:$G$2136,Movement!$M$4:$M$2136,"VND",Movement!$C$4:$C$2136,Table11[[#This Row],[ACCOUNT NUMBER]],Movement!$J$4:$J$2136,Table11[[#This Row],[ENTITY]],Movement!$O$4:$O$2136,'Cash Balance'!$A$2)</f>
        <v>0</v>
      </c>
      <c r="K802" s="1084">
        <f>Table11[[#This Row],[CASH IN - CREDIT (VND)]]-Table11[[#This Row],[CASH OUT - DEBIT (VND)]]</f>
        <v>0</v>
      </c>
      <c r="L802" s="1095">
        <f t="shared" si="104"/>
        <v>4500000000</v>
      </c>
      <c r="M802" s="1184" t="e">
        <f>VLOOKUP(C802,'Cash balance (BS)'!A:D,4,)</f>
        <v>#N/A</v>
      </c>
      <c r="N802" s="1095" t="e">
        <f>Table11[[#This Row],[CLOSING BALANCE (VND)2]]-Table11[[#This Row],[CB_BS (VND)]]</f>
        <v>#N/A</v>
      </c>
      <c r="O802" s="1094"/>
      <c r="P802" s="1095">
        <f t="shared" si="105"/>
        <v>0</v>
      </c>
      <c r="Q802" s="817">
        <f>SUMIFS('Cash balance (Prior period)'!G:G,'Cash balance (Prior period)'!C:C,Table11[[#This Row],[ACCOUNT NUMBER]],'Cash balance (Prior period)'!E:E,Table11[[#This Row],[CURRENCY]])</f>
        <v>0</v>
      </c>
      <c r="R802" s="817">
        <f>SUMIFS(Movement!$F$4:$F$2136,Movement!$M$4:$M$2136,"USD",Movement!$C$4:$C$2136,Table11[[#This Row],[ACCOUNT NUMBER]],Movement!$J$4:$J$2136,Table11[[#This Row],[ENTITY]],Movement!$O$4:$O$2136,'Cash Balance'!$A$2)</f>
        <v>0</v>
      </c>
      <c r="S802" s="817">
        <f>SUMIFS(Movement!$G$4:$G$2136,Movement!$M$4:$M$2136,"USD",Movement!$C$4:$C$2136,Table11[[#This Row],[ACCOUNT NUMBER]],Movement!$J$4:$J$2136,Table11[[#This Row],[ENTITY]],Movement!$O$4:$O$2136,'Cash Balance'!$A$2)</f>
        <v>0</v>
      </c>
      <c r="T802" s="1087">
        <f t="shared" ref="T802" si="107">Q802+R802-S802</f>
        <v>0</v>
      </c>
      <c r="U802" s="1090"/>
      <c r="V802" s="1091">
        <f>Table11[[#This Row],[CLOSING BALANCE (USD)]]-Table11[[#This Row],[CB_BS (USD)]]</f>
        <v>0</v>
      </c>
      <c r="W802" s="1156" t="str">
        <f>VLOOKUP('Cash Balance'!$C802,Table2[#All],MATCH('Cash Balance'!W$3,Acc_Char!$B$1:$I$1,0),0)</f>
        <v>Subsidiaries</v>
      </c>
      <c r="X802" s="1156" t="str">
        <f>VLOOKUP(IFERROR(MID($Y802,1,FIND("-",$Y802)-2),$Y802),Table3[#All],2,0)</f>
        <v>VCB</v>
      </c>
      <c r="Y802" s="1156" t="str">
        <f>VLOOKUP($B802,Table4[#All],2,0)</f>
        <v>VIETCOMBANK - BA DINH</v>
      </c>
      <c r="Z802" s="1151"/>
    </row>
    <row r="803" spans="1:26">
      <c r="A803" s="1153" t="str">
        <f>VLOOKUP('Cash Balance'!$C803,Table2[#All],MATCH('Cash Balance'!A$3,Acc_Char!$B$1:$I$1,0),0)</f>
        <v>SAO HOA</v>
      </c>
      <c r="B803" s="1154" t="str">
        <f>VLOOKUP('Cash Balance'!$C803,Table2[#All],MATCH('Cash Balance'!B$3,Acc_Char!$B$1:$I$1,0),0)</f>
        <v>VIETCOMBANK - HCM</v>
      </c>
      <c r="C803" s="1204" t="s">
        <v>1415</v>
      </c>
      <c r="D803" s="1156" t="str">
        <f>VLOOKUP('Cash Balance'!$C803,Table2[#All],MATCH('Cash Balance'!D$3,Acc_Char!$B$1:$I$1,0),0)</f>
        <v>Saving Account</v>
      </c>
      <c r="E803" s="384" t="str">
        <f>VLOOKUP('Cash Balance'!$C803,Table2[#All],MATCH('Cash Balance'!E$3,Acc_Char!$B$1:$I$1,0),0)</f>
        <v>VND</v>
      </c>
      <c r="F803" s="1084" t="e">
        <f>VLOOKUP(C803,'Cash balance (BS)'!A:C,3,)</f>
        <v>#N/A</v>
      </c>
      <c r="G803" s="1191" t="e">
        <f t="shared" si="103"/>
        <v>#N/A</v>
      </c>
      <c r="H803" s="1318">
        <f>SUMIFS('Cash balance (Prior period)'!F:F,'Cash balance (Prior period)'!C:C,Table11[[#This Row],[ACCOUNT NUMBER]],'Cash balance (Prior period)'!E:E,Table11[[#This Row],[CURRENCY]])</f>
        <v>0</v>
      </c>
      <c r="I803" s="1318">
        <f>SUMIFS(Movement!$F$4:$F$2136,Movement!$M$4:$M$2136,"VND",Movement!$C$4:$C$2136,Table11[[#This Row],[ACCOUNT NUMBER]],Movement!$J$4:$J$2136,Table11[[#This Row],[ENTITY]],Movement!$O$4:$O$2136,'Cash Balance'!$A$2)</f>
        <v>0</v>
      </c>
      <c r="J803" s="1318">
        <f>SUMIFS(Movement!$G$4:$G$2136,Movement!$M$4:$M$2136,"VND",Movement!$C$4:$C$2136,Table11[[#This Row],[ACCOUNT NUMBER]],Movement!$J$4:$J$2136,Table11[[#This Row],[ENTITY]],Movement!$O$4:$O$2136,'Cash Balance'!$A$2)</f>
        <v>0</v>
      </c>
      <c r="K803" s="1084">
        <f>Table11[[#This Row],[CASH IN - CREDIT (VND)]]-Table11[[#This Row],[CASH OUT - DEBIT (VND)]]</f>
        <v>0</v>
      </c>
      <c r="L803" s="1095">
        <f t="shared" si="104"/>
        <v>0</v>
      </c>
      <c r="M803" s="1184" t="e">
        <f>VLOOKUP(C803,'Cash balance (BS)'!A:D,4,)</f>
        <v>#N/A</v>
      </c>
      <c r="N803" s="1095" t="e">
        <f>Table11[[#This Row],[CLOSING BALANCE (VND)2]]-Table11[[#This Row],[CB_BS (VND)]]</f>
        <v>#N/A</v>
      </c>
      <c r="O803" s="1094"/>
      <c r="P803" s="1095">
        <f t="shared" si="105"/>
        <v>0</v>
      </c>
      <c r="Q803" s="817">
        <f>SUMIFS('Cash balance (Prior period)'!G:G,'Cash balance (Prior period)'!C:C,Table11[[#This Row],[ACCOUNT NUMBER]],'Cash balance (Prior period)'!E:E,Table11[[#This Row],[CURRENCY]])</f>
        <v>0</v>
      </c>
      <c r="R803" s="817">
        <f>SUMIFS(Movement!$F$4:$F$2136,Movement!$M$4:$M$2136,"USD",Movement!$C$4:$C$2136,Table11[[#This Row],[ACCOUNT NUMBER]],Movement!$J$4:$J$2136,Table11[[#This Row],[ENTITY]],Movement!$O$4:$O$2136,'Cash Balance'!$A$2)</f>
        <v>0</v>
      </c>
      <c r="S803" s="817">
        <f>SUMIFS(Movement!$G$4:$G$2136,Movement!$M$4:$M$2136,"USD",Movement!$C$4:$C$2136,Table11[[#This Row],[ACCOUNT NUMBER]],Movement!$J$4:$J$2136,Table11[[#This Row],[ENTITY]],Movement!$O$4:$O$2136,'Cash Balance'!$A$2)</f>
        <v>0</v>
      </c>
      <c r="T803" s="1087">
        <f t="shared" ref="T803" si="108">Q803+R803-S803</f>
        <v>0</v>
      </c>
      <c r="U803" s="1090"/>
      <c r="V803" s="1091">
        <f>Table11[[#This Row],[CLOSING BALANCE (USD)]]-Table11[[#This Row],[CB_BS (USD)]]</f>
        <v>0</v>
      </c>
      <c r="W803" s="1156" t="str">
        <f>VLOOKUP('Cash Balance'!$C803,Table2[#All],MATCH('Cash Balance'!W$3,Acc_Char!$B$1:$I$1,0),0)</f>
        <v>VC3</v>
      </c>
      <c r="X803" s="1156" t="str">
        <f>VLOOKUP(IFERROR(MID($Y803,1,FIND("-",$Y803)-2),$Y803),Table3[#All],2,0)</f>
        <v>VCB</v>
      </c>
      <c r="Y803" s="1156" t="str">
        <f>VLOOKUP($B803,Table4[#All],2,0)</f>
        <v>VIETCOMBANK - HCM</v>
      </c>
      <c r="Z803" s="1151"/>
    </row>
    <row r="804" spans="1:26">
      <c r="A804" s="1153" t="str">
        <f>VLOOKUP('Cash Balance'!$C804,Table2[#All],MATCH('Cash Balance'!A$3,Acc_Char!$B$1:$I$1,0),0)</f>
        <v>BW SUPLLY CHAIN CITY</v>
      </c>
      <c r="B804" s="1154" t="str">
        <f>VLOOKUP('Cash Balance'!$C804,Table2[#All],MATCH('Cash Balance'!B$3,Acc_Char!$B$1:$I$1,0),0)</f>
        <v>VIETCOMBANK - HCM</v>
      </c>
      <c r="C804" s="1204" t="s">
        <v>1416</v>
      </c>
      <c r="D804" s="1156" t="str">
        <f>VLOOKUP('Cash Balance'!$C804,Table2[#All],MATCH('Cash Balance'!D$3,Acc_Char!$B$1:$I$1,0),0)</f>
        <v>Saving Account</v>
      </c>
      <c r="E804" s="384" t="str">
        <f>VLOOKUP('Cash Balance'!$C804,Table2[#All],MATCH('Cash Balance'!E$3,Acc_Char!$B$1:$I$1,0),0)</f>
        <v>VND</v>
      </c>
      <c r="F804" s="1084" t="e">
        <f>VLOOKUP(C804,'Cash balance (BS)'!A:C,3,)</f>
        <v>#N/A</v>
      </c>
      <c r="G804" s="1191" t="e">
        <f t="shared" si="103"/>
        <v>#N/A</v>
      </c>
      <c r="H804" s="1318">
        <f>SUMIFS('Cash balance (Prior period)'!F:F,'Cash balance (Prior period)'!C:C,Table11[[#This Row],[ACCOUNT NUMBER]],'Cash balance (Prior period)'!E:E,Table11[[#This Row],[CURRENCY]])</f>
        <v>0</v>
      </c>
      <c r="I804" s="1318">
        <f>SUMIFS(Movement!$F$4:$F$2136,Movement!$M$4:$M$2136,"VND",Movement!$C$4:$C$2136,Table11[[#This Row],[ACCOUNT NUMBER]],Movement!$J$4:$J$2136,Table11[[#This Row],[ENTITY]],Movement!$O$4:$O$2136,'Cash Balance'!$A$2)</f>
        <v>0</v>
      </c>
      <c r="J804" s="1318">
        <f>SUMIFS(Movement!$G$4:$G$2136,Movement!$M$4:$M$2136,"VND",Movement!$C$4:$C$2136,Table11[[#This Row],[ACCOUNT NUMBER]],Movement!$J$4:$J$2136,Table11[[#This Row],[ENTITY]],Movement!$O$4:$O$2136,'Cash Balance'!$A$2)</f>
        <v>0</v>
      </c>
      <c r="K804" s="1084">
        <f>Table11[[#This Row],[CASH IN - CREDIT (VND)]]-Table11[[#This Row],[CASH OUT - DEBIT (VND)]]</f>
        <v>0</v>
      </c>
      <c r="L804" s="1095">
        <f t="shared" si="104"/>
        <v>0</v>
      </c>
      <c r="M804" s="1184" t="e">
        <f>VLOOKUP(C804,'Cash balance (BS)'!A:D,4,)</f>
        <v>#N/A</v>
      </c>
      <c r="N804" s="1095" t="e">
        <f>Table11[[#This Row],[CLOSING BALANCE (VND)2]]-Table11[[#This Row],[CB_BS (VND)]]</f>
        <v>#N/A</v>
      </c>
      <c r="O804" s="1094"/>
      <c r="P804" s="1095">
        <f t="shared" si="105"/>
        <v>0</v>
      </c>
      <c r="Q804" s="817">
        <f>SUMIFS('Cash balance (Prior period)'!G:G,'Cash balance (Prior period)'!C:C,Table11[[#This Row],[ACCOUNT NUMBER]],'Cash balance (Prior period)'!E:E,Table11[[#This Row],[CURRENCY]])</f>
        <v>0</v>
      </c>
      <c r="R804" s="817">
        <f>SUMIFS(Movement!$F$4:$F$2136,Movement!$M$4:$M$2136,"USD",Movement!$C$4:$C$2136,Table11[[#This Row],[ACCOUNT NUMBER]],Movement!$J$4:$J$2136,Table11[[#This Row],[ENTITY]],Movement!$O$4:$O$2136,'Cash Balance'!$A$2)</f>
        <v>0</v>
      </c>
      <c r="S804" s="817">
        <f>SUMIFS(Movement!$G$4:$G$2136,Movement!$M$4:$M$2136,"USD",Movement!$C$4:$C$2136,Table11[[#This Row],[ACCOUNT NUMBER]],Movement!$J$4:$J$2136,Table11[[#This Row],[ENTITY]],Movement!$O$4:$O$2136,'Cash Balance'!$A$2)</f>
        <v>0</v>
      </c>
      <c r="T804" s="1087">
        <f t="shared" ref="T804" si="109">Q804+R804-S804</f>
        <v>0</v>
      </c>
      <c r="U804" s="1090"/>
      <c r="V804" s="1091">
        <f>Table11[[#This Row],[CLOSING BALANCE (USD)]]-Table11[[#This Row],[CB_BS (USD)]]</f>
        <v>0</v>
      </c>
      <c r="W804" s="1156" t="str">
        <f>VLOOKUP('Cash Balance'!$C804,Table2[#All],MATCH('Cash Balance'!W$3,Acc_Char!$B$1:$I$1,0),0)</f>
        <v>Subsidiaries</v>
      </c>
      <c r="X804" s="1156" t="str">
        <f>VLOOKUP(IFERROR(MID($Y804,1,FIND("-",$Y804)-2),$Y804),Table3[#All],2,0)</f>
        <v>VCB</v>
      </c>
      <c r="Y804" s="1156" t="str">
        <f>VLOOKUP($B804,Table4[#All],2,0)</f>
        <v>VIETCOMBANK - HCM</v>
      </c>
      <c r="Z804" s="1151"/>
    </row>
    <row r="805" spans="1:26">
      <c r="A805" s="1153" t="str">
        <f>VLOOKUP('Cash Balance'!$C805,Table2[#All],MATCH('Cash Balance'!A$3,Acc_Char!$B$1:$I$1,0),0)</f>
        <v>BWID NHON TRACH</v>
      </c>
      <c r="B805" s="1154" t="str">
        <f>VLOOKUP('Cash Balance'!$C805,Table2[#All],MATCH('Cash Balance'!B$3,Acc_Char!$B$1:$I$1,0),0)</f>
        <v>VIETCOMBANK - HCM</v>
      </c>
      <c r="C805" s="1204" t="s">
        <v>1417</v>
      </c>
      <c r="D805" s="1156" t="str">
        <f>VLOOKUP('Cash Balance'!$C805,Table2[#All],MATCH('Cash Balance'!D$3,Acc_Char!$B$1:$I$1,0),0)</f>
        <v>Saving Account</v>
      </c>
      <c r="E805" s="384" t="str">
        <f>VLOOKUP('Cash Balance'!$C805,Table2[#All],MATCH('Cash Balance'!E$3,Acc_Char!$B$1:$I$1,0),0)</f>
        <v>VND</v>
      </c>
      <c r="F805" s="1084" t="e">
        <f>VLOOKUP(C805,'Cash balance (BS)'!A:C,3,)</f>
        <v>#N/A</v>
      </c>
      <c r="G805" s="1191" t="e">
        <f t="shared" si="103"/>
        <v>#N/A</v>
      </c>
      <c r="H805" s="1318">
        <f>SUMIFS('Cash balance (Prior period)'!F:F,'Cash balance (Prior period)'!C:C,Table11[[#This Row],[ACCOUNT NUMBER]],'Cash balance (Prior period)'!E:E,Table11[[#This Row],[CURRENCY]])</f>
        <v>0</v>
      </c>
      <c r="I805" s="1318">
        <f>SUMIFS(Movement!$F$4:$F$2136,Movement!$M$4:$M$2136,"VND",Movement!$C$4:$C$2136,Table11[[#This Row],[ACCOUNT NUMBER]],Movement!$J$4:$J$2136,Table11[[#This Row],[ENTITY]],Movement!$O$4:$O$2136,'Cash Balance'!$A$2)</f>
        <v>0</v>
      </c>
      <c r="J805" s="1318">
        <f>SUMIFS(Movement!$G$4:$G$2136,Movement!$M$4:$M$2136,"VND",Movement!$C$4:$C$2136,Table11[[#This Row],[ACCOUNT NUMBER]],Movement!$J$4:$J$2136,Table11[[#This Row],[ENTITY]],Movement!$O$4:$O$2136,'Cash Balance'!$A$2)</f>
        <v>0</v>
      </c>
      <c r="K805" s="1084">
        <f>Table11[[#This Row],[CASH IN - CREDIT (VND)]]-Table11[[#This Row],[CASH OUT - DEBIT (VND)]]</f>
        <v>0</v>
      </c>
      <c r="L805" s="1095">
        <f t="shared" si="104"/>
        <v>0</v>
      </c>
      <c r="M805" s="1184" t="e">
        <f>VLOOKUP(C805,'Cash balance (BS)'!A:D,4,)</f>
        <v>#N/A</v>
      </c>
      <c r="N805" s="1095" t="e">
        <f>Table11[[#This Row],[CLOSING BALANCE (VND)2]]-Table11[[#This Row],[CB_BS (VND)]]</f>
        <v>#N/A</v>
      </c>
      <c r="O805" s="1094"/>
      <c r="P805" s="1095">
        <f t="shared" si="105"/>
        <v>0</v>
      </c>
      <c r="Q805" s="817">
        <f>SUMIFS('Cash balance (Prior period)'!G:G,'Cash balance (Prior period)'!C:C,Table11[[#This Row],[ACCOUNT NUMBER]],'Cash balance (Prior period)'!E:E,Table11[[#This Row],[CURRENCY]])</f>
        <v>0</v>
      </c>
      <c r="R805" s="817">
        <f>SUMIFS(Movement!$F$4:$F$2136,Movement!$M$4:$M$2136,"USD",Movement!$C$4:$C$2136,Table11[[#This Row],[ACCOUNT NUMBER]],Movement!$J$4:$J$2136,Table11[[#This Row],[ENTITY]],Movement!$O$4:$O$2136,'Cash Balance'!$A$2)</f>
        <v>0</v>
      </c>
      <c r="S805" s="817">
        <f>SUMIFS(Movement!$G$4:$G$2136,Movement!$M$4:$M$2136,"USD",Movement!$C$4:$C$2136,Table11[[#This Row],[ACCOUNT NUMBER]],Movement!$J$4:$J$2136,Table11[[#This Row],[ENTITY]],Movement!$O$4:$O$2136,'Cash Balance'!$A$2)</f>
        <v>0</v>
      </c>
      <c r="T805" s="1087">
        <f t="shared" ref="T805" si="110">Q805+R805-S805</f>
        <v>0</v>
      </c>
      <c r="U805" s="1090"/>
      <c r="V805" s="1091">
        <f>Table11[[#This Row],[CLOSING BALANCE (USD)]]-Table11[[#This Row],[CB_BS (USD)]]</f>
        <v>0</v>
      </c>
      <c r="W805" s="1156" t="str">
        <f>VLOOKUP('Cash Balance'!$C805,Table2[#All],MATCH('Cash Balance'!W$3,Acc_Char!$B$1:$I$1,0),0)</f>
        <v>Subsidiaries</v>
      </c>
      <c r="X805" s="1156" t="str">
        <f>VLOOKUP(IFERROR(MID($Y805,1,FIND("-",$Y805)-2),$Y805),Table3[#All],2,0)</f>
        <v>VCB</v>
      </c>
      <c r="Y805" s="1156" t="str">
        <f>VLOOKUP($B805,Table4[#All],2,0)</f>
        <v>VIETCOMBANK - HCM</v>
      </c>
      <c r="Z805" s="1151"/>
    </row>
    <row r="806" spans="1:26">
      <c r="A806" s="1153" t="str">
        <f>VLOOKUP('Cash Balance'!$C806,Table2[#All],MATCH('Cash Balance'!A$3,Acc_Char!$B$1:$I$1,0),0)</f>
        <v>BWID NHON TRACH</v>
      </c>
      <c r="B806" s="1154" t="str">
        <f>VLOOKUP('Cash Balance'!$C806,Table2[#All],MATCH('Cash Balance'!B$3,Acc_Char!$B$1:$I$1,0),0)</f>
        <v>VIETCOMBANK - HCM</v>
      </c>
      <c r="C806" s="1204" t="s">
        <v>1418</v>
      </c>
      <c r="D806" s="1156" t="str">
        <f>VLOOKUP('Cash Balance'!$C806,Table2[#All],MATCH('Cash Balance'!D$3,Acc_Char!$B$1:$I$1,0),0)</f>
        <v>Saving Account</v>
      </c>
      <c r="E806" s="384" t="str">
        <f>VLOOKUP('Cash Balance'!$C806,Table2[#All],MATCH('Cash Balance'!E$3,Acc_Char!$B$1:$I$1,0),0)</f>
        <v>VND</v>
      </c>
      <c r="F806" s="1084" t="e">
        <f>VLOOKUP(C806,'Cash balance (BS)'!A:C,3,)</f>
        <v>#N/A</v>
      </c>
      <c r="G806" s="1191" t="e">
        <f t="shared" si="103"/>
        <v>#N/A</v>
      </c>
      <c r="H806" s="1318">
        <f>SUMIFS('Cash balance (Prior period)'!F:F,'Cash balance (Prior period)'!C:C,Table11[[#This Row],[ACCOUNT NUMBER]],'Cash balance (Prior period)'!E:E,Table11[[#This Row],[CURRENCY]])</f>
        <v>0</v>
      </c>
      <c r="I806" s="1318">
        <f>SUMIFS(Movement!$F$4:$F$2136,Movement!$M$4:$M$2136,"VND",Movement!$C$4:$C$2136,Table11[[#This Row],[ACCOUNT NUMBER]],Movement!$J$4:$J$2136,Table11[[#This Row],[ENTITY]],Movement!$O$4:$O$2136,'Cash Balance'!$A$2)</f>
        <v>0</v>
      </c>
      <c r="J806" s="1318">
        <f>SUMIFS(Movement!$G$4:$G$2136,Movement!$M$4:$M$2136,"VND",Movement!$C$4:$C$2136,Table11[[#This Row],[ACCOUNT NUMBER]],Movement!$J$4:$J$2136,Table11[[#This Row],[ENTITY]],Movement!$O$4:$O$2136,'Cash Balance'!$A$2)</f>
        <v>0</v>
      </c>
      <c r="K806" s="1084">
        <f>Table11[[#This Row],[CASH IN - CREDIT (VND)]]-Table11[[#This Row],[CASH OUT - DEBIT (VND)]]</f>
        <v>0</v>
      </c>
      <c r="L806" s="1095">
        <f t="shared" si="104"/>
        <v>0</v>
      </c>
      <c r="M806" s="1184" t="e">
        <f>VLOOKUP(C806,'Cash balance (BS)'!A:D,4,)</f>
        <v>#N/A</v>
      </c>
      <c r="N806" s="1095" t="e">
        <f>Table11[[#This Row],[CLOSING BALANCE (VND)2]]-Table11[[#This Row],[CB_BS (VND)]]</f>
        <v>#N/A</v>
      </c>
      <c r="O806" s="1094"/>
      <c r="P806" s="1095">
        <f t="shared" si="105"/>
        <v>0</v>
      </c>
      <c r="Q806" s="817">
        <f>SUMIFS('Cash balance (Prior period)'!G:G,'Cash balance (Prior period)'!C:C,Table11[[#This Row],[ACCOUNT NUMBER]],'Cash balance (Prior period)'!E:E,Table11[[#This Row],[CURRENCY]])</f>
        <v>0</v>
      </c>
      <c r="R806" s="817">
        <f>SUMIFS(Movement!$F$4:$F$2136,Movement!$M$4:$M$2136,"USD",Movement!$C$4:$C$2136,Table11[[#This Row],[ACCOUNT NUMBER]],Movement!$J$4:$J$2136,Table11[[#This Row],[ENTITY]],Movement!$O$4:$O$2136,'Cash Balance'!$A$2)</f>
        <v>0</v>
      </c>
      <c r="S806" s="817">
        <f>SUMIFS(Movement!$G$4:$G$2136,Movement!$M$4:$M$2136,"USD",Movement!$C$4:$C$2136,Table11[[#This Row],[ACCOUNT NUMBER]],Movement!$J$4:$J$2136,Table11[[#This Row],[ENTITY]],Movement!$O$4:$O$2136,'Cash Balance'!$A$2)</f>
        <v>0</v>
      </c>
      <c r="T806" s="1087">
        <f t="shared" ref="T806" si="111">Q806+R806-S806</f>
        <v>0</v>
      </c>
      <c r="U806" s="1090"/>
      <c r="V806" s="1091">
        <f>Table11[[#This Row],[CLOSING BALANCE (USD)]]-Table11[[#This Row],[CB_BS (USD)]]</f>
        <v>0</v>
      </c>
      <c r="W806" s="1156" t="str">
        <f>VLOOKUP('Cash Balance'!$C806,Table2[#All],MATCH('Cash Balance'!W$3,Acc_Char!$B$1:$I$1,0),0)</f>
        <v>Subsidiaries</v>
      </c>
      <c r="X806" s="1156" t="str">
        <f>VLOOKUP(IFERROR(MID($Y806,1,FIND("-",$Y806)-2),$Y806),Table3[#All],2,0)</f>
        <v>VCB</v>
      </c>
      <c r="Y806" s="1156" t="str">
        <f>VLOOKUP($B806,Table4[#All],2,0)</f>
        <v>VIETCOMBANK - HCM</v>
      </c>
      <c r="Z806" s="1151"/>
    </row>
    <row r="807" spans="1:26">
      <c r="A807" s="1153" t="str">
        <f>VLOOKUP('Cash Balance'!$C807,Table2[#All],MATCH('Cash Balance'!A$3,Acc_Char!$B$1:$I$1,0),0)</f>
        <v>BWID NHON TRACH</v>
      </c>
      <c r="B807" s="1154" t="str">
        <f>VLOOKUP('Cash Balance'!$C807,Table2[#All],MATCH('Cash Balance'!B$3,Acc_Char!$B$1:$I$1,0),0)</f>
        <v>VIETCOMBANK - HCM</v>
      </c>
      <c r="C807" s="1204" t="s">
        <v>1419</v>
      </c>
      <c r="D807" s="1156" t="str">
        <f>VLOOKUP('Cash Balance'!$C807,Table2[#All],MATCH('Cash Balance'!D$3,Acc_Char!$B$1:$I$1,0),0)</f>
        <v>Saving Account</v>
      </c>
      <c r="E807" s="384" t="str">
        <f>VLOOKUP('Cash Balance'!$C807,Table2[#All],MATCH('Cash Balance'!E$3,Acc_Char!$B$1:$I$1,0),0)</f>
        <v>VND</v>
      </c>
      <c r="F807" s="1084" t="e">
        <f>VLOOKUP(C807,'Cash balance (BS)'!A:C,3,)</f>
        <v>#N/A</v>
      </c>
      <c r="G807" s="1191" t="e">
        <f t="shared" si="103"/>
        <v>#N/A</v>
      </c>
      <c r="H807" s="1318">
        <f>SUMIFS('Cash balance (Prior period)'!F:F,'Cash balance (Prior period)'!C:C,Table11[[#This Row],[ACCOUNT NUMBER]],'Cash balance (Prior period)'!E:E,Table11[[#This Row],[CURRENCY]])</f>
        <v>0</v>
      </c>
      <c r="I807" s="1318">
        <f>SUMIFS(Movement!$F$4:$F$2136,Movement!$M$4:$M$2136,"VND",Movement!$C$4:$C$2136,Table11[[#This Row],[ACCOUNT NUMBER]],Movement!$J$4:$J$2136,Table11[[#This Row],[ENTITY]],Movement!$O$4:$O$2136,'Cash Balance'!$A$2)</f>
        <v>0</v>
      </c>
      <c r="J807" s="1318">
        <f>SUMIFS(Movement!$G$4:$G$2136,Movement!$M$4:$M$2136,"VND",Movement!$C$4:$C$2136,Table11[[#This Row],[ACCOUNT NUMBER]],Movement!$J$4:$J$2136,Table11[[#This Row],[ENTITY]],Movement!$O$4:$O$2136,'Cash Balance'!$A$2)</f>
        <v>0</v>
      </c>
      <c r="K807" s="1084">
        <f>Table11[[#This Row],[CASH IN - CREDIT (VND)]]-Table11[[#This Row],[CASH OUT - DEBIT (VND)]]</f>
        <v>0</v>
      </c>
      <c r="L807" s="1095">
        <f t="shared" si="104"/>
        <v>0</v>
      </c>
      <c r="M807" s="1184" t="e">
        <f>VLOOKUP(C807,'Cash balance (BS)'!A:D,4,)</f>
        <v>#N/A</v>
      </c>
      <c r="N807" s="1095" t="e">
        <f>Table11[[#This Row],[CLOSING BALANCE (VND)2]]-Table11[[#This Row],[CB_BS (VND)]]</f>
        <v>#N/A</v>
      </c>
      <c r="O807" s="1094"/>
      <c r="P807" s="1095">
        <f t="shared" si="105"/>
        <v>0</v>
      </c>
      <c r="Q807" s="817">
        <f>SUMIFS('Cash balance (Prior period)'!G:G,'Cash balance (Prior period)'!C:C,Table11[[#This Row],[ACCOUNT NUMBER]],'Cash balance (Prior period)'!E:E,Table11[[#This Row],[CURRENCY]])</f>
        <v>0</v>
      </c>
      <c r="R807" s="817">
        <f>SUMIFS(Movement!$F$4:$F$2136,Movement!$M$4:$M$2136,"USD",Movement!$C$4:$C$2136,Table11[[#This Row],[ACCOUNT NUMBER]],Movement!$J$4:$J$2136,Table11[[#This Row],[ENTITY]],Movement!$O$4:$O$2136,'Cash Balance'!$A$2)</f>
        <v>0</v>
      </c>
      <c r="S807" s="817">
        <f>SUMIFS(Movement!$G$4:$G$2136,Movement!$M$4:$M$2136,"USD",Movement!$C$4:$C$2136,Table11[[#This Row],[ACCOUNT NUMBER]],Movement!$J$4:$J$2136,Table11[[#This Row],[ENTITY]],Movement!$O$4:$O$2136,'Cash Balance'!$A$2)</f>
        <v>0</v>
      </c>
      <c r="T807" s="1087">
        <f t="shared" ref="T807:T819" si="112">Q807+R807-S807</f>
        <v>0</v>
      </c>
      <c r="U807" s="1090"/>
      <c r="V807" s="1091">
        <f>Table11[[#This Row],[CLOSING BALANCE (USD)]]-Table11[[#This Row],[CB_BS (USD)]]</f>
        <v>0</v>
      </c>
      <c r="W807" s="1156" t="str">
        <f>VLOOKUP('Cash Balance'!$C807,Table2[#All],MATCH('Cash Balance'!W$3,Acc_Char!$B$1:$I$1,0),0)</f>
        <v>Subsidiaries</v>
      </c>
      <c r="X807" s="1156" t="str">
        <f>VLOOKUP(IFERROR(MID($Y807,1,FIND("-",$Y807)-2),$Y807),Table3[#All],2,0)</f>
        <v>VCB</v>
      </c>
      <c r="Y807" s="1156" t="str">
        <f>VLOOKUP($B807,Table4[#All],2,0)</f>
        <v>VIETCOMBANK - HCM</v>
      </c>
      <c r="Z807" s="1151"/>
    </row>
    <row r="808" spans="1:26">
      <c r="A808" s="1153" t="str">
        <f>VLOOKUP('Cash Balance'!$C808,Table2[#All],MATCH('Cash Balance'!A$3,Acc_Char!$B$1:$I$1,0),0)</f>
        <v>SAO HOA</v>
      </c>
      <c r="B808" s="1154" t="str">
        <f>VLOOKUP('Cash Balance'!$C808,Table2[#All],MATCH('Cash Balance'!B$3,Acc_Char!$B$1:$I$1,0),0)</f>
        <v>SINOPAC</v>
      </c>
      <c r="C808" s="1204" t="s">
        <v>1420</v>
      </c>
      <c r="D808" s="1156" t="str">
        <f>VLOOKUP('Cash Balance'!$C808,Table2[#All],MATCH('Cash Balance'!D$3,Acc_Char!$B$1:$I$1,0),0)</f>
        <v>Saving Account</v>
      </c>
      <c r="E808" s="384" t="str">
        <f>VLOOKUP('Cash Balance'!$C808,Table2[#All],MATCH('Cash Balance'!E$3,Acc_Char!$B$1:$I$1,0),0)</f>
        <v>VND</v>
      </c>
      <c r="F808" s="1084" t="e">
        <f>VLOOKUP(C808,'Cash balance (BS)'!A:C,3,)</f>
        <v>#N/A</v>
      </c>
      <c r="G808" s="1191" t="e">
        <f t="shared" si="103"/>
        <v>#N/A</v>
      </c>
      <c r="H808" s="1320">
        <f>SUMIFS('Cash balance (Prior period)'!F:F,'Cash balance (Prior period)'!C:C,Table11[[#This Row],[ACCOUNT NUMBER]],'Cash balance (Prior period)'!E:E,Table11[[#This Row],[CURRENCY]])</f>
        <v>0</v>
      </c>
      <c r="I808" s="1318">
        <f>SUMIFS(Movement!$F$4:$F$2136,Movement!$M$4:$M$2136,"VND",Movement!$C$4:$C$2136,Table11[[#This Row],[ACCOUNT NUMBER]],Movement!$J$4:$J$2136,Table11[[#This Row],[ENTITY]],Movement!$O$4:$O$2136,'Cash Balance'!$A$2)</f>
        <v>0</v>
      </c>
      <c r="J808" s="1318">
        <f>SUMIFS(Movement!$G$4:$G$2136,Movement!$M$4:$M$2136,"VND",Movement!$C$4:$C$2136,Table11[[#This Row],[ACCOUNT NUMBER]],Movement!$J$4:$J$2136,Table11[[#This Row],[ENTITY]],Movement!$O$4:$O$2136,'Cash Balance'!$A$2)</f>
        <v>0</v>
      </c>
      <c r="K808" s="1084">
        <f>Table11[[#This Row],[CASH IN - CREDIT (VND)]]-Table11[[#This Row],[CASH OUT - DEBIT (VND)]]</f>
        <v>0</v>
      </c>
      <c r="L808" s="1095">
        <f t="shared" si="104"/>
        <v>0</v>
      </c>
      <c r="M808" s="1222" t="e">
        <f>VLOOKUP(C808,'Cash balance (BS)'!A:D,4,)</f>
        <v>#N/A</v>
      </c>
      <c r="N808" s="1095" t="e">
        <f>Table11[[#This Row],[CLOSING BALANCE (VND)2]]-Table11[[#This Row],[CB_BS (VND)]]</f>
        <v>#N/A</v>
      </c>
      <c r="O808" s="1094"/>
      <c r="P808" s="1223">
        <f t="shared" si="105"/>
        <v>0</v>
      </c>
      <c r="Q808" s="1089">
        <f>SUMIFS('Cash balance (Prior period)'!G:G,'Cash balance (Prior period)'!C:C,Table11[[#This Row],[ACCOUNT NUMBER]],'Cash balance (Prior period)'!E:E,Table11[[#This Row],[CURRENCY]])</f>
        <v>0</v>
      </c>
      <c r="R808" s="1089">
        <f>SUMIFS(Movement!$F$4:$F$2136,Movement!$M$4:$M$2136,"USD",Movement!$C$4:$C$2136,Table11[[#This Row],[ACCOUNT NUMBER]],Movement!$J$4:$J$2136,Table11[[#This Row],[ENTITY]],Movement!$O$4:$O$2136,'Cash Balance'!$A$2)</f>
        <v>0</v>
      </c>
      <c r="S808" s="1089">
        <f>SUMIFS(Movement!$G$4:$G$2136,Movement!$M$4:$M$2136,"USD",Movement!$C$4:$C$2136,Table11[[#This Row],[ACCOUNT NUMBER]],Movement!$J$4:$J$2136,Table11[[#This Row],[ENTITY]],Movement!$O$4:$O$2136,'Cash Balance'!$A$2)</f>
        <v>0</v>
      </c>
      <c r="T808" s="1087">
        <f t="shared" si="112"/>
        <v>0</v>
      </c>
      <c r="U808" s="1090"/>
      <c r="V808" s="1091">
        <f>Table11[[#This Row],[CLOSING BALANCE (USD)]]-Table11[[#This Row],[CB_BS (USD)]]</f>
        <v>0</v>
      </c>
      <c r="W808" s="1156" t="str">
        <f>VLOOKUP('Cash Balance'!$C808,Table2[#All],MATCH('Cash Balance'!W$3,Acc_Char!$B$1:$I$1,0),0)</f>
        <v>VC3</v>
      </c>
      <c r="X808" s="1156" t="str">
        <f>VLOOKUP(IFERROR(MID($Y808,1,FIND("-",$Y808)-2),$Y808),Table3[#All],2,0)</f>
        <v>SNP</v>
      </c>
      <c r="Y808" s="1156" t="str">
        <f>VLOOKUP($B808,Table4[#All],2,0)</f>
        <v>SINOPAC</v>
      </c>
      <c r="Z808" s="1151"/>
    </row>
    <row r="809" spans="1:26">
      <c r="A809" s="1153" t="str">
        <f>VLOOKUP('Cash Balance'!$C809,Table2[#All],MATCH('Cash Balance'!A$3,Acc_Char!$B$1:$I$1,0),0)</f>
        <v>SAO HOA</v>
      </c>
      <c r="B809" s="1154" t="str">
        <f>VLOOKUP('Cash Balance'!$C809,Table2[#All],MATCH('Cash Balance'!B$3,Acc_Char!$B$1:$I$1,0),0)</f>
        <v>BIDV - THANH XUAN</v>
      </c>
      <c r="C809" s="1205" t="s">
        <v>1421</v>
      </c>
      <c r="D809" s="1156" t="str">
        <f>VLOOKUP('Cash Balance'!$C809,Table2[#All],MATCH('Cash Balance'!D$3,Acc_Char!$B$1:$I$1,0),0)</f>
        <v>Saving Account</v>
      </c>
      <c r="E809" s="1201" t="str">
        <f>VLOOKUP('Cash Balance'!$C809,Table2[#All],MATCH('Cash Balance'!E$3,Acc_Char!$B$1:$I$1,0),0)</f>
        <v>VND</v>
      </c>
      <c r="F809" s="1084" t="e">
        <f>VLOOKUP(C809,'Cash balance (BS)'!A:C,3,)</f>
        <v>#N/A</v>
      </c>
      <c r="G809" s="1191" t="e">
        <f t="shared" si="103"/>
        <v>#N/A</v>
      </c>
      <c r="H809" s="1321">
        <f>SUMIFS('Cash balance (Prior period)'!F:F,'Cash balance (Prior period)'!C:C,Table11[[#This Row],[ACCOUNT NUMBER]],'Cash balance (Prior period)'!E:E,Table11[[#This Row],[CURRENCY]])</f>
        <v>0</v>
      </c>
      <c r="I809" s="1322">
        <f>SUMIFS(Movement!$F$4:$F$2136,Movement!$M$4:$M$2136,"VND",Movement!$C$4:$C$2136,Table11[[#This Row],[ACCOUNT NUMBER]],Movement!$J$4:$J$2136,Table11[[#This Row],[ENTITY]],Movement!$O$4:$O$2136,'Cash Balance'!$A$2)</f>
        <v>0</v>
      </c>
      <c r="J809" s="1323">
        <f>SUMIFS(Movement!$G$4:$G$2136,Movement!$M$4:$M$2136,"VND",Movement!$C$4:$C$2136,Table11[[#This Row],[ACCOUNT NUMBER]],Movement!$J$4:$J$2136,Table11[[#This Row],[ENTITY]],Movement!$O$4:$O$2136,'Cash Balance'!$A$2)</f>
        <v>0</v>
      </c>
      <c r="K809" s="1258">
        <f>Table11[[#This Row],[CASH IN - CREDIT (VND)]]-Table11[[#This Row],[CASH OUT - DEBIT (VND)]]</f>
        <v>0</v>
      </c>
      <c r="L809" s="1134">
        <f t="shared" si="104"/>
        <v>0</v>
      </c>
      <c r="M809" s="1135" t="e">
        <f>VLOOKUP(C809,'Cash balance (BS)'!A:D,4,)</f>
        <v>#N/A</v>
      </c>
      <c r="N809" s="1136" t="e">
        <f>Table11[[#This Row],[CLOSING BALANCE (VND)2]]-Table11[[#This Row],[CB_BS (VND)]]</f>
        <v>#N/A</v>
      </c>
      <c r="O809" s="1094"/>
      <c r="P809" s="1135">
        <f t="shared" si="105"/>
        <v>0</v>
      </c>
      <c r="Q809" s="1137">
        <f>SUMIFS('Cash balance (Prior period)'!G:G,'Cash balance (Prior period)'!C:C,Table11[[#This Row],[ACCOUNT NUMBER]],'Cash balance (Prior period)'!E:E,Table11[[#This Row],[CURRENCY]])</f>
        <v>0</v>
      </c>
      <c r="R809" s="1138">
        <f>SUMIFS(Movement!$F$4:$F$2136,Movement!$M$4:$M$2136,"USD",Movement!$C$4:$C$2136,Table11[[#This Row],[ACCOUNT NUMBER]],Movement!$J$4:$J$2136,Table11[[#This Row],[ENTITY]],Movement!$O$4:$O$2136,'Cash Balance'!$A$2)</f>
        <v>0</v>
      </c>
      <c r="S809" s="1137">
        <f>SUMIFS(Movement!$G$4:$G$2136,Movement!$M$4:$M$2136,"USD",Movement!$C$4:$C$2136,Table11[[#This Row],[ACCOUNT NUMBER]],Movement!$J$4:$J$2136,Table11[[#This Row],[ENTITY]],Movement!$O$4:$O$2136,'Cash Balance'!$A$2)</f>
        <v>0</v>
      </c>
      <c r="T809" s="1139">
        <f t="shared" si="112"/>
        <v>0</v>
      </c>
      <c r="U809" s="1090"/>
      <c r="V809" s="1091">
        <f>Table11[[#This Row],[CLOSING BALANCE (USD)]]-Table11[[#This Row],[CB_BS (USD)]]</f>
        <v>0</v>
      </c>
      <c r="W809" s="1186" t="str">
        <f>VLOOKUP('Cash Balance'!$C809,Table2[#All],MATCH('Cash Balance'!W$3,Acc_Char!$B$1:$I$1,0),0)</f>
        <v>VC3</v>
      </c>
      <c r="X809" s="1156" t="str">
        <f>VLOOKUP(IFERROR(MID($Y809,1,FIND("-",$Y809)-2),$Y809),Table3[#All],2,0)</f>
        <v>BIDV</v>
      </c>
      <c r="Y809" s="1156" t="str">
        <f>VLOOKUP($B809,Table4[#All],2,0)</f>
        <v>BIDV - THANH XUAN</v>
      </c>
      <c r="Z809" s="1151"/>
    </row>
    <row r="810" spans="1:26">
      <c r="A810" s="1153" t="str">
        <f>VLOOKUP('Cash Balance'!$C810,Table2[#All],MATCH('Cash Balance'!A$3,Acc_Char!$B$1:$I$1,0),0)</f>
        <v>WINLOCK 2B</v>
      </c>
      <c r="B810" s="1154" t="str">
        <f>VLOOKUP('Cash Balance'!$C810,Table2[#All],MATCH('Cash Balance'!B$3,Acc_Char!$B$1:$I$1,0),0)</f>
        <v>VIETINBANK - TIEN SON</v>
      </c>
      <c r="C810" s="1205" t="s">
        <v>1422</v>
      </c>
      <c r="D810" s="1156" t="str">
        <f>VLOOKUP('Cash Balance'!$C810,Table2[#All],MATCH('Cash Balance'!D$3,Acc_Char!$B$1:$I$1,0),0)</f>
        <v>Saving Account</v>
      </c>
      <c r="E810" s="1201" t="str">
        <f>VLOOKUP('Cash Balance'!$C810,Table2[#All],MATCH('Cash Balance'!E$3,Acc_Char!$B$1:$I$1,0),0)</f>
        <v>VND</v>
      </c>
      <c r="F810" s="1084" t="e">
        <f>VLOOKUP(C810,'Cash balance (BS)'!A:C,3,)</f>
        <v>#N/A</v>
      </c>
      <c r="G810" s="1191" t="e">
        <f t="shared" si="103"/>
        <v>#N/A</v>
      </c>
      <c r="H810" s="1321">
        <f>SUMIFS('Cash balance (Prior period)'!F:F,'Cash balance (Prior period)'!C:C,Table11[[#This Row],[ACCOUNT NUMBER]],'Cash balance (Prior period)'!E:E,Table11[[#This Row],[CURRENCY]])</f>
        <v>4744038499</v>
      </c>
      <c r="I810" s="1322">
        <f>SUMIFS(Movement!$F$4:$F$2136,Movement!$M$4:$M$2136,"VND",Movement!$C$4:$C$2136,Table11[[#This Row],[ACCOUNT NUMBER]],Movement!$J$4:$J$2136,Table11[[#This Row],[ENTITY]],Movement!$O$4:$O$2136,'Cash Balance'!$A$2)</f>
        <v>0</v>
      </c>
      <c r="J810" s="1323">
        <f>SUMIFS(Movement!$G$4:$G$2136,Movement!$M$4:$M$2136,"VND",Movement!$C$4:$C$2136,Table11[[#This Row],[ACCOUNT NUMBER]],Movement!$J$4:$J$2136,Table11[[#This Row],[ENTITY]],Movement!$O$4:$O$2136,'Cash Balance'!$A$2)</f>
        <v>0</v>
      </c>
      <c r="K810" s="1258">
        <f>Table11[[#This Row],[CASH IN - CREDIT (VND)]]-Table11[[#This Row],[CASH OUT - DEBIT (VND)]]</f>
        <v>0</v>
      </c>
      <c r="L810" s="1134">
        <f t="shared" si="104"/>
        <v>4744038499</v>
      </c>
      <c r="M810" s="1135" t="e">
        <f>VLOOKUP(C810,'Cash balance (BS)'!A:D,4,)</f>
        <v>#N/A</v>
      </c>
      <c r="N810" s="1136" t="e">
        <f>Table11[[#This Row],[CLOSING BALANCE (VND)2]]-Table11[[#This Row],[CB_BS (VND)]]</f>
        <v>#N/A</v>
      </c>
      <c r="O810" s="1094"/>
      <c r="P810" s="1135">
        <f t="shared" si="105"/>
        <v>0</v>
      </c>
      <c r="Q810" s="1137">
        <f>SUMIFS('Cash balance (Prior period)'!G:G,'Cash balance (Prior period)'!C:C,Table11[[#This Row],[ACCOUNT NUMBER]],'Cash balance (Prior period)'!E:E,Table11[[#This Row],[CURRENCY]])</f>
        <v>0</v>
      </c>
      <c r="R810" s="1138">
        <f>SUMIFS(Movement!$F$4:$F$2136,Movement!$M$4:$M$2136,"USD",Movement!$C$4:$C$2136,Table11[[#This Row],[ACCOUNT NUMBER]],Movement!$J$4:$J$2136,Table11[[#This Row],[ENTITY]],Movement!$O$4:$O$2136,'Cash Balance'!$A$2)</f>
        <v>0</v>
      </c>
      <c r="S810" s="1137">
        <f>SUMIFS(Movement!$G$4:$G$2136,Movement!$M$4:$M$2136,"USD",Movement!$C$4:$C$2136,Table11[[#This Row],[ACCOUNT NUMBER]],Movement!$J$4:$J$2136,Table11[[#This Row],[ENTITY]],Movement!$O$4:$O$2136,'Cash Balance'!$A$2)</f>
        <v>0</v>
      </c>
      <c r="T810" s="1139">
        <f t="shared" si="112"/>
        <v>0</v>
      </c>
      <c r="U810" s="1090"/>
      <c r="V810" s="1091">
        <f>Table11[[#This Row],[CLOSING BALANCE (USD)]]-Table11[[#This Row],[CB_BS (USD)]]</f>
        <v>0</v>
      </c>
      <c r="W810" s="1186" t="str">
        <f>VLOOKUP('Cash Balance'!$C810,Table2[#All],MATCH('Cash Balance'!W$3,Acc_Char!$B$1:$I$1,0),0)</f>
        <v>Subsidiaries</v>
      </c>
      <c r="X810" s="1156" t="str">
        <f>VLOOKUP(IFERROR(MID($Y810,1,FIND("-",$Y810)-2),$Y810),Table3[#All],2,0)</f>
        <v>VTB</v>
      </c>
      <c r="Y810" s="1156" t="str">
        <f>VLOOKUP($B810,Table4[#All],2,0)</f>
        <v>VIETINBANK - TIEN SON</v>
      </c>
      <c r="Z810" s="1151"/>
    </row>
    <row r="811" spans="1:26">
      <c r="A811" s="1153" t="str">
        <f>VLOOKUP('Cash Balance'!$C811,Table2[#All],MATCH('Cash Balance'!A$3,Acc_Char!$B$1:$I$1,0),0)</f>
        <v>BWID HAI DUONG 2</v>
      </c>
      <c r="B811" s="1154" t="str">
        <f>VLOOKUP('Cash Balance'!$C811,Table2[#All],MATCH('Cash Balance'!B$3,Acc_Char!$B$1:$I$1,0),0)</f>
        <v>VIETINBANK - TIEN SON</v>
      </c>
      <c r="C811" s="1205" t="s">
        <v>1423</v>
      </c>
      <c r="D811" s="1156" t="str">
        <f>VLOOKUP('Cash Balance'!$C811,Table2[#All],MATCH('Cash Balance'!D$3,Acc_Char!$B$1:$I$1,0),0)</f>
        <v>Saving Account</v>
      </c>
      <c r="E811" s="1201" t="str">
        <f>VLOOKUP('Cash Balance'!$C811,Table2[#All],MATCH('Cash Balance'!E$3,Acc_Char!$B$1:$I$1,0),0)</f>
        <v>VND</v>
      </c>
      <c r="F811" s="1084" t="e">
        <f>VLOOKUP(C811,'Cash balance (BS)'!A:C,3,)</f>
        <v>#N/A</v>
      </c>
      <c r="G811" s="1191" t="e">
        <f>F811-H811</f>
        <v>#N/A</v>
      </c>
      <c r="H811" s="1321">
        <f>SUMIFS('Cash balance (Prior period)'!F:F,'Cash balance (Prior period)'!C:C,Table11[[#This Row],[ACCOUNT NUMBER]],'Cash balance (Prior period)'!E:E,Table11[[#This Row],[CURRENCY]])</f>
        <v>4000000000</v>
      </c>
      <c r="I811" s="1322">
        <f>SUMIFS(Movement!$F$4:$F$2136,Movement!$M$4:$M$2136,"VND",Movement!$C$4:$C$2136,Table11[[#This Row],[ACCOUNT NUMBER]],Movement!$J$4:$J$2136,Table11[[#This Row],[ENTITY]],Movement!$O$4:$O$2136,'Cash Balance'!$A$2)</f>
        <v>0</v>
      </c>
      <c r="J811" s="1323">
        <f>SUMIFS(Movement!$G$4:$G$2136,Movement!$M$4:$M$2136,"VND",Movement!$C$4:$C$2136,Table11[[#This Row],[ACCOUNT NUMBER]],Movement!$J$4:$J$2136,Table11[[#This Row],[ENTITY]],Movement!$O$4:$O$2136,'Cash Balance'!$A$2)</f>
        <v>0</v>
      </c>
      <c r="K811" s="1258">
        <f>Table11[[#This Row],[CASH IN - CREDIT (VND)]]-Table11[[#This Row],[CASH OUT - DEBIT (VND)]]</f>
        <v>0</v>
      </c>
      <c r="L811" s="1134">
        <f>H811+I811-J811</f>
        <v>4000000000</v>
      </c>
      <c r="M811" s="1135" t="e">
        <f>VLOOKUP(C811,'Cash balance (BS)'!A:D,4,)</f>
        <v>#N/A</v>
      </c>
      <c r="N811" s="1136" t="e">
        <f>Table11[[#This Row],[CLOSING BALANCE (VND)2]]-Table11[[#This Row],[CB_BS (VND)]]</f>
        <v>#N/A</v>
      </c>
      <c r="O811" s="1094"/>
      <c r="P811" s="1135">
        <f>O811-Q811</f>
        <v>0</v>
      </c>
      <c r="Q811" s="1137">
        <f>SUMIFS('Cash balance (Prior period)'!G:G,'Cash balance (Prior period)'!C:C,Table11[[#This Row],[ACCOUNT NUMBER]],'Cash balance (Prior period)'!E:E,Table11[[#This Row],[CURRENCY]])</f>
        <v>0</v>
      </c>
      <c r="R811" s="1138">
        <f>SUMIFS(Movement!$F$4:$F$2136,Movement!$M$4:$M$2136,"USD",Movement!$C$4:$C$2136,Table11[[#This Row],[ACCOUNT NUMBER]],Movement!$J$4:$J$2136,Table11[[#This Row],[ENTITY]],Movement!$O$4:$O$2136,'Cash Balance'!$A$2)</f>
        <v>0</v>
      </c>
      <c r="S811" s="1137">
        <f>SUMIFS(Movement!$G$4:$G$2136,Movement!$M$4:$M$2136,"USD",Movement!$C$4:$C$2136,Table11[[#This Row],[ACCOUNT NUMBER]],Movement!$J$4:$J$2136,Table11[[#This Row],[ENTITY]],Movement!$O$4:$O$2136,'Cash Balance'!$A$2)</f>
        <v>0</v>
      </c>
      <c r="T811" s="1139">
        <f t="shared" ref="T811" si="113">Q811+R811-S811</f>
        <v>0</v>
      </c>
      <c r="U811" s="1090"/>
      <c r="V811" s="1091">
        <f>Table11[[#This Row],[CLOSING BALANCE (USD)]]-Table11[[#This Row],[CB_BS (USD)]]</f>
        <v>0</v>
      </c>
      <c r="W811" s="1186" t="str">
        <f>VLOOKUP('Cash Balance'!$C811,Table2[#All],MATCH('Cash Balance'!W$3,Acc_Char!$B$1:$I$1,0),0)</f>
        <v>Subsidiaries</v>
      </c>
      <c r="X811" s="1156" t="str">
        <f>VLOOKUP(IFERROR(MID($Y811,1,FIND("-",$Y811)-2),$Y811),Table3[#All],2,0)</f>
        <v>VTB</v>
      </c>
      <c r="Y811" s="1156" t="str">
        <f>VLOOKUP($B811,Table4[#All],2,0)</f>
        <v>VIETINBANK - TIEN SON</v>
      </c>
      <c r="Z811" s="1151"/>
    </row>
    <row r="812" spans="1:26">
      <c r="A812" s="1153" t="str">
        <f>VLOOKUP('Cash Balance'!$C812,Table2[#All],MATCH('Cash Balance'!A$3,Acc_Char!$B$1:$I$1,0),0)</f>
        <v>BW MY PHUOC 3</v>
      </c>
      <c r="B812" s="1154" t="str">
        <f>VLOOKUP('Cash Balance'!$C812,Table2[#All],MATCH('Cash Balance'!B$3,Acc_Char!$B$1:$I$1,0),0)</f>
        <v>Woori Bank</v>
      </c>
      <c r="C812" s="1205" t="s">
        <v>1424</v>
      </c>
      <c r="D812" s="1156" t="str">
        <f>VLOOKUP('Cash Balance'!$C812,Table2[#All],MATCH('Cash Balance'!D$3,Acc_Char!$B$1:$I$1,0),0)</f>
        <v>Saving Account</v>
      </c>
      <c r="E812" s="1201" t="str">
        <f>VLOOKUP('Cash Balance'!$C812,Table2[#All],MATCH('Cash Balance'!E$3,Acc_Char!$B$1:$I$1,0),0)</f>
        <v>VND</v>
      </c>
      <c r="F812" s="1084" t="e">
        <f>VLOOKUP(C812,'Cash balance (BS)'!A:C,3,)</f>
        <v>#N/A</v>
      </c>
      <c r="G812" s="1191" t="e">
        <f>F812-H812</f>
        <v>#N/A</v>
      </c>
      <c r="H812" s="1321">
        <f>SUMIFS('Cash balance (Prior period)'!F:F,'Cash balance (Prior period)'!C:C,Table11[[#This Row],[ACCOUNT NUMBER]],'Cash balance (Prior period)'!E:E,Table11[[#This Row],[CURRENCY]])</f>
        <v>0</v>
      </c>
      <c r="I812" s="1322">
        <f>SUMIFS(Movement!$F$4:$F$2136,Movement!$M$4:$M$2136,"VND",Movement!$C$4:$C$2136,Table11[[#This Row],[ACCOUNT NUMBER]],Movement!$J$4:$J$2136,Table11[[#This Row],[ENTITY]],Movement!$O$4:$O$2136,'Cash Balance'!$A$2)</f>
        <v>0</v>
      </c>
      <c r="J812" s="1323">
        <f>SUMIFS(Movement!$G$4:$G$2136,Movement!$M$4:$M$2136,"VND",Movement!$C$4:$C$2136,Table11[[#This Row],[ACCOUNT NUMBER]],Movement!$J$4:$J$2136,Table11[[#This Row],[ENTITY]],Movement!$O$4:$O$2136,'Cash Balance'!$A$2)</f>
        <v>0</v>
      </c>
      <c r="K812" s="1258">
        <f>Table11[[#This Row],[CASH IN - CREDIT (VND)]]-Table11[[#This Row],[CASH OUT - DEBIT (VND)]]</f>
        <v>0</v>
      </c>
      <c r="L812" s="1134">
        <f>H812+I812-J812</f>
        <v>0</v>
      </c>
      <c r="M812" s="1135" t="e">
        <f>VLOOKUP(C812,'Cash balance (BS)'!A:D,4,)</f>
        <v>#N/A</v>
      </c>
      <c r="N812" s="1136" t="e">
        <f>Table11[[#This Row],[CLOSING BALANCE (VND)2]]-Table11[[#This Row],[CB_BS (VND)]]</f>
        <v>#N/A</v>
      </c>
      <c r="O812" s="1094"/>
      <c r="P812" s="1135">
        <f>O812-Q812</f>
        <v>0</v>
      </c>
      <c r="Q812" s="1137">
        <f>SUMIFS('Cash balance (Prior period)'!G:G,'Cash balance (Prior period)'!C:C,Table11[[#This Row],[ACCOUNT NUMBER]],'Cash balance (Prior period)'!E:E,Table11[[#This Row],[CURRENCY]])</f>
        <v>0</v>
      </c>
      <c r="R812" s="1138">
        <f>SUMIFS(Movement!$F$4:$F$2136,Movement!$M$4:$M$2136,"USD",Movement!$C$4:$C$2136,Table11[[#This Row],[ACCOUNT NUMBER]],Movement!$J$4:$J$2136,Table11[[#This Row],[ENTITY]],Movement!$O$4:$O$2136,'Cash Balance'!$A$2)</f>
        <v>0</v>
      </c>
      <c r="S812" s="1137">
        <f>SUMIFS(Movement!$G$4:$G$2136,Movement!$M$4:$M$2136,"USD",Movement!$C$4:$C$2136,Table11[[#This Row],[ACCOUNT NUMBER]],Movement!$J$4:$J$2136,Table11[[#This Row],[ENTITY]],Movement!$O$4:$O$2136,'Cash Balance'!$A$2)</f>
        <v>0</v>
      </c>
      <c r="T812" s="1139">
        <f t="shared" ref="T812" si="114">Q812+R812-S812</f>
        <v>0</v>
      </c>
      <c r="U812" s="1090"/>
      <c r="V812" s="1091">
        <f>Table11[[#This Row],[CLOSING BALANCE (USD)]]-Table11[[#This Row],[CB_BS (USD)]]</f>
        <v>0</v>
      </c>
      <c r="W812" s="1186" t="str">
        <f>VLOOKUP('Cash Balance'!$C812,Table2[#All],MATCH('Cash Balance'!W$3,Acc_Char!$B$1:$I$1,0),0)</f>
        <v>Subsidiaries</v>
      </c>
      <c r="X812" s="1156" t="str">
        <f>VLOOKUP(IFERROR(MID($Y812,1,FIND("-",$Y812)-2),$Y812),Table3[#All],2,0)</f>
        <v>Others</v>
      </c>
      <c r="Y812" s="1156" t="str">
        <f>VLOOKUP($B812,Table4[#All],2,0)</f>
        <v>OTHERS</v>
      </c>
      <c r="Z812" s="1151"/>
    </row>
    <row r="813" spans="1:26">
      <c r="A813" s="1153" t="str">
        <f>VLOOKUP('Cash Balance'!$C813,Table2[#All],MATCH('Cash Balance'!A$3,Acc_Char!$B$1:$I$1,0),0)</f>
        <v>WINLOCK 2B</v>
      </c>
      <c r="B813" s="1154" t="str">
        <f>VLOOKUP('Cash Balance'!$C813,Table2[#All],MATCH('Cash Balance'!B$3,Acc_Char!$B$1:$I$1,0),0)</f>
        <v>VIETINBANK - TIEN SON</v>
      </c>
      <c r="C813" s="1205" t="s">
        <v>1425</v>
      </c>
      <c r="D813" s="1156" t="str">
        <f>VLOOKUP('Cash Balance'!$C813,Table2[#All],MATCH('Cash Balance'!D$3,Acc_Char!$B$1:$I$1,0),0)</f>
        <v>Saving Account</v>
      </c>
      <c r="E813" s="1201" t="str">
        <f>VLOOKUP('Cash Balance'!$C813,Table2[#All],MATCH('Cash Balance'!E$3,Acc_Char!$B$1:$I$1,0),0)</f>
        <v>VND</v>
      </c>
      <c r="F813" s="1084" t="e">
        <f>VLOOKUP(C813,'Cash balance (BS)'!A:C,3,)</f>
        <v>#N/A</v>
      </c>
      <c r="G813" s="1191" t="e">
        <f t="shared" si="103"/>
        <v>#N/A</v>
      </c>
      <c r="H813" s="1321">
        <f>SUMIFS('Cash balance (Prior period)'!F:F,'Cash balance (Prior period)'!C:C,Table11[[#This Row],[ACCOUNT NUMBER]],'Cash balance (Prior period)'!E:E,Table11[[#This Row],[CURRENCY]])</f>
        <v>5097490445</v>
      </c>
      <c r="I813" s="1322">
        <f>SUMIFS(Movement!$F$4:$F$2136,Movement!$M$4:$M$2136,"VND",Movement!$C$4:$C$2136,Table11[[#This Row],[ACCOUNT NUMBER]],Movement!$J$4:$J$2136,Table11[[#This Row],[ENTITY]],Movement!$O$4:$O$2136,'Cash Balance'!$A$2)</f>
        <v>0</v>
      </c>
      <c r="J813" s="1323">
        <f>SUMIFS(Movement!$G$4:$G$2136,Movement!$M$4:$M$2136,"VND",Movement!$C$4:$C$2136,Table11[[#This Row],[ACCOUNT NUMBER]],Movement!$J$4:$J$2136,Table11[[#This Row],[ENTITY]],Movement!$O$4:$O$2136,'Cash Balance'!$A$2)</f>
        <v>0</v>
      </c>
      <c r="K813" s="1258">
        <f>Table11[[#This Row],[CASH IN - CREDIT (VND)]]-Table11[[#This Row],[CASH OUT - DEBIT (VND)]]</f>
        <v>0</v>
      </c>
      <c r="L813" s="1134">
        <f t="shared" si="104"/>
        <v>5097490445</v>
      </c>
      <c r="M813" s="1135" t="e">
        <f>VLOOKUP(C813,'Cash balance (BS)'!A:D,4,)</f>
        <v>#N/A</v>
      </c>
      <c r="N813" s="1136" t="e">
        <f>Table11[[#This Row],[CLOSING BALANCE (VND)2]]-Table11[[#This Row],[CB_BS (VND)]]</f>
        <v>#N/A</v>
      </c>
      <c r="O813" s="1094"/>
      <c r="P813" s="1135">
        <f t="shared" si="105"/>
        <v>0</v>
      </c>
      <c r="Q813" s="1137">
        <f>SUMIFS('Cash balance (Prior period)'!G:G,'Cash balance (Prior period)'!C:C,Table11[[#This Row],[ACCOUNT NUMBER]],'Cash balance (Prior period)'!E:E,Table11[[#This Row],[CURRENCY]])</f>
        <v>0</v>
      </c>
      <c r="R813" s="1138">
        <f>SUMIFS(Movement!$F$4:$F$2136,Movement!$M$4:$M$2136,"USD",Movement!$C$4:$C$2136,Table11[[#This Row],[ACCOUNT NUMBER]],Movement!$J$4:$J$2136,Table11[[#This Row],[ENTITY]],Movement!$O$4:$O$2136,'Cash Balance'!$A$2)</f>
        <v>0</v>
      </c>
      <c r="S813" s="1137">
        <f>SUMIFS(Movement!$G$4:$G$2136,Movement!$M$4:$M$2136,"USD",Movement!$C$4:$C$2136,Table11[[#This Row],[ACCOUNT NUMBER]],Movement!$J$4:$J$2136,Table11[[#This Row],[ENTITY]],Movement!$O$4:$O$2136,'Cash Balance'!$A$2)</f>
        <v>0</v>
      </c>
      <c r="T813" s="1139">
        <f t="shared" si="112"/>
        <v>0</v>
      </c>
      <c r="U813" s="1090"/>
      <c r="V813" s="1091">
        <f>Table11[[#This Row],[CLOSING BALANCE (USD)]]-Table11[[#This Row],[CB_BS (USD)]]</f>
        <v>0</v>
      </c>
      <c r="W813" s="1186" t="str">
        <f>VLOOKUP('Cash Balance'!$C813,Table2[#All],MATCH('Cash Balance'!W$3,Acc_Char!$B$1:$I$1,0),0)</f>
        <v>Subsidiaries</v>
      </c>
      <c r="X813" s="1156" t="str">
        <f>VLOOKUP(IFERROR(MID($Y813,1,FIND("-",$Y813)-2),$Y813),Table3[#All],2,0)</f>
        <v>VTB</v>
      </c>
      <c r="Y813" s="1156" t="str">
        <f>VLOOKUP($B813,Table4[#All],2,0)</f>
        <v>VIETINBANK - TIEN SON</v>
      </c>
      <c r="Z813" s="1151"/>
    </row>
    <row r="814" spans="1:26">
      <c r="A814" s="1153" t="str">
        <f>VLOOKUP('Cash Balance'!$C814,Table2[#All],MATCH('Cash Balance'!A$3,Acc_Char!$B$1:$I$1,0),0)</f>
        <v>BWID HAI DUONG 2</v>
      </c>
      <c r="B814" s="1154" t="str">
        <f>VLOOKUP('Cash Balance'!$C814,Table2[#All],MATCH('Cash Balance'!B$3,Acc_Char!$B$1:$I$1,0),0)</f>
        <v>VIETINBANK - TIEN SON</v>
      </c>
      <c r="C814" s="1204" t="s">
        <v>1426</v>
      </c>
      <c r="D814" s="1156" t="str">
        <f>VLOOKUP('Cash Balance'!$C814,Table2[#All],MATCH('Cash Balance'!D$3,Acc_Char!$B$1:$I$1,0),0)</f>
        <v>Saving Account</v>
      </c>
      <c r="E814" s="1201" t="str">
        <f>VLOOKUP('Cash Balance'!$C814,Table2[#All],MATCH('Cash Balance'!E$3,Acc_Char!$B$1:$I$1,0),0)</f>
        <v>VND</v>
      </c>
      <c r="F814" s="1084" t="e">
        <f>VLOOKUP(C814,'Cash balance (BS)'!A:C,3,)</f>
        <v>#N/A</v>
      </c>
      <c r="G814" s="1191" t="e">
        <f>F814-H814</f>
        <v>#N/A</v>
      </c>
      <c r="H814" s="1321">
        <f>SUMIFS('Cash balance (Prior period)'!F:F,'Cash balance (Prior period)'!C:C,Table11[[#This Row],[ACCOUNT NUMBER]],'Cash balance (Prior period)'!E:E,Table11[[#This Row],[CURRENCY]])</f>
        <v>5000000000</v>
      </c>
      <c r="I814" s="1322">
        <f>SUMIFS(Movement!$F$4:$F$2136,Movement!$M$4:$M$2136,"VND",Movement!$C$4:$C$2136,Table11[[#This Row],[ACCOUNT NUMBER]],Movement!$J$4:$J$2136,Table11[[#This Row],[ENTITY]],Movement!$O$4:$O$2136,'Cash Balance'!$A$2)</f>
        <v>0</v>
      </c>
      <c r="J814" s="1323">
        <f>SUMIFS(Movement!$G$4:$G$2136,Movement!$M$4:$M$2136,"VND",Movement!$C$4:$C$2136,Table11[[#This Row],[ACCOUNT NUMBER]],Movement!$J$4:$J$2136,Table11[[#This Row],[ENTITY]],Movement!$O$4:$O$2136,'Cash Balance'!$A$2)</f>
        <v>0</v>
      </c>
      <c r="K814" s="1258">
        <f>Table11[[#This Row],[CASH IN - CREDIT (VND)]]-Table11[[#This Row],[CASH OUT - DEBIT (VND)]]</f>
        <v>0</v>
      </c>
      <c r="L814" s="1134">
        <f>H814+I814-J814</f>
        <v>5000000000</v>
      </c>
      <c r="M814" s="1135" t="e">
        <f>VLOOKUP(C814,'Cash balance (BS)'!A:D,4,)</f>
        <v>#N/A</v>
      </c>
      <c r="N814" s="1136" t="e">
        <f>Table11[[#This Row],[CLOSING BALANCE (VND)2]]-Table11[[#This Row],[CB_BS (VND)]]</f>
        <v>#N/A</v>
      </c>
      <c r="O814" s="1094"/>
      <c r="P814" s="1135">
        <f>O814-Q814</f>
        <v>0</v>
      </c>
      <c r="Q814" s="1137">
        <f>SUMIFS('Cash balance (Prior period)'!G:G,'Cash balance (Prior period)'!C:C,Table11[[#This Row],[ACCOUNT NUMBER]],'Cash balance (Prior period)'!E:E,Table11[[#This Row],[CURRENCY]])</f>
        <v>0</v>
      </c>
      <c r="R814" s="1138">
        <f>SUMIFS(Movement!$F$4:$F$2136,Movement!$M$4:$M$2136,"USD",Movement!$C$4:$C$2136,Table11[[#This Row],[ACCOUNT NUMBER]],Movement!$J$4:$J$2136,Table11[[#This Row],[ENTITY]],Movement!$O$4:$O$2136,'Cash Balance'!$A$2)</f>
        <v>0</v>
      </c>
      <c r="S814" s="1137">
        <f>SUMIFS(Movement!$G$4:$G$2136,Movement!$M$4:$M$2136,"USD",Movement!$C$4:$C$2136,Table11[[#This Row],[ACCOUNT NUMBER]],Movement!$J$4:$J$2136,Table11[[#This Row],[ENTITY]],Movement!$O$4:$O$2136,'Cash Balance'!$A$2)</f>
        <v>0</v>
      </c>
      <c r="T814" s="1139">
        <f>Q814+R814-S814</f>
        <v>0</v>
      </c>
      <c r="U814" s="1090"/>
      <c r="V814" s="1091">
        <f>Table11[[#This Row],[CLOSING BALANCE (USD)]]-Table11[[#This Row],[CB_BS (USD)]]</f>
        <v>0</v>
      </c>
      <c r="W814" s="1186" t="str">
        <f>VLOOKUP('Cash Balance'!$C814,Table2[#All],MATCH('Cash Balance'!W$3,Acc_Char!$B$1:$I$1,0),0)</f>
        <v>Subsidiaries</v>
      </c>
      <c r="X814" s="1156" t="str">
        <f>VLOOKUP(IFERROR(MID($Y814,1,FIND("-",$Y814)-2),$Y814),Table3[#All],2,0)</f>
        <v>VTB</v>
      </c>
      <c r="Y814" s="1156" t="str">
        <f>VLOOKUP($B814,Table4[#All],2,0)</f>
        <v>VIETINBANK - TIEN SON</v>
      </c>
      <c r="Z814" s="1151"/>
    </row>
    <row r="815" spans="1:26">
      <c r="A815" s="1153" t="str">
        <f>VLOOKUP('Cash Balance'!$C815,Table2[#All],MATCH('Cash Balance'!A$3,Acc_Char!$B$1:$I$1,0),0)</f>
        <v>XENIA 1</v>
      </c>
      <c r="B815" s="1154" t="str">
        <f>VLOOKUP('Cash Balance'!$C815,Table2[#All],MATCH('Cash Balance'!B$3,Acc_Char!$B$1:$I$1,0),0)</f>
        <v>VIETINBANK - TIEN SON</v>
      </c>
      <c r="C815" s="1204" t="s">
        <v>1427</v>
      </c>
      <c r="D815" s="1156" t="str">
        <f>VLOOKUP('Cash Balance'!$C815,Table2[#All],MATCH('Cash Balance'!D$3,Acc_Char!$B$1:$I$1,0),0)</f>
        <v>Saving Account</v>
      </c>
      <c r="E815" s="1201" t="str">
        <f>VLOOKUP('Cash Balance'!$C815,Table2[#All],MATCH('Cash Balance'!E$3,Acc_Char!$B$1:$I$1,0),0)</f>
        <v>VND</v>
      </c>
      <c r="F815" s="1084" t="e">
        <f>VLOOKUP(C815,'Cash balance (BS)'!A:C,3,)</f>
        <v>#N/A</v>
      </c>
      <c r="G815" s="1191" t="e">
        <f>F815-H815</f>
        <v>#N/A</v>
      </c>
      <c r="H815" s="1321">
        <f>SUMIFS('Cash balance (Prior period)'!F:F,'Cash balance (Prior period)'!C:C,Table11[[#This Row],[ACCOUNT NUMBER]],'Cash balance (Prior period)'!E:E,Table11[[#This Row],[CURRENCY]])</f>
        <v>22000000000</v>
      </c>
      <c r="I815" s="1322">
        <f>SUMIFS(Movement!$F$4:$F$2136,Movement!$M$4:$M$2136,"VND",Movement!$C$4:$C$2136,Table11[[#This Row],[ACCOUNT NUMBER]],Movement!$J$4:$J$2136,Table11[[#This Row],[ENTITY]],Movement!$O$4:$O$2136,'Cash Balance'!$A$2)</f>
        <v>0</v>
      </c>
      <c r="J815" s="1323">
        <f>SUMIFS(Movement!$G$4:$G$2136,Movement!$M$4:$M$2136,"VND",Movement!$C$4:$C$2136,Table11[[#This Row],[ACCOUNT NUMBER]],Movement!$J$4:$J$2136,Table11[[#This Row],[ENTITY]],Movement!$O$4:$O$2136,'Cash Balance'!$A$2)</f>
        <v>0</v>
      </c>
      <c r="K815" s="1258">
        <f>Table11[[#This Row],[CASH IN - CREDIT (VND)]]-Table11[[#This Row],[CASH OUT - DEBIT (VND)]]</f>
        <v>0</v>
      </c>
      <c r="L815" s="1134">
        <f>H815+I815-J815</f>
        <v>22000000000</v>
      </c>
      <c r="M815" s="1135" t="e">
        <f>VLOOKUP(C815,'Cash balance (BS)'!A:D,4,)</f>
        <v>#N/A</v>
      </c>
      <c r="N815" s="1136" t="e">
        <f>Table11[[#This Row],[CLOSING BALANCE (VND)2]]-Table11[[#This Row],[CB_BS (VND)]]</f>
        <v>#N/A</v>
      </c>
      <c r="O815" s="1094"/>
      <c r="P815" s="1135">
        <f>O815-Q815</f>
        <v>0</v>
      </c>
      <c r="Q815" s="1137">
        <f>SUMIFS('Cash balance (Prior period)'!G:G,'Cash balance (Prior period)'!C:C,Table11[[#This Row],[ACCOUNT NUMBER]],'Cash balance (Prior period)'!E:E,Table11[[#This Row],[CURRENCY]])</f>
        <v>0</v>
      </c>
      <c r="R815" s="1138">
        <f>SUMIFS(Movement!$F$4:$F$2136,Movement!$M$4:$M$2136,"USD",Movement!$C$4:$C$2136,Table11[[#This Row],[ACCOUNT NUMBER]],Movement!$J$4:$J$2136,Table11[[#This Row],[ENTITY]],Movement!$O$4:$O$2136,'Cash Balance'!$A$2)</f>
        <v>0</v>
      </c>
      <c r="S815" s="1137">
        <f>SUMIFS(Movement!$G$4:$G$2136,Movement!$M$4:$M$2136,"USD",Movement!$C$4:$C$2136,Table11[[#This Row],[ACCOUNT NUMBER]],Movement!$J$4:$J$2136,Table11[[#This Row],[ENTITY]],Movement!$O$4:$O$2136,'Cash Balance'!$A$2)</f>
        <v>0</v>
      </c>
      <c r="T815" s="1139">
        <f>Q815+R815-S815</f>
        <v>0</v>
      </c>
      <c r="U815" s="1090"/>
      <c r="V815" s="1091">
        <f>Table11[[#This Row],[CLOSING BALANCE (USD)]]-Table11[[#This Row],[CB_BS (USD)]]</f>
        <v>0</v>
      </c>
      <c r="W815" s="1186" t="str">
        <f>VLOOKUP('Cash Balance'!$C815,Table2[#All],MATCH('Cash Balance'!W$3,Acc_Char!$B$1:$I$1,0),0)</f>
        <v>Subsidiaries</v>
      </c>
      <c r="X815" s="1156" t="str">
        <f>VLOOKUP(IFERROR(MID($Y815,1,FIND("-",$Y815)-2),$Y815),Table3[#All],2,0)</f>
        <v>VTB</v>
      </c>
      <c r="Y815" s="1156" t="str">
        <f>VLOOKUP($B815,Table4[#All],2,0)</f>
        <v>VIETINBANK - TIEN SON</v>
      </c>
      <c r="Z815" s="1151"/>
    </row>
    <row r="816" spans="1:26">
      <c r="A816" s="1153" t="str">
        <f>VLOOKUP('Cash Balance'!$C816,Table2[#All],MATCH('Cash Balance'!A$3,Acc_Char!$B$1:$I$1,0),0)</f>
        <v>SAO HOA</v>
      </c>
      <c r="B816" s="1154" t="str">
        <f>VLOOKUP('Cash Balance'!$C816,Table2[#All],MATCH('Cash Balance'!B$3,Acc_Char!$B$1:$I$1,0),0)</f>
        <v>ACB - HCM</v>
      </c>
      <c r="C816" s="1204" t="s">
        <v>5394</v>
      </c>
      <c r="D816" s="1156" t="str">
        <f>VLOOKUP('Cash Balance'!$C816,Table2[#All],MATCH('Cash Balance'!D$3,Acc_Char!$B$1:$I$1,0),0)</f>
        <v>Saving Account</v>
      </c>
      <c r="E816" s="1201" t="str">
        <f>VLOOKUP('Cash Balance'!$C816,Table2[#All],MATCH('Cash Balance'!E$3,Acc_Char!$B$1:$I$1,0),0)</f>
        <v>VND</v>
      </c>
      <c r="F816" s="1084" t="e">
        <f>VLOOKUP(C816,'Cash balance (BS)'!A:C,3,)</f>
        <v>#N/A</v>
      </c>
      <c r="G816" s="1191" t="e">
        <f t="shared" si="103"/>
        <v>#N/A</v>
      </c>
      <c r="H816" s="1321">
        <f>SUMIFS('Cash balance (Prior period)'!F:F,'Cash balance (Prior period)'!C:C,Table11[[#This Row],[ACCOUNT NUMBER]],'Cash balance (Prior period)'!E:E,Table11[[#This Row],[CURRENCY]])</f>
        <v>0</v>
      </c>
      <c r="I816" s="1322">
        <f>SUMIFS(Movement!$F$4:$F$2136,Movement!$M$4:$M$2136,"VND",Movement!$C$4:$C$2136,Table11[[#This Row],[ACCOUNT NUMBER]],Movement!$J$4:$J$2136,Table11[[#This Row],[ENTITY]],Movement!$O$4:$O$2136,'Cash Balance'!$A$2)</f>
        <v>0</v>
      </c>
      <c r="J816" s="1323">
        <f>SUMIFS(Movement!$G$4:$G$2136,Movement!$M$4:$M$2136,"VND",Movement!$C$4:$C$2136,Table11[[#This Row],[ACCOUNT NUMBER]],Movement!$J$4:$J$2136,Table11[[#This Row],[ENTITY]],Movement!$O$4:$O$2136,'Cash Balance'!$A$2)</f>
        <v>0</v>
      </c>
      <c r="K816" s="1258">
        <f>Table11[[#This Row],[CASH IN - CREDIT (VND)]]-Table11[[#This Row],[CASH OUT - DEBIT (VND)]]</f>
        <v>0</v>
      </c>
      <c r="L816" s="1134">
        <f t="shared" si="104"/>
        <v>0</v>
      </c>
      <c r="M816" s="1135" t="e">
        <f>VLOOKUP(C816,'Cash balance (BS)'!A:D,4,)</f>
        <v>#N/A</v>
      </c>
      <c r="N816" s="1136" t="e">
        <f>Table11[[#This Row],[CLOSING BALANCE (VND)2]]-Table11[[#This Row],[CB_BS (VND)]]</f>
        <v>#N/A</v>
      </c>
      <c r="O816" s="1094"/>
      <c r="P816" s="1135">
        <f t="shared" si="105"/>
        <v>0</v>
      </c>
      <c r="Q816" s="1137">
        <f>SUMIFS('Cash balance (Prior period)'!G:G,'Cash balance (Prior period)'!C:C,Table11[[#This Row],[ACCOUNT NUMBER]],'Cash balance (Prior period)'!E:E,Table11[[#This Row],[CURRENCY]])</f>
        <v>0</v>
      </c>
      <c r="R816" s="1138">
        <f>SUMIFS(Movement!$F$4:$F$2136,Movement!$M$4:$M$2136,"USD",Movement!$C$4:$C$2136,Table11[[#This Row],[ACCOUNT NUMBER]],Movement!$J$4:$J$2136,Table11[[#This Row],[ENTITY]],Movement!$O$4:$O$2136,'Cash Balance'!$A$2)</f>
        <v>0</v>
      </c>
      <c r="S816" s="1137">
        <f>SUMIFS(Movement!$G$4:$G$2136,Movement!$M$4:$M$2136,"USD",Movement!$C$4:$C$2136,Table11[[#This Row],[ACCOUNT NUMBER]],Movement!$J$4:$J$2136,Table11[[#This Row],[ENTITY]],Movement!$O$4:$O$2136,'Cash Balance'!$A$2)</f>
        <v>0</v>
      </c>
      <c r="T816" s="1139">
        <f t="shared" si="112"/>
        <v>0</v>
      </c>
      <c r="U816" s="1090"/>
      <c r="V816" s="1091">
        <f>Table11[[#This Row],[CLOSING BALANCE (USD)]]-Table11[[#This Row],[CB_BS (USD)]]</f>
        <v>0</v>
      </c>
      <c r="W816" s="1186" t="str">
        <f>VLOOKUP('Cash Balance'!$C816,Table2[#All],MATCH('Cash Balance'!W$3,Acc_Char!$B$1:$I$1,0),0)</f>
        <v>VC3</v>
      </c>
      <c r="X816" s="1156" t="str">
        <f>VLOOKUP(IFERROR(MID($Y816,1,FIND("-",$Y816)-2),$Y816),Table3[#All],2,0)</f>
        <v>ACB</v>
      </c>
      <c r="Y816" s="1156" t="str">
        <f>VLOOKUP($B816,Table4[#All],2,0)</f>
        <v>ACB - HCM</v>
      </c>
      <c r="Z816" s="1151"/>
    </row>
    <row r="817" spans="1:26">
      <c r="A817" s="1153" t="str">
        <f>VLOOKUP('Cash Balance'!$C817,Table2[#All],MATCH('Cash Balance'!A$3,Acc_Char!$B$1:$I$1,0),0)</f>
        <v>BWID HAI PHONG</v>
      </c>
      <c r="B817" s="1154" t="str">
        <f>VLOOKUP('Cash Balance'!$C817,Table2[#All],MATCH('Cash Balance'!B$3,Acc_Char!$B$1:$I$1,0),0)</f>
        <v>VIETINBANK - TIEN SON</v>
      </c>
      <c r="C817" s="1204" t="s">
        <v>1428</v>
      </c>
      <c r="D817" s="1156" t="str">
        <f>VLOOKUP('Cash Balance'!$C817,Table2[#All],MATCH('Cash Balance'!D$3,Acc_Char!$B$1:$I$1,0),0)</f>
        <v>Saving Account</v>
      </c>
      <c r="E817" s="1201" t="str">
        <f>VLOOKUP('Cash Balance'!$C817,Table2[#All],MATCH('Cash Balance'!E$3,Acc_Char!$B$1:$I$1,0),0)</f>
        <v>VND</v>
      </c>
      <c r="F817" s="1084" t="e">
        <f>VLOOKUP(C817,'Cash balance (BS)'!A:C,3,)</f>
        <v>#N/A</v>
      </c>
      <c r="G817" s="1191" t="e">
        <f>F817-H817</f>
        <v>#N/A</v>
      </c>
      <c r="H817" s="1321">
        <f>SUMIFS('Cash balance (Prior period)'!F:F,'Cash balance (Prior period)'!C:C,Table11[[#This Row],[ACCOUNT NUMBER]],'Cash balance (Prior period)'!E:E,Table11[[#This Row],[CURRENCY]])</f>
        <v>3000000000</v>
      </c>
      <c r="I817" s="1322">
        <f>SUMIFS(Movement!$F$4:$F$2136,Movement!$M$4:$M$2136,"VND",Movement!$C$4:$C$2136,Table11[[#This Row],[ACCOUNT NUMBER]],Movement!$J$4:$J$2136,Table11[[#This Row],[ENTITY]],Movement!$O$4:$O$2136,'Cash Balance'!$A$2)</f>
        <v>0</v>
      </c>
      <c r="J817" s="1323">
        <f>SUMIFS(Movement!$G$4:$G$2136,Movement!$M$4:$M$2136,"VND",Movement!$C$4:$C$2136,Table11[[#This Row],[ACCOUNT NUMBER]],Movement!$J$4:$J$2136,Table11[[#This Row],[ENTITY]],Movement!$O$4:$O$2136,'Cash Balance'!$A$2)</f>
        <v>0</v>
      </c>
      <c r="K817" s="1258">
        <f>Table11[[#This Row],[CASH IN - CREDIT (VND)]]-Table11[[#This Row],[CASH OUT - DEBIT (VND)]]</f>
        <v>0</v>
      </c>
      <c r="L817" s="1134">
        <f>H817+I817-J817</f>
        <v>3000000000</v>
      </c>
      <c r="M817" s="1135" t="e">
        <f>VLOOKUP(C817,'Cash balance (BS)'!A:D,4,)</f>
        <v>#N/A</v>
      </c>
      <c r="N817" s="1136" t="e">
        <f>Table11[[#This Row],[CLOSING BALANCE (VND)2]]-Table11[[#This Row],[CB_BS (VND)]]</f>
        <v>#N/A</v>
      </c>
      <c r="O817" s="1094"/>
      <c r="P817" s="1135">
        <f>O817-Q817</f>
        <v>0</v>
      </c>
      <c r="Q817" s="1137">
        <f>SUMIFS('Cash balance (Prior period)'!G:G,'Cash balance (Prior period)'!C:C,Table11[[#This Row],[ACCOUNT NUMBER]],'Cash balance (Prior period)'!E:E,Table11[[#This Row],[CURRENCY]])</f>
        <v>0</v>
      </c>
      <c r="R817" s="1138">
        <f>SUMIFS(Movement!$F$4:$F$2136,Movement!$M$4:$M$2136,"USD",Movement!$C$4:$C$2136,Table11[[#This Row],[ACCOUNT NUMBER]],Movement!$J$4:$J$2136,Table11[[#This Row],[ENTITY]],Movement!$O$4:$O$2136,'Cash Balance'!$A$2)</f>
        <v>0</v>
      </c>
      <c r="S817" s="1137">
        <f>SUMIFS(Movement!$G$4:$G$2136,Movement!$M$4:$M$2136,"USD",Movement!$C$4:$C$2136,Table11[[#This Row],[ACCOUNT NUMBER]],Movement!$J$4:$J$2136,Table11[[#This Row],[ENTITY]],Movement!$O$4:$O$2136,'Cash Balance'!$A$2)</f>
        <v>0</v>
      </c>
      <c r="T817" s="1139">
        <f>Q817+R817-S817</f>
        <v>0</v>
      </c>
      <c r="U817" s="1090"/>
      <c r="V817" s="1091">
        <f>Table11[[#This Row],[CLOSING BALANCE (USD)]]-Table11[[#This Row],[CB_BS (USD)]]</f>
        <v>0</v>
      </c>
      <c r="W817" s="1186" t="str">
        <f>VLOOKUP('Cash Balance'!$C817,Table2[#All],MATCH('Cash Balance'!W$3,Acc_Char!$B$1:$I$1,0),0)</f>
        <v>Subsidiaries</v>
      </c>
      <c r="X817" s="1156" t="str">
        <f>VLOOKUP(IFERROR(MID($Y817,1,FIND("-",$Y817)-2),$Y817),Table3[#All],2,0)</f>
        <v>VTB</v>
      </c>
      <c r="Y817" s="1156" t="str">
        <f>VLOOKUP($B817,Table4[#All],2,0)</f>
        <v>VIETINBANK - TIEN SON</v>
      </c>
      <c r="Z817" s="1151"/>
    </row>
    <row r="818" spans="1:26">
      <c r="A818" s="1153" t="str">
        <f>VLOOKUP('Cash Balance'!$C818,Table2[#All],MATCH('Cash Balance'!A$3,Acc_Char!$B$1:$I$1,0),0)</f>
        <v>BAU BANG 6</v>
      </c>
      <c r="B818" s="1154" t="str">
        <f>VLOOKUP('Cash Balance'!$C818,Table2[#All],MATCH('Cash Balance'!B$3,Acc_Char!$B$1:$I$1,0),0)</f>
        <v>VIETINBANK - BINH DUONG</v>
      </c>
      <c r="C818" s="1204" t="s">
        <v>1429</v>
      </c>
      <c r="D818" s="1156" t="str">
        <f>VLOOKUP('Cash Balance'!$C818,Table2[#All],MATCH('Cash Balance'!D$3,Acc_Char!$B$1:$I$1,0),0)</f>
        <v>Saving Account</v>
      </c>
      <c r="E818" s="1201" t="str">
        <f>VLOOKUP('Cash Balance'!$C818,Table2[#All],MATCH('Cash Balance'!E$3,Acc_Char!$B$1:$I$1,0),0)</f>
        <v>VND</v>
      </c>
      <c r="F818" s="1084" t="e">
        <f>VLOOKUP(C818,'Cash balance (BS)'!A:C,3,)</f>
        <v>#N/A</v>
      </c>
      <c r="G818" s="1191" t="e">
        <f>F818-H818</f>
        <v>#N/A</v>
      </c>
      <c r="H818" s="1321">
        <f>SUMIFS('Cash balance (Prior period)'!F:F,'Cash balance (Prior period)'!C:C,Table11[[#This Row],[ACCOUNT NUMBER]],'Cash balance (Prior period)'!E:E,Table11[[#This Row],[CURRENCY]])</f>
        <v>20000000000</v>
      </c>
      <c r="I818" s="1322">
        <f>SUMIFS(Movement!$F$4:$F$2136,Movement!$M$4:$M$2136,"VND",Movement!$C$4:$C$2136,Table11[[#This Row],[ACCOUNT NUMBER]],Movement!$J$4:$J$2136,Table11[[#This Row],[ENTITY]],Movement!$O$4:$O$2136,'Cash Balance'!$A$2)</f>
        <v>0</v>
      </c>
      <c r="J818" s="1323">
        <f>SUMIFS(Movement!$G$4:$G$2136,Movement!$M$4:$M$2136,"VND",Movement!$C$4:$C$2136,Table11[[#This Row],[ACCOUNT NUMBER]],Movement!$J$4:$J$2136,Table11[[#This Row],[ENTITY]],Movement!$O$4:$O$2136,'Cash Balance'!$A$2)</f>
        <v>0</v>
      </c>
      <c r="K818" s="1258">
        <f>Table11[[#This Row],[CASH IN - CREDIT (VND)]]-Table11[[#This Row],[CASH OUT - DEBIT (VND)]]</f>
        <v>0</v>
      </c>
      <c r="L818" s="1134">
        <f>H818+I818-J818</f>
        <v>20000000000</v>
      </c>
      <c r="M818" s="1135" t="e">
        <f>VLOOKUP(C818,'Cash balance (BS)'!A:D,4,)</f>
        <v>#N/A</v>
      </c>
      <c r="N818" s="1136" t="e">
        <f>Table11[[#This Row],[CLOSING BALANCE (VND)2]]-Table11[[#This Row],[CB_BS (VND)]]</f>
        <v>#N/A</v>
      </c>
      <c r="O818" s="1094"/>
      <c r="P818" s="1135">
        <f>O818-Q818</f>
        <v>0</v>
      </c>
      <c r="Q818" s="1137">
        <f>SUMIFS('Cash balance (Prior period)'!G:G,'Cash balance (Prior period)'!C:C,Table11[[#This Row],[ACCOUNT NUMBER]],'Cash balance (Prior period)'!E:E,Table11[[#This Row],[CURRENCY]])</f>
        <v>0</v>
      </c>
      <c r="R818" s="1138">
        <f>SUMIFS(Movement!$F$4:$F$2136,Movement!$M$4:$M$2136,"USD",Movement!$C$4:$C$2136,Table11[[#This Row],[ACCOUNT NUMBER]],Movement!$J$4:$J$2136,Table11[[#This Row],[ENTITY]],Movement!$O$4:$O$2136,'Cash Balance'!$A$2)</f>
        <v>0</v>
      </c>
      <c r="S818" s="1137">
        <f>SUMIFS(Movement!$G$4:$G$2136,Movement!$M$4:$M$2136,"USD",Movement!$C$4:$C$2136,Table11[[#This Row],[ACCOUNT NUMBER]],Movement!$J$4:$J$2136,Table11[[#This Row],[ENTITY]],Movement!$O$4:$O$2136,'Cash Balance'!$A$2)</f>
        <v>0</v>
      </c>
      <c r="T818" s="1139">
        <f t="shared" ref="T818" si="115">Q818+R818-S818</f>
        <v>0</v>
      </c>
      <c r="U818" s="1090"/>
      <c r="V818" s="1091">
        <f>Table11[[#This Row],[CLOSING BALANCE (USD)]]-Table11[[#This Row],[CB_BS (USD)]]</f>
        <v>0</v>
      </c>
      <c r="W818" s="1186" t="str">
        <f>VLOOKUP('Cash Balance'!$C818,Table2[#All],MATCH('Cash Balance'!W$3,Acc_Char!$B$1:$I$1,0),0)</f>
        <v>Subsidiaries</v>
      </c>
      <c r="X818" s="1156" t="str">
        <f>VLOOKUP(IFERROR(MID($Y818,1,FIND("-",$Y818)-2),$Y818),Table3[#All],2,0)</f>
        <v>VTB</v>
      </c>
      <c r="Y818" s="1156" t="str">
        <f>VLOOKUP($B818,Table4[#All],2,0)</f>
        <v>VIETINBANK - BINH DUONG + QM</v>
      </c>
      <c r="Z818" s="1151"/>
    </row>
    <row r="819" spans="1:26">
      <c r="A819" s="1153" t="str">
        <f>VLOOKUP('Cash Balance'!$C819,Table2[#All],MATCH('Cash Balance'!A$3,Acc_Char!$B$1:$I$1,0),0)</f>
        <v>BWID THOI HOA 2</v>
      </c>
      <c r="B819" s="1154" t="str">
        <f>VLOOKUP('Cash Balance'!$C819,Table2[#All],MATCH('Cash Balance'!B$3,Acc_Char!$B$1:$I$1,0),0)</f>
        <v>KBank - HCM</v>
      </c>
      <c r="C819" s="1204" t="s">
        <v>1430</v>
      </c>
      <c r="D819" s="1156" t="str">
        <f>VLOOKUP('Cash Balance'!$C819,Table2[#All],MATCH('Cash Balance'!D$3,Acc_Char!$B$1:$I$1,0),0)</f>
        <v>Saving Account</v>
      </c>
      <c r="E819" s="1201" t="str">
        <f>VLOOKUP('Cash Balance'!$C819,Table2[#All],MATCH('Cash Balance'!E$3,Acc_Char!$B$1:$I$1,0),0)</f>
        <v>VND</v>
      </c>
      <c r="F819" s="1084" t="e">
        <f>VLOOKUP(C819,'Cash balance (BS)'!A:C,3,)</f>
        <v>#N/A</v>
      </c>
      <c r="G819" s="1191" t="e">
        <f t="shared" si="103"/>
        <v>#N/A</v>
      </c>
      <c r="H819" s="1321">
        <f>SUMIFS('Cash balance (Prior period)'!F:F,'Cash balance (Prior period)'!C:C,Table11[[#This Row],[ACCOUNT NUMBER]],'Cash balance (Prior period)'!E:E,Table11[[#This Row],[CURRENCY]])</f>
        <v>10000000000</v>
      </c>
      <c r="I819" s="1322">
        <f>SUMIFS(Movement!$F$4:$F$2136,Movement!$M$4:$M$2136,"VND",Movement!$C$4:$C$2136,Table11[[#This Row],[ACCOUNT NUMBER]],Movement!$J$4:$J$2136,Table11[[#This Row],[ENTITY]],Movement!$O$4:$O$2136,'Cash Balance'!$A$2)</f>
        <v>0</v>
      </c>
      <c r="J819" s="1323">
        <f>SUMIFS(Movement!$G$4:$G$2136,Movement!$M$4:$M$2136,"VND",Movement!$C$4:$C$2136,Table11[[#This Row],[ACCOUNT NUMBER]],Movement!$J$4:$J$2136,Table11[[#This Row],[ENTITY]],Movement!$O$4:$O$2136,'Cash Balance'!$A$2)</f>
        <v>0</v>
      </c>
      <c r="K819" s="1258">
        <f>Table11[[#This Row],[CASH IN - CREDIT (VND)]]-Table11[[#This Row],[CASH OUT - DEBIT (VND)]]</f>
        <v>0</v>
      </c>
      <c r="L819" s="1134">
        <f t="shared" si="104"/>
        <v>10000000000</v>
      </c>
      <c r="M819" s="1135" t="e">
        <f>VLOOKUP(C819,'Cash balance (BS)'!A:D,4,)</f>
        <v>#N/A</v>
      </c>
      <c r="N819" s="1136" t="e">
        <f>Table11[[#This Row],[CLOSING BALANCE (VND)2]]-Table11[[#This Row],[CB_BS (VND)]]</f>
        <v>#N/A</v>
      </c>
      <c r="O819" s="1094"/>
      <c r="P819" s="1135">
        <f t="shared" si="105"/>
        <v>0</v>
      </c>
      <c r="Q819" s="1137">
        <f>SUMIFS('Cash balance (Prior period)'!G:G,'Cash balance (Prior period)'!C:C,Table11[[#This Row],[ACCOUNT NUMBER]],'Cash balance (Prior period)'!E:E,Table11[[#This Row],[CURRENCY]])</f>
        <v>0</v>
      </c>
      <c r="R819" s="1138">
        <f>SUMIFS(Movement!$F$4:$F$2136,Movement!$M$4:$M$2136,"USD",Movement!$C$4:$C$2136,Table11[[#This Row],[ACCOUNT NUMBER]],Movement!$J$4:$J$2136,Table11[[#This Row],[ENTITY]],Movement!$O$4:$O$2136,'Cash Balance'!$A$2)</f>
        <v>0</v>
      </c>
      <c r="S819" s="1137">
        <f>SUMIFS(Movement!$G$4:$G$2136,Movement!$M$4:$M$2136,"USD",Movement!$C$4:$C$2136,Table11[[#This Row],[ACCOUNT NUMBER]],Movement!$J$4:$J$2136,Table11[[#This Row],[ENTITY]],Movement!$O$4:$O$2136,'Cash Balance'!$A$2)</f>
        <v>0</v>
      </c>
      <c r="T819" s="1139">
        <f t="shared" si="112"/>
        <v>0</v>
      </c>
      <c r="U819" s="1090"/>
      <c r="V819" s="1091">
        <f>Table11[[#This Row],[CLOSING BALANCE (USD)]]-Table11[[#This Row],[CB_BS (USD)]]</f>
        <v>0</v>
      </c>
      <c r="W819" s="1186" t="str">
        <f>VLOOKUP('Cash Balance'!$C819,Table2[#All],MATCH('Cash Balance'!W$3,Acc_Char!$B$1:$I$1,0),0)</f>
        <v>Subsidiaries</v>
      </c>
      <c r="X819" s="1156" t="str">
        <f>VLOOKUP(IFERROR(MID($Y819,1,FIND("-",$Y819)-2),$Y819),Table3[#All],2,0)</f>
        <v>Others</v>
      </c>
      <c r="Y819" s="1156" t="str">
        <f>VLOOKUP($B819,Table4[#All],2,0)</f>
        <v>OTHERS</v>
      </c>
      <c r="Z819" s="1151"/>
    </row>
    <row r="820" spans="1:26">
      <c r="A820" s="1153" t="str">
        <f>VLOOKUP('Cash Balance'!$C820,Table2[#All],MATCH('Cash Balance'!A$3,Acc_Char!$B$1:$I$1,0),0)</f>
        <v>LONG BINH</v>
      </c>
      <c r="B820" s="1154" t="str">
        <f>VLOOKUP('Cash Balance'!$C820,Table2[#All],MATCH('Cash Balance'!B$3,Acc_Char!$B$1:$I$1,0),0)</f>
        <v>VIETCOMBANK - HCM</v>
      </c>
      <c r="C820" s="1204" t="s">
        <v>1431</v>
      </c>
      <c r="D820" s="1156" t="str">
        <f>VLOOKUP('Cash Balance'!$C820,Table2[#All],MATCH('Cash Balance'!D$3,Acc_Char!$B$1:$I$1,0),0)</f>
        <v>Saving Account</v>
      </c>
      <c r="E820" s="384" t="str">
        <f>VLOOKUP('Cash Balance'!$C820,Table2[#All],MATCH('Cash Balance'!E$3,Acc_Char!$B$1:$I$1,0),0)</f>
        <v>VND</v>
      </c>
      <c r="F820" s="1084" t="e">
        <f>VLOOKUP(C820,'Cash balance (BS)'!A:C,3,)</f>
        <v>#N/A</v>
      </c>
      <c r="G820" s="1191" t="e">
        <f t="shared" ref="G820:G825" si="116">F820-H820</f>
        <v>#N/A</v>
      </c>
      <c r="H820" s="1320">
        <f>SUMIFS('Cash balance (Prior period)'!F:F,'Cash balance (Prior period)'!C:C,Table11[[#This Row],[ACCOUNT NUMBER]],'Cash balance (Prior period)'!E:E,Table11[[#This Row],[CURRENCY]])</f>
        <v>0</v>
      </c>
      <c r="I820" s="1318">
        <f>SUMIFS(Movement!$F$4:$F$2136,Movement!$M$4:$M$2136,"VND",Movement!$C$4:$C$2136,Table11[[#This Row],[ACCOUNT NUMBER]],Movement!$J$4:$J$2136,Table11[[#This Row],[ENTITY]],Movement!$O$4:$O$2136,'Cash Balance'!$A$2)</f>
        <v>0</v>
      </c>
      <c r="J820" s="1318">
        <f>SUMIFS(Movement!$G$4:$G$2136,Movement!$M$4:$M$2136,"VND",Movement!$C$4:$C$2136,Table11[[#This Row],[ACCOUNT NUMBER]],Movement!$J$4:$J$2136,Table11[[#This Row],[ENTITY]],Movement!$O$4:$O$2136,'Cash Balance'!$A$2)</f>
        <v>0</v>
      </c>
      <c r="K820" s="1084">
        <f>Table11[[#This Row],[CASH IN - CREDIT (VND)]]-Table11[[#This Row],[CASH OUT - DEBIT (VND)]]</f>
        <v>0</v>
      </c>
      <c r="L820" s="1134">
        <f t="shared" ref="L820" si="117">H820+I820-J820</f>
        <v>0</v>
      </c>
      <c r="M820" s="1135" t="e">
        <f>VLOOKUP(C820,'Cash balance (BS)'!A:D,4,)</f>
        <v>#N/A</v>
      </c>
      <c r="N820" s="1136" t="e">
        <f>Table11[[#This Row],[CLOSING BALANCE (VND)2]]-Table11[[#This Row],[CB_BS (VND)]]</f>
        <v>#N/A</v>
      </c>
      <c r="O820" s="1094"/>
      <c r="P820" s="1135">
        <f t="shared" si="105"/>
        <v>0</v>
      </c>
      <c r="Q820" s="1137">
        <f>SUMIFS('Cash balance (Prior period)'!G:G,'Cash balance (Prior period)'!C:C,Table11[[#This Row],[ACCOUNT NUMBER]],'Cash balance (Prior period)'!E:E,Table11[[#This Row],[CURRENCY]])</f>
        <v>0</v>
      </c>
      <c r="R820" s="1138">
        <f>SUMIFS(Movement!$F$4:$F$2136,Movement!$M$4:$M$2136,"USD",Movement!$C$4:$C$2136,Table11[[#This Row],[ACCOUNT NUMBER]],Movement!$J$4:$J$2136,Table11[[#This Row],[ENTITY]],Movement!$O$4:$O$2136,'Cash Balance'!$A$2)</f>
        <v>0</v>
      </c>
      <c r="S820" s="1137">
        <f>SUMIFS(Movement!$G$4:$G$2136,Movement!$M$4:$M$2136,"USD",Movement!$C$4:$C$2136,Table11[[#This Row],[ACCOUNT NUMBER]],Movement!$J$4:$J$2136,Table11[[#This Row],[ENTITY]],Movement!$O$4:$O$2136,'Cash Balance'!$A$2)</f>
        <v>0</v>
      </c>
      <c r="T820" s="1139">
        <f t="shared" ref="T820" si="118">Q820+R820-S820</f>
        <v>0</v>
      </c>
      <c r="U820" s="1090"/>
      <c r="V820" s="1091">
        <f>Table11[[#This Row],[CLOSING BALANCE (USD)]]-Table11[[#This Row],[CB_BS (USD)]]</f>
        <v>0</v>
      </c>
      <c r="W820" s="1186" t="str">
        <f>VLOOKUP('Cash Balance'!$C820,Table2[#All],MATCH('Cash Balance'!W$3,Acc_Char!$B$1:$I$1,0),0)</f>
        <v>Subsidiaries</v>
      </c>
      <c r="X820" s="1156" t="str">
        <f>VLOOKUP(IFERROR(MID($Y820,1,FIND("-",$Y820)-2),$Y820),Table3[#All],2,0)</f>
        <v>VCB</v>
      </c>
      <c r="Y820" s="1156" t="str">
        <f>VLOOKUP($B820,Table4[#All],2,0)</f>
        <v>VIETCOMBANK - HCM</v>
      </c>
      <c r="Z820" s="1151"/>
    </row>
    <row r="821" spans="1:26">
      <c r="A821" s="1153" t="str">
        <f>VLOOKUP('Cash Balance'!$C821,Table2[#All],MATCH('Cash Balance'!A$3,Acc_Char!$B$1:$I$1,0),0)</f>
        <v>WINLOCK 2A</v>
      </c>
      <c r="B821" s="1154" t="str">
        <f>VLOOKUP('Cash Balance'!$C821,Table2[#All],MATCH('Cash Balance'!B$3,Acc_Char!$B$1:$I$1,0),0)</f>
        <v>VIETINBANK - TIEN SON</v>
      </c>
      <c r="C821" s="1204" t="s">
        <v>1432</v>
      </c>
      <c r="D821" s="1156" t="str">
        <f>VLOOKUP('Cash Balance'!$C821,Table2[#All],MATCH('Cash Balance'!D$3,Acc_Char!$B$1:$I$1,0),0)</f>
        <v>Saving Account</v>
      </c>
      <c r="E821" s="384" t="str">
        <f>VLOOKUP('Cash Balance'!$C821,Table2[#All],MATCH('Cash Balance'!E$3,Acc_Char!$B$1:$I$1,0),0)</f>
        <v>VND</v>
      </c>
      <c r="F821" s="1084" t="e">
        <f>VLOOKUP(C821,'Cash balance (BS)'!A:C,3,)</f>
        <v>#N/A</v>
      </c>
      <c r="G821" s="1191" t="e">
        <f t="shared" si="116"/>
        <v>#N/A</v>
      </c>
      <c r="H821" s="1320">
        <f>SUMIFS('Cash balance (Prior period)'!F:F,'Cash balance (Prior period)'!C:C,Table11[[#This Row],[ACCOUNT NUMBER]],'Cash balance (Prior period)'!E:E,Table11[[#This Row],[CURRENCY]])</f>
        <v>5000000000</v>
      </c>
      <c r="I821" s="1318">
        <f>SUMIFS(Movement!$F$4:$F$2136,Movement!$M$4:$M$2136,"VND",Movement!$C$4:$C$2136,Table11[[#This Row],[ACCOUNT NUMBER]],Movement!$J$4:$J$2136,Table11[[#This Row],[ENTITY]],Movement!$O$4:$O$2136,'Cash Balance'!$A$2)</f>
        <v>0</v>
      </c>
      <c r="J821" s="1318">
        <f>SUMIFS(Movement!$G$4:$G$2136,Movement!$M$4:$M$2136,"VND",Movement!$C$4:$C$2136,Table11[[#This Row],[ACCOUNT NUMBER]],Movement!$J$4:$J$2136,Table11[[#This Row],[ENTITY]],Movement!$O$4:$O$2136,'Cash Balance'!$A$2)</f>
        <v>0</v>
      </c>
      <c r="K821" s="1084">
        <f>Table11[[#This Row],[CASH IN - CREDIT (VND)]]-Table11[[#This Row],[CASH OUT - DEBIT (VND)]]</f>
        <v>0</v>
      </c>
      <c r="L821" s="1095">
        <f>H821+I821-J821</f>
        <v>5000000000</v>
      </c>
      <c r="M821" s="1135" t="e">
        <f>VLOOKUP(C821,'Cash balance (BS)'!A:D,4,)</f>
        <v>#N/A</v>
      </c>
      <c r="N821" s="1136" t="e">
        <f>Table11[[#This Row],[CLOSING BALANCE (VND)2]]-Table11[[#This Row],[CB_BS (VND)]]</f>
        <v>#N/A</v>
      </c>
      <c r="O821" s="1094"/>
      <c r="P821" s="1135">
        <f>O821-Q821</f>
        <v>0</v>
      </c>
      <c r="Q821" s="1089">
        <f>SUMIFS('Cash balance (Prior period)'!G:G,'Cash balance (Prior period)'!C:C,Table11[[#This Row],[ACCOUNT NUMBER]],'Cash balance (Prior period)'!E:E,Table11[[#This Row],[CURRENCY]])</f>
        <v>0</v>
      </c>
      <c r="R821" s="1089">
        <f>SUMIFS(Movement!$F$4:$F$2136,Movement!$M$4:$M$2136,"USD",Movement!$C$4:$C$2136,Table11[[#This Row],[ACCOUNT NUMBER]],Movement!$J$4:$J$2136,Table11[[#This Row],[ENTITY]],Movement!$O$4:$O$2136,'Cash Balance'!$A$2)</f>
        <v>0</v>
      </c>
      <c r="S821" s="1089">
        <f>SUMIFS(Movement!$G$4:$G$2136,Movement!$M$4:$M$2136,"USD",Movement!$C$4:$C$2136,Table11[[#This Row],[ACCOUNT NUMBER]],Movement!$J$4:$J$2136,Table11[[#This Row],[ENTITY]],Movement!$O$4:$O$2136,'Cash Balance'!$A$2)</f>
        <v>0</v>
      </c>
      <c r="T821" s="1139">
        <f t="shared" ref="T821" si="119">Q821+R821-S821</f>
        <v>0</v>
      </c>
      <c r="U821" s="1090"/>
      <c r="V821" s="1091">
        <f>Table11[[#This Row],[CLOSING BALANCE (USD)]]-Table11[[#This Row],[CB_BS (USD)]]</f>
        <v>0</v>
      </c>
      <c r="W821" s="1186" t="str">
        <f>VLOOKUP('Cash Balance'!$C821,Table2[#All],MATCH('Cash Balance'!W$3,Acc_Char!$B$1:$I$1,0),0)</f>
        <v>Subsidiaries</v>
      </c>
      <c r="X821" s="1156" t="str">
        <f>VLOOKUP(IFERROR(MID($Y821,1,FIND("-",$Y821)-2),$Y821),Table3[#All],2,0)</f>
        <v>VTB</v>
      </c>
      <c r="Y821" s="1156" t="str">
        <f>VLOOKUP($B821,Table4[#All],2,0)</f>
        <v>VIETINBANK - TIEN SON</v>
      </c>
      <c r="Z821" s="1151"/>
    </row>
    <row r="822" spans="1:26">
      <c r="A822" s="1153" t="str">
        <f>VLOOKUP('Cash Balance'!$C822,Table2[#All],MATCH('Cash Balance'!A$3,Acc_Char!$B$1:$I$1,0),0)</f>
        <v>BW NAM DINH VU</v>
      </c>
      <c r="B822" s="1154" t="str">
        <f>VLOOKUP('Cash Balance'!$C822,Table2[#All],MATCH('Cash Balance'!B$3,Acc_Char!$B$1:$I$1,0),0)</f>
        <v>VIETINBANK - BINH DUONG</v>
      </c>
      <c r="C822" s="1204" t="s">
        <v>1433</v>
      </c>
      <c r="D822" s="1156" t="str">
        <f>VLOOKUP('Cash Balance'!$C822,Table2[#All],MATCH('Cash Balance'!D$3,Acc_Char!$B$1:$I$1,0),0)</f>
        <v>Saving Account</v>
      </c>
      <c r="E822" s="384" t="str">
        <f>VLOOKUP('Cash Balance'!$C822,Table2[#All],MATCH('Cash Balance'!E$3,Acc_Char!$B$1:$I$1,0),0)</f>
        <v>VND</v>
      </c>
      <c r="F822" s="1084" t="e">
        <f>VLOOKUP(C822,'Cash balance (BS)'!A:C,3,)</f>
        <v>#N/A</v>
      </c>
      <c r="G822" s="1191" t="e">
        <f t="shared" si="116"/>
        <v>#N/A</v>
      </c>
      <c r="H822" s="1320">
        <f>SUMIFS('Cash balance (Prior period)'!F:F,'Cash balance (Prior period)'!C:C,Table11[[#This Row],[ACCOUNT NUMBER]],'Cash balance (Prior period)'!E:E,Table11[[#This Row],[CURRENCY]])</f>
        <v>9000000000</v>
      </c>
      <c r="I822" s="1318">
        <f>SUMIFS(Movement!$F$4:$F$2136,Movement!$M$4:$M$2136,"VND",Movement!$C$4:$C$2136,Table11[[#This Row],[ACCOUNT NUMBER]],Movement!$J$4:$J$2136,Table11[[#This Row],[ENTITY]],Movement!$O$4:$O$2136,'Cash Balance'!$A$2)</f>
        <v>0</v>
      </c>
      <c r="J822" s="1318">
        <f>SUMIFS(Movement!$G$4:$G$2136,Movement!$M$4:$M$2136,"VND",Movement!$C$4:$C$2136,Table11[[#This Row],[ACCOUNT NUMBER]],Movement!$J$4:$J$2136,Table11[[#This Row],[ENTITY]],Movement!$O$4:$O$2136,'Cash Balance'!$A$2)</f>
        <v>0</v>
      </c>
      <c r="K822" s="1084">
        <f>Table11[[#This Row],[CASH IN - CREDIT (VND)]]-Table11[[#This Row],[CASH OUT - DEBIT (VND)]]</f>
        <v>0</v>
      </c>
      <c r="L822" s="1095">
        <f>H822+I822-J822</f>
        <v>9000000000</v>
      </c>
      <c r="M822" s="1135" t="e">
        <f>VLOOKUP(C822,'Cash balance (BS)'!A:D,4,)</f>
        <v>#N/A</v>
      </c>
      <c r="N822" s="1136" t="e">
        <f>Table11[[#This Row],[CLOSING BALANCE (VND)2]]-Table11[[#This Row],[CB_BS (VND)]]</f>
        <v>#N/A</v>
      </c>
      <c r="O822" s="1094"/>
      <c r="P822" s="1135">
        <f>O822-Q822</f>
        <v>0</v>
      </c>
      <c r="Q822" s="1089">
        <f>SUMIFS('Cash balance (Prior period)'!G:G,'Cash balance (Prior period)'!C:C,Table11[[#This Row],[ACCOUNT NUMBER]],'Cash balance (Prior period)'!E:E,Table11[[#This Row],[CURRENCY]])</f>
        <v>0</v>
      </c>
      <c r="R822" s="1089">
        <f>SUMIFS(Movement!$F$4:$F$2136,Movement!$M$4:$M$2136,"USD",Movement!$C$4:$C$2136,Table11[[#This Row],[ACCOUNT NUMBER]],Movement!$J$4:$J$2136,Table11[[#This Row],[ENTITY]],Movement!$O$4:$O$2136,'Cash Balance'!$A$2)</f>
        <v>0</v>
      </c>
      <c r="S822" s="1089">
        <f>SUMIFS(Movement!$G$4:$G$2136,Movement!$M$4:$M$2136,"USD",Movement!$C$4:$C$2136,Table11[[#This Row],[ACCOUNT NUMBER]],Movement!$J$4:$J$2136,Table11[[#This Row],[ENTITY]],Movement!$O$4:$O$2136,'Cash Balance'!$A$2)</f>
        <v>0</v>
      </c>
      <c r="T822" s="1139">
        <f>Q822+R822-S822</f>
        <v>0</v>
      </c>
      <c r="U822" s="1090"/>
      <c r="V822" s="1091">
        <f>Table11[[#This Row],[CLOSING BALANCE (USD)]]-Table11[[#This Row],[CB_BS (USD)]]</f>
        <v>0</v>
      </c>
      <c r="W822" s="1186" t="str">
        <f>VLOOKUP('Cash Balance'!$C822,Table2[#All],MATCH('Cash Balance'!W$3,Acc_Char!$B$1:$I$1,0),0)</f>
        <v>Subsidiaries</v>
      </c>
      <c r="X822" s="1156" t="str">
        <f>VLOOKUP(IFERROR(MID($Y822,1,FIND("-",$Y822)-2),$Y822),Table3[#All],2,0)</f>
        <v>VTB</v>
      </c>
      <c r="Y822" s="1156" t="str">
        <f>VLOOKUP($B822,Table4[#All],2,0)</f>
        <v>VIETINBANK - BINH DUONG + QM</v>
      </c>
      <c r="Z822" s="1151"/>
    </row>
    <row r="823" spans="1:26">
      <c r="A823" s="1153" t="str">
        <f>VLOOKUP('Cash Balance'!$C823,Table2[#All],MATCH('Cash Balance'!A$3,Acc_Char!$B$1:$I$1,0),0)</f>
        <v>LONG BINH</v>
      </c>
      <c r="B823" s="1154" t="str">
        <f>VLOOKUP('Cash Balance'!$C823,Table2[#All],MATCH('Cash Balance'!B$3,Acc_Char!$B$1:$I$1,0),0)</f>
        <v>VIETCOMBANK - HCM</v>
      </c>
      <c r="C823" s="1204" t="s">
        <v>5395</v>
      </c>
      <c r="D823" s="1156" t="str">
        <f>VLOOKUP('Cash Balance'!$C823,Table2[#All],MATCH('Cash Balance'!D$3,Acc_Char!$B$1:$I$1,0),0)</f>
        <v>Saving Account</v>
      </c>
      <c r="E823" s="384" t="str">
        <f>VLOOKUP('Cash Balance'!$C823,Table2[#All],MATCH('Cash Balance'!E$3,Acc_Char!$B$1:$I$1,0),0)</f>
        <v>VND</v>
      </c>
      <c r="F823" s="1084" t="e">
        <f>VLOOKUP(C823,'Cash balance (BS)'!A:C,3,)</f>
        <v>#N/A</v>
      </c>
      <c r="G823" s="1191" t="e">
        <f t="shared" si="116"/>
        <v>#N/A</v>
      </c>
      <c r="H823" s="1320">
        <f>SUMIFS('Cash balance (Prior period)'!F:F,'Cash balance (Prior period)'!C:C,Table11[[#This Row],[ACCOUNT NUMBER]],'Cash balance (Prior period)'!E:E,Table11[[#This Row],[CURRENCY]])</f>
        <v>7000000000</v>
      </c>
      <c r="I823" s="1318">
        <f>SUMIFS(Movement!$F$4:$F$2136,Movement!$M$4:$M$2136,"VND",Movement!$C$4:$C$2136,Table11[[#This Row],[ACCOUNT NUMBER]],Movement!$J$4:$J$2136,Table11[[#This Row],[ENTITY]],Movement!$O$4:$O$2136,'Cash Balance'!$A$2)</f>
        <v>0</v>
      </c>
      <c r="J823" s="1318">
        <f>SUMIFS(Movement!$G$4:$G$2136,Movement!$M$4:$M$2136,"VND",Movement!$C$4:$C$2136,Table11[[#This Row],[ACCOUNT NUMBER]],Movement!$J$4:$J$2136,Table11[[#This Row],[ENTITY]],Movement!$O$4:$O$2136,'Cash Balance'!$A$2)</f>
        <v>0</v>
      </c>
      <c r="K823" s="1084">
        <f>Table11[[#This Row],[CASH IN - CREDIT (VND)]]-Table11[[#This Row],[CASH OUT - DEBIT (VND)]]</f>
        <v>0</v>
      </c>
      <c r="L823" s="1095">
        <f>H823+I823-J823</f>
        <v>7000000000</v>
      </c>
      <c r="M823" s="1135" t="e">
        <f>VLOOKUP(C823,'Cash balance (BS)'!A:D,4,)</f>
        <v>#N/A</v>
      </c>
      <c r="N823" s="1136" t="e">
        <f>Table11[[#This Row],[CLOSING BALANCE (VND)2]]-Table11[[#This Row],[CB_BS (VND)]]</f>
        <v>#N/A</v>
      </c>
      <c r="O823" s="1094"/>
      <c r="P823" s="1135">
        <f>O823-Q823</f>
        <v>0</v>
      </c>
      <c r="Q823" s="1089">
        <f>SUMIFS('Cash balance (Prior period)'!G:G,'Cash balance (Prior period)'!C:C,Table11[[#This Row],[ACCOUNT NUMBER]],'Cash balance (Prior period)'!E:E,Table11[[#This Row],[CURRENCY]])</f>
        <v>0</v>
      </c>
      <c r="R823" s="1089">
        <f>SUMIFS(Movement!$F$4:$F$2136,Movement!$M$4:$M$2136,"USD",Movement!$C$4:$C$2136,Table11[[#This Row],[ACCOUNT NUMBER]],Movement!$J$4:$J$2136,Table11[[#This Row],[ENTITY]],Movement!$O$4:$O$2136,'Cash Balance'!$A$2)</f>
        <v>0</v>
      </c>
      <c r="S823" s="1089">
        <f>SUMIFS(Movement!$G$4:$G$2136,Movement!$M$4:$M$2136,"USD",Movement!$C$4:$C$2136,Table11[[#This Row],[ACCOUNT NUMBER]],Movement!$J$4:$J$2136,Table11[[#This Row],[ENTITY]],Movement!$O$4:$O$2136,'Cash Balance'!$A$2)</f>
        <v>0</v>
      </c>
      <c r="T823" s="1139">
        <f t="shared" ref="T823" si="120">Q823+R823-S823</f>
        <v>0</v>
      </c>
      <c r="U823" s="1090"/>
      <c r="V823" s="1091">
        <f>Table11[[#This Row],[CLOSING BALANCE (USD)]]-Table11[[#This Row],[CB_BS (USD)]]</f>
        <v>0</v>
      </c>
      <c r="W823" s="1186" t="str">
        <f>VLOOKUP('Cash Balance'!$C823,Table2[#All],MATCH('Cash Balance'!W$3,Acc_Char!$B$1:$I$1,0),0)</f>
        <v>Subsidiaries</v>
      </c>
      <c r="X823" s="1156" t="str">
        <f>VLOOKUP(IFERROR(MID($Y823,1,FIND("-",$Y823)-2),$Y823),Table3[#All],2,0)</f>
        <v>VCB</v>
      </c>
      <c r="Y823" s="1156" t="str">
        <f>VLOOKUP($B823,Table4[#All],2,0)</f>
        <v>VIETCOMBANK - HCM</v>
      </c>
      <c r="Z823" s="1151"/>
    </row>
    <row r="824" spans="1:26">
      <c r="A824" s="1153" t="str">
        <f>VLOOKUP('Cash Balance'!$C824,Table2[#All],MATCH('Cash Balance'!A$3,Acc_Char!$B$1:$I$1,0),0)</f>
        <v>VINA PARTNERS INVESTMENT</v>
      </c>
      <c r="B824" s="1154" t="str">
        <f>VLOOKUP('Cash Balance'!$C824,Table2[#All],MATCH('Cash Balance'!B$3,Acc_Char!$B$1:$I$1,0),0)</f>
        <v>VIETINBANK - CN1</v>
      </c>
      <c r="C824" s="1204" t="s">
        <v>1434</v>
      </c>
      <c r="D824" s="1156" t="str">
        <f>VLOOKUP('Cash Balance'!$C824,Table2[#All],MATCH('Cash Balance'!D$3,Acc_Char!$B$1:$I$1,0),0)</f>
        <v>Saving Account</v>
      </c>
      <c r="E824" s="384" t="str">
        <f>VLOOKUP('Cash Balance'!$C824,Table2[#All],MATCH('Cash Balance'!E$3,Acc_Char!$B$1:$I$1,0),0)</f>
        <v>VND</v>
      </c>
      <c r="F824" s="1084" t="e">
        <f>VLOOKUP(C824,'Cash balance (BS)'!A:C,3,)</f>
        <v>#N/A</v>
      </c>
      <c r="G824" s="1191" t="e">
        <f t="shared" si="116"/>
        <v>#N/A</v>
      </c>
      <c r="H824" s="1320">
        <f>SUMIFS('Cash balance (Prior period)'!F:F,'Cash balance (Prior period)'!C:C,Table11[[#This Row],[ACCOUNT NUMBER]],'Cash balance (Prior period)'!E:E,Table11[[#This Row],[CURRENCY]])</f>
        <v>11000000000</v>
      </c>
      <c r="I824" s="1318">
        <f>SUMIFS(Movement!$F$4:$F$2136,Movement!$M$4:$M$2136,"VND",Movement!$C$4:$C$2136,Table11[[#This Row],[ACCOUNT NUMBER]],Movement!$J$4:$J$2136,Table11[[#This Row],[ENTITY]],Movement!$O$4:$O$2136,'Cash Balance'!$A$2)</f>
        <v>0</v>
      </c>
      <c r="J824" s="1318">
        <f>SUMIFS(Movement!$G$4:$G$2136,Movement!$M$4:$M$2136,"VND",Movement!$C$4:$C$2136,Table11[[#This Row],[ACCOUNT NUMBER]],Movement!$J$4:$J$2136,Table11[[#This Row],[ENTITY]],Movement!$O$4:$O$2136,'Cash Balance'!$A$2)</f>
        <v>0</v>
      </c>
      <c r="K824" s="1084">
        <f>Table11[[#This Row],[CASH IN - CREDIT (VND)]]-Table11[[#This Row],[CASH OUT - DEBIT (VND)]]</f>
        <v>0</v>
      </c>
      <c r="L824" s="1095">
        <f>H824+I824-J824</f>
        <v>11000000000</v>
      </c>
      <c r="M824" s="1135" t="e">
        <f>VLOOKUP(C824,'Cash balance (BS)'!A:D,4,)</f>
        <v>#N/A</v>
      </c>
      <c r="N824" s="1136" t="e">
        <f>Table11[[#This Row],[CLOSING BALANCE (VND)2]]-Table11[[#This Row],[CB_BS (VND)]]</f>
        <v>#N/A</v>
      </c>
      <c r="O824" s="1094"/>
      <c r="P824" s="1135">
        <f>O824-Q824</f>
        <v>0</v>
      </c>
      <c r="Q824" s="1089">
        <f>SUMIFS('Cash balance (Prior period)'!G:G,'Cash balance (Prior period)'!C:C,Table11[[#This Row],[ACCOUNT NUMBER]],'Cash balance (Prior period)'!E:E,Table11[[#This Row],[CURRENCY]])</f>
        <v>0</v>
      </c>
      <c r="R824" s="1089">
        <f>SUMIFS(Movement!$F$4:$F$2136,Movement!$M$4:$M$2136,"USD",Movement!$C$4:$C$2136,Table11[[#This Row],[ACCOUNT NUMBER]],Movement!$J$4:$J$2136,Table11[[#This Row],[ENTITY]],Movement!$O$4:$O$2136,'Cash Balance'!$A$2)</f>
        <v>0</v>
      </c>
      <c r="S824" s="1089">
        <f>SUMIFS(Movement!$G$4:$G$2136,Movement!$M$4:$M$2136,"USD",Movement!$C$4:$C$2136,Table11[[#This Row],[ACCOUNT NUMBER]],Movement!$J$4:$J$2136,Table11[[#This Row],[ENTITY]],Movement!$O$4:$O$2136,'Cash Balance'!$A$2)</f>
        <v>0</v>
      </c>
      <c r="T824" s="1087">
        <f>Q824+R824-S824</f>
        <v>0</v>
      </c>
      <c r="U824" s="1090"/>
      <c r="V824" s="1091">
        <f>Table11[[#This Row],[CLOSING BALANCE (USD)]]-Table11[[#This Row],[CB_BS (USD)]]</f>
        <v>0</v>
      </c>
      <c r="W824" s="1186" t="str">
        <f>VLOOKUP('Cash Balance'!$C824,Table2[#All],MATCH('Cash Balance'!W$3,Acc_Char!$B$1:$I$1,0),0)</f>
        <v>Subsidiaries</v>
      </c>
      <c r="X824" s="1156" t="str">
        <f>VLOOKUP(IFERROR(MID($Y824,1,FIND("-",$Y824)-2),$Y824),Table3[#All],2,0)</f>
        <v>VTB</v>
      </c>
      <c r="Y824" s="1156" t="str">
        <f>VLOOKUP($B824,Table4[#All],2,0)</f>
        <v>VIETINBANK - CN1</v>
      </c>
      <c r="Z824" s="1151"/>
    </row>
    <row r="825" spans="1:26">
      <c r="A825" s="1153" t="str">
        <f>VLOOKUP('Cash Balance'!$C825,Table2[#All],MATCH('Cash Balance'!A$3,Acc_Char!$B$1:$I$1,0),0)</f>
        <v>WINLOCK 2A</v>
      </c>
      <c r="B825" s="1154" t="str">
        <f>VLOOKUP('Cash Balance'!$C825,Table2[#All],MATCH('Cash Balance'!B$3,Acc_Char!$B$1:$I$1,0),0)</f>
        <v>VIETINBANK - TIEN SON</v>
      </c>
      <c r="C825" s="1204" t="s">
        <v>1435</v>
      </c>
      <c r="D825" s="1156" t="str">
        <f>VLOOKUP('Cash Balance'!$C825,Table2[#All],MATCH('Cash Balance'!D$3,Acc_Char!$B$1:$I$1,0),0)</f>
        <v>Saving Account</v>
      </c>
      <c r="E825" s="384" t="str">
        <f>VLOOKUP('Cash Balance'!$C825,Table2[#All],MATCH('Cash Balance'!E$3,Acc_Char!$B$1:$I$1,0),0)</f>
        <v>VND</v>
      </c>
      <c r="F825" s="1084" t="e">
        <f>VLOOKUP(C825,'Cash balance (BS)'!A:C,3,)</f>
        <v>#N/A</v>
      </c>
      <c r="G825" s="1191" t="e">
        <f t="shared" si="116"/>
        <v>#N/A</v>
      </c>
      <c r="H825" s="1320">
        <f>SUMIFS('Cash balance (Prior period)'!F:F,'Cash balance (Prior period)'!C:C,Table11[[#This Row],[ACCOUNT NUMBER]],'Cash balance (Prior period)'!E:E,Table11[[#This Row],[CURRENCY]])</f>
        <v>4000000000</v>
      </c>
      <c r="I825" s="1318">
        <f>SUMIFS(Movement!$F$4:$F$2136,Movement!$M$4:$M$2136,"VND",Movement!$C$4:$C$2136,Table11[[#This Row],[ACCOUNT NUMBER]],Movement!$J$4:$J$2136,Table11[[#This Row],[ENTITY]],Movement!$O$4:$O$2136,'Cash Balance'!$A$2)</f>
        <v>0</v>
      </c>
      <c r="J825" s="1318">
        <f>SUMIFS(Movement!$G$4:$G$2136,Movement!$M$4:$M$2136,"VND",Movement!$C$4:$C$2136,Table11[[#This Row],[ACCOUNT NUMBER]],Movement!$J$4:$J$2136,Table11[[#This Row],[ENTITY]],Movement!$O$4:$O$2136,'Cash Balance'!$A$2)</f>
        <v>0</v>
      </c>
      <c r="K825" s="1084">
        <f>Table11[[#This Row],[CASH IN - CREDIT (VND)]]-Table11[[#This Row],[CASH OUT - DEBIT (VND)]]</f>
        <v>0</v>
      </c>
      <c r="L825" s="1095">
        <f>H825+I825-J825</f>
        <v>4000000000</v>
      </c>
      <c r="M825" s="1135" t="e">
        <f>VLOOKUP(C825,'Cash balance (BS)'!A:D,4,)</f>
        <v>#N/A</v>
      </c>
      <c r="N825" s="1136" t="e">
        <f>Table11[[#This Row],[CLOSING BALANCE (VND)2]]-Table11[[#This Row],[CB_BS (VND)]]</f>
        <v>#N/A</v>
      </c>
      <c r="O825" s="1094"/>
      <c r="P825" s="1135">
        <f>O825-Q825</f>
        <v>0</v>
      </c>
      <c r="Q825" s="1089">
        <f>SUMIFS('Cash balance (Prior period)'!G:G,'Cash balance (Prior period)'!C:C,Table11[[#This Row],[ACCOUNT NUMBER]],'Cash balance (Prior period)'!E:E,Table11[[#This Row],[CURRENCY]])</f>
        <v>0</v>
      </c>
      <c r="R825" s="1089">
        <f>SUMIFS(Movement!$F$4:$F$2136,Movement!$M$4:$M$2136,"USD",Movement!$C$4:$C$2136,Table11[[#This Row],[ACCOUNT NUMBER]],Movement!$J$4:$J$2136,Table11[[#This Row],[ENTITY]],Movement!$O$4:$O$2136,'Cash Balance'!$A$2)</f>
        <v>0</v>
      </c>
      <c r="S825" s="1089">
        <f>SUMIFS(Movement!$G$4:$G$2136,Movement!$M$4:$M$2136,"USD",Movement!$C$4:$C$2136,Table11[[#This Row],[ACCOUNT NUMBER]],Movement!$J$4:$J$2136,Table11[[#This Row],[ENTITY]],Movement!$O$4:$O$2136,'Cash Balance'!$A$2)</f>
        <v>0</v>
      </c>
      <c r="T825" s="1087">
        <f>Q825+R825-S825</f>
        <v>0</v>
      </c>
      <c r="U825" s="1090"/>
      <c r="V825" s="1091">
        <f>Table11[[#This Row],[CLOSING BALANCE (USD)]]-Table11[[#This Row],[CB_BS (USD)]]</f>
        <v>0</v>
      </c>
      <c r="W825" s="1186" t="str">
        <f>VLOOKUP('Cash Balance'!$C825,Table2[#All],MATCH('Cash Balance'!W$3,Acc_Char!$B$1:$I$1,0),0)</f>
        <v>Subsidiaries</v>
      </c>
      <c r="X825" s="1156" t="str">
        <f>VLOOKUP(IFERROR(MID($Y825,1,FIND("-",$Y825)-2),$Y825),Table3[#All],2,0)</f>
        <v>VTB</v>
      </c>
      <c r="Y825" s="1156" t="str">
        <f>VLOOKUP($B825,Table4[#All],2,0)</f>
        <v>VIETINBANK - TIEN SON</v>
      </c>
      <c r="Z825" s="1151"/>
    </row>
    <row r="826" spans="1:26">
      <c r="A826" s="1153" t="str">
        <f>VLOOKUP('Cash Balance'!$C826,Table2[#All],MATCH('Cash Balance'!A$3,Acc_Char!$B$1:$I$1,0),0)</f>
        <v>SONG THAN 2</v>
      </c>
      <c r="B826" s="1154" t="str">
        <f>VLOOKUP('Cash Balance'!$C826,Table2[#All],MATCH('Cash Balance'!B$3,Acc_Char!$B$1:$I$1,0),0)</f>
        <v>VIETINBANK - TPHCM</v>
      </c>
      <c r="C826" s="1204" t="s">
        <v>1436</v>
      </c>
      <c r="D826" s="1156" t="str">
        <f>VLOOKUP('Cash Balance'!$C826,Table2[#All],MATCH('Cash Balance'!D$3,Acc_Char!$B$1:$I$1,0),0)</f>
        <v>Saving Account</v>
      </c>
      <c r="E826" s="384" t="str">
        <f>VLOOKUP('Cash Balance'!$C826,Table2[#All],MATCH('Cash Balance'!E$3,Acc_Char!$B$1:$I$1,0),0)</f>
        <v>VND</v>
      </c>
      <c r="F826" s="1084" t="e">
        <f>VLOOKUP(C826,'Cash balance (BS)'!A:C,3,)</f>
        <v>#N/A</v>
      </c>
      <c r="G826" s="1191" t="e">
        <f t="shared" si="103"/>
        <v>#N/A</v>
      </c>
      <c r="H826" s="1318">
        <f>SUMIFS('Cash balance (Prior period)'!F:F,'Cash balance (Prior period)'!C:C,Table11[[#This Row],[ACCOUNT NUMBER]],'Cash balance (Prior period)'!E:E,Table11[[#This Row],[CURRENCY]])</f>
        <v>5000000000</v>
      </c>
      <c r="I826" s="1318">
        <f>SUMIFS(Movement!$F$4:$F$2136,Movement!$M$4:$M$2136,"VND",Movement!$C$4:$C$2136,Table11[[#This Row],[ACCOUNT NUMBER]],Movement!$J$4:$J$2136,Table11[[#This Row],[ENTITY]],Movement!$O$4:$O$2136,'Cash Balance'!$A$2)</f>
        <v>0</v>
      </c>
      <c r="J826" s="1318">
        <f>SUMIFS(Movement!$G$4:$G$2136,Movement!$M$4:$M$2136,"VND",Movement!$C$4:$C$2136,Table11[[#This Row],[ACCOUNT NUMBER]],Movement!$J$4:$J$2136,Table11[[#This Row],[ENTITY]],Movement!$O$4:$O$2136,'Cash Balance'!$A$2)</f>
        <v>0</v>
      </c>
      <c r="K826" s="1084">
        <f>Table11[[#This Row],[CASH IN - CREDIT (VND)]]-Table11[[#This Row],[CASH OUT - DEBIT (VND)]]</f>
        <v>0</v>
      </c>
      <c r="L826" s="1095">
        <f t="shared" si="85"/>
        <v>5000000000</v>
      </c>
      <c r="M826" s="1184" t="e">
        <f>VLOOKUP(C826,'Cash balance (BS)'!A:D,4,)</f>
        <v>#N/A</v>
      </c>
      <c r="N826" s="1095" t="e">
        <f>Table11[[#This Row],[CLOSING BALANCE (VND)2]]-Table11[[#This Row],[CB_BS (VND)]]</f>
        <v>#N/A</v>
      </c>
      <c r="O826" s="1094">
        <v>0</v>
      </c>
      <c r="P826" s="1095">
        <f t="shared" ref="P826" si="121">O826-Q826</f>
        <v>0</v>
      </c>
      <c r="Q826" s="817">
        <f>SUMIFS('Cash balance (Prior period)'!G:G,'Cash balance (Prior period)'!C:C,Table11[[#This Row],[ACCOUNT NUMBER]],'Cash balance (Prior period)'!E:E,Table11[[#This Row],[CURRENCY]])</f>
        <v>0</v>
      </c>
      <c r="R826" s="817">
        <f>SUMIFS(Movement!$F$4:$F$2136,Movement!$M$4:$M$2136,"USD",Movement!$C$4:$C$2136,Table11[[#This Row],[ACCOUNT NUMBER]],Movement!$J$4:$J$2136,Table11[[#This Row],[ENTITY]],Movement!$O$4:$O$2136,'Cash Balance'!$A$2)</f>
        <v>0</v>
      </c>
      <c r="S826" s="817">
        <f>SUMIFS(Movement!$G$4:$G$2136,Movement!$M$4:$M$2136,"USD",Movement!$C$4:$C$2136,Table11[[#This Row],[ACCOUNT NUMBER]],Movement!$J$4:$J$2136,Table11[[#This Row],[ENTITY]],Movement!$O$4:$O$2136,'Cash Balance'!$A$2)</f>
        <v>0</v>
      </c>
      <c r="T826" s="1087">
        <f t="shared" ref="T826" si="122">Q826+R826-S826</f>
        <v>0</v>
      </c>
      <c r="U826" s="1090"/>
      <c r="V826" s="1091">
        <f>Table11[[#This Row],[CLOSING BALANCE (USD)]]-Table11[[#This Row],[CB_BS (USD)]]</f>
        <v>0</v>
      </c>
      <c r="W826" s="1156" t="str">
        <f>VLOOKUP('Cash Balance'!$C826,Table2[#All],MATCH('Cash Balance'!W$3,Acc_Char!$B$1:$I$1,0),0)</f>
        <v>Subsidiaries</v>
      </c>
      <c r="X826" s="1156" t="str">
        <f>VLOOKUP(IFERROR(MID($Y826,1,FIND("-",$Y826)-2),$Y826),Table3[#All],2,0)</f>
        <v>VTB</v>
      </c>
      <c r="Y826" s="1156" t="str">
        <f>VLOOKUP($B826,Table4[#All],2,0)</f>
        <v>VIETINBANK - TPHCM</v>
      </c>
      <c r="Z826" s="1151"/>
    </row>
    <row r="827" spans="1:26">
      <c r="A827" s="1153" t="str">
        <f>VLOOKUP('Cash Balance'!$C827,Table2[#All],MATCH('Cash Balance'!A$3,Acc_Char!$B$1:$I$1,0),0)</f>
        <v>VINA PARTNERS INVESTMENT</v>
      </c>
      <c r="B827" s="1154" t="str">
        <f>VLOOKUP('Cash Balance'!$C827,Table2[#All],MATCH('Cash Balance'!B$3,Acc_Char!$B$1:$I$1,0),0)</f>
        <v>VIETINBANK - CN1</v>
      </c>
      <c r="C827" s="1204" t="s">
        <v>1437</v>
      </c>
      <c r="D827" s="1156" t="str">
        <f>VLOOKUP('Cash Balance'!$C827,Table2[#All],MATCH('Cash Balance'!D$3,Acc_Char!$B$1:$I$1,0),0)</f>
        <v>Saving Account</v>
      </c>
      <c r="E827" s="384" t="str">
        <f>VLOOKUP('Cash Balance'!$C827,Table2[#All],MATCH('Cash Balance'!E$3,Acc_Char!$B$1:$I$1,0),0)</f>
        <v>VND</v>
      </c>
      <c r="F827" s="1084" t="e">
        <f>VLOOKUP(C827,'Cash balance (BS)'!A:C,3,)</f>
        <v>#N/A</v>
      </c>
      <c r="G827" s="1191" t="e">
        <f>F827-H827</f>
        <v>#N/A</v>
      </c>
      <c r="H827" s="1320">
        <f>SUMIFS('Cash balance (Prior period)'!F:F,'Cash balance (Prior period)'!C:C,Table11[[#This Row],[ACCOUNT NUMBER]],'Cash balance (Prior period)'!E:E,Table11[[#This Row],[CURRENCY]])</f>
        <v>7000000000</v>
      </c>
      <c r="I827" s="1318">
        <f>SUMIFS(Movement!$F$4:$F$2136,Movement!$M$4:$M$2136,"VND",Movement!$C$4:$C$2136,Table11[[#This Row],[ACCOUNT NUMBER]],Movement!$J$4:$J$2136,Table11[[#This Row],[ENTITY]],Movement!$O$4:$O$2136,'Cash Balance'!$A$2)</f>
        <v>0</v>
      </c>
      <c r="J827" s="1318">
        <f>SUMIFS(Movement!$G$4:$G$2136,Movement!$M$4:$M$2136,"VND",Movement!$C$4:$C$2136,Table11[[#This Row],[ACCOUNT NUMBER]],Movement!$J$4:$J$2136,Table11[[#This Row],[ENTITY]],Movement!$O$4:$O$2136,'Cash Balance'!$A$2)</f>
        <v>0</v>
      </c>
      <c r="K827" s="1084">
        <f>Table11[[#This Row],[CASH IN - CREDIT (VND)]]-Table11[[#This Row],[CASH OUT - DEBIT (VND)]]</f>
        <v>0</v>
      </c>
      <c r="L827" s="1095">
        <f t="shared" ref="L827:L834" si="123">H827+I827-J827</f>
        <v>7000000000</v>
      </c>
      <c r="M827" s="1222" t="e">
        <f>VLOOKUP(C827,'Cash balance (BS)'!A:D,4,)</f>
        <v>#N/A</v>
      </c>
      <c r="N827" s="1095" t="e">
        <f>Table11[[#This Row],[CLOSING BALANCE (VND)2]]-Table11[[#This Row],[CB_BS (VND)]]</f>
        <v>#N/A</v>
      </c>
      <c r="O827" s="1094"/>
      <c r="P827" s="1223">
        <f t="shared" ref="P827:P834" si="124">O827-Q827</f>
        <v>0</v>
      </c>
      <c r="Q827" s="1089">
        <f>SUMIFS('Cash balance (Prior period)'!G:G,'Cash balance (Prior period)'!C:C,Table11[[#This Row],[ACCOUNT NUMBER]],'Cash balance (Prior period)'!E:E,Table11[[#This Row],[CURRENCY]])</f>
        <v>0</v>
      </c>
      <c r="R827" s="1089">
        <f>SUMIFS(Movement!$F$4:$F$2136,Movement!$M$4:$M$2136,"USD",Movement!$C$4:$C$2136,Table11[[#This Row],[ACCOUNT NUMBER]],Movement!$J$4:$J$2136,Table11[[#This Row],[ENTITY]],Movement!$O$4:$O$2136,'Cash Balance'!$A$2)</f>
        <v>0</v>
      </c>
      <c r="S827" s="1089">
        <f>SUMIFS(Movement!$G$4:$G$2136,Movement!$M$4:$M$2136,"USD",Movement!$C$4:$C$2136,Table11[[#This Row],[ACCOUNT NUMBER]],Movement!$J$4:$J$2136,Table11[[#This Row],[ENTITY]],Movement!$O$4:$O$2136,'Cash Balance'!$A$2)</f>
        <v>0</v>
      </c>
      <c r="T827" s="1087">
        <f t="shared" ref="T827" si="125">Q827+R827-S827</f>
        <v>0</v>
      </c>
      <c r="U827" s="1090"/>
      <c r="V827" s="1091">
        <f>Table11[[#This Row],[CLOSING BALANCE (USD)]]-Table11[[#This Row],[CB_BS (USD)]]</f>
        <v>0</v>
      </c>
      <c r="W827" s="1156" t="str">
        <f>VLOOKUP('Cash Balance'!$C827,Table2[#All],MATCH('Cash Balance'!W$3,Acc_Char!$B$1:$I$1,0),0)</f>
        <v>Subsidiaries</v>
      </c>
      <c r="X827" s="1156" t="str">
        <f>VLOOKUP(IFERROR(MID($Y827,1,FIND("-",$Y827)-2),$Y827),Table3[#All],2,0)</f>
        <v>VTB</v>
      </c>
      <c r="Y827" s="1156" t="str">
        <f>VLOOKUP($B827,Table4[#All],2,0)</f>
        <v>VIETINBANK - CN1</v>
      </c>
      <c r="Z827" s="1151"/>
    </row>
    <row r="828" spans="1:26">
      <c r="A828" s="1153" t="str">
        <f>VLOOKUP('Cash Balance'!$C828,Table2[#All],MATCH('Cash Balance'!A$3,Acc_Char!$B$1:$I$1,0),0)</f>
        <v>SAO HOA</v>
      </c>
      <c r="B828" s="1154" t="str">
        <f>VLOOKUP('Cash Balance'!$C828,Table2[#All],MATCH('Cash Balance'!B$3,Acc_Char!$B$1:$I$1,0),0)</f>
        <v>TECHCOMBANK</v>
      </c>
      <c r="C828" s="1204" t="s">
        <v>1438</v>
      </c>
      <c r="D828" s="1156" t="str">
        <f>VLOOKUP('Cash Balance'!$C828,Table2[#All],MATCH('Cash Balance'!D$3,Acc_Char!$B$1:$I$1,0),0)</f>
        <v>Saving Account</v>
      </c>
      <c r="E828" s="384" t="str">
        <f>VLOOKUP('Cash Balance'!$C828,Table2[#All],MATCH('Cash Balance'!E$3,Acc_Char!$B$1:$I$1,0),0)</f>
        <v>VND</v>
      </c>
      <c r="F828" s="1084" t="e">
        <f>VLOOKUP(C828,'Cash balance (BS)'!A:C,3,)</f>
        <v>#N/A</v>
      </c>
      <c r="G828" s="1191" t="e">
        <f t="shared" si="103"/>
        <v>#N/A</v>
      </c>
      <c r="H828" s="1320">
        <f>SUMIFS('Cash balance (Prior period)'!F:F,'Cash balance (Prior period)'!C:C,Table11[[#This Row],[ACCOUNT NUMBER]],'Cash balance (Prior period)'!E:E,Table11[[#This Row],[CURRENCY]])</f>
        <v>0</v>
      </c>
      <c r="I828" s="1318">
        <f>SUMIFS(Movement!$F$4:$F$2136,Movement!$M$4:$M$2136,"VND",Movement!$C$4:$C$2136,Table11[[#This Row],[ACCOUNT NUMBER]],Movement!$J$4:$J$2136,Table11[[#This Row],[ENTITY]],Movement!$O$4:$O$2136,'Cash Balance'!$A$2)</f>
        <v>0</v>
      </c>
      <c r="J828" s="1318">
        <f>SUMIFS(Movement!$G$4:$G$2136,Movement!$M$4:$M$2136,"VND",Movement!$C$4:$C$2136,Table11[[#This Row],[ACCOUNT NUMBER]],Movement!$J$4:$J$2136,Table11[[#This Row],[ENTITY]],Movement!$O$4:$O$2136,'Cash Balance'!$A$2)</f>
        <v>0</v>
      </c>
      <c r="K828" s="1084">
        <f>Table11[[#This Row],[CASH IN - CREDIT (VND)]]-Table11[[#This Row],[CASH OUT - DEBIT (VND)]]</f>
        <v>0</v>
      </c>
      <c r="L828" s="1095">
        <f t="shared" si="123"/>
        <v>0</v>
      </c>
      <c r="M828" s="1222" t="e">
        <f>VLOOKUP(C828,'Cash balance (BS)'!A:D,4,)</f>
        <v>#N/A</v>
      </c>
      <c r="N828" s="1095" t="e">
        <f>Table11[[#This Row],[CLOSING BALANCE (VND)2]]-Table11[[#This Row],[CB_BS (VND)]]</f>
        <v>#N/A</v>
      </c>
      <c r="O828" s="1094"/>
      <c r="P828" s="1223">
        <f t="shared" si="124"/>
        <v>0</v>
      </c>
      <c r="Q828" s="1089">
        <f>SUMIFS('Cash balance (Prior period)'!G:G,'Cash balance (Prior period)'!C:C,Table11[[#This Row],[ACCOUNT NUMBER]],'Cash balance (Prior period)'!E:E,Table11[[#This Row],[CURRENCY]])</f>
        <v>0</v>
      </c>
      <c r="R828" s="1089">
        <f>SUMIFS(Movement!$F$4:$F$2136,Movement!$M$4:$M$2136,"USD",Movement!$C$4:$C$2136,Table11[[#This Row],[ACCOUNT NUMBER]],Movement!$J$4:$J$2136,Table11[[#This Row],[ENTITY]],Movement!$O$4:$O$2136,'Cash Balance'!$A$2)</f>
        <v>0</v>
      </c>
      <c r="S828" s="1089">
        <f>SUMIFS(Movement!$G$4:$G$2136,Movement!$M$4:$M$2136,"USD",Movement!$C$4:$C$2136,Table11[[#This Row],[ACCOUNT NUMBER]],Movement!$J$4:$J$2136,Table11[[#This Row],[ENTITY]],Movement!$O$4:$O$2136,'Cash Balance'!$A$2)</f>
        <v>0</v>
      </c>
      <c r="T828" s="1087">
        <f t="shared" ref="T828" si="126">Q828+R828-S828</f>
        <v>0</v>
      </c>
      <c r="U828" s="1090"/>
      <c r="V828" s="1091">
        <f>Table11[[#This Row],[CLOSING BALANCE (USD)]]-Table11[[#This Row],[CB_BS (USD)]]</f>
        <v>0</v>
      </c>
      <c r="W828" s="1156" t="str">
        <f>VLOOKUP('Cash Balance'!$C828,Table2[#All],MATCH('Cash Balance'!W$3,Acc_Char!$B$1:$I$1,0),0)</f>
        <v>VC3</v>
      </c>
      <c r="X828" s="1156" t="str">
        <f>VLOOKUP(IFERROR(MID($Y828,1,FIND("-",$Y828)-2),$Y828),Table3[#All],2,0)</f>
        <v>TCB</v>
      </c>
      <c r="Y828" s="1156" t="str">
        <f>VLOOKUP($B828,Table4[#All],2,0)</f>
        <v>TECHCOMBANK</v>
      </c>
      <c r="Z828" s="1151"/>
    </row>
    <row r="829" spans="1:26">
      <c r="A829" s="1153" t="str">
        <f>VLOOKUP('Cash Balance'!$C829,Table2[#All],MATCH('Cash Balance'!A$3,Acc_Char!$B$1:$I$1,0),0)</f>
        <v>GREAT KINGDOM NT 2</v>
      </c>
      <c r="B829" s="1154" t="str">
        <f>VLOOKUP('Cash Balance'!$C829,Table2[#All],MATCH('Cash Balance'!B$3,Acc_Char!$B$1:$I$1,0),0)</f>
        <v>VIETINBANK - DONG SAI GON</v>
      </c>
      <c r="C829" s="1204" t="s">
        <v>1439</v>
      </c>
      <c r="D829" s="1156" t="str">
        <f>VLOOKUP('Cash Balance'!$C829,Table2[#All],MATCH('Cash Balance'!D$3,Acc_Char!$B$1:$I$1,0),0)</f>
        <v>Saving Account</v>
      </c>
      <c r="E829" s="384" t="str">
        <f>VLOOKUP('Cash Balance'!$C829,Table2[#All],MATCH('Cash Balance'!E$3,Acc_Char!$B$1:$I$1,0),0)</f>
        <v>VND</v>
      </c>
      <c r="F829" s="1084" t="e">
        <f>VLOOKUP(C829,'Cash balance (BS)'!A:C,3,)</f>
        <v>#N/A</v>
      </c>
      <c r="G829" s="1191" t="e">
        <f>F829-H829</f>
        <v>#N/A</v>
      </c>
      <c r="H829" s="1320">
        <f>SUMIFS('Cash balance (Prior period)'!F:F,'Cash balance (Prior period)'!C:C,Table11[[#This Row],[ACCOUNT NUMBER]],'Cash balance (Prior period)'!E:E,Table11[[#This Row],[CURRENCY]])</f>
        <v>5000000000</v>
      </c>
      <c r="I829" s="1318">
        <f>SUMIFS(Movement!$F$4:$F$2136,Movement!$M$4:$M$2136,"VND",Movement!$C$4:$C$2136,Table11[[#This Row],[ACCOUNT NUMBER]],Movement!$J$4:$J$2136,Table11[[#This Row],[ENTITY]],Movement!$O$4:$O$2136,'Cash Balance'!$A$2)</f>
        <v>0</v>
      </c>
      <c r="J829" s="1318">
        <f>SUMIFS(Movement!$G$4:$G$2136,Movement!$M$4:$M$2136,"VND",Movement!$C$4:$C$2136,Table11[[#This Row],[ACCOUNT NUMBER]],Movement!$J$4:$J$2136,Table11[[#This Row],[ENTITY]],Movement!$O$4:$O$2136,'Cash Balance'!$A$2)</f>
        <v>0</v>
      </c>
      <c r="K829" s="1084">
        <f>Table11[[#This Row],[CASH IN - CREDIT (VND)]]-Table11[[#This Row],[CASH OUT - DEBIT (VND)]]</f>
        <v>0</v>
      </c>
      <c r="L829" s="1095">
        <f t="shared" si="123"/>
        <v>5000000000</v>
      </c>
      <c r="M829" s="1222" t="e">
        <f>VLOOKUP(C829,'Cash balance (BS)'!A:D,4,)</f>
        <v>#N/A</v>
      </c>
      <c r="N829" s="1095" t="e">
        <f>Table11[[#This Row],[CLOSING BALANCE (VND)2]]-Table11[[#This Row],[CB_BS (VND)]]</f>
        <v>#N/A</v>
      </c>
      <c r="O829" s="1094"/>
      <c r="P829" s="1223">
        <f t="shared" si="124"/>
        <v>0</v>
      </c>
      <c r="Q829" s="1089">
        <f>SUMIFS('Cash balance (Prior period)'!G:G,'Cash balance (Prior period)'!C:C,Table11[[#This Row],[ACCOUNT NUMBER]],'Cash balance (Prior period)'!E:E,Table11[[#This Row],[CURRENCY]])</f>
        <v>0</v>
      </c>
      <c r="R829" s="1089">
        <f>SUMIFS(Movement!$F$4:$F$2136,Movement!$M$4:$M$2136,"USD",Movement!$C$4:$C$2136,Table11[[#This Row],[ACCOUNT NUMBER]],Movement!$J$4:$J$2136,Table11[[#This Row],[ENTITY]],Movement!$O$4:$O$2136,'Cash Balance'!$A$2)</f>
        <v>0</v>
      </c>
      <c r="S829" s="1089">
        <f>SUMIFS(Movement!$G$4:$G$2136,Movement!$M$4:$M$2136,"USD",Movement!$C$4:$C$2136,Table11[[#This Row],[ACCOUNT NUMBER]],Movement!$J$4:$J$2136,Table11[[#This Row],[ENTITY]],Movement!$O$4:$O$2136,'Cash Balance'!$A$2)</f>
        <v>0</v>
      </c>
      <c r="T829" s="1087">
        <f t="shared" ref="T829" si="127">Q829+R829-S829</f>
        <v>0</v>
      </c>
      <c r="U829" s="1090"/>
      <c r="V829" s="1091">
        <f>Table11[[#This Row],[CLOSING BALANCE (USD)]]-Table11[[#This Row],[CB_BS (USD)]]</f>
        <v>0</v>
      </c>
      <c r="W829" s="1156" t="str">
        <f>VLOOKUP('Cash Balance'!$C829,Table2[#All],MATCH('Cash Balance'!W$3,Acc_Char!$B$1:$I$1,0),0)</f>
        <v>Subsidiaries</v>
      </c>
      <c r="X829" s="1156" t="str">
        <f>VLOOKUP(IFERROR(MID($Y829,1,FIND("-",$Y829)-2),$Y829),Table3[#All],2,0)</f>
        <v>VTB</v>
      </c>
      <c r="Y829" s="1156" t="str">
        <f>VLOOKUP($B829,Table4[#All],2,0)</f>
        <v>VIETINBANK - DONG SAI GON</v>
      </c>
      <c r="Z829" s="1151"/>
    </row>
    <row r="830" spans="1:26">
      <c r="A830" s="1153" t="str">
        <f>VLOOKUP('Cash Balance'!$C830,Table2[#All],MATCH('Cash Balance'!A$3,Acc_Char!$B$1:$I$1,0),0)</f>
        <v>SAO HOA</v>
      </c>
      <c r="B830" s="1154" t="str">
        <f>VLOOKUP('Cash Balance'!$C830,Table2[#All],MATCH('Cash Balance'!B$3,Acc_Char!$B$1:$I$1,0),0)</f>
        <v>BIDV - THANH XUAN</v>
      </c>
      <c r="C830" s="1205" t="s">
        <v>1440</v>
      </c>
      <c r="D830" s="1156" t="str">
        <f>VLOOKUP('Cash Balance'!$C830,Table2[#All],MATCH('Cash Balance'!D$3,Acc_Char!$B$1:$I$1,0),0)</f>
        <v>Saving Account</v>
      </c>
      <c r="E830" s="1201" t="str">
        <f>VLOOKUP('Cash Balance'!$C830,Table2[#All],MATCH('Cash Balance'!E$3,Acc_Char!$B$1:$I$1,0),0)</f>
        <v>VND</v>
      </c>
      <c r="F830" s="1084" t="e">
        <f>VLOOKUP(C830,'Cash balance (BS)'!A:C,3,)</f>
        <v>#N/A</v>
      </c>
      <c r="G830" s="1191" t="e">
        <f t="shared" si="103"/>
        <v>#N/A</v>
      </c>
      <c r="H830" s="1321">
        <f>SUMIFS('Cash balance (Prior period)'!F:F,'Cash balance (Prior period)'!C:C,Table11[[#This Row],[ACCOUNT NUMBER]],'Cash balance (Prior period)'!E:E,Table11[[#This Row],[CURRENCY]])</f>
        <v>0</v>
      </c>
      <c r="I830" s="1322">
        <f>SUMIFS(Movement!$F$4:$F$2136,Movement!$M$4:$M$2136,"VND",Movement!$C$4:$C$2136,Table11[[#This Row],[ACCOUNT NUMBER]],Movement!$J$4:$J$2136,Table11[[#This Row],[ENTITY]],Movement!$O$4:$O$2136,'Cash Balance'!$A$2)</f>
        <v>0</v>
      </c>
      <c r="J830" s="1323">
        <f>SUMIFS(Movement!$G$4:$G$2136,Movement!$M$4:$M$2136,"VND",Movement!$C$4:$C$2136,Table11[[#This Row],[ACCOUNT NUMBER]],Movement!$J$4:$J$2136,Table11[[#This Row],[ENTITY]],Movement!$O$4:$O$2136,'Cash Balance'!$A$2)</f>
        <v>0</v>
      </c>
      <c r="K830" s="1258">
        <f>Table11[[#This Row],[CASH IN - CREDIT (VND)]]-Table11[[#This Row],[CASH OUT - DEBIT (VND)]]</f>
        <v>0</v>
      </c>
      <c r="L830" s="1134">
        <f t="shared" si="123"/>
        <v>0</v>
      </c>
      <c r="M830" s="1135" t="e">
        <f>VLOOKUP(C830,'Cash balance (BS)'!A:D,4,)</f>
        <v>#N/A</v>
      </c>
      <c r="N830" s="1136" t="e">
        <f>Table11[[#This Row],[CLOSING BALANCE (VND)2]]-Table11[[#This Row],[CB_BS (VND)]]</f>
        <v>#N/A</v>
      </c>
      <c r="O830" s="1094"/>
      <c r="P830" s="1135">
        <f t="shared" si="124"/>
        <v>0</v>
      </c>
      <c r="Q830" s="1137">
        <f>SUMIFS('Cash balance (Prior period)'!G:G,'Cash balance (Prior period)'!C:C,Table11[[#This Row],[ACCOUNT NUMBER]],'Cash balance (Prior period)'!E:E,Table11[[#This Row],[CURRENCY]])</f>
        <v>0</v>
      </c>
      <c r="R830" s="1138">
        <f>SUMIFS(Movement!$F$4:$F$2136,Movement!$M$4:$M$2136,"USD",Movement!$C$4:$C$2136,Table11[[#This Row],[ACCOUNT NUMBER]],Movement!$J$4:$J$2136,Table11[[#This Row],[ENTITY]],Movement!$O$4:$O$2136,'Cash Balance'!$A$2)</f>
        <v>0</v>
      </c>
      <c r="S830" s="1137">
        <f>SUMIFS(Movement!$G$4:$G$2136,Movement!$M$4:$M$2136,"USD",Movement!$C$4:$C$2136,Table11[[#This Row],[ACCOUNT NUMBER]],Movement!$J$4:$J$2136,Table11[[#This Row],[ENTITY]],Movement!$O$4:$O$2136,'Cash Balance'!$A$2)</f>
        <v>0</v>
      </c>
      <c r="T830" s="1139">
        <f t="shared" ref="T830:T834" si="128">Q830+R830-S830</f>
        <v>0</v>
      </c>
      <c r="U830" s="1090"/>
      <c r="V830" s="1091">
        <f>Table11[[#This Row],[CLOSING BALANCE (USD)]]-Table11[[#This Row],[CB_BS (USD)]]</f>
        <v>0</v>
      </c>
      <c r="W830" s="1186" t="str">
        <f>VLOOKUP('Cash Balance'!$C830,Table2[#All],MATCH('Cash Balance'!W$3,Acc_Char!$B$1:$I$1,0),0)</f>
        <v>VC3</v>
      </c>
      <c r="X830" s="1156" t="str">
        <f>VLOOKUP(IFERROR(MID($Y830,1,FIND("-",$Y830)-2),$Y830),Table3[#All],2,0)</f>
        <v>BIDV</v>
      </c>
      <c r="Y830" s="1156" t="str">
        <f>VLOOKUP($B830,Table4[#All],2,0)</f>
        <v>BIDV - THANH XUAN</v>
      </c>
      <c r="Z830" s="1151"/>
    </row>
    <row r="831" spans="1:26">
      <c r="A831" s="1153" t="str">
        <f>VLOOKUP('Cash Balance'!$C831,Table2[#All],MATCH('Cash Balance'!A$3,Acc_Char!$B$1:$I$1,0),0)</f>
        <v>BW BAU BANG 01</v>
      </c>
      <c r="B831" s="1154" t="str">
        <f>VLOOKUP('Cash Balance'!$C831,Table2[#All],MATCH('Cash Balance'!B$3,Acc_Char!$B$1:$I$1,0),0)</f>
        <v>VIETINBANK - BINH DUONG</v>
      </c>
      <c r="C831" s="1205" t="s">
        <v>1441</v>
      </c>
      <c r="D831" s="1156" t="str">
        <f>VLOOKUP('Cash Balance'!$C831,Table2[#All],MATCH('Cash Balance'!D$3,Acc_Char!$B$1:$I$1,0),0)</f>
        <v>Saving Account</v>
      </c>
      <c r="E831" s="384" t="str">
        <f>VLOOKUP('Cash Balance'!$C831,Table2[#All],MATCH('Cash Balance'!E$3,Acc_Char!$B$1:$I$1,0),0)</f>
        <v>VND</v>
      </c>
      <c r="F831" s="1084" t="e">
        <f>VLOOKUP(C831,'Cash balance (BS)'!A:C,3,)</f>
        <v>#N/A</v>
      </c>
      <c r="G831" s="1191" t="e">
        <f>F831-H831</f>
        <v>#N/A</v>
      </c>
      <c r="H831" s="1321">
        <f>SUMIFS('Cash balance (Prior period)'!F:F,'Cash balance (Prior period)'!C:C,Table11[[#This Row],[ACCOUNT NUMBER]],'Cash balance (Prior period)'!E:E,Table11[[#This Row],[CURRENCY]])</f>
        <v>15000000000</v>
      </c>
      <c r="I831" s="1322">
        <f>SUMIFS(Movement!$F$4:$F$2136,Movement!$M$4:$M$2136,"VND",Movement!$C$4:$C$2136,Table11[[#This Row],[ACCOUNT NUMBER]],Movement!$J$4:$J$2136,Table11[[#This Row],[ENTITY]],Movement!$O$4:$O$2136,'Cash Balance'!$A$2)</f>
        <v>0</v>
      </c>
      <c r="J831" s="1323">
        <f>SUMIFS(Movement!$G$4:$G$2136,Movement!$M$4:$M$2136,"VND",Movement!$C$4:$C$2136,Table11[[#This Row],[ACCOUNT NUMBER]],Movement!$J$4:$J$2136,Table11[[#This Row],[ENTITY]],Movement!$O$4:$O$2136,'Cash Balance'!$A$2)</f>
        <v>0</v>
      </c>
      <c r="K831" s="1258">
        <f>Table11[[#This Row],[CASH IN - CREDIT (VND)]]-Table11[[#This Row],[CASH OUT - DEBIT (VND)]]</f>
        <v>0</v>
      </c>
      <c r="L831" s="1134">
        <f t="shared" si="123"/>
        <v>15000000000</v>
      </c>
      <c r="M831" s="1135" t="e">
        <f>VLOOKUP(C831,'Cash balance (BS)'!A:D,4,)</f>
        <v>#N/A</v>
      </c>
      <c r="N831" s="1136" t="e">
        <f>Table11[[#This Row],[CLOSING BALANCE (VND)2]]-Table11[[#This Row],[CB_BS (VND)]]</f>
        <v>#N/A</v>
      </c>
      <c r="O831" s="1094"/>
      <c r="P831" s="1135">
        <f t="shared" si="124"/>
        <v>0</v>
      </c>
      <c r="Q831" s="1137">
        <f>SUMIFS('Cash balance (Prior period)'!G:G,'Cash balance (Prior period)'!C:C,Table11[[#This Row],[ACCOUNT NUMBER]],'Cash balance (Prior period)'!E:E,Table11[[#This Row],[CURRENCY]])</f>
        <v>0</v>
      </c>
      <c r="R831" s="1138">
        <f>SUMIFS(Movement!$F$4:$F$2136,Movement!$M$4:$M$2136,"USD",Movement!$C$4:$C$2136,Table11[[#This Row],[ACCOUNT NUMBER]],Movement!$J$4:$J$2136,Table11[[#This Row],[ENTITY]],Movement!$O$4:$O$2136,'Cash Balance'!$A$2)</f>
        <v>0</v>
      </c>
      <c r="S831" s="1137">
        <f>SUMIFS(Movement!$G$4:$G$2136,Movement!$M$4:$M$2136,"USD",Movement!$C$4:$C$2136,Table11[[#This Row],[ACCOUNT NUMBER]],Movement!$J$4:$J$2136,Table11[[#This Row],[ENTITY]],Movement!$O$4:$O$2136,'Cash Balance'!$A$2)</f>
        <v>0</v>
      </c>
      <c r="T831" s="1139">
        <f t="shared" si="128"/>
        <v>0</v>
      </c>
      <c r="U831" s="1090"/>
      <c r="V831" s="1091">
        <f>Table11[[#This Row],[CLOSING BALANCE (USD)]]-Table11[[#This Row],[CB_BS (USD)]]</f>
        <v>0</v>
      </c>
      <c r="W831" s="1186" t="str">
        <f>VLOOKUP('Cash Balance'!$C831,Table2[#All],MATCH('Cash Balance'!W$3,Acc_Char!$B$1:$I$1,0),0)</f>
        <v>Subsidiaries</v>
      </c>
      <c r="X831" s="1156" t="str">
        <f>VLOOKUP(IFERROR(MID($Y831,1,FIND("-",$Y831)-2),$Y831),Table3[#All],2,0)</f>
        <v>VTB</v>
      </c>
      <c r="Y831" s="1156" t="str">
        <f>VLOOKUP($B831,Table4[#All],2,0)</f>
        <v>VIETINBANK - BINH DUONG + QM</v>
      </c>
      <c r="Z831" s="1151"/>
    </row>
    <row r="832" spans="1:26">
      <c r="A832" s="1153" t="str">
        <f>VLOOKUP('Cash Balance'!$C832,Table2[#All],MATCH('Cash Balance'!A$3,Acc_Char!$B$1:$I$1,0),0)</f>
        <v>NDV PROJECT CO</v>
      </c>
      <c r="B832" s="1154" t="str">
        <f>VLOOKUP('Cash Balance'!$C832,Table2[#All],MATCH('Cash Balance'!B$3,Acc_Char!$B$1:$I$1,0),0)</f>
        <v>BIDV - THANH XUAN</v>
      </c>
      <c r="C832" s="1205" t="s">
        <v>1442</v>
      </c>
      <c r="D832" s="1156" t="str">
        <f>VLOOKUP('Cash Balance'!$C832,Table2[#All],MATCH('Cash Balance'!D$3,Acc_Char!$B$1:$I$1,0),0)</f>
        <v>Saving Account</v>
      </c>
      <c r="E832" s="384" t="str">
        <f>VLOOKUP('Cash Balance'!$C832,Table2[#All],MATCH('Cash Balance'!E$3,Acc_Char!$B$1:$I$1,0),0)</f>
        <v>VND</v>
      </c>
      <c r="F832" s="1084" t="e">
        <f>VLOOKUP(C832,'Cash balance (BS)'!A:C,3,)</f>
        <v>#N/A</v>
      </c>
      <c r="G832" s="1191" t="e">
        <f t="shared" si="103"/>
        <v>#N/A</v>
      </c>
      <c r="H832" s="1321">
        <f>SUMIFS('Cash balance (Prior period)'!F:F,'Cash balance (Prior period)'!C:C,Table11[[#This Row],[ACCOUNT NUMBER]],'Cash balance (Prior period)'!E:E,Table11[[#This Row],[CURRENCY]])</f>
        <v>10000000000</v>
      </c>
      <c r="I832" s="1322">
        <f>SUMIFS(Movement!$F$4:$F$2136,Movement!$M$4:$M$2136,"VND",Movement!$C$4:$C$2136,Table11[[#This Row],[ACCOUNT NUMBER]],Movement!$J$4:$J$2136,Table11[[#This Row],[ENTITY]],Movement!$O$4:$O$2136,'Cash Balance'!$A$2)</f>
        <v>0</v>
      </c>
      <c r="J832" s="1323">
        <f>SUMIFS(Movement!$G$4:$G$2136,Movement!$M$4:$M$2136,"VND",Movement!$C$4:$C$2136,Table11[[#This Row],[ACCOUNT NUMBER]],Movement!$J$4:$J$2136,Table11[[#This Row],[ENTITY]],Movement!$O$4:$O$2136,'Cash Balance'!$A$2)</f>
        <v>0</v>
      </c>
      <c r="K832" s="1258">
        <f>Table11[[#This Row],[CASH IN - CREDIT (VND)]]-Table11[[#This Row],[CASH OUT - DEBIT (VND)]]</f>
        <v>0</v>
      </c>
      <c r="L832" s="1134">
        <f t="shared" si="123"/>
        <v>10000000000</v>
      </c>
      <c r="M832" s="1135" t="e">
        <f>VLOOKUP(C832,'Cash balance (BS)'!A:D,4,)</f>
        <v>#N/A</v>
      </c>
      <c r="N832" s="1136" t="e">
        <f>Table11[[#This Row],[CLOSING BALANCE (VND)2]]-Table11[[#This Row],[CB_BS (VND)]]</f>
        <v>#N/A</v>
      </c>
      <c r="O832" s="1094"/>
      <c r="P832" s="1135">
        <f t="shared" si="124"/>
        <v>0</v>
      </c>
      <c r="Q832" s="1137">
        <f>SUMIFS('Cash balance (Prior period)'!G:G,'Cash balance (Prior period)'!C:C,Table11[[#This Row],[ACCOUNT NUMBER]],'Cash balance (Prior period)'!E:E,Table11[[#This Row],[CURRENCY]])</f>
        <v>0</v>
      </c>
      <c r="R832" s="1138">
        <f>SUMIFS(Movement!$F$4:$F$2136,Movement!$M$4:$M$2136,"USD",Movement!$C$4:$C$2136,Table11[[#This Row],[ACCOUNT NUMBER]],Movement!$J$4:$J$2136,Table11[[#This Row],[ENTITY]],Movement!$O$4:$O$2136,'Cash Balance'!$A$2)</f>
        <v>0</v>
      </c>
      <c r="S832" s="1137">
        <f>SUMIFS(Movement!$G$4:$G$2136,Movement!$M$4:$M$2136,"USD",Movement!$C$4:$C$2136,Table11[[#This Row],[ACCOUNT NUMBER]],Movement!$J$4:$J$2136,Table11[[#This Row],[ENTITY]],Movement!$O$4:$O$2136,'Cash Balance'!$A$2)</f>
        <v>0</v>
      </c>
      <c r="T832" s="1139">
        <f t="shared" si="128"/>
        <v>0</v>
      </c>
      <c r="U832" s="1090"/>
      <c r="V832" s="1091">
        <f>Table11[[#This Row],[CLOSING BALANCE (USD)]]-Table11[[#This Row],[CB_BS (USD)]]</f>
        <v>0</v>
      </c>
      <c r="W832" s="1186" t="str">
        <f>VLOOKUP('Cash Balance'!$C832,Table2[#All],MATCH('Cash Balance'!W$3,Acc_Char!$B$1:$I$1,0),0)</f>
        <v>Subsidiaries</v>
      </c>
      <c r="X832" s="1156" t="str">
        <f>VLOOKUP(IFERROR(MID($Y832,1,FIND("-",$Y832)-2),$Y832),Table3[#All],2,0)</f>
        <v>BIDV</v>
      </c>
      <c r="Y832" s="1156" t="str">
        <f>VLOOKUP($B832,Table4[#All],2,0)</f>
        <v>BIDV - THANH XUAN</v>
      </c>
      <c r="Z832" s="1151"/>
    </row>
    <row r="833" spans="1:26">
      <c r="A833" s="1153" t="str">
        <f>VLOOKUP('Cash Balance'!$C833,Table2[#All],MATCH('Cash Balance'!A$3,Acc_Char!$B$1:$I$1,0),0)</f>
        <v>BW BAU BANG 01</v>
      </c>
      <c r="B833" s="1154" t="str">
        <f>VLOOKUP('Cash Balance'!$C833,Table2[#All],MATCH('Cash Balance'!B$3,Acc_Char!$B$1:$I$1,0),0)</f>
        <v>VIETINBANK - BINH DUONG</v>
      </c>
      <c r="C833" s="1204" t="s">
        <v>1443</v>
      </c>
      <c r="D833" s="1156" t="str">
        <f>VLOOKUP('Cash Balance'!$C833,Table2[#All],MATCH('Cash Balance'!D$3,Acc_Char!$B$1:$I$1,0),0)</f>
        <v>Saving Account</v>
      </c>
      <c r="E833" s="384" t="str">
        <f>VLOOKUP('Cash Balance'!$C833,Table2[#All],MATCH('Cash Balance'!E$3,Acc_Char!$B$1:$I$1,0),0)</f>
        <v>VND</v>
      </c>
      <c r="F833" s="1084" t="e">
        <f>VLOOKUP(C833,'Cash balance (BS)'!A:C,3,)</f>
        <v>#N/A</v>
      </c>
      <c r="G833" s="1191" t="e">
        <f t="shared" ref="G833:G854" si="129">F833-H833</f>
        <v>#N/A</v>
      </c>
      <c r="H833" s="1320">
        <f>SUMIFS('Cash balance (Prior period)'!F:F,'Cash balance (Prior period)'!C:C,Table11[[#This Row],[ACCOUNT NUMBER]],'Cash balance (Prior period)'!E:E,Table11[[#This Row],[CURRENCY]])</f>
        <v>20000000000</v>
      </c>
      <c r="I833" s="1318">
        <f>SUMIFS(Movement!$F$4:$F$2136,Movement!$M$4:$M$2136,"VND",Movement!$C$4:$C$2136,Table11[[#This Row],[ACCOUNT NUMBER]],Movement!$J$4:$J$2136,Table11[[#This Row],[ENTITY]],Movement!$O$4:$O$2136,'Cash Balance'!$A$2)</f>
        <v>0</v>
      </c>
      <c r="J833" s="1318">
        <f>SUMIFS(Movement!$G$4:$G$2136,Movement!$M$4:$M$2136,"VND",Movement!$C$4:$C$2136,Table11[[#This Row],[ACCOUNT NUMBER]],Movement!$J$4:$J$2136,Table11[[#This Row],[ENTITY]],Movement!$O$4:$O$2136,'Cash Balance'!$A$2)</f>
        <v>0</v>
      </c>
      <c r="K833" s="1084">
        <f>Table11[[#This Row],[CASH IN - CREDIT (VND)]]-Table11[[#This Row],[CASH OUT - DEBIT (VND)]]</f>
        <v>0</v>
      </c>
      <c r="L833" s="1095">
        <f t="shared" si="123"/>
        <v>20000000000</v>
      </c>
      <c r="M833" s="1135" t="e">
        <f>VLOOKUP(C833,'Cash balance (BS)'!A:D,4,)</f>
        <v>#N/A</v>
      </c>
      <c r="N833" s="1136" t="e">
        <f>Table11[[#This Row],[CLOSING BALANCE (VND)2]]-Table11[[#This Row],[CB_BS (VND)]]</f>
        <v>#N/A</v>
      </c>
      <c r="O833" s="1094"/>
      <c r="P833" s="1135">
        <f t="shared" si="124"/>
        <v>0</v>
      </c>
      <c r="Q833" s="1089">
        <f>SUMIFS('Cash balance (Prior period)'!G:G,'Cash balance (Prior period)'!C:C,Table11[[#This Row],[ACCOUNT NUMBER]],'Cash balance (Prior period)'!E:E,Table11[[#This Row],[CURRENCY]])</f>
        <v>0</v>
      </c>
      <c r="R833" s="1089">
        <f>SUMIFS(Movement!$F$4:$F$2136,Movement!$M$4:$M$2136,"USD",Movement!$C$4:$C$2136,Table11[[#This Row],[ACCOUNT NUMBER]],Movement!$J$4:$J$2136,Table11[[#This Row],[ENTITY]],Movement!$O$4:$O$2136,'Cash Balance'!$A$2)</f>
        <v>0</v>
      </c>
      <c r="S833" s="1089">
        <f>SUMIFS(Movement!$G$4:$G$2136,Movement!$M$4:$M$2136,"USD",Movement!$C$4:$C$2136,Table11[[#This Row],[ACCOUNT NUMBER]],Movement!$J$4:$J$2136,Table11[[#This Row],[ENTITY]],Movement!$O$4:$O$2136,'Cash Balance'!$A$2)</f>
        <v>0</v>
      </c>
      <c r="T833" s="1139">
        <f t="shared" si="128"/>
        <v>0</v>
      </c>
      <c r="U833" s="1090"/>
      <c r="V833" s="1091">
        <f>Table11[[#This Row],[CLOSING BALANCE (USD)]]-Table11[[#This Row],[CB_BS (USD)]]</f>
        <v>0</v>
      </c>
      <c r="W833" s="1186" t="str">
        <f>VLOOKUP('Cash Balance'!$C833,Table2[#All],MATCH('Cash Balance'!W$3,Acc_Char!$B$1:$I$1,0),0)</f>
        <v>Subsidiaries</v>
      </c>
      <c r="X833" s="1156" t="str">
        <f>VLOOKUP(IFERROR(MID($Y833,1,FIND("-",$Y833)-2),$Y833),Table3[#All],2,0)</f>
        <v>VTB</v>
      </c>
      <c r="Y833" s="1156" t="str">
        <f>VLOOKUP($B833,Table4[#All],2,0)</f>
        <v>VIETINBANK - BINH DUONG + QM</v>
      </c>
      <c r="Z833" s="1151"/>
    </row>
    <row r="834" spans="1:26">
      <c r="A834" s="1153" t="str">
        <f>VLOOKUP('Cash Balance'!$C834,Table2[#All],MATCH('Cash Balance'!A$3,Acc_Char!$B$1:$I$1,0),0)</f>
        <v>KIM TRUC DN</v>
      </c>
      <c r="B834" s="1154" t="str">
        <f>VLOOKUP('Cash Balance'!$C834,Table2[#All],MATCH('Cash Balance'!B$3,Acc_Char!$B$1:$I$1,0),0)</f>
        <v>BIDV - NAM SAI GON</v>
      </c>
      <c r="C834" s="1204" t="s">
        <v>1444</v>
      </c>
      <c r="D834" s="1156" t="str">
        <f>VLOOKUP('Cash Balance'!$C834,Table2[#All],MATCH('Cash Balance'!D$3,Acc_Char!$B$1:$I$1,0),0)</f>
        <v>Saving Account</v>
      </c>
      <c r="E834" s="384" t="str">
        <f>VLOOKUP('Cash Balance'!$C834,Table2[#All],MATCH('Cash Balance'!E$3,Acc_Char!$B$1:$I$1,0),0)</f>
        <v>VND</v>
      </c>
      <c r="F834" s="1084" t="e">
        <f>VLOOKUP(C834,'Cash balance (BS)'!A:C,3,)</f>
        <v>#N/A</v>
      </c>
      <c r="G834" s="1191" t="e">
        <f t="shared" si="129"/>
        <v>#N/A</v>
      </c>
      <c r="H834" s="1320">
        <f>SUMIFS('Cash balance (Prior period)'!F:F,'Cash balance (Prior period)'!C:C,Table11[[#This Row],[ACCOUNT NUMBER]],'Cash balance (Prior period)'!E:E,Table11[[#This Row],[CURRENCY]])</f>
        <v>5000000000</v>
      </c>
      <c r="I834" s="1318">
        <f>SUMIFS(Movement!$F$4:$F$2136,Movement!$M$4:$M$2136,"VND",Movement!$C$4:$C$2136,Table11[[#This Row],[ACCOUNT NUMBER]],Movement!$J$4:$J$2136,Table11[[#This Row],[ENTITY]],Movement!$O$4:$O$2136,'Cash Balance'!$A$2)</f>
        <v>0</v>
      </c>
      <c r="J834" s="1318">
        <f>SUMIFS(Movement!$G$4:$G$2136,Movement!$M$4:$M$2136,"VND",Movement!$C$4:$C$2136,Table11[[#This Row],[ACCOUNT NUMBER]],Movement!$J$4:$J$2136,Table11[[#This Row],[ENTITY]],Movement!$O$4:$O$2136,'Cash Balance'!$A$2)</f>
        <v>0</v>
      </c>
      <c r="K834" s="1084">
        <f>Table11[[#This Row],[CASH IN - CREDIT (VND)]]-Table11[[#This Row],[CASH OUT - DEBIT (VND)]]</f>
        <v>0</v>
      </c>
      <c r="L834" s="1095">
        <f t="shared" si="123"/>
        <v>5000000000</v>
      </c>
      <c r="M834" s="1135" t="e">
        <f>VLOOKUP(C834,'Cash balance (BS)'!A:D,4,)</f>
        <v>#N/A</v>
      </c>
      <c r="N834" s="1136" t="e">
        <f>Table11[[#This Row],[CLOSING BALANCE (VND)2]]-Table11[[#This Row],[CB_BS (VND)]]</f>
        <v>#N/A</v>
      </c>
      <c r="O834" s="1094"/>
      <c r="P834" s="1135">
        <f t="shared" si="124"/>
        <v>0</v>
      </c>
      <c r="Q834" s="1089">
        <f>SUMIFS('Cash balance (Prior period)'!G:G,'Cash balance (Prior period)'!C:C,Table11[[#This Row],[ACCOUNT NUMBER]],'Cash balance (Prior period)'!E:E,Table11[[#This Row],[CURRENCY]])</f>
        <v>0</v>
      </c>
      <c r="R834" s="1089">
        <f>SUMIFS(Movement!$F$4:$F$2136,Movement!$M$4:$M$2136,"USD",Movement!$C$4:$C$2136,Table11[[#This Row],[ACCOUNT NUMBER]],Movement!$J$4:$J$2136,Table11[[#This Row],[ENTITY]],Movement!$O$4:$O$2136,'Cash Balance'!$A$2)</f>
        <v>0</v>
      </c>
      <c r="S834" s="1089">
        <f>SUMIFS(Movement!$G$4:$G$2136,Movement!$M$4:$M$2136,"USD",Movement!$C$4:$C$2136,Table11[[#This Row],[ACCOUNT NUMBER]],Movement!$J$4:$J$2136,Table11[[#This Row],[ENTITY]],Movement!$O$4:$O$2136,'Cash Balance'!$A$2)</f>
        <v>0</v>
      </c>
      <c r="T834" s="1139">
        <f t="shared" si="128"/>
        <v>0</v>
      </c>
      <c r="U834" s="1090"/>
      <c r="V834" s="1091">
        <f>Table11[[#This Row],[CLOSING BALANCE (USD)]]-Table11[[#This Row],[CB_BS (USD)]]</f>
        <v>0</v>
      </c>
      <c r="W834" s="1186" t="str">
        <f>VLOOKUP('Cash Balance'!$C834,Table2[#All],MATCH('Cash Balance'!W$3,Acc_Char!$B$1:$I$1,0),0)</f>
        <v>Subsidiaries</v>
      </c>
      <c r="X834" s="1156" t="str">
        <f>VLOOKUP(IFERROR(MID($Y834,1,FIND("-",$Y834)-2),$Y834),Table3[#All],2,0)</f>
        <v>BIDV</v>
      </c>
      <c r="Y834" s="1156" t="str">
        <f>VLOOKUP($B834,Table4[#All],2,0)</f>
        <v>BIDV - NAM SAI GON</v>
      </c>
      <c r="Z834" s="1151"/>
    </row>
    <row r="835" spans="1:26">
      <c r="A835" s="1153" t="str">
        <f>VLOOKUP('Cash Balance'!$C835,Table2[#All],MATCH('Cash Balance'!A$3,Acc_Char!$B$1:$I$1,0),0)</f>
        <v>BW BAU BANG 01</v>
      </c>
      <c r="B835" s="1154" t="str">
        <f>VLOOKUP('Cash Balance'!$C835,Table2[#All],MATCH('Cash Balance'!B$3,Acc_Char!$B$1:$I$1,0),0)</f>
        <v>VIETINBANK - BINH DUONG</v>
      </c>
      <c r="C835" s="1204" t="s">
        <v>1445</v>
      </c>
      <c r="D835" s="1156" t="str">
        <f>VLOOKUP('Cash Balance'!$C835,Table2[#All],MATCH('Cash Balance'!D$3,Acc_Char!$B$1:$I$1,0),0)</f>
        <v>Saving Account</v>
      </c>
      <c r="E835" s="384" t="str">
        <f>VLOOKUP('Cash Balance'!$C835,Table2[#All],MATCH('Cash Balance'!E$3,Acc_Char!$B$1:$I$1,0),0)</f>
        <v>VND</v>
      </c>
      <c r="F835" s="1084" t="e">
        <f>VLOOKUP(C835,'Cash balance (BS)'!A:C,3,)</f>
        <v>#N/A</v>
      </c>
      <c r="G835" s="1191" t="e">
        <f t="shared" si="129"/>
        <v>#N/A</v>
      </c>
      <c r="H835" s="1324">
        <f>SUMIFS('Cash balance (Prior period)'!F:F,'Cash balance (Prior period)'!C:C,Table11[[#This Row],[ACCOUNT NUMBER]],'Cash balance (Prior period)'!E:E,Table11[[#This Row],[CURRENCY]])</f>
        <v>20000000000</v>
      </c>
      <c r="I835" s="1319">
        <f>SUMIFS(Movement!$F$4:$F$2136,Movement!$M$4:$M$2136,"VND",Movement!$C$4:$C$2136,Table11[[#This Row],[ACCOUNT NUMBER]],Movement!$J$4:$J$2136,Table11[[#This Row],[ENTITY]],Movement!$O$4:$O$2136,'Cash Balance'!$A$2)</f>
        <v>0</v>
      </c>
      <c r="J835" s="1319">
        <f>SUMIFS(Movement!$G$4:$G$2136,Movement!$M$4:$M$2136,"VND",Movement!$C$4:$C$2136,Table11[[#This Row],[ACCOUNT NUMBER]],Movement!$J$4:$J$2136,Table11[[#This Row],[ENTITY]],Movement!$O$4:$O$2136,'Cash Balance'!$A$2)</f>
        <v>0</v>
      </c>
      <c r="K835" s="1224">
        <f>Table11[[#This Row],[CASH IN - CREDIT (VND)]]-Table11[[#This Row],[CASH OUT - DEBIT (VND)]]</f>
        <v>0</v>
      </c>
      <c r="L835" s="1225">
        <f t="shared" ref="L835:L854" si="130">H835+I835-J835</f>
        <v>20000000000</v>
      </c>
      <c r="M835" s="1135" t="e">
        <f>VLOOKUP(C835,'Cash balance (BS)'!A:D,4,)</f>
        <v>#N/A</v>
      </c>
      <c r="N835" s="1136" t="e">
        <f>Table11[[#This Row],[CLOSING BALANCE (VND)2]]-Table11[[#This Row],[CB_BS (VND)]]</f>
        <v>#N/A</v>
      </c>
      <c r="O835" s="1094"/>
      <c r="P835" s="1135">
        <f t="shared" ref="P835:P854" si="131">O835-Q835</f>
        <v>0</v>
      </c>
      <c r="Q835" s="1226">
        <f>SUMIFS('Cash balance (Prior period)'!G:G,'Cash balance (Prior period)'!C:C,Table11[[#This Row],[ACCOUNT NUMBER]],'Cash balance (Prior period)'!E:E,Table11[[#This Row],[CURRENCY]])</f>
        <v>0</v>
      </c>
      <c r="R835" s="1226">
        <f>SUMIFS(Movement!$F$4:$F$2136,Movement!$M$4:$M$2136,"USD",Movement!$C$4:$C$2136,Table11[[#This Row],[ACCOUNT NUMBER]],Movement!$J$4:$J$2136,Table11[[#This Row],[ENTITY]],Movement!$O$4:$O$2136,'Cash Balance'!$A$2)</f>
        <v>0</v>
      </c>
      <c r="S835" s="1226">
        <f>SUMIFS(Movement!$G$4:$G$2136,Movement!$M$4:$M$2136,"USD",Movement!$C$4:$C$2136,Table11[[#This Row],[ACCOUNT NUMBER]],Movement!$J$4:$J$2136,Table11[[#This Row],[ENTITY]],Movement!$O$4:$O$2136,'Cash Balance'!$A$2)</f>
        <v>0</v>
      </c>
      <c r="T835" s="1227">
        <f t="shared" ref="T835:T854" si="132">Q835+R835-S835</f>
        <v>0</v>
      </c>
      <c r="U835" s="1090"/>
      <c r="V835" s="1091">
        <f>Table11[[#This Row],[CLOSING BALANCE (USD)]]-Table11[[#This Row],[CB_BS (USD)]]</f>
        <v>0</v>
      </c>
      <c r="W835" s="1186" t="str">
        <f>VLOOKUP('Cash Balance'!$C835,Table2[#All],MATCH('Cash Balance'!W$3,Acc_Char!$B$1:$I$1,0),0)</f>
        <v>Subsidiaries</v>
      </c>
      <c r="X835" s="1156" t="str">
        <f>VLOOKUP(IFERROR(MID($Y835,1,FIND("-",$Y835)-2),$Y835),Table3[#All],2,0)</f>
        <v>VTB</v>
      </c>
      <c r="Y835" s="1156" t="str">
        <f>VLOOKUP($B835,Table4[#All],2,0)</f>
        <v>VIETINBANK - BINH DUONG + QM</v>
      </c>
      <c r="Z835" s="1151"/>
    </row>
    <row r="836" spans="1:26">
      <c r="A836" s="1153" t="str">
        <f>VLOOKUP('Cash Balance'!$C836,Table2[#All],MATCH('Cash Balance'!A$3,Acc_Char!$B$1:$I$1,0),0)</f>
        <v>HOLDCO4N</v>
      </c>
      <c r="B836" s="1154" t="str">
        <f>VLOOKUP('Cash Balance'!$C836,Table2[#All],MATCH('Cash Balance'!B$3,Acc_Char!$B$1:$I$1,0),0)</f>
        <v>BIDV - BEN NGHE</v>
      </c>
      <c r="C836" s="1205" t="s">
        <v>1446</v>
      </c>
      <c r="D836" s="1156" t="str">
        <f>VLOOKUP('Cash Balance'!$C836,Table2[#All],MATCH('Cash Balance'!D$3,Acc_Char!$B$1:$I$1,0),0)</f>
        <v>Saving Account</v>
      </c>
      <c r="E836" s="384" t="str">
        <f>VLOOKUP('Cash Balance'!$C836,Table2[#All],MATCH('Cash Balance'!E$3,Acc_Char!$B$1:$I$1,0),0)</f>
        <v>VND</v>
      </c>
      <c r="F836" s="1084" t="e">
        <f>VLOOKUP(C836,'Cash balance (BS)'!A:C,3,)</f>
        <v>#N/A</v>
      </c>
      <c r="G836" s="1191" t="e">
        <f t="shared" si="129"/>
        <v>#N/A</v>
      </c>
      <c r="H836" s="1324">
        <f>SUMIFS('Cash balance (Prior period)'!F:F,'Cash balance (Prior period)'!C:C,Table11[[#This Row],[ACCOUNT NUMBER]],'Cash balance (Prior period)'!E:E,Table11[[#This Row],[CURRENCY]])</f>
        <v>900000000</v>
      </c>
      <c r="I836" s="1319">
        <f>SUMIFS(Movement!$F$4:$F$2136,Movement!$M$4:$M$2136,"VND",Movement!$C$4:$C$2136,Table11[[#This Row],[ACCOUNT NUMBER]],Movement!$J$4:$J$2136,Table11[[#This Row],[ENTITY]],Movement!$O$4:$O$2136,'Cash Balance'!$A$2)</f>
        <v>0</v>
      </c>
      <c r="J836" s="1319">
        <f>SUMIFS(Movement!$G$4:$G$2136,Movement!$M$4:$M$2136,"VND",Movement!$C$4:$C$2136,Table11[[#This Row],[ACCOUNT NUMBER]],Movement!$J$4:$J$2136,Table11[[#This Row],[ENTITY]],Movement!$O$4:$O$2136,'Cash Balance'!$A$2)</f>
        <v>0</v>
      </c>
      <c r="K836" s="1224">
        <f>Table11[[#This Row],[CASH IN - CREDIT (VND)]]-Table11[[#This Row],[CASH OUT - DEBIT (VND)]]</f>
        <v>0</v>
      </c>
      <c r="L836" s="1225">
        <f t="shared" si="130"/>
        <v>900000000</v>
      </c>
      <c r="M836" s="1135" t="e">
        <f>VLOOKUP(C836,'Cash balance (BS)'!A:D,4,)</f>
        <v>#N/A</v>
      </c>
      <c r="N836" s="1136" t="e">
        <f>Table11[[#This Row],[CLOSING BALANCE (VND)2]]-Table11[[#This Row],[CB_BS (VND)]]</f>
        <v>#N/A</v>
      </c>
      <c r="O836" s="1094"/>
      <c r="P836" s="1135">
        <f t="shared" si="131"/>
        <v>0</v>
      </c>
      <c r="Q836" s="1226">
        <f>SUMIFS('Cash balance (Prior period)'!G:G,'Cash balance (Prior period)'!C:C,Table11[[#This Row],[ACCOUNT NUMBER]],'Cash balance (Prior period)'!E:E,Table11[[#This Row],[CURRENCY]])</f>
        <v>0</v>
      </c>
      <c r="R836" s="1226">
        <f>SUMIFS(Movement!$F$4:$F$2136,Movement!$M$4:$M$2136,"USD",Movement!$C$4:$C$2136,Table11[[#This Row],[ACCOUNT NUMBER]],Movement!$J$4:$J$2136,Table11[[#This Row],[ENTITY]],Movement!$O$4:$O$2136,'Cash Balance'!$A$2)</f>
        <v>0</v>
      </c>
      <c r="S836" s="1226">
        <f>SUMIFS(Movement!$G$4:$G$2136,Movement!$M$4:$M$2136,"USD",Movement!$C$4:$C$2136,Table11[[#This Row],[ACCOUNT NUMBER]],Movement!$J$4:$J$2136,Table11[[#This Row],[ENTITY]],Movement!$O$4:$O$2136,'Cash Balance'!$A$2)</f>
        <v>0</v>
      </c>
      <c r="T836" s="1227">
        <f t="shared" si="132"/>
        <v>0</v>
      </c>
      <c r="U836" s="1090"/>
      <c r="V836" s="1091">
        <f>Table11[[#This Row],[CLOSING BALANCE (USD)]]-Table11[[#This Row],[CB_BS (USD)]]</f>
        <v>0</v>
      </c>
      <c r="W836" s="1186" t="str">
        <f>VLOOKUP('Cash Balance'!$C836,Table2[#All],MATCH('Cash Balance'!W$3,Acc_Char!$B$1:$I$1,0),0)</f>
        <v>Subsidiaries</v>
      </c>
      <c r="X836" s="1156" t="str">
        <f>VLOOKUP(IFERROR(MID($Y836,1,FIND("-",$Y836)-2),$Y836),Table3[#All],2,0)</f>
        <v>Others</v>
      </c>
      <c r="Y836" s="1156" t="str">
        <f>VLOOKUP($B836,Table4[#All],2,0)</f>
        <v>OTHERS</v>
      </c>
      <c r="Z836" s="1151"/>
    </row>
    <row r="837" spans="1:26">
      <c r="A837" s="1153" t="str">
        <f>VLOOKUP('Cash Balance'!$C837,Table2[#All],MATCH('Cash Balance'!A$3,Acc_Char!$B$1:$I$1,0),0)</f>
        <v>HOLDCO4O</v>
      </c>
      <c r="B837" s="1154" t="str">
        <f>VLOOKUP('Cash Balance'!$C837,Table2[#All],MATCH('Cash Balance'!B$3,Acc_Char!$B$1:$I$1,0),0)</f>
        <v>BIDV - BEN NGHE</v>
      </c>
      <c r="C837" s="1205" t="s">
        <v>1447</v>
      </c>
      <c r="D837" s="1156" t="str">
        <f>VLOOKUP('Cash Balance'!$C837,Table2[#All],MATCH('Cash Balance'!D$3,Acc_Char!$B$1:$I$1,0),0)</f>
        <v>Saving Account</v>
      </c>
      <c r="E837" s="384" t="str">
        <f>VLOOKUP('Cash Balance'!$C837,Table2[#All],MATCH('Cash Balance'!E$3,Acc_Char!$B$1:$I$1,0),0)</f>
        <v>VND</v>
      </c>
      <c r="F837" s="1224" t="e">
        <f>VLOOKUP(C837,'Cash balance (BS)'!A:C,3,)</f>
        <v>#N/A</v>
      </c>
      <c r="G837" s="1191" t="e">
        <f t="shared" si="129"/>
        <v>#N/A</v>
      </c>
      <c r="H837" s="1324">
        <f>SUMIFS('Cash balance (Prior period)'!F:F,'Cash balance (Prior period)'!C:C,Table11[[#This Row],[ACCOUNT NUMBER]],'Cash balance (Prior period)'!E:E,Table11[[#This Row],[CURRENCY]])</f>
        <v>900000000</v>
      </c>
      <c r="I837" s="1319">
        <f>SUMIFS(Movement!$F$4:$F$2136,Movement!$M$4:$M$2136,"VND",Movement!$C$4:$C$2136,Table11[[#This Row],[ACCOUNT NUMBER]],Movement!$J$4:$J$2136,Table11[[#This Row],[ENTITY]],Movement!$O$4:$O$2136,'Cash Balance'!$A$2)</f>
        <v>0</v>
      </c>
      <c r="J837" s="1319">
        <f>SUMIFS(Movement!$G$4:$G$2136,Movement!$M$4:$M$2136,"VND",Movement!$C$4:$C$2136,Table11[[#This Row],[ACCOUNT NUMBER]],Movement!$J$4:$J$2136,Table11[[#This Row],[ENTITY]],Movement!$O$4:$O$2136,'Cash Balance'!$A$2)</f>
        <v>0</v>
      </c>
      <c r="K837" s="1224">
        <f>Table11[[#This Row],[CASH IN - CREDIT (VND)]]-Table11[[#This Row],[CASH OUT - DEBIT (VND)]]</f>
        <v>0</v>
      </c>
      <c r="L837" s="1225">
        <f t="shared" si="130"/>
        <v>900000000</v>
      </c>
      <c r="M837" s="1228" t="e">
        <f>VLOOKUP(C837,'Cash balance (BS)'!A:D,4,)</f>
        <v>#N/A</v>
      </c>
      <c r="N837" s="1229" t="e">
        <f>Table11[[#This Row],[CLOSING BALANCE (VND)2]]-Table11[[#This Row],[CB_BS (VND)]]</f>
        <v>#N/A</v>
      </c>
      <c r="O837" s="1230"/>
      <c r="P837" s="1228">
        <f t="shared" si="131"/>
        <v>0</v>
      </c>
      <c r="Q837" s="1226">
        <f>SUMIFS('Cash balance (Prior period)'!G:G,'Cash balance (Prior period)'!C:C,Table11[[#This Row],[ACCOUNT NUMBER]],'Cash balance (Prior period)'!E:E,Table11[[#This Row],[CURRENCY]])</f>
        <v>0</v>
      </c>
      <c r="R837" s="1226">
        <f>SUMIFS(Movement!$F$4:$F$2136,Movement!$M$4:$M$2136,"USD",Movement!$C$4:$C$2136,Table11[[#This Row],[ACCOUNT NUMBER]],Movement!$J$4:$J$2136,Table11[[#This Row],[ENTITY]],Movement!$O$4:$O$2136,'Cash Balance'!$A$2)</f>
        <v>0</v>
      </c>
      <c r="S837" s="1226">
        <f>SUMIFS(Movement!$G$4:$G$2136,Movement!$M$4:$M$2136,"USD",Movement!$C$4:$C$2136,Table11[[#This Row],[ACCOUNT NUMBER]],Movement!$J$4:$J$2136,Table11[[#This Row],[ENTITY]],Movement!$O$4:$O$2136,'Cash Balance'!$A$2)</f>
        <v>0</v>
      </c>
      <c r="T837" s="1227">
        <f t="shared" si="132"/>
        <v>0</v>
      </c>
      <c r="U837" s="1231"/>
      <c r="V837" s="1232">
        <f>Table11[[#This Row],[CLOSING BALANCE (USD)]]-Table11[[#This Row],[CB_BS (USD)]]</f>
        <v>0</v>
      </c>
      <c r="W837" s="1186" t="str">
        <f>VLOOKUP('Cash Balance'!$C837,Table2[#All],MATCH('Cash Balance'!W$3,Acc_Char!$B$1:$I$1,0),0)</f>
        <v>Subsidiaries</v>
      </c>
      <c r="X837" s="1156" t="str">
        <f>VLOOKUP(IFERROR(MID($Y837,1,FIND("-",$Y837)-2),$Y837),Table3[#All],2,0)</f>
        <v>Others</v>
      </c>
      <c r="Y837" s="1156" t="str">
        <f>VLOOKUP($B837,Table4[#All],2,0)</f>
        <v>OTHERS</v>
      </c>
      <c r="Z837" s="1151"/>
    </row>
    <row r="838" spans="1:26">
      <c r="A838" s="1153" t="str">
        <f>VLOOKUP('Cash Balance'!$C838,Table2[#All],MATCH('Cash Balance'!A$3,Acc_Char!$B$1:$I$1,0),0)</f>
        <v>HOLDCO4P</v>
      </c>
      <c r="B838" s="1154" t="str">
        <f>VLOOKUP('Cash Balance'!$C838,Table2[#All],MATCH('Cash Balance'!B$3,Acc_Char!$B$1:$I$1,0),0)</f>
        <v>BIDV - BEN NGHE</v>
      </c>
      <c r="C838" s="1205" t="s">
        <v>1448</v>
      </c>
      <c r="D838" s="1156" t="str">
        <f>VLOOKUP('Cash Balance'!$C838,Table2[#All],MATCH('Cash Balance'!D$3,Acc_Char!$B$1:$I$1,0),0)</f>
        <v>Saving Account</v>
      </c>
      <c r="E838" s="384" t="str">
        <f>VLOOKUP('Cash Balance'!$C838,Table2[#All],MATCH('Cash Balance'!E$3,Acc_Char!$B$1:$I$1,0),0)</f>
        <v>VND</v>
      </c>
      <c r="F838" s="1224" t="e">
        <f>VLOOKUP(C838,'Cash balance (BS)'!A:C,3,)</f>
        <v>#N/A</v>
      </c>
      <c r="G838" s="1191" t="e">
        <f t="shared" si="129"/>
        <v>#N/A</v>
      </c>
      <c r="H838" s="1324">
        <f>SUMIFS('Cash balance (Prior period)'!F:F,'Cash balance (Prior period)'!C:C,Table11[[#This Row],[ACCOUNT NUMBER]],'Cash balance (Prior period)'!E:E,Table11[[#This Row],[CURRENCY]])</f>
        <v>900000000</v>
      </c>
      <c r="I838" s="1319">
        <f>SUMIFS(Movement!$F$4:$F$2136,Movement!$M$4:$M$2136,"VND",Movement!$C$4:$C$2136,Table11[[#This Row],[ACCOUNT NUMBER]],Movement!$J$4:$J$2136,Table11[[#This Row],[ENTITY]],Movement!$O$4:$O$2136,'Cash Balance'!$A$2)</f>
        <v>0</v>
      </c>
      <c r="J838" s="1319">
        <f>SUMIFS(Movement!$G$4:$G$2136,Movement!$M$4:$M$2136,"VND",Movement!$C$4:$C$2136,Table11[[#This Row],[ACCOUNT NUMBER]],Movement!$J$4:$J$2136,Table11[[#This Row],[ENTITY]],Movement!$O$4:$O$2136,'Cash Balance'!$A$2)</f>
        <v>0</v>
      </c>
      <c r="K838" s="1224">
        <f>Table11[[#This Row],[CASH IN - CREDIT (VND)]]-Table11[[#This Row],[CASH OUT - DEBIT (VND)]]</f>
        <v>0</v>
      </c>
      <c r="L838" s="1225">
        <f t="shared" si="130"/>
        <v>900000000</v>
      </c>
      <c r="M838" s="1228" t="e">
        <f>VLOOKUP(C838,'Cash balance (BS)'!A:D,4,)</f>
        <v>#N/A</v>
      </c>
      <c r="N838" s="1229" t="e">
        <f>Table11[[#This Row],[CLOSING BALANCE (VND)2]]-Table11[[#This Row],[CB_BS (VND)]]</f>
        <v>#N/A</v>
      </c>
      <c r="O838" s="1230"/>
      <c r="P838" s="1228">
        <f t="shared" si="131"/>
        <v>0</v>
      </c>
      <c r="Q838" s="1226">
        <f>SUMIFS('Cash balance (Prior period)'!G:G,'Cash balance (Prior period)'!C:C,Table11[[#This Row],[ACCOUNT NUMBER]],'Cash balance (Prior period)'!E:E,Table11[[#This Row],[CURRENCY]])</f>
        <v>0</v>
      </c>
      <c r="R838" s="1226">
        <f>SUMIFS(Movement!$F$4:$F$2136,Movement!$M$4:$M$2136,"USD",Movement!$C$4:$C$2136,Table11[[#This Row],[ACCOUNT NUMBER]],Movement!$J$4:$J$2136,Table11[[#This Row],[ENTITY]],Movement!$O$4:$O$2136,'Cash Balance'!$A$2)</f>
        <v>0</v>
      </c>
      <c r="S838" s="1226">
        <f>SUMIFS(Movement!$G$4:$G$2136,Movement!$M$4:$M$2136,"USD",Movement!$C$4:$C$2136,Table11[[#This Row],[ACCOUNT NUMBER]],Movement!$J$4:$J$2136,Table11[[#This Row],[ENTITY]],Movement!$O$4:$O$2136,'Cash Balance'!$A$2)</f>
        <v>0</v>
      </c>
      <c r="T838" s="1227">
        <f t="shared" si="132"/>
        <v>0</v>
      </c>
      <c r="U838" s="1231"/>
      <c r="V838" s="1232">
        <f>Table11[[#This Row],[CLOSING BALANCE (USD)]]-Table11[[#This Row],[CB_BS (USD)]]</f>
        <v>0</v>
      </c>
      <c r="W838" s="1186" t="str">
        <f>VLOOKUP('Cash Balance'!$C838,Table2[#All],MATCH('Cash Balance'!W$3,Acc_Char!$B$1:$I$1,0),0)</f>
        <v>Subsidiaries</v>
      </c>
      <c r="X838" s="1156" t="str">
        <f>VLOOKUP(IFERROR(MID($Y838,1,FIND("-",$Y838)-2),$Y838),Table3[#All],2,0)</f>
        <v>Others</v>
      </c>
      <c r="Y838" s="1156" t="str">
        <f>VLOOKUP($B838,Table4[#All],2,0)</f>
        <v>OTHERS</v>
      </c>
      <c r="Z838" s="1151"/>
    </row>
    <row r="839" spans="1:26">
      <c r="A839" s="1153" t="str">
        <f>VLOOKUP('Cash Balance'!$C839,Table2[#All],MATCH('Cash Balance'!A$3,Acc_Char!$B$1:$I$1,0),0)</f>
        <v>BW BAU BANG 01</v>
      </c>
      <c r="B839" s="1154" t="str">
        <f>VLOOKUP('Cash Balance'!$C839,Table2[#All],MATCH('Cash Balance'!B$3,Acc_Char!$B$1:$I$1,0),0)</f>
        <v>VIETINBANK - BINH DUONG</v>
      </c>
      <c r="C839" s="1205" t="s">
        <v>1449</v>
      </c>
      <c r="D839" s="1156" t="str">
        <f>VLOOKUP('Cash Balance'!$C839,Table2[#All],MATCH('Cash Balance'!D$3,Acc_Char!$B$1:$I$1,0),0)</f>
        <v>Saving Account</v>
      </c>
      <c r="E839" s="384" t="str">
        <f>VLOOKUP('Cash Balance'!$C839,Table2[#All],MATCH('Cash Balance'!E$3,Acc_Char!$B$1:$I$1,0),0)</f>
        <v>VND</v>
      </c>
      <c r="F839" s="1224" t="e">
        <f>VLOOKUP(C839,'Cash balance (BS)'!A:C,3,)</f>
        <v>#N/A</v>
      </c>
      <c r="G839" s="1191" t="e">
        <f t="shared" si="129"/>
        <v>#N/A</v>
      </c>
      <c r="H839" s="1324">
        <f>SUMIFS('Cash balance (Prior period)'!F:F,'Cash balance (Prior period)'!C:C,Table11[[#This Row],[ACCOUNT NUMBER]],'Cash balance (Prior period)'!E:E,Table11[[#This Row],[CURRENCY]])</f>
        <v>15000000000</v>
      </c>
      <c r="I839" s="1319">
        <f>SUMIFS(Movement!$F$4:$F$2136,Movement!$M$4:$M$2136,"VND",Movement!$C$4:$C$2136,Table11[[#This Row],[ACCOUNT NUMBER]],Movement!$J$4:$J$2136,Table11[[#This Row],[ENTITY]],Movement!$O$4:$O$2136,'Cash Balance'!$A$2)</f>
        <v>0</v>
      </c>
      <c r="J839" s="1319">
        <f>SUMIFS(Movement!$G$4:$G$2136,Movement!$M$4:$M$2136,"VND",Movement!$C$4:$C$2136,Table11[[#This Row],[ACCOUNT NUMBER]],Movement!$J$4:$J$2136,Table11[[#This Row],[ENTITY]],Movement!$O$4:$O$2136,'Cash Balance'!$A$2)</f>
        <v>0</v>
      </c>
      <c r="K839" s="1224">
        <f>Table11[[#This Row],[CASH IN - CREDIT (VND)]]-Table11[[#This Row],[CASH OUT - DEBIT (VND)]]</f>
        <v>0</v>
      </c>
      <c r="L839" s="1225">
        <f t="shared" si="130"/>
        <v>15000000000</v>
      </c>
      <c r="M839" s="1228" t="e">
        <f>VLOOKUP(C839,'Cash balance (BS)'!A:D,4,)</f>
        <v>#N/A</v>
      </c>
      <c r="N839" s="1229" t="e">
        <f>Table11[[#This Row],[CLOSING BALANCE (VND)2]]-Table11[[#This Row],[CB_BS (VND)]]</f>
        <v>#N/A</v>
      </c>
      <c r="O839" s="1230"/>
      <c r="P839" s="1228">
        <f t="shared" si="131"/>
        <v>0</v>
      </c>
      <c r="Q839" s="1226">
        <f>SUMIFS('Cash balance (Prior period)'!G:G,'Cash balance (Prior period)'!C:C,Table11[[#This Row],[ACCOUNT NUMBER]],'Cash balance (Prior period)'!E:E,Table11[[#This Row],[CURRENCY]])</f>
        <v>0</v>
      </c>
      <c r="R839" s="1226">
        <f>SUMIFS(Movement!$F$4:$F$2136,Movement!$M$4:$M$2136,"USD",Movement!$C$4:$C$2136,Table11[[#This Row],[ACCOUNT NUMBER]],Movement!$J$4:$J$2136,Table11[[#This Row],[ENTITY]],Movement!$O$4:$O$2136,'Cash Balance'!$A$2)</f>
        <v>0</v>
      </c>
      <c r="S839" s="1226">
        <f>SUMIFS(Movement!$G$4:$G$2136,Movement!$M$4:$M$2136,"USD",Movement!$C$4:$C$2136,Table11[[#This Row],[ACCOUNT NUMBER]],Movement!$J$4:$J$2136,Table11[[#This Row],[ENTITY]],Movement!$O$4:$O$2136,'Cash Balance'!$A$2)</f>
        <v>0</v>
      </c>
      <c r="T839" s="1227">
        <f t="shared" si="132"/>
        <v>0</v>
      </c>
      <c r="U839" s="1231"/>
      <c r="V839" s="1232">
        <f>Table11[[#This Row],[CLOSING BALANCE (USD)]]-Table11[[#This Row],[CB_BS (USD)]]</f>
        <v>0</v>
      </c>
      <c r="W839" s="1186" t="str">
        <f>VLOOKUP('Cash Balance'!$C839,Table2[#All],MATCH('Cash Balance'!W$3,Acc_Char!$B$1:$I$1,0),0)</f>
        <v>Subsidiaries</v>
      </c>
      <c r="X839" s="1156" t="str">
        <f>VLOOKUP(IFERROR(MID($Y839,1,FIND("-",$Y839)-2),$Y839),Table3[#All],2,0)</f>
        <v>VTB</v>
      </c>
      <c r="Y839" s="1156" t="str">
        <f>VLOOKUP($B839,Table4[#All],2,0)</f>
        <v>VIETINBANK - BINH DUONG + QM</v>
      </c>
      <c r="Z839" s="1151"/>
    </row>
    <row r="840" spans="1:26">
      <c r="A840" s="1153" t="str">
        <f>VLOOKUP('Cash Balance'!$C840,Table2[#All],MATCH('Cash Balance'!A$3,Acc_Char!$B$1:$I$1,0),0)</f>
        <v>BWID LOGISTICS TAN UYEN</v>
      </c>
      <c r="B840" s="1154" t="str">
        <f>VLOOKUP('Cash Balance'!$C840,Table2[#All],MATCH('Cash Balance'!B$3,Acc_Char!$B$1:$I$1,0),0)</f>
        <v>VIETCOMBANK - BA DINH</v>
      </c>
      <c r="C840" s="1205" t="s">
        <v>1450</v>
      </c>
      <c r="D840" s="1156" t="str">
        <f>VLOOKUP('Cash Balance'!$C840,Table2[#All],MATCH('Cash Balance'!D$3,Acc_Char!$B$1:$I$1,0),0)</f>
        <v>Saving Account</v>
      </c>
      <c r="E840" s="1201" t="str">
        <f>VLOOKUP('Cash Balance'!$C840,Table2[#All],MATCH('Cash Balance'!E$3,Acc_Char!$B$1:$I$1,0),0)</f>
        <v>VND</v>
      </c>
      <c r="F840" s="1084" t="e">
        <f>VLOOKUP(C840,'Cash balance (BS)'!A:C,3,)</f>
        <v>#N/A</v>
      </c>
      <c r="G840" s="1191" t="e">
        <f t="shared" si="129"/>
        <v>#N/A</v>
      </c>
      <c r="H840" s="1321">
        <f>SUMIFS('Cash balance (Prior period)'!F:F,'Cash balance (Prior period)'!C:C,Table11[[#This Row],[ACCOUNT NUMBER]],'Cash balance (Prior period)'!E:E,Table11[[#This Row],[CURRENCY]])</f>
        <v>6000000000</v>
      </c>
      <c r="I840" s="1322">
        <f>SUMIFS(Movement!$F$4:$F$2136,Movement!$M$4:$M$2136,"VND",Movement!$C$4:$C$2136,Table11[[#This Row],[ACCOUNT NUMBER]],Movement!$J$4:$J$2136,Table11[[#This Row],[ENTITY]],Movement!$O$4:$O$2136,'Cash Balance'!$A$2)</f>
        <v>0</v>
      </c>
      <c r="J840" s="1323">
        <f>SUMIFS(Movement!$G$4:$G$2136,Movement!$M$4:$M$2136,"VND",Movement!$C$4:$C$2136,Table11[[#This Row],[ACCOUNT NUMBER]],Movement!$J$4:$J$2136,Table11[[#This Row],[ENTITY]],Movement!$O$4:$O$2136,'Cash Balance'!$A$2)</f>
        <v>0</v>
      </c>
      <c r="K840" s="1258">
        <f>Table11[[#This Row],[CASH IN - CREDIT (VND)]]-Table11[[#This Row],[CASH OUT - DEBIT (VND)]]</f>
        <v>0</v>
      </c>
      <c r="L840" s="1134">
        <f t="shared" si="130"/>
        <v>6000000000</v>
      </c>
      <c r="M840" s="1135" t="e">
        <f>VLOOKUP(C840,'Cash balance (BS)'!A:D,4,)</f>
        <v>#N/A</v>
      </c>
      <c r="N840" s="1136" t="e">
        <f>Table11[[#This Row],[CLOSING BALANCE (VND)2]]-Table11[[#This Row],[CB_BS (VND)]]</f>
        <v>#N/A</v>
      </c>
      <c r="O840" s="1094"/>
      <c r="P840" s="1135">
        <f t="shared" si="131"/>
        <v>0</v>
      </c>
      <c r="Q840" s="1137">
        <f>SUMIFS('Cash balance (Prior period)'!G:G,'Cash balance (Prior period)'!C:C,Table11[[#This Row],[ACCOUNT NUMBER]],'Cash balance (Prior period)'!E:E,Table11[[#This Row],[CURRENCY]])</f>
        <v>0</v>
      </c>
      <c r="R840" s="1138">
        <f>SUMIFS(Movement!$F$4:$F$2136,Movement!$M$4:$M$2136,"USD",Movement!$C$4:$C$2136,Table11[[#This Row],[ACCOUNT NUMBER]],Movement!$J$4:$J$2136,Table11[[#This Row],[ENTITY]],Movement!$O$4:$O$2136,'Cash Balance'!$A$2)</f>
        <v>0</v>
      </c>
      <c r="S840" s="1137">
        <f>SUMIFS(Movement!$G$4:$G$2136,Movement!$M$4:$M$2136,"USD",Movement!$C$4:$C$2136,Table11[[#This Row],[ACCOUNT NUMBER]],Movement!$J$4:$J$2136,Table11[[#This Row],[ENTITY]],Movement!$O$4:$O$2136,'Cash Balance'!$A$2)</f>
        <v>0</v>
      </c>
      <c r="T840" s="1139">
        <f t="shared" si="132"/>
        <v>0</v>
      </c>
      <c r="U840" s="1090"/>
      <c r="V840" s="1091">
        <f>Table11[[#This Row],[CLOSING BALANCE (USD)]]-Table11[[#This Row],[CB_BS (USD)]]</f>
        <v>0</v>
      </c>
      <c r="W840" s="1186" t="str">
        <f>VLOOKUP('Cash Balance'!$C840,Table2[#All],MATCH('Cash Balance'!W$3,Acc_Char!$B$1:$I$1,0),0)</f>
        <v>Subsidiaries</v>
      </c>
      <c r="X840" s="1156" t="str">
        <f>VLOOKUP(IFERROR(MID($Y840,1,FIND("-",$Y840)-2),$Y840),Table3[#All],2,0)</f>
        <v>VCB</v>
      </c>
      <c r="Y840" s="1156" t="str">
        <f>VLOOKUP($B840,Table4[#All],2,0)</f>
        <v>VIETCOMBANK - BA DINH</v>
      </c>
      <c r="Z840" s="1151"/>
    </row>
    <row r="841" spans="1:26">
      <c r="A841" s="1153" t="str">
        <f>VLOOKUP('Cash Balance'!$C841,Table2[#All],MATCH('Cash Balance'!A$3,Acc_Char!$B$1:$I$1,0),0)</f>
        <v>WPJV 2A</v>
      </c>
      <c r="B841" s="1154" t="str">
        <f>VLOOKUP('Cash Balance'!$C841,Table2[#All],MATCH('Cash Balance'!B$3,Acc_Char!$B$1:$I$1,0),0)</f>
        <v>VIETINBANK - TPHCM</v>
      </c>
      <c r="C841" s="1205" t="s">
        <v>1451</v>
      </c>
      <c r="D841" s="1156" t="str">
        <f>VLOOKUP('Cash Balance'!$C841,Table2[#All],MATCH('Cash Balance'!D$3,Acc_Char!$B$1:$I$1,0),0)</f>
        <v>Saving Account</v>
      </c>
      <c r="E841" s="384" t="str">
        <f>VLOOKUP('Cash Balance'!$C841,Table2[#All],MATCH('Cash Balance'!E$3,Acc_Char!$B$1:$I$1,0),0)</f>
        <v>VND</v>
      </c>
      <c r="F841" s="1224" t="e">
        <f>VLOOKUP(C841,'Cash balance (BS)'!A:C,3,)</f>
        <v>#N/A</v>
      </c>
      <c r="G841" s="1191" t="e">
        <f t="shared" si="129"/>
        <v>#N/A</v>
      </c>
      <c r="H841" s="1324">
        <f>SUMIFS('Cash balance (Prior period)'!F:F,'Cash balance (Prior period)'!C:C,Table11[[#This Row],[ACCOUNT NUMBER]],'Cash balance (Prior period)'!E:E,Table11[[#This Row],[CURRENCY]])</f>
        <v>450000000</v>
      </c>
      <c r="I841" s="1319">
        <f>SUMIFS(Movement!$F$4:$F$2136,Movement!$M$4:$M$2136,"VND",Movement!$C$4:$C$2136,Table11[[#This Row],[ACCOUNT NUMBER]],Movement!$J$4:$J$2136,Table11[[#This Row],[ENTITY]],Movement!$O$4:$O$2136,'Cash Balance'!$A$2)</f>
        <v>0</v>
      </c>
      <c r="J841" s="1319">
        <f>SUMIFS(Movement!$G$4:$G$2136,Movement!$M$4:$M$2136,"VND",Movement!$C$4:$C$2136,Table11[[#This Row],[ACCOUNT NUMBER]],Movement!$J$4:$J$2136,Table11[[#This Row],[ENTITY]],Movement!$O$4:$O$2136,'Cash Balance'!$A$2)</f>
        <v>0</v>
      </c>
      <c r="K841" s="1224">
        <f>Table11[[#This Row],[CASH IN - CREDIT (VND)]]-Table11[[#This Row],[CASH OUT - DEBIT (VND)]]</f>
        <v>0</v>
      </c>
      <c r="L841" s="1225">
        <f t="shared" si="130"/>
        <v>450000000</v>
      </c>
      <c r="M841" s="1228" t="e">
        <f>VLOOKUP(C841,'Cash balance (BS)'!A:D,4,)</f>
        <v>#N/A</v>
      </c>
      <c r="N841" s="1229" t="e">
        <f>Table11[[#This Row],[CLOSING BALANCE (VND)2]]-Table11[[#This Row],[CB_BS (VND)]]</f>
        <v>#N/A</v>
      </c>
      <c r="O841" s="1230"/>
      <c r="P841" s="1228">
        <f t="shared" si="131"/>
        <v>0</v>
      </c>
      <c r="Q841" s="1226">
        <f>SUMIFS('Cash balance (Prior period)'!G:G,'Cash balance (Prior period)'!C:C,Table11[[#This Row],[ACCOUNT NUMBER]],'Cash balance (Prior period)'!E:E,Table11[[#This Row],[CURRENCY]])</f>
        <v>0</v>
      </c>
      <c r="R841" s="1226">
        <f>SUMIFS(Movement!$F$4:$F$2136,Movement!$M$4:$M$2136,"USD",Movement!$C$4:$C$2136,Table11[[#This Row],[ACCOUNT NUMBER]],Movement!$J$4:$J$2136,Table11[[#This Row],[ENTITY]],Movement!$O$4:$O$2136,'Cash Balance'!$A$2)</f>
        <v>0</v>
      </c>
      <c r="S841" s="1226">
        <f>SUMIFS(Movement!$G$4:$G$2136,Movement!$M$4:$M$2136,"USD",Movement!$C$4:$C$2136,Table11[[#This Row],[ACCOUNT NUMBER]],Movement!$J$4:$J$2136,Table11[[#This Row],[ENTITY]],Movement!$O$4:$O$2136,'Cash Balance'!$A$2)</f>
        <v>0</v>
      </c>
      <c r="T841" s="1227">
        <f t="shared" si="132"/>
        <v>0</v>
      </c>
      <c r="U841" s="1231"/>
      <c r="V841" s="1232">
        <f>Table11[[#This Row],[CLOSING BALANCE (USD)]]-Table11[[#This Row],[CB_BS (USD)]]</f>
        <v>0</v>
      </c>
      <c r="W841" s="1186" t="str">
        <f>VLOOKUP('Cash Balance'!$C841,Table2[#All],MATCH('Cash Balance'!W$3,Acc_Char!$B$1:$I$1,0),0)</f>
        <v>Subsidiaries</v>
      </c>
      <c r="X841" s="1156" t="str">
        <f>VLOOKUP(IFERROR(MID($Y841,1,FIND("-",$Y841)-2),$Y841),Table3[#All],2,0)</f>
        <v>VTB</v>
      </c>
      <c r="Y841" s="1156" t="str">
        <f>VLOOKUP($B841,Table4[#All],2,0)</f>
        <v>VIETINBANK - TPHCM</v>
      </c>
      <c r="Z841" s="1151"/>
    </row>
    <row r="842" spans="1:26">
      <c r="A842" s="1153" t="str">
        <f>VLOOKUP('Cash Balance'!$C842,Table2[#All],MATCH('Cash Balance'!A$3,Acc_Char!$B$1:$I$1,0),0)</f>
        <v>BWID TAN DONG HIEP</v>
      </c>
      <c r="B842" s="1154" t="str">
        <f>VLOOKUP('Cash Balance'!$C842,Table2[#All],MATCH('Cash Balance'!B$3,Acc_Char!$B$1:$I$1,0),0)</f>
        <v>SINOPAC</v>
      </c>
      <c r="C842" s="1205" t="s">
        <v>1452</v>
      </c>
      <c r="D842" s="1156" t="str">
        <f>VLOOKUP('Cash Balance'!$C842,Table2[#All],MATCH('Cash Balance'!D$3,Acc_Char!$B$1:$I$1,0),0)</f>
        <v>Saving Account</v>
      </c>
      <c r="E842" s="1201" t="str">
        <f>VLOOKUP('Cash Balance'!$C842,Table2[#All],MATCH('Cash Balance'!E$3,Acc_Char!$B$1:$I$1,0),0)</f>
        <v>VND</v>
      </c>
      <c r="F842" s="1084" t="e">
        <f>VLOOKUP(C842,'Cash balance (BS)'!A:C,3,)</f>
        <v>#N/A</v>
      </c>
      <c r="G842" s="1191" t="e">
        <f t="shared" si="129"/>
        <v>#N/A</v>
      </c>
      <c r="H842" s="1321">
        <f>SUMIFS('Cash balance (Prior period)'!F:F,'Cash balance (Prior period)'!C:C,Table11[[#This Row],[ACCOUNT NUMBER]],'Cash balance (Prior period)'!E:E,Table11[[#This Row],[CURRENCY]])</f>
        <v>20000000000</v>
      </c>
      <c r="I842" s="1322">
        <f>SUMIFS(Movement!$F$4:$F$2136,Movement!$M$4:$M$2136,"VND",Movement!$C$4:$C$2136,Table11[[#This Row],[ACCOUNT NUMBER]],Movement!$J$4:$J$2136,Table11[[#This Row],[ENTITY]],Movement!$O$4:$O$2136,'Cash Balance'!$A$2)</f>
        <v>0</v>
      </c>
      <c r="J842" s="1323">
        <f>SUMIFS(Movement!$G$4:$G$2136,Movement!$M$4:$M$2136,"VND",Movement!$C$4:$C$2136,Table11[[#This Row],[ACCOUNT NUMBER]],Movement!$J$4:$J$2136,Table11[[#This Row],[ENTITY]],Movement!$O$4:$O$2136,'Cash Balance'!$A$2)</f>
        <v>0</v>
      </c>
      <c r="K842" s="1258">
        <f>Table11[[#This Row],[CASH IN - CREDIT (VND)]]-Table11[[#This Row],[CASH OUT - DEBIT (VND)]]</f>
        <v>0</v>
      </c>
      <c r="L842" s="1134">
        <f t="shared" si="130"/>
        <v>20000000000</v>
      </c>
      <c r="M842" s="1135" t="e">
        <f>VLOOKUP(C842,'Cash balance (BS)'!A:D,4,)</f>
        <v>#N/A</v>
      </c>
      <c r="N842" s="1136" t="e">
        <f>Table11[[#This Row],[CLOSING BALANCE (VND)2]]-Table11[[#This Row],[CB_BS (VND)]]</f>
        <v>#N/A</v>
      </c>
      <c r="O842" s="1094"/>
      <c r="P842" s="1135">
        <f t="shared" si="131"/>
        <v>0</v>
      </c>
      <c r="Q842" s="1137">
        <f>SUMIFS('Cash balance (Prior period)'!G:G,'Cash balance (Prior period)'!C:C,Table11[[#This Row],[ACCOUNT NUMBER]],'Cash balance (Prior period)'!E:E,Table11[[#This Row],[CURRENCY]])</f>
        <v>0</v>
      </c>
      <c r="R842" s="1138">
        <f>SUMIFS(Movement!$F$4:$F$2136,Movement!$M$4:$M$2136,"USD",Movement!$C$4:$C$2136,Table11[[#This Row],[ACCOUNT NUMBER]],Movement!$J$4:$J$2136,Table11[[#This Row],[ENTITY]],Movement!$O$4:$O$2136,'Cash Balance'!$A$2)</f>
        <v>0</v>
      </c>
      <c r="S842" s="1137">
        <f>SUMIFS(Movement!$G$4:$G$2136,Movement!$M$4:$M$2136,"USD",Movement!$C$4:$C$2136,Table11[[#This Row],[ACCOUNT NUMBER]],Movement!$J$4:$J$2136,Table11[[#This Row],[ENTITY]],Movement!$O$4:$O$2136,'Cash Balance'!$A$2)</f>
        <v>0</v>
      </c>
      <c r="T842" s="1139">
        <f t="shared" si="132"/>
        <v>0</v>
      </c>
      <c r="U842" s="1090"/>
      <c r="V842" s="1091">
        <f>Table11[[#This Row],[CLOSING BALANCE (USD)]]-Table11[[#This Row],[CB_BS (USD)]]</f>
        <v>0</v>
      </c>
      <c r="W842" s="1186" t="str">
        <f>VLOOKUP('Cash Balance'!$C842,Table2[#All],MATCH('Cash Balance'!W$3,Acc_Char!$B$1:$I$1,0),0)</f>
        <v>Subsidiaries</v>
      </c>
      <c r="X842" s="1156" t="str">
        <f>VLOOKUP(IFERROR(MID($Y842,1,FIND("-",$Y842)-2),$Y842),Table3[#All],2,0)</f>
        <v>SNP</v>
      </c>
      <c r="Y842" s="1156" t="str">
        <f>VLOOKUP($B842,Table4[#All],2,0)</f>
        <v>SINOPAC</v>
      </c>
      <c r="Z842" s="1151"/>
    </row>
    <row r="843" spans="1:26">
      <c r="A843" s="1153" t="str">
        <f>VLOOKUP('Cash Balance'!$C843,Table2[#All],MATCH('Cash Balance'!A$3,Acc_Char!$B$1:$I$1,0),0)</f>
        <v>WPJV 2B</v>
      </c>
      <c r="B843" s="1154" t="str">
        <f>VLOOKUP('Cash Balance'!$C843,Table2[#All],MATCH('Cash Balance'!B$3,Acc_Char!$B$1:$I$1,0),0)</f>
        <v>VIETINBANK - TPHCM</v>
      </c>
      <c r="C843" s="1204" t="s">
        <v>1453</v>
      </c>
      <c r="D843" s="1156" t="str">
        <f>VLOOKUP('Cash Balance'!$C843,Table2[#All],MATCH('Cash Balance'!D$3,Acc_Char!$B$1:$I$1,0),0)</f>
        <v>Saving Account</v>
      </c>
      <c r="E843" s="384" t="str">
        <f>VLOOKUP('Cash Balance'!$C843,Table2[#All],MATCH('Cash Balance'!E$3,Acc_Char!$B$1:$I$1,0),0)</f>
        <v>VND</v>
      </c>
      <c r="F843" s="1224" t="e">
        <f>VLOOKUP(C843,'Cash balance (BS)'!A:C,3,)</f>
        <v>#N/A</v>
      </c>
      <c r="G843" s="1191" t="e">
        <f t="shared" si="129"/>
        <v>#N/A</v>
      </c>
      <c r="H843" s="1324">
        <f>SUMIFS('Cash balance (Prior period)'!F:F,'Cash balance (Prior period)'!C:C,Table11[[#This Row],[ACCOUNT NUMBER]],'Cash balance (Prior period)'!E:E,Table11[[#This Row],[CURRENCY]])</f>
        <v>450000000</v>
      </c>
      <c r="I843" s="1319">
        <f>SUMIFS(Movement!$F$4:$F$2136,Movement!$M$4:$M$2136,"VND",Movement!$C$4:$C$2136,Table11[[#This Row],[ACCOUNT NUMBER]],Movement!$J$4:$J$2136,Table11[[#This Row],[ENTITY]],Movement!$O$4:$O$2136,'Cash Balance'!$A$2)</f>
        <v>0</v>
      </c>
      <c r="J843" s="1319">
        <f>SUMIFS(Movement!$G$4:$G$2136,Movement!$M$4:$M$2136,"VND",Movement!$C$4:$C$2136,Table11[[#This Row],[ACCOUNT NUMBER]],Movement!$J$4:$J$2136,Table11[[#This Row],[ENTITY]],Movement!$O$4:$O$2136,'Cash Balance'!$A$2)</f>
        <v>0</v>
      </c>
      <c r="K843" s="1224">
        <f>Table11[[#This Row],[CASH IN - CREDIT (VND)]]-Table11[[#This Row],[CASH OUT - DEBIT (VND)]]</f>
        <v>0</v>
      </c>
      <c r="L843" s="1225">
        <f t="shared" si="130"/>
        <v>450000000</v>
      </c>
      <c r="M843" s="1228" t="e">
        <f>VLOOKUP(C843,'Cash balance (BS)'!A:D,4,)</f>
        <v>#N/A</v>
      </c>
      <c r="N843" s="1229" t="e">
        <f>Table11[[#This Row],[CLOSING BALANCE (VND)2]]-Table11[[#This Row],[CB_BS (VND)]]</f>
        <v>#N/A</v>
      </c>
      <c r="O843" s="1230"/>
      <c r="P843" s="1228">
        <f t="shared" si="131"/>
        <v>0</v>
      </c>
      <c r="Q843" s="1226">
        <f>SUMIFS('Cash balance (Prior period)'!G:G,'Cash balance (Prior period)'!C:C,Table11[[#This Row],[ACCOUNT NUMBER]],'Cash balance (Prior period)'!E:E,Table11[[#This Row],[CURRENCY]])</f>
        <v>0</v>
      </c>
      <c r="R843" s="1226">
        <f>SUMIFS(Movement!$F$4:$F$2136,Movement!$M$4:$M$2136,"USD",Movement!$C$4:$C$2136,Table11[[#This Row],[ACCOUNT NUMBER]],Movement!$J$4:$J$2136,Table11[[#This Row],[ENTITY]],Movement!$O$4:$O$2136,'Cash Balance'!$A$2)</f>
        <v>0</v>
      </c>
      <c r="S843" s="1226">
        <f>SUMIFS(Movement!$G$4:$G$2136,Movement!$M$4:$M$2136,"USD",Movement!$C$4:$C$2136,Table11[[#This Row],[ACCOUNT NUMBER]],Movement!$J$4:$J$2136,Table11[[#This Row],[ENTITY]],Movement!$O$4:$O$2136,'Cash Balance'!$A$2)</f>
        <v>0</v>
      </c>
      <c r="T843" s="1227">
        <f t="shared" si="132"/>
        <v>0</v>
      </c>
      <c r="U843" s="1231"/>
      <c r="V843" s="1232">
        <f>Table11[[#This Row],[CLOSING BALANCE (USD)]]-Table11[[#This Row],[CB_BS (USD)]]</f>
        <v>0</v>
      </c>
      <c r="W843" s="1186" t="str">
        <f>VLOOKUP('Cash Balance'!$C843,Table2[#All],MATCH('Cash Balance'!W$3,Acc_Char!$B$1:$I$1,0),0)</f>
        <v>Subsidiaries</v>
      </c>
      <c r="X843" s="1156" t="str">
        <f>VLOOKUP(IFERROR(MID($Y843,1,FIND("-",$Y843)-2),$Y843),Table3[#All],2,0)</f>
        <v>VTB</v>
      </c>
      <c r="Y843" s="1156" t="str">
        <f>VLOOKUP($B843,Table4[#All],2,0)</f>
        <v>VIETINBANK - TPHCM</v>
      </c>
      <c r="Z843" s="1151"/>
    </row>
    <row r="844" spans="1:26">
      <c r="A844" s="1153" t="str">
        <f>VLOOKUP('Cash Balance'!$C844,Table2[#All],MATCH('Cash Balance'!A$3,Acc_Char!$B$1:$I$1,0),0)</f>
        <v>BCI JSC</v>
      </c>
      <c r="B844" s="1154" t="str">
        <f>VLOOKUP('Cash Balance'!$C844,Table2[#All],MATCH('Cash Balance'!B$3,Acc_Char!$B$1:$I$1,0),0)</f>
        <v>VIETINBANK - TIEN SON</v>
      </c>
      <c r="C844" s="1204" t="s">
        <v>1454</v>
      </c>
      <c r="D844" s="1156" t="str">
        <f>VLOOKUP('Cash Balance'!$C844,Table2[#All],MATCH('Cash Balance'!D$3,Acc_Char!$B$1:$I$1,0),0)</f>
        <v>Saving Account</v>
      </c>
      <c r="E844" s="384" t="str">
        <f>VLOOKUP('Cash Balance'!$C844,Table2[#All],MATCH('Cash Balance'!E$3,Acc_Char!$B$1:$I$1,0),0)</f>
        <v>VND</v>
      </c>
      <c r="F844" s="1224" t="e">
        <f>VLOOKUP(C844,'Cash balance (BS)'!A:C,3,)</f>
        <v>#N/A</v>
      </c>
      <c r="G844" s="1191" t="e">
        <f t="shared" si="129"/>
        <v>#N/A</v>
      </c>
      <c r="H844" s="1324">
        <f>SUMIFS('Cash balance (Prior period)'!F:F,'Cash balance (Prior period)'!C:C,Table11[[#This Row],[ACCOUNT NUMBER]],'Cash balance (Prior period)'!E:E,Table11[[#This Row],[CURRENCY]])</f>
        <v>3000000000</v>
      </c>
      <c r="I844" s="1319">
        <f>SUMIFS(Movement!$F$4:$F$2136,Movement!$M$4:$M$2136,"VND",Movement!$C$4:$C$2136,Table11[[#This Row],[ACCOUNT NUMBER]],Movement!$J$4:$J$2136,Table11[[#This Row],[ENTITY]],Movement!$O$4:$O$2136,'Cash Balance'!$A$2)</f>
        <v>0</v>
      </c>
      <c r="J844" s="1319">
        <f>SUMIFS(Movement!$G$4:$G$2136,Movement!$M$4:$M$2136,"VND",Movement!$C$4:$C$2136,Table11[[#This Row],[ACCOUNT NUMBER]],Movement!$J$4:$J$2136,Table11[[#This Row],[ENTITY]],Movement!$O$4:$O$2136,'Cash Balance'!$A$2)</f>
        <v>0</v>
      </c>
      <c r="K844" s="1224">
        <f>Table11[[#This Row],[CASH IN - CREDIT (VND)]]-Table11[[#This Row],[CASH OUT - DEBIT (VND)]]</f>
        <v>0</v>
      </c>
      <c r="L844" s="1225">
        <f t="shared" si="130"/>
        <v>3000000000</v>
      </c>
      <c r="M844" s="1228" t="e">
        <f>VLOOKUP(C844,'Cash balance (BS)'!A:D,4,)</f>
        <v>#N/A</v>
      </c>
      <c r="N844" s="1229" t="e">
        <f>Table11[[#This Row],[CLOSING BALANCE (VND)2]]-Table11[[#This Row],[CB_BS (VND)]]</f>
        <v>#N/A</v>
      </c>
      <c r="O844" s="1230"/>
      <c r="P844" s="1228">
        <f t="shared" si="131"/>
        <v>0</v>
      </c>
      <c r="Q844" s="1226">
        <f>SUMIFS('Cash balance (Prior period)'!G:G,'Cash balance (Prior period)'!C:C,Table11[[#This Row],[ACCOUNT NUMBER]],'Cash balance (Prior period)'!E:E,Table11[[#This Row],[CURRENCY]])</f>
        <v>0</v>
      </c>
      <c r="R844" s="1226">
        <f>SUMIFS(Movement!$F$4:$F$2136,Movement!$M$4:$M$2136,"USD",Movement!$C$4:$C$2136,Table11[[#This Row],[ACCOUNT NUMBER]],Movement!$J$4:$J$2136,Table11[[#This Row],[ENTITY]],Movement!$O$4:$O$2136,'Cash Balance'!$A$2)</f>
        <v>0</v>
      </c>
      <c r="S844" s="1226">
        <f>SUMIFS(Movement!$G$4:$G$2136,Movement!$M$4:$M$2136,"USD",Movement!$C$4:$C$2136,Table11[[#This Row],[ACCOUNT NUMBER]],Movement!$J$4:$J$2136,Table11[[#This Row],[ENTITY]],Movement!$O$4:$O$2136,'Cash Balance'!$A$2)</f>
        <v>0</v>
      </c>
      <c r="T844" s="1227">
        <f t="shared" si="132"/>
        <v>0</v>
      </c>
      <c r="U844" s="1231"/>
      <c r="V844" s="1232">
        <f>Table11[[#This Row],[CLOSING BALANCE (USD)]]-Table11[[#This Row],[CB_BS (USD)]]</f>
        <v>0</v>
      </c>
      <c r="W844" s="1186" t="str">
        <f>VLOOKUP('Cash Balance'!$C844,Table2[#All],MATCH('Cash Balance'!W$3,Acc_Char!$B$1:$I$1,0),0)</f>
        <v>Subsidiaries</v>
      </c>
      <c r="X844" s="1156" t="str">
        <f>VLOOKUP(IFERROR(MID($Y844,1,FIND("-",$Y844)-2),$Y844),Table3[#All],2,0)</f>
        <v>VTB</v>
      </c>
      <c r="Y844" s="1156" t="str">
        <f>VLOOKUP($B844,Table4[#All],2,0)</f>
        <v>VIETINBANK - TIEN SON</v>
      </c>
      <c r="Z844" s="1151"/>
    </row>
    <row r="845" spans="1:26">
      <c r="A845" s="1153" t="str">
        <f>VLOOKUP('Cash Balance'!$C845,Table2[#All],MATCH('Cash Balance'!A$3,Acc_Char!$B$1:$I$1,0),0)</f>
        <v>BWID HAI PHONG</v>
      </c>
      <c r="B845" s="1154" t="str">
        <f>VLOOKUP('Cash Balance'!$C845,Table2[#All],MATCH('Cash Balance'!B$3,Acc_Char!$B$1:$I$1,0),0)</f>
        <v>VIETINBANK - TIEN SON</v>
      </c>
      <c r="C845" s="1204" t="s">
        <v>1455</v>
      </c>
      <c r="D845" s="1156" t="str">
        <f>VLOOKUP('Cash Balance'!$C845,Table2[#All],MATCH('Cash Balance'!D$3,Acc_Char!$B$1:$I$1,0),0)</f>
        <v>Saving Account</v>
      </c>
      <c r="E845" s="384" t="str">
        <f>VLOOKUP('Cash Balance'!$C845,Table2[#All],MATCH('Cash Balance'!E$3,Acc_Char!$B$1:$I$1,0),0)</f>
        <v>VND</v>
      </c>
      <c r="F845" s="1224" t="e">
        <f>VLOOKUP(C845,'Cash balance (BS)'!A:C,3,)</f>
        <v>#N/A</v>
      </c>
      <c r="G845" s="1191" t="e">
        <f t="shared" si="129"/>
        <v>#N/A</v>
      </c>
      <c r="H845" s="1324">
        <f>SUMIFS('Cash balance (Prior period)'!F:F,'Cash balance (Prior period)'!C:C,Table11[[#This Row],[ACCOUNT NUMBER]],'Cash balance (Prior period)'!E:E,Table11[[#This Row],[CURRENCY]])</f>
        <v>3000000000</v>
      </c>
      <c r="I845" s="1319">
        <f>SUMIFS(Movement!$F$4:$F$2136,Movement!$M$4:$M$2136,"VND",Movement!$C$4:$C$2136,Table11[[#This Row],[ACCOUNT NUMBER]],Movement!$J$4:$J$2136,Table11[[#This Row],[ENTITY]],Movement!$O$4:$O$2136,'Cash Balance'!$A$2)</f>
        <v>0</v>
      </c>
      <c r="J845" s="1319">
        <f>SUMIFS(Movement!$G$4:$G$2136,Movement!$M$4:$M$2136,"VND",Movement!$C$4:$C$2136,Table11[[#This Row],[ACCOUNT NUMBER]],Movement!$J$4:$J$2136,Table11[[#This Row],[ENTITY]],Movement!$O$4:$O$2136,'Cash Balance'!$A$2)</f>
        <v>0</v>
      </c>
      <c r="K845" s="1224">
        <f>Table11[[#This Row],[CASH IN - CREDIT (VND)]]-Table11[[#This Row],[CASH OUT - DEBIT (VND)]]</f>
        <v>0</v>
      </c>
      <c r="L845" s="1225">
        <f t="shared" si="130"/>
        <v>3000000000</v>
      </c>
      <c r="M845" s="1228" t="e">
        <f>VLOOKUP(C845,'Cash balance (BS)'!A:D,4,)</f>
        <v>#N/A</v>
      </c>
      <c r="N845" s="1229" t="e">
        <f>Table11[[#This Row],[CLOSING BALANCE (VND)2]]-Table11[[#This Row],[CB_BS (VND)]]</f>
        <v>#N/A</v>
      </c>
      <c r="O845" s="1230"/>
      <c r="P845" s="1228">
        <f t="shared" si="131"/>
        <v>0</v>
      </c>
      <c r="Q845" s="1226">
        <f>SUMIFS('Cash balance (Prior period)'!G:G,'Cash balance (Prior period)'!C:C,Table11[[#This Row],[ACCOUNT NUMBER]],'Cash balance (Prior period)'!E:E,Table11[[#This Row],[CURRENCY]])</f>
        <v>0</v>
      </c>
      <c r="R845" s="1226">
        <f>SUMIFS(Movement!$F$4:$F$2136,Movement!$M$4:$M$2136,"USD",Movement!$C$4:$C$2136,Table11[[#This Row],[ACCOUNT NUMBER]],Movement!$J$4:$J$2136,Table11[[#This Row],[ENTITY]],Movement!$O$4:$O$2136,'Cash Balance'!$A$2)</f>
        <v>0</v>
      </c>
      <c r="S845" s="1226">
        <f>SUMIFS(Movement!$G$4:$G$2136,Movement!$M$4:$M$2136,"USD",Movement!$C$4:$C$2136,Table11[[#This Row],[ACCOUNT NUMBER]],Movement!$J$4:$J$2136,Table11[[#This Row],[ENTITY]],Movement!$O$4:$O$2136,'Cash Balance'!$A$2)</f>
        <v>0</v>
      </c>
      <c r="T845" s="1227">
        <f t="shared" si="132"/>
        <v>0</v>
      </c>
      <c r="U845" s="1231"/>
      <c r="V845" s="1232">
        <f>Table11[[#This Row],[CLOSING BALANCE (USD)]]-Table11[[#This Row],[CB_BS (USD)]]</f>
        <v>0</v>
      </c>
      <c r="W845" s="1186" t="str">
        <f>VLOOKUP('Cash Balance'!$C845,Table2[#All],MATCH('Cash Balance'!W$3,Acc_Char!$B$1:$I$1,0),0)</f>
        <v>Subsidiaries</v>
      </c>
      <c r="X845" s="1156" t="str">
        <f>VLOOKUP(IFERROR(MID($Y845,1,FIND("-",$Y845)-2),$Y845),Table3[#All],2,0)</f>
        <v>VTB</v>
      </c>
      <c r="Y845" s="1156" t="str">
        <f>VLOOKUP($B845,Table4[#All],2,0)</f>
        <v>VIETINBANK - TIEN SON</v>
      </c>
      <c r="Z845" s="1151"/>
    </row>
    <row r="846" spans="1:26">
      <c r="A846" s="1153" t="str">
        <f>VLOOKUP('Cash Balance'!$C846,Table2[#All],MATCH('Cash Balance'!A$3,Acc_Char!$B$1:$I$1,0),0)</f>
        <v>BWID BINH DUONG</v>
      </c>
      <c r="B846" s="1154" t="str">
        <f>VLOOKUP('Cash Balance'!$C846,Table2[#All],MATCH('Cash Balance'!B$3,Acc_Char!$B$1:$I$1,0),0)</f>
        <v>SINOPAC</v>
      </c>
      <c r="C846" s="1205" t="s">
        <v>1456</v>
      </c>
      <c r="D846" s="1156" t="str">
        <f>VLOOKUP('Cash Balance'!$C846,Table2[#All],MATCH('Cash Balance'!D$3,Acc_Char!$B$1:$I$1,0),0)</f>
        <v>Saving Account</v>
      </c>
      <c r="E846" s="1201" t="str">
        <f>VLOOKUP('Cash Balance'!$C846,Table2[#All],MATCH('Cash Balance'!E$3,Acc_Char!$B$1:$I$1,0),0)</f>
        <v>VND</v>
      </c>
      <c r="F846" s="1084" t="e">
        <f>VLOOKUP(C846,'Cash balance (BS)'!A:C,3,)</f>
        <v>#N/A</v>
      </c>
      <c r="G846" s="1191" t="e">
        <f t="shared" si="129"/>
        <v>#N/A</v>
      </c>
      <c r="H846" s="1321">
        <f>SUMIFS('Cash balance (Prior period)'!F:F,'Cash balance (Prior period)'!C:C,Table11[[#This Row],[ACCOUNT NUMBER]],'Cash balance (Prior period)'!E:E,Table11[[#This Row],[CURRENCY]])</f>
        <v>30000000000</v>
      </c>
      <c r="I846" s="1322">
        <f>SUMIFS(Movement!$F$4:$F$2136,Movement!$M$4:$M$2136,"VND",Movement!$C$4:$C$2136,Table11[[#This Row],[ACCOUNT NUMBER]],Movement!$J$4:$J$2136,Table11[[#This Row],[ENTITY]],Movement!$O$4:$O$2136,'Cash Balance'!$A$2)</f>
        <v>0</v>
      </c>
      <c r="J846" s="1323">
        <f>SUMIFS(Movement!$G$4:$G$2136,Movement!$M$4:$M$2136,"VND",Movement!$C$4:$C$2136,Table11[[#This Row],[ACCOUNT NUMBER]],Movement!$J$4:$J$2136,Table11[[#This Row],[ENTITY]],Movement!$O$4:$O$2136,'Cash Balance'!$A$2)</f>
        <v>30000000000</v>
      </c>
      <c r="K846" s="1258">
        <f>Table11[[#This Row],[CASH IN - CREDIT (VND)]]-Table11[[#This Row],[CASH OUT - DEBIT (VND)]]</f>
        <v>-30000000000</v>
      </c>
      <c r="L846" s="1134">
        <f t="shared" si="130"/>
        <v>0</v>
      </c>
      <c r="M846" s="1135" t="e">
        <f>VLOOKUP(C846,'Cash balance (BS)'!A:D,4,)</f>
        <v>#N/A</v>
      </c>
      <c r="N846" s="1136" t="e">
        <f>Table11[[#This Row],[CLOSING BALANCE (VND)2]]-Table11[[#This Row],[CB_BS (VND)]]</f>
        <v>#N/A</v>
      </c>
      <c r="O846" s="1094"/>
      <c r="P846" s="1135">
        <f t="shared" si="131"/>
        <v>0</v>
      </c>
      <c r="Q846" s="1137">
        <f>SUMIFS('Cash balance (Prior period)'!G:G,'Cash balance (Prior period)'!C:C,Table11[[#This Row],[ACCOUNT NUMBER]],'Cash balance (Prior period)'!E:E,Table11[[#This Row],[CURRENCY]])</f>
        <v>0</v>
      </c>
      <c r="R846" s="1138">
        <f>SUMIFS(Movement!$F$4:$F$2136,Movement!$M$4:$M$2136,"USD",Movement!$C$4:$C$2136,Table11[[#This Row],[ACCOUNT NUMBER]],Movement!$J$4:$J$2136,Table11[[#This Row],[ENTITY]],Movement!$O$4:$O$2136,'Cash Balance'!$A$2)</f>
        <v>0</v>
      </c>
      <c r="S846" s="1137">
        <f>SUMIFS(Movement!$G$4:$G$2136,Movement!$M$4:$M$2136,"USD",Movement!$C$4:$C$2136,Table11[[#This Row],[ACCOUNT NUMBER]],Movement!$J$4:$J$2136,Table11[[#This Row],[ENTITY]],Movement!$O$4:$O$2136,'Cash Balance'!$A$2)</f>
        <v>0</v>
      </c>
      <c r="T846" s="1139">
        <f t="shared" si="132"/>
        <v>0</v>
      </c>
      <c r="U846" s="1090"/>
      <c r="V846" s="1091">
        <f>Table11[[#This Row],[CLOSING BALANCE (USD)]]-Table11[[#This Row],[CB_BS (USD)]]</f>
        <v>0</v>
      </c>
      <c r="W846" s="1186" t="str">
        <f>VLOOKUP('Cash Balance'!$C846,Table2[#All],MATCH('Cash Balance'!W$3,Acc_Char!$B$1:$I$1,0),0)</f>
        <v>BWID JSC</v>
      </c>
      <c r="X846" s="1156" t="str">
        <f>VLOOKUP(IFERROR(MID($Y846,1,FIND("-",$Y846)-2),$Y846),Table3[#All],2,0)</f>
        <v>SNP</v>
      </c>
      <c r="Y846" s="1156" t="str">
        <f>VLOOKUP($B846,Table4[#All],2,0)</f>
        <v>SINOPAC</v>
      </c>
      <c r="Z846" s="1151"/>
    </row>
    <row r="847" spans="1:26">
      <c r="A847" s="1153" t="str">
        <f>VLOOKUP('Cash Balance'!$C847,Table2[#All],MATCH('Cash Balance'!A$3,Acc_Char!$B$1:$I$1,0),0)</f>
        <v>SAO HOA</v>
      </c>
      <c r="B847" s="1154" t="str">
        <f>VLOOKUP('Cash Balance'!$C847,Table2[#All],MATCH('Cash Balance'!B$3,Acc_Char!$B$1:$I$1,0),0)</f>
        <v>VIETINBANK - BINH DUONG</v>
      </c>
      <c r="C847" s="1204" t="s">
        <v>1457</v>
      </c>
      <c r="D847" s="1156" t="str">
        <f>VLOOKUP('Cash Balance'!$C847,Table2[#All],MATCH('Cash Balance'!D$3,Acc_Char!$B$1:$I$1,0),0)</f>
        <v>Saving Account</v>
      </c>
      <c r="E847" s="384" t="str">
        <f>VLOOKUP('Cash Balance'!$C847,Table2[#All],MATCH('Cash Balance'!E$3,Acc_Char!$B$1:$I$1,0),0)</f>
        <v>VND</v>
      </c>
      <c r="F847" s="1224" t="e">
        <f>VLOOKUP(C847,'Cash balance (BS)'!A:C,3,)</f>
        <v>#N/A</v>
      </c>
      <c r="G847" s="1191" t="e">
        <f t="shared" si="129"/>
        <v>#N/A</v>
      </c>
      <c r="H847" s="1324">
        <f>SUMIFS('Cash balance (Prior period)'!F:F,'Cash balance (Prior period)'!C:C,Table11[[#This Row],[ACCOUNT NUMBER]],'Cash balance (Prior period)'!E:E,Table11[[#This Row],[CURRENCY]])</f>
        <v>0</v>
      </c>
      <c r="I847" s="1319">
        <f>SUMIFS(Movement!$F$4:$F$2136,Movement!$M$4:$M$2136,"VND",Movement!$C$4:$C$2136,Table11[[#This Row],[ACCOUNT NUMBER]],Movement!$J$4:$J$2136,Table11[[#This Row],[ENTITY]],Movement!$O$4:$O$2136,'Cash Balance'!$A$2)</f>
        <v>0</v>
      </c>
      <c r="J847" s="1319">
        <f>SUMIFS(Movement!$G$4:$G$2136,Movement!$M$4:$M$2136,"VND",Movement!$C$4:$C$2136,Table11[[#This Row],[ACCOUNT NUMBER]],Movement!$J$4:$J$2136,Table11[[#This Row],[ENTITY]],Movement!$O$4:$O$2136,'Cash Balance'!$A$2)</f>
        <v>0</v>
      </c>
      <c r="K847" s="1224">
        <f>Table11[[#This Row],[CASH IN - CREDIT (VND)]]-Table11[[#This Row],[CASH OUT - DEBIT (VND)]]</f>
        <v>0</v>
      </c>
      <c r="L847" s="1225">
        <f t="shared" si="130"/>
        <v>0</v>
      </c>
      <c r="M847" s="1228" t="e">
        <f>VLOOKUP(C847,'Cash balance (BS)'!A:D,4,)</f>
        <v>#N/A</v>
      </c>
      <c r="N847" s="1229" t="e">
        <f>Table11[[#This Row],[CLOSING BALANCE (VND)2]]-Table11[[#This Row],[CB_BS (VND)]]</f>
        <v>#N/A</v>
      </c>
      <c r="O847" s="1230"/>
      <c r="P847" s="1228">
        <f t="shared" si="131"/>
        <v>0</v>
      </c>
      <c r="Q847" s="1226">
        <f>SUMIFS('Cash balance (Prior period)'!G:G,'Cash balance (Prior period)'!C:C,Table11[[#This Row],[ACCOUNT NUMBER]],'Cash balance (Prior period)'!E:E,Table11[[#This Row],[CURRENCY]])</f>
        <v>0</v>
      </c>
      <c r="R847" s="1226">
        <f>SUMIFS(Movement!$F$4:$F$2136,Movement!$M$4:$M$2136,"USD",Movement!$C$4:$C$2136,Table11[[#This Row],[ACCOUNT NUMBER]],Movement!$J$4:$J$2136,Table11[[#This Row],[ENTITY]],Movement!$O$4:$O$2136,'Cash Balance'!$A$2)</f>
        <v>0</v>
      </c>
      <c r="S847" s="1226">
        <f>SUMIFS(Movement!$G$4:$G$2136,Movement!$M$4:$M$2136,"USD",Movement!$C$4:$C$2136,Table11[[#This Row],[ACCOUNT NUMBER]],Movement!$J$4:$J$2136,Table11[[#This Row],[ENTITY]],Movement!$O$4:$O$2136,'Cash Balance'!$A$2)</f>
        <v>0</v>
      </c>
      <c r="T847" s="1227">
        <f t="shared" si="132"/>
        <v>0</v>
      </c>
      <c r="U847" s="1231"/>
      <c r="V847" s="1232">
        <f>Table11[[#This Row],[CLOSING BALANCE (USD)]]-Table11[[#This Row],[CB_BS (USD)]]</f>
        <v>0</v>
      </c>
      <c r="W847" s="1186" t="str">
        <f>VLOOKUP('Cash Balance'!$C847,Table2[#All],MATCH('Cash Balance'!W$3,Acc_Char!$B$1:$I$1,0),0)</f>
        <v>VC3</v>
      </c>
      <c r="X847" s="1156" t="str">
        <f>VLOOKUP(IFERROR(MID($Y847,1,FIND("-",$Y847)-2),$Y847),Table3[#All],2,0)</f>
        <v>VTB</v>
      </c>
      <c r="Y847" s="1156" t="str">
        <f>VLOOKUP($B847,Table4[#All],2,0)</f>
        <v>VIETINBANK - BINH DUONG + QM</v>
      </c>
      <c r="Z847" s="1151"/>
    </row>
    <row r="848" spans="1:26">
      <c r="A848" s="1153" t="str">
        <f>VLOOKUP('Cash Balance'!$C848,Table2[#All],MATCH('Cash Balance'!A$3,Acc_Char!$B$1:$I$1,0),0)</f>
        <v>BAU BANG 6</v>
      </c>
      <c r="B848" s="1154" t="str">
        <f>VLOOKUP('Cash Balance'!$C848,Table2[#All],MATCH('Cash Balance'!B$3,Acc_Char!$B$1:$I$1,0),0)</f>
        <v>VIETINBANK - BINH DUONG</v>
      </c>
      <c r="C848" s="1205" t="s">
        <v>1458</v>
      </c>
      <c r="D848" s="1156" t="str">
        <f>VLOOKUP('Cash Balance'!$C848,Table2[#All],MATCH('Cash Balance'!D$3,Acc_Char!$B$1:$I$1,0),0)</f>
        <v>Saving Account</v>
      </c>
      <c r="E848" s="1201" t="str">
        <f>VLOOKUP('Cash Balance'!$C848,Table2[#All],MATCH('Cash Balance'!E$3,Acc_Char!$B$1:$I$1,0),0)</f>
        <v>VND</v>
      </c>
      <c r="F848" s="1084" t="e">
        <f>VLOOKUP(C848,'Cash balance (BS)'!A:C,3,)</f>
        <v>#N/A</v>
      </c>
      <c r="G848" s="1191" t="e">
        <f t="shared" si="129"/>
        <v>#N/A</v>
      </c>
      <c r="H848" s="1321">
        <f>SUMIFS('Cash balance (Prior period)'!F:F,'Cash balance (Prior period)'!C:C,Table11[[#This Row],[ACCOUNT NUMBER]],'Cash balance (Prior period)'!E:E,Table11[[#This Row],[CURRENCY]])</f>
        <v>8000000000</v>
      </c>
      <c r="I848" s="1322">
        <f>SUMIFS(Movement!$F$4:$F$2136,Movement!$M$4:$M$2136,"VND",Movement!$C$4:$C$2136,Table11[[#This Row],[ACCOUNT NUMBER]],Movement!$J$4:$J$2136,Table11[[#This Row],[ENTITY]],Movement!$O$4:$O$2136,'Cash Balance'!$A$2)</f>
        <v>0</v>
      </c>
      <c r="J848" s="1323">
        <f>SUMIFS(Movement!$G$4:$G$2136,Movement!$M$4:$M$2136,"VND",Movement!$C$4:$C$2136,Table11[[#This Row],[ACCOUNT NUMBER]],Movement!$J$4:$J$2136,Table11[[#This Row],[ENTITY]],Movement!$O$4:$O$2136,'Cash Balance'!$A$2)</f>
        <v>8000000000</v>
      </c>
      <c r="K848" s="1258">
        <f>Table11[[#This Row],[CASH IN - CREDIT (VND)]]-Table11[[#This Row],[CASH OUT - DEBIT (VND)]]</f>
        <v>-8000000000</v>
      </c>
      <c r="L848" s="1134">
        <f t="shared" si="130"/>
        <v>0</v>
      </c>
      <c r="M848" s="1135" t="e">
        <f>VLOOKUP(C848,'Cash balance (BS)'!A:D,4,)</f>
        <v>#N/A</v>
      </c>
      <c r="N848" s="1136" t="e">
        <f>Table11[[#This Row],[CLOSING BALANCE (VND)2]]-Table11[[#This Row],[CB_BS (VND)]]</f>
        <v>#N/A</v>
      </c>
      <c r="O848" s="1094"/>
      <c r="P848" s="1135">
        <f t="shared" si="131"/>
        <v>0</v>
      </c>
      <c r="Q848" s="1137">
        <f>SUMIFS('Cash balance (Prior period)'!G:G,'Cash balance (Prior period)'!C:C,Table11[[#This Row],[ACCOUNT NUMBER]],'Cash balance (Prior period)'!E:E,Table11[[#This Row],[CURRENCY]])</f>
        <v>0</v>
      </c>
      <c r="R848" s="1138">
        <f>SUMIFS(Movement!$F$4:$F$2136,Movement!$M$4:$M$2136,"USD",Movement!$C$4:$C$2136,Table11[[#This Row],[ACCOUNT NUMBER]],Movement!$J$4:$J$2136,Table11[[#This Row],[ENTITY]],Movement!$O$4:$O$2136,'Cash Balance'!$A$2)</f>
        <v>0</v>
      </c>
      <c r="S848" s="1137">
        <f>SUMIFS(Movement!$G$4:$G$2136,Movement!$M$4:$M$2136,"USD",Movement!$C$4:$C$2136,Table11[[#This Row],[ACCOUNT NUMBER]],Movement!$J$4:$J$2136,Table11[[#This Row],[ENTITY]],Movement!$O$4:$O$2136,'Cash Balance'!$A$2)</f>
        <v>0</v>
      </c>
      <c r="T848" s="1139">
        <f t="shared" si="132"/>
        <v>0</v>
      </c>
      <c r="U848" s="1090"/>
      <c r="V848" s="1091">
        <f>Table11[[#This Row],[CLOSING BALANCE (USD)]]-Table11[[#This Row],[CB_BS (USD)]]</f>
        <v>0</v>
      </c>
      <c r="W848" s="1186" t="str">
        <f>VLOOKUP('Cash Balance'!$C848,Table2[#All],MATCH('Cash Balance'!W$3,Acc_Char!$B$1:$I$1,0),0)</f>
        <v>Subsidiaries</v>
      </c>
      <c r="X848" s="1156" t="str">
        <f>VLOOKUP(IFERROR(MID($Y848,1,FIND("-",$Y848)-2),$Y848),Table3[#All],2,0)</f>
        <v>VTB</v>
      </c>
      <c r="Y848" s="1156" t="str">
        <f>VLOOKUP($B848,Table4[#All],2,0)</f>
        <v>VIETINBANK - BINH DUONG + QM</v>
      </c>
      <c r="Z848" s="1151"/>
    </row>
    <row r="849" spans="1:26">
      <c r="A849" s="1153" t="str">
        <f>VLOOKUP('Cash Balance'!$C849,Table2[#All],MATCH('Cash Balance'!A$3,Acc_Char!$B$1:$I$1,0),0)</f>
        <v>THUAN DAO</v>
      </c>
      <c r="B849" s="1154" t="str">
        <f>VLOOKUP('Cash Balance'!$C849,Table2[#All],MATCH('Cash Balance'!B$3,Acc_Char!$B$1:$I$1,0),0)</f>
        <v>VIETINBANK - TPHCM</v>
      </c>
      <c r="C849" s="1204" t="s">
        <v>1459</v>
      </c>
      <c r="D849" s="1156" t="str">
        <f>VLOOKUP('Cash Balance'!$C849,Table2[#All],MATCH('Cash Balance'!D$3,Acc_Char!$B$1:$I$1,0),0)</f>
        <v>Saving Account</v>
      </c>
      <c r="E849" s="384" t="str">
        <f>VLOOKUP('Cash Balance'!$C849,Table2[#All],MATCH('Cash Balance'!E$3,Acc_Char!$B$1:$I$1,0),0)</f>
        <v>VND</v>
      </c>
      <c r="F849" s="1224" t="e">
        <f>VLOOKUP(C849,'Cash balance (BS)'!A:C,3,)</f>
        <v>#N/A</v>
      </c>
      <c r="G849" s="1191" t="e">
        <f t="shared" si="129"/>
        <v>#N/A</v>
      </c>
      <c r="H849" s="1324">
        <f>SUMIFS('Cash balance (Prior period)'!F:F,'Cash balance (Prior period)'!C:C,Table11[[#This Row],[ACCOUNT NUMBER]],'Cash balance (Prior period)'!E:E,Table11[[#This Row],[CURRENCY]])</f>
        <v>3000000000</v>
      </c>
      <c r="I849" s="1319">
        <f>SUMIFS(Movement!$F$4:$F$2136,Movement!$M$4:$M$2136,"VND",Movement!$C$4:$C$2136,Table11[[#This Row],[ACCOUNT NUMBER]],Movement!$J$4:$J$2136,Table11[[#This Row],[ENTITY]],Movement!$O$4:$O$2136,'Cash Balance'!$A$2)</f>
        <v>0</v>
      </c>
      <c r="J849" s="1319">
        <f>SUMIFS(Movement!$G$4:$G$2136,Movement!$M$4:$M$2136,"VND",Movement!$C$4:$C$2136,Table11[[#This Row],[ACCOUNT NUMBER]],Movement!$J$4:$J$2136,Table11[[#This Row],[ENTITY]],Movement!$O$4:$O$2136,'Cash Balance'!$A$2)</f>
        <v>3000000000</v>
      </c>
      <c r="K849" s="1224">
        <f>Table11[[#This Row],[CASH IN - CREDIT (VND)]]-Table11[[#This Row],[CASH OUT - DEBIT (VND)]]</f>
        <v>-3000000000</v>
      </c>
      <c r="L849" s="1225">
        <f t="shared" si="130"/>
        <v>0</v>
      </c>
      <c r="M849" s="1228" t="e">
        <f>VLOOKUP(C849,'Cash balance (BS)'!A:D,4,)</f>
        <v>#N/A</v>
      </c>
      <c r="N849" s="1229" t="e">
        <f>Table11[[#This Row],[CLOSING BALANCE (VND)2]]-Table11[[#This Row],[CB_BS (VND)]]</f>
        <v>#N/A</v>
      </c>
      <c r="O849" s="1230"/>
      <c r="P849" s="1228">
        <f t="shared" si="131"/>
        <v>0</v>
      </c>
      <c r="Q849" s="1226">
        <f>SUMIFS('Cash balance (Prior period)'!G:G,'Cash balance (Prior period)'!C:C,Table11[[#This Row],[ACCOUNT NUMBER]],'Cash balance (Prior period)'!E:E,Table11[[#This Row],[CURRENCY]])</f>
        <v>0</v>
      </c>
      <c r="R849" s="1226">
        <f>SUMIFS(Movement!$F$4:$F$2136,Movement!$M$4:$M$2136,"USD",Movement!$C$4:$C$2136,Table11[[#This Row],[ACCOUNT NUMBER]],Movement!$J$4:$J$2136,Table11[[#This Row],[ENTITY]],Movement!$O$4:$O$2136,'Cash Balance'!$A$2)</f>
        <v>0</v>
      </c>
      <c r="S849" s="1226">
        <f>SUMIFS(Movement!$G$4:$G$2136,Movement!$M$4:$M$2136,"USD",Movement!$C$4:$C$2136,Table11[[#This Row],[ACCOUNT NUMBER]],Movement!$J$4:$J$2136,Table11[[#This Row],[ENTITY]],Movement!$O$4:$O$2136,'Cash Balance'!$A$2)</f>
        <v>0</v>
      </c>
      <c r="T849" s="1227">
        <f t="shared" si="132"/>
        <v>0</v>
      </c>
      <c r="U849" s="1231"/>
      <c r="V849" s="1232">
        <f>Table11[[#This Row],[CLOSING BALANCE (USD)]]-Table11[[#This Row],[CB_BS (USD)]]</f>
        <v>0</v>
      </c>
      <c r="W849" s="1186" t="str">
        <f>VLOOKUP('Cash Balance'!$C849,Table2[#All],MATCH('Cash Balance'!W$3,Acc_Char!$B$1:$I$1,0),0)</f>
        <v>Subsidiaries</v>
      </c>
      <c r="X849" s="1156" t="str">
        <f>VLOOKUP(IFERROR(MID($Y849,1,FIND("-",$Y849)-2),$Y849),Table3[#All],2,0)</f>
        <v>VTB</v>
      </c>
      <c r="Y849" s="1156" t="str">
        <f>VLOOKUP($B849,Table4[#All],2,0)</f>
        <v>VIETINBANK - TPHCM</v>
      </c>
      <c r="Z849" s="1151"/>
    </row>
    <row r="850" spans="1:26">
      <c r="A850" s="1153" t="str">
        <f>VLOOKUP('Cash Balance'!$C850,Table2[#All],MATCH('Cash Balance'!A$3,Acc_Char!$B$1:$I$1,0),0)</f>
        <v>BW BAU BANG 01</v>
      </c>
      <c r="B850" s="1154" t="str">
        <f>VLOOKUP('Cash Balance'!$C850,Table2[#All],MATCH('Cash Balance'!B$3,Acc_Char!$B$1:$I$1,0),0)</f>
        <v>VIETINBANK - BINH DUONG</v>
      </c>
      <c r="C850" s="1205" t="s">
        <v>1460</v>
      </c>
      <c r="D850" s="1156" t="str">
        <f>VLOOKUP('Cash Balance'!$C850,Table2[#All],MATCH('Cash Balance'!D$3,Acc_Char!$B$1:$I$1,0),0)</f>
        <v>Saving Account</v>
      </c>
      <c r="E850" s="1201" t="str">
        <f>VLOOKUP('Cash Balance'!$C850,Table2[#All],MATCH('Cash Balance'!E$3,Acc_Char!$B$1:$I$1,0),0)</f>
        <v>VND</v>
      </c>
      <c r="F850" s="1084" t="e">
        <f>VLOOKUP(C850,'Cash balance (BS)'!A:C,3,)</f>
        <v>#N/A</v>
      </c>
      <c r="G850" s="1191" t="e">
        <f>F850-H850</f>
        <v>#N/A</v>
      </c>
      <c r="H850" s="1321">
        <f>SUMIFS('Cash balance (Prior period)'!F:F,'Cash balance (Prior period)'!C:C,Table11[[#This Row],[ACCOUNT NUMBER]],'Cash balance (Prior period)'!E:E,Table11[[#This Row],[CURRENCY]])</f>
        <v>10000000000</v>
      </c>
      <c r="I850" s="1322">
        <f>SUMIFS(Movement!$F$4:$F$2136,Movement!$M$4:$M$2136,"VND",Movement!$C$4:$C$2136,Table11[[#This Row],[ACCOUNT NUMBER]],Movement!$J$4:$J$2136,Table11[[#This Row],[ENTITY]],Movement!$O$4:$O$2136,'Cash Balance'!$A$2)</f>
        <v>0</v>
      </c>
      <c r="J850" s="1323">
        <f>SUMIFS(Movement!$G$4:$G$2136,Movement!$M$4:$M$2136,"VND",Movement!$C$4:$C$2136,Table11[[#This Row],[ACCOUNT NUMBER]],Movement!$J$4:$J$2136,Table11[[#This Row],[ENTITY]],Movement!$O$4:$O$2136,'Cash Balance'!$A$2)</f>
        <v>0</v>
      </c>
      <c r="K850" s="1258">
        <f>Table11[[#This Row],[CASH IN - CREDIT (VND)]]-Table11[[#This Row],[CASH OUT - DEBIT (VND)]]</f>
        <v>0</v>
      </c>
      <c r="L850" s="1134">
        <f>H850+I850-J850</f>
        <v>10000000000</v>
      </c>
      <c r="M850" s="1135" t="e">
        <f>VLOOKUP(C850,'Cash balance (BS)'!A:D,4,)</f>
        <v>#N/A</v>
      </c>
      <c r="N850" s="1136" t="e">
        <f>Table11[[#This Row],[CLOSING BALANCE (VND)2]]-Table11[[#This Row],[CB_BS (VND)]]</f>
        <v>#N/A</v>
      </c>
      <c r="O850" s="1094"/>
      <c r="P850" s="1135">
        <f>O850-Q850</f>
        <v>0</v>
      </c>
      <c r="Q850" s="1137">
        <f>SUMIFS('Cash balance (Prior period)'!G:G,'Cash balance (Prior period)'!C:C,Table11[[#This Row],[ACCOUNT NUMBER]],'Cash balance (Prior period)'!E:E,Table11[[#This Row],[CURRENCY]])</f>
        <v>0</v>
      </c>
      <c r="R850" s="1138">
        <f>SUMIFS(Movement!$F$4:$F$2136,Movement!$M$4:$M$2136,"USD",Movement!$C$4:$C$2136,Table11[[#This Row],[ACCOUNT NUMBER]],Movement!$J$4:$J$2136,Table11[[#This Row],[ENTITY]],Movement!$O$4:$O$2136,'Cash Balance'!$A$2)</f>
        <v>0</v>
      </c>
      <c r="S850" s="1137">
        <f>SUMIFS(Movement!$G$4:$G$2136,Movement!$M$4:$M$2136,"USD",Movement!$C$4:$C$2136,Table11[[#This Row],[ACCOUNT NUMBER]],Movement!$J$4:$J$2136,Table11[[#This Row],[ENTITY]],Movement!$O$4:$O$2136,'Cash Balance'!$A$2)</f>
        <v>0</v>
      </c>
      <c r="T850" s="1139">
        <f>Q850+R850-S850</f>
        <v>0</v>
      </c>
      <c r="U850" s="1090"/>
      <c r="V850" s="1091">
        <f>Table11[[#This Row],[CLOSING BALANCE (USD)]]-Table11[[#This Row],[CB_BS (USD)]]</f>
        <v>0</v>
      </c>
      <c r="W850" s="1186" t="str">
        <f>VLOOKUP('Cash Balance'!$C850,Table2[#All],MATCH('Cash Balance'!W$3,Acc_Char!$B$1:$I$1,0),0)</f>
        <v>Subsidiaries</v>
      </c>
      <c r="X850" s="1156" t="str">
        <f>VLOOKUP(IFERROR(MID($Y850,1,FIND("-",$Y850)-2),$Y850),Table3[#All],2,0)</f>
        <v>VTB</v>
      </c>
      <c r="Y850" s="1156" t="str">
        <f>VLOOKUP($B850,Table4[#All],2,0)</f>
        <v>VIETINBANK - BINH DUONG + QM</v>
      </c>
      <c r="Z850" s="1151"/>
    </row>
    <row r="851" spans="1:26">
      <c r="A851" s="1153" t="str">
        <f>VLOOKUP('Cash Balance'!$C851,Table2[#All],MATCH('Cash Balance'!A$3,Acc_Char!$B$1:$I$1,0),0)</f>
        <v>TAN DONG HIEP B ELECTRON</v>
      </c>
      <c r="B851" s="1154" t="str">
        <f>VLOOKUP('Cash Balance'!$C851,Table2[#All],MATCH('Cash Balance'!B$3,Acc_Char!$B$1:$I$1,0),0)</f>
        <v>VIETINBANK - TPHCM</v>
      </c>
      <c r="C851" s="1205" t="s">
        <v>1461</v>
      </c>
      <c r="D851" s="1156" t="str">
        <f>VLOOKUP('Cash Balance'!$C851,Table2[#All],MATCH('Cash Balance'!D$3,Acc_Char!$B$1:$I$1,0),0)</f>
        <v>Saving Account</v>
      </c>
      <c r="E851" s="1201" t="str">
        <f>VLOOKUP('Cash Balance'!$C851,Table2[#All],MATCH('Cash Balance'!E$3,Acc_Char!$B$1:$I$1,0),0)</f>
        <v>VND</v>
      </c>
      <c r="F851" s="1084" t="e">
        <f>VLOOKUP(C851,'Cash balance (BS)'!A:C,3,)</f>
        <v>#N/A</v>
      </c>
      <c r="G851" s="1191" t="e">
        <f>F851-H851</f>
        <v>#N/A</v>
      </c>
      <c r="H851" s="1321">
        <f>SUMIFS('Cash balance (Prior period)'!F:F,'Cash balance (Prior period)'!C:C,Table11[[#This Row],[ACCOUNT NUMBER]],'Cash balance (Prior period)'!E:E,Table11[[#This Row],[CURRENCY]])</f>
        <v>10000000000</v>
      </c>
      <c r="I851" s="1322">
        <f>SUMIFS(Movement!$F$4:$F$2136,Movement!$M$4:$M$2136,"VND",Movement!$C$4:$C$2136,Table11[[#This Row],[ACCOUNT NUMBER]],Movement!$J$4:$J$2136,Table11[[#This Row],[ENTITY]],Movement!$O$4:$O$2136,'Cash Balance'!$A$2)</f>
        <v>0</v>
      </c>
      <c r="J851" s="1323">
        <f>SUMIFS(Movement!$G$4:$G$2136,Movement!$M$4:$M$2136,"VND",Movement!$C$4:$C$2136,Table11[[#This Row],[ACCOUNT NUMBER]],Movement!$J$4:$J$2136,Table11[[#This Row],[ENTITY]],Movement!$O$4:$O$2136,'Cash Balance'!$A$2)</f>
        <v>0</v>
      </c>
      <c r="K851" s="1258">
        <f>Table11[[#This Row],[CASH IN - CREDIT (VND)]]-Table11[[#This Row],[CASH OUT - DEBIT (VND)]]</f>
        <v>0</v>
      </c>
      <c r="L851" s="1134">
        <f>H851+I851-J851</f>
        <v>10000000000</v>
      </c>
      <c r="M851" s="1135" t="e">
        <f>VLOOKUP(C851,'Cash balance (BS)'!A:D,4,)</f>
        <v>#N/A</v>
      </c>
      <c r="N851" s="1136" t="e">
        <f>Table11[[#This Row],[CLOSING BALANCE (VND)2]]-Table11[[#This Row],[CB_BS (VND)]]</f>
        <v>#N/A</v>
      </c>
      <c r="O851" s="1094"/>
      <c r="P851" s="1135">
        <f>O851-Q851</f>
        <v>0</v>
      </c>
      <c r="Q851" s="1137">
        <f>SUMIFS('Cash balance (Prior period)'!G:G,'Cash balance (Prior period)'!C:C,Table11[[#This Row],[ACCOUNT NUMBER]],'Cash balance (Prior period)'!E:E,Table11[[#This Row],[CURRENCY]])</f>
        <v>0</v>
      </c>
      <c r="R851" s="1138">
        <f>SUMIFS(Movement!$F$4:$F$2136,Movement!$M$4:$M$2136,"USD",Movement!$C$4:$C$2136,Table11[[#This Row],[ACCOUNT NUMBER]],Movement!$J$4:$J$2136,Table11[[#This Row],[ENTITY]],Movement!$O$4:$O$2136,'Cash Balance'!$A$2)</f>
        <v>0</v>
      </c>
      <c r="S851" s="1137">
        <f>SUMIFS(Movement!$G$4:$G$2136,Movement!$M$4:$M$2136,"USD",Movement!$C$4:$C$2136,Table11[[#This Row],[ACCOUNT NUMBER]],Movement!$J$4:$J$2136,Table11[[#This Row],[ENTITY]],Movement!$O$4:$O$2136,'Cash Balance'!$A$2)</f>
        <v>0</v>
      </c>
      <c r="T851" s="1139">
        <f>Q851+R851-S851</f>
        <v>0</v>
      </c>
      <c r="U851" s="1090"/>
      <c r="V851" s="1091">
        <f>Table11[[#This Row],[CLOSING BALANCE (USD)]]-Table11[[#This Row],[CB_BS (USD)]]</f>
        <v>0</v>
      </c>
      <c r="W851" s="1186" t="str">
        <f>VLOOKUP('Cash Balance'!$C851,Table2[#All],MATCH('Cash Balance'!W$3,Acc_Char!$B$1:$I$1,0),0)</f>
        <v>Subsidiaries</v>
      </c>
      <c r="X851" s="1156" t="str">
        <f>VLOOKUP(IFERROR(MID($Y851,1,FIND("-",$Y851)-2),$Y851),Table3[#All],2,0)</f>
        <v>VTB</v>
      </c>
      <c r="Y851" s="1156" t="str">
        <f>VLOOKUP($B851,Table4[#All],2,0)</f>
        <v>VIETINBANK - TPHCM</v>
      </c>
      <c r="Z851" s="1151"/>
    </row>
    <row r="852" spans="1:26">
      <c r="A852" s="1153" t="str">
        <f>VLOOKUP('Cash Balance'!$C852,Table2[#All],MATCH('Cash Balance'!A$3,Acc_Char!$B$1:$I$1,0),0)</f>
        <v>BWID Tan Phu Trung</v>
      </c>
      <c r="B852" s="1154" t="str">
        <f>VLOOKUP('Cash Balance'!$C852,Table2[#All],MATCH('Cash Balance'!B$3,Acc_Char!$B$1:$I$1,0),0)</f>
        <v>VIETINBANK - TIEN SON</v>
      </c>
      <c r="C852" s="1205" t="s">
        <v>1462</v>
      </c>
      <c r="D852" s="1156" t="str">
        <f>VLOOKUP('Cash Balance'!$C852,Table2[#All],MATCH('Cash Balance'!D$3,Acc_Char!$B$1:$I$1,0),0)</f>
        <v>Saving Account</v>
      </c>
      <c r="E852" s="1201" t="str">
        <f>VLOOKUP('Cash Balance'!$C852,Table2[#All],MATCH('Cash Balance'!E$3,Acc_Char!$B$1:$I$1,0),0)</f>
        <v>VND</v>
      </c>
      <c r="F852" s="1084" t="e">
        <f>VLOOKUP(C852,'Cash balance (BS)'!A:C,3,)</f>
        <v>#N/A</v>
      </c>
      <c r="G852" s="1191" t="e">
        <f>F852-H852</f>
        <v>#N/A</v>
      </c>
      <c r="H852" s="1321">
        <f>SUMIFS('Cash balance (Prior period)'!F:F,'Cash balance (Prior period)'!C:C,Table11[[#This Row],[ACCOUNT NUMBER]],'Cash balance (Prior period)'!E:E,Table11[[#This Row],[CURRENCY]])</f>
        <v>8000000000</v>
      </c>
      <c r="I852" s="1322">
        <f>SUMIFS(Movement!$F$4:$F$2136,Movement!$M$4:$M$2136,"VND",Movement!$C$4:$C$2136,Table11[[#This Row],[ACCOUNT NUMBER]],Movement!$J$4:$J$2136,Table11[[#This Row],[ENTITY]],Movement!$O$4:$O$2136,'Cash Balance'!$A$2)</f>
        <v>0</v>
      </c>
      <c r="J852" s="1323">
        <f>SUMIFS(Movement!$G$4:$G$2136,Movement!$M$4:$M$2136,"VND",Movement!$C$4:$C$2136,Table11[[#This Row],[ACCOUNT NUMBER]],Movement!$J$4:$J$2136,Table11[[#This Row],[ENTITY]],Movement!$O$4:$O$2136,'Cash Balance'!$A$2)</f>
        <v>8000000000</v>
      </c>
      <c r="K852" s="1258">
        <f>Table11[[#This Row],[CASH IN - CREDIT (VND)]]-Table11[[#This Row],[CASH OUT - DEBIT (VND)]]</f>
        <v>-8000000000</v>
      </c>
      <c r="L852" s="1134">
        <f>H852+I852-J852</f>
        <v>0</v>
      </c>
      <c r="M852" s="1135" t="e">
        <f>VLOOKUP(C852,'Cash balance (BS)'!A:D,4,)</f>
        <v>#N/A</v>
      </c>
      <c r="N852" s="1136" t="e">
        <f>Table11[[#This Row],[CLOSING BALANCE (VND)2]]-Table11[[#This Row],[CB_BS (VND)]]</f>
        <v>#N/A</v>
      </c>
      <c r="O852" s="1094"/>
      <c r="P852" s="1135">
        <f>O852-Q852</f>
        <v>0</v>
      </c>
      <c r="Q852" s="1137">
        <f>SUMIFS('Cash balance (Prior period)'!G:G,'Cash balance (Prior period)'!C:C,Table11[[#This Row],[ACCOUNT NUMBER]],'Cash balance (Prior period)'!E:E,Table11[[#This Row],[CURRENCY]])</f>
        <v>0</v>
      </c>
      <c r="R852" s="1138">
        <f>SUMIFS(Movement!$F$4:$F$2136,Movement!$M$4:$M$2136,"USD",Movement!$C$4:$C$2136,Table11[[#This Row],[ACCOUNT NUMBER]],Movement!$J$4:$J$2136,Table11[[#This Row],[ENTITY]],Movement!$O$4:$O$2136,'Cash Balance'!$A$2)</f>
        <v>0</v>
      </c>
      <c r="S852" s="1137">
        <f>SUMIFS(Movement!$G$4:$G$2136,Movement!$M$4:$M$2136,"USD",Movement!$C$4:$C$2136,Table11[[#This Row],[ACCOUNT NUMBER]],Movement!$J$4:$J$2136,Table11[[#This Row],[ENTITY]],Movement!$O$4:$O$2136,'Cash Balance'!$A$2)</f>
        <v>0</v>
      </c>
      <c r="T852" s="1139">
        <f>Q852+R852-S852</f>
        <v>0</v>
      </c>
      <c r="U852" s="1090"/>
      <c r="V852" s="1091">
        <f>Table11[[#This Row],[CLOSING BALANCE (USD)]]-Table11[[#This Row],[CB_BS (USD)]]</f>
        <v>0</v>
      </c>
      <c r="W852" s="1186" t="str">
        <f>VLOOKUP('Cash Balance'!$C852,Table2[#All],MATCH('Cash Balance'!W$3,Acc_Char!$B$1:$I$1,0),0)</f>
        <v>Subsidiaries</v>
      </c>
      <c r="X852" s="1156" t="str">
        <f>VLOOKUP(IFERROR(MID($Y852,1,FIND("-",$Y852)-2),$Y852),Table3[#All],2,0)</f>
        <v>VTB</v>
      </c>
      <c r="Y852" s="1156" t="str">
        <f>VLOOKUP($B852,Table4[#All],2,0)</f>
        <v>VIETINBANK - TIEN SON</v>
      </c>
      <c r="Z852" s="1151"/>
    </row>
    <row r="853" spans="1:26">
      <c r="A853" s="1153" t="str">
        <f>VLOOKUP('Cash Balance'!$C853,Table2[#All],MATCH('Cash Balance'!A$3,Acc_Char!$B$1:$I$1,0),0)</f>
        <v>GREAT KINGDOM NT 2</v>
      </c>
      <c r="B853" s="1154" t="str">
        <f>VLOOKUP('Cash Balance'!$C853,Table2[#All],MATCH('Cash Balance'!B$3,Acc_Char!$B$1:$I$1,0),0)</f>
        <v>VIETINBANK - CN1</v>
      </c>
      <c r="C853" s="1205" t="s">
        <v>1463</v>
      </c>
      <c r="D853" s="1156" t="str">
        <f>VLOOKUP('Cash Balance'!$C853,Table2[#All],MATCH('Cash Balance'!D$3,Acc_Char!$B$1:$I$1,0),0)</f>
        <v>Saving Account</v>
      </c>
      <c r="E853" s="1201" t="str">
        <f>VLOOKUP('Cash Balance'!$C853,Table2[#All],MATCH('Cash Balance'!E$3,Acc_Char!$B$1:$I$1,0),0)</f>
        <v>VND</v>
      </c>
      <c r="F853" s="1084" t="e">
        <f>VLOOKUP(C853,'Cash balance (BS)'!A:C,3,)</f>
        <v>#N/A</v>
      </c>
      <c r="G853" s="1191" t="e">
        <f>F853-H853</f>
        <v>#N/A</v>
      </c>
      <c r="H853" s="1321">
        <f>SUMIFS('Cash balance (Prior period)'!F:F,'Cash balance (Prior period)'!C:C,Table11[[#This Row],[ACCOUNT NUMBER]],'Cash balance (Prior period)'!E:E,Table11[[#This Row],[CURRENCY]])</f>
        <v>14000000000</v>
      </c>
      <c r="I853" s="1322">
        <f>SUMIFS(Movement!$F$4:$F$2136,Movement!$M$4:$M$2136,"VND",Movement!$C$4:$C$2136,Table11[[#This Row],[ACCOUNT NUMBER]],Movement!$J$4:$J$2136,Table11[[#This Row],[ENTITY]],Movement!$O$4:$O$2136,'Cash Balance'!$A$2)</f>
        <v>0</v>
      </c>
      <c r="J853" s="1323">
        <f>SUMIFS(Movement!$G$4:$G$2136,Movement!$M$4:$M$2136,"VND",Movement!$C$4:$C$2136,Table11[[#This Row],[ACCOUNT NUMBER]],Movement!$J$4:$J$2136,Table11[[#This Row],[ENTITY]],Movement!$O$4:$O$2136,'Cash Balance'!$A$2)</f>
        <v>0</v>
      </c>
      <c r="K853" s="1258">
        <f>Table11[[#This Row],[CASH IN - CREDIT (VND)]]-Table11[[#This Row],[CASH OUT - DEBIT (VND)]]</f>
        <v>0</v>
      </c>
      <c r="L853" s="1134">
        <f>H853+I853-J853</f>
        <v>14000000000</v>
      </c>
      <c r="M853" s="1135" t="e">
        <f>VLOOKUP(C853,'Cash balance (BS)'!A:D,4,)</f>
        <v>#N/A</v>
      </c>
      <c r="N853" s="1136" t="e">
        <f>Table11[[#This Row],[CLOSING BALANCE (VND)2]]-Table11[[#This Row],[CB_BS (VND)]]</f>
        <v>#N/A</v>
      </c>
      <c r="O853" s="1094"/>
      <c r="P853" s="1135">
        <f>O853-Q853</f>
        <v>0</v>
      </c>
      <c r="Q853" s="1137">
        <f>SUMIFS('Cash balance (Prior period)'!G:G,'Cash balance (Prior period)'!C:C,Table11[[#This Row],[ACCOUNT NUMBER]],'Cash balance (Prior period)'!E:E,Table11[[#This Row],[CURRENCY]])</f>
        <v>0</v>
      </c>
      <c r="R853" s="1138">
        <f>SUMIFS(Movement!$F$4:$F$2136,Movement!$M$4:$M$2136,"USD",Movement!$C$4:$C$2136,Table11[[#This Row],[ACCOUNT NUMBER]],Movement!$J$4:$J$2136,Table11[[#This Row],[ENTITY]],Movement!$O$4:$O$2136,'Cash Balance'!$A$2)</f>
        <v>0</v>
      </c>
      <c r="S853" s="1137">
        <f>SUMIFS(Movement!$G$4:$G$2136,Movement!$M$4:$M$2136,"USD",Movement!$C$4:$C$2136,Table11[[#This Row],[ACCOUNT NUMBER]],Movement!$J$4:$J$2136,Table11[[#This Row],[ENTITY]],Movement!$O$4:$O$2136,'Cash Balance'!$A$2)</f>
        <v>0</v>
      </c>
      <c r="T853" s="1139">
        <f>Q853+R853-S853</f>
        <v>0</v>
      </c>
      <c r="U853" s="1090"/>
      <c r="V853" s="1091">
        <f>Table11[[#This Row],[CLOSING BALANCE (USD)]]-Table11[[#This Row],[CB_BS (USD)]]</f>
        <v>0</v>
      </c>
      <c r="W853" s="1186" t="str">
        <f>VLOOKUP('Cash Balance'!$C853,Table2[#All],MATCH('Cash Balance'!W$3,Acc_Char!$B$1:$I$1,0),0)</f>
        <v>Subsidiaries</v>
      </c>
      <c r="X853" s="1156" t="str">
        <f>VLOOKUP(IFERROR(MID($Y853,1,FIND("-",$Y853)-2),$Y853),Table3[#All],2,0)</f>
        <v>VTB</v>
      </c>
      <c r="Y853" s="1156" t="str">
        <f>VLOOKUP($B853,Table4[#All],2,0)</f>
        <v>VIETINBANK - CN1</v>
      </c>
      <c r="Z853" s="1151"/>
    </row>
    <row r="854" spans="1:26">
      <c r="A854" s="1153" t="str">
        <f>VLOOKUP('Cash Balance'!$C854,Table2[#All],MATCH('Cash Balance'!A$3,Acc_Char!$B$1:$I$1,0),0)</f>
        <v>BWID HAI DUONG 2</v>
      </c>
      <c r="B854" s="1154" t="str">
        <f>VLOOKUP('Cash Balance'!$C854,Table2[#All],MATCH('Cash Balance'!B$3,Acc_Char!$B$1:$I$1,0),0)</f>
        <v>VIETINBANK - TIEN SON</v>
      </c>
      <c r="C854" s="1204" t="s">
        <v>1464</v>
      </c>
      <c r="D854" s="1156" t="str">
        <f>VLOOKUP('Cash Balance'!$C854,Table2[#All],MATCH('Cash Balance'!D$3,Acc_Char!$B$1:$I$1,0),0)</f>
        <v>Saving Account</v>
      </c>
      <c r="E854" s="384" t="str">
        <f>VLOOKUP('Cash Balance'!$C854,Table2[#All],MATCH('Cash Balance'!E$3,Acc_Char!$B$1:$I$1,0),0)</f>
        <v>VND</v>
      </c>
      <c r="F854" s="1224" t="e">
        <f>VLOOKUP(C854,'Cash balance (BS)'!A:C,3,)</f>
        <v>#N/A</v>
      </c>
      <c r="G854" s="1191" t="e">
        <f t="shared" si="129"/>
        <v>#N/A</v>
      </c>
      <c r="H854" s="1324">
        <f>SUMIFS('Cash balance (Prior period)'!F:F,'Cash balance (Prior period)'!C:C,Table11[[#This Row],[ACCOUNT NUMBER]],'Cash balance (Prior period)'!E:E,Table11[[#This Row],[CURRENCY]])</f>
        <v>3000000000</v>
      </c>
      <c r="I854" s="1319">
        <f>SUMIFS(Movement!$F$4:$F$2136,Movement!$M$4:$M$2136,"VND",Movement!$C$4:$C$2136,Table11[[#This Row],[ACCOUNT NUMBER]],Movement!$J$4:$J$2136,Table11[[#This Row],[ENTITY]],Movement!$O$4:$O$2136,'Cash Balance'!$A$2)</f>
        <v>0</v>
      </c>
      <c r="J854" s="1319">
        <f>SUMIFS(Movement!$G$4:$G$2136,Movement!$M$4:$M$2136,"VND",Movement!$C$4:$C$2136,Table11[[#This Row],[ACCOUNT NUMBER]],Movement!$J$4:$J$2136,Table11[[#This Row],[ENTITY]],Movement!$O$4:$O$2136,'Cash Balance'!$A$2)</f>
        <v>0</v>
      </c>
      <c r="K854" s="1224">
        <f>Table11[[#This Row],[CASH IN - CREDIT (VND)]]-Table11[[#This Row],[CASH OUT - DEBIT (VND)]]</f>
        <v>0</v>
      </c>
      <c r="L854" s="1225">
        <f t="shared" si="130"/>
        <v>3000000000</v>
      </c>
      <c r="M854" s="1228" t="e">
        <f>VLOOKUP(C854,'Cash balance (BS)'!A:D,4,)</f>
        <v>#N/A</v>
      </c>
      <c r="N854" s="1229" t="e">
        <f>Table11[[#This Row],[CLOSING BALANCE (VND)2]]-Table11[[#This Row],[CB_BS (VND)]]</f>
        <v>#N/A</v>
      </c>
      <c r="O854" s="1230"/>
      <c r="P854" s="1228">
        <f t="shared" si="131"/>
        <v>0</v>
      </c>
      <c r="Q854" s="1226">
        <f>SUMIFS('Cash balance (Prior period)'!G:G,'Cash balance (Prior period)'!C:C,Table11[[#This Row],[ACCOUNT NUMBER]],'Cash balance (Prior period)'!E:E,Table11[[#This Row],[CURRENCY]])</f>
        <v>0</v>
      </c>
      <c r="R854" s="1226">
        <f>SUMIFS(Movement!$F$4:$F$2136,Movement!$M$4:$M$2136,"USD",Movement!$C$4:$C$2136,Table11[[#This Row],[ACCOUNT NUMBER]],Movement!$J$4:$J$2136,Table11[[#This Row],[ENTITY]],Movement!$O$4:$O$2136,'Cash Balance'!$A$2)</f>
        <v>0</v>
      </c>
      <c r="S854" s="1226">
        <f>SUMIFS(Movement!$G$4:$G$2136,Movement!$M$4:$M$2136,"USD",Movement!$C$4:$C$2136,Table11[[#This Row],[ACCOUNT NUMBER]],Movement!$J$4:$J$2136,Table11[[#This Row],[ENTITY]],Movement!$O$4:$O$2136,'Cash Balance'!$A$2)</f>
        <v>0</v>
      </c>
      <c r="T854" s="1227">
        <f t="shared" si="132"/>
        <v>0</v>
      </c>
      <c r="U854" s="1231"/>
      <c r="V854" s="1232">
        <f>Table11[[#This Row],[CLOSING BALANCE (USD)]]-Table11[[#This Row],[CB_BS (USD)]]</f>
        <v>0</v>
      </c>
      <c r="W854" s="1186" t="str">
        <f>VLOOKUP('Cash Balance'!$C854,Table2[#All],MATCH('Cash Balance'!W$3,Acc_Char!$B$1:$I$1,0),0)</f>
        <v>Subsidiaries</v>
      </c>
      <c r="X854" s="1156" t="str">
        <f>VLOOKUP(IFERROR(MID($Y854,1,FIND("-",$Y854)-2),$Y854),Table3[#All],2,0)</f>
        <v>VTB</v>
      </c>
      <c r="Y854" s="1156" t="str">
        <f>VLOOKUP($B854,Table4[#All],2,0)</f>
        <v>VIETINBANK - TIEN SON</v>
      </c>
      <c r="Z854" s="1151"/>
    </row>
    <row r="855" spans="1:26">
      <c r="A855" s="1153" t="str">
        <f>VLOOKUP('Cash Balance'!$C855,Table2[#All],MATCH('Cash Balance'!A$3,Acc_Char!$B$1:$I$1,0),0)</f>
        <v>LONG BINH</v>
      </c>
      <c r="B855" s="1154" t="str">
        <f>VLOOKUP('Cash Balance'!$C855,Table2[#All],MATCH('Cash Balance'!B$3,Acc_Char!$B$1:$I$1,0),0)</f>
        <v>VIETCOMBANK - HCM</v>
      </c>
      <c r="C855" s="1204" t="s">
        <v>1465</v>
      </c>
      <c r="D855" s="1156" t="str">
        <f>VLOOKUP('Cash Balance'!$C855,Table2[#All],MATCH('Cash Balance'!D$3,Acc_Char!$B$1:$I$1,0),0)</f>
        <v>Saving Account</v>
      </c>
      <c r="E855" s="384" t="str">
        <f>VLOOKUP('Cash Balance'!$C855,Table2[#All],MATCH('Cash Balance'!E$3,Acc_Char!$B$1:$I$1,0),0)</f>
        <v>VND</v>
      </c>
      <c r="F855" s="1224" t="e">
        <f>VLOOKUP(C855,'Cash balance (BS)'!A:C,3,)</f>
        <v>#N/A</v>
      </c>
      <c r="G855" s="1191" t="e">
        <f t="shared" ref="G855:G868" si="133">F855-H855</f>
        <v>#N/A</v>
      </c>
      <c r="H855" s="1324">
        <f>SUMIFS('Cash balance (Prior period)'!F:F,'Cash balance (Prior period)'!C:C,Table11[[#This Row],[ACCOUNT NUMBER]],'Cash balance (Prior period)'!E:E,Table11[[#This Row],[CURRENCY]])</f>
        <v>0</v>
      </c>
      <c r="I855" s="1319">
        <f>SUMIFS(Movement!$F$4:$F$2136,Movement!$M$4:$M$2136,"VND",Movement!$C$4:$C$2136,Table11[[#This Row],[ACCOUNT NUMBER]],Movement!$J$4:$J$2136,Table11[[#This Row],[ENTITY]],Movement!$O$4:$O$2136,'Cash Balance'!$A$2)</f>
        <v>0</v>
      </c>
      <c r="J855" s="1319">
        <f>SUMIFS(Movement!$G$4:$G$2136,Movement!$M$4:$M$2136,"VND",Movement!$C$4:$C$2136,Table11[[#This Row],[ACCOUNT NUMBER]],Movement!$J$4:$J$2136,Table11[[#This Row],[ENTITY]],Movement!$O$4:$O$2136,'Cash Balance'!$A$2)</f>
        <v>0</v>
      </c>
      <c r="K855" s="1224">
        <f>Table11[[#This Row],[CASH IN - CREDIT (VND)]]-Table11[[#This Row],[CASH OUT - DEBIT (VND)]]</f>
        <v>0</v>
      </c>
      <c r="L855" s="1225">
        <f t="shared" ref="L855:L868" si="134">H855+I855-J855</f>
        <v>0</v>
      </c>
      <c r="M855" s="1228" t="e">
        <f>VLOOKUP(C855,'Cash balance (BS)'!A:D,4,)</f>
        <v>#N/A</v>
      </c>
      <c r="N855" s="1229" t="e">
        <f>Table11[[#This Row],[CLOSING BALANCE (VND)2]]-Table11[[#This Row],[CB_BS (VND)]]</f>
        <v>#N/A</v>
      </c>
      <c r="O855" s="1230"/>
      <c r="P855" s="1228">
        <f t="shared" ref="P855:P868" si="135">O855-Q855</f>
        <v>0</v>
      </c>
      <c r="Q855" s="1226">
        <f>SUMIFS('Cash balance (Prior period)'!G:G,'Cash balance (Prior period)'!C:C,Table11[[#This Row],[ACCOUNT NUMBER]],'Cash balance (Prior period)'!E:E,Table11[[#This Row],[CURRENCY]])</f>
        <v>0</v>
      </c>
      <c r="R855" s="1226">
        <f>SUMIFS(Movement!$F$4:$F$2136,Movement!$M$4:$M$2136,"USD",Movement!$C$4:$C$2136,Table11[[#This Row],[ACCOUNT NUMBER]],Movement!$J$4:$J$2136,Table11[[#This Row],[ENTITY]],Movement!$O$4:$O$2136,'Cash Balance'!$A$2)</f>
        <v>0</v>
      </c>
      <c r="S855" s="1226">
        <f>SUMIFS(Movement!$G$4:$G$2136,Movement!$M$4:$M$2136,"USD",Movement!$C$4:$C$2136,Table11[[#This Row],[ACCOUNT NUMBER]],Movement!$J$4:$J$2136,Table11[[#This Row],[ENTITY]],Movement!$O$4:$O$2136,'Cash Balance'!$A$2)</f>
        <v>0</v>
      </c>
      <c r="T855" s="1227">
        <f t="shared" ref="T855:T868" si="136">Q855+R855-S855</f>
        <v>0</v>
      </c>
      <c r="U855" s="1231"/>
      <c r="V855" s="1232">
        <f>Table11[[#This Row],[CLOSING BALANCE (USD)]]-Table11[[#This Row],[CB_BS (USD)]]</f>
        <v>0</v>
      </c>
      <c r="W855" s="1186" t="str">
        <f>VLOOKUP('Cash Balance'!$C855,Table2[#All],MATCH('Cash Balance'!W$3,Acc_Char!$B$1:$I$1,0),0)</f>
        <v>Subsidiaries</v>
      </c>
      <c r="X855" s="1156" t="str">
        <f>VLOOKUP(IFERROR(MID($Y855,1,FIND("-",$Y855)-2),$Y855),Table3[#All],2,0)</f>
        <v>VCB</v>
      </c>
      <c r="Y855" s="1156" t="str">
        <f>VLOOKUP($B855,Table4[#All],2,0)</f>
        <v>VIETCOMBANK - HCM</v>
      </c>
      <c r="Z855" s="1151"/>
    </row>
    <row r="856" spans="1:26">
      <c r="A856" s="1153" t="str">
        <f>VLOOKUP('Cash Balance'!$C856,Table2[#All],MATCH('Cash Balance'!A$3,Acc_Char!$B$1:$I$1,0),0)</f>
        <v>VINA PARTNERS INVESTMENT</v>
      </c>
      <c r="B856" s="1154" t="str">
        <f>VLOOKUP('Cash Balance'!$C856,Table2[#All],MATCH('Cash Balance'!B$3,Acc_Char!$B$1:$I$1,0),0)</f>
        <v>VIETINBANK - CN1</v>
      </c>
      <c r="C856" s="1205" t="s">
        <v>1466</v>
      </c>
      <c r="D856" s="1156" t="str">
        <f>VLOOKUP('Cash Balance'!$C856,Table2[#All],MATCH('Cash Balance'!D$3,Acc_Char!$B$1:$I$1,0),0)</f>
        <v>Saving Account</v>
      </c>
      <c r="E856" s="1201" t="str">
        <f>VLOOKUP('Cash Balance'!$C856,Table2[#All],MATCH('Cash Balance'!E$3,Acc_Char!$B$1:$I$1,0),0)</f>
        <v>VND</v>
      </c>
      <c r="F856" s="1084" t="e">
        <f>VLOOKUP(C856,'Cash balance (BS)'!A:C,3,)</f>
        <v>#N/A</v>
      </c>
      <c r="G856" s="1191" t="e">
        <f t="shared" si="133"/>
        <v>#N/A</v>
      </c>
      <c r="H856" s="1321">
        <f>SUMIFS('Cash balance (Prior period)'!F:F,'Cash balance (Prior period)'!C:C,Table11[[#This Row],[ACCOUNT NUMBER]],'Cash balance (Prior period)'!E:E,Table11[[#This Row],[CURRENCY]])</f>
        <v>5000000000</v>
      </c>
      <c r="I856" s="1322">
        <f>SUMIFS(Movement!$F$4:$F$2136,Movement!$M$4:$M$2136,"VND",Movement!$C$4:$C$2136,Table11[[#This Row],[ACCOUNT NUMBER]],Movement!$J$4:$J$2136,Table11[[#This Row],[ENTITY]],Movement!$O$4:$O$2136,'Cash Balance'!$A$2)</f>
        <v>0</v>
      </c>
      <c r="J856" s="1323">
        <f>SUMIFS(Movement!$G$4:$G$2136,Movement!$M$4:$M$2136,"VND",Movement!$C$4:$C$2136,Table11[[#This Row],[ACCOUNT NUMBER]],Movement!$J$4:$J$2136,Table11[[#This Row],[ENTITY]],Movement!$O$4:$O$2136,'Cash Balance'!$A$2)</f>
        <v>0</v>
      </c>
      <c r="K856" s="1258">
        <f>Table11[[#This Row],[CASH IN - CREDIT (VND)]]-Table11[[#This Row],[CASH OUT - DEBIT (VND)]]</f>
        <v>0</v>
      </c>
      <c r="L856" s="1134">
        <f t="shared" si="134"/>
        <v>5000000000</v>
      </c>
      <c r="M856" s="1135" t="e">
        <f>VLOOKUP(C856,'Cash balance (BS)'!A:D,4,)</f>
        <v>#N/A</v>
      </c>
      <c r="N856" s="1136" t="e">
        <f>Table11[[#This Row],[CLOSING BALANCE (VND)2]]-Table11[[#This Row],[CB_BS (VND)]]</f>
        <v>#N/A</v>
      </c>
      <c r="O856" s="1094"/>
      <c r="P856" s="1135">
        <f t="shared" si="135"/>
        <v>0</v>
      </c>
      <c r="Q856" s="1137">
        <f>SUMIFS('Cash balance (Prior period)'!G:G,'Cash balance (Prior period)'!C:C,Table11[[#This Row],[ACCOUNT NUMBER]],'Cash balance (Prior period)'!E:E,Table11[[#This Row],[CURRENCY]])</f>
        <v>0</v>
      </c>
      <c r="R856" s="1138">
        <f>SUMIFS(Movement!$F$4:$F$2136,Movement!$M$4:$M$2136,"USD",Movement!$C$4:$C$2136,Table11[[#This Row],[ACCOUNT NUMBER]],Movement!$J$4:$J$2136,Table11[[#This Row],[ENTITY]],Movement!$O$4:$O$2136,'Cash Balance'!$A$2)</f>
        <v>0</v>
      </c>
      <c r="S856" s="1137">
        <f>SUMIFS(Movement!$G$4:$G$2136,Movement!$M$4:$M$2136,"USD",Movement!$C$4:$C$2136,Table11[[#This Row],[ACCOUNT NUMBER]],Movement!$J$4:$J$2136,Table11[[#This Row],[ENTITY]],Movement!$O$4:$O$2136,'Cash Balance'!$A$2)</f>
        <v>0</v>
      </c>
      <c r="T856" s="1139">
        <f t="shared" si="136"/>
        <v>0</v>
      </c>
      <c r="U856" s="1090"/>
      <c r="V856" s="1091">
        <f>Table11[[#This Row],[CLOSING BALANCE (USD)]]-Table11[[#This Row],[CB_BS (USD)]]</f>
        <v>0</v>
      </c>
      <c r="W856" s="1186" t="str">
        <f>VLOOKUP('Cash Balance'!$C856,Table2[#All],MATCH('Cash Balance'!W$3,Acc_Char!$B$1:$I$1,0),0)</f>
        <v>Subsidiaries</v>
      </c>
      <c r="X856" s="1156" t="str">
        <f>VLOOKUP(IFERROR(MID($Y856,1,FIND("-",$Y856)-2),$Y856),Table3[#All],2,0)</f>
        <v>VTB</v>
      </c>
      <c r="Y856" s="1156" t="str">
        <f>VLOOKUP($B856,Table4[#All],2,0)</f>
        <v>VIETINBANK - CN1</v>
      </c>
      <c r="Z856" s="1151"/>
    </row>
    <row r="857" spans="1:26">
      <c r="A857" s="1153" t="str">
        <f>VLOOKUP('Cash Balance'!$C857,Table2[#All],MATCH('Cash Balance'!A$3,Acc_Char!$B$1:$I$1,0),0)</f>
        <v>BWID HAI DUONG</v>
      </c>
      <c r="B857" s="1154" t="str">
        <f>VLOOKUP('Cash Balance'!$C857,Table2[#All],MATCH('Cash Balance'!B$3,Acc_Char!$B$1:$I$1,0),0)</f>
        <v>VIETINBANK - TIEN SON</v>
      </c>
      <c r="C857" s="1205" t="s">
        <v>1467</v>
      </c>
      <c r="D857" s="1156" t="str">
        <f>VLOOKUP('Cash Balance'!$C857,Table2[#All],MATCH('Cash Balance'!D$3,Acc_Char!$B$1:$I$1,0),0)</f>
        <v>Saving Account</v>
      </c>
      <c r="E857" s="1201" t="str">
        <f>VLOOKUP('Cash Balance'!$C857,Table2[#All],MATCH('Cash Balance'!E$3,Acc_Char!$B$1:$I$1,0),0)</f>
        <v>VND</v>
      </c>
      <c r="F857" s="1084" t="e">
        <f>VLOOKUP(C857,'Cash balance (BS)'!A:C,3,)</f>
        <v>#N/A</v>
      </c>
      <c r="G857" s="1191" t="e">
        <f t="shared" si="133"/>
        <v>#N/A</v>
      </c>
      <c r="H857" s="1321">
        <f>SUMIFS('Cash balance (Prior period)'!F:F,'Cash balance (Prior period)'!C:C,Table11[[#This Row],[ACCOUNT NUMBER]],'Cash balance (Prior period)'!E:E,Table11[[#This Row],[CURRENCY]])</f>
        <v>4000000000</v>
      </c>
      <c r="I857" s="1322">
        <f>SUMIFS(Movement!$F$4:$F$2136,Movement!$M$4:$M$2136,"VND",Movement!$C$4:$C$2136,Table11[[#This Row],[ACCOUNT NUMBER]],Movement!$J$4:$J$2136,Table11[[#This Row],[ENTITY]],Movement!$O$4:$O$2136,'Cash Balance'!$A$2)</f>
        <v>0</v>
      </c>
      <c r="J857" s="1323">
        <f>SUMIFS(Movement!$G$4:$G$2136,Movement!$M$4:$M$2136,"VND",Movement!$C$4:$C$2136,Table11[[#This Row],[ACCOUNT NUMBER]],Movement!$J$4:$J$2136,Table11[[#This Row],[ENTITY]],Movement!$O$4:$O$2136,'Cash Balance'!$A$2)</f>
        <v>0</v>
      </c>
      <c r="K857" s="1258">
        <f>Table11[[#This Row],[CASH IN - CREDIT (VND)]]-Table11[[#This Row],[CASH OUT - DEBIT (VND)]]</f>
        <v>0</v>
      </c>
      <c r="L857" s="1134">
        <f t="shared" si="134"/>
        <v>4000000000</v>
      </c>
      <c r="M857" s="1135" t="e">
        <f>VLOOKUP(C857,'Cash balance (BS)'!A:D,4,)</f>
        <v>#N/A</v>
      </c>
      <c r="N857" s="1136" t="e">
        <f>Table11[[#This Row],[CLOSING BALANCE (VND)2]]-Table11[[#This Row],[CB_BS (VND)]]</f>
        <v>#N/A</v>
      </c>
      <c r="O857" s="1094"/>
      <c r="P857" s="1135">
        <f t="shared" si="135"/>
        <v>0</v>
      </c>
      <c r="Q857" s="1137">
        <f>SUMIFS('Cash balance (Prior period)'!G:G,'Cash balance (Prior period)'!C:C,Table11[[#This Row],[ACCOUNT NUMBER]],'Cash balance (Prior period)'!E:E,Table11[[#This Row],[CURRENCY]])</f>
        <v>0</v>
      </c>
      <c r="R857" s="1138">
        <f>SUMIFS(Movement!$F$4:$F$2136,Movement!$M$4:$M$2136,"USD",Movement!$C$4:$C$2136,Table11[[#This Row],[ACCOUNT NUMBER]],Movement!$J$4:$J$2136,Table11[[#This Row],[ENTITY]],Movement!$O$4:$O$2136,'Cash Balance'!$A$2)</f>
        <v>0</v>
      </c>
      <c r="S857" s="1137">
        <f>SUMIFS(Movement!$G$4:$G$2136,Movement!$M$4:$M$2136,"USD",Movement!$C$4:$C$2136,Table11[[#This Row],[ACCOUNT NUMBER]],Movement!$J$4:$J$2136,Table11[[#This Row],[ENTITY]],Movement!$O$4:$O$2136,'Cash Balance'!$A$2)</f>
        <v>0</v>
      </c>
      <c r="T857" s="1139">
        <f t="shared" si="136"/>
        <v>0</v>
      </c>
      <c r="U857" s="1090"/>
      <c r="V857" s="1091">
        <f>Table11[[#This Row],[CLOSING BALANCE (USD)]]-Table11[[#This Row],[CB_BS (USD)]]</f>
        <v>0</v>
      </c>
      <c r="W857" s="1186" t="str">
        <f>VLOOKUP('Cash Balance'!$C857,Table2[#All],MATCH('Cash Balance'!W$3,Acc_Char!$B$1:$I$1,0),0)</f>
        <v>Subsidiaries</v>
      </c>
      <c r="X857" s="1156" t="str">
        <f>VLOOKUP(IFERROR(MID($Y857,1,FIND("-",$Y857)-2),$Y857),Table3[#All],2,0)</f>
        <v>VTB</v>
      </c>
      <c r="Y857" s="1156" t="str">
        <f>VLOOKUP($B857,Table4[#All],2,0)</f>
        <v>VIETINBANK - TIEN SON</v>
      </c>
      <c r="Z857" s="1151"/>
    </row>
    <row r="858" spans="1:26">
      <c r="A858" s="1153" t="str">
        <f>VLOOKUP('Cash Balance'!$C858,Table2[#All],MATCH('Cash Balance'!A$3,Acc_Char!$B$1:$I$1,0),0)</f>
        <v>WINLOCK 2A</v>
      </c>
      <c r="B858" s="1154" t="str">
        <f>VLOOKUP('Cash Balance'!$C858,Table2[#All],MATCH('Cash Balance'!B$3,Acc_Char!$B$1:$I$1,0),0)</f>
        <v>VIETINBANK - TIEN SON</v>
      </c>
      <c r="C858" s="1205" t="s">
        <v>1468</v>
      </c>
      <c r="D858" s="1156" t="str">
        <f>VLOOKUP('Cash Balance'!$C858,Table2[#All],MATCH('Cash Balance'!D$3,Acc_Char!$B$1:$I$1,0),0)</f>
        <v>Saving Account</v>
      </c>
      <c r="E858" s="1201" t="str">
        <f>VLOOKUP('Cash Balance'!$C858,Table2[#All],MATCH('Cash Balance'!E$3,Acc_Char!$B$1:$I$1,0),0)</f>
        <v>VND</v>
      </c>
      <c r="F858" s="1084" t="e">
        <f>VLOOKUP(C858,'Cash balance (BS)'!A:C,3,)</f>
        <v>#N/A</v>
      </c>
      <c r="G858" s="1191" t="e">
        <f t="shared" si="133"/>
        <v>#N/A</v>
      </c>
      <c r="H858" s="1321">
        <f>SUMIFS('Cash balance (Prior period)'!F:F,'Cash balance (Prior period)'!C:C,Table11[[#This Row],[ACCOUNT NUMBER]],'Cash balance (Prior period)'!E:E,Table11[[#This Row],[CURRENCY]])</f>
        <v>4000000000</v>
      </c>
      <c r="I858" s="1322">
        <f>SUMIFS(Movement!$F$4:$F$2136,Movement!$M$4:$M$2136,"VND",Movement!$C$4:$C$2136,Table11[[#This Row],[ACCOUNT NUMBER]],Movement!$J$4:$J$2136,Table11[[#This Row],[ENTITY]],Movement!$O$4:$O$2136,'Cash Balance'!$A$2)</f>
        <v>0</v>
      </c>
      <c r="J858" s="1323">
        <f>SUMIFS(Movement!$G$4:$G$2136,Movement!$M$4:$M$2136,"VND",Movement!$C$4:$C$2136,Table11[[#This Row],[ACCOUNT NUMBER]],Movement!$J$4:$J$2136,Table11[[#This Row],[ENTITY]],Movement!$O$4:$O$2136,'Cash Balance'!$A$2)</f>
        <v>0</v>
      </c>
      <c r="K858" s="1258">
        <f>Table11[[#This Row],[CASH IN - CREDIT (VND)]]-Table11[[#This Row],[CASH OUT - DEBIT (VND)]]</f>
        <v>0</v>
      </c>
      <c r="L858" s="1134">
        <f t="shared" si="134"/>
        <v>4000000000</v>
      </c>
      <c r="M858" s="1135" t="e">
        <f>VLOOKUP(C858,'Cash balance (BS)'!A:D,4,)</f>
        <v>#N/A</v>
      </c>
      <c r="N858" s="1136" t="e">
        <f>Table11[[#This Row],[CLOSING BALANCE (VND)2]]-Table11[[#This Row],[CB_BS (VND)]]</f>
        <v>#N/A</v>
      </c>
      <c r="O858" s="1094"/>
      <c r="P858" s="1135">
        <f t="shared" si="135"/>
        <v>0</v>
      </c>
      <c r="Q858" s="1137">
        <f>SUMIFS('Cash balance (Prior period)'!G:G,'Cash balance (Prior period)'!C:C,Table11[[#This Row],[ACCOUNT NUMBER]],'Cash balance (Prior period)'!E:E,Table11[[#This Row],[CURRENCY]])</f>
        <v>0</v>
      </c>
      <c r="R858" s="1138">
        <f>SUMIFS(Movement!$F$4:$F$2136,Movement!$M$4:$M$2136,"USD",Movement!$C$4:$C$2136,Table11[[#This Row],[ACCOUNT NUMBER]],Movement!$J$4:$J$2136,Table11[[#This Row],[ENTITY]],Movement!$O$4:$O$2136,'Cash Balance'!$A$2)</f>
        <v>0</v>
      </c>
      <c r="S858" s="1137">
        <f>SUMIFS(Movement!$G$4:$G$2136,Movement!$M$4:$M$2136,"USD",Movement!$C$4:$C$2136,Table11[[#This Row],[ACCOUNT NUMBER]],Movement!$J$4:$J$2136,Table11[[#This Row],[ENTITY]],Movement!$O$4:$O$2136,'Cash Balance'!$A$2)</f>
        <v>0</v>
      </c>
      <c r="T858" s="1139">
        <f t="shared" si="136"/>
        <v>0</v>
      </c>
      <c r="U858" s="1090"/>
      <c r="V858" s="1091">
        <f>Table11[[#This Row],[CLOSING BALANCE (USD)]]-Table11[[#This Row],[CB_BS (USD)]]</f>
        <v>0</v>
      </c>
      <c r="W858" s="1186" t="str">
        <f>VLOOKUP('Cash Balance'!$C858,Table2[#All],MATCH('Cash Balance'!W$3,Acc_Char!$B$1:$I$1,0),0)</f>
        <v>Subsidiaries</v>
      </c>
      <c r="X858" s="1156" t="str">
        <f>VLOOKUP(IFERROR(MID($Y858,1,FIND("-",$Y858)-2),$Y858),Table3[#All],2,0)</f>
        <v>VTB</v>
      </c>
      <c r="Y858" s="1156" t="str">
        <f>VLOOKUP($B858,Table4[#All],2,0)</f>
        <v>VIETINBANK - TIEN SON</v>
      </c>
      <c r="Z858" s="1151"/>
    </row>
    <row r="859" spans="1:26">
      <c r="A859" s="1153" t="str">
        <f>VLOOKUP('Cash Balance'!$C859,Table2[#All],MATCH('Cash Balance'!A$3,Acc_Char!$B$1:$I$1,0),0)</f>
        <v>LONG BINH</v>
      </c>
      <c r="B859" s="1154" t="str">
        <f>VLOOKUP('Cash Balance'!$C859,Table2[#All],MATCH('Cash Balance'!B$3,Acc_Char!$B$1:$I$1,0),0)</f>
        <v>VIETCOMBANK - HCM</v>
      </c>
      <c r="C859" s="1204" t="s">
        <v>1469</v>
      </c>
      <c r="D859" s="1156" t="str">
        <f>VLOOKUP('Cash Balance'!$C859,Table2[#All],MATCH('Cash Balance'!D$3,Acc_Char!$B$1:$I$1,0),0)</f>
        <v>Saving Account</v>
      </c>
      <c r="E859" s="384" t="str">
        <f>VLOOKUP('Cash Balance'!$C859,Table2[#All],MATCH('Cash Balance'!E$3,Acc_Char!$B$1:$I$1,0),0)</f>
        <v>VND</v>
      </c>
      <c r="F859" s="1224" t="e">
        <f>VLOOKUP(C859,'Cash balance (BS)'!A:C,3,)</f>
        <v>#N/A</v>
      </c>
      <c r="G859" s="1191" t="e">
        <f t="shared" si="133"/>
        <v>#N/A</v>
      </c>
      <c r="H859" s="1324">
        <f>SUMIFS('Cash balance (Prior period)'!F:F,'Cash balance (Prior period)'!C:C,Table11[[#This Row],[ACCOUNT NUMBER]],'Cash balance (Prior period)'!E:E,Table11[[#This Row],[CURRENCY]])</f>
        <v>3000000000</v>
      </c>
      <c r="I859" s="1319">
        <f>SUMIFS(Movement!$F$4:$F$2136,Movement!$M$4:$M$2136,"VND",Movement!$C$4:$C$2136,Table11[[#This Row],[ACCOUNT NUMBER]],Movement!$J$4:$J$2136,Table11[[#This Row],[ENTITY]],Movement!$O$4:$O$2136,'Cash Balance'!$A$2)</f>
        <v>0</v>
      </c>
      <c r="J859" s="1319">
        <f>SUMIFS(Movement!$G$4:$G$2136,Movement!$M$4:$M$2136,"VND",Movement!$C$4:$C$2136,Table11[[#This Row],[ACCOUNT NUMBER]],Movement!$J$4:$J$2136,Table11[[#This Row],[ENTITY]],Movement!$O$4:$O$2136,'Cash Balance'!$A$2)</f>
        <v>0</v>
      </c>
      <c r="K859" s="1224">
        <f>Table11[[#This Row],[CASH IN - CREDIT (VND)]]-Table11[[#This Row],[CASH OUT - DEBIT (VND)]]</f>
        <v>0</v>
      </c>
      <c r="L859" s="1225">
        <f t="shared" si="134"/>
        <v>3000000000</v>
      </c>
      <c r="M859" s="1228" t="e">
        <f>VLOOKUP(C859,'Cash balance (BS)'!A:D,4,)</f>
        <v>#N/A</v>
      </c>
      <c r="N859" s="1229" t="e">
        <f>Table11[[#This Row],[CLOSING BALANCE (VND)2]]-Table11[[#This Row],[CB_BS (VND)]]</f>
        <v>#N/A</v>
      </c>
      <c r="O859" s="1230"/>
      <c r="P859" s="1228">
        <f t="shared" si="135"/>
        <v>0</v>
      </c>
      <c r="Q859" s="1226">
        <f>SUMIFS('Cash balance (Prior period)'!G:G,'Cash balance (Prior period)'!C:C,Table11[[#This Row],[ACCOUNT NUMBER]],'Cash balance (Prior period)'!E:E,Table11[[#This Row],[CURRENCY]])</f>
        <v>0</v>
      </c>
      <c r="R859" s="1226">
        <f>SUMIFS(Movement!$F$4:$F$2136,Movement!$M$4:$M$2136,"USD",Movement!$C$4:$C$2136,Table11[[#This Row],[ACCOUNT NUMBER]],Movement!$J$4:$J$2136,Table11[[#This Row],[ENTITY]],Movement!$O$4:$O$2136,'Cash Balance'!$A$2)</f>
        <v>0</v>
      </c>
      <c r="S859" s="1226">
        <f>SUMIFS(Movement!$G$4:$G$2136,Movement!$M$4:$M$2136,"USD",Movement!$C$4:$C$2136,Table11[[#This Row],[ACCOUNT NUMBER]],Movement!$J$4:$J$2136,Table11[[#This Row],[ENTITY]],Movement!$O$4:$O$2136,'Cash Balance'!$A$2)</f>
        <v>0</v>
      </c>
      <c r="T859" s="1227">
        <f t="shared" si="136"/>
        <v>0</v>
      </c>
      <c r="U859" s="1231"/>
      <c r="V859" s="1232">
        <f>Table11[[#This Row],[CLOSING BALANCE (USD)]]-Table11[[#This Row],[CB_BS (USD)]]</f>
        <v>0</v>
      </c>
      <c r="W859" s="1186" t="str">
        <f>VLOOKUP('Cash Balance'!$C859,Table2[#All],MATCH('Cash Balance'!W$3,Acc_Char!$B$1:$I$1,0),0)</f>
        <v>Subsidiaries</v>
      </c>
      <c r="X859" s="1156" t="str">
        <f>VLOOKUP(IFERROR(MID($Y859,1,FIND("-",$Y859)-2),$Y859),Table3[#All],2,0)</f>
        <v>VCB</v>
      </c>
      <c r="Y859" s="1156" t="str">
        <f>VLOOKUP($B859,Table4[#All],2,0)</f>
        <v>VIETCOMBANK - HCM</v>
      </c>
      <c r="Z859" s="1151"/>
    </row>
    <row r="860" spans="1:26">
      <c r="A860" s="1153" t="str">
        <f>VLOOKUP('Cash Balance'!$C860,Table2[#All],MATCH('Cash Balance'!A$3,Acc_Char!$B$1:$I$1,0),0)</f>
        <v>THUAN THANH 3B</v>
      </c>
      <c r="B860" s="1154" t="str">
        <f>VLOOKUP('Cash Balance'!$C860,Table2[#All],MATCH('Cash Balance'!B$3,Acc_Char!$B$1:$I$1,0),0)</f>
        <v>VIETCOMBANK - BA DINH</v>
      </c>
      <c r="C860" s="1204" t="s">
        <v>1470</v>
      </c>
      <c r="D860" s="1156" t="str">
        <f>VLOOKUP('Cash Balance'!$C860,Table2[#All],MATCH('Cash Balance'!D$3,Acc_Char!$B$1:$I$1,0),0)</f>
        <v>Saving Account</v>
      </c>
      <c r="E860" s="384" t="str">
        <f>VLOOKUP('Cash Balance'!$C860,Table2[#All],MATCH('Cash Balance'!E$3,Acc_Char!$B$1:$I$1,0),0)</f>
        <v>VND</v>
      </c>
      <c r="F860" s="1224" t="e">
        <f>VLOOKUP(C860,'Cash balance (BS)'!A:C,3,)</f>
        <v>#N/A</v>
      </c>
      <c r="G860" s="1191" t="e">
        <f t="shared" si="133"/>
        <v>#N/A</v>
      </c>
      <c r="H860" s="1324">
        <f>SUMIFS('Cash balance (Prior period)'!F:F,'Cash balance (Prior period)'!C:C,Table11[[#This Row],[ACCOUNT NUMBER]],'Cash balance (Prior period)'!E:E,Table11[[#This Row],[CURRENCY]])</f>
        <v>2000000000</v>
      </c>
      <c r="I860" s="1319">
        <f>SUMIFS(Movement!$F$4:$F$2136,Movement!$M$4:$M$2136,"VND",Movement!$C$4:$C$2136,Table11[[#This Row],[ACCOUNT NUMBER]],Movement!$J$4:$J$2136,Table11[[#This Row],[ENTITY]],Movement!$O$4:$O$2136,'Cash Balance'!$A$2)</f>
        <v>0</v>
      </c>
      <c r="J860" s="1319">
        <f>SUMIFS(Movement!$G$4:$G$2136,Movement!$M$4:$M$2136,"VND",Movement!$C$4:$C$2136,Table11[[#This Row],[ACCOUNT NUMBER]],Movement!$J$4:$J$2136,Table11[[#This Row],[ENTITY]],Movement!$O$4:$O$2136,'Cash Balance'!$A$2)</f>
        <v>0</v>
      </c>
      <c r="K860" s="1224">
        <f>Table11[[#This Row],[CASH IN - CREDIT (VND)]]-Table11[[#This Row],[CASH OUT - DEBIT (VND)]]</f>
        <v>0</v>
      </c>
      <c r="L860" s="1225">
        <f t="shared" si="134"/>
        <v>2000000000</v>
      </c>
      <c r="M860" s="1228" t="e">
        <f>VLOOKUP(C860,'Cash balance (BS)'!A:D,4,)</f>
        <v>#N/A</v>
      </c>
      <c r="N860" s="1229" t="e">
        <f>Table11[[#This Row],[CLOSING BALANCE (VND)2]]-Table11[[#This Row],[CB_BS (VND)]]</f>
        <v>#N/A</v>
      </c>
      <c r="O860" s="1230"/>
      <c r="P860" s="1228">
        <f t="shared" si="135"/>
        <v>0</v>
      </c>
      <c r="Q860" s="1226">
        <f>SUMIFS('Cash balance (Prior period)'!G:G,'Cash balance (Prior period)'!C:C,Table11[[#This Row],[ACCOUNT NUMBER]],'Cash balance (Prior period)'!E:E,Table11[[#This Row],[CURRENCY]])</f>
        <v>0</v>
      </c>
      <c r="R860" s="1226">
        <f>SUMIFS(Movement!$F$4:$F$2136,Movement!$M$4:$M$2136,"USD",Movement!$C$4:$C$2136,Table11[[#This Row],[ACCOUNT NUMBER]],Movement!$J$4:$J$2136,Table11[[#This Row],[ENTITY]],Movement!$O$4:$O$2136,'Cash Balance'!$A$2)</f>
        <v>0</v>
      </c>
      <c r="S860" s="1226">
        <f>SUMIFS(Movement!$G$4:$G$2136,Movement!$M$4:$M$2136,"USD",Movement!$C$4:$C$2136,Table11[[#This Row],[ACCOUNT NUMBER]],Movement!$J$4:$J$2136,Table11[[#This Row],[ENTITY]],Movement!$O$4:$O$2136,'Cash Balance'!$A$2)</f>
        <v>0</v>
      </c>
      <c r="T860" s="1227">
        <f t="shared" si="136"/>
        <v>0</v>
      </c>
      <c r="U860" s="1231"/>
      <c r="V860" s="1232">
        <f>Table11[[#This Row],[CLOSING BALANCE (USD)]]-Table11[[#This Row],[CB_BS (USD)]]</f>
        <v>0</v>
      </c>
      <c r="W860" s="1186" t="str">
        <f>VLOOKUP('Cash Balance'!$C860,Table2[#All],MATCH('Cash Balance'!W$3,Acc_Char!$B$1:$I$1,0),0)</f>
        <v>Subsidiaries</v>
      </c>
      <c r="X860" s="1156" t="str">
        <f>VLOOKUP(IFERROR(MID($Y860,1,FIND("-",$Y860)-2),$Y860),Table3[#All],2,0)</f>
        <v>VCB</v>
      </c>
      <c r="Y860" s="1156" t="str">
        <f>VLOOKUP($B860,Table4[#All],2,0)</f>
        <v>VIETCOMBANK - BA DINH</v>
      </c>
      <c r="Z860" s="1151"/>
    </row>
    <row r="861" spans="1:26">
      <c r="A861" s="1153" t="str">
        <f>VLOOKUP('Cash Balance'!$C861,Table2[#All],MATCH('Cash Balance'!A$3,Acc_Char!$B$1:$I$1,0),0)</f>
        <v>THUAN THANH 3B</v>
      </c>
      <c r="B861" s="1154" t="str">
        <f>VLOOKUP('Cash Balance'!$C861,Table2[#All],MATCH('Cash Balance'!B$3,Acc_Char!$B$1:$I$1,0),0)</f>
        <v>VIETCOMBANK - BA DINH</v>
      </c>
      <c r="C861" s="1204" t="s">
        <v>1471</v>
      </c>
      <c r="D861" s="1156" t="str">
        <f>VLOOKUP('Cash Balance'!$C861,Table2[#All],MATCH('Cash Balance'!D$3,Acc_Char!$B$1:$I$1,0),0)</f>
        <v>Saving Account</v>
      </c>
      <c r="E861" s="384" t="str">
        <f>VLOOKUP('Cash Balance'!$C861,Table2[#All],MATCH('Cash Balance'!E$3,Acc_Char!$B$1:$I$1,0),0)</f>
        <v>VND</v>
      </c>
      <c r="F861" s="1224" t="e">
        <f>VLOOKUP(C861,'Cash balance (BS)'!A:C,3,)</f>
        <v>#N/A</v>
      </c>
      <c r="G861" s="1191" t="e">
        <f t="shared" si="133"/>
        <v>#N/A</v>
      </c>
      <c r="H861" s="1324">
        <f>SUMIFS('Cash balance (Prior period)'!F:F,'Cash balance (Prior period)'!C:C,Table11[[#This Row],[ACCOUNT NUMBER]],'Cash balance (Prior period)'!E:E,Table11[[#This Row],[CURRENCY]])</f>
        <v>5000000000</v>
      </c>
      <c r="I861" s="1319">
        <f>SUMIFS(Movement!$F$4:$F$2136,Movement!$M$4:$M$2136,"VND",Movement!$C$4:$C$2136,Table11[[#This Row],[ACCOUNT NUMBER]],Movement!$J$4:$J$2136,Table11[[#This Row],[ENTITY]],Movement!$O$4:$O$2136,'Cash Balance'!$A$2)</f>
        <v>0</v>
      </c>
      <c r="J861" s="1319">
        <f>SUMIFS(Movement!$G$4:$G$2136,Movement!$M$4:$M$2136,"VND",Movement!$C$4:$C$2136,Table11[[#This Row],[ACCOUNT NUMBER]],Movement!$J$4:$J$2136,Table11[[#This Row],[ENTITY]],Movement!$O$4:$O$2136,'Cash Balance'!$A$2)</f>
        <v>0</v>
      </c>
      <c r="K861" s="1224">
        <f>Table11[[#This Row],[CASH IN - CREDIT (VND)]]-Table11[[#This Row],[CASH OUT - DEBIT (VND)]]</f>
        <v>0</v>
      </c>
      <c r="L861" s="1225">
        <f t="shared" si="134"/>
        <v>5000000000</v>
      </c>
      <c r="M861" s="1228" t="e">
        <f>VLOOKUP(C861,'Cash balance (BS)'!A:D,4,)</f>
        <v>#N/A</v>
      </c>
      <c r="N861" s="1229" t="e">
        <f>Table11[[#This Row],[CLOSING BALANCE (VND)2]]-Table11[[#This Row],[CB_BS (VND)]]</f>
        <v>#N/A</v>
      </c>
      <c r="O861" s="1230"/>
      <c r="P861" s="1228">
        <f t="shared" si="135"/>
        <v>0</v>
      </c>
      <c r="Q861" s="1226">
        <f>SUMIFS('Cash balance (Prior period)'!G:G,'Cash balance (Prior period)'!C:C,Table11[[#This Row],[ACCOUNT NUMBER]],'Cash balance (Prior period)'!E:E,Table11[[#This Row],[CURRENCY]])</f>
        <v>0</v>
      </c>
      <c r="R861" s="1226">
        <f>SUMIFS(Movement!$F$4:$F$2136,Movement!$M$4:$M$2136,"USD",Movement!$C$4:$C$2136,Table11[[#This Row],[ACCOUNT NUMBER]],Movement!$J$4:$J$2136,Table11[[#This Row],[ENTITY]],Movement!$O$4:$O$2136,'Cash Balance'!$A$2)</f>
        <v>0</v>
      </c>
      <c r="S861" s="1226">
        <f>SUMIFS(Movement!$G$4:$G$2136,Movement!$M$4:$M$2136,"USD",Movement!$C$4:$C$2136,Table11[[#This Row],[ACCOUNT NUMBER]],Movement!$J$4:$J$2136,Table11[[#This Row],[ENTITY]],Movement!$O$4:$O$2136,'Cash Balance'!$A$2)</f>
        <v>0</v>
      </c>
      <c r="T861" s="1227">
        <f t="shared" si="136"/>
        <v>0</v>
      </c>
      <c r="U861" s="1231"/>
      <c r="V861" s="1232">
        <f>Table11[[#This Row],[CLOSING BALANCE (USD)]]-Table11[[#This Row],[CB_BS (USD)]]</f>
        <v>0</v>
      </c>
      <c r="W861" s="1186" t="str">
        <f>VLOOKUP('Cash Balance'!$C861,Table2[#All],MATCH('Cash Balance'!W$3,Acc_Char!$B$1:$I$1,0),0)</f>
        <v>Subsidiaries</v>
      </c>
      <c r="X861" s="1156" t="str">
        <f>VLOOKUP(IFERROR(MID($Y861,1,FIND("-",$Y861)-2),$Y861),Table3[#All],2,0)</f>
        <v>VCB</v>
      </c>
      <c r="Y861" s="1156" t="str">
        <f>VLOOKUP($B861,Table4[#All],2,0)</f>
        <v>VIETCOMBANK - BA DINH</v>
      </c>
      <c r="Z861" s="1151"/>
    </row>
    <row r="862" spans="1:26">
      <c r="A862" s="1153" t="str">
        <f>VLOOKUP('Cash Balance'!$C862,Table2[#All],MATCH('Cash Balance'!A$3,Acc_Char!$B$1:$I$1,0),0)</f>
        <v>BWID LOGISTICS TAN UYEN</v>
      </c>
      <c r="B862" s="1154" t="str">
        <f>VLOOKUP('Cash Balance'!$C862,Table2[#All],MATCH('Cash Balance'!B$3,Acc_Char!$B$1:$I$1,0),0)</f>
        <v>VIETCOMBANK - BA DINH</v>
      </c>
      <c r="C862" s="1204" t="s">
        <v>1472</v>
      </c>
      <c r="D862" s="1156" t="str">
        <f>VLOOKUP('Cash Balance'!$C862,Table2[#All],MATCH('Cash Balance'!D$3,Acc_Char!$B$1:$I$1,0),0)</f>
        <v>Saving Account</v>
      </c>
      <c r="E862" s="384" t="str">
        <f>VLOOKUP('Cash Balance'!$C862,Table2[#All],MATCH('Cash Balance'!E$3,Acc_Char!$B$1:$I$1,0),0)</f>
        <v>VND</v>
      </c>
      <c r="F862" s="1224" t="e">
        <f>VLOOKUP(C862,'Cash balance (BS)'!A:C,3,)</f>
        <v>#N/A</v>
      </c>
      <c r="G862" s="1191" t="e">
        <f t="shared" si="133"/>
        <v>#N/A</v>
      </c>
      <c r="H862" s="1324">
        <f>SUMIFS('Cash balance (Prior period)'!F:F,'Cash balance (Prior period)'!C:C,Table11[[#This Row],[ACCOUNT NUMBER]],'Cash balance (Prior period)'!E:E,Table11[[#This Row],[CURRENCY]])</f>
        <v>8000000000</v>
      </c>
      <c r="I862" s="1319">
        <f>SUMIFS(Movement!$F$4:$F$2136,Movement!$M$4:$M$2136,"VND",Movement!$C$4:$C$2136,Table11[[#This Row],[ACCOUNT NUMBER]],Movement!$J$4:$J$2136,Table11[[#This Row],[ENTITY]],Movement!$O$4:$O$2136,'Cash Balance'!$A$2)</f>
        <v>0</v>
      </c>
      <c r="J862" s="1319">
        <f>SUMIFS(Movement!$G$4:$G$2136,Movement!$M$4:$M$2136,"VND",Movement!$C$4:$C$2136,Table11[[#This Row],[ACCOUNT NUMBER]],Movement!$J$4:$J$2136,Table11[[#This Row],[ENTITY]],Movement!$O$4:$O$2136,'Cash Balance'!$A$2)</f>
        <v>0</v>
      </c>
      <c r="K862" s="1224">
        <f>Table11[[#This Row],[CASH IN - CREDIT (VND)]]-Table11[[#This Row],[CASH OUT - DEBIT (VND)]]</f>
        <v>0</v>
      </c>
      <c r="L862" s="1225">
        <f t="shared" si="134"/>
        <v>8000000000</v>
      </c>
      <c r="M862" s="1228" t="e">
        <f>VLOOKUP(C862,'Cash balance (BS)'!A:D,4,)</f>
        <v>#N/A</v>
      </c>
      <c r="N862" s="1229" t="e">
        <f>Table11[[#This Row],[CLOSING BALANCE (VND)2]]-Table11[[#This Row],[CB_BS (VND)]]</f>
        <v>#N/A</v>
      </c>
      <c r="O862" s="1230"/>
      <c r="P862" s="1228">
        <f t="shared" si="135"/>
        <v>0</v>
      </c>
      <c r="Q862" s="1226">
        <f>SUMIFS('Cash balance (Prior period)'!G:G,'Cash balance (Prior period)'!C:C,Table11[[#This Row],[ACCOUNT NUMBER]],'Cash balance (Prior period)'!E:E,Table11[[#This Row],[CURRENCY]])</f>
        <v>0</v>
      </c>
      <c r="R862" s="1226">
        <f>SUMIFS(Movement!$F$4:$F$2136,Movement!$M$4:$M$2136,"USD",Movement!$C$4:$C$2136,Table11[[#This Row],[ACCOUNT NUMBER]],Movement!$J$4:$J$2136,Table11[[#This Row],[ENTITY]],Movement!$O$4:$O$2136,'Cash Balance'!$A$2)</f>
        <v>0</v>
      </c>
      <c r="S862" s="1226">
        <f>SUMIFS(Movement!$G$4:$G$2136,Movement!$M$4:$M$2136,"USD",Movement!$C$4:$C$2136,Table11[[#This Row],[ACCOUNT NUMBER]],Movement!$J$4:$J$2136,Table11[[#This Row],[ENTITY]],Movement!$O$4:$O$2136,'Cash Balance'!$A$2)</f>
        <v>0</v>
      </c>
      <c r="T862" s="1227">
        <f t="shared" si="136"/>
        <v>0</v>
      </c>
      <c r="U862" s="1231"/>
      <c r="V862" s="1232">
        <f>Table11[[#This Row],[CLOSING BALANCE (USD)]]-Table11[[#This Row],[CB_BS (USD)]]</f>
        <v>0</v>
      </c>
      <c r="W862" s="1186" t="str">
        <f>VLOOKUP('Cash Balance'!$C862,Table2[#All],MATCH('Cash Balance'!W$3,Acc_Char!$B$1:$I$1,0),0)</f>
        <v>Subsidiaries</v>
      </c>
      <c r="X862" s="1156" t="str">
        <f>VLOOKUP(IFERROR(MID($Y862,1,FIND("-",$Y862)-2),$Y862),Table3[#All],2,0)</f>
        <v>VCB</v>
      </c>
      <c r="Y862" s="1156" t="str">
        <f>VLOOKUP($B862,Table4[#All],2,0)</f>
        <v>VIETCOMBANK - BA DINH</v>
      </c>
      <c r="Z862" s="1151"/>
    </row>
    <row r="863" spans="1:26">
      <c r="A863" s="1153" t="str">
        <f>VLOOKUP('Cash Balance'!$C863,Table2[#All],MATCH('Cash Balance'!A$3,Acc_Char!$B$1:$I$1,0),0)</f>
        <v>BW NAM DINH VU</v>
      </c>
      <c r="B863" s="1154" t="str">
        <f>VLOOKUP('Cash Balance'!$C863,Table2[#All],MATCH('Cash Balance'!B$3,Acc_Char!$B$1:$I$1,0),0)</f>
        <v>VIETINBANK - BINH DUONG</v>
      </c>
      <c r="C863" s="1205" t="s">
        <v>1473</v>
      </c>
      <c r="D863" s="1156" t="str">
        <f>VLOOKUP('Cash Balance'!$C863,Table2[#All],MATCH('Cash Balance'!D$3,Acc_Char!$B$1:$I$1,0),0)</f>
        <v>Saving Account</v>
      </c>
      <c r="E863" s="1201" t="str">
        <f>VLOOKUP('Cash Balance'!$C863,Table2[#All],MATCH('Cash Balance'!E$3,Acc_Char!$B$1:$I$1,0),0)</f>
        <v>VND</v>
      </c>
      <c r="F863" s="1084" t="e">
        <f>VLOOKUP(C863,'Cash balance (BS)'!A:C,3,)</f>
        <v>#N/A</v>
      </c>
      <c r="G863" s="1191" t="e">
        <f t="shared" si="133"/>
        <v>#N/A</v>
      </c>
      <c r="H863" s="1321">
        <f>SUMIFS('Cash balance (Prior period)'!F:F,'Cash balance (Prior period)'!C:C,Table11[[#This Row],[ACCOUNT NUMBER]],'Cash balance (Prior period)'!E:E,Table11[[#This Row],[CURRENCY]])</f>
        <v>4000000000</v>
      </c>
      <c r="I863" s="1322">
        <f>SUMIFS(Movement!$F$4:$F$2136,Movement!$M$4:$M$2136,"VND",Movement!$C$4:$C$2136,Table11[[#This Row],[ACCOUNT NUMBER]],Movement!$J$4:$J$2136,Table11[[#This Row],[ENTITY]],Movement!$O$4:$O$2136,'Cash Balance'!$A$2)</f>
        <v>0</v>
      </c>
      <c r="J863" s="1323">
        <f>SUMIFS(Movement!$G$4:$G$2136,Movement!$M$4:$M$2136,"VND",Movement!$C$4:$C$2136,Table11[[#This Row],[ACCOUNT NUMBER]],Movement!$J$4:$J$2136,Table11[[#This Row],[ENTITY]],Movement!$O$4:$O$2136,'Cash Balance'!$A$2)</f>
        <v>0</v>
      </c>
      <c r="K863" s="1258">
        <f>Table11[[#This Row],[CASH IN - CREDIT (VND)]]-Table11[[#This Row],[CASH OUT - DEBIT (VND)]]</f>
        <v>0</v>
      </c>
      <c r="L863" s="1134">
        <f t="shared" si="134"/>
        <v>4000000000</v>
      </c>
      <c r="M863" s="1135" t="e">
        <f>VLOOKUP(C863,'Cash balance (BS)'!A:D,4,)</f>
        <v>#N/A</v>
      </c>
      <c r="N863" s="1136" t="e">
        <f>Table11[[#This Row],[CLOSING BALANCE (VND)2]]-Table11[[#This Row],[CB_BS (VND)]]</f>
        <v>#N/A</v>
      </c>
      <c r="O863" s="1094"/>
      <c r="P863" s="1135">
        <f t="shared" si="135"/>
        <v>0</v>
      </c>
      <c r="Q863" s="1137">
        <f>SUMIFS('Cash balance (Prior period)'!G:G,'Cash balance (Prior period)'!C:C,Table11[[#This Row],[ACCOUNT NUMBER]],'Cash balance (Prior period)'!E:E,Table11[[#This Row],[CURRENCY]])</f>
        <v>0</v>
      </c>
      <c r="R863" s="1138">
        <f>SUMIFS(Movement!$F$4:$F$2136,Movement!$M$4:$M$2136,"USD",Movement!$C$4:$C$2136,Table11[[#This Row],[ACCOUNT NUMBER]],Movement!$J$4:$J$2136,Table11[[#This Row],[ENTITY]],Movement!$O$4:$O$2136,'Cash Balance'!$A$2)</f>
        <v>0</v>
      </c>
      <c r="S863" s="1137">
        <f>SUMIFS(Movement!$G$4:$G$2136,Movement!$M$4:$M$2136,"USD",Movement!$C$4:$C$2136,Table11[[#This Row],[ACCOUNT NUMBER]],Movement!$J$4:$J$2136,Table11[[#This Row],[ENTITY]],Movement!$O$4:$O$2136,'Cash Balance'!$A$2)</f>
        <v>0</v>
      </c>
      <c r="T863" s="1139">
        <f t="shared" si="136"/>
        <v>0</v>
      </c>
      <c r="U863" s="1090"/>
      <c r="V863" s="1091">
        <f>Table11[[#This Row],[CLOSING BALANCE (USD)]]-Table11[[#This Row],[CB_BS (USD)]]</f>
        <v>0</v>
      </c>
      <c r="W863" s="1186" t="str">
        <f>VLOOKUP('Cash Balance'!$C863,Table2[#All],MATCH('Cash Balance'!W$3,Acc_Char!$B$1:$I$1,0),0)</f>
        <v>Subsidiaries</v>
      </c>
      <c r="X863" s="1156" t="str">
        <f>VLOOKUP(IFERROR(MID($Y863,1,FIND("-",$Y863)-2),$Y863),Table3[#All],2,0)</f>
        <v>VTB</v>
      </c>
      <c r="Y863" s="1156" t="str">
        <f>VLOOKUP($B863,Table4[#All],2,0)</f>
        <v>VIETINBANK - BINH DUONG + QM</v>
      </c>
      <c r="Z863" s="1151"/>
    </row>
    <row r="864" spans="1:26">
      <c r="A864" s="1153" t="str">
        <f>VLOOKUP('Cash Balance'!$C864,Table2[#All],MATCH('Cash Balance'!A$3,Acc_Char!$B$1:$I$1,0),0)</f>
        <v>XENIA 1</v>
      </c>
      <c r="B864" s="1154" t="str">
        <f>VLOOKUP('Cash Balance'!$C864,Table2[#All],MATCH('Cash Balance'!B$3,Acc_Char!$B$1:$I$1,0),0)</f>
        <v>VIETINBANK - TIEN SON</v>
      </c>
      <c r="C864" s="1205" t="s">
        <v>1474</v>
      </c>
      <c r="D864" s="1156" t="str">
        <f>VLOOKUP('Cash Balance'!$C864,Table2[#All],MATCH('Cash Balance'!D$3,Acc_Char!$B$1:$I$1,0),0)</f>
        <v>Saving Account</v>
      </c>
      <c r="E864" s="1201" t="str">
        <f>VLOOKUP('Cash Balance'!$C864,Table2[#All],MATCH('Cash Balance'!E$3,Acc_Char!$B$1:$I$1,0),0)</f>
        <v>VND</v>
      </c>
      <c r="F864" s="1084" t="e">
        <f>VLOOKUP(C864,'Cash balance (BS)'!A:C,3,)</f>
        <v>#N/A</v>
      </c>
      <c r="G864" s="1191" t="e">
        <f t="shared" si="133"/>
        <v>#N/A</v>
      </c>
      <c r="H864" s="1321">
        <f>SUMIFS('Cash balance (Prior period)'!F:F,'Cash balance (Prior period)'!C:C,Table11[[#This Row],[ACCOUNT NUMBER]],'Cash balance (Prior period)'!E:E,Table11[[#This Row],[CURRENCY]])</f>
        <v>22000000000</v>
      </c>
      <c r="I864" s="1322">
        <f>SUMIFS(Movement!$F$4:$F$2136,Movement!$M$4:$M$2136,"VND",Movement!$C$4:$C$2136,Table11[[#This Row],[ACCOUNT NUMBER]],Movement!$J$4:$J$2136,Table11[[#This Row],[ENTITY]],Movement!$O$4:$O$2136,'Cash Balance'!$A$2)</f>
        <v>0</v>
      </c>
      <c r="J864" s="1323">
        <f>SUMIFS(Movement!$G$4:$G$2136,Movement!$M$4:$M$2136,"VND",Movement!$C$4:$C$2136,Table11[[#This Row],[ACCOUNT NUMBER]],Movement!$J$4:$J$2136,Table11[[#This Row],[ENTITY]],Movement!$O$4:$O$2136,'Cash Balance'!$A$2)</f>
        <v>0</v>
      </c>
      <c r="K864" s="1258">
        <f>Table11[[#This Row],[CASH IN - CREDIT (VND)]]-Table11[[#This Row],[CASH OUT - DEBIT (VND)]]</f>
        <v>0</v>
      </c>
      <c r="L864" s="1134">
        <f t="shared" si="134"/>
        <v>22000000000</v>
      </c>
      <c r="M864" s="1135" t="e">
        <f>VLOOKUP(C864,'Cash balance (BS)'!A:D,4,)</f>
        <v>#N/A</v>
      </c>
      <c r="N864" s="1136" t="e">
        <f>Table11[[#This Row],[CLOSING BALANCE (VND)2]]-Table11[[#This Row],[CB_BS (VND)]]</f>
        <v>#N/A</v>
      </c>
      <c r="O864" s="1094"/>
      <c r="P864" s="1135">
        <f t="shared" si="135"/>
        <v>0</v>
      </c>
      <c r="Q864" s="1137">
        <f>SUMIFS('Cash balance (Prior period)'!G:G,'Cash balance (Prior period)'!C:C,Table11[[#This Row],[ACCOUNT NUMBER]],'Cash balance (Prior period)'!E:E,Table11[[#This Row],[CURRENCY]])</f>
        <v>0</v>
      </c>
      <c r="R864" s="1138">
        <f>SUMIFS(Movement!$F$4:$F$2136,Movement!$M$4:$M$2136,"USD",Movement!$C$4:$C$2136,Table11[[#This Row],[ACCOUNT NUMBER]],Movement!$J$4:$J$2136,Table11[[#This Row],[ENTITY]],Movement!$O$4:$O$2136,'Cash Balance'!$A$2)</f>
        <v>0</v>
      </c>
      <c r="S864" s="1137">
        <f>SUMIFS(Movement!$G$4:$G$2136,Movement!$M$4:$M$2136,"USD",Movement!$C$4:$C$2136,Table11[[#This Row],[ACCOUNT NUMBER]],Movement!$J$4:$J$2136,Table11[[#This Row],[ENTITY]],Movement!$O$4:$O$2136,'Cash Balance'!$A$2)</f>
        <v>0</v>
      </c>
      <c r="T864" s="1139">
        <f t="shared" si="136"/>
        <v>0</v>
      </c>
      <c r="U864" s="1090"/>
      <c r="V864" s="1091">
        <f>Table11[[#This Row],[CLOSING BALANCE (USD)]]-Table11[[#This Row],[CB_BS (USD)]]</f>
        <v>0</v>
      </c>
      <c r="W864" s="1186" t="str">
        <f>VLOOKUP('Cash Balance'!$C864,Table2[#All],MATCH('Cash Balance'!W$3,Acc_Char!$B$1:$I$1,0),0)</f>
        <v>Subsidiaries</v>
      </c>
      <c r="X864" s="1156" t="str">
        <f>VLOOKUP(IFERROR(MID($Y864,1,FIND("-",$Y864)-2),$Y864),Table3[#All],2,0)</f>
        <v>VTB</v>
      </c>
      <c r="Y864" s="1156" t="str">
        <f>VLOOKUP($B864,Table4[#All],2,0)</f>
        <v>VIETINBANK - TIEN SON</v>
      </c>
      <c r="Z864" s="1151"/>
    </row>
    <row r="865" spans="1:26">
      <c r="A865" s="1153" t="str">
        <f>VLOOKUP('Cash Balance'!$C865,Table2[#All],MATCH('Cash Balance'!A$3,Acc_Char!$B$1:$I$1,0),0)</f>
        <v>BWID Tan Phu Trung</v>
      </c>
      <c r="B865" s="1154" t="str">
        <f>VLOOKUP('Cash Balance'!$C865,Table2[#All],MATCH('Cash Balance'!B$3,Acc_Char!$B$1:$I$1,0),0)</f>
        <v>VIETINBANK - TIEN SON</v>
      </c>
      <c r="C865" s="1205" t="s">
        <v>1475</v>
      </c>
      <c r="D865" s="1156" t="str">
        <f>VLOOKUP('Cash Balance'!$C865,Table2[#All],MATCH('Cash Balance'!D$3,Acc_Char!$B$1:$I$1,0),0)</f>
        <v>Saving Account</v>
      </c>
      <c r="E865" s="1201" t="str">
        <f>VLOOKUP('Cash Balance'!$C865,Table2[#All],MATCH('Cash Balance'!E$3,Acc_Char!$B$1:$I$1,0),0)</f>
        <v>VND</v>
      </c>
      <c r="F865" s="1084" t="e">
        <f>VLOOKUP(C865,'Cash balance (BS)'!A:C,3,)</f>
        <v>#N/A</v>
      </c>
      <c r="G865" s="1191" t="e">
        <f t="shared" si="133"/>
        <v>#N/A</v>
      </c>
      <c r="H865" s="1321">
        <f>SUMIFS('Cash balance (Prior period)'!F:F,'Cash balance (Prior period)'!C:C,Table11[[#This Row],[ACCOUNT NUMBER]],'Cash balance (Prior period)'!E:E,Table11[[#This Row],[CURRENCY]])</f>
        <v>8000000000</v>
      </c>
      <c r="I865" s="1322">
        <f>SUMIFS(Movement!$F$4:$F$2136,Movement!$M$4:$M$2136,"VND",Movement!$C$4:$C$2136,Table11[[#This Row],[ACCOUNT NUMBER]],Movement!$J$4:$J$2136,Table11[[#This Row],[ENTITY]],Movement!$O$4:$O$2136,'Cash Balance'!$A$2)</f>
        <v>0</v>
      </c>
      <c r="J865" s="1323">
        <f>SUMIFS(Movement!$G$4:$G$2136,Movement!$M$4:$M$2136,"VND",Movement!$C$4:$C$2136,Table11[[#This Row],[ACCOUNT NUMBER]],Movement!$J$4:$J$2136,Table11[[#This Row],[ENTITY]],Movement!$O$4:$O$2136,'Cash Balance'!$A$2)</f>
        <v>0</v>
      </c>
      <c r="K865" s="1258">
        <f>Table11[[#This Row],[CASH IN - CREDIT (VND)]]-Table11[[#This Row],[CASH OUT - DEBIT (VND)]]</f>
        <v>0</v>
      </c>
      <c r="L865" s="1134">
        <f t="shared" si="134"/>
        <v>8000000000</v>
      </c>
      <c r="M865" s="1135" t="e">
        <f>VLOOKUP(C865,'Cash balance (BS)'!A:D,4,)</f>
        <v>#N/A</v>
      </c>
      <c r="N865" s="1136" t="e">
        <f>Table11[[#This Row],[CLOSING BALANCE (VND)2]]-Table11[[#This Row],[CB_BS (VND)]]</f>
        <v>#N/A</v>
      </c>
      <c r="O865" s="1094"/>
      <c r="P865" s="1135">
        <f t="shared" si="135"/>
        <v>0</v>
      </c>
      <c r="Q865" s="1137">
        <f>SUMIFS('Cash balance (Prior period)'!G:G,'Cash balance (Prior period)'!C:C,Table11[[#This Row],[ACCOUNT NUMBER]],'Cash balance (Prior period)'!E:E,Table11[[#This Row],[CURRENCY]])</f>
        <v>0</v>
      </c>
      <c r="R865" s="1138">
        <f>SUMIFS(Movement!$F$4:$F$2136,Movement!$M$4:$M$2136,"USD",Movement!$C$4:$C$2136,Table11[[#This Row],[ACCOUNT NUMBER]],Movement!$J$4:$J$2136,Table11[[#This Row],[ENTITY]],Movement!$O$4:$O$2136,'Cash Balance'!$A$2)</f>
        <v>0</v>
      </c>
      <c r="S865" s="1137">
        <f>SUMIFS(Movement!$G$4:$G$2136,Movement!$M$4:$M$2136,"USD",Movement!$C$4:$C$2136,Table11[[#This Row],[ACCOUNT NUMBER]],Movement!$J$4:$J$2136,Table11[[#This Row],[ENTITY]],Movement!$O$4:$O$2136,'Cash Balance'!$A$2)</f>
        <v>0</v>
      </c>
      <c r="T865" s="1139">
        <f t="shared" si="136"/>
        <v>0</v>
      </c>
      <c r="U865" s="1090"/>
      <c r="V865" s="1091">
        <f>Table11[[#This Row],[CLOSING BALANCE (USD)]]-Table11[[#This Row],[CB_BS (USD)]]</f>
        <v>0</v>
      </c>
      <c r="W865" s="1186" t="str">
        <f>VLOOKUP('Cash Balance'!$C865,Table2[#All],MATCH('Cash Balance'!W$3,Acc_Char!$B$1:$I$1,0),0)</f>
        <v>Subsidiaries</v>
      </c>
      <c r="X865" s="1156" t="str">
        <f>VLOOKUP(IFERROR(MID($Y865,1,FIND("-",$Y865)-2),$Y865),Table3[#All],2,0)</f>
        <v>VTB</v>
      </c>
      <c r="Y865" s="1156" t="str">
        <f>VLOOKUP($B865,Table4[#All],2,0)</f>
        <v>VIETINBANK - TIEN SON</v>
      </c>
      <c r="Z865" s="1151"/>
    </row>
    <row r="866" spans="1:26">
      <c r="A866" s="1153" t="str">
        <f>VLOOKUP('Cash Balance'!$C866,Table2[#All],MATCH('Cash Balance'!A$3,Acc_Char!$B$1:$I$1,0),0)</f>
        <v>DELIWAY</v>
      </c>
      <c r="B866" s="1154" t="str">
        <f>VLOOKUP('Cash Balance'!$C866,Table2[#All],MATCH('Cash Balance'!B$3,Acc_Char!$B$1:$I$1,0),0)</f>
        <v>VIETINBANK - TPHCM</v>
      </c>
      <c r="C866" s="1205" t="s">
        <v>1476</v>
      </c>
      <c r="D866" s="1156" t="str">
        <f>VLOOKUP('Cash Balance'!$C866,Table2[#All],MATCH('Cash Balance'!D$3,Acc_Char!$B$1:$I$1,0),0)</f>
        <v>Saving Account</v>
      </c>
      <c r="E866" s="1201" t="str">
        <f>VLOOKUP('Cash Balance'!$C866,Table2[#All],MATCH('Cash Balance'!E$3,Acc_Char!$B$1:$I$1,0),0)</f>
        <v>VND</v>
      </c>
      <c r="F866" s="1084" t="e">
        <f>VLOOKUP(C866,'Cash balance (BS)'!A:C,3,)</f>
        <v>#N/A</v>
      </c>
      <c r="G866" s="1191" t="e">
        <f t="shared" si="133"/>
        <v>#N/A</v>
      </c>
      <c r="H866" s="1321">
        <f>SUMIFS('Cash balance (Prior period)'!F:F,'Cash balance (Prior period)'!C:C,Table11[[#This Row],[ACCOUNT NUMBER]],'Cash balance (Prior period)'!E:E,Table11[[#This Row],[CURRENCY]])</f>
        <v>0</v>
      </c>
      <c r="I866" s="1322">
        <f>SUMIFS(Movement!$F$4:$F$2136,Movement!$M$4:$M$2136,"VND",Movement!$C$4:$C$2136,Table11[[#This Row],[ACCOUNT NUMBER]],Movement!$J$4:$J$2136,Table11[[#This Row],[ENTITY]],Movement!$O$4:$O$2136,'Cash Balance'!$A$2)</f>
        <v>0</v>
      </c>
      <c r="J866" s="1323">
        <f>SUMIFS(Movement!$G$4:$G$2136,Movement!$M$4:$M$2136,"VND",Movement!$C$4:$C$2136,Table11[[#This Row],[ACCOUNT NUMBER]],Movement!$J$4:$J$2136,Table11[[#This Row],[ENTITY]],Movement!$O$4:$O$2136,'Cash Balance'!$A$2)</f>
        <v>0</v>
      </c>
      <c r="K866" s="1258">
        <f>Table11[[#This Row],[CASH IN - CREDIT (VND)]]-Table11[[#This Row],[CASH OUT - DEBIT (VND)]]</f>
        <v>0</v>
      </c>
      <c r="L866" s="1134">
        <f t="shared" si="134"/>
        <v>0</v>
      </c>
      <c r="M866" s="1135" t="e">
        <f>VLOOKUP(C866,'Cash balance (BS)'!A:D,4,)</f>
        <v>#N/A</v>
      </c>
      <c r="N866" s="1136" t="e">
        <f>Table11[[#This Row],[CLOSING BALANCE (VND)2]]-Table11[[#This Row],[CB_BS (VND)]]</f>
        <v>#N/A</v>
      </c>
      <c r="O866" s="1094"/>
      <c r="P866" s="1135">
        <f t="shared" si="135"/>
        <v>0</v>
      </c>
      <c r="Q866" s="1137">
        <f>SUMIFS('Cash balance (Prior period)'!G:G,'Cash balance (Prior period)'!C:C,Table11[[#This Row],[ACCOUNT NUMBER]],'Cash balance (Prior period)'!E:E,Table11[[#This Row],[CURRENCY]])</f>
        <v>0</v>
      </c>
      <c r="R866" s="1138">
        <f>SUMIFS(Movement!$F$4:$F$2136,Movement!$M$4:$M$2136,"USD",Movement!$C$4:$C$2136,Table11[[#This Row],[ACCOUNT NUMBER]],Movement!$J$4:$J$2136,Table11[[#This Row],[ENTITY]],Movement!$O$4:$O$2136,'Cash Balance'!$A$2)</f>
        <v>0</v>
      </c>
      <c r="S866" s="1137">
        <f>SUMIFS(Movement!$G$4:$G$2136,Movement!$M$4:$M$2136,"USD",Movement!$C$4:$C$2136,Table11[[#This Row],[ACCOUNT NUMBER]],Movement!$J$4:$J$2136,Table11[[#This Row],[ENTITY]],Movement!$O$4:$O$2136,'Cash Balance'!$A$2)</f>
        <v>0</v>
      </c>
      <c r="T866" s="1139">
        <f t="shared" si="136"/>
        <v>0</v>
      </c>
      <c r="U866" s="1090"/>
      <c r="V866" s="1091">
        <f>Table11[[#This Row],[CLOSING BALANCE (USD)]]-Table11[[#This Row],[CB_BS (USD)]]</f>
        <v>0</v>
      </c>
      <c r="W866" s="1186" t="str">
        <f>VLOOKUP('Cash Balance'!$C866,Table2[#All],MATCH('Cash Balance'!W$3,Acc_Char!$B$1:$I$1,0),0)</f>
        <v>Subsidiaries</v>
      </c>
      <c r="X866" s="1156" t="str">
        <f>VLOOKUP(IFERROR(MID($Y866,1,FIND("-",$Y866)-2),$Y866),Table3[#All],2,0)</f>
        <v>VTB</v>
      </c>
      <c r="Y866" s="1156" t="str">
        <f>VLOOKUP($B866,Table4[#All],2,0)</f>
        <v>VIETINBANK - TPHCM</v>
      </c>
      <c r="Z866" s="1151"/>
    </row>
    <row r="867" spans="1:26">
      <c r="A867" s="1153" t="str">
        <f>VLOOKUP('Cash Balance'!$C867,Table2[#All],MATCH('Cash Balance'!A$3,Acc_Char!$B$1:$I$1,0),0)</f>
        <v>LE MINH XUAN 3</v>
      </c>
      <c r="B867" s="1154" t="str">
        <f>VLOOKUP('Cash Balance'!$C867,Table2[#All],MATCH('Cash Balance'!B$3,Acc_Char!$B$1:$I$1,0),0)</f>
        <v>VIETINBANK - TPHCM</v>
      </c>
      <c r="C867" s="1205" t="s">
        <v>1477</v>
      </c>
      <c r="D867" s="1156" t="str">
        <f>VLOOKUP('Cash Balance'!$C867,Table2[#All],MATCH('Cash Balance'!D$3,Acc_Char!$B$1:$I$1,0),0)</f>
        <v>Saving Account</v>
      </c>
      <c r="E867" s="1201" t="str">
        <f>VLOOKUP('Cash Balance'!$C867,Table2[#All],MATCH('Cash Balance'!E$3,Acc_Char!$B$1:$I$1,0),0)</f>
        <v>VND</v>
      </c>
      <c r="F867" s="1084" t="e">
        <f>VLOOKUP(C867,'Cash balance (BS)'!A:C,3,)</f>
        <v>#N/A</v>
      </c>
      <c r="G867" s="1191" t="e">
        <f t="shared" si="133"/>
        <v>#N/A</v>
      </c>
      <c r="H867" s="1321">
        <f>SUMIFS('Cash balance (Prior period)'!F:F,'Cash balance (Prior period)'!C:C,Table11[[#This Row],[ACCOUNT NUMBER]],'Cash balance (Prior period)'!E:E,Table11[[#This Row],[CURRENCY]])</f>
        <v>8000000000</v>
      </c>
      <c r="I867" s="1322">
        <f>SUMIFS(Movement!$F$4:$F$2136,Movement!$M$4:$M$2136,"VND",Movement!$C$4:$C$2136,Table11[[#This Row],[ACCOUNT NUMBER]],Movement!$J$4:$J$2136,Table11[[#This Row],[ENTITY]],Movement!$O$4:$O$2136,'Cash Balance'!$A$2)</f>
        <v>0</v>
      </c>
      <c r="J867" s="1323">
        <f>SUMIFS(Movement!$G$4:$G$2136,Movement!$M$4:$M$2136,"VND",Movement!$C$4:$C$2136,Table11[[#This Row],[ACCOUNT NUMBER]],Movement!$J$4:$J$2136,Table11[[#This Row],[ENTITY]],Movement!$O$4:$O$2136,'Cash Balance'!$A$2)</f>
        <v>0</v>
      </c>
      <c r="K867" s="1258">
        <f>Table11[[#This Row],[CASH IN - CREDIT (VND)]]-Table11[[#This Row],[CASH OUT - DEBIT (VND)]]</f>
        <v>0</v>
      </c>
      <c r="L867" s="1134">
        <f t="shared" si="134"/>
        <v>8000000000</v>
      </c>
      <c r="M867" s="1135" t="e">
        <f>VLOOKUP(C867,'Cash balance (BS)'!A:D,4,)</f>
        <v>#N/A</v>
      </c>
      <c r="N867" s="1136" t="e">
        <f>Table11[[#This Row],[CLOSING BALANCE (VND)2]]-Table11[[#This Row],[CB_BS (VND)]]</f>
        <v>#N/A</v>
      </c>
      <c r="O867" s="1094"/>
      <c r="P867" s="1135">
        <f t="shared" si="135"/>
        <v>0</v>
      </c>
      <c r="Q867" s="1137">
        <f>SUMIFS('Cash balance (Prior period)'!G:G,'Cash balance (Prior period)'!C:C,Table11[[#This Row],[ACCOUNT NUMBER]],'Cash balance (Prior period)'!E:E,Table11[[#This Row],[CURRENCY]])</f>
        <v>0</v>
      </c>
      <c r="R867" s="1138">
        <f>SUMIFS(Movement!$F$4:$F$2136,Movement!$M$4:$M$2136,"USD",Movement!$C$4:$C$2136,Table11[[#This Row],[ACCOUNT NUMBER]],Movement!$J$4:$J$2136,Table11[[#This Row],[ENTITY]],Movement!$O$4:$O$2136,'Cash Balance'!$A$2)</f>
        <v>0</v>
      </c>
      <c r="S867" s="1137">
        <f>SUMIFS(Movement!$G$4:$G$2136,Movement!$M$4:$M$2136,"USD",Movement!$C$4:$C$2136,Table11[[#This Row],[ACCOUNT NUMBER]],Movement!$J$4:$J$2136,Table11[[#This Row],[ENTITY]],Movement!$O$4:$O$2136,'Cash Balance'!$A$2)</f>
        <v>0</v>
      </c>
      <c r="T867" s="1139">
        <f t="shared" si="136"/>
        <v>0</v>
      </c>
      <c r="U867" s="1090"/>
      <c r="V867" s="1091">
        <f>Table11[[#This Row],[CLOSING BALANCE (USD)]]-Table11[[#This Row],[CB_BS (USD)]]</f>
        <v>0</v>
      </c>
      <c r="W867" s="1186" t="str">
        <f>VLOOKUP('Cash Balance'!$C867,Table2[#All],MATCH('Cash Balance'!W$3,Acc_Char!$B$1:$I$1,0),0)</f>
        <v>Subsidiaries</v>
      </c>
      <c r="X867" s="1156" t="str">
        <f>VLOOKUP(IFERROR(MID($Y867,1,FIND("-",$Y867)-2),$Y867),Table3[#All],2,0)</f>
        <v>VTB</v>
      </c>
      <c r="Y867" s="1156" t="str">
        <f>VLOOKUP($B867,Table4[#All],2,0)</f>
        <v>VIETINBANK - TPHCM</v>
      </c>
      <c r="Z867" s="1151"/>
    </row>
    <row r="868" spans="1:26">
      <c r="A868" s="1153" t="str">
        <f>VLOOKUP('Cash Balance'!$C868,Table2[#All],MATCH('Cash Balance'!A$3,Acc_Char!$B$1:$I$1,0),0)</f>
        <v>BIEN HOA</v>
      </c>
      <c r="B868" s="1154" t="str">
        <f>VLOOKUP('Cash Balance'!$C868,Table2[#All],MATCH('Cash Balance'!B$3,Acc_Char!$B$1:$I$1,0),0)</f>
        <v>KBank - HCM</v>
      </c>
      <c r="C868" s="1204" t="s">
        <v>1478</v>
      </c>
      <c r="D868" s="1156" t="str">
        <f>VLOOKUP('Cash Balance'!$C868,Table2[#All],MATCH('Cash Balance'!D$3,Acc_Char!$B$1:$I$1,0),0)</f>
        <v>Saving Account</v>
      </c>
      <c r="E868" s="384" t="str">
        <f>VLOOKUP('Cash Balance'!$C868,Table2[#All],MATCH('Cash Balance'!E$3,Acc_Char!$B$1:$I$1,0),0)</f>
        <v>VND</v>
      </c>
      <c r="F868" s="1084" t="e">
        <f>VLOOKUP(C868,'Cash balance (BS)'!A:C,3,)</f>
        <v>#N/A</v>
      </c>
      <c r="G868" s="1191" t="e">
        <f t="shared" si="133"/>
        <v>#N/A</v>
      </c>
      <c r="H868" s="1320">
        <f>SUMIFS('Cash balance (Prior period)'!F:F,'Cash balance (Prior period)'!C:C,Table11[[#This Row],[ACCOUNT NUMBER]],'Cash balance (Prior period)'!E:E,Table11[[#This Row],[CURRENCY]])</f>
        <v>0</v>
      </c>
      <c r="I868" s="1318">
        <f>SUMIFS(Movement!$F$4:$F$2136,Movement!$M$4:$M$2136,"VND",Movement!$C$4:$C$2136,Table11[[#This Row],[ACCOUNT NUMBER]],Movement!$J$4:$J$2136,Table11[[#This Row],[ENTITY]],Movement!$O$4:$O$2136,'Cash Balance'!$A$2)</f>
        <v>0</v>
      </c>
      <c r="J868" s="1318">
        <f>SUMIFS(Movement!$G$4:$G$2136,Movement!$M$4:$M$2136,"VND",Movement!$C$4:$C$2136,Table11[[#This Row],[ACCOUNT NUMBER]],Movement!$J$4:$J$2136,Table11[[#This Row],[ENTITY]],Movement!$O$4:$O$2136,'Cash Balance'!$A$2)</f>
        <v>0</v>
      </c>
      <c r="K868" s="1084">
        <f>Table11[[#This Row],[CASH IN - CREDIT (VND)]]-Table11[[#This Row],[CASH OUT - DEBIT (VND)]]</f>
        <v>0</v>
      </c>
      <c r="L868" s="1233">
        <f t="shared" si="134"/>
        <v>0</v>
      </c>
      <c r="M868" s="1135" t="e">
        <f>VLOOKUP(C868,'Cash balance (BS)'!A:D,4,)</f>
        <v>#N/A</v>
      </c>
      <c r="N868" s="1136" t="e">
        <f>Table11[[#This Row],[CLOSING BALANCE (VND)2]]-Table11[[#This Row],[CB_BS (VND)]]</f>
        <v>#N/A</v>
      </c>
      <c r="O868" s="1094"/>
      <c r="P868" s="1135">
        <f t="shared" si="135"/>
        <v>0</v>
      </c>
      <c r="Q868" s="1234">
        <f>SUMIFS('Cash balance (Prior period)'!G:G,'Cash balance (Prior period)'!C:C,Table11[[#This Row],[ACCOUNT NUMBER]],'Cash balance (Prior period)'!E:E,Table11[[#This Row],[CURRENCY]])</f>
        <v>0</v>
      </c>
      <c r="R868" s="1235">
        <f>SUMIFS(Movement!$F$4:$F$2136,Movement!$M$4:$M$2136,"USD",Movement!$C$4:$C$2136,Table11[[#This Row],[ACCOUNT NUMBER]],Movement!$J$4:$J$2136,Table11[[#This Row],[ENTITY]],Movement!$O$4:$O$2136,'Cash Balance'!$A$2)</f>
        <v>0</v>
      </c>
      <c r="S868" s="1234">
        <f>SUMIFS(Movement!$G$4:$G$2136,Movement!$M$4:$M$2136,"USD",Movement!$C$4:$C$2136,Table11[[#This Row],[ACCOUNT NUMBER]],Movement!$J$4:$J$2136,Table11[[#This Row],[ENTITY]],Movement!$O$4:$O$2136,'Cash Balance'!$A$2)</f>
        <v>0</v>
      </c>
      <c r="T868" s="1227">
        <f t="shared" si="136"/>
        <v>0</v>
      </c>
      <c r="U868" s="1090"/>
      <c r="V868" s="1091">
        <f>Table11[[#This Row],[CLOSING BALANCE (USD)]]-Table11[[#This Row],[CB_BS (USD)]]</f>
        <v>0</v>
      </c>
      <c r="W868" s="1186" t="str">
        <f>VLOOKUP('Cash Balance'!$C868,Table2[#All],MATCH('Cash Balance'!W$3,Acc_Char!$B$1:$I$1,0),0)</f>
        <v>Subsidiaries</v>
      </c>
      <c r="X868" s="1156" t="str">
        <f>VLOOKUP(IFERROR(MID($Y868,1,FIND("-",$Y868)-2),$Y868),Table3[#All],2,0)</f>
        <v>Others</v>
      </c>
      <c r="Y868" s="1156" t="str">
        <f>VLOOKUP($B868,Table4[#All],2,0)</f>
        <v>OTHERS</v>
      </c>
      <c r="Z868" s="1151"/>
    </row>
    <row r="869" spans="1:26">
      <c r="A869" s="1153" t="str">
        <f>VLOOKUP('Cash Balance'!$C869,Table2[#All],MATCH('Cash Balance'!A$3,Acc_Char!$B$1:$I$1,0),0)</f>
        <v>KIM TRUC DN</v>
      </c>
      <c r="B869" s="1154" t="str">
        <f>VLOOKUP('Cash Balance'!$C869,Table2[#All],MATCH('Cash Balance'!B$3,Acc_Char!$B$1:$I$1,0),0)</f>
        <v>BIDV - NAM SAI GON</v>
      </c>
      <c r="C869" s="1204" t="s">
        <v>1479</v>
      </c>
      <c r="D869" s="1156" t="str">
        <f>VLOOKUP('Cash Balance'!$C869,Table2[#All],MATCH('Cash Balance'!D$3,Acc_Char!$B$1:$I$1,0),0)</f>
        <v>Saving Account</v>
      </c>
      <c r="E869" s="384" t="str">
        <f>VLOOKUP('Cash Balance'!$C869,Table2[#All],MATCH('Cash Balance'!E$3,Acc_Char!$B$1:$I$1,0),0)</f>
        <v>VND</v>
      </c>
      <c r="F869" s="1084" t="e">
        <f>VLOOKUP(C869,'Cash balance (BS)'!A:C,3,)</f>
        <v>#N/A</v>
      </c>
      <c r="G869" s="1191" t="e">
        <f t="shared" ref="G869" si="137">F869-H869</f>
        <v>#N/A</v>
      </c>
      <c r="H869" s="1320">
        <f>SUMIFS('Cash balance (Prior period)'!F:F,'Cash balance (Prior period)'!C:C,Table11[[#This Row],[ACCOUNT NUMBER]],'Cash balance (Prior period)'!E:E,Table11[[#This Row],[CURRENCY]])</f>
        <v>11000000000</v>
      </c>
      <c r="I869" s="1318">
        <f>SUMIFS(Movement!$F$4:$F$2136,Movement!$M$4:$M$2136,"VND",Movement!$C$4:$C$2136,Table11[[#This Row],[ACCOUNT NUMBER]],Movement!$J$4:$J$2136,Table11[[#This Row],[ENTITY]],Movement!$O$4:$O$2136,'Cash Balance'!$A$2)</f>
        <v>0</v>
      </c>
      <c r="J869" s="1318">
        <f>SUMIFS(Movement!$G$4:$G$2136,Movement!$M$4:$M$2136,"VND",Movement!$C$4:$C$2136,Table11[[#This Row],[ACCOUNT NUMBER]],Movement!$J$4:$J$2136,Table11[[#This Row],[ENTITY]],Movement!$O$4:$O$2136,'Cash Balance'!$A$2)</f>
        <v>0</v>
      </c>
      <c r="K869" s="1084">
        <f>Table11[[#This Row],[CASH IN - CREDIT (VND)]]-Table11[[#This Row],[CASH OUT - DEBIT (VND)]]</f>
        <v>0</v>
      </c>
      <c r="L869" s="1233">
        <f t="shared" ref="L869" si="138">H869+I869-J869</f>
        <v>11000000000</v>
      </c>
      <c r="M869" s="1135" t="e">
        <f>VLOOKUP(C869,'Cash balance (BS)'!A:D,4,)</f>
        <v>#N/A</v>
      </c>
      <c r="N869" s="1136" t="e">
        <f>Table11[[#This Row],[CLOSING BALANCE (VND)2]]-Table11[[#This Row],[CB_BS (VND)]]</f>
        <v>#N/A</v>
      </c>
      <c r="O869" s="1094"/>
      <c r="P869" s="1135">
        <f t="shared" ref="P869" si="139">O869-Q869</f>
        <v>0</v>
      </c>
      <c r="Q869" s="1234">
        <f>SUMIFS('Cash balance (Prior period)'!G:G,'Cash balance (Prior period)'!C:C,Table11[[#This Row],[ACCOUNT NUMBER]],'Cash balance (Prior period)'!E:E,Table11[[#This Row],[CURRENCY]])</f>
        <v>0</v>
      </c>
      <c r="R869" s="1235">
        <f>SUMIFS(Movement!$F$4:$F$2136,Movement!$M$4:$M$2136,"USD",Movement!$C$4:$C$2136,Table11[[#This Row],[ACCOUNT NUMBER]],Movement!$J$4:$J$2136,Table11[[#This Row],[ENTITY]],Movement!$O$4:$O$2136,'Cash Balance'!$A$2)</f>
        <v>0</v>
      </c>
      <c r="S869" s="1234">
        <f>SUMIFS(Movement!$G$4:$G$2136,Movement!$M$4:$M$2136,"USD",Movement!$C$4:$C$2136,Table11[[#This Row],[ACCOUNT NUMBER]],Movement!$J$4:$J$2136,Table11[[#This Row],[ENTITY]],Movement!$O$4:$O$2136,'Cash Balance'!$A$2)</f>
        <v>0</v>
      </c>
      <c r="T869" s="1227">
        <f t="shared" ref="T869" si="140">Q869+R869-S869</f>
        <v>0</v>
      </c>
      <c r="U869" s="1090"/>
      <c r="V869" s="1091">
        <f>Table11[[#This Row],[CLOSING BALANCE (USD)]]-Table11[[#This Row],[CB_BS (USD)]]</f>
        <v>0</v>
      </c>
      <c r="W869" s="1186" t="str">
        <f>VLOOKUP('Cash Balance'!$C869,Table2[#All],MATCH('Cash Balance'!W$3,Acc_Char!$B$1:$I$1,0),0)</f>
        <v>Subsidiaries</v>
      </c>
      <c r="X869" s="1156" t="str">
        <f>VLOOKUP(IFERROR(MID($Y869,1,FIND("-",$Y869)-2),$Y869),Table3[#All],2,0)</f>
        <v>BIDV</v>
      </c>
      <c r="Y869" s="1156" t="str">
        <f>VLOOKUP($B869,Table4[#All],2,0)</f>
        <v>BIDV - NAM SAI GON</v>
      </c>
      <c r="Z869" s="1151"/>
    </row>
    <row r="870" spans="1:26">
      <c r="A870" s="1153" t="str">
        <f>VLOOKUP('Cash Balance'!$C870,Table2[#All],MATCH('Cash Balance'!A$3,Acc_Char!$B$1:$I$1,0),0)</f>
        <v>BW DINH VU</v>
      </c>
      <c r="B870" s="1154" t="str">
        <f>VLOOKUP('Cash Balance'!$C870,Table2[#All],MATCH('Cash Balance'!B$3,Acc_Char!$B$1:$I$1,0),0)</f>
        <v>BIDV - THANH XUAN</v>
      </c>
      <c r="C870" s="1204" t="s">
        <v>1480</v>
      </c>
      <c r="D870" s="1156" t="str">
        <f>VLOOKUP('Cash Balance'!$C870,Table2[#All],MATCH('Cash Balance'!D$3,Acc_Char!$B$1:$I$1,0),0)</f>
        <v>Saving Account</v>
      </c>
      <c r="E870" s="384" t="str">
        <f>VLOOKUP('Cash Balance'!$C870,Table2[#All],MATCH('Cash Balance'!E$3,Acc_Char!$B$1:$I$1,0),0)</f>
        <v>VND</v>
      </c>
      <c r="F870" s="1084" t="e">
        <f>VLOOKUP(C870,'Cash balance (BS)'!A:C,3,)</f>
        <v>#N/A</v>
      </c>
      <c r="G870" s="1191" t="e">
        <f t="shared" ref="G870" si="141">F870-H870</f>
        <v>#N/A</v>
      </c>
      <c r="H870" s="1320">
        <f>SUMIFS('Cash balance (Prior period)'!F:F,'Cash balance (Prior period)'!C:C,Table11[[#This Row],[ACCOUNT NUMBER]],'Cash balance (Prior period)'!E:E,Table11[[#This Row],[CURRENCY]])</f>
        <v>10000000000</v>
      </c>
      <c r="I870" s="1318">
        <f>SUMIFS(Movement!$F$4:$F$2136,Movement!$M$4:$M$2136,"VND",Movement!$C$4:$C$2136,Table11[[#This Row],[ACCOUNT NUMBER]],Movement!$J$4:$J$2136,Table11[[#This Row],[ENTITY]],Movement!$O$4:$O$2136,'Cash Balance'!$A$2)</f>
        <v>0</v>
      </c>
      <c r="J870" s="1318">
        <f>SUMIFS(Movement!$G$4:$G$2136,Movement!$M$4:$M$2136,"VND",Movement!$C$4:$C$2136,Table11[[#This Row],[ACCOUNT NUMBER]],Movement!$J$4:$J$2136,Table11[[#This Row],[ENTITY]],Movement!$O$4:$O$2136,'Cash Balance'!$A$2)</f>
        <v>0</v>
      </c>
      <c r="K870" s="1084">
        <f>Table11[[#This Row],[CASH IN - CREDIT (VND)]]-Table11[[#This Row],[CASH OUT - DEBIT (VND)]]</f>
        <v>0</v>
      </c>
      <c r="L870" s="1233">
        <f t="shared" ref="L870" si="142">H870+I870-J870</f>
        <v>10000000000</v>
      </c>
      <c r="M870" s="1135" t="e">
        <f>VLOOKUP(C870,'Cash balance (BS)'!A:D,4,)</f>
        <v>#N/A</v>
      </c>
      <c r="N870" s="1136" t="e">
        <f>Table11[[#This Row],[CLOSING BALANCE (VND)2]]-Table11[[#This Row],[CB_BS (VND)]]</f>
        <v>#N/A</v>
      </c>
      <c r="O870" s="1094"/>
      <c r="P870" s="1135">
        <f t="shared" ref="P870" si="143">O870-Q870</f>
        <v>0</v>
      </c>
      <c r="Q870" s="1234">
        <f>SUMIFS('Cash balance (Prior period)'!G:G,'Cash balance (Prior period)'!C:C,Table11[[#This Row],[ACCOUNT NUMBER]],'Cash balance (Prior period)'!E:E,Table11[[#This Row],[CURRENCY]])</f>
        <v>0</v>
      </c>
      <c r="R870" s="1235">
        <f>SUMIFS(Movement!$F$4:$F$2136,Movement!$M$4:$M$2136,"USD",Movement!$C$4:$C$2136,Table11[[#This Row],[ACCOUNT NUMBER]],Movement!$J$4:$J$2136,Table11[[#This Row],[ENTITY]],Movement!$O$4:$O$2136,'Cash Balance'!$A$2)</f>
        <v>0</v>
      </c>
      <c r="S870" s="1234">
        <f>SUMIFS(Movement!$G$4:$G$2136,Movement!$M$4:$M$2136,"USD",Movement!$C$4:$C$2136,Table11[[#This Row],[ACCOUNT NUMBER]],Movement!$J$4:$J$2136,Table11[[#This Row],[ENTITY]],Movement!$O$4:$O$2136,'Cash Balance'!$A$2)</f>
        <v>0</v>
      </c>
      <c r="T870" s="1227">
        <f t="shared" ref="T870" si="144">Q870+R870-S870</f>
        <v>0</v>
      </c>
      <c r="U870" s="1090"/>
      <c r="V870" s="1091">
        <f>Table11[[#This Row],[CLOSING BALANCE (USD)]]-Table11[[#This Row],[CB_BS (USD)]]</f>
        <v>0</v>
      </c>
      <c r="W870" s="1186" t="str">
        <f>VLOOKUP('Cash Balance'!$C870,Table2[#All],MATCH('Cash Balance'!W$3,Acc_Char!$B$1:$I$1,0),0)</f>
        <v>Subsidiaries</v>
      </c>
      <c r="X870" s="1156" t="str">
        <f>VLOOKUP(IFERROR(MID($Y870,1,FIND("-",$Y870)-2),$Y870),Table3[#All],2,0)</f>
        <v>BIDV</v>
      </c>
      <c r="Y870" s="1156" t="str">
        <f>VLOOKUP($B870,Table4[#All],2,0)</f>
        <v>BIDV - THANH XUAN</v>
      </c>
      <c r="Z870" s="1151"/>
    </row>
    <row r="871" spans="1:26">
      <c r="A871" s="1153" t="str">
        <f>VLOOKUP('Cash Balance'!$C871,Table2[#All],MATCH('Cash Balance'!A$3,Acc_Char!$B$1:$I$1,0),0)</f>
        <v>BWID HAI DUONG 3</v>
      </c>
      <c r="B871" s="1154" t="str">
        <f>VLOOKUP('Cash Balance'!$C871,Table2[#All],MATCH('Cash Balance'!B$3,Acc_Char!$B$1:$I$1,0),0)</f>
        <v>BIDV - THANH XUAN</v>
      </c>
      <c r="C871" s="1204" t="s">
        <v>1481</v>
      </c>
      <c r="D871" s="1156" t="str">
        <f>VLOOKUP('Cash Balance'!$C871,Table2[#All],MATCH('Cash Balance'!D$3,Acc_Char!$B$1:$I$1,0),0)</f>
        <v>Saving Account</v>
      </c>
      <c r="E871" s="384" t="str">
        <f>VLOOKUP('Cash Balance'!$C871,Table2[#All],MATCH('Cash Balance'!E$3,Acc_Char!$B$1:$I$1,0),0)</f>
        <v>VND</v>
      </c>
      <c r="F871" s="1084" t="e">
        <f>VLOOKUP(C871,'Cash balance (BS)'!A:C,3,)</f>
        <v>#N/A</v>
      </c>
      <c r="G871" s="1191" t="e">
        <f t="shared" ref="G871" si="145">F871-H871</f>
        <v>#N/A</v>
      </c>
      <c r="H871" s="1320">
        <f>SUMIFS('Cash balance (Prior period)'!F:F,'Cash balance (Prior period)'!C:C,Table11[[#This Row],[ACCOUNT NUMBER]],'Cash balance (Prior period)'!E:E,Table11[[#This Row],[CURRENCY]])</f>
        <v>29000000000</v>
      </c>
      <c r="I871" s="1318">
        <f>SUMIFS(Movement!$F$4:$F$2136,Movement!$M$4:$M$2136,"VND",Movement!$C$4:$C$2136,Table11[[#This Row],[ACCOUNT NUMBER]],Movement!$J$4:$J$2136,Table11[[#This Row],[ENTITY]],Movement!$O$4:$O$2136,'Cash Balance'!$A$2)</f>
        <v>0</v>
      </c>
      <c r="J871" s="1318">
        <f>SUMIFS(Movement!$G$4:$G$2136,Movement!$M$4:$M$2136,"VND",Movement!$C$4:$C$2136,Table11[[#This Row],[ACCOUNT NUMBER]],Movement!$J$4:$J$2136,Table11[[#This Row],[ENTITY]],Movement!$O$4:$O$2136,'Cash Balance'!$A$2)</f>
        <v>0</v>
      </c>
      <c r="K871" s="1084">
        <f>Table11[[#This Row],[CASH IN - CREDIT (VND)]]-Table11[[#This Row],[CASH OUT - DEBIT (VND)]]</f>
        <v>0</v>
      </c>
      <c r="L871" s="1233">
        <f t="shared" ref="L871" si="146">H871+I871-J871</f>
        <v>29000000000</v>
      </c>
      <c r="M871" s="1135" t="e">
        <f>VLOOKUP(C871,'Cash balance (BS)'!A:D,4,)</f>
        <v>#N/A</v>
      </c>
      <c r="N871" s="1136" t="e">
        <f>Table11[[#This Row],[CLOSING BALANCE (VND)2]]-Table11[[#This Row],[CB_BS (VND)]]</f>
        <v>#N/A</v>
      </c>
      <c r="O871" s="1094"/>
      <c r="P871" s="1135">
        <f t="shared" ref="P871" si="147">O871-Q871</f>
        <v>0</v>
      </c>
      <c r="Q871" s="1234">
        <f>SUMIFS('Cash balance (Prior period)'!G:G,'Cash balance (Prior period)'!C:C,Table11[[#This Row],[ACCOUNT NUMBER]],'Cash balance (Prior period)'!E:E,Table11[[#This Row],[CURRENCY]])</f>
        <v>0</v>
      </c>
      <c r="R871" s="1235">
        <f>SUMIFS(Movement!$F$4:$F$2136,Movement!$M$4:$M$2136,"USD",Movement!$C$4:$C$2136,Table11[[#This Row],[ACCOUNT NUMBER]],Movement!$J$4:$J$2136,Table11[[#This Row],[ENTITY]],Movement!$O$4:$O$2136,'Cash Balance'!$A$2)</f>
        <v>0</v>
      </c>
      <c r="S871" s="1234">
        <f>SUMIFS(Movement!$G$4:$G$2136,Movement!$M$4:$M$2136,"USD",Movement!$C$4:$C$2136,Table11[[#This Row],[ACCOUNT NUMBER]],Movement!$J$4:$J$2136,Table11[[#This Row],[ENTITY]],Movement!$O$4:$O$2136,'Cash Balance'!$A$2)</f>
        <v>0</v>
      </c>
      <c r="T871" s="1227">
        <f t="shared" ref="T871" si="148">Q871+R871-S871</f>
        <v>0</v>
      </c>
      <c r="U871" s="1090"/>
      <c r="V871" s="1091">
        <f>Table11[[#This Row],[CLOSING BALANCE (USD)]]-Table11[[#This Row],[CB_BS (USD)]]</f>
        <v>0</v>
      </c>
      <c r="W871" s="1186" t="str">
        <f>VLOOKUP('Cash Balance'!$C871,Table2[#All],MATCH('Cash Balance'!W$3,Acc_Char!$B$1:$I$1,0),0)</f>
        <v>Subsidiaries</v>
      </c>
      <c r="X871" s="1156" t="str">
        <f>VLOOKUP(IFERROR(MID($Y871,1,FIND("-",$Y871)-2),$Y871),Table3[#All],2,0)</f>
        <v>BIDV</v>
      </c>
      <c r="Y871" s="1156" t="str">
        <f>VLOOKUP($B871,Table4[#All],2,0)</f>
        <v>BIDV - THANH XUAN</v>
      </c>
      <c r="Z871" s="1151"/>
    </row>
    <row r="872" spans="1:26">
      <c r="A872" s="1153" t="str">
        <f>VLOOKUP('Cash Balance'!$C872,Table2[#All],MATCH('Cash Balance'!A$3,Acc_Char!$B$1:$I$1,0),0)</f>
        <v>NSHL LLC</v>
      </c>
      <c r="B872" s="1154" t="str">
        <f>VLOOKUP('Cash Balance'!$C872,Table2[#All],MATCH('Cash Balance'!B$3,Acc_Char!$B$1:$I$1,0),0)</f>
        <v>BIDV - THANH XUAN</v>
      </c>
      <c r="C872" s="1204" t="s">
        <v>1482</v>
      </c>
      <c r="D872" s="1156" t="str">
        <f>VLOOKUP('Cash Balance'!$C872,Table2[#All],MATCH('Cash Balance'!D$3,Acc_Char!$B$1:$I$1,0),0)</f>
        <v>Saving Account</v>
      </c>
      <c r="E872" s="384" t="str">
        <f>VLOOKUP('Cash Balance'!$C872,Table2[#All],MATCH('Cash Balance'!E$3,Acc_Char!$B$1:$I$1,0),0)</f>
        <v>VND</v>
      </c>
      <c r="F872" s="1084" t="e">
        <f>VLOOKUP(C872,'Cash balance (BS)'!A:C,3,)</f>
        <v>#N/A</v>
      </c>
      <c r="G872" s="1191" t="e">
        <f t="shared" ref="G872:G878" si="149">F872-H872</f>
        <v>#N/A</v>
      </c>
      <c r="H872" s="1320">
        <f>SUMIFS('Cash balance (Prior period)'!F:F,'Cash balance (Prior period)'!C:C,Table11[[#This Row],[ACCOUNT NUMBER]],'Cash balance (Prior period)'!E:E,Table11[[#This Row],[CURRENCY]])</f>
        <v>0</v>
      </c>
      <c r="I872" s="1318">
        <f>SUMIFS(Movement!$F$4:$F$2136,Movement!$M$4:$M$2136,"VND",Movement!$C$4:$C$2136,Table11[[#This Row],[ACCOUNT NUMBER]],Movement!$J$4:$J$2136,Table11[[#This Row],[ENTITY]],Movement!$O$4:$O$2136,'Cash Balance'!$A$2)</f>
        <v>0</v>
      </c>
      <c r="J872" s="1318">
        <f>SUMIFS(Movement!$G$4:$G$2136,Movement!$M$4:$M$2136,"VND",Movement!$C$4:$C$2136,Table11[[#This Row],[ACCOUNT NUMBER]],Movement!$J$4:$J$2136,Table11[[#This Row],[ENTITY]],Movement!$O$4:$O$2136,'Cash Balance'!$A$2)</f>
        <v>0</v>
      </c>
      <c r="K872" s="1084">
        <f>Table11[[#This Row],[CASH IN - CREDIT (VND)]]-Table11[[#This Row],[CASH OUT - DEBIT (VND)]]</f>
        <v>0</v>
      </c>
      <c r="L872" s="1225">
        <f t="shared" ref="L872:L878" si="150">H872+I872-J872</f>
        <v>0</v>
      </c>
      <c r="M872" s="1135" t="e">
        <f>VLOOKUP(C872,'Cash balance (BS)'!A:D,4,)</f>
        <v>#N/A</v>
      </c>
      <c r="N872" s="1136" t="e">
        <f>Table11[[#This Row],[CLOSING BALANCE (VND)2]]-Table11[[#This Row],[CB_BS (VND)]]</f>
        <v>#N/A</v>
      </c>
      <c r="O872" s="1094"/>
      <c r="P872" s="1135">
        <f t="shared" ref="P872:P878" si="151">O872-Q872</f>
        <v>0</v>
      </c>
      <c r="Q872" s="1226">
        <f>SUMIFS('Cash balance (Prior period)'!G:G,'Cash balance (Prior period)'!C:C,Table11[[#This Row],[ACCOUNT NUMBER]],'Cash balance (Prior period)'!E:E,Table11[[#This Row],[CURRENCY]])</f>
        <v>0</v>
      </c>
      <c r="R872" s="1226">
        <f>SUMIFS(Movement!$F$4:$F$2136,Movement!$M$4:$M$2136,"USD",Movement!$C$4:$C$2136,Table11[[#This Row],[ACCOUNT NUMBER]],Movement!$J$4:$J$2136,Table11[[#This Row],[ENTITY]],Movement!$O$4:$O$2136,'Cash Balance'!$A$2)</f>
        <v>0</v>
      </c>
      <c r="S872" s="1226">
        <f>SUMIFS(Movement!$G$4:$G$2136,Movement!$M$4:$M$2136,"USD",Movement!$C$4:$C$2136,Table11[[#This Row],[ACCOUNT NUMBER]],Movement!$J$4:$J$2136,Table11[[#This Row],[ENTITY]],Movement!$O$4:$O$2136,'Cash Balance'!$A$2)</f>
        <v>0</v>
      </c>
      <c r="T872" s="1236">
        <f t="shared" ref="T872:T878" si="152">Q872+R872-S872</f>
        <v>0</v>
      </c>
      <c r="U872" s="1090"/>
      <c r="V872" s="1091">
        <f>Table11[[#This Row],[CLOSING BALANCE (USD)]]-Table11[[#This Row],[CB_BS (USD)]]</f>
        <v>0</v>
      </c>
      <c r="W872" s="1156" t="str">
        <f>VLOOKUP('Cash Balance'!$C872,Table2[#All],MATCH('Cash Balance'!W$3,Acc_Char!$B$1:$I$1,0),0)</f>
        <v>Subsidiaries</v>
      </c>
      <c r="X872" s="1156" t="str">
        <f>VLOOKUP(IFERROR(MID($Y872,1,FIND("-",$Y872)-2),$Y872),Table3[#All],2,0)</f>
        <v>BIDV</v>
      </c>
      <c r="Y872" s="1156" t="str">
        <f>VLOOKUP($B872,Table4[#All],2,0)</f>
        <v>BIDV - THANH XUAN</v>
      </c>
      <c r="Z872" s="1151"/>
    </row>
    <row r="873" spans="1:26">
      <c r="A873" s="1153" t="str">
        <f>VLOOKUP('Cash Balance'!$C873,Table2[#All],MATCH('Cash Balance'!A$3,Acc_Char!$B$1:$I$1,0),0)</f>
        <v>LE MINH XUAN 3</v>
      </c>
      <c r="B873" s="1154" t="str">
        <f>VLOOKUP('Cash Balance'!$C873,Table2[#All],MATCH('Cash Balance'!B$3,Acc_Char!$B$1:$I$1,0),0)</f>
        <v>VIETINBANK - TPHCM</v>
      </c>
      <c r="C873" s="1204" t="s">
        <v>1483</v>
      </c>
      <c r="D873" s="1156" t="str">
        <f>VLOOKUP('Cash Balance'!$C873,Table2[#All],MATCH('Cash Balance'!D$3,Acc_Char!$B$1:$I$1,0),0)</f>
        <v>Saving Account</v>
      </c>
      <c r="E873" s="1201" t="str">
        <f>VLOOKUP('Cash Balance'!$C873,Table2[#All],MATCH('Cash Balance'!E$3,Acc_Char!$B$1:$I$1,0),0)</f>
        <v>VND</v>
      </c>
      <c r="F873" s="1084" t="e">
        <f>VLOOKUP(C873,'Cash balance (BS)'!A:C,3,)</f>
        <v>#N/A</v>
      </c>
      <c r="G873" s="1191" t="e">
        <f t="shared" si="149"/>
        <v>#N/A</v>
      </c>
      <c r="H873" s="1321">
        <f>SUMIFS('Cash balance (Prior period)'!F:F,'Cash balance (Prior period)'!C:C,Table11[[#This Row],[ACCOUNT NUMBER]],'Cash balance (Prior period)'!E:E,Table11[[#This Row],[CURRENCY]])</f>
        <v>8000000000</v>
      </c>
      <c r="I873" s="1322">
        <f>SUMIFS(Movement!$F$4:$F$2136,Movement!$M$4:$M$2136,"VND",Movement!$C$4:$C$2136,Table11[[#This Row],[ACCOUNT NUMBER]],Movement!$J$4:$J$2136,Table11[[#This Row],[ENTITY]],Movement!$O$4:$O$2136,'Cash Balance'!$A$2)</f>
        <v>0</v>
      </c>
      <c r="J873" s="1323">
        <f>SUMIFS(Movement!$G$4:$G$2136,Movement!$M$4:$M$2136,"VND",Movement!$C$4:$C$2136,Table11[[#This Row],[ACCOUNT NUMBER]],Movement!$J$4:$J$2136,Table11[[#This Row],[ENTITY]],Movement!$O$4:$O$2136,'Cash Balance'!$A$2)</f>
        <v>0</v>
      </c>
      <c r="K873" s="1258">
        <f>Table11[[#This Row],[CASH IN - CREDIT (VND)]]-Table11[[#This Row],[CASH OUT - DEBIT (VND)]]</f>
        <v>0</v>
      </c>
      <c r="L873" s="1134">
        <f t="shared" si="150"/>
        <v>8000000000</v>
      </c>
      <c r="M873" s="1135" t="e">
        <f>VLOOKUP(C873,'Cash balance (BS)'!A:D,4,)</f>
        <v>#N/A</v>
      </c>
      <c r="N873" s="1136" t="e">
        <f>Table11[[#This Row],[CLOSING BALANCE (VND)2]]-Table11[[#This Row],[CB_BS (VND)]]</f>
        <v>#N/A</v>
      </c>
      <c r="O873" s="1094"/>
      <c r="P873" s="1135">
        <f t="shared" si="151"/>
        <v>0</v>
      </c>
      <c r="Q873" s="1137">
        <f>SUMIFS('Cash balance (Prior period)'!G:G,'Cash balance (Prior period)'!C:C,Table11[[#This Row],[ACCOUNT NUMBER]],'Cash balance (Prior period)'!E:E,Table11[[#This Row],[CURRENCY]])</f>
        <v>0</v>
      </c>
      <c r="R873" s="1138">
        <f>SUMIFS(Movement!$F$4:$F$2136,Movement!$M$4:$M$2136,"USD",Movement!$C$4:$C$2136,Table11[[#This Row],[ACCOUNT NUMBER]],Movement!$J$4:$J$2136,Table11[[#This Row],[ENTITY]],Movement!$O$4:$O$2136,'Cash Balance'!$A$2)</f>
        <v>0</v>
      </c>
      <c r="S873" s="1137">
        <f>SUMIFS(Movement!$G$4:$G$2136,Movement!$M$4:$M$2136,"USD",Movement!$C$4:$C$2136,Table11[[#This Row],[ACCOUNT NUMBER]],Movement!$J$4:$J$2136,Table11[[#This Row],[ENTITY]],Movement!$O$4:$O$2136,'Cash Balance'!$A$2)</f>
        <v>0</v>
      </c>
      <c r="T873" s="1139">
        <f t="shared" si="152"/>
        <v>0</v>
      </c>
      <c r="U873" s="1090"/>
      <c r="V873" s="1091">
        <f>Table11[[#This Row],[CLOSING BALANCE (USD)]]-Table11[[#This Row],[CB_BS (USD)]]</f>
        <v>0</v>
      </c>
      <c r="W873" s="1186" t="str">
        <f>VLOOKUP('Cash Balance'!$C873,Table2[#All],MATCH('Cash Balance'!W$3,Acc_Char!$B$1:$I$1,0),0)</f>
        <v>Subsidiaries</v>
      </c>
      <c r="X873" s="1156" t="str">
        <f>VLOOKUP(IFERROR(MID($Y873,1,FIND("-",$Y873)-2),$Y873),Table3[#All],2,0)</f>
        <v>VTB</v>
      </c>
      <c r="Y873" s="1156" t="str">
        <f>VLOOKUP($B873,Table4[#All],2,0)</f>
        <v>VIETINBANK - TPHCM</v>
      </c>
      <c r="Z873" s="1151"/>
    </row>
    <row r="874" spans="1:26">
      <c r="A874" s="1153" t="str">
        <f>VLOOKUP('Cash Balance'!$C874,Table2[#All],MATCH('Cash Balance'!A$3,Acc_Char!$B$1:$I$1,0),0)</f>
        <v>SAO HOA</v>
      </c>
      <c r="B874" s="1154" t="str">
        <f>VLOOKUP('Cash Balance'!$C874,Table2[#All],MATCH('Cash Balance'!B$3,Acc_Char!$B$1:$I$1,0),0)</f>
        <v>ACB - HCM</v>
      </c>
      <c r="C874" s="1204" t="s">
        <v>1484</v>
      </c>
      <c r="D874" s="1156" t="str">
        <f>VLOOKUP('Cash Balance'!$C874,Table2[#All],MATCH('Cash Balance'!D$3,Acc_Char!$B$1:$I$1,0),0)</f>
        <v>Saving Account</v>
      </c>
      <c r="E874" s="1201" t="str">
        <f>VLOOKUP('Cash Balance'!$C874,Table2[#All],MATCH('Cash Balance'!E$3,Acc_Char!$B$1:$I$1,0),0)</f>
        <v>VND</v>
      </c>
      <c r="F874" s="1084" t="e">
        <f>VLOOKUP(C874,'Cash balance (BS)'!A:C,3,)</f>
        <v>#N/A</v>
      </c>
      <c r="G874" s="1191" t="e">
        <f t="shared" si="149"/>
        <v>#N/A</v>
      </c>
      <c r="H874" s="1321">
        <f>SUMIFS('Cash balance (Prior period)'!F:F,'Cash balance (Prior period)'!C:C,Table11[[#This Row],[ACCOUNT NUMBER]],'Cash balance (Prior period)'!E:E,Table11[[#This Row],[CURRENCY]])</f>
        <v>38000000000</v>
      </c>
      <c r="I874" s="1322">
        <f>SUMIFS(Movement!$F$4:$F$2136,Movement!$M$4:$M$2136,"VND",Movement!$C$4:$C$2136,Table11[[#This Row],[ACCOUNT NUMBER]],Movement!$J$4:$J$2136,Table11[[#This Row],[ENTITY]],Movement!$O$4:$O$2136,'Cash Balance'!$A$2)</f>
        <v>0</v>
      </c>
      <c r="J874" s="1323">
        <f>SUMIFS(Movement!$G$4:$G$2136,Movement!$M$4:$M$2136,"VND",Movement!$C$4:$C$2136,Table11[[#This Row],[ACCOUNT NUMBER]],Movement!$J$4:$J$2136,Table11[[#This Row],[ENTITY]],Movement!$O$4:$O$2136,'Cash Balance'!$A$2)</f>
        <v>38000000000</v>
      </c>
      <c r="K874" s="1258">
        <f>Table11[[#This Row],[CASH IN - CREDIT (VND)]]-Table11[[#This Row],[CASH OUT - DEBIT (VND)]]</f>
        <v>-38000000000</v>
      </c>
      <c r="L874" s="1134">
        <f t="shared" si="150"/>
        <v>0</v>
      </c>
      <c r="M874" s="1135" t="e">
        <f>VLOOKUP(C874,'Cash balance (BS)'!A:D,4,)</f>
        <v>#N/A</v>
      </c>
      <c r="N874" s="1136" t="e">
        <f>Table11[[#This Row],[CLOSING BALANCE (VND)2]]-Table11[[#This Row],[CB_BS (VND)]]</f>
        <v>#N/A</v>
      </c>
      <c r="O874" s="1094"/>
      <c r="P874" s="1135">
        <f t="shared" si="151"/>
        <v>0</v>
      </c>
      <c r="Q874" s="1137">
        <f>SUMIFS('Cash balance (Prior period)'!G:G,'Cash balance (Prior period)'!C:C,Table11[[#This Row],[ACCOUNT NUMBER]],'Cash balance (Prior period)'!E:E,Table11[[#This Row],[CURRENCY]])</f>
        <v>0</v>
      </c>
      <c r="R874" s="1138">
        <f>SUMIFS(Movement!$F$4:$F$2136,Movement!$M$4:$M$2136,"USD",Movement!$C$4:$C$2136,Table11[[#This Row],[ACCOUNT NUMBER]],Movement!$J$4:$J$2136,Table11[[#This Row],[ENTITY]],Movement!$O$4:$O$2136,'Cash Balance'!$A$2)</f>
        <v>0</v>
      </c>
      <c r="S874" s="1137">
        <f>SUMIFS(Movement!$G$4:$G$2136,Movement!$M$4:$M$2136,"USD",Movement!$C$4:$C$2136,Table11[[#This Row],[ACCOUNT NUMBER]],Movement!$J$4:$J$2136,Table11[[#This Row],[ENTITY]],Movement!$O$4:$O$2136,'Cash Balance'!$A$2)</f>
        <v>0</v>
      </c>
      <c r="T874" s="1139">
        <f t="shared" si="152"/>
        <v>0</v>
      </c>
      <c r="U874" s="1090"/>
      <c r="V874" s="1091">
        <f>Table11[[#This Row],[CLOSING BALANCE (USD)]]-Table11[[#This Row],[CB_BS (USD)]]</f>
        <v>0</v>
      </c>
      <c r="W874" s="1186" t="str">
        <f>VLOOKUP('Cash Balance'!$C874,Table2[#All],MATCH('Cash Balance'!W$3,Acc_Char!$B$1:$I$1,0),0)</f>
        <v>VC3</v>
      </c>
      <c r="X874" s="1156" t="str">
        <f>VLOOKUP(IFERROR(MID($Y874,1,FIND("-",$Y874)-2),$Y874),Table3[#All],2,0)</f>
        <v>ACB</v>
      </c>
      <c r="Y874" s="1156" t="str">
        <f>VLOOKUP($B874,Table4[#All],2,0)</f>
        <v>ACB - HCM</v>
      </c>
      <c r="Z874" s="1151"/>
    </row>
    <row r="875" spans="1:26">
      <c r="A875" s="1153" t="str">
        <f>VLOOKUP('Cash Balance'!$C875,Table2[#All],MATCH('Cash Balance'!A$3,Acc_Char!$B$1:$I$1,0),0)</f>
        <v>BWID NHON TRACH</v>
      </c>
      <c r="B875" s="1154" t="str">
        <f>VLOOKUP('Cash Balance'!$C875,Table2[#All],MATCH('Cash Balance'!B$3,Acc_Char!$B$1:$I$1,0),0)</f>
        <v>VIETCOMBANK - HCM</v>
      </c>
      <c r="C875" s="1205" t="s">
        <v>1485</v>
      </c>
      <c r="D875" s="1156" t="str">
        <f>VLOOKUP('Cash Balance'!$C875,Table2[#All],MATCH('Cash Balance'!D$3,Acc_Char!$B$1:$I$1,0),0)</f>
        <v>Saving Account</v>
      </c>
      <c r="E875" s="1201" t="str">
        <f>VLOOKUP('Cash Balance'!$C875,Table2[#All],MATCH('Cash Balance'!E$3,Acc_Char!$B$1:$I$1,0),0)</f>
        <v>VND</v>
      </c>
      <c r="F875" s="1084" t="e">
        <f>VLOOKUP(C875,'Cash balance (BS)'!A:C,3,)</f>
        <v>#N/A</v>
      </c>
      <c r="G875" s="1191" t="e">
        <f t="shared" si="149"/>
        <v>#N/A</v>
      </c>
      <c r="H875" s="1321">
        <f>SUMIFS('Cash balance (Prior period)'!F:F,'Cash balance (Prior period)'!C:C,Table11[[#This Row],[ACCOUNT NUMBER]],'Cash balance (Prior period)'!E:E,Table11[[#This Row],[CURRENCY]])</f>
        <v>12000000000</v>
      </c>
      <c r="I875" s="1322">
        <f>SUMIFS(Movement!$F$4:$F$2136,Movement!$M$4:$M$2136,"VND",Movement!$C$4:$C$2136,Table11[[#This Row],[ACCOUNT NUMBER]],Movement!$J$4:$J$2136,Table11[[#This Row],[ENTITY]],Movement!$O$4:$O$2136,'Cash Balance'!$A$2)</f>
        <v>0</v>
      </c>
      <c r="J875" s="1323">
        <f>SUMIFS(Movement!$G$4:$G$2136,Movement!$M$4:$M$2136,"VND",Movement!$C$4:$C$2136,Table11[[#This Row],[ACCOUNT NUMBER]],Movement!$J$4:$J$2136,Table11[[#This Row],[ENTITY]],Movement!$O$4:$O$2136,'Cash Balance'!$A$2)</f>
        <v>0</v>
      </c>
      <c r="K875" s="1258">
        <f>Table11[[#This Row],[CASH IN - CREDIT (VND)]]-Table11[[#This Row],[CASH OUT - DEBIT (VND)]]</f>
        <v>0</v>
      </c>
      <c r="L875" s="1134">
        <f t="shared" si="150"/>
        <v>12000000000</v>
      </c>
      <c r="M875" s="1135" t="e">
        <f>VLOOKUP(C875,'Cash balance (BS)'!A:D,4,)</f>
        <v>#N/A</v>
      </c>
      <c r="N875" s="1136" t="e">
        <f>Table11[[#This Row],[CLOSING BALANCE (VND)2]]-Table11[[#This Row],[CB_BS (VND)]]</f>
        <v>#N/A</v>
      </c>
      <c r="O875" s="1094"/>
      <c r="P875" s="1135">
        <f t="shared" si="151"/>
        <v>0</v>
      </c>
      <c r="Q875" s="1137">
        <f>SUMIFS('Cash balance (Prior period)'!G:G,'Cash balance (Prior period)'!C:C,Table11[[#This Row],[ACCOUNT NUMBER]],'Cash balance (Prior period)'!E:E,Table11[[#This Row],[CURRENCY]])</f>
        <v>0</v>
      </c>
      <c r="R875" s="1138">
        <f>SUMIFS(Movement!$F$4:$F$2136,Movement!$M$4:$M$2136,"USD",Movement!$C$4:$C$2136,Table11[[#This Row],[ACCOUNT NUMBER]],Movement!$J$4:$J$2136,Table11[[#This Row],[ENTITY]],Movement!$O$4:$O$2136,'Cash Balance'!$A$2)</f>
        <v>0</v>
      </c>
      <c r="S875" s="1137">
        <f>SUMIFS(Movement!$G$4:$G$2136,Movement!$M$4:$M$2136,"USD",Movement!$C$4:$C$2136,Table11[[#This Row],[ACCOUNT NUMBER]],Movement!$J$4:$J$2136,Table11[[#This Row],[ENTITY]],Movement!$O$4:$O$2136,'Cash Balance'!$A$2)</f>
        <v>0</v>
      </c>
      <c r="T875" s="1139">
        <f t="shared" si="152"/>
        <v>0</v>
      </c>
      <c r="U875" s="1090"/>
      <c r="V875" s="1091">
        <f>Table11[[#This Row],[CLOSING BALANCE (USD)]]-Table11[[#This Row],[CB_BS (USD)]]</f>
        <v>0</v>
      </c>
      <c r="W875" s="1186" t="str">
        <f>VLOOKUP('Cash Balance'!$C875,Table2[#All],MATCH('Cash Balance'!W$3,Acc_Char!$B$1:$I$1,0),0)</f>
        <v>Subsidiaries</v>
      </c>
      <c r="X875" s="1156" t="str">
        <f>VLOOKUP(IFERROR(MID($Y875,1,FIND("-",$Y875)-2),$Y875),Table3[#All],2,0)</f>
        <v>VCB</v>
      </c>
      <c r="Y875" s="1156" t="str">
        <f>VLOOKUP($B875,Table4[#All],2,0)</f>
        <v>VIETCOMBANK - HCM</v>
      </c>
      <c r="Z875" s="1151"/>
    </row>
    <row r="876" spans="1:26">
      <c r="A876" s="1153" t="str">
        <f>VLOOKUP('Cash Balance'!$C876,Table2[#All],MATCH('Cash Balance'!A$3,Acc_Char!$B$1:$I$1,0),0)</f>
        <v>SAO HOA</v>
      </c>
      <c r="B876" s="1154" t="str">
        <f>VLOOKUP('Cash Balance'!$C876,Table2[#All],MATCH('Cash Balance'!B$3,Acc_Char!$B$1:$I$1,0),0)</f>
        <v>VIETCOMBANK - HCM</v>
      </c>
      <c r="C876" s="1328" t="s">
        <v>5388</v>
      </c>
      <c r="D876" s="1156" t="str">
        <f>VLOOKUP('Cash Balance'!$C876,Table2[#All],MATCH('Cash Balance'!D$3,Acc_Char!$B$1:$I$1,0),0)</f>
        <v>Saving Account</v>
      </c>
      <c r="E876" s="1201" t="str">
        <f>VLOOKUP('Cash Balance'!$C876,Table2[#All],MATCH('Cash Balance'!E$3,Acc_Char!$B$1:$I$1,0),0)</f>
        <v>VND</v>
      </c>
      <c r="F876" s="1084" t="e">
        <f>VLOOKUP(C876,'Cash balance (BS)'!A:C,3,)</f>
        <v>#N/A</v>
      </c>
      <c r="G876" s="1191" t="e">
        <f t="shared" si="149"/>
        <v>#N/A</v>
      </c>
      <c r="H876" s="1321">
        <f>SUMIFS('Cash balance (Prior period)'!F:F,'Cash balance (Prior period)'!C:C,Table11[[#This Row],[ACCOUNT NUMBER]],'Cash balance (Prior period)'!E:E,Table11[[#This Row],[CURRENCY]])</f>
        <v>600000000000</v>
      </c>
      <c r="I876" s="1322">
        <f>SUMIFS(Movement!$F$4:$F$2136,Movement!$M$4:$M$2136,"VND",Movement!$C$4:$C$2136,Table11[[#This Row],[ACCOUNT NUMBER]],Movement!$J$4:$J$2136,Table11[[#This Row],[ENTITY]],Movement!$O$4:$O$2136,'Cash Balance'!$A$2)</f>
        <v>0</v>
      </c>
      <c r="J876" s="1323">
        <f>SUMIFS(Movement!$G$4:$G$2136,Movement!$M$4:$M$2136,"VND",Movement!$C$4:$C$2136,Table11[[#This Row],[ACCOUNT NUMBER]],Movement!$J$4:$J$2136,Table11[[#This Row],[ENTITY]],Movement!$O$4:$O$2136,'Cash Balance'!$A$2)</f>
        <v>0</v>
      </c>
      <c r="K876" s="1258">
        <f>Table11[[#This Row],[CASH IN - CREDIT (VND)]]-Table11[[#This Row],[CASH OUT - DEBIT (VND)]]</f>
        <v>0</v>
      </c>
      <c r="L876" s="1134">
        <f t="shared" si="150"/>
        <v>600000000000</v>
      </c>
      <c r="M876" s="1135" t="e">
        <f>VLOOKUP(C876,'Cash balance (BS)'!A:D,4,)</f>
        <v>#N/A</v>
      </c>
      <c r="N876" s="1136" t="e">
        <f>Table11[[#This Row],[CLOSING BALANCE (VND)2]]-Table11[[#This Row],[CB_BS (VND)]]</f>
        <v>#N/A</v>
      </c>
      <c r="O876" s="1094"/>
      <c r="P876" s="1135">
        <f t="shared" si="151"/>
        <v>0</v>
      </c>
      <c r="Q876" s="1137">
        <f>SUMIFS('Cash balance (Prior period)'!G:G,'Cash balance (Prior period)'!C:C,Table11[[#This Row],[ACCOUNT NUMBER]],'Cash balance (Prior period)'!E:E,Table11[[#This Row],[CURRENCY]])</f>
        <v>0</v>
      </c>
      <c r="R876" s="1138">
        <f>SUMIFS(Movement!$F$4:$F$2136,Movement!$M$4:$M$2136,"USD",Movement!$C$4:$C$2136,Table11[[#This Row],[ACCOUNT NUMBER]],Movement!$J$4:$J$2136,Table11[[#This Row],[ENTITY]],Movement!$O$4:$O$2136,'Cash Balance'!$A$2)</f>
        <v>0</v>
      </c>
      <c r="S876" s="1137">
        <f>SUMIFS(Movement!$G$4:$G$2136,Movement!$M$4:$M$2136,"USD",Movement!$C$4:$C$2136,Table11[[#This Row],[ACCOUNT NUMBER]],Movement!$J$4:$J$2136,Table11[[#This Row],[ENTITY]],Movement!$O$4:$O$2136,'Cash Balance'!$A$2)</f>
        <v>0</v>
      </c>
      <c r="T876" s="1139">
        <f t="shared" si="152"/>
        <v>0</v>
      </c>
      <c r="U876" s="1090"/>
      <c r="V876" s="1091">
        <f>Table11[[#This Row],[CLOSING BALANCE (USD)]]-Table11[[#This Row],[CB_BS (USD)]]</f>
        <v>0</v>
      </c>
      <c r="W876" s="1186" t="str">
        <f>VLOOKUP('Cash Balance'!$C876,Table2[#All],MATCH('Cash Balance'!W$3,Acc_Char!$B$1:$I$1,0),0)</f>
        <v>VC3</v>
      </c>
      <c r="X876" s="1156" t="str">
        <f>VLOOKUP(IFERROR(MID($Y876,1,FIND("-",$Y876)-2),$Y876),Table3[#All],2,0)</f>
        <v>VCB</v>
      </c>
      <c r="Y876" s="1156" t="str">
        <f>VLOOKUP($B876,Table4[#All],2,0)</f>
        <v>VIETCOMBANK - HCM</v>
      </c>
      <c r="Z876" s="1151"/>
    </row>
    <row r="877" spans="1:26">
      <c r="A877" s="1153" t="str">
        <f>VLOOKUP('Cash Balance'!$C877,Table2[#All],MATCH('Cash Balance'!A$3,Acc_Char!$B$1:$I$1,0),0)</f>
        <v>SAO HOA</v>
      </c>
      <c r="B877" s="1154" t="str">
        <f>VLOOKUP('Cash Balance'!$C877,Table2[#All],MATCH('Cash Balance'!B$3,Acc_Char!$B$1:$I$1,0),0)</f>
        <v>ACB - HCM</v>
      </c>
      <c r="C877" s="1205" t="s">
        <v>1486</v>
      </c>
      <c r="D877" s="1156" t="str">
        <f>VLOOKUP('Cash Balance'!$C877,Table2[#All],MATCH('Cash Balance'!D$3,Acc_Char!$B$1:$I$1,0),0)</f>
        <v>Saving Account</v>
      </c>
      <c r="E877" s="1201" t="str">
        <f>VLOOKUP('Cash Balance'!$C877,Table2[#All],MATCH('Cash Balance'!E$3,Acc_Char!$B$1:$I$1,0),0)</f>
        <v>VND</v>
      </c>
      <c r="F877" s="1084" t="e">
        <f>VLOOKUP(C877,'Cash balance (BS)'!A:C,3,)</f>
        <v>#N/A</v>
      </c>
      <c r="G877" s="1191" t="e">
        <f t="shared" si="149"/>
        <v>#N/A</v>
      </c>
      <c r="H877" s="1321">
        <f>SUMIFS('Cash balance (Prior period)'!F:F,'Cash balance (Prior period)'!C:C,Table11[[#This Row],[ACCOUNT NUMBER]],'Cash balance (Prior period)'!E:E,Table11[[#This Row],[CURRENCY]])</f>
        <v>62000000000</v>
      </c>
      <c r="I877" s="1322">
        <f>SUMIFS(Movement!$F$4:$F$2136,Movement!$M$4:$M$2136,"VND",Movement!$C$4:$C$2136,Table11[[#This Row],[ACCOUNT NUMBER]],Movement!$J$4:$J$2136,Table11[[#This Row],[ENTITY]],Movement!$O$4:$O$2136,'Cash Balance'!$A$2)</f>
        <v>0</v>
      </c>
      <c r="J877" s="1323">
        <f>SUMIFS(Movement!$G$4:$G$2136,Movement!$M$4:$M$2136,"VND",Movement!$C$4:$C$2136,Table11[[#This Row],[ACCOUNT NUMBER]],Movement!$J$4:$J$2136,Table11[[#This Row],[ENTITY]],Movement!$O$4:$O$2136,'Cash Balance'!$A$2)</f>
        <v>62000000000</v>
      </c>
      <c r="K877" s="1258">
        <f>Table11[[#This Row],[CASH IN - CREDIT (VND)]]-Table11[[#This Row],[CASH OUT - DEBIT (VND)]]</f>
        <v>-62000000000</v>
      </c>
      <c r="L877" s="1134">
        <f t="shared" si="150"/>
        <v>0</v>
      </c>
      <c r="M877" s="1135" t="e">
        <f>VLOOKUP(C877,'Cash balance (BS)'!A:D,4,)</f>
        <v>#N/A</v>
      </c>
      <c r="N877" s="1136" t="e">
        <f>Table11[[#This Row],[CLOSING BALANCE (VND)2]]-Table11[[#This Row],[CB_BS (VND)]]</f>
        <v>#N/A</v>
      </c>
      <c r="O877" s="1094"/>
      <c r="P877" s="1135">
        <f t="shared" si="151"/>
        <v>0</v>
      </c>
      <c r="Q877" s="1137">
        <f>SUMIFS('Cash balance (Prior period)'!G:G,'Cash balance (Prior period)'!C:C,Table11[[#This Row],[ACCOUNT NUMBER]],'Cash balance (Prior period)'!E:E,Table11[[#This Row],[CURRENCY]])</f>
        <v>0</v>
      </c>
      <c r="R877" s="1138">
        <f>SUMIFS(Movement!$F$4:$F$2136,Movement!$M$4:$M$2136,"USD",Movement!$C$4:$C$2136,Table11[[#This Row],[ACCOUNT NUMBER]],Movement!$J$4:$J$2136,Table11[[#This Row],[ENTITY]],Movement!$O$4:$O$2136,'Cash Balance'!$A$2)</f>
        <v>0</v>
      </c>
      <c r="S877" s="1137">
        <f>SUMIFS(Movement!$G$4:$G$2136,Movement!$M$4:$M$2136,"USD",Movement!$C$4:$C$2136,Table11[[#This Row],[ACCOUNT NUMBER]],Movement!$J$4:$J$2136,Table11[[#This Row],[ENTITY]],Movement!$O$4:$O$2136,'Cash Balance'!$A$2)</f>
        <v>0</v>
      </c>
      <c r="T877" s="1139">
        <f t="shared" si="152"/>
        <v>0</v>
      </c>
      <c r="U877" s="1090"/>
      <c r="V877" s="1091">
        <f>Table11[[#This Row],[CLOSING BALANCE (USD)]]-Table11[[#This Row],[CB_BS (USD)]]</f>
        <v>0</v>
      </c>
      <c r="W877" s="1186" t="str">
        <f>VLOOKUP('Cash Balance'!$C877,Table2[#All],MATCH('Cash Balance'!W$3,Acc_Char!$B$1:$I$1,0),0)</f>
        <v>VC3</v>
      </c>
      <c r="X877" s="1156" t="str">
        <f>VLOOKUP(IFERROR(MID($Y877,1,FIND("-",$Y877)-2),$Y877),Table3[#All],2,0)</f>
        <v>ACB</v>
      </c>
      <c r="Y877" s="1156" t="str">
        <f>VLOOKUP($B877,Table4[#All],2,0)</f>
        <v>ACB - HCM</v>
      </c>
      <c r="Z877" s="1151"/>
    </row>
    <row r="878" spans="1:26">
      <c r="A878" s="1153" t="str">
        <f>VLOOKUP('Cash Balance'!$C878,Table2[#All],MATCH('Cash Balance'!A$3,Acc_Char!$B$1:$I$1,0),0)</f>
        <v>NSHL LLC</v>
      </c>
      <c r="B878" s="1154" t="str">
        <f>VLOOKUP('Cash Balance'!$C878,Table2[#All],MATCH('Cash Balance'!B$3,Acc_Char!$B$1:$I$1,0),0)</f>
        <v>BIDV - THANH XUAN</v>
      </c>
      <c r="C878" s="1204" t="s">
        <v>1487</v>
      </c>
      <c r="D878" s="1156" t="str">
        <f>VLOOKUP('Cash Balance'!$C878,Table2[#All],MATCH('Cash Balance'!D$3,Acc_Char!$B$1:$I$1,0),0)</f>
        <v>Saving Account</v>
      </c>
      <c r="E878" s="384" t="str">
        <f>VLOOKUP('Cash Balance'!$C878,Table2[#All],MATCH('Cash Balance'!E$3,Acc_Char!$B$1:$I$1,0),0)</f>
        <v>VND</v>
      </c>
      <c r="F878" s="1084" t="e">
        <f>VLOOKUP(C878,'Cash balance (BS)'!A:C,3,)</f>
        <v>#N/A</v>
      </c>
      <c r="G878" s="1191" t="e">
        <f t="shared" si="149"/>
        <v>#N/A</v>
      </c>
      <c r="H878" s="1320">
        <f>SUMIFS('Cash balance (Prior period)'!F:F,'Cash balance (Prior period)'!C:C,Table11[[#This Row],[ACCOUNT NUMBER]],'Cash balance (Prior period)'!E:E,Table11[[#This Row],[CURRENCY]])</f>
        <v>4000000000</v>
      </c>
      <c r="I878" s="1318">
        <f>SUMIFS(Movement!$F$4:$F$2136,Movement!$M$4:$M$2136,"VND",Movement!$C$4:$C$2136,Table11[[#This Row],[ACCOUNT NUMBER]],Movement!$J$4:$J$2136,Table11[[#This Row],[ENTITY]],Movement!$O$4:$O$2136,'Cash Balance'!$A$2)</f>
        <v>0</v>
      </c>
      <c r="J878" s="1318">
        <f>SUMIFS(Movement!$G$4:$G$2136,Movement!$M$4:$M$2136,"VND",Movement!$C$4:$C$2136,Table11[[#This Row],[ACCOUNT NUMBER]],Movement!$J$4:$J$2136,Table11[[#This Row],[ENTITY]],Movement!$O$4:$O$2136,'Cash Balance'!$A$2)</f>
        <v>0</v>
      </c>
      <c r="K878" s="1084">
        <f>Table11[[#This Row],[CASH IN - CREDIT (VND)]]-Table11[[#This Row],[CASH OUT - DEBIT (VND)]]</f>
        <v>0</v>
      </c>
      <c r="L878" s="1225">
        <f t="shared" si="150"/>
        <v>4000000000</v>
      </c>
      <c r="M878" s="1135" t="e">
        <f>VLOOKUP(C878,'Cash balance (BS)'!A:D,4,)</f>
        <v>#N/A</v>
      </c>
      <c r="N878" s="1136" t="e">
        <f>Table11[[#This Row],[CLOSING BALANCE (VND)2]]-Table11[[#This Row],[CB_BS (VND)]]</f>
        <v>#N/A</v>
      </c>
      <c r="O878" s="1094"/>
      <c r="P878" s="1135">
        <f t="shared" si="151"/>
        <v>0</v>
      </c>
      <c r="Q878" s="1226">
        <f>SUMIFS('Cash balance (Prior period)'!G:G,'Cash balance (Prior period)'!C:C,Table11[[#This Row],[ACCOUNT NUMBER]],'Cash balance (Prior period)'!E:E,Table11[[#This Row],[CURRENCY]])</f>
        <v>0</v>
      </c>
      <c r="R878" s="1226">
        <f>SUMIFS(Movement!$F$4:$F$2136,Movement!$M$4:$M$2136,"USD",Movement!$C$4:$C$2136,Table11[[#This Row],[ACCOUNT NUMBER]],Movement!$J$4:$J$2136,Table11[[#This Row],[ENTITY]],Movement!$O$4:$O$2136,'Cash Balance'!$A$2)</f>
        <v>0</v>
      </c>
      <c r="S878" s="1226">
        <f>SUMIFS(Movement!$G$4:$G$2136,Movement!$M$4:$M$2136,"USD",Movement!$C$4:$C$2136,Table11[[#This Row],[ACCOUNT NUMBER]],Movement!$J$4:$J$2136,Table11[[#This Row],[ENTITY]],Movement!$O$4:$O$2136,'Cash Balance'!$A$2)</f>
        <v>0</v>
      </c>
      <c r="T878" s="1236">
        <f t="shared" si="152"/>
        <v>0</v>
      </c>
      <c r="U878" s="1090"/>
      <c r="V878" s="1091">
        <f>Table11[[#This Row],[CLOSING BALANCE (USD)]]-Table11[[#This Row],[CB_BS (USD)]]</f>
        <v>0</v>
      </c>
      <c r="W878" s="1156" t="str">
        <f>VLOOKUP('Cash Balance'!$C878,Table2[#All],MATCH('Cash Balance'!W$3,Acc_Char!$B$1:$I$1,0),0)</f>
        <v>Subsidiaries</v>
      </c>
      <c r="X878" s="1156" t="str">
        <f>VLOOKUP(IFERROR(MID($Y878,1,FIND("-",$Y878)-2),$Y878),Table3[#All],2,0)</f>
        <v>BIDV</v>
      </c>
      <c r="Y878" s="1156" t="str">
        <f>VLOOKUP($B878,Table4[#All],2,0)</f>
        <v>BIDV - THANH XUAN</v>
      </c>
      <c r="Z878" s="1151"/>
    </row>
    <row r="879" spans="1:26">
      <c r="A879" s="1153" t="str">
        <f>VLOOKUP('Cash Balance'!$C879,Table2[#All],MATCH('Cash Balance'!A$3,Acc_Char!$B$1:$I$1,0),0)</f>
        <v>BWID THOI HOA 2</v>
      </c>
      <c r="B879" s="1154" t="str">
        <f>VLOOKUP('Cash Balance'!$C879,Table2[#All],MATCH('Cash Balance'!B$3,Acc_Char!$B$1:$I$1,0),0)</f>
        <v>KBank - HCM</v>
      </c>
      <c r="C879" s="1205" t="s">
        <v>1488</v>
      </c>
      <c r="D879" s="1156" t="str">
        <f>VLOOKUP('Cash Balance'!$C879,Table2[#All],MATCH('Cash Balance'!D$3,Acc_Char!$B$1:$I$1,0),0)</f>
        <v>Saving Account</v>
      </c>
      <c r="E879" s="1201" t="str">
        <f>VLOOKUP('Cash Balance'!$C879,Table2[#All],MATCH('Cash Balance'!E$3,Acc_Char!$B$1:$I$1,0),0)</f>
        <v>VND</v>
      </c>
      <c r="F879" s="1084" t="e">
        <f>VLOOKUP(C879,'Cash balance (BS)'!A:C,3,)</f>
        <v>#N/A</v>
      </c>
      <c r="G879" s="1191" t="e">
        <f>F879-H879</f>
        <v>#N/A</v>
      </c>
      <c r="H879" s="1321">
        <f>SUMIFS('Cash balance (Prior period)'!F:F,'Cash balance (Prior period)'!C:C,Table11[[#This Row],[ACCOUNT NUMBER]],'Cash balance (Prior period)'!E:E,Table11[[#This Row],[CURRENCY]])</f>
        <v>41000000000</v>
      </c>
      <c r="I879" s="1322">
        <f>SUMIFS(Movement!$F$4:$F$2136,Movement!$M$4:$M$2136,"VND",Movement!$C$4:$C$2136,Table11[[#This Row],[ACCOUNT NUMBER]],Movement!$J$4:$J$2136,Table11[[#This Row],[ENTITY]],Movement!$O$4:$O$2136,'Cash Balance'!$A$2)</f>
        <v>0</v>
      </c>
      <c r="J879" s="1323">
        <f>SUMIFS(Movement!$G$4:$G$2136,Movement!$M$4:$M$2136,"VND",Movement!$C$4:$C$2136,Table11[[#This Row],[ACCOUNT NUMBER]],Movement!$J$4:$J$2136,Table11[[#This Row],[ENTITY]],Movement!$O$4:$O$2136,'Cash Balance'!$A$2)</f>
        <v>0</v>
      </c>
      <c r="K879" s="1258">
        <f>Table11[[#This Row],[CASH IN - CREDIT (VND)]]-Table11[[#This Row],[CASH OUT - DEBIT (VND)]]</f>
        <v>0</v>
      </c>
      <c r="L879" s="1134">
        <f t="shared" ref="L879:L908" si="153">H879+I879-J879</f>
        <v>41000000000</v>
      </c>
      <c r="M879" s="1135" t="e">
        <f>VLOOKUP(C879,'Cash balance (BS)'!A:D,4,)</f>
        <v>#N/A</v>
      </c>
      <c r="N879" s="1136" t="e">
        <f>Table11[[#This Row],[CLOSING BALANCE (VND)2]]-Table11[[#This Row],[CB_BS (VND)]]</f>
        <v>#N/A</v>
      </c>
      <c r="O879" s="1094"/>
      <c r="P879" s="1135">
        <f>O879-Q879</f>
        <v>0</v>
      </c>
      <c r="Q879" s="1137">
        <f>SUMIFS('Cash balance (Prior period)'!G:G,'Cash balance (Prior period)'!C:C,Table11[[#This Row],[ACCOUNT NUMBER]],'Cash balance (Prior period)'!E:E,Table11[[#This Row],[CURRENCY]])</f>
        <v>0</v>
      </c>
      <c r="R879" s="1138">
        <f>SUMIFS(Movement!$F$4:$F$2136,Movement!$M$4:$M$2136,"USD",Movement!$C$4:$C$2136,Table11[[#This Row],[ACCOUNT NUMBER]],Movement!$J$4:$J$2136,Table11[[#This Row],[ENTITY]],Movement!$O$4:$O$2136,'Cash Balance'!$A$2)</f>
        <v>0</v>
      </c>
      <c r="S879" s="1137">
        <f>SUMIFS(Movement!$G$4:$G$2136,Movement!$M$4:$M$2136,"USD",Movement!$C$4:$C$2136,Table11[[#This Row],[ACCOUNT NUMBER]],Movement!$J$4:$J$2136,Table11[[#This Row],[ENTITY]],Movement!$O$4:$O$2136,'Cash Balance'!$A$2)</f>
        <v>0</v>
      </c>
      <c r="T879" s="1139">
        <f>Q879+R879-S879</f>
        <v>0</v>
      </c>
      <c r="U879" s="1090"/>
      <c r="V879" s="1091">
        <f>Table11[[#This Row],[CLOSING BALANCE (USD)]]-Table11[[#This Row],[CB_BS (USD)]]</f>
        <v>0</v>
      </c>
      <c r="W879" s="1186" t="str">
        <f>VLOOKUP('Cash Balance'!$C879,Table2[#All],MATCH('Cash Balance'!W$3,Acc_Char!$B$1:$I$1,0),0)</f>
        <v>Subsidiaries</v>
      </c>
      <c r="X879" s="1156" t="str">
        <f>VLOOKUP(IFERROR(MID($Y879,1,FIND("-",$Y879)-2),$Y879),Table3[#All],2,0)</f>
        <v>Others</v>
      </c>
      <c r="Y879" s="1156" t="str">
        <f>VLOOKUP($B879,Table4[#All],2,0)</f>
        <v>OTHERS</v>
      </c>
      <c r="Z879" s="1151"/>
    </row>
    <row r="880" spans="1:26">
      <c r="A880" s="1153" t="str">
        <f>VLOOKUP('Cash Balance'!$C880,Table2[#All],MATCH('Cash Balance'!A$3,Acc_Char!$B$1:$I$1,0),0)</f>
        <v>GREAT KINGDOM NT 2</v>
      </c>
      <c r="B880" s="1154" t="str">
        <f>VLOOKUP('Cash Balance'!$C880,Table2[#All],MATCH('Cash Balance'!B$3,Acc_Char!$B$1:$I$1,0),0)</f>
        <v>VIETINBANK - CN1</v>
      </c>
      <c r="C880" s="1193" t="s">
        <v>1489</v>
      </c>
      <c r="D880" s="1156" t="str">
        <f>VLOOKUP('Cash Balance'!$C880,Table2[#All],MATCH('Cash Balance'!D$3,Acc_Char!$B$1:$I$1,0),0)</f>
        <v>Saving Account</v>
      </c>
      <c r="E880" s="384" t="str">
        <f>VLOOKUP('Cash Balance'!$C880,Table2[#All],MATCH('Cash Balance'!E$3,Acc_Char!$B$1:$I$1,0),0)</f>
        <v>VND</v>
      </c>
      <c r="F880" s="1084" t="e">
        <f>VLOOKUP(C880,'Cash balance (BS)'!A:C,3,)</f>
        <v>#N/A</v>
      </c>
      <c r="G880" s="1191" t="e">
        <f t="shared" si="84"/>
        <v>#N/A</v>
      </c>
      <c r="H880" s="1318">
        <f>SUMIFS('Cash balance (Prior period)'!F:F,'Cash balance (Prior period)'!C:C,Table11[[#This Row],[ACCOUNT NUMBER]],'Cash balance (Prior period)'!E:E,Table11[[#This Row],[CURRENCY]])</f>
        <v>0</v>
      </c>
      <c r="I880" s="1318">
        <f>SUMIFS(Movement!$F$4:$F$2136,Movement!$M$4:$M$2136,"VND",Movement!$C$4:$C$2136,Table11[[#This Row],[ACCOUNT NUMBER]],Movement!$J$4:$J$2136,Table11[[#This Row],[ENTITY]],Movement!$O$4:$O$2136,'Cash Balance'!$A$2)</f>
        <v>0</v>
      </c>
      <c r="J880" s="1318">
        <f>SUMIFS(Movement!$G$4:$G$2136,Movement!$M$4:$M$2136,"VND",Movement!$C$4:$C$2136,Table11[[#This Row],[ACCOUNT NUMBER]],Movement!$J$4:$J$2136,Table11[[#This Row],[ENTITY]],Movement!$O$4:$O$2136,'Cash Balance'!$A$2)</f>
        <v>0</v>
      </c>
      <c r="K880" s="1084">
        <f>Table11[[#This Row],[CASH IN - CREDIT (VND)]]-Table11[[#This Row],[CASH OUT - DEBIT (VND)]]</f>
        <v>0</v>
      </c>
      <c r="L880" s="1233">
        <f t="shared" si="153"/>
        <v>0</v>
      </c>
      <c r="M880" s="1184" t="e">
        <f>VLOOKUP(C880,'Cash balance (BS)'!A:D,4,)</f>
        <v>#N/A</v>
      </c>
      <c r="N880" s="1095" t="e">
        <f>Table11[[#This Row],[CLOSING BALANCE (VND)2]]-Table11[[#This Row],[CB_BS (VND)]]</f>
        <v>#N/A</v>
      </c>
      <c r="O880" s="1094">
        <v>0</v>
      </c>
      <c r="P880" s="1095">
        <f t="shared" si="86"/>
        <v>0</v>
      </c>
      <c r="Q880" s="817">
        <f>SUMIFS('Cash balance (Prior period)'!G:G,'Cash balance (Prior period)'!C:C,Table11[[#This Row],[ACCOUNT NUMBER]],'Cash balance (Prior period)'!E:E,Table11[[#This Row],[CURRENCY]])</f>
        <v>0</v>
      </c>
      <c r="R880" s="817">
        <f>SUMIFS(Movement!$F$4:$F$2136,Movement!$M$4:$M$2136,"USD",Movement!$C$4:$C$2136,Table11[[#This Row],[ACCOUNT NUMBER]],Movement!$J$4:$J$2136,Table11[[#This Row],[ENTITY]],Movement!$O$4:$O$2136,'Cash Balance'!$A$2)</f>
        <v>0</v>
      </c>
      <c r="S880" s="817">
        <f>SUMIFS(Movement!$G$4:$G$2136,Movement!$M$4:$M$2136,"USD",Movement!$C$4:$C$2136,Table11[[#This Row],[ACCOUNT NUMBER]],Movement!$J$4:$J$2136,Table11[[#This Row],[ENTITY]],Movement!$O$4:$O$2136,'Cash Balance'!$A$2)</f>
        <v>0</v>
      </c>
      <c r="T880" s="1087">
        <f t="shared" si="87"/>
        <v>0</v>
      </c>
      <c r="U880" s="1090"/>
      <c r="V880" s="1091">
        <f>Table11[[#This Row],[CLOSING BALANCE (USD)]]-Table11[[#This Row],[CB_BS (USD)]]</f>
        <v>0</v>
      </c>
      <c r="W880" s="1156" t="str">
        <f>VLOOKUP('Cash Balance'!$C880,Table2[#All],MATCH('Cash Balance'!W$3,Acc_Char!$B$1:$I$1,0),0)</f>
        <v>Subsidiaries</v>
      </c>
      <c r="X880" s="1156" t="str">
        <f>VLOOKUP(IFERROR(MID($Y880,1,FIND("-",$Y880)-2),$Y880),Table3[#All],2,0)</f>
        <v>VTB</v>
      </c>
      <c r="Y880" s="1156" t="str">
        <f>VLOOKUP($B880,Table4[#All],2,0)</f>
        <v>VIETINBANK - CN1</v>
      </c>
      <c r="Z880" s="1151"/>
    </row>
    <row r="881" spans="1:26">
      <c r="A881" s="1153" t="str">
        <f>VLOOKUP('Cash Balance'!$C881,Table2[#All],MATCH('Cash Balance'!A$3,Acc_Char!$B$1:$I$1,0),0)</f>
        <v>LE MINH XUAN 3</v>
      </c>
      <c r="B881" s="1154" t="str">
        <f>VLOOKUP('Cash Balance'!$C881,Table2[#All],MATCH('Cash Balance'!B$3,Acc_Char!$B$1:$I$1,0),0)</f>
        <v>VIETINBANK - TPHCM</v>
      </c>
      <c r="C881" s="1203" t="s">
        <v>1490</v>
      </c>
      <c r="D881" s="1156" t="str">
        <f>VLOOKUP('Cash Balance'!$C881,Table2[#All],MATCH('Cash Balance'!D$3,Acc_Char!$B$1:$I$1,0),0)</f>
        <v>Saving Account</v>
      </c>
      <c r="E881" s="1201" t="str">
        <f>VLOOKUP('Cash Balance'!$C881,Table2[#All],MATCH('Cash Balance'!E$3,Acc_Char!$B$1:$I$1,0),0)</f>
        <v>VND</v>
      </c>
      <c r="F881" s="1084" t="e">
        <f>VLOOKUP(C881,'Cash balance (BS)'!A:C,3,)</f>
        <v>#N/A</v>
      </c>
      <c r="G881" s="1191" t="e">
        <f t="shared" ref="G881:G908" si="154">F881-H881</f>
        <v>#N/A</v>
      </c>
      <c r="H881" s="1321">
        <f>SUMIFS('Cash balance (Prior period)'!F:F,'Cash balance (Prior period)'!C:C,Table11[[#This Row],[ACCOUNT NUMBER]],'Cash balance (Prior period)'!E:E,Table11[[#This Row],[CURRENCY]])</f>
        <v>5000000000</v>
      </c>
      <c r="I881" s="1322">
        <f>SUMIFS(Movement!$F$4:$F$2136,Movement!$M$4:$M$2136,"VND",Movement!$C$4:$C$2136,Table11[[#This Row],[ACCOUNT NUMBER]],Movement!$J$4:$J$2136,Table11[[#This Row],[ENTITY]],Movement!$O$4:$O$2136,'Cash Balance'!$A$2)</f>
        <v>0</v>
      </c>
      <c r="J881" s="1323">
        <f>SUMIFS(Movement!$G$4:$G$2136,Movement!$M$4:$M$2136,"VND",Movement!$C$4:$C$2136,Table11[[#This Row],[ACCOUNT NUMBER]],Movement!$J$4:$J$2136,Table11[[#This Row],[ENTITY]],Movement!$O$4:$O$2136,'Cash Balance'!$A$2)</f>
        <v>0</v>
      </c>
      <c r="K881" s="1258">
        <f>Table11[[#This Row],[CASH IN - CREDIT (VND)]]-Table11[[#This Row],[CASH OUT - DEBIT (VND)]]</f>
        <v>0</v>
      </c>
      <c r="L881" s="1134">
        <f t="shared" si="153"/>
        <v>5000000000</v>
      </c>
      <c r="M881" s="1135" t="e">
        <f>VLOOKUP(C881,'Cash balance (BS)'!A:D,4,)</f>
        <v>#N/A</v>
      </c>
      <c r="N881" s="1136" t="e">
        <f>Table11[[#This Row],[CLOSING BALANCE (VND)2]]-Table11[[#This Row],[CB_BS (VND)]]</f>
        <v>#N/A</v>
      </c>
      <c r="O881" s="1094"/>
      <c r="P881" s="1135">
        <f t="shared" ref="P881:P908" si="155">O881-Q881</f>
        <v>0</v>
      </c>
      <c r="Q881" s="1137">
        <f>SUMIFS('Cash balance (Prior period)'!G:G,'Cash balance (Prior period)'!C:C,Table11[[#This Row],[ACCOUNT NUMBER]],'Cash balance (Prior period)'!E:E,Table11[[#This Row],[CURRENCY]])</f>
        <v>0</v>
      </c>
      <c r="R881" s="1138">
        <f>SUMIFS(Movement!$F$4:$F$2136,Movement!$M$4:$M$2136,"USD",Movement!$C$4:$C$2136,Table11[[#This Row],[ACCOUNT NUMBER]],Movement!$J$4:$J$2136,Table11[[#This Row],[ENTITY]],Movement!$O$4:$O$2136,'Cash Balance'!$A$2)</f>
        <v>0</v>
      </c>
      <c r="S881" s="1137">
        <f>SUMIFS(Movement!$G$4:$G$2136,Movement!$M$4:$M$2136,"USD",Movement!$C$4:$C$2136,Table11[[#This Row],[ACCOUNT NUMBER]],Movement!$J$4:$J$2136,Table11[[#This Row],[ENTITY]],Movement!$O$4:$O$2136,'Cash Balance'!$A$2)</f>
        <v>0</v>
      </c>
      <c r="T881" s="1139">
        <f t="shared" ref="T881:T908" si="156">Q881+R881-S881</f>
        <v>0</v>
      </c>
      <c r="U881" s="1090"/>
      <c r="V881" s="1091">
        <f>Table11[[#This Row],[CLOSING BALANCE (USD)]]-Table11[[#This Row],[CB_BS (USD)]]</f>
        <v>0</v>
      </c>
      <c r="W881" s="1186" t="str">
        <f>VLOOKUP('Cash Balance'!$C881,Table2[#All],MATCH('Cash Balance'!W$3,Acc_Char!$B$1:$I$1,0),0)</f>
        <v>Subsidiaries</v>
      </c>
      <c r="X881" s="1156" t="str">
        <f>VLOOKUP(IFERROR(MID($Y881,1,FIND("-",$Y881)-2),$Y881),Table3[#All],2,0)</f>
        <v>VTB</v>
      </c>
      <c r="Y881" s="1156" t="str">
        <f>VLOOKUP($B881,Table4[#All],2,0)</f>
        <v>VIETINBANK - TPHCM</v>
      </c>
      <c r="Z881" s="1151"/>
    </row>
    <row r="882" spans="1:26">
      <c r="A882" s="1153" t="str">
        <f>VLOOKUP('Cash Balance'!$C882,Table2[#All],MATCH('Cash Balance'!A$3,Acc_Char!$B$1:$I$1,0),0)</f>
        <v>BWID HAI DUONG 2</v>
      </c>
      <c r="B882" s="1154" t="str">
        <f>VLOOKUP('Cash Balance'!$C882,Table2[#All],MATCH('Cash Balance'!B$3,Acc_Char!$B$1:$I$1,0),0)</f>
        <v>VIETINBANK - TIEN SON</v>
      </c>
      <c r="C882" s="1203" t="s">
        <v>1491</v>
      </c>
      <c r="D882" s="1156" t="str">
        <f>VLOOKUP('Cash Balance'!$C882,Table2[#All],MATCH('Cash Balance'!D$3,Acc_Char!$B$1:$I$1,0),0)</f>
        <v>Saving Account</v>
      </c>
      <c r="E882" s="1201" t="str">
        <f>VLOOKUP('Cash Balance'!$C882,Table2[#All],MATCH('Cash Balance'!E$3,Acc_Char!$B$1:$I$1,0),0)</f>
        <v>VND</v>
      </c>
      <c r="F882" s="1084" t="e">
        <f>VLOOKUP(C882,'Cash balance (BS)'!A:C,3,)</f>
        <v>#N/A</v>
      </c>
      <c r="G882" s="1191" t="e">
        <f t="shared" si="154"/>
        <v>#N/A</v>
      </c>
      <c r="H882" s="1321">
        <f>SUMIFS('Cash balance (Prior period)'!F:F,'Cash balance (Prior period)'!C:C,Table11[[#This Row],[ACCOUNT NUMBER]],'Cash balance (Prior period)'!E:E,Table11[[#This Row],[CURRENCY]])</f>
        <v>14000000000</v>
      </c>
      <c r="I882" s="1322">
        <f>SUMIFS(Movement!$F$4:$F$2136,Movement!$M$4:$M$2136,"VND",Movement!$C$4:$C$2136,Table11[[#This Row],[ACCOUNT NUMBER]],Movement!$J$4:$J$2136,Table11[[#This Row],[ENTITY]],Movement!$O$4:$O$2136,'Cash Balance'!$A$2)</f>
        <v>0</v>
      </c>
      <c r="J882" s="1323">
        <f>SUMIFS(Movement!$G$4:$G$2136,Movement!$M$4:$M$2136,"VND",Movement!$C$4:$C$2136,Table11[[#This Row],[ACCOUNT NUMBER]],Movement!$J$4:$J$2136,Table11[[#This Row],[ENTITY]],Movement!$O$4:$O$2136,'Cash Balance'!$A$2)</f>
        <v>0</v>
      </c>
      <c r="K882" s="1258">
        <f>Table11[[#This Row],[CASH IN - CREDIT (VND)]]-Table11[[#This Row],[CASH OUT - DEBIT (VND)]]</f>
        <v>0</v>
      </c>
      <c r="L882" s="1134">
        <f t="shared" si="153"/>
        <v>14000000000</v>
      </c>
      <c r="M882" s="1135" t="e">
        <f>VLOOKUP(C882,'Cash balance (BS)'!A:D,4,)</f>
        <v>#N/A</v>
      </c>
      <c r="N882" s="1136" t="e">
        <f>Table11[[#This Row],[CLOSING BALANCE (VND)2]]-Table11[[#This Row],[CB_BS (VND)]]</f>
        <v>#N/A</v>
      </c>
      <c r="O882" s="1094"/>
      <c r="P882" s="1135">
        <f t="shared" si="155"/>
        <v>0</v>
      </c>
      <c r="Q882" s="1137">
        <f>SUMIFS('Cash balance (Prior period)'!G:G,'Cash balance (Prior period)'!C:C,Table11[[#This Row],[ACCOUNT NUMBER]],'Cash balance (Prior period)'!E:E,Table11[[#This Row],[CURRENCY]])</f>
        <v>0</v>
      </c>
      <c r="R882" s="1138">
        <f>SUMIFS(Movement!$F$4:$F$2136,Movement!$M$4:$M$2136,"USD",Movement!$C$4:$C$2136,Table11[[#This Row],[ACCOUNT NUMBER]],Movement!$J$4:$J$2136,Table11[[#This Row],[ENTITY]],Movement!$O$4:$O$2136,'Cash Balance'!$A$2)</f>
        <v>0</v>
      </c>
      <c r="S882" s="1137">
        <f>SUMIFS(Movement!$G$4:$G$2136,Movement!$M$4:$M$2136,"USD",Movement!$C$4:$C$2136,Table11[[#This Row],[ACCOUNT NUMBER]],Movement!$J$4:$J$2136,Table11[[#This Row],[ENTITY]],Movement!$O$4:$O$2136,'Cash Balance'!$A$2)</f>
        <v>0</v>
      </c>
      <c r="T882" s="1139">
        <f t="shared" si="156"/>
        <v>0</v>
      </c>
      <c r="U882" s="1090"/>
      <c r="V882" s="1091">
        <f>Table11[[#This Row],[CLOSING BALANCE (USD)]]-Table11[[#This Row],[CB_BS (USD)]]</f>
        <v>0</v>
      </c>
      <c r="W882" s="1186" t="str">
        <f>VLOOKUP('Cash Balance'!$C882,Table2[#All],MATCH('Cash Balance'!W$3,Acc_Char!$B$1:$I$1,0),0)</f>
        <v>Subsidiaries</v>
      </c>
      <c r="X882" s="1156" t="str">
        <f>VLOOKUP(IFERROR(MID($Y882,1,FIND("-",$Y882)-2),$Y882),Table3[#All],2,0)</f>
        <v>VTB</v>
      </c>
      <c r="Y882" s="1156" t="str">
        <f>VLOOKUP($B882,Table4[#All],2,0)</f>
        <v>VIETINBANK - TIEN SON</v>
      </c>
      <c r="Z882" s="1151"/>
    </row>
    <row r="883" spans="1:26">
      <c r="A883" s="1153" t="str">
        <f>VLOOKUP('Cash Balance'!$C883,Table2[#All],MATCH('Cash Balance'!A$3,Acc_Char!$B$1:$I$1,0),0)</f>
        <v>BWID HAI DUONG 2</v>
      </c>
      <c r="B883" s="1154" t="str">
        <f>VLOOKUP('Cash Balance'!$C883,Table2[#All],MATCH('Cash Balance'!B$3,Acc_Char!$B$1:$I$1,0),0)</f>
        <v>VIETINBANK - TIEN SON</v>
      </c>
      <c r="C883" s="1203" t="s">
        <v>1492</v>
      </c>
      <c r="D883" s="1156" t="str">
        <f>VLOOKUP('Cash Balance'!$C883,Table2[#All],MATCH('Cash Balance'!D$3,Acc_Char!$B$1:$I$1,0),0)</f>
        <v>Saving Account</v>
      </c>
      <c r="E883" s="1201" t="str">
        <f>VLOOKUP('Cash Balance'!$C883,Table2[#All],MATCH('Cash Balance'!E$3,Acc_Char!$B$1:$I$1,0),0)</f>
        <v>VND</v>
      </c>
      <c r="F883" s="1084" t="e">
        <f>VLOOKUP(C883,'Cash balance (BS)'!A:C,3,)</f>
        <v>#N/A</v>
      </c>
      <c r="G883" s="1191" t="e">
        <f t="shared" si="154"/>
        <v>#N/A</v>
      </c>
      <c r="H883" s="1321">
        <f>SUMIFS('Cash balance (Prior period)'!F:F,'Cash balance (Prior period)'!C:C,Table11[[#This Row],[ACCOUNT NUMBER]],'Cash balance (Prior period)'!E:E,Table11[[#This Row],[CURRENCY]])</f>
        <v>5000000000</v>
      </c>
      <c r="I883" s="1322">
        <f>SUMIFS(Movement!$F$4:$F$2136,Movement!$M$4:$M$2136,"VND",Movement!$C$4:$C$2136,Table11[[#This Row],[ACCOUNT NUMBER]],Movement!$J$4:$J$2136,Table11[[#This Row],[ENTITY]],Movement!$O$4:$O$2136,'Cash Balance'!$A$2)</f>
        <v>0</v>
      </c>
      <c r="J883" s="1323">
        <f>SUMIFS(Movement!$G$4:$G$2136,Movement!$M$4:$M$2136,"VND",Movement!$C$4:$C$2136,Table11[[#This Row],[ACCOUNT NUMBER]],Movement!$J$4:$J$2136,Table11[[#This Row],[ENTITY]],Movement!$O$4:$O$2136,'Cash Balance'!$A$2)</f>
        <v>0</v>
      </c>
      <c r="K883" s="1258">
        <f>Table11[[#This Row],[CASH IN - CREDIT (VND)]]-Table11[[#This Row],[CASH OUT - DEBIT (VND)]]</f>
        <v>0</v>
      </c>
      <c r="L883" s="1134">
        <f t="shared" si="153"/>
        <v>5000000000</v>
      </c>
      <c r="M883" s="1135" t="e">
        <f>VLOOKUP(C883,'Cash balance (BS)'!A:D,4,)</f>
        <v>#N/A</v>
      </c>
      <c r="N883" s="1136" t="e">
        <f>Table11[[#This Row],[CLOSING BALANCE (VND)2]]-Table11[[#This Row],[CB_BS (VND)]]</f>
        <v>#N/A</v>
      </c>
      <c r="O883" s="1094"/>
      <c r="P883" s="1135">
        <f t="shared" si="155"/>
        <v>0</v>
      </c>
      <c r="Q883" s="1137">
        <f>SUMIFS('Cash balance (Prior period)'!G:G,'Cash balance (Prior period)'!C:C,Table11[[#This Row],[ACCOUNT NUMBER]],'Cash balance (Prior period)'!E:E,Table11[[#This Row],[CURRENCY]])</f>
        <v>0</v>
      </c>
      <c r="R883" s="1138">
        <f>SUMIFS(Movement!$F$4:$F$2136,Movement!$M$4:$M$2136,"USD",Movement!$C$4:$C$2136,Table11[[#This Row],[ACCOUNT NUMBER]],Movement!$J$4:$J$2136,Table11[[#This Row],[ENTITY]],Movement!$O$4:$O$2136,'Cash Balance'!$A$2)</f>
        <v>0</v>
      </c>
      <c r="S883" s="1137">
        <f>SUMIFS(Movement!$G$4:$G$2136,Movement!$M$4:$M$2136,"USD",Movement!$C$4:$C$2136,Table11[[#This Row],[ACCOUNT NUMBER]],Movement!$J$4:$J$2136,Table11[[#This Row],[ENTITY]],Movement!$O$4:$O$2136,'Cash Balance'!$A$2)</f>
        <v>0</v>
      </c>
      <c r="T883" s="1139">
        <f t="shared" si="156"/>
        <v>0</v>
      </c>
      <c r="U883" s="1090"/>
      <c r="V883" s="1091">
        <f>Table11[[#This Row],[CLOSING BALANCE (USD)]]-Table11[[#This Row],[CB_BS (USD)]]</f>
        <v>0</v>
      </c>
      <c r="W883" s="1186" t="str">
        <f>VLOOKUP('Cash Balance'!$C883,Table2[#All],MATCH('Cash Balance'!W$3,Acc_Char!$B$1:$I$1,0),0)</f>
        <v>Subsidiaries</v>
      </c>
      <c r="X883" s="1156" t="str">
        <f>VLOOKUP(IFERROR(MID($Y883,1,FIND("-",$Y883)-2),$Y883),Table3[#All],2,0)</f>
        <v>VTB</v>
      </c>
      <c r="Y883" s="1156" t="str">
        <f>VLOOKUP($B883,Table4[#All],2,0)</f>
        <v>VIETINBANK - TIEN SON</v>
      </c>
      <c r="Z883" s="1151"/>
    </row>
    <row r="884" spans="1:26">
      <c r="A884" s="1153" t="str">
        <f>VLOOKUP('Cash Balance'!$C884,Table2[#All],MATCH('Cash Balance'!A$3,Acc_Char!$B$1:$I$1,0),0)</f>
        <v>BWID Tan Phu Trung</v>
      </c>
      <c r="B884" s="1154" t="str">
        <f>VLOOKUP('Cash Balance'!$C884,Table2[#All],MATCH('Cash Balance'!B$3,Acc_Char!$B$1:$I$1,0),0)</f>
        <v>VIETINBANK - TIEN SON</v>
      </c>
      <c r="C884" s="1203" t="s">
        <v>1493</v>
      </c>
      <c r="D884" s="1156" t="str">
        <f>VLOOKUP('Cash Balance'!$C884,Table2[#All],MATCH('Cash Balance'!D$3,Acc_Char!$B$1:$I$1,0),0)</f>
        <v>Saving Account</v>
      </c>
      <c r="E884" s="1201" t="str">
        <f>VLOOKUP('Cash Balance'!$C884,Table2[#All],MATCH('Cash Balance'!E$3,Acc_Char!$B$1:$I$1,0),0)</f>
        <v>VND</v>
      </c>
      <c r="F884" s="1084" t="e">
        <f>VLOOKUP(C884,'Cash balance (BS)'!A:C,3,)</f>
        <v>#N/A</v>
      </c>
      <c r="G884" s="1191" t="e">
        <f t="shared" si="154"/>
        <v>#N/A</v>
      </c>
      <c r="H884" s="1321">
        <f>SUMIFS('Cash balance (Prior period)'!F:F,'Cash balance (Prior period)'!C:C,Table11[[#This Row],[ACCOUNT NUMBER]],'Cash balance (Prior period)'!E:E,Table11[[#This Row],[CURRENCY]])</f>
        <v>3500000000</v>
      </c>
      <c r="I884" s="1322">
        <f>SUMIFS(Movement!$F$4:$F$2136,Movement!$M$4:$M$2136,"VND",Movement!$C$4:$C$2136,Table11[[#This Row],[ACCOUNT NUMBER]],Movement!$J$4:$J$2136,Table11[[#This Row],[ENTITY]],Movement!$O$4:$O$2136,'Cash Balance'!$A$2)</f>
        <v>0</v>
      </c>
      <c r="J884" s="1323">
        <f>SUMIFS(Movement!$G$4:$G$2136,Movement!$M$4:$M$2136,"VND",Movement!$C$4:$C$2136,Table11[[#This Row],[ACCOUNT NUMBER]],Movement!$J$4:$J$2136,Table11[[#This Row],[ENTITY]],Movement!$O$4:$O$2136,'Cash Balance'!$A$2)</f>
        <v>0</v>
      </c>
      <c r="K884" s="1258">
        <f>Table11[[#This Row],[CASH IN - CREDIT (VND)]]-Table11[[#This Row],[CASH OUT - DEBIT (VND)]]</f>
        <v>0</v>
      </c>
      <c r="L884" s="1134">
        <f t="shared" si="153"/>
        <v>3500000000</v>
      </c>
      <c r="M884" s="1135" t="e">
        <f>VLOOKUP(C884,'Cash balance (BS)'!A:D,4,)</f>
        <v>#N/A</v>
      </c>
      <c r="N884" s="1136" t="e">
        <f>Table11[[#This Row],[CLOSING BALANCE (VND)2]]-Table11[[#This Row],[CB_BS (VND)]]</f>
        <v>#N/A</v>
      </c>
      <c r="O884" s="1094"/>
      <c r="P884" s="1135">
        <f t="shared" si="155"/>
        <v>0</v>
      </c>
      <c r="Q884" s="1137">
        <f>SUMIFS('Cash balance (Prior period)'!G:G,'Cash balance (Prior period)'!C:C,Table11[[#This Row],[ACCOUNT NUMBER]],'Cash balance (Prior period)'!E:E,Table11[[#This Row],[CURRENCY]])</f>
        <v>0</v>
      </c>
      <c r="R884" s="1138">
        <f>SUMIFS(Movement!$F$4:$F$2136,Movement!$M$4:$M$2136,"USD",Movement!$C$4:$C$2136,Table11[[#This Row],[ACCOUNT NUMBER]],Movement!$J$4:$J$2136,Table11[[#This Row],[ENTITY]],Movement!$O$4:$O$2136,'Cash Balance'!$A$2)</f>
        <v>0</v>
      </c>
      <c r="S884" s="1137">
        <f>SUMIFS(Movement!$G$4:$G$2136,Movement!$M$4:$M$2136,"USD",Movement!$C$4:$C$2136,Table11[[#This Row],[ACCOUNT NUMBER]],Movement!$J$4:$J$2136,Table11[[#This Row],[ENTITY]],Movement!$O$4:$O$2136,'Cash Balance'!$A$2)</f>
        <v>0</v>
      </c>
      <c r="T884" s="1139">
        <f t="shared" si="156"/>
        <v>0</v>
      </c>
      <c r="U884" s="1090"/>
      <c r="V884" s="1091">
        <f>Table11[[#This Row],[CLOSING BALANCE (USD)]]-Table11[[#This Row],[CB_BS (USD)]]</f>
        <v>0</v>
      </c>
      <c r="W884" s="1186" t="str">
        <f>VLOOKUP('Cash Balance'!$C884,Table2[#All],MATCH('Cash Balance'!W$3,Acc_Char!$B$1:$I$1,0),0)</f>
        <v>Subsidiaries</v>
      </c>
      <c r="X884" s="1156" t="str">
        <f>VLOOKUP(IFERROR(MID($Y884,1,FIND("-",$Y884)-2),$Y884),Table3[#All],2,0)</f>
        <v>VTB</v>
      </c>
      <c r="Y884" s="1156" t="str">
        <f>VLOOKUP($B884,Table4[#All],2,0)</f>
        <v>VIETINBANK - TIEN SON</v>
      </c>
      <c r="Z884" s="1151"/>
    </row>
    <row r="885" spans="1:26">
      <c r="A885" s="1153" t="str">
        <f>VLOOKUP('Cash Balance'!$C885,Table2[#All],MATCH('Cash Balance'!A$3,Acc_Char!$B$1:$I$1,0),0)</f>
        <v>DELIWAY</v>
      </c>
      <c r="B885" s="1154" t="str">
        <f>VLOOKUP('Cash Balance'!$C885,Table2[#All],MATCH('Cash Balance'!B$3,Acc_Char!$B$1:$I$1,0),0)</f>
        <v>VIETINBANK - TPHCM</v>
      </c>
      <c r="C885" s="1203" t="s">
        <v>1494</v>
      </c>
      <c r="D885" s="1156" t="str">
        <f>VLOOKUP('Cash Balance'!$C885,Table2[#All],MATCH('Cash Balance'!D$3,Acc_Char!$B$1:$I$1,0),0)</f>
        <v>Saving Account</v>
      </c>
      <c r="E885" s="1201" t="str">
        <f>VLOOKUP('Cash Balance'!$C885,Table2[#All],MATCH('Cash Balance'!E$3,Acc_Char!$B$1:$I$1,0),0)</f>
        <v>VND</v>
      </c>
      <c r="F885" s="1084" t="e">
        <f>VLOOKUP(C885,'Cash balance (BS)'!A:C,3,)</f>
        <v>#N/A</v>
      </c>
      <c r="G885" s="1191" t="e">
        <f t="shared" si="154"/>
        <v>#N/A</v>
      </c>
      <c r="H885" s="1321">
        <f>SUMIFS('Cash balance (Prior period)'!F:F,'Cash balance (Prior period)'!C:C,Table11[[#This Row],[ACCOUNT NUMBER]],'Cash balance (Prior period)'!E:E,Table11[[#This Row],[CURRENCY]])</f>
        <v>25000000000</v>
      </c>
      <c r="I885" s="1322">
        <f>SUMIFS(Movement!$F$4:$F$2136,Movement!$M$4:$M$2136,"VND",Movement!$C$4:$C$2136,Table11[[#This Row],[ACCOUNT NUMBER]],Movement!$J$4:$J$2136,Table11[[#This Row],[ENTITY]],Movement!$O$4:$O$2136,'Cash Balance'!$A$2)</f>
        <v>0</v>
      </c>
      <c r="J885" s="1323">
        <f>SUMIFS(Movement!$G$4:$G$2136,Movement!$M$4:$M$2136,"VND",Movement!$C$4:$C$2136,Table11[[#This Row],[ACCOUNT NUMBER]],Movement!$J$4:$J$2136,Table11[[#This Row],[ENTITY]],Movement!$O$4:$O$2136,'Cash Balance'!$A$2)</f>
        <v>0</v>
      </c>
      <c r="K885" s="1258">
        <f>Table11[[#This Row],[CASH IN - CREDIT (VND)]]-Table11[[#This Row],[CASH OUT - DEBIT (VND)]]</f>
        <v>0</v>
      </c>
      <c r="L885" s="1134">
        <f t="shared" si="153"/>
        <v>25000000000</v>
      </c>
      <c r="M885" s="1135" t="e">
        <f>VLOOKUP(C885,'Cash balance (BS)'!A:D,4,)</f>
        <v>#N/A</v>
      </c>
      <c r="N885" s="1136" t="e">
        <f>Table11[[#This Row],[CLOSING BALANCE (VND)2]]-Table11[[#This Row],[CB_BS (VND)]]</f>
        <v>#N/A</v>
      </c>
      <c r="O885" s="1094"/>
      <c r="P885" s="1135">
        <f t="shared" si="155"/>
        <v>0</v>
      </c>
      <c r="Q885" s="1137">
        <f>SUMIFS('Cash balance (Prior period)'!G:G,'Cash balance (Prior period)'!C:C,Table11[[#This Row],[ACCOUNT NUMBER]],'Cash balance (Prior period)'!E:E,Table11[[#This Row],[CURRENCY]])</f>
        <v>0</v>
      </c>
      <c r="R885" s="1138">
        <f>SUMIFS(Movement!$F$4:$F$2136,Movement!$M$4:$M$2136,"USD",Movement!$C$4:$C$2136,Table11[[#This Row],[ACCOUNT NUMBER]],Movement!$J$4:$J$2136,Table11[[#This Row],[ENTITY]],Movement!$O$4:$O$2136,'Cash Balance'!$A$2)</f>
        <v>0</v>
      </c>
      <c r="S885" s="1137">
        <f>SUMIFS(Movement!$G$4:$G$2136,Movement!$M$4:$M$2136,"USD",Movement!$C$4:$C$2136,Table11[[#This Row],[ACCOUNT NUMBER]],Movement!$J$4:$J$2136,Table11[[#This Row],[ENTITY]],Movement!$O$4:$O$2136,'Cash Balance'!$A$2)</f>
        <v>0</v>
      </c>
      <c r="T885" s="1139">
        <f t="shared" si="156"/>
        <v>0</v>
      </c>
      <c r="U885" s="1090"/>
      <c r="V885" s="1091">
        <f>Table11[[#This Row],[CLOSING BALANCE (USD)]]-Table11[[#This Row],[CB_BS (USD)]]</f>
        <v>0</v>
      </c>
      <c r="W885" s="1186" t="str">
        <f>VLOOKUP('Cash Balance'!$C885,Table2[#All],MATCH('Cash Balance'!W$3,Acc_Char!$B$1:$I$1,0),0)</f>
        <v>Subsidiaries</v>
      </c>
      <c r="X885" s="1156" t="str">
        <f>VLOOKUP(IFERROR(MID($Y885,1,FIND("-",$Y885)-2),$Y885),Table3[#All],2,0)</f>
        <v>VTB</v>
      </c>
      <c r="Y885" s="1156" t="str">
        <f>VLOOKUP($B885,Table4[#All],2,0)</f>
        <v>VIETINBANK - TPHCM</v>
      </c>
      <c r="Z885" s="1151"/>
    </row>
    <row r="886" spans="1:26">
      <c r="A886" s="1153" t="str">
        <f>VLOOKUP('Cash Balance'!$C886,Table2[#All],MATCH('Cash Balance'!A$3,Acc_Char!$B$1:$I$1,0),0)</f>
        <v>BAU BANG 6</v>
      </c>
      <c r="B886" s="1154" t="str">
        <f>VLOOKUP('Cash Balance'!$C886,Table2[#All],MATCH('Cash Balance'!B$3,Acc_Char!$B$1:$I$1,0),0)</f>
        <v>VIETINBANK - BINH DUONG</v>
      </c>
      <c r="C886" s="1203" t="s">
        <v>1495</v>
      </c>
      <c r="D886" s="1156" t="str">
        <f>VLOOKUP('Cash Balance'!$C886,Table2[#All],MATCH('Cash Balance'!D$3,Acc_Char!$B$1:$I$1,0),0)</f>
        <v>Saving Account</v>
      </c>
      <c r="E886" s="1201" t="str">
        <f>VLOOKUP('Cash Balance'!$C886,Table2[#All],MATCH('Cash Balance'!E$3,Acc_Char!$B$1:$I$1,0),0)</f>
        <v>VND</v>
      </c>
      <c r="F886" s="1084" t="e">
        <f>VLOOKUP(C886,'Cash balance (BS)'!A:C,3,)</f>
        <v>#N/A</v>
      </c>
      <c r="G886" s="1191" t="e">
        <f t="shared" si="154"/>
        <v>#N/A</v>
      </c>
      <c r="H886" s="1321">
        <f>SUMIFS('Cash balance (Prior period)'!F:F,'Cash balance (Prior period)'!C:C,Table11[[#This Row],[ACCOUNT NUMBER]],'Cash balance (Prior period)'!E:E,Table11[[#This Row],[CURRENCY]])</f>
        <v>20000000000</v>
      </c>
      <c r="I886" s="1322">
        <f>SUMIFS(Movement!$F$4:$F$2136,Movement!$M$4:$M$2136,"VND",Movement!$C$4:$C$2136,Table11[[#This Row],[ACCOUNT NUMBER]],Movement!$J$4:$J$2136,Table11[[#This Row],[ENTITY]],Movement!$O$4:$O$2136,'Cash Balance'!$A$2)</f>
        <v>0</v>
      </c>
      <c r="J886" s="1323">
        <f>SUMIFS(Movement!$G$4:$G$2136,Movement!$M$4:$M$2136,"VND",Movement!$C$4:$C$2136,Table11[[#This Row],[ACCOUNT NUMBER]],Movement!$J$4:$J$2136,Table11[[#This Row],[ENTITY]],Movement!$O$4:$O$2136,'Cash Balance'!$A$2)</f>
        <v>0</v>
      </c>
      <c r="K886" s="1258">
        <f>Table11[[#This Row],[CASH IN - CREDIT (VND)]]-Table11[[#This Row],[CASH OUT - DEBIT (VND)]]</f>
        <v>0</v>
      </c>
      <c r="L886" s="1134">
        <f t="shared" si="153"/>
        <v>20000000000</v>
      </c>
      <c r="M886" s="1135" t="e">
        <f>VLOOKUP(C886,'Cash balance (BS)'!A:D,4,)</f>
        <v>#N/A</v>
      </c>
      <c r="N886" s="1136" t="e">
        <f>Table11[[#This Row],[CLOSING BALANCE (VND)2]]-Table11[[#This Row],[CB_BS (VND)]]</f>
        <v>#N/A</v>
      </c>
      <c r="O886" s="1094"/>
      <c r="P886" s="1135">
        <f t="shared" si="155"/>
        <v>0</v>
      </c>
      <c r="Q886" s="1137">
        <f>SUMIFS('Cash balance (Prior period)'!G:G,'Cash balance (Prior period)'!C:C,Table11[[#This Row],[ACCOUNT NUMBER]],'Cash balance (Prior period)'!E:E,Table11[[#This Row],[CURRENCY]])</f>
        <v>0</v>
      </c>
      <c r="R886" s="1138">
        <f>SUMIFS(Movement!$F$4:$F$2136,Movement!$M$4:$M$2136,"USD",Movement!$C$4:$C$2136,Table11[[#This Row],[ACCOUNT NUMBER]],Movement!$J$4:$J$2136,Table11[[#This Row],[ENTITY]],Movement!$O$4:$O$2136,'Cash Balance'!$A$2)</f>
        <v>0</v>
      </c>
      <c r="S886" s="1137">
        <f>SUMIFS(Movement!$G$4:$G$2136,Movement!$M$4:$M$2136,"USD",Movement!$C$4:$C$2136,Table11[[#This Row],[ACCOUNT NUMBER]],Movement!$J$4:$J$2136,Table11[[#This Row],[ENTITY]],Movement!$O$4:$O$2136,'Cash Balance'!$A$2)</f>
        <v>0</v>
      </c>
      <c r="T886" s="1139">
        <f t="shared" si="156"/>
        <v>0</v>
      </c>
      <c r="U886" s="1090"/>
      <c r="V886" s="1091">
        <f>Table11[[#This Row],[CLOSING BALANCE (USD)]]-Table11[[#This Row],[CB_BS (USD)]]</f>
        <v>0</v>
      </c>
      <c r="W886" s="1186" t="str">
        <f>VLOOKUP('Cash Balance'!$C886,Table2[#All],MATCH('Cash Balance'!W$3,Acc_Char!$B$1:$I$1,0),0)</f>
        <v>Subsidiaries</v>
      </c>
      <c r="X886" s="1156" t="str">
        <f>VLOOKUP(IFERROR(MID($Y886,1,FIND("-",$Y886)-2),$Y886),Table3[#All],2,0)</f>
        <v>VTB</v>
      </c>
      <c r="Y886" s="1156" t="str">
        <f>VLOOKUP($B886,Table4[#All],2,0)</f>
        <v>VIETINBANK - BINH DUONG + QM</v>
      </c>
      <c r="Z886" s="1151"/>
    </row>
    <row r="887" spans="1:26">
      <c r="A887" s="1153" t="str">
        <f>VLOOKUP('Cash Balance'!$C887,Table2[#All],MATCH('Cash Balance'!A$3,Acc_Char!$B$1:$I$1,0),0)</f>
        <v>BAU BANG 6</v>
      </c>
      <c r="B887" s="1154" t="str">
        <f>VLOOKUP('Cash Balance'!$C887,Table2[#All],MATCH('Cash Balance'!B$3,Acc_Char!$B$1:$I$1,0),0)</f>
        <v>VIETINBANK - BINH DUONG</v>
      </c>
      <c r="C887" s="1203" t="s">
        <v>1496</v>
      </c>
      <c r="D887" s="1156" t="str">
        <f>VLOOKUP('Cash Balance'!$C887,Table2[#All],MATCH('Cash Balance'!D$3,Acc_Char!$B$1:$I$1,0),0)</f>
        <v>Saving Account</v>
      </c>
      <c r="E887" s="1201" t="str">
        <f>VLOOKUP('Cash Balance'!$C887,Table2[#All],MATCH('Cash Balance'!E$3,Acc_Char!$B$1:$I$1,0),0)</f>
        <v>VND</v>
      </c>
      <c r="F887" s="1084" t="e">
        <f>VLOOKUP(C887,'Cash balance (BS)'!A:C,3,)</f>
        <v>#N/A</v>
      </c>
      <c r="G887" s="1191" t="e">
        <f t="shared" si="154"/>
        <v>#N/A</v>
      </c>
      <c r="H887" s="1321">
        <f>SUMIFS('Cash balance (Prior period)'!F:F,'Cash balance (Prior period)'!C:C,Table11[[#This Row],[ACCOUNT NUMBER]],'Cash balance (Prior period)'!E:E,Table11[[#This Row],[CURRENCY]])</f>
        <v>20000000000</v>
      </c>
      <c r="I887" s="1322">
        <f>SUMIFS(Movement!$F$4:$F$2136,Movement!$M$4:$M$2136,"VND",Movement!$C$4:$C$2136,Table11[[#This Row],[ACCOUNT NUMBER]],Movement!$J$4:$J$2136,Table11[[#This Row],[ENTITY]],Movement!$O$4:$O$2136,'Cash Balance'!$A$2)</f>
        <v>0</v>
      </c>
      <c r="J887" s="1323">
        <f>SUMIFS(Movement!$G$4:$G$2136,Movement!$M$4:$M$2136,"VND",Movement!$C$4:$C$2136,Table11[[#This Row],[ACCOUNT NUMBER]],Movement!$J$4:$J$2136,Table11[[#This Row],[ENTITY]],Movement!$O$4:$O$2136,'Cash Balance'!$A$2)</f>
        <v>0</v>
      </c>
      <c r="K887" s="1258">
        <f>Table11[[#This Row],[CASH IN - CREDIT (VND)]]-Table11[[#This Row],[CASH OUT - DEBIT (VND)]]</f>
        <v>0</v>
      </c>
      <c r="L887" s="1134">
        <f t="shared" si="153"/>
        <v>20000000000</v>
      </c>
      <c r="M887" s="1135" t="e">
        <f>VLOOKUP(C887,'Cash balance (BS)'!A:D,4,)</f>
        <v>#N/A</v>
      </c>
      <c r="N887" s="1136" t="e">
        <f>Table11[[#This Row],[CLOSING BALANCE (VND)2]]-Table11[[#This Row],[CB_BS (VND)]]</f>
        <v>#N/A</v>
      </c>
      <c r="O887" s="1094"/>
      <c r="P887" s="1135">
        <f t="shared" si="155"/>
        <v>0</v>
      </c>
      <c r="Q887" s="1137">
        <f>SUMIFS('Cash balance (Prior period)'!G:G,'Cash balance (Prior period)'!C:C,Table11[[#This Row],[ACCOUNT NUMBER]],'Cash balance (Prior period)'!E:E,Table11[[#This Row],[CURRENCY]])</f>
        <v>0</v>
      </c>
      <c r="R887" s="1138">
        <f>SUMIFS(Movement!$F$4:$F$2136,Movement!$M$4:$M$2136,"USD",Movement!$C$4:$C$2136,Table11[[#This Row],[ACCOUNT NUMBER]],Movement!$J$4:$J$2136,Table11[[#This Row],[ENTITY]],Movement!$O$4:$O$2136,'Cash Balance'!$A$2)</f>
        <v>0</v>
      </c>
      <c r="S887" s="1137">
        <f>SUMIFS(Movement!$G$4:$G$2136,Movement!$M$4:$M$2136,"USD",Movement!$C$4:$C$2136,Table11[[#This Row],[ACCOUNT NUMBER]],Movement!$J$4:$J$2136,Table11[[#This Row],[ENTITY]],Movement!$O$4:$O$2136,'Cash Balance'!$A$2)</f>
        <v>0</v>
      </c>
      <c r="T887" s="1139">
        <f t="shared" si="156"/>
        <v>0</v>
      </c>
      <c r="U887" s="1090"/>
      <c r="V887" s="1091">
        <f>Table11[[#This Row],[CLOSING BALANCE (USD)]]-Table11[[#This Row],[CB_BS (USD)]]</f>
        <v>0</v>
      </c>
      <c r="W887" s="1186" t="str">
        <f>VLOOKUP('Cash Balance'!$C887,Table2[#All],MATCH('Cash Balance'!W$3,Acc_Char!$B$1:$I$1,0),0)</f>
        <v>Subsidiaries</v>
      </c>
      <c r="X887" s="1156" t="str">
        <f>VLOOKUP(IFERROR(MID($Y887,1,FIND("-",$Y887)-2),$Y887),Table3[#All],2,0)</f>
        <v>VTB</v>
      </c>
      <c r="Y887" s="1156" t="str">
        <f>VLOOKUP($B887,Table4[#All],2,0)</f>
        <v>VIETINBANK - BINH DUONG + QM</v>
      </c>
      <c r="Z887" s="1151"/>
    </row>
    <row r="888" spans="1:26">
      <c r="A888" s="1153" t="str">
        <f>VLOOKUP('Cash Balance'!$C888,Table2[#All],MATCH('Cash Balance'!A$3,Acc_Char!$B$1:$I$1,0),0)</f>
        <v>BWID DONG AN LID</v>
      </c>
      <c r="B888" s="1154" t="str">
        <f>VLOOKUP('Cash Balance'!$C888,Table2[#All],MATCH('Cash Balance'!B$3,Acc_Char!$B$1:$I$1,0),0)</f>
        <v>VIETINBANK - DONG SAI GON</v>
      </c>
      <c r="C888" s="1203" t="s">
        <v>1497</v>
      </c>
      <c r="D888" s="1156" t="str">
        <f>VLOOKUP('Cash Balance'!$C888,Table2[#All],MATCH('Cash Balance'!D$3,Acc_Char!$B$1:$I$1,0),0)</f>
        <v>Saving Account</v>
      </c>
      <c r="E888" s="1201" t="str">
        <f>VLOOKUP('Cash Balance'!$C888,Table2[#All],MATCH('Cash Balance'!E$3,Acc_Char!$B$1:$I$1,0),0)</f>
        <v>VND</v>
      </c>
      <c r="F888" s="1084" t="e">
        <f>VLOOKUP(C888,'Cash balance (BS)'!A:C,3,)</f>
        <v>#N/A</v>
      </c>
      <c r="G888" s="1191" t="e">
        <f t="shared" si="154"/>
        <v>#N/A</v>
      </c>
      <c r="H888" s="1321">
        <f>SUMIFS('Cash balance (Prior period)'!F:F,'Cash balance (Prior period)'!C:C,Table11[[#This Row],[ACCOUNT NUMBER]],'Cash balance (Prior period)'!E:E,Table11[[#This Row],[CURRENCY]])</f>
        <v>52000000000</v>
      </c>
      <c r="I888" s="1322">
        <f>SUMIFS(Movement!$F$4:$F$2136,Movement!$M$4:$M$2136,"VND",Movement!$C$4:$C$2136,Table11[[#This Row],[ACCOUNT NUMBER]],Movement!$J$4:$J$2136,Table11[[#This Row],[ENTITY]],Movement!$O$4:$O$2136,'Cash Balance'!$A$2)</f>
        <v>0</v>
      </c>
      <c r="J888" s="1323">
        <f>SUMIFS(Movement!$G$4:$G$2136,Movement!$M$4:$M$2136,"VND",Movement!$C$4:$C$2136,Table11[[#This Row],[ACCOUNT NUMBER]],Movement!$J$4:$J$2136,Table11[[#This Row],[ENTITY]],Movement!$O$4:$O$2136,'Cash Balance'!$A$2)</f>
        <v>0</v>
      </c>
      <c r="K888" s="1258">
        <f>Table11[[#This Row],[CASH IN - CREDIT (VND)]]-Table11[[#This Row],[CASH OUT - DEBIT (VND)]]</f>
        <v>0</v>
      </c>
      <c r="L888" s="1134">
        <f t="shared" si="153"/>
        <v>52000000000</v>
      </c>
      <c r="M888" s="1135" t="e">
        <f>VLOOKUP(C888,'Cash balance (BS)'!A:D,4,)</f>
        <v>#N/A</v>
      </c>
      <c r="N888" s="1136" t="e">
        <f>Table11[[#This Row],[CLOSING BALANCE (VND)2]]-Table11[[#This Row],[CB_BS (VND)]]</f>
        <v>#N/A</v>
      </c>
      <c r="O888" s="1094"/>
      <c r="P888" s="1135">
        <f t="shared" si="155"/>
        <v>0</v>
      </c>
      <c r="Q888" s="1137">
        <f>SUMIFS('Cash balance (Prior period)'!G:G,'Cash balance (Prior period)'!C:C,Table11[[#This Row],[ACCOUNT NUMBER]],'Cash balance (Prior period)'!E:E,Table11[[#This Row],[CURRENCY]])</f>
        <v>0</v>
      </c>
      <c r="R888" s="1138">
        <f>SUMIFS(Movement!$F$4:$F$2136,Movement!$M$4:$M$2136,"USD",Movement!$C$4:$C$2136,Table11[[#This Row],[ACCOUNT NUMBER]],Movement!$J$4:$J$2136,Table11[[#This Row],[ENTITY]],Movement!$O$4:$O$2136,'Cash Balance'!$A$2)</f>
        <v>0</v>
      </c>
      <c r="S888" s="1137">
        <f>SUMIFS(Movement!$G$4:$G$2136,Movement!$M$4:$M$2136,"USD",Movement!$C$4:$C$2136,Table11[[#This Row],[ACCOUNT NUMBER]],Movement!$J$4:$J$2136,Table11[[#This Row],[ENTITY]],Movement!$O$4:$O$2136,'Cash Balance'!$A$2)</f>
        <v>0</v>
      </c>
      <c r="T888" s="1139">
        <f t="shared" si="156"/>
        <v>0</v>
      </c>
      <c r="U888" s="1090"/>
      <c r="V888" s="1091">
        <f>Table11[[#This Row],[CLOSING BALANCE (USD)]]-Table11[[#This Row],[CB_BS (USD)]]</f>
        <v>0</v>
      </c>
      <c r="W888" s="1186" t="str">
        <f>VLOOKUP('Cash Balance'!$C888,Table2[#All],MATCH('Cash Balance'!W$3,Acc_Char!$B$1:$I$1,0),0)</f>
        <v>Subsidiaries</v>
      </c>
      <c r="X888" s="1156" t="str">
        <f>VLOOKUP(IFERROR(MID($Y888,1,FIND("-",$Y888)-2),$Y888),Table3[#All],2,0)</f>
        <v>VTB</v>
      </c>
      <c r="Y888" s="1156" t="str">
        <f>VLOOKUP($B888,Table4[#All],2,0)</f>
        <v>VIETINBANK - DONG SAI GON</v>
      </c>
      <c r="Z888" s="1151"/>
    </row>
    <row r="889" spans="1:26">
      <c r="A889" s="1153" t="str">
        <f>VLOOKUP('Cash Balance'!$C889,Table2[#All],MATCH('Cash Balance'!A$3,Acc_Char!$B$1:$I$1,0),0)</f>
        <v>SONGTHAN LID</v>
      </c>
      <c r="B889" s="1154" t="str">
        <f>VLOOKUP('Cash Balance'!$C889,Table2[#All],MATCH('Cash Balance'!B$3,Acc_Char!$B$1:$I$1,0),0)</f>
        <v>VIETINBANK - DONG SAI GON</v>
      </c>
      <c r="C889" s="1203" t="s">
        <v>1498</v>
      </c>
      <c r="D889" s="1156" t="str">
        <f>VLOOKUP('Cash Balance'!$C889,Table2[#All],MATCH('Cash Balance'!D$3,Acc_Char!$B$1:$I$1,0),0)</f>
        <v>Saving Account</v>
      </c>
      <c r="E889" s="1201" t="str">
        <f>VLOOKUP('Cash Balance'!$C889,Table2[#All],MATCH('Cash Balance'!E$3,Acc_Char!$B$1:$I$1,0),0)</f>
        <v>VND</v>
      </c>
      <c r="F889" s="1084" t="e">
        <f>VLOOKUP(C889,'Cash balance (BS)'!A:C,3,)</f>
        <v>#N/A</v>
      </c>
      <c r="G889" s="1191" t="e">
        <f t="shared" si="154"/>
        <v>#N/A</v>
      </c>
      <c r="H889" s="1321">
        <f>SUMIFS('Cash balance (Prior period)'!F:F,'Cash balance (Prior period)'!C:C,Table11[[#This Row],[ACCOUNT NUMBER]],'Cash balance (Prior period)'!E:E,Table11[[#This Row],[CURRENCY]])</f>
        <v>31000000000</v>
      </c>
      <c r="I889" s="1322">
        <f>SUMIFS(Movement!$F$4:$F$2136,Movement!$M$4:$M$2136,"VND",Movement!$C$4:$C$2136,Table11[[#This Row],[ACCOUNT NUMBER]],Movement!$J$4:$J$2136,Table11[[#This Row],[ENTITY]],Movement!$O$4:$O$2136,'Cash Balance'!$A$2)</f>
        <v>0</v>
      </c>
      <c r="J889" s="1323">
        <f>SUMIFS(Movement!$G$4:$G$2136,Movement!$M$4:$M$2136,"VND",Movement!$C$4:$C$2136,Table11[[#This Row],[ACCOUNT NUMBER]],Movement!$J$4:$J$2136,Table11[[#This Row],[ENTITY]],Movement!$O$4:$O$2136,'Cash Balance'!$A$2)</f>
        <v>0</v>
      </c>
      <c r="K889" s="1258">
        <f>Table11[[#This Row],[CASH IN - CREDIT (VND)]]-Table11[[#This Row],[CASH OUT - DEBIT (VND)]]</f>
        <v>0</v>
      </c>
      <c r="L889" s="1134">
        <f t="shared" si="153"/>
        <v>31000000000</v>
      </c>
      <c r="M889" s="1135" t="e">
        <f>VLOOKUP(C889,'Cash balance (BS)'!A:D,4,)</f>
        <v>#N/A</v>
      </c>
      <c r="N889" s="1136" t="e">
        <f>Table11[[#This Row],[CLOSING BALANCE (VND)2]]-Table11[[#This Row],[CB_BS (VND)]]</f>
        <v>#N/A</v>
      </c>
      <c r="O889" s="1094"/>
      <c r="P889" s="1135">
        <f t="shared" si="155"/>
        <v>0</v>
      </c>
      <c r="Q889" s="1137">
        <f>SUMIFS('Cash balance (Prior period)'!G:G,'Cash balance (Prior period)'!C:C,Table11[[#This Row],[ACCOUNT NUMBER]],'Cash balance (Prior period)'!E:E,Table11[[#This Row],[CURRENCY]])</f>
        <v>0</v>
      </c>
      <c r="R889" s="1138">
        <f>SUMIFS(Movement!$F$4:$F$2136,Movement!$M$4:$M$2136,"USD",Movement!$C$4:$C$2136,Table11[[#This Row],[ACCOUNT NUMBER]],Movement!$J$4:$J$2136,Table11[[#This Row],[ENTITY]],Movement!$O$4:$O$2136,'Cash Balance'!$A$2)</f>
        <v>0</v>
      </c>
      <c r="S889" s="1137">
        <f>SUMIFS(Movement!$G$4:$G$2136,Movement!$M$4:$M$2136,"USD",Movement!$C$4:$C$2136,Table11[[#This Row],[ACCOUNT NUMBER]],Movement!$J$4:$J$2136,Table11[[#This Row],[ENTITY]],Movement!$O$4:$O$2136,'Cash Balance'!$A$2)</f>
        <v>0</v>
      </c>
      <c r="T889" s="1139">
        <f t="shared" si="156"/>
        <v>0</v>
      </c>
      <c r="U889" s="1090"/>
      <c r="V889" s="1091">
        <f>Table11[[#This Row],[CLOSING BALANCE (USD)]]-Table11[[#This Row],[CB_BS (USD)]]</f>
        <v>0</v>
      </c>
      <c r="W889" s="1186" t="str">
        <f>VLOOKUP('Cash Balance'!$C889,Table2[#All],MATCH('Cash Balance'!W$3,Acc_Char!$B$1:$I$1,0),0)</f>
        <v>Subsidiaries</v>
      </c>
      <c r="X889" s="1156" t="str">
        <f>VLOOKUP(IFERROR(MID($Y889,1,FIND("-",$Y889)-2),$Y889),Table3[#All],2,0)</f>
        <v>VTB</v>
      </c>
      <c r="Y889" s="1156" t="str">
        <f>VLOOKUP($B889,Table4[#All],2,0)</f>
        <v>VIETINBANK - DONG SAI GON</v>
      </c>
      <c r="Z889" s="1151"/>
    </row>
    <row r="890" spans="1:26">
      <c r="A890" s="1153" t="str">
        <f>VLOOKUP('Cash Balance'!$C890,Table2[#All],MATCH('Cash Balance'!A$3,Acc_Char!$B$1:$I$1,0),0)</f>
        <v>BWID HAI DUONG</v>
      </c>
      <c r="B890" s="1154" t="str">
        <f>VLOOKUP('Cash Balance'!$C890,Table2[#All],MATCH('Cash Balance'!B$3,Acc_Char!$B$1:$I$1,0),0)</f>
        <v>VIETINBANK - TIEN SON</v>
      </c>
      <c r="C890" s="1203" t="s">
        <v>1499</v>
      </c>
      <c r="D890" s="1156" t="str">
        <f>VLOOKUP('Cash Balance'!$C890,Table2[#All],MATCH('Cash Balance'!D$3,Acc_Char!$B$1:$I$1,0),0)</f>
        <v>Saving Account</v>
      </c>
      <c r="E890" s="1201" t="str">
        <f>VLOOKUP('Cash Balance'!$C890,Table2[#All],MATCH('Cash Balance'!E$3,Acc_Char!$B$1:$I$1,0),0)</f>
        <v>VND</v>
      </c>
      <c r="F890" s="1084" t="e">
        <f>VLOOKUP(C890,'Cash balance (BS)'!A:C,3,)</f>
        <v>#N/A</v>
      </c>
      <c r="G890" s="1191" t="e">
        <f t="shared" si="154"/>
        <v>#N/A</v>
      </c>
      <c r="H890" s="1321">
        <f>SUMIFS('Cash balance (Prior period)'!F:F,'Cash balance (Prior period)'!C:C,Table11[[#This Row],[ACCOUNT NUMBER]],'Cash balance (Prior period)'!E:E,Table11[[#This Row],[CURRENCY]])</f>
        <v>15000000000</v>
      </c>
      <c r="I890" s="1322">
        <f>SUMIFS(Movement!$F$4:$F$2136,Movement!$M$4:$M$2136,"VND",Movement!$C$4:$C$2136,Table11[[#This Row],[ACCOUNT NUMBER]],Movement!$J$4:$J$2136,Table11[[#This Row],[ENTITY]],Movement!$O$4:$O$2136,'Cash Balance'!$A$2)</f>
        <v>0</v>
      </c>
      <c r="J890" s="1323">
        <f>SUMIFS(Movement!$G$4:$G$2136,Movement!$M$4:$M$2136,"VND",Movement!$C$4:$C$2136,Table11[[#This Row],[ACCOUNT NUMBER]],Movement!$J$4:$J$2136,Table11[[#This Row],[ENTITY]],Movement!$O$4:$O$2136,'Cash Balance'!$A$2)</f>
        <v>0</v>
      </c>
      <c r="K890" s="1258">
        <f>Table11[[#This Row],[CASH IN - CREDIT (VND)]]-Table11[[#This Row],[CASH OUT - DEBIT (VND)]]</f>
        <v>0</v>
      </c>
      <c r="L890" s="1134">
        <f t="shared" si="153"/>
        <v>15000000000</v>
      </c>
      <c r="M890" s="1135" t="e">
        <f>VLOOKUP(C890,'Cash balance (BS)'!A:D,4,)</f>
        <v>#N/A</v>
      </c>
      <c r="N890" s="1136" t="e">
        <f>Table11[[#This Row],[CLOSING BALANCE (VND)2]]-Table11[[#This Row],[CB_BS (VND)]]</f>
        <v>#N/A</v>
      </c>
      <c r="O890" s="1094"/>
      <c r="P890" s="1135">
        <f t="shared" si="155"/>
        <v>0</v>
      </c>
      <c r="Q890" s="1137">
        <f>SUMIFS('Cash balance (Prior period)'!G:G,'Cash balance (Prior period)'!C:C,Table11[[#This Row],[ACCOUNT NUMBER]],'Cash balance (Prior period)'!E:E,Table11[[#This Row],[CURRENCY]])</f>
        <v>0</v>
      </c>
      <c r="R890" s="1138">
        <f>SUMIFS(Movement!$F$4:$F$2136,Movement!$M$4:$M$2136,"USD",Movement!$C$4:$C$2136,Table11[[#This Row],[ACCOUNT NUMBER]],Movement!$J$4:$J$2136,Table11[[#This Row],[ENTITY]],Movement!$O$4:$O$2136,'Cash Balance'!$A$2)</f>
        <v>0</v>
      </c>
      <c r="S890" s="1137">
        <f>SUMIFS(Movement!$G$4:$G$2136,Movement!$M$4:$M$2136,"USD",Movement!$C$4:$C$2136,Table11[[#This Row],[ACCOUNT NUMBER]],Movement!$J$4:$J$2136,Table11[[#This Row],[ENTITY]],Movement!$O$4:$O$2136,'Cash Balance'!$A$2)</f>
        <v>0</v>
      </c>
      <c r="T890" s="1139">
        <f t="shared" si="156"/>
        <v>0</v>
      </c>
      <c r="U890" s="1090"/>
      <c r="V890" s="1091">
        <f>Table11[[#This Row],[CLOSING BALANCE (USD)]]-Table11[[#This Row],[CB_BS (USD)]]</f>
        <v>0</v>
      </c>
      <c r="W890" s="1186" t="str">
        <f>VLOOKUP('Cash Balance'!$C890,Table2[#All],MATCH('Cash Balance'!W$3,Acc_Char!$B$1:$I$1,0),0)</f>
        <v>Subsidiaries</v>
      </c>
      <c r="X890" s="1156" t="str">
        <f>VLOOKUP(IFERROR(MID($Y890,1,FIND("-",$Y890)-2),$Y890),Table3[#All],2,0)</f>
        <v>VTB</v>
      </c>
      <c r="Y890" s="1156" t="str">
        <f>VLOOKUP($B890,Table4[#All],2,0)</f>
        <v>VIETINBANK - TIEN SON</v>
      </c>
      <c r="Z890" s="1151"/>
    </row>
    <row r="891" spans="1:26">
      <c r="A891" s="1153" t="str">
        <f>VLOOKUP('Cash Balance'!$C891,Table2[#All],MATCH('Cash Balance'!A$3,Acc_Char!$B$1:$I$1,0),0)</f>
        <v>TAN DONG HIEP B ELECTRON</v>
      </c>
      <c r="B891" s="1154" t="str">
        <f>VLOOKUP('Cash Balance'!$C891,Table2[#All],MATCH('Cash Balance'!B$3,Acc_Char!$B$1:$I$1,0),0)</f>
        <v>VIETINBANK - TPHCM</v>
      </c>
      <c r="C891" s="1203" t="s">
        <v>1500</v>
      </c>
      <c r="D891" s="1156" t="str">
        <f>VLOOKUP('Cash Balance'!$C891,Table2[#All],MATCH('Cash Balance'!D$3,Acc_Char!$B$1:$I$1,0),0)</f>
        <v>Saving Account</v>
      </c>
      <c r="E891" s="1201" t="str">
        <f>VLOOKUP('Cash Balance'!$C891,Table2[#All],MATCH('Cash Balance'!E$3,Acc_Char!$B$1:$I$1,0),0)</f>
        <v>VND</v>
      </c>
      <c r="F891" s="1084" t="e">
        <f>VLOOKUP(C891,'Cash balance (BS)'!A:C,3,)</f>
        <v>#N/A</v>
      </c>
      <c r="G891" s="1191" t="e">
        <f t="shared" si="154"/>
        <v>#N/A</v>
      </c>
      <c r="H891" s="1321">
        <f>SUMIFS('Cash balance (Prior period)'!F:F,'Cash balance (Prior period)'!C:C,Table11[[#This Row],[ACCOUNT NUMBER]],'Cash balance (Prior period)'!E:E,Table11[[#This Row],[CURRENCY]])</f>
        <v>5000000000</v>
      </c>
      <c r="I891" s="1322">
        <f>SUMIFS(Movement!$F$4:$F$2136,Movement!$M$4:$M$2136,"VND",Movement!$C$4:$C$2136,Table11[[#This Row],[ACCOUNT NUMBER]],Movement!$J$4:$J$2136,Table11[[#This Row],[ENTITY]],Movement!$O$4:$O$2136,'Cash Balance'!$A$2)</f>
        <v>0</v>
      </c>
      <c r="J891" s="1323">
        <f>SUMIFS(Movement!$G$4:$G$2136,Movement!$M$4:$M$2136,"VND",Movement!$C$4:$C$2136,Table11[[#This Row],[ACCOUNT NUMBER]],Movement!$J$4:$J$2136,Table11[[#This Row],[ENTITY]],Movement!$O$4:$O$2136,'Cash Balance'!$A$2)</f>
        <v>0</v>
      </c>
      <c r="K891" s="1258">
        <f>Table11[[#This Row],[CASH IN - CREDIT (VND)]]-Table11[[#This Row],[CASH OUT - DEBIT (VND)]]</f>
        <v>0</v>
      </c>
      <c r="L891" s="1134">
        <f t="shared" si="153"/>
        <v>5000000000</v>
      </c>
      <c r="M891" s="1135" t="e">
        <f>VLOOKUP(C891,'Cash balance (BS)'!A:D,4,)</f>
        <v>#N/A</v>
      </c>
      <c r="N891" s="1136" t="e">
        <f>Table11[[#This Row],[CLOSING BALANCE (VND)2]]-Table11[[#This Row],[CB_BS (VND)]]</f>
        <v>#N/A</v>
      </c>
      <c r="O891" s="1094"/>
      <c r="P891" s="1135">
        <f t="shared" si="155"/>
        <v>0</v>
      </c>
      <c r="Q891" s="1137">
        <f>SUMIFS('Cash balance (Prior period)'!G:G,'Cash balance (Prior period)'!C:C,Table11[[#This Row],[ACCOUNT NUMBER]],'Cash balance (Prior period)'!E:E,Table11[[#This Row],[CURRENCY]])</f>
        <v>0</v>
      </c>
      <c r="R891" s="1138">
        <f>SUMIFS(Movement!$F$4:$F$2136,Movement!$M$4:$M$2136,"USD",Movement!$C$4:$C$2136,Table11[[#This Row],[ACCOUNT NUMBER]],Movement!$J$4:$J$2136,Table11[[#This Row],[ENTITY]],Movement!$O$4:$O$2136,'Cash Balance'!$A$2)</f>
        <v>0</v>
      </c>
      <c r="S891" s="1137">
        <f>SUMIFS(Movement!$G$4:$G$2136,Movement!$M$4:$M$2136,"USD",Movement!$C$4:$C$2136,Table11[[#This Row],[ACCOUNT NUMBER]],Movement!$J$4:$J$2136,Table11[[#This Row],[ENTITY]],Movement!$O$4:$O$2136,'Cash Balance'!$A$2)</f>
        <v>0</v>
      </c>
      <c r="T891" s="1139">
        <f t="shared" si="156"/>
        <v>0</v>
      </c>
      <c r="U891" s="1090"/>
      <c r="V891" s="1091">
        <f>Table11[[#This Row],[CLOSING BALANCE (USD)]]-Table11[[#This Row],[CB_BS (USD)]]</f>
        <v>0</v>
      </c>
      <c r="W891" s="1186" t="str">
        <f>VLOOKUP('Cash Balance'!$C891,Table2[#All],MATCH('Cash Balance'!W$3,Acc_Char!$B$1:$I$1,0),0)</f>
        <v>Subsidiaries</v>
      </c>
      <c r="X891" s="1156" t="str">
        <f>VLOOKUP(IFERROR(MID($Y891,1,FIND("-",$Y891)-2),$Y891),Table3[#All],2,0)</f>
        <v>VTB</v>
      </c>
      <c r="Y891" s="1156" t="str">
        <f>VLOOKUP($B891,Table4[#All],2,0)</f>
        <v>VIETINBANK - TPHCM</v>
      </c>
      <c r="Z891" s="1151"/>
    </row>
    <row r="892" spans="1:26">
      <c r="A892" s="1153" t="str">
        <f>VLOOKUP('Cash Balance'!$C892,Table2[#All],MATCH('Cash Balance'!A$3,Acc_Char!$B$1:$I$1,0),0)</f>
        <v>TAY HAI</v>
      </c>
      <c r="B892" s="1154" t="str">
        <f>VLOOKUP('Cash Balance'!$C892,Table2[#All],MATCH('Cash Balance'!B$3,Acc_Char!$B$1:$I$1,0),0)</f>
        <v>VIETINBANK - QUANG MINH</v>
      </c>
      <c r="C892" s="1203" t="s">
        <v>1501</v>
      </c>
      <c r="D892" s="1156" t="str">
        <f>VLOOKUP('Cash Balance'!$C892,Table2[#All],MATCH('Cash Balance'!D$3,Acc_Char!$B$1:$I$1,0),0)</f>
        <v>Saving Account</v>
      </c>
      <c r="E892" s="1201" t="str">
        <f>VLOOKUP('Cash Balance'!$C892,Table2[#All],MATCH('Cash Balance'!E$3,Acc_Char!$B$1:$I$1,0),0)</f>
        <v>VND</v>
      </c>
      <c r="F892" s="1084" t="e">
        <f>VLOOKUP(C892,'Cash balance (BS)'!A:C,3,)</f>
        <v>#N/A</v>
      </c>
      <c r="G892" s="1191" t="e">
        <f t="shared" si="154"/>
        <v>#N/A</v>
      </c>
      <c r="H892" s="1321">
        <f>SUMIFS('Cash balance (Prior period)'!F:F,'Cash balance (Prior period)'!C:C,Table11[[#This Row],[ACCOUNT NUMBER]],'Cash balance (Prior period)'!E:E,Table11[[#This Row],[CURRENCY]])</f>
        <v>30000000000</v>
      </c>
      <c r="I892" s="1322">
        <f>SUMIFS(Movement!$F$4:$F$2136,Movement!$M$4:$M$2136,"VND",Movement!$C$4:$C$2136,Table11[[#This Row],[ACCOUNT NUMBER]],Movement!$J$4:$J$2136,Table11[[#This Row],[ENTITY]],Movement!$O$4:$O$2136,'Cash Balance'!$A$2)</f>
        <v>0</v>
      </c>
      <c r="J892" s="1323">
        <f>SUMIFS(Movement!$G$4:$G$2136,Movement!$M$4:$M$2136,"VND",Movement!$C$4:$C$2136,Table11[[#This Row],[ACCOUNT NUMBER]],Movement!$J$4:$J$2136,Table11[[#This Row],[ENTITY]],Movement!$O$4:$O$2136,'Cash Balance'!$A$2)</f>
        <v>0</v>
      </c>
      <c r="K892" s="1258">
        <f>Table11[[#This Row],[CASH IN - CREDIT (VND)]]-Table11[[#This Row],[CASH OUT - DEBIT (VND)]]</f>
        <v>0</v>
      </c>
      <c r="L892" s="1134">
        <f t="shared" si="153"/>
        <v>30000000000</v>
      </c>
      <c r="M892" s="1135" t="e">
        <f>VLOOKUP(C892,'Cash balance (BS)'!A:D,4,)</f>
        <v>#N/A</v>
      </c>
      <c r="N892" s="1136" t="e">
        <f>Table11[[#This Row],[CLOSING BALANCE (VND)2]]-Table11[[#This Row],[CB_BS (VND)]]</f>
        <v>#N/A</v>
      </c>
      <c r="O892" s="1094"/>
      <c r="P892" s="1135">
        <f t="shared" si="155"/>
        <v>0</v>
      </c>
      <c r="Q892" s="1137">
        <f>SUMIFS('Cash balance (Prior period)'!G:G,'Cash balance (Prior period)'!C:C,Table11[[#This Row],[ACCOUNT NUMBER]],'Cash balance (Prior period)'!E:E,Table11[[#This Row],[CURRENCY]])</f>
        <v>0</v>
      </c>
      <c r="R892" s="1138">
        <f>SUMIFS(Movement!$F$4:$F$2136,Movement!$M$4:$M$2136,"USD",Movement!$C$4:$C$2136,Table11[[#This Row],[ACCOUNT NUMBER]],Movement!$J$4:$J$2136,Table11[[#This Row],[ENTITY]],Movement!$O$4:$O$2136,'Cash Balance'!$A$2)</f>
        <v>0</v>
      </c>
      <c r="S892" s="1137">
        <f>SUMIFS(Movement!$G$4:$G$2136,Movement!$M$4:$M$2136,"USD",Movement!$C$4:$C$2136,Table11[[#This Row],[ACCOUNT NUMBER]],Movement!$J$4:$J$2136,Table11[[#This Row],[ENTITY]],Movement!$O$4:$O$2136,'Cash Balance'!$A$2)</f>
        <v>0</v>
      </c>
      <c r="T892" s="1139">
        <f t="shared" si="156"/>
        <v>0</v>
      </c>
      <c r="U892" s="1090"/>
      <c r="V892" s="1091">
        <f>Table11[[#This Row],[CLOSING BALANCE (USD)]]-Table11[[#This Row],[CB_BS (USD)]]</f>
        <v>0</v>
      </c>
      <c r="W892" s="1186" t="str">
        <f>VLOOKUP('Cash Balance'!$C892,Table2[#All],MATCH('Cash Balance'!W$3,Acc_Char!$B$1:$I$1,0),0)</f>
        <v>Subsidiaries</v>
      </c>
      <c r="X892" s="1156" t="str">
        <f>VLOOKUP(IFERROR(MID($Y892,1,FIND("-",$Y892)-2),$Y892),Table3[#All],2,0)</f>
        <v>VTB</v>
      </c>
      <c r="Y892" s="1156" t="str">
        <f>VLOOKUP($B892,Table4[#All],2,0)</f>
        <v>VIETINBANK - BINH DUONG + QM</v>
      </c>
      <c r="Z892" s="1151"/>
    </row>
    <row r="893" spans="1:26">
      <c r="A893" s="1153" t="str">
        <f>VLOOKUP('Cash Balance'!$C893,Table2[#All],MATCH('Cash Balance'!A$3,Acc_Char!$B$1:$I$1,0),0)</f>
        <v>TAY HAI</v>
      </c>
      <c r="B893" s="1154" t="str">
        <f>VLOOKUP('Cash Balance'!$C893,Table2[#All],MATCH('Cash Balance'!B$3,Acc_Char!$B$1:$I$1,0),0)</f>
        <v>VIETINBANK - QUANG MINH</v>
      </c>
      <c r="C893" s="1203" t="s">
        <v>1502</v>
      </c>
      <c r="D893" s="1156" t="str">
        <f>VLOOKUP('Cash Balance'!$C893,Table2[#All],MATCH('Cash Balance'!D$3,Acc_Char!$B$1:$I$1,0),0)</f>
        <v>Saving Account</v>
      </c>
      <c r="E893" s="1201" t="str">
        <f>VLOOKUP('Cash Balance'!$C893,Table2[#All],MATCH('Cash Balance'!E$3,Acc_Char!$B$1:$I$1,0),0)</f>
        <v>VND</v>
      </c>
      <c r="F893" s="1084" t="e">
        <f>VLOOKUP(C893,'Cash balance (BS)'!A:C,3,)</f>
        <v>#N/A</v>
      </c>
      <c r="G893" s="1191" t="e">
        <f t="shared" si="154"/>
        <v>#N/A</v>
      </c>
      <c r="H893" s="1321">
        <f>SUMIFS('Cash balance (Prior period)'!F:F,'Cash balance (Prior period)'!C:C,Table11[[#This Row],[ACCOUNT NUMBER]],'Cash balance (Prior period)'!E:E,Table11[[#This Row],[CURRENCY]])</f>
        <v>31000000000</v>
      </c>
      <c r="I893" s="1322">
        <f>SUMIFS(Movement!$F$4:$F$2136,Movement!$M$4:$M$2136,"VND",Movement!$C$4:$C$2136,Table11[[#This Row],[ACCOUNT NUMBER]],Movement!$J$4:$J$2136,Table11[[#This Row],[ENTITY]],Movement!$O$4:$O$2136,'Cash Balance'!$A$2)</f>
        <v>0</v>
      </c>
      <c r="J893" s="1323">
        <f>SUMIFS(Movement!$G$4:$G$2136,Movement!$M$4:$M$2136,"VND",Movement!$C$4:$C$2136,Table11[[#This Row],[ACCOUNT NUMBER]],Movement!$J$4:$J$2136,Table11[[#This Row],[ENTITY]],Movement!$O$4:$O$2136,'Cash Balance'!$A$2)</f>
        <v>0</v>
      </c>
      <c r="K893" s="1258">
        <f>Table11[[#This Row],[CASH IN - CREDIT (VND)]]-Table11[[#This Row],[CASH OUT - DEBIT (VND)]]</f>
        <v>0</v>
      </c>
      <c r="L893" s="1134">
        <f t="shared" si="153"/>
        <v>31000000000</v>
      </c>
      <c r="M893" s="1135" t="e">
        <f>VLOOKUP(C893,'Cash balance (BS)'!A:D,4,)</f>
        <v>#N/A</v>
      </c>
      <c r="N893" s="1136" t="e">
        <f>Table11[[#This Row],[CLOSING BALANCE (VND)2]]-Table11[[#This Row],[CB_BS (VND)]]</f>
        <v>#N/A</v>
      </c>
      <c r="O893" s="1094"/>
      <c r="P893" s="1135">
        <f t="shared" si="155"/>
        <v>0</v>
      </c>
      <c r="Q893" s="1137">
        <f>SUMIFS('Cash balance (Prior period)'!G:G,'Cash balance (Prior period)'!C:C,Table11[[#This Row],[ACCOUNT NUMBER]],'Cash balance (Prior period)'!E:E,Table11[[#This Row],[CURRENCY]])</f>
        <v>0</v>
      </c>
      <c r="R893" s="1138">
        <f>SUMIFS(Movement!$F$4:$F$2136,Movement!$M$4:$M$2136,"USD",Movement!$C$4:$C$2136,Table11[[#This Row],[ACCOUNT NUMBER]],Movement!$J$4:$J$2136,Table11[[#This Row],[ENTITY]],Movement!$O$4:$O$2136,'Cash Balance'!$A$2)</f>
        <v>0</v>
      </c>
      <c r="S893" s="1137">
        <f>SUMIFS(Movement!$G$4:$G$2136,Movement!$M$4:$M$2136,"USD",Movement!$C$4:$C$2136,Table11[[#This Row],[ACCOUNT NUMBER]],Movement!$J$4:$J$2136,Table11[[#This Row],[ENTITY]],Movement!$O$4:$O$2136,'Cash Balance'!$A$2)</f>
        <v>0</v>
      </c>
      <c r="T893" s="1139">
        <f t="shared" si="156"/>
        <v>0</v>
      </c>
      <c r="U893" s="1090"/>
      <c r="V893" s="1091">
        <f>Table11[[#This Row],[CLOSING BALANCE (USD)]]-Table11[[#This Row],[CB_BS (USD)]]</f>
        <v>0</v>
      </c>
      <c r="W893" s="1186" t="str">
        <f>VLOOKUP('Cash Balance'!$C893,Table2[#All],MATCH('Cash Balance'!W$3,Acc_Char!$B$1:$I$1,0),0)</f>
        <v>Subsidiaries</v>
      </c>
      <c r="X893" s="1156" t="str">
        <f>VLOOKUP(IFERROR(MID($Y893,1,FIND("-",$Y893)-2),$Y893),Table3[#All],2,0)</f>
        <v>VTB</v>
      </c>
      <c r="Y893" s="1156" t="str">
        <f>VLOOKUP($B893,Table4[#All],2,0)</f>
        <v>VIETINBANK - BINH DUONG + QM</v>
      </c>
      <c r="Z893" s="1151"/>
    </row>
    <row r="894" spans="1:26">
      <c r="A894" s="1153" t="str">
        <f>VLOOKUP('Cash Balance'!$C894,Table2[#All],MATCH('Cash Balance'!A$3,Acc_Char!$B$1:$I$1,0),0)</f>
        <v>BW BAU BANG 01</v>
      </c>
      <c r="B894" s="1154" t="str">
        <f>VLOOKUP('Cash Balance'!$C894,Table2[#All],MATCH('Cash Balance'!B$3,Acc_Char!$B$1:$I$1,0),0)</f>
        <v>VIETINBANK - BINH DUONG</v>
      </c>
      <c r="C894" s="1205" t="s">
        <v>1503</v>
      </c>
      <c r="D894" s="1156" t="str">
        <f>VLOOKUP('Cash Balance'!$C894,Table2[#All],MATCH('Cash Balance'!D$3,Acc_Char!$B$1:$I$1,0),0)</f>
        <v>Saving Account</v>
      </c>
      <c r="E894" s="1201" t="str">
        <f>VLOOKUP('Cash Balance'!$C894,Table2[#All],MATCH('Cash Balance'!E$3,Acc_Char!$B$1:$I$1,0),0)</f>
        <v>VND</v>
      </c>
      <c r="F894" s="1084" t="e">
        <f>VLOOKUP(C894,'Cash balance (BS)'!A:C,3,)</f>
        <v>#N/A</v>
      </c>
      <c r="G894" s="1191" t="e">
        <f t="shared" si="154"/>
        <v>#N/A</v>
      </c>
      <c r="H894" s="1321">
        <f>SUMIFS('Cash balance (Prior period)'!F:F,'Cash balance (Prior period)'!C:C,Table11[[#This Row],[ACCOUNT NUMBER]],'Cash balance (Prior period)'!E:E,Table11[[#This Row],[CURRENCY]])</f>
        <v>10000000000</v>
      </c>
      <c r="I894" s="1322">
        <f>SUMIFS(Movement!$F$4:$F$2136,Movement!$M$4:$M$2136,"VND",Movement!$C$4:$C$2136,Table11[[#This Row],[ACCOUNT NUMBER]],Movement!$J$4:$J$2136,Table11[[#This Row],[ENTITY]],Movement!$O$4:$O$2136,'Cash Balance'!$A$2)</f>
        <v>0</v>
      </c>
      <c r="J894" s="1323">
        <f>SUMIFS(Movement!$G$4:$G$2136,Movement!$M$4:$M$2136,"VND",Movement!$C$4:$C$2136,Table11[[#This Row],[ACCOUNT NUMBER]],Movement!$J$4:$J$2136,Table11[[#This Row],[ENTITY]],Movement!$O$4:$O$2136,'Cash Balance'!$A$2)</f>
        <v>0</v>
      </c>
      <c r="K894" s="1258">
        <f>Table11[[#This Row],[CASH IN - CREDIT (VND)]]-Table11[[#This Row],[CASH OUT - DEBIT (VND)]]</f>
        <v>0</v>
      </c>
      <c r="L894" s="1134">
        <f t="shared" si="153"/>
        <v>10000000000</v>
      </c>
      <c r="M894" s="1135" t="e">
        <f>VLOOKUP(C894,'Cash balance (BS)'!A:D,4,)</f>
        <v>#N/A</v>
      </c>
      <c r="N894" s="1136" t="e">
        <f>Table11[[#This Row],[CLOSING BALANCE (VND)2]]-Table11[[#This Row],[CB_BS (VND)]]</f>
        <v>#N/A</v>
      </c>
      <c r="O894" s="1094"/>
      <c r="P894" s="1135">
        <f t="shared" si="155"/>
        <v>0</v>
      </c>
      <c r="Q894" s="1137">
        <f>SUMIFS('Cash balance (Prior period)'!G:G,'Cash balance (Prior period)'!C:C,Table11[[#This Row],[ACCOUNT NUMBER]],'Cash balance (Prior period)'!E:E,Table11[[#This Row],[CURRENCY]])</f>
        <v>0</v>
      </c>
      <c r="R894" s="1138">
        <f>SUMIFS(Movement!$F$4:$F$2136,Movement!$M$4:$M$2136,"USD",Movement!$C$4:$C$2136,Table11[[#This Row],[ACCOUNT NUMBER]],Movement!$J$4:$J$2136,Table11[[#This Row],[ENTITY]],Movement!$O$4:$O$2136,'Cash Balance'!$A$2)</f>
        <v>0</v>
      </c>
      <c r="S894" s="1137">
        <f>SUMIFS(Movement!$G$4:$G$2136,Movement!$M$4:$M$2136,"USD",Movement!$C$4:$C$2136,Table11[[#This Row],[ACCOUNT NUMBER]],Movement!$J$4:$J$2136,Table11[[#This Row],[ENTITY]],Movement!$O$4:$O$2136,'Cash Balance'!$A$2)</f>
        <v>0</v>
      </c>
      <c r="T894" s="1139">
        <f t="shared" si="156"/>
        <v>0</v>
      </c>
      <c r="U894" s="1090"/>
      <c r="V894" s="1091">
        <f>Table11[[#This Row],[CLOSING BALANCE (USD)]]-Table11[[#This Row],[CB_BS (USD)]]</f>
        <v>0</v>
      </c>
      <c r="W894" s="1186" t="str">
        <f>VLOOKUP('Cash Balance'!$C894,Table2[#All],MATCH('Cash Balance'!W$3,Acc_Char!$B$1:$I$1,0),0)</f>
        <v>Subsidiaries</v>
      </c>
      <c r="X894" s="1156" t="str">
        <f>VLOOKUP(IFERROR(MID($Y894,1,FIND("-",$Y894)-2),$Y894),Table3[#All],2,0)</f>
        <v>VTB</v>
      </c>
      <c r="Y894" s="1156" t="str">
        <f>VLOOKUP($B894,Table4[#All],2,0)</f>
        <v>VIETINBANK - BINH DUONG + QM</v>
      </c>
      <c r="Z894" s="1151"/>
    </row>
    <row r="895" spans="1:26">
      <c r="A895" s="1153" t="str">
        <f>VLOOKUP('Cash Balance'!$C895,Table2[#All],MATCH('Cash Balance'!A$3,Acc_Char!$B$1:$I$1,0),0)</f>
        <v>BW BAU BANG 01</v>
      </c>
      <c r="B895" s="1154" t="str">
        <f>VLOOKUP('Cash Balance'!$C895,Table2[#All],MATCH('Cash Balance'!B$3,Acc_Char!$B$1:$I$1,0),0)</f>
        <v>VIETINBANK - BINH DUONG</v>
      </c>
      <c r="C895" s="1203" t="s">
        <v>1504</v>
      </c>
      <c r="D895" s="1156" t="str">
        <f>VLOOKUP('Cash Balance'!$C895,Table2[#All],MATCH('Cash Balance'!D$3,Acc_Char!$B$1:$I$1,0),0)</f>
        <v>Saving Account</v>
      </c>
      <c r="E895" s="1201" t="str">
        <f>VLOOKUP('Cash Balance'!$C895,Table2[#All],MATCH('Cash Balance'!E$3,Acc_Char!$B$1:$I$1,0),0)</f>
        <v>VND</v>
      </c>
      <c r="F895" s="1084" t="e">
        <f>VLOOKUP(C895,'Cash balance (BS)'!A:C,3,)</f>
        <v>#N/A</v>
      </c>
      <c r="G895" s="1191" t="e">
        <f t="shared" si="154"/>
        <v>#N/A</v>
      </c>
      <c r="H895" s="1321">
        <f>SUMIFS('Cash balance (Prior period)'!F:F,'Cash balance (Prior period)'!C:C,Table11[[#This Row],[ACCOUNT NUMBER]],'Cash balance (Prior period)'!E:E,Table11[[#This Row],[CURRENCY]])</f>
        <v>145000000000</v>
      </c>
      <c r="I895" s="1322">
        <f>SUMIFS(Movement!$F$4:$F$2136,Movement!$M$4:$M$2136,"VND",Movement!$C$4:$C$2136,Table11[[#This Row],[ACCOUNT NUMBER]],Movement!$J$4:$J$2136,Table11[[#This Row],[ENTITY]],Movement!$O$4:$O$2136,'Cash Balance'!$A$2)</f>
        <v>0</v>
      </c>
      <c r="J895" s="1323">
        <f>SUMIFS(Movement!$G$4:$G$2136,Movement!$M$4:$M$2136,"VND",Movement!$C$4:$C$2136,Table11[[#This Row],[ACCOUNT NUMBER]],Movement!$J$4:$J$2136,Table11[[#This Row],[ENTITY]],Movement!$O$4:$O$2136,'Cash Balance'!$A$2)</f>
        <v>0</v>
      </c>
      <c r="K895" s="1258">
        <f>Table11[[#This Row],[CASH IN - CREDIT (VND)]]-Table11[[#This Row],[CASH OUT - DEBIT (VND)]]</f>
        <v>0</v>
      </c>
      <c r="L895" s="1134">
        <f t="shared" si="153"/>
        <v>145000000000</v>
      </c>
      <c r="M895" s="1135" t="e">
        <f>VLOOKUP(C895,'Cash balance (BS)'!A:D,4,)</f>
        <v>#N/A</v>
      </c>
      <c r="N895" s="1136" t="e">
        <f>Table11[[#This Row],[CLOSING BALANCE (VND)2]]-Table11[[#This Row],[CB_BS (VND)]]</f>
        <v>#N/A</v>
      </c>
      <c r="O895" s="1094"/>
      <c r="P895" s="1135">
        <f t="shared" si="155"/>
        <v>0</v>
      </c>
      <c r="Q895" s="1137">
        <f>SUMIFS('Cash balance (Prior period)'!G:G,'Cash balance (Prior period)'!C:C,Table11[[#This Row],[ACCOUNT NUMBER]],'Cash balance (Prior period)'!E:E,Table11[[#This Row],[CURRENCY]])</f>
        <v>0</v>
      </c>
      <c r="R895" s="1138">
        <f>SUMIFS(Movement!$F$4:$F$2136,Movement!$M$4:$M$2136,"USD",Movement!$C$4:$C$2136,Table11[[#This Row],[ACCOUNT NUMBER]],Movement!$J$4:$J$2136,Table11[[#This Row],[ENTITY]],Movement!$O$4:$O$2136,'Cash Balance'!$A$2)</f>
        <v>0</v>
      </c>
      <c r="S895" s="1137">
        <f>SUMIFS(Movement!$G$4:$G$2136,Movement!$M$4:$M$2136,"USD",Movement!$C$4:$C$2136,Table11[[#This Row],[ACCOUNT NUMBER]],Movement!$J$4:$J$2136,Table11[[#This Row],[ENTITY]],Movement!$O$4:$O$2136,'Cash Balance'!$A$2)</f>
        <v>0</v>
      </c>
      <c r="T895" s="1139">
        <f t="shared" si="156"/>
        <v>0</v>
      </c>
      <c r="U895" s="1090"/>
      <c r="V895" s="1091">
        <f>Table11[[#This Row],[CLOSING BALANCE (USD)]]-Table11[[#This Row],[CB_BS (USD)]]</f>
        <v>0</v>
      </c>
      <c r="W895" s="1186" t="str">
        <f>VLOOKUP('Cash Balance'!$C895,Table2[#All],MATCH('Cash Balance'!W$3,Acc_Char!$B$1:$I$1,0),0)</f>
        <v>Subsidiaries</v>
      </c>
      <c r="X895" s="1156" t="str">
        <f>VLOOKUP(IFERROR(MID($Y895,1,FIND("-",$Y895)-2),$Y895),Table3[#All],2,0)</f>
        <v>VTB</v>
      </c>
      <c r="Y895" s="1156" t="str">
        <f>VLOOKUP($B895,Table4[#All],2,0)</f>
        <v>VIETINBANK - BINH DUONG + QM</v>
      </c>
      <c r="Z895" s="1151"/>
    </row>
    <row r="896" spans="1:26">
      <c r="A896" s="1153" t="str">
        <f>VLOOKUP('Cash Balance'!$C896,Table2[#All],MATCH('Cash Balance'!A$3,Acc_Char!$B$1:$I$1,0),0)</f>
        <v>BWID THOI HOA</v>
      </c>
      <c r="B896" s="1154" t="str">
        <f>VLOOKUP('Cash Balance'!$C896,Table2[#All],MATCH('Cash Balance'!B$3,Acc_Char!$B$1:$I$1,0),0)</f>
        <v>VIETCOMBANK - HCM</v>
      </c>
      <c r="C896" s="1203" t="s">
        <v>5396</v>
      </c>
      <c r="D896" s="1156" t="str">
        <f>VLOOKUP('Cash Balance'!$C896,Table2[#All],MATCH('Cash Balance'!D$3,Acc_Char!$B$1:$I$1,0),0)</f>
        <v>Saving Account</v>
      </c>
      <c r="E896" s="1201" t="str">
        <f>VLOOKUP('Cash Balance'!$C896,Table2[#All],MATCH('Cash Balance'!E$3,Acc_Char!$B$1:$I$1,0),0)</f>
        <v>VND</v>
      </c>
      <c r="F896" s="1084" t="e">
        <f>VLOOKUP(C896,'Cash balance (BS)'!A:C,3,)</f>
        <v>#N/A</v>
      </c>
      <c r="G896" s="1191" t="e">
        <f t="shared" si="154"/>
        <v>#N/A</v>
      </c>
      <c r="H896" s="1321">
        <f>SUMIFS('Cash balance (Prior period)'!F:F,'Cash balance (Prior period)'!C:C,Table11[[#This Row],[ACCOUNT NUMBER]],'Cash balance (Prior period)'!E:E,Table11[[#This Row],[CURRENCY]])</f>
        <v>20000000000</v>
      </c>
      <c r="I896" s="1322">
        <f>SUMIFS(Movement!$F$4:$F$2136,Movement!$M$4:$M$2136,"VND",Movement!$C$4:$C$2136,Table11[[#This Row],[ACCOUNT NUMBER]],Movement!$J$4:$J$2136,Table11[[#This Row],[ENTITY]],Movement!$O$4:$O$2136,'Cash Balance'!$A$2)</f>
        <v>0</v>
      </c>
      <c r="J896" s="1323">
        <f>SUMIFS(Movement!$G$4:$G$2136,Movement!$M$4:$M$2136,"VND",Movement!$C$4:$C$2136,Table11[[#This Row],[ACCOUNT NUMBER]],Movement!$J$4:$J$2136,Table11[[#This Row],[ENTITY]],Movement!$O$4:$O$2136,'Cash Balance'!$A$2)</f>
        <v>0</v>
      </c>
      <c r="K896" s="1258">
        <f>Table11[[#This Row],[CASH IN - CREDIT (VND)]]-Table11[[#This Row],[CASH OUT - DEBIT (VND)]]</f>
        <v>0</v>
      </c>
      <c r="L896" s="1134">
        <f t="shared" si="153"/>
        <v>20000000000</v>
      </c>
      <c r="M896" s="1135" t="e">
        <f>VLOOKUP(C896,'Cash balance (BS)'!A:D,4,)</f>
        <v>#N/A</v>
      </c>
      <c r="N896" s="1136" t="e">
        <f>Table11[[#This Row],[CLOSING BALANCE (VND)2]]-Table11[[#This Row],[CB_BS (VND)]]</f>
        <v>#N/A</v>
      </c>
      <c r="O896" s="1094"/>
      <c r="P896" s="1135">
        <f t="shared" si="155"/>
        <v>0</v>
      </c>
      <c r="Q896" s="1137">
        <f>SUMIFS('Cash balance (Prior period)'!G:G,'Cash balance (Prior period)'!C:C,Table11[[#This Row],[ACCOUNT NUMBER]],'Cash balance (Prior period)'!E:E,Table11[[#This Row],[CURRENCY]])</f>
        <v>0</v>
      </c>
      <c r="R896" s="1138">
        <f>SUMIFS(Movement!$F$4:$F$2136,Movement!$M$4:$M$2136,"USD",Movement!$C$4:$C$2136,Table11[[#This Row],[ACCOUNT NUMBER]],Movement!$J$4:$J$2136,Table11[[#This Row],[ENTITY]],Movement!$O$4:$O$2136,'Cash Balance'!$A$2)</f>
        <v>0</v>
      </c>
      <c r="S896" s="1137">
        <f>SUMIFS(Movement!$G$4:$G$2136,Movement!$M$4:$M$2136,"USD",Movement!$C$4:$C$2136,Table11[[#This Row],[ACCOUNT NUMBER]],Movement!$J$4:$J$2136,Table11[[#This Row],[ENTITY]],Movement!$O$4:$O$2136,'Cash Balance'!$A$2)</f>
        <v>0</v>
      </c>
      <c r="T896" s="1139">
        <f t="shared" si="156"/>
        <v>0</v>
      </c>
      <c r="U896" s="1090"/>
      <c r="V896" s="1091">
        <f>Table11[[#This Row],[CLOSING BALANCE (USD)]]-Table11[[#This Row],[CB_BS (USD)]]</f>
        <v>0</v>
      </c>
      <c r="W896" s="1186" t="str">
        <f>VLOOKUP('Cash Balance'!$C896,Table2[#All],MATCH('Cash Balance'!W$3,Acc_Char!$B$1:$I$1,0),0)</f>
        <v>Subsidiaries</v>
      </c>
      <c r="X896" s="1156" t="str">
        <f>VLOOKUP(IFERROR(MID($Y896,1,FIND("-",$Y896)-2),$Y896),Table3[#All],2,0)</f>
        <v>VCB</v>
      </c>
      <c r="Y896" s="1156" t="str">
        <f>VLOOKUP($B896,Table4[#All],2,0)</f>
        <v>VIETCOMBANK - HCM</v>
      </c>
      <c r="Z896" s="1151"/>
    </row>
    <row r="897" spans="1:26">
      <c r="A897" s="1153" t="str">
        <f>VLOOKUP('Cash Balance'!$C897,Table2[#All],MATCH('Cash Balance'!A$3,Acc_Char!$B$1:$I$1,0),0)</f>
        <v>BW SAIGON LOGISTICS</v>
      </c>
      <c r="B897" s="1154" t="str">
        <f>VLOOKUP('Cash Balance'!$C897,Table2[#All],MATCH('Cash Balance'!B$3,Acc_Char!$B$1:$I$1,0),0)</f>
        <v>VIETCOMBANK - HCM</v>
      </c>
      <c r="C897" s="1203" t="s">
        <v>5397</v>
      </c>
      <c r="D897" s="1156" t="str">
        <f>VLOOKUP('Cash Balance'!$C897,Table2[#All],MATCH('Cash Balance'!D$3,Acc_Char!$B$1:$I$1,0),0)</f>
        <v>Saving Account</v>
      </c>
      <c r="E897" s="1201" t="str">
        <f>VLOOKUP('Cash Balance'!$C897,Table2[#All],MATCH('Cash Balance'!E$3,Acc_Char!$B$1:$I$1,0),0)</f>
        <v>VND</v>
      </c>
      <c r="F897" s="1084" t="e">
        <f>VLOOKUP(C897,'Cash balance (BS)'!A:C,3,)</f>
        <v>#N/A</v>
      </c>
      <c r="G897" s="1191" t="e">
        <f t="shared" si="154"/>
        <v>#N/A</v>
      </c>
      <c r="H897" s="1321">
        <f>SUMIFS('Cash balance (Prior period)'!F:F,'Cash balance (Prior period)'!C:C,Table11[[#This Row],[ACCOUNT NUMBER]],'Cash balance (Prior period)'!E:E,Table11[[#This Row],[CURRENCY]])</f>
        <v>6000000000</v>
      </c>
      <c r="I897" s="1322">
        <f>SUMIFS(Movement!$F$4:$F$2136,Movement!$M$4:$M$2136,"VND",Movement!$C$4:$C$2136,Table11[[#This Row],[ACCOUNT NUMBER]],Movement!$J$4:$J$2136,Table11[[#This Row],[ENTITY]],Movement!$O$4:$O$2136,'Cash Balance'!$A$2)</f>
        <v>0</v>
      </c>
      <c r="J897" s="1323">
        <f>SUMIFS(Movement!$G$4:$G$2136,Movement!$M$4:$M$2136,"VND",Movement!$C$4:$C$2136,Table11[[#This Row],[ACCOUNT NUMBER]],Movement!$J$4:$J$2136,Table11[[#This Row],[ENTITY]],Movement!$O$4:$O$2136,'Cash Balance'!$A$2)</f>
        <v>0</v>
      </c>
      <c r="K897" s="1258">
        <f>Table11[[#This Row],[CASH IN - CREDIT (VND)]]-Table11[[#This Row],[CASH OUT - DEBIT (VND)]]</f>
        <v>0</v>
      </c>
      <c r="L897" s="1134">
        <f t="shared" si="153"/>
        <v>6000000000</v>
      </c>
      <c r="M897" s="1135" t="e">
        <f>VLOOKUP(C897,'Cash balance (BS)'!A:D,4,)</f>
        <v>#N/A</v>
      </c>
      <c r="N897" s="1136" t="e">
        <f>Table11[[#This Row],[CLOSING BALANCE (VND)2]]-Table11[[#This Row],[CB_BS (VND)]]</f>
        <v>#N/A</v>
      </c>
      <c r="O897" s="1094"/>
      <c r="P897" s="1135">
        <f t="shared" si="155"/>
        <v>0</v>
      </c>
      <c r="Q897" s="1137">
        <f>SUMIFS('Cash balance (Prior period)'!G:G,'Cash balance (Prior period)'!C:C,Table11[[#This Row],[ACCOUNT NUMBER]],'Cash balance (Prior period)'!E:E,Table11[[#This Row],[CURRENCY]])</f>
        <v>0</v>
      </c>
      <c r="R897" s="1138">
        <f>SUMIFS(Movement!$F$4:$F$2136,Movement!$M$4:$M$2136,"USD",Movement!$C$4:$C$2136,Table11[[#This Row],[ACCOUNT NUMBER]],Movement!$J$4:$J$2136,Table11[[#This Row],[ENTITY]],Movement!$O$4:$O$2136,'Cash Balance'!$A$2)</f>
        <v>0</v>
      </c>
      <c r="S897" s="1137">
        <f>SUMIFS(Movement!$G$4:$G$2136,Movement!$M$4:$M$2136,"USD",Movement!$C$4:$C$2136,Table11[[#This Row],[ACCOUNT NUMBER]],Movement!$J$4:$J$2136,Table11[[#This Row],[ENTITY]],Movement!$O$4:$O$2136,'Cash Balance'!$A$2)</f>
        <v>0</v>
      </c>
      <c r="T897" s="1139">
        <f t="shared" si="156"/>
        <v>0</v>
      </c>
      <c r="U897" s="1090"/>
      <c r="V897" s="1091">
        <f>Table11[[#This Row],[CLOSING BALANCE (USD)]]-Table11[[#This Row],[CB_BS (USD)]]</f>
        <v>0</v>
      </c>
      <c r="W897" s="1186" t="str">
        <f>VLOOKUP('Cash Balance'!$C897,Table2[#All],MATCH('Cash Balance'!W$3,Acc_Char!$B$1:$I$1,0),0)</f>
        <v>Subsidiaries</v>
      </c>
      <c r="X897" s="1156" t="str">
        <f>VLOOKUP(IFERROR(MID($Y897,1,FIND("-",$Y897)-2),$Y897),Table3[#All],2,0)</f>
        <v>VCB</v>
      </c>
      <c r="Y897" s="1156" t="str">
        <f>VLOOKUP($B897,Table4[#All],2,0)</f>
        <v>VIETCOMBANK - HCM</v>
      </c>
      <c r="Z897" s="1151"/>
    </row>
    <row r="898" spans="1:26">
      <c r="A898" s="1153" t="str">
        <f>VLOOKUP('Cash Balance'!$C898,Table2[#All],MATCH('Cash Balance'!A$3,Acc_Char!$B$1:$I$1,0),0)</f>
        <v>SAO HOA</v>
      </c>
      <c r="B898" s="1154" t="str">
        <f>VLOOKUP('Cash Balance'!$C898,Table2[#All],MATCH('Cash Balance'!B$3,Acc_Char!$B$1:$I$1,0),0)</f>
        <v>VIETCOMBANK - HCM</v>
      </c>
      <c r="C898" s="1203" t="s">
        <v>5398</v>
      </c>
      <c r="D898" s="1156" t="str">
        <f>VLOOKUP('Cash Balance'!$C898,Table2[#All],MATCH('Cash Balance'!D$3,Acc_Char!$B$1:$I$1,0),0)</f>
        <v>Saving Account</v>
      </c>
      <c r="E898" s="1201" t="str">
        <f>VLOOKUP('Cash Balance'!$C898,Table2[#All],MATCH('Cash Balance'!E$3,Acc_Char!$B$1:$I$1,0),0)</f>
        <v>VND</v>
      </c>
      <c r="F898" s="1084" t="e">
        <f>VLOOKUP(C898,'Cash balance (BS)'!A:C,3,)</f>
        <v>#N/A</v>
      </c>
      <c r="G898" s="1191" t="e">
        <f t="shared" si="154"/>
        <v>#N/A</v>
      </c>
      <c r="H898" s="1321">
        <f>SUMIFS('Cash balance (Prior period)'!F:F,'Cash balance (Prior period)'!C:C,Table11[[#This Row],[ACCOUNT NUMBER]],'Cash balance (Prior period)'!E:E,Table11[[#This Row],[CURRENCY]])</f>
        <v>400000000000</v>
      </c>
      <c r="I898" s="1322">
        <f>SUMIFS(Movement!$F$4:$F$2136,Movement!$M$4:$M$2136,"VND",Movement!$C$4:$C$2136,Table11[[#This Row],[ACCOUNT NUMBER]],Movement!$J$4:$J$2136,Table11[[#This Row],[ENTITY]],Movement!$O$4:$O$2136,'Cash Balance'!$A$2)</f>
        <v>0</v>
      </c>
      <c r="J898" s="1323">
        <f>SUMIFS(Movement!$G$4:$G$2136,Movement!$M$4:$M$2136,"VND",Movement!$C$4:$C$2136,Table11[[#This Row],[ACCOUNT NUMBER]],Movement!$J$4:$J$2136,Table11[[#This Row],[ENTITY]],Movement!$O$4:$O$2136,'Cash Balance'!$A$2)</f>
        <v>0</v>
      </c>
      <c r="K898" s="1258">
        <f>Table11[[#This Row],[CASH IN - CREDIT (VND)]]-Table11[[#This Row],[CASH OUT - DEBIT (VND)]]</f>
        <v>0</v>
      </c>
      <c r="L898" s="1134">
        <f t="shared" si="153"/>
        <v>400000000000</v>
      </c>
      <c r="M898" s="1135" t="e">
        <f>VLOOKUP(C898,'Cash balance (BS)'!A:D,4,)</f>
        <v>#N/A</v>
      </c>
      <c r="N898" s="1136" t="e">
        <f>Table11[[#This Row],[CLOSING BALANCE (VND)2]]-Table11[[#This Row],[CB_BS (VND)]]</f>
        <v>#N/A</v>
      </c>
      <c r="O898" s="1094"/>
      <c r="P898" s="1135">
        <f t="shared" si="155"/>
        <v>0</v>
      </c>
      <c r="Q898" s="1137">
        <f>SUMIFS('Cash balance (Prior period)'!G:G,'Cash balance (Prior period)'!C:C,Table11[[#This Row],[ACCOUNT NUMBER]],'Cash balance (Prior period)'!E:E,Table11[[#This Row],[CURRENCY]])</f>
        <v>0</v>
      </c>
      <c r="R898" s="1138">
        <f>SUMIFS(Movement!$F$4:$F$2136,Movement!$M$4:$M$2136,"USD",Movement!$C$4:$C$2136,Table11[[#This Row],[ACCOUNT NUMBER]],Movement!$J$4:$J$2136,Table11[[#This Row],[ENTITY]],Movement!$O$4:$O$2136,'Cash Balance'!$A$2)</f>
        <v>0</v>
      </c>
      <c r="S898" s="1137">
        <f>SUMIFS(Movement!$G$4:$G$2136,Movement!$M$4:$M$2136,"USD",Movement!$C$4:$C$2136,Table11[[#This Row],[ACCOUNT NUMBER]],Movement!$J$4:$J$2136,Table11[[#This Row],[ENTITY]],Movement!$O$4:$O$2136,'Cash Balance'!$A$2)</f>
        <v>0</v>
      </c>
      <c r="T898" s="1139">
        <f t="shared" si="156"/>
        <v>0</v>
      </c>
      <c r="U898" s="1090"/>
      <c r="V898" s="1091">
        <f>Table11[[#This Row],[CLOSING BALANCE (USD)]]-Table11[[#This Row],[CB_BS (USD)]]</f>
        <v>0</v>
      </c>
      <c r="W898" s="1186" t="str">
        <f>VLOOKUP('Cash Balance'!$C898,Table2[#All],MATCH('Cash Balance'!W$3,Acc_Char!$B$1:$I$1,0),0)</f>
        <v>VC3</v>
      </c>
      <c r="X898" s="1156" t="str">
        <f>VLOOKUP(IFERROR(MID($Y898,1,FIND("-",$Y898)-2),$Y898),Table3[#All],2,0)</f>
        <v>VCB</v>
      </c>
      <c r="Y898" s="1156" t="str">
        <f>VLOOKUP($B898,Table4[#All],2,0)</f>
        <v>VIETCOMBANK - HCM</v>
      </c>
      <c r="Z898" s="1151"/>
    </row>
    <row r="899" spans="1:26">
      <c r="A899" s="1153" t="str">
        <f>VLOOKUP('Cash Balance'!$C899,Table2[#All],MATCH('Cash Balance'!A$3,Acc_Char!$B$1:$I$1,0),0)</f>
        <v>LONG BINH</v>
      </c>
      <c r="B899" s="1154" t="str">
        <f>VLOOKUP('Cash Balance'!$C899,Table2[#All],MATCH('Cash Balance'!B$3,Acc_Char!$B$1:$I$1,0),0)</f>
        <v>VIETCOMBANK - HCM</v>
      </c>
      <c r="C899" s="1203" t="s">
        <v>5399</v>
      </c>
      <c r="D899" s="1156" t="str">
        <f>VLOOKUP('Cash Balance'!$C899,Table2[#All],MATCH('Cash Balance'!D$3,Acc_Char!$B$1:$I$1,0),0)</f>
        <v>Saving Account</v>
      </c>
      <c r="E899" s="1201" t="str">
        <f>VLOOKUP('Cash Balance'!$C899,Table2[#All],MATCH('Cash Balance'!E$3,Acc_Char!$B$1:$I$1,0),0)</f>
        <v>VND</v>
      </c>
      <c r="F899" s="1084" t="e">
        <f>VLOOKUP(C899,'Cash balance (BS)'!A:C,3,)</f>
        <v>#N/A</v>
      </c>
      <c r="G899" s="1191" t="e">
        <f t="shared" si="154"/>
        <v>#N/A</v>
      </c>
      <c r="H899" s="1321">
        <f>SUMIFS('Cash balance (Prior period)'!F:F,'Cash balance (Prior period)'!C:C,Table11[[#This Row],[ACCOUNT NUMBER]],'Cash balance (Prior period)'!E:E,Table11[[#This Row],[CURRENCY]])</f>
        <v>25000000000</v>
      </c>
      <c r="I899" s="1322">
        <f>SUMIFS(Movement!$F$4:$F$2136,Movement!$M$4:$M$2136,"VND",Movement!$C$4:$C$2136,Table11[[#This Row],[ACCOUNT NUMBER]],Movement!$J$4:$J$2136,Table11[[#This Row],[ENTITY]],Movement!$O$4:$O$2136,'Cash Balance'!$A$2)</f>
        <v>0</v>
      </c>
      <c r="J899" s="1323">
        <f>SUMIFS(Movement!$G$4:$G$2136,Movement!$M$4:$M$2136,"VND",Movement!$C$4:$C$2136,Table11[[#This Row],[ACCOUNT NUMBER]],Movement!$J$4:$J$2136,Table11[[#This Row],[ENTITY]],Movement!$O$4:$O$2136,'Cash Balance'!$A$2)</f>
        <v>0</v>
      </c>
      <c r="K899" s="1258">
        <f>Table11[[#This Row],[CASH IN - CREDIT (VND)]]-Table11[[#This Row],[CASH OUT - DEBIT (VND)]]</f>
        <v>0</v>
      </c>
      <c r="L899" s="1134">
        <f t="shared" si="153"/>
        <v>25000000000</v>
      </c>
      <c r="M899" s="1135" t="e">
        <f>VLOOKUP(C899,'Cash balance (BS)'!A:D,4,)</f>
        <v>#N/A</v>
      </c>
      <c r="N899" s="1136" t="e">
        <f>Table11[[#This Row],[CLOSING BALANCE (VND)2]]-Table11[[#This Row],[CB_BS (VND)]]</f>
        <v>#N/A</v>
      </c>
      <c r="O899" s="1094"/>
      <c r="P899" s="1135">
        <f t="shared" si="155"/>
        <v>0</v>
      </c>
      <c r="Q899" s="1137">
        <f>SUMIFS('Cash balance (Prior period)'!G:G,'Cash balance (Prior period)'!C:C,Table11[[#This Row],[ACCOUNT NUMBER]],'Cash balance (Prior period)'!E:E,Table11[[#This Row],[CURRENCY]])</f>
        <v>0</v>
      </c>
      <c r="R899" s="1138">
        <f>SUMIFS(Movement!$F$4:$F$2136,Movement!$M$4:$M$2136,"USD",Movement!$C$4:$C$2136,Table11[[#This Row],[ACCOUNT NUMBER]],Movement!$J$4:$J$2136,Table11[[#This Row],[ENTITY]],Movement!$O$4:$O$2136,'Cash Balance'!$A$2)</f>
        <v>0</v>
      </c>
      <c r="S899" s="1137">
        <f>SUMIFS(Movement!$G$4:$G$2136,Movement!$M$4:$M$2136,"USD",Movement!$C$4:$C$2136,Table11[[#This Row],[ACCOUNT NUMBER]],Movement!$J$4:$J$2136,Table11[[#This Row],[ENTITY]],Movement!$O$4:$O$2136,'Cash Balance'!$A$2)</f>
        <v>0</v>
      </c>
      <c r="T899" s="1139">
        <f t="shared" si="156"/>
        <v>0</v>
      </c>
      <c r="U899" s="1090"/>
      <c r="V899" s="1091">
        <f>Table11[[#This Row],[CLOSING BALANCE (USD)]]-Table11[[#This Row],[CB_BS (USD)]]</f>
        <v>0</v>
      </c>
      <c r="W899" s="1186" t="str">
        <f>VLOOKUP('Cash Balance'!$C899,Table2[#All],MATCH('Cash Balance'!W$3,Acc_Char!$B$1:$I$1,0),0)</f>
        <v>Subsidiaries</v>
      </c>
      <c r="X899" s="1156" t="str">
        <f>VLOOKUP(IFERROR(MID($Y899,1,FIND("-",$Y899)-2),$Y899),Table3[#All],2,0)</f>
        <v>VCB</v>
      </c>
      <c r="Y899" s="1156" t="str">
        <f>VLOOKUP($B899,Table4[#All],2,0)</f>
        <v>VIETCOMBANK - HCM</v>
      </c>
      <c r="Z899" s="1151"/>
    </row>
    <row r="900" spans="1:26">
      <c r="A900" s="1153" t="str">
        <f>VLOOKUP('Cash Balance'!$C900,Table2[#All],MATCH('Cash Balance'!A$3,Acc_Char!$B$1:$I$1,0),0)</f>
        <v>NSHL LLC</v>
      </c>
      <c r="B900" s="1154" t="str">
        <f>VLOOKUP('Cash Balance'!$C900,Table2[#All],MATCH('Cash Balance'!B$3,Acc_Char!$B$1:$I$1,0),0)</f>
        <v>BIDV - THANH XUAN</v>
      </c>
      <c r="C900" s="1203" t="s">
        <v>1505</v>
      </c>
      <c r="D900" s="1156" t="str">
        <f>VLOOKUP('Cash Balance'!$C900,Table2[#All],MATCH('Cash Balance'!D$3,Acc_Char!$B$1:$I$1,0),0)</f>
        <v>Saving Account</v>
      </c>
      <c r="E900" s="1201" t="str">
        <f>VLOOKUP('Cash Balance'!$C900,Table2[#All],MATCH('Cash Balance'!E$3,Acc_Char!$B$1:$I$1,0),0)</f>
        <v>VND</v>
      </c>
      <c r="F900" s="1084" t="e">
        <f>VLOOKUP(C900,'Cash balance (BS)'!A:C,3,)</f>
        <v>#N/A</v>
      </c>
      <c r="G900" s="1191" t="e">
        <f t="shared" si="154"/>
        <v>#N/A</v>
      </c>
      <c r="H900" s="1321">
        <f>SUMIFS('Cash balance (Prior period)'!F:F,'Cash balance (Prior period)'!C:C,Table11[[#This Row],[ACCOUNT NUMBER]],'Cash balance (Prior period)'!E:E,Table11[[#This Row],[CURRENCY]])</f>
        <v>2500000000</v>
      </c>
      <c r="I900" s="1322">
        <f>SUMIFS(Movement!$F$4:$F$2136,Movement!$M$4:$M$2136,"VND",Movement!$C$4:$C$2136,Table11[[#This Row],[ACCOUNT NUMBER]],Movement!$J$4:$J$2136,Table11[[#This Row],[ENTITY]],Movement!$O$4:$O$2136,'Cash Balance'!$A$2)</f>
        <v>0</v>
      </c>
      <c r="J900" s="1323">
        <f>SUMIFS(Movement!$G$4:$G$2136,Movement!$M$4:$M$2136,"VND",Movement!$C$4:$C$2136,Table11[[#This Row],[ACCOUNT NUMBER]],Movement!$J$4:$J$2136,Table11[[#This Row],[ENTITY]],Movement!$O$4:$O$2136,'Cash Balance'!$A$2)</f>
        <v>0</v>
      </c>
      <c r="K900" s="1258">
        <f>Table11[[#This Row],[CASH IN - CREDIT (VND)]]-Table11[[#This Row],[CASH OUT - DEBIT (VND)]]</f>
        <v>0</v>
      </c>
      <c r="L900" s="1134">
        <f t="shared" si="153"/>
        <v>2500000000</v>
      </c>
      <c r="M900" s="1135" t="e">
        <f>VLOOKUP(C900,'Cash balance (BS)'!A:D,4,)</f>
        <v>#N/A</v>
      </c>
      <c r="N900" s="1136" t="e">
        <f>Table11[[#This Row],[CLOSING BALANCE (VND)2]]-Table11[[#This Row],[CB_BS (VND)]]</f>
        <v>#N/A</v>
      </c>
      <c r="O900" s="1094"/>
      <c r="P900" s="1135">
        <f t="shared" si="155"/>
        <v>0</v>
      </c>
      <c r="Q900" s="1137">
        <f>SUMIFS('Cash balance (Prior period)'!G:G,'Cash balance (Prior period)'!C:C,Table11[[#This Row],[ACCOUNT NUMBER]],'Cash balance (Prior period)'!E:E,Table11[[#This Row],[CURRENCY]])</f>
        <v>0</v>
      </c>
      <c r="R900" s="1138">
        <f>SUMIFS(Movement!$F$4:$F$2136,Movement!$M$4:$M$2136,"USD",Movement!$C$4:$C$2136,Table11[[#This Row],[ACCOUNT NUMBER]],Movement!$J$4:$J$2136,Table11[[#This Row],[ENTITY]],Movement!$O$4:$O$2136,'Cash Balance'!$A$2)</f>
        <v>0</v>
      </c>
      <c r="S900" s="1137">
        <f>SUMIFS(Movement!$G$4:$G$2136,Movement!$M$4:$M$2136,"USD",Movement!$C$4:$C$2136,Table11[[#This Row],[ACCOUNT NUMBER]],Movement!$J$4:$J$2136,Table11[[#This Row],[ENTITY]],Movement!$O$4:$O$2136,'Cash Balance'!$A$2)</f>
        <v>0</v>
      </c>
      <c r="T900" s="1139">
        <f t="shared" si="156"/>
        <v>0</v>
      </c>
      <c r="U900" s="1090"/>
      <c r="V900" s="1091">
        <f>Table11[[#This Row],[CLOSING BALANCE (USD)]]-Table11[[#This Row],[CB_BS (USD)]]</f>
        <v>0</v>
      </c>
      <c r="W900" s="1186" t="str">
        <f>VLOOKUP('Cash Balance'!$C900,Table2[#All],MATCH('Cash Balance'!W$3,Acc_Char!$B$1:$I$1,0),0)</f>
        <v>Subsidiaries</v>
      </c>
      <c r="X900" s="1156" t="str">
        <f>VLOOKUP(IFERROR(MID($Y900,1,FIND("-",$Y900)-2),$Y900),Table3[#All],2,0)</f>
        <v>BIDV</v>
      </c>
      <c r="Y900" s="1156" t="str">
        <f>VLOOKUP($B900,Table4[#All],2,0)</f>
        <v>BIDV - THANH XUAN</v>
      </c>
      <c r="Z900" s="1151"/>
    </row>
    <row r="901" spans="1:26">
      <c r="A901" s="1153" t="str">
        <f>VLOOKUP('Cash Balance'!$C901,Table2[#All],MATCH('Cash Balance'!A$3,Acc_Char!$B$1:$I$1,0),0)</f>
        <v>LONG BINH</v>
      </c>
      <c r="B901" s="1154" t="str">
        <f>VLOOKUP('Cash Balance'!$C901,Table2[#All],MATCH('Cash Balance'!B$3,Acc_Char!$B$1:$I$1,0),0)</f>
        <v>VIETCOMBANK - HCM</v>
      </c>
      <c r="C901" s="1203" t="s">
        <v>5400</v>
      </c>
      <c r="D901" s="1156" t="str">
        <f>VLOOKUP('Cash Balance'!$C901,Table2[#All],MATCH('Cash Balance'!D$3,Acc_Char!$B$1:$I$1,0),0)</f>
        <v>Saving Account</v>
      </c>
      <c r="E901" s="1201" t="str">
        <f>VLOOKUP('Cash Balance'!$C901,Table2[#All],MATCH('Cash Balance'!E$3,Acc_Char!$B$1:$I$1,0),0)</f>
        <v>VND</v>
      </c>
      <c r="F901" s="1084" t="e">
        <f>VLOOKUP(C901,'Cash balance (BS)'!A:C,3,)</f>
        <v>#N/A</v>
      </c>
      <c r="G901" s="1191" t="e">
        <f t="shared" si="154"/>
        <v>#N/A</v>
      </c>
      <c r="H901" s="1321">
        <f>SUMIFS('Cash balance (Prior period)'!F:F,'Cash balance (Prior period)'!C:C,Table11[[#This Row],[ACCOUNT NUMBER]],'Cash balance (Prior period)'!E:E,Table11[[#This Row],[CURRENCY]])</f>
        <v>8000000000</v>
      </c>
      <c r="I901" s="1322">
        <f>SUMIFS(Movement!$F$4:$F$2136,Movement!$M$4:$M$2136,"VND",Movement!$C$4:$C$2136,Table11[[#This Row],[ACCOUNT NUMBER]],Movement!$J$4:$J$2136,Table11[[#This Row],[ENTITY]],Movement!$O$4:$O$2136,'Cash Balance'!$A$2)</f>
        <v>0</v>
      </c>
      <c r="J901" s="1323">
        <f>SUMIFS(Movement!$G$4:$G$2136,Movement!$M$4:$M$2136,"VND",Movement!$C$4:$C$2136,Table11[[#This Row],[ACCOUNT NUMBER]],Movement!$J$4:$J$2136,Table11[[#This Row],[ENTITY]],Movement!$O$4:$O$2136,'Cash Balance'!$A$2)</f>
        <v>0</v>
      </c>
      <c r="K901" s="1258">
        <f>Table11[[#This Row],[CASH IN - CREDIT (VND)]]-Table11[[#This Row],[CASH OUT - DEBIT (VND)]]</f>
        <v>0</v>
      </c>
      <c r="L901" s="1134">
        <f t="shared" si="153"/>
        <v>8000000000</v>
      </c>
      <c r="M901" s="1135" t="e">
        <f>VLOOKUP(C901,'Cash balance (BS)'!A:D,4,)</f>
        <v>#N/A</v>
      </c>
      <c r="N901" s="1136" t="e">
        <f>Table11[[#This Row],[CLOSING BALANCE (VND)2]]-Table11[[#This Row],[CB_BS (VND)]]</f>
        <v>#N/A</v>
      </c>
      <c r="O901" s="1094"/>
      <c r="P901" s="1135">
        <f t="shared" si="155"/>
        <v>0</v>
      </c>
      <c r="Q901" s="1137">
        <f>SUMIFS('Cash balance (Prior period)'!G:G,'Cash balance (Prior period)'!C:C,Table11[[#This Row],[ACCOUNT NUMBER]],'Cash balance (Prior period)'!E:E,Table11[[#This Row],[CURRENCY]])</f>
        <v>0</v>
      </c>
      <c r="R901" s="1138">
        <f>SUMIFS(Movement!$F$4:$F$2136,Movement!$M$4:$M$2136,"USD",Movement!$C$4:$C$2136,Table11[[#This Row],[ACCOUNT NUMBER]],Movement!$J$4:$J$2136,Table11[[#This Row],[ENTITY]],Movement!$O$4:$O$2136,'Cash Balance'!$A$2)</f>
        <v>0</v>
      </c>
      <c r="S901" s="1137">
        <f>SUMIFS(Movement!$G$4:$G$2136,Movement!$M$4:$M$2136,"USD",Movement!$C$4:$C$2136,Table11[[#This Row],[ACCOUNT NUMBER]],Movement!$J$4:$J$2136,Table11[[#This Row],[ENTITY]],Movement!$O$4:$O$2136,'Cash Balance'!$A$2)</f>
        <v>0</v>
      </c>
      <c r="T901" s="1139">
        <f t="shared" si="156"/>
        <v>0</v>
      </c>
      <c r="U901" s="1090"/>
      <c r="V901" s="1091">
        <f>Table11[[#This Row],[CLOSING BALANCE (USD)]]-Table11[[#This Row],[CB_BS (USD)]]</f>
        <v>0</v>
      </c>
      <c r="W901" s="1186" t="str">
        <f>VLOOKUP('Cash Balance'!$C901,Table2[#All],MATCH('Cash Balance'!W$3,Acc_Char!$B$1:$I$1,0),0)</f>
        <v>Subsidiaries</v>
      </c>
      <c r="X901" s="1156" t="str">
        <f>VLOOKUP(IFERROR(MID($Y901,1,FIND("-",$Y901)-2),$Y901),Table3[#All],2,0)</f>
        <v>VCB</v>
      </c>
      <c r="Y901" s="1156" t="str">
        <f>VLOOKUP($B901,Table4[#All],2,0)</f>
        <v>VIETCOMBANK - HCM</v>
      </c>
      <c r="Z901" s="1151"/>
    </row>
    <row r="902" spans="1:26">
      <c r="A902" s="1153" t="str">
        <f>VLOOKUP('Cash Balance'!$C902,Table2[#All],MATCH('Cash Balance'!A$3,Acc_Char!$B$1:$I$1,0),0)</f>
        <v>YEN PHONG PROJECT CO</v>
      </c>
      <c r="B902" s="1154" t="str">
        <f>VLOOKUP('Cash Balance'!$C902,Table2[#All],MATCH('Cash Balance'!B$3,Acc_Char!$B$1:$I$1,0),0)</f>
        <v>BIDV - THANH XUAN</v>
      </c>
      <c r="C902" s="1203" t="s">
        <v>1506</v>
      </c>
      <c r="D902" s="1156" t="str">
        <f>VLOOKUP('Cash Balance'!$C902,Table2[#All],MATCH('Cash Balance'!D$3,Acc_Char!$B$1:$I$1,0),0)</f>
        <v>Saving Account</v>
      </c>
      <c r="E902" s="1201" t="str">
        <f>VLOOKUP('Cash Balance'!$C902,Table2[#All],MATCH('Cash Balance'!E$3,Acc_Char!$B$1:$I$1,0),0)</f>
        <v>VND</v>
      </c>
      <c r="F902" s="1084" t="e">
        <f>VLOOKUP(C902,'Cash balance (BS)'!A:C,3,)</f>
        <v>#N/A</v>
      </c>
      <c r="G902" s="1191" t="e">
        <f t="shared" si="154"/>
        <v>#N/A</v>
      </c>
      <c r="H902" s="1321">
        <f>SUMIFS('Cash balance (Prior period)'!F:F,'Cash balance (Prior period)'!C:C,Table11[[#This Row],[ACCOUNT NUMBER]],'Cash balance (Prior period)'!E:E,Table11[[#This Row],[CURRENCY]])</f>
        <v>7000000000</v>
      </c>
      <c r="I902" s="1322">
        <f>SUMIFS(Movement!$F$4:$F$2136,Movement!$M$4:$M$2136,"VND",Movement!$C$4:$C$2136,Table11[[#This Row],[ACCOUNT NUMBER]],Movement!$J$4:$J$2136,Table11[[#This Row],[ENTITY]],Movement!$O$4:$O$2136,'Cash Balance'!$A$2)</f>
        <v>0</v>
      </c>
      <c r="J902" s="1323">
        <f>SUMIFS(Movement!$G$4:$G$2136,Movement!$M$4:$M$2136,"VND",Movement!$C$4:$C$2136,Table11[[#This Row],[ACCOUNT NUMBER]],Movement!$J$4:$J$2136,Table11[[#This Row],[ENTITY]],Movement!$O$4:$O$2136,'Cash Balance'!$A$2)</f>
        <v>0</v>
      </c>
      <c r="K902" s="1258">
        <f>Table11[[#This Row],[CASH IN - CREDIT (VND)]]-Table11[[#This Row],[CASH OUT - DEBIT (VND)]]</f>
        <v>0</v>
      </c>
      <c r="L902" s="1134">
        <f t="shared" si="153"/>
        <v>7000000000</v>
      </c>
      <c r="M902" s="1135" t="e">
        <f>VLOOKUP(C902,'Cash balance (BS)'!A:D,4,)</f>
        <v>#N/A</v>
      </c>
      <c r="N902" s="1136" t="e">
        <f>Table11[[#This Row],[CLOSING BALANCE (VND)2]]-Table11[[#This Row],[CB_BS (VND)]]</f>
        <v>#N/A</v>
      </c>
      <c r="O902" s="1094"/>
      <c r="P902" s="1135">
        <f t="shared" si="155"/>
        <v>0</v>
      </c>
      <c r="Q902" s="1137">
        <f>SUMIFS('Cash balance (Prior period)'!G:G,'Cash balance (Prior period)'!C:C,Table11[[#This Row],[ACCOUNT NUMBER]],'Cash balance (Prior period)'!E:E,Table11[[#This Row],[CURRENCY]])</f>
        <v>0</v>
      </c>
      <c r="R902" s="1138">
        <f>SUMIFS(Movement!$F$4:$F$2136,Movement!$M$4:$M$2136,"USD",Movement!$C$4:$C$2136,Table11[[#This Row],[ACCOUNT NUMBER]],Movement!$J$4:$J$2136,Table11[[#This Row],[ENTITY]],Movement!$O$4:$O$2136,'Cash Balance'!$A$2)</f>
        <v>0</v>
      </c>
      <c r="S902" s="1137">
        <f>SUMIFS(Movement!$G$4:$G$2136,Movement!$M$4:$M$2136,"USD",Movement!$C$4:$C$2136,Table11[[#This Row],[ACCOUNT NUMBER]],Movement!$J$4:$J$2136,Table11[[#This Row],[ENTITY]],Movement!$O$4:$O$2136,'Cash Balance'!$A$2)</f>
        <v>0</v>
      </c>
      <c r="T902" s="1139">
        <f t="shared" si="156"/>
        <v>0</v>
      </c>
      <c r="U902" s="1090"/>
      <c r="V902" s="1091">
        <f>Table11[[#This Row],[CLOSING BALANCE (USD)]]-Table11[[#This Row],[CB_BS (USD)]]</f>
        <v>0</v>
      </c>
      <c r="W902" s="1186" t="str">
        <f>VLOOKUP('Cash Balance'!$C902,Table2[#All],MATCH('Cash Balance'!W$3,Acc_Char!$B$1:$I$1,0),0)</f>
        <v>Subsidiaries</v>
      </c>
      <c r="X902" s="1156" t="str">
        <f>VLOOKUP(IFERROR(MID($Y902,1,FIND("-",$Y902)-2),$Y902),Table3[#All],2,0)</f>
        <v>BIDV</v>
      </c>
      <c r="Y902" s="1156" t="str">
        <f>VLOOKUP($B902,Table4[#All],2,0)</f>
        <v>BIDV - THANH XUAN</v>
      </c>
      <c r="Z902" s="1151"/>
    </row>
    <row r="903" spans="1:26">
      <c r="A903" s="1153" t="str">
        <f>VLOOKUP('Cash Balance'!$C903,Table2[#All],MATCH('Cash Balance'!A$3,Acc_Char!$B$1:$I$1,0),0)</f>
        <v>BW SAI GON</v>
      </c>
      <c r="B903" s="1154" t="str">
        <f>VLOOKUP('Cash Balance'!$C903,Table2[#All],MATCH('Cash Balance'!B$3,Acc_Char!$B$1:$I$1,0),0)</f>
        <v>SINOPAC</v>
      </c>
      <c r="C903" s="1205" t="s">
        <v>1507</v>
      </c>
      <c r="D903" s="1156" t="str">
        <f>VLOOKUP('Cash Balance'!$C903,Table2[#All],MATCH('Cash Balance'!D$3,Acc_Char!$B$1:$I$1,0),0)</f>
        <v>Saving Account</v>
      </c>
      <c r="E903" s="1201" t="str">
        <f>VLOOKUP('Cash Balance'!$C903,Table2[#All],MATCH('Cash Balance'!E$3,Acc_Char!$B$1:$I$1,0),0)</f>
        <v>VND</v>
      </c>
      <c r="F903" s="1084" t="e">
        <f>VLOOKUP(C903,'Cash balance (BS)'!A:C,3,)</f>
        <v>#N/A</v>
      </c>
      <c r="G903" s="1191" t="e">
        <f t="shared" si="154"/>
        <v>#N/A</v>
      </c>
      <c r="H903" s="1321">
        <f>SUMIFS('Cash balance (Prior period)'!F:F,'Cash balance (Prior period)'!C:C,Table11[[#This Row],[ACCOUNT NUMBER]],'Cash balance (Prior period)'!E:E,Table11[[#This Row],[CURRENCY]])</f>
        <v>4000000000</v>
      </c>
      <c r="I903" s="1322">
        <f>SUMIFS(Movement!$F$4:$F$2136,Movement!$M$4:$M$2136,"VND",Movement!$C$4:$C$2136,Table11[[#This Row],[ACCOUNT NUMBER]],Movement!$J$4:$J$2136,Table11[[#This Row],[ENTITY]],Movement!$O$4:$O$2136,'Cash Balance'!$A$2)</f>
        <v>0</v>
      </c>
      <c r="J903" s="1323">
        <f>SUMIFS(Movement!$G$4:$G$2136,Movement!$M$4:$M$2136,"VND",Movement!$C$4:$C$2136,Table11[[#This Row],[ACCOUNT NUMBER]],Movement!$J$4:$J$2136,Table11[[#This Row],[ENTITY]],Movement!$O$4:$O$2136,'Cash Balance'!$A$2)</f>
        <v>0</v>
      </c>
      <c r="K903" s="1258">
        <f>Table11[[#This Row],[CASH IN - CREDIT (VND)]]-Table11[[#This Row],[CASH OUT - DEBIT (VND)]]</f>
        <v>0</v>
      </c>
      <c r="L903" s="1134">
        <f t="shared" si="153"/>
        <v>4000000000</v>
      </c>
      <c r="M903" s="1135" t="e">
        <f>VLOOKUP(C903,'Cash balance (BS)'!A:D,4,)</f>
        <v>#N/A</v>
      </c>
      <c r="N903" s="1136" t="e">
        <f>Table11[[#This Row],[CLOSING BALANCE (VND)2]]-Table11[[#This Row],[CB_BS (VND)]]</f>
        <v>#N/A</v>
      </c>
      <c r="O903" s="1094"/>
      <c r="P903" s="1135">
        <f t="shared" si="155"/>
        <v>0</v>
      </c>
      <c r="Q903" s="1137">
        <f>SUMIFS('Cash balance (Prior period)'!G:G,'Cash balance (Prior period)'!C:C,Table11[[#This Row],[ACCOUNT NUMBER]],'Cash balance (Prior period)'!E:E,Table11[[#This Row],[CURRENCY]])</f>
        <v>0</v>
      </c>
      <c r="R903" s="1138">
        <f>SUMIFS(Movement!$F$4:$F$2136,Movement!$M$4:$M$2136,"USD",Movement!$C$4:$C$2136,Table11[[#This Row],[ACCOUNT NUMBER]],Movement!$J$4:$J$2136,Table11[[#This Row],[ENTITY]],Movement!$O$4:$O$2136,'Cash Balance'!$A$2)</f>
        <v>0</v>
      </c>
      <c r="S903" s="1137">
        <f>SUMIFS(Movement!$G$4:$G$2136,Movement!$M$4:$M$2136,"USD",Movement!$C$4:$C$2136,Table11[[#This Row],[ACCOUNT NUMBER]],Movement!$J$4:$J$2136,Table11[[#This Row],[ENTITY]],Movement!$O$4:$O$2136,'Cash Balance'!$A$2)</f>
        <v>0</v>
      </c>
      <c r="T903" s="1139">
        <f t="shared" si="156"/>
        <v>0</v>
      </c>
      <c r="U903" s="1090"/>
      <c r="V903" s="1091">
        <f>Table11[[#This Row],[CLOSING BALANCE (USD)]]-Table11[[#This Row],[CB_BS (USD)]]</f>
        <v>0</v>
      </c>
      <c r="W903" s="1186" t="str">
        <f>VLOOKUP('Cash Balance'!$C903,Table2[#All],MATCH('Cash Balance'!W$3,Acc_Char!$B$1:$I$1,0),0)</f>
        <v>Subsidiaries</v>
      </c>
      <c r="X903" s="1156" t="str">
        <f>VLOOKUP(IFERROR(MID($Y903,1,FIND("-",$Y903)-2),$Y903),Table3[#All],2,0)</f>
        <v>SNP</v>
      </c>
      <c r="Y903" s="1156" t="str">
        <f>VLOOKUP($B903,Table4[#All],2,0)</f>
        <v>SINOPAC</v>
      </c>
      <c r="Z903" s="1151"/>
    </row>
    <row r="904" spans="1:26">
      <c r="A904" s="1153" t="str">
        <f>VLOOKUP('Cash Balance'!$C904,Table2[#All],MATCH('Cash Balance'!A$3,Acc_Char!$B$1:$I$1,0),0)</f>
        <v>SAO HOA</v>
      </c>
      <c r="B904" s="1154" t="str">
        <f>VLOOKUP('Cash Balance'!$C904,Table2[#All],MATCH('Cash Balance'!B$3,Acc_Char!$B$1:$I$1,0),0)</f>
        <v>SINOPAC</v>
      </c>
      <c r="C904" s="1205" t="s">
        <v>1508</v>
      </c>
      <c r="D904" s="1156" t="str">
        <f>VLOOKUP('Cash Balance'!$C904,Table2[#All],MATCH('Cash Balance'!D$3,Acc_Char!$B$1:$I$1,0),0)</f>
        <v>Saving Account</v>
      </c>
      <c r="E904" s="1201" t="str">
        <f>VLOOKUP('Cash Balance'!$C904,Table2[#All],MATCH('Cash Balance'!E$3,Acc_Char!$B$1:$I$1,0),0)</f>
        <v>VND</v>
      </c>
      <c r="F904" s="1084" t="e">
        <f>VLOOKUP(C904,'Cash balance (BS)'!A:C,3,)</f>
        <v>#N/A</v>
      </c>
      <c r="G904" s="1191" t="e">
        <f>F904-H904</f>
        <v>#N/A</v>
      </c>
      <c r="H904" s="1321">
        <f>SUMIFS('Cash balance (Prior period)'!F:F,'Cash balance (Prior period)'!C:C,Table11[[#This Row],[ACCOUNT NUMBER]],'Cash balance (Prior period)'!E:E,Table11[[#This Row],[CURRENCY]])</f>
        <v>40000000000</v>
      </c>
      <c r="I904" s="1322">
        <f>SUMIFS(Movement!$F$4:$F$2136,Movement!$M$4:$M$2136,"VND",Movement!$C$4:$C$2136,Table11[[#This Row],[ACCOUNT NUMBER]],Movement!$J$4:$J$2136,Table11[[#This Row],[ENTITY]],Movement!$O$4:$O$2136,'Cash Balance'!$A$2)</f>
        <v>0</v>
      </c>
      <c r="J904" s="1323">
        <f>SUMIFS(Movement!$G$4:$G$2136,Movement!$M$4:$M$2136,"VND",Movement!$C$4:$C$2136,Table11[[#This Row],[ACCOUNT NUMBER]],Movement!$J$4:$J$2136,Table11[[#This Row],[ENTITY]],Movement!$O$4:$O$2136,'Cash Balance'!$A$2)</f>
        <v>0</v>
      </c>
      <c r="K904" s="1258">
        <f>Table11[[#This Row],[CASH IN - CREDIT (VND)]]-Table11[[#This Row],[CASH OUT - DEBIT (VND)]]</f>
        <v>0</v>
      </c>
      <c r="L904" s="1134">
        <f>H904+I904-J904</f>
        <v>40000000000</v>
      </c>
      <c r="M904" s="1135" t="e">
        <f>VLOOKUP(C904,'Cash balance (BS)'!A:D,4,)</f>
        <v>#N/A</v>
      </c>
      <c r="N904" s="1136" t="e">
        <f>Table11[[#This Row],[CLOSING BALANCE (VND)2]]-Table11[[#This Row],[CB_BS (VND)]]</f>
        <v>#N/A</v>
      </c>
      <c r="O904" s="1094"/>
      <c r="P904" s="1135">
        <f>O904-Q904</f>
        <v>0</v>
      </c>
      <c r="Q904" s="1137">
        <f>SUMIFS('Cash balance (Prior period)'!G:G,'Cash balance (Prior period)'!C:C,Table11[[#This Row],[ACCOUNT NUMBER]],'Cash balance (Prior period)'!E:E,Table11[[#This Row],[CURRENCY]])</f>
        <v>0</v>
      </c>
      <c r="R904" s="1138">
        <f>SUMIFS(Movement!$F$4:$F$2136,Movement!$M$4:$M$2136,"USD",Movement!$C$4:$C$2136,Table11[[#This Row],[ACCOUNT NUMBER]],Movement!$J$4:$J$2136,Table11[[#This Row],[ENTITY]],Movement!$O$4:$O$2136,'Cash Balance'!$A$2)</f>
        <v>0</v>
      </c>
      <c r="S904" s="1137">
        <f>SUMIFS(Movement!$G$4:$G$2136,Movement!$M$4:$M$2136,"USD",Movement!$C$4:$C$2136,Table11[[#This Row],[ACCOUNT NUMBER]],Movement!$J$4:$J$2136,Table11[[#This Row],[ENTITY]],Movement!$O$4:$O$2136,'Cash Balance'!$A$2)</f>
        <v>0</v>
      </c>
      <c r="T904" s="1139">
        <f>Q904+R904-S904</f>
        <v>0</v>
      </c>
      <c r="U904" s="1090"/>
      <c r="V904" s="1091">
        <f>Table11[[#This Row],[CLOSING BALANCE (USD)]]-Table11[[#This Row],[CB_BS (USD)]]</f>
        <v>0</v>
      </c>
      <c r="W904" s="1186" t="str">
        <f>VLOOKUP('Cash Balance'!$C904,Table2[#All],MATCH('Cash Balance'!W$3,Acc_Char!$B$1:$I$1,0),0)</f>
        <v>VC3</v>
      </c>
      <c r="X904" s="1156" t="str">
        <f>VLOOKUP(IFERROR(MID($Y904,1,FIND("-",$Y904)-2),$Y904),Table3[#All],2,0)</f>
        <v>SNP</v>
      </c>
      <c r="Y904" s="1156" t="str">
        <f>VLOOKUP($B904,Table4[#All],2,0)</f>
        <v>SINOPAC</v>
      </c>
      <c r="Z904" s="1151"/>
    </row>
    <row r="905" spans="1:26">
      <c r="A905" s="1153" t="str">
        <f>VLOOKUP('Cash Balance'!$C905,Table2[#All],MATCH('Cash Balance'!A$3,Acc_Char!$B$1:$I$1,0),0)</f>
        <v>KIM TRUC DN</v>
      </c>
      <c r="B905" s="1154" t="str">
        <f>VLOOKUP('Cash Balance'!$C905,Table2[#All],MATCH('Cash Balance'!B$3,Acc_Char!$B$1:$I$1,0),0)</f>
        <v>BIDV - NAM SAI GON</v>
      </c>
      <c r="C905" s="1205" t="s">
        <v>1509</v>
      </c>
      <c r="D905" s="1156" t="str">
        <f>VLOOKUP('Cash Balance'!$C905,Table2[#All],MATCH('Cash Balance'!D$3,Acc_Char!$B$1:$I$1,0),0)</f>
        <v>Saving Account</v>
      </c>
      <c r="E905" s="1201" t="str">
        <f>VLOOKUP('Cash Balance'!$C905,Table2[#All],MATCH('Cash Balance'!E$3,Acc_Char!$B$1:$I$1,0),0)</f>
        <v>VND</v>
      </c>
      <c r="F905" s="1084" t="e">
        <f>VLOOKUP(C905,'Cash balance (BS)'!A:C,3,)</f>
        <v>#N/A</v>
      </c>
      <c r="G905" s="1191" t="e">
        <f>F905-H905</f>
        <v>#N/A</v>
      </c>
      <c r="H905" s="1321">
        <f>SUMIFS('Cash balance (Prior period)'!F:F,'Cash balance (Prior period)'!C:C,Table11[[#This Row],[ACCOUNT NUMBER]],'Cash balance (Prior period)'!E:E,Table11[[#This Row],[CURRENCY]])</f>
        <v>10000000000</v>
      </c>
      <c r="I905" s="1322">
        <f>SUMIFS(Movement!$F$4:$F$2136,Movement!$M$4:$M$2136,"VND",Movement!$C$4:$C$2136,Table11[[#This Row],[ACCOUNT NUMBER]],Movement!$J$4:$J$2136,Table11[[#This Row],[ENTITY]],Movement!$O$4:$O$2136,'Cash Balance'!$A$2)</f>
        <v>0</v>
      </c>
      <c r="J905" s="1323">
        <f>SUMIFS(Movement!$G$4:$G$2136,Movement!$M$4:$M$2136,"VND",Movement!$C$4:$C$2136,Table11[[#This Row],[ACCOUNT NUMBER]],Movement!$J$4:$J$2136,Table11[[#This Row],[ENTITY]],Movement!$O$4:$O$2136,'Cash Balance'!$A$2)</f>
        <v>0</v>
      </c>
      <c r="K905" s="1258">
        <f>Table11[[#This Row],[CASH IN - CREDIT (VND)]]-Table11[[#This Row],[CASH OUT - DEBIT (VND)]]</f>
        <v>0</v>
      </c>
      <c r="L905" s="1134">
        <f>H905+I905-J905</f>
        <v>10000000000</v>
      </c>
      <c r="M905" s="1135" t="e">
        <f>VLOOKUP(C905,'Cash balance (BS)'!A:D,4,)</f>
        <v>#N/A</v>
      </c>
      <c r="N905" s="1136" t="e">
        <f>Table11[[#This Row],[CLOSING BALANCE (VND)2]]-Table11[[#This Row],[CB_BS (VND)]]</f>
        <v>#N/A</v>
      </c>
      <c r="O905" s="1094"/>
      <c r="P905" s="1135">
        <f>O905-Q905</f>
        <v>0</v>
      </c>
      <c r="Q905" s="1137">
        <f>SUMIFS('Cash balance (Prior period)'!G:G,'Cash balance (Prior period)'!C:C,Table11[[#This Row],[ACCOUNT NUMBER]],'Cash balance (Prior period)'!E:E,Table11[[#This Row],[CURRENCY]])</f>
        <v>0</v>
      </c>
      <c r="R905" s="1138">
        <f>SUMIFS(Movement!$F$4:$F$2136,Movement!$M$4:$M$2136,"USD",Movement!$C$4:$C$2136,Table11[[#This Row],[ACCOUNT NUMBER]],Movement!$J$4:$J$2136,Table11[[#This Row],[ENTITY]],Movement!$O$4:$O$2136,'Cash Balance'!$A$2)</f>
        <v>0</v>
      </c>
      <c r="S905" s="1137">
        <f>SUMIFS(Movement!$G$4:$G$2136,Movement!$M$4:$M$2136,"USD",Movement!$C$4:$C$2136,Table11[[#This Row],[ACCOUNT NUMBER]],Movement!$J$4:$J$2136,Table11[[#This Row],[ENTITY]],Movement!$O$4:$O$2136,'Cash Balance'!$A$2)</f>
        <v>0</v>
      </c>
      <c r="T905" s="1139">
        <f>Q905+R905-S905</f>
        <v>0</v>
      </c>
      <c r="U905" s="1090"/>
      <c r="V905" s="1091">
        <f>Table11[[#This Row],[CLOSING BALANCE (USD)]]-Table11[[#This Row],[CB_BS (USD)]]</f>
        <v>0</v>
      </c>
      <c r="W905" s="1186" t="str">
        <f>VLOOKUP('Cash Balance'!$C905,Table2[#All],MATCH('Cash Balance'!W$3,Acc_Char!$B$1:$I$1,0),0)</f>
        <v>Subsidiaries</v>
      </c>
      <c r="X905" s="1156" t="str">
        <f>VLOOKUP(IFERROR(MID($Y905,1,FIND("-",$Y905)-2),$Y905),Table3[#All],2,0)</f>
        <v>BIDV</v>
      </c>
      <c r="Y905" s="1156" t="str">
        <f>VLOOKUP($B905,Table4[#All],2,0)</f>
        <v>BIDV - NAM SAI GON</v>
      </c>
      <c r="Z905" s="1151"/>
    </row>
    <row r="906" spans="1:26">
      <c r="A906" s="1153" t="str">
        <f>VLOOKUP('Cash Balance'!$C906,Table2[#All],MATCH('Cash Balance'!A$3,Acc_Char!$B$1:$I$1,0),0)</f>
        <v>BW MY PHUOC 3</v>
      </c>
      <c r="B906" s="1154" t="str">
        <f>VLOOKUP('Cash Balance'!$C906,Table2[#All],MATCH('Cash Balance'!B$3,Acc_Char!$B$1:$I$1,0),0)</f>
        <v>Woori Bank</v>
      </c>
      <c r="C906" s="1205" t="s">
        <v>1510</v>
      </c>
      <c r="D906" s="1156" t="str">
        <f>VLOOKUP('Cash Balance'!$C906,Table2[#All],MATCH('Cash Balance'!D$3,Acc_Char!$B$1:$I$1,0),0)</f>
        <v>Saving Account</v>
      </c>
      <c r="E906" s="1201" t="str">
        <f>VLOOKUP('Cash Balance'!$C906,Table2[#All],MATCH('Cash Balance'!E$3,Acc_Char!$B$1:$I$1,0),0)</f>
        <v>VND</v>
      </c>
      <c r="F906" s="1084" t="e">
        <f>VLOOKUP(C906,'Cash balance (BS)'!A:C,3,)</f>
        <v>#N/A</v>
      </c>
      <c r="G906" s="1191" t="e">
        <f>F906-H906</f>
        <v>#N/A</v>
      </c>
      <c r="H906" s="1321">
        <f>SUMIFS('Cash balance (Prior period)'!F:F,'Cash balance (Prior period)'!C:C,Table11[[#This Row],[ACCOUNT NUMBER]],'Cash balance (Prior period)'!E:E,Table11[[#This Row],[CURRENCY]])</f>
        <v>45000000000</v>
      </c>
      <c r="I906" s="1322">
        <f>SUMIFS(Movement!$F$4:$F$2136,Movement!$M$4:$M$2136,"VND",Movement!$C$4:$C$2136,Table11[[#This Row],[ACCOUNT NUMBER]],Movement!$J$4:$J$2136,Table11[[#This Row],[ENTITY]],Movement!$O$4:$O$2136,'Cash Balance'!$A$2)</f>
        <v>0</v>
      </c>
      <c r="J906" s="1323">
        <f>SUMIFS(Movement!$G$4:$G$2136,Movement!$M$4:$M$2136,"VND",Movement!$C$4:$C$2136,Table11[[#This Row],[ACCOUNT NUMBER]],Movement!$J$4:$J$2136,Table11[[#This Row],[ENTITY]],Movement!$O$4:$O$2136,'Cash Balance'!$A$2)</f>
        <v>0</v>
      </c>
      <c r="K906" s="1258">
        <f>Table11[[#This Row],[CASH IN - CREDIT (VND)]]-Table11[[#This Row],[CASH OUT - DEBIT (VND)]]</f>
        <v>0</v>
      </c>
      <c r="L906" s="1134">
        <f>H906+I906-J906</f>
        <v>45000000000</v>
      </c>
      <c r="M906" s="1135" t="e">
        <f>VLOOKUP(C906,'Cash balance (BS)'!A:D,4,)</f>
        <v>#N/A</v>
      </c>
      <c r="N906" s="1136" t="e">
        <f>Table11[[#This Row],[CLOSING BALANCE (VND)2]]-Table11[[#This Row],[CB_BS (VND)]]</f>
        <v>#N/A</v>
      </c>
      <c r="O906" s="1094"/>
      <c r="P906" s="1135">
        <f>O906-Q906</f>
        <v>0</v>
      </c>
      <c r="Q906" s="1137">
        <f>SUMIFS('Cash balance (Prior period)'!G:G,'Cash balance (Prior period)'!C:C,Table11[[#This Row],[ACCOUNT NUMBER]],'Cash balance (Prior period)'!E:E,Table11[[#This Row],[CURRENCY]])</f>
        <v>0</v>
      </c>
      <c r="R906" s="1138">
        <f>SUMIFS(Movement!$F$4:$F$2136,Movement!$M$4:$M$2136,"USD",Movement!$C$4:$C$2136,Table11[[#This Row],[ACCOUNT NUMBER]],Movement!$J$4:$J$2136,Table11[[#This Row],[ENTITY]],Movement!$O$4:$O$2136,'Cash Balance'!$A$2)</f>
        <v>0</v>
      </c>
      <c r="S906" s="1137">
        <f>SUMIFS(Movement!$G$4:$G$2136,Movement!$M$4:$M$2136,"USD",Movement!$C$4:$C$2136,Table11[[#This Row],[ACCOUNT NUMBER]],Movement!$J$4:$J$2136,Table11[[#This Row],[ENTITY]],Movement!$O$4:$O$2136,'Cash Balance'!$A$2)</f>
        <v>0</v>
      </c>
      <c r="T906" s="1139">
        <f>Q906+R906-S906</f>
        <v>0</v>
      </c>
      <c r="U906" s="1090"/>
      <c r="V906" s="1091">
        <f>Table11[[#This Row],[CLOSING BALANCE (USD)]]-Table11[[#This Row],[CB_BS (USD)]]</f>
        <v>0</v>
      </c>
      <c r="W906" s="1186" t="str">
        <f>VLOOKUP('Cash Balance'!$C906,Table2[#All],MATCH('Cash Balance'!W$3,Acc_Char!$B$1:$I$1,0),0)</f>
        <v>Subsidiaries</v>
      </c>
      <c r="X906" s="1156" t="str">
        <f>VLOOKUP(IFERROR(MID($Y906,1,FIND("-",$Y906)-2),$Y906),Table3[#All],2,0)</f>
        <v>Others</v>
      </c>
      <c r="Y906" s="1156" t="str">
        <f>VLOOKUP($B906,Table4[#All],2,0)</f>
        <v>OTHERS</v>
      </c>
      <c r="Z906" s="1151"/>
    </row>
    <row r="907" spans="1:26">
      <c r="A907" s="1153" t="str">
        <f>VLOOKUP('Cash Balance'!$C907,Table2[#All],MATCH('Cash Balance'!A$3,Acc_Char!$B$1:$I$1,0),0)</f>
        <v>BW MY PHUOC 3</v>
      </c>
      <c r="B907" s="1154" t="str">
        <f>VLOOKUP('Cash Balance'!$C907,Table2[#All],MATCH('Cash Balance'!B$3,Acc_Char!$B$1:$I$1,0),0)</f>
        <v>Woori Bank</v>
      </c>
      <c r="C907" s="1205" t="s">
        <v>1511</v>
      </c>
      <c r="D907" s="1156" t="str">
        <f>VLOOKUP('Cash Balance'!$C907,Table2[#All],MATCH('Cash Balance'!D$3,Acc_Char!$B$1:$I$1,0),0)</f>
        <v>Saving Account</v>
      </c>
      <c r="E907" s="1201" t="str">
        <f>VLOOKUP('Cash Balance'!$C907,Table2[#All],MATCH('Cash Balance'!E$3,Acc_Char!$B$1:$I$1,0),0)</f>
        <v>VND</v>
      </c>
      <c r="F907" s="1084" t="e">
        <f>VLOOKUP(C907,'Cash balance (BS)'!A:C,3,)</f>
        <v>#N/A</v>
      </c>
      <c r="G907" s="1191" t="e">
        <f>F907-H907</f>
        <v>#N/A</v>
      </c>
      <c r="H907" s="1321">
        <f>SUMIFS('Cash balance (Prior period)'!F:F,'Cash balance (Prior period)'!C:C,Table11[[#This Row],[ACCOUNT NUMBER]],'Cash balance (Prior period)'!E:E,Table11[[#This Row],[CURRENCY]])</f>
        <v>10000000000</v>
      </c>
      <c r="I907" s="1322">
        <f>SUMIFS(Movement!$F$4:$F$2136,Movement!$M$4:$M$2136,"VND",Movement!$C$4:$C$2136,Table11[[#This Row],[ACCOUNT NUMBER]],Movement!$J$4:$J$2136,Table11[[#This Row],[ENTITY]],Movement!$O$4:$O$2136,'Cash Balance'!$A$2)</f>
        <v>0</v>
      </c>
      <c r="J907" s="1323">
        <f>SUMIFS(Movement!$G$4:$G$2136,Movement!$M$4:$M$2136,"VND",Movement!$C$4:$C$2136,Table11[[#This Row],[ACCOUNT NUMBER]],Movement!$J$4:$J$2136,Table11[[#This Row],[ENTITY]],Movement!$O$4:$O$2136,'Cash Balance'!$A$2)</f>
        <v>0</v>
      </c>
      <c r="K907" s="1258">
        <f>Table11[[#This Row],[CASH IN - CREDIT (VND)]]-Table11[[#This Row],[CASH OUT - DEBIT (VND)]]</f>
        <v>0</v>
      </c>
      <c r="L907" s="1134">
        <f>H907+I907-J907</f>
        <v>10000000000</v>
      </c>
      <c r="M907" s="1135" t="e">
        <f>VLOOKUP(C907,'Cash balance (BS)'!A:D,4,)</f>
        <v>#N/A</v>
      </c>
      <c r="N907" s="1136" t="e">
        <f>Table11[[#This Row],[CLOSING BALANCE (VND)2]]-Table11[[#This Row],[CB_BS (VND)]]</f>
        <v>#N/A</v>
      </c>
      <c r="O907" s="1094"/>
      <c r="P907" s="1135">
        <f>O907-Q907</f>
        <v>0</v>
      </c>
      <c r="Q907" s="1137">
        <f>SUMIFS('Cash balance (Prior period)'!G:G,'Cash balance (Prior period)'!C:C,Table11[[#This Row],[ACCOUNT NUMBER]],'Cash balance (Prior period)'!E:E,Table11[[#This Row],[CURRENCY]])</f>
        <v>0</v>
      </c>
      <c r="R907" s="1138">
        <f>SUMIFS(Movement!$F$4:$F$2136,Movement!$M$4:$M$2136,"USD",Movement!$C$4:$C$2136,Table11[[#This Row],[ACCOUNT NUMBER]],Movement!$J$4:$J$2136,Table11[[#This Row],[ENTITY]],Movement!$O$4:$O$2136,'Cash Balance'!$A$2)</f>
        <v>0</v>
      </c>
      <c r="S907" s="1137">
        <f>SUMIFS(Movement!$G$4:$G$2136,Movement!$M$4:$M$2136,"USD",Movement!$C$4:$C$2136,Table11[[#This Row],[ACCOUNT NUMBER]],Movement!$J$4:$J$2136,Table11[[#This Row],[ENTITY]],Movement!$O$4:$O$2136,'Cash Balance'!$A$2)</f>
        <v>0</v>
      </c>
      <c r="T907" s="1139">
        <f>Q907+R907-S907</f>
        <v>0</v>
      </c>
      <c r="U907" s="1090"/>
      <c r="V907" s="1091">
        <f>Table11[[#This Row],[CLOSING BALANCE (USD)]]-Table11[[#This Row],[CB_BS (USD)]]</f>
        <v>0</v>
      </c>
      <c r="W907" s="1186" t="str">
        <f>VLOOKUP('Cash Balance'!$C907,Table2[#All],MATCH('Cash Balance'!W$3,Acc_Char!$B$1:$I$1,0),0)</f>
        <v>Subsidiaries</v>
      </c>
      <c r="X907" s="1156" t="str">
        <f>VLOOKUP(IFERROR(MID($Y907,1,FIND("-",$Y907)-2),$Y907),Table3[#All],2,0)</f>
        <v>Others</v>
      </c>
      <c r="Y907" s="1156" t="str">
        <f>VLOOKUP($B907,Table4[#All],2,0)</f>
        <v>OTHERS</v>
      </c>
      <c r="Z907" s="1151"/>
    </row>
    <row r="908" spans="1:26">
      <c r="A908" s="1153" t="str">
        <f>VLOOKUP('Cash Balance'!$C908,Table2[#All],MATCH('Cash Balance'!A$3,Acc_Char!$B$1:$I$1,0),0)</f>
        <v>BIEN HOA</v>
      </c>
      <c r="B908" s="1154" t="str">
        <f>VLOOKUP('Cash Balance'!$C908,Table2[#All],MATCH('Cash Balance'!B$3,Acc_Char!$B$1:$I$1,0),0)</f>
        <v>KBank - HCM</v>
      </c>
      <c r="C908" s="1203" t="s">
        <v>1512</v>
      </c>
      <c r="D908" s="1156" t="str">
        <f>VLOOKUP('Cash Balance'!$C908,Table2[#All],MATCH('Cash Balance'!D$3,Acc_Char!$B$1:$I$1,0),0)</f>
        <v>Saving Account</v>
      </c>
      <c r="E908" s="1201" t="str">
        <f>VLOOKUP('Cash Balance'!$C908,Table2[#All],MATCH('Cash Balance'!E$3,Acc_Char!$B$1:$I$1,0),0)</f>
        <v>VND</v>
      </c>
      <c r="F908" s="1084" t="e">
        <f>VLOOKUP(C908,'Cash balance (BS)'!A:C,3,)</f>
        <v>#N/A</v>
      </c>
      <c r="G908" s="1191" t="e">
        <f t="shared" si="154"/>
        <v>#N/A</v>
      </c>
      <c r="H908" s="1321">
        <f>SUMIFS('Cash balance (Prior period)'!F:F,'Cash balance (Prior period)'!C:C,Table11[[#This Row],[ACCOUNT NUMBER]],'Cash balance (Prior period)'!E:E,Table11[[#This Row],[CURRENCY]])</f>
        <v>15000000000</v>
      </c>
      <c r="I908" s="1322">
        <f>SUMIFS(Movement!$F$4:$F$2136,Movement!$M$4:$M$2136,"VND",Movement!$C$4:$C$2136,Table11[[#This Row],[ACCOUNT NUMBER]],Movement!$J$4:$J$2136,Table11[[#This Row],[ENTITY]],Movement!$O$4:$O$2136,'Cash Balance'!$A$2)</f>
        <v>0</v>
      </c>
      <c r="J908" s="1323">
        <f>SUMIFS(Movement!$G$4:$G$2136,Movement!$M$4:$M$2136,"VND",Movement!$C$4:$C$2136,Table11[[#This Row],[ACCOUNT NUMBER]],Movement!$J$4:$J$2136,Table11[[#This Row],[ENTITY]],Movement!$O$4:$O$2136,'Cash Balance'!$A$2)</f>
        <v>0</v>
      </c>
      <c r="K908" s="1258">
        <f>Table11[[#This Row],[CASH IN - CREDIT (VND)]]-Table11[[#This Row],[CASH OUT - DEBIT (VND)]]</f>
        <v>0</v>
      </c>
      <c r="L908" s="1134">
        <f t="shared" si="153"/>
        <v>15000000000</v>
      </c>
      <c r="M908" s="1135" t="e">
        <f>VLOOKUP(C908,'Cash balance (BS)'!A:D,4,)</f>
        <v>#N/A</v>
      </c>
      <c r="N908" s="1136" t="e">
        <f>Table11[[#This Row],[CLOSING BALANCE (VND)2]]-Table11[[#This Row],[CB_BS (VND)]]</f>
        <v>#N/A</v>
      </c>
      <c r="O908" s="1094"/>
      <c r="P908" s="1135">
        <f t="shared" si="155"/>
        <v>0</v>
      </c>
      <c r="Q908" s="1137">
        <f>SUMIFS('Cash balance (Prior period)'!G:G,'Cash balance (Prior period)'!C:C,Table11[[#This Row],[ACCOUNT NUMBER]],'Cash balance (Prior period)'!E:E,Table11[[#This Row],[CURRENCY]])</f>
        <v>0</v>
      </c>
      <c r="R908" s="1138">
        <f>SUMIFS(Movement!$F$4:$F$2136,Movement!$M$4:$M$2136,"USD",Movement!$C$4:$C$2136,Table11[[#This Row],[ACCOUNT NUMBER]],Movement!$J$4:$J$2136,Table11[[#This Row],[ENTITY]],Movement!$O$4:$O$2136,'Cash Balance'!$A$2)</f>
        <v>0</v>
      </c>
      <c r="S908" s="1137">
        <f>SUMIFS(Movement!$G$4:$G$2136,Movement!$M$4:$M$2136,"USD",Movement!$C$4:$C$2136,Table11[[#This Row],[ACCOUNT NUMBER]],Movement!$J$4:$J$2136,Table11[[#This Row],[ENTITY]],Movement!$O$4:$O$2136,'Cash Balance'!$A$2)</f>
        <v>0</v>
      </c>
      <c r="T908" s="1139">
        <f t="shared" si="156"/>
        <v>0</v>
      </c>
      <c r="U908" s="1090"/>
      <c r="V908" s="1091">
        <f>Table11[[#This Row],[CLOSING BALANCE (USD)]]-Table11[[#This Row],[CB_BS (USD)]]</f>
        <v>0</v>
      </c>
      <c r="W908" s="1186" t="str">
        <f>VLOOKUP('Cash Balance'!$C908,Table2[#All],MATCH('Cash Balance'!W$3,Acc_Char!$B$1:$I$1,0),0)</f>
        <v>Subsidiaries</v>
      </c>
      <c r="X908" s="1156" t="str">
        <f>VLOOKUP(IFERROR(MID($Y908,1,FIND("-",$Y908)-2),$Y908),Table3[#All],2,0)</f>
        <v>Others</v>
      </c>
      <c r="Y908" s="1156" t="str">
        <f>VLOOKUP($B908,Table4[#All],2,0)</f>
        <v>OTHERS</v>
      </c>
      <c r="Z908" s="1151"/>
    </row>
    <row r="909" spans="1:26">
      <c r="A909" s="1196" t="str">
        <f>VLOOKUP('Cash Balance'!$C909,Table2[#All],MATCH('Cash Balance'!A$3,Acc_Char!$B$1:$I$1,0),0)</f>
        <v>SAO HOA</v>
      </c>
      <c r="B909" s="1154" t="str">
        <f>VLOOKUP('Cash Balance'!$C909,Table2[#All],MATCH('Cash Balance'!B$3,Acc_Char!$B$1:$I$1,0),0)</f>
        <v>VIETCOMBANK - HCM</v>
      </c>
      <c r="C909" s="1203" t="s">
        <v>1522</v>
      </c>
      <c r="D909" s="1156" t="str">
        <f>VLOOKUP('Cash Balance'!$C909,Table2[#All],MATCH('Cash Balance'!D$3,Acc_Char!$B$1:$I$1,0),0)</f>
        <v>Saving Account</v>
      </c>
      <c r="E909" s="1201" t="str">
        <f>VLOOKUP('Cash Balance'!$C909,Table2[#All],MATCH('Cash Balance'!E$3,Acc_Char!$B$1:$I$1,0),0)</f>
        <v>VND</v>
      </c>
      <c r="F909" s="1084" t="e">
        <f>VLOOKUP(C909,'Cash balance (BS)'!A:C,3,)</f>
        <v>#N/A</v>
      </c>
      <c r="G909" s="1191" t="e">
        <f t="shared" ref="G909:G914" si="157">F909-H909</f>
        <v>#N/A</v>
      </c>
      <c r="H909" s="1321">
        <f>SUMIFS('Cash balance (Prior period)'!F:F,'Cash balance (Prior period)'!C:C,Table11[[#This Row],[ACCOUNT NUMBER]],'Cash balance (Prior period)'!E:E,Table11[[#This Row],[CURRENCY]])</f>
        <v>0</v>
      </c>
      <c r="I909" s="1322">
        <f>SUMIFS(Movement!$F$4:$F$2136,Movement!$M$4:$M$2136,"VND",Movement!$C$4:$C$2136,Table11[[#This Row],[ACCOUNT NUMBER]],Movement!$J$4:$J$2136,Table11[[#This Row],[ENTITY]],Movement!$O$4:$O$2136,'Cash Balance'!$A$2)</f>
        <v>260000000000</v>
      </c>
      <c r="J909" s="1323">
        <f>SUMIFS(Movement!$G$4:$G$2136,Movement!$M$4:$M$2136,"VND",Movement!$C$4:$C$2136,Table11[[#This Row],[ACCOUNT NUMBER]],Movement!$J$4:$J$2136,Table11[[#This Row],[ENTITY]],Movement!$O$4:$O$2136,'Cash Balance'!$A$2)</f>
        <v>0</v>
      </c>
      <c r="K909" s="1258">
        <f>Table11[[#This Row],[CASH IN - CREDIT (VND)]]-Table11[[#This Row],[CASH OUT - DEBIT (VND)]]</f>
        <v>260000000000</v>
      </c>
      <c r="L909" s="1134">
        <f t="shared" ref="L909:L914" si="158">H909+I909-J909</f>
        <v>260000000000</v>
      </c>
      <c r="M909" s="1135" t="e">
        <f>VLOOKUP(C909,'Cash balance (BS)'!A:D,4,)</f>
        <v>#N/A</v>
      </c>
      <c r="N909" s="1136" t="e">
        <f>Table11[[#This Row],[CLOSING BALANCE (VND)2]]-Table11[[#This Row],[CB_BS (VND)]]</f>
        <v>#N/A</v>
      </c>
      <c r="O909" s="1094"/>
      <c r="P909" s="1135">
        <f t="shared" ref="P909:P914" si="159">O909-Q909</f>
        <v>0</v>
      </c>
      <c r="Q909" s="1137">
        <f>SUMIFS('Cash balance (Prior period)'!G:G,'Cash balance (Prior period)'!C:C,Table11[[#This Row],[ACCOUNT NUMBER]],'Cash balance (Prior period)'!E:E,Table11[[#This Row],[CURRENCY]])</f>
        <v>0</v>
      </c>
      <c r="R909" s="1138">
        <f>SUMIFS(Movement!$F$4:$F$2136,Movement!$M$4:$M$2136,"USD",Movement!$C$4:$C$2136,Table11[[#This Row],[ACCOUNT NUMBER]],Movement!$J$4:$J$2136,Table11[[#This Row],[ENTITY]],Movement!$O$4:$O$2136,'Cash Balance'!$A$2)</f>
        <v>0</v>
      </c>
      <c r="S909" s="1137">
        <f>SUMIFS(Movement!$G$4:$G$2136,Movement!$M$4:$M$2136,"USD",Movement!$C$4:$C$2136,Table11[[#This Row],[ACCOUNT NUMBER]],Movement!$J$4:$J$2136,Table11[[#This Row],[ENTITY]],Movement!$O$4:$O$2136,'Cash Balance'!$A$2)</f>
        <v>0</v>
      </c>
      <c r="T909" s="1139">
        <f t="shared" ref="T909:T914" si="160">Q909+R909-S909</f>
        <v>0</v>
      </c>
      <c r="U909" s="1090"/>
      <c r="V909" s="1091">
        <f>Table11[[#This Row],[CLOSING BALANCE (USD)]]-Table11[[#This Row],[CB_BS (USD)]]</f>
        <v>0</v>
      </c>
      <c r="W909" s="1186" t="str">
        <f>VLOOKUP('Cash Balance'!$C909,Table2[#All],MATCH('Cash Balance'!W$3,Acc_Char!$B$1:$I$1,0),0)</f>
        <v>VC3</v>
      </c>
      <c r="X909" s="1186" t="str">
        <f>VLOOKUP(IFERROR(MID($Y909,1,FIND("-",$Y909)-2),$Y909),Table3[#All],2,0)</f>
        <v>VCB</v>
      </c>
      <c r="Y909" s="1186" t="str">
        <f>VLOOKUP($B909,Table4[#All],2,0)</f>
        <v>VIETCOMBANK - HCM</v>
      </c>
      <c r="Z909" s="1151"/>
    </row>
    <row r="910" spans="1:26">
      <c r="A910" s="1196" t="str">
        <f>VLOOKUP('Cash Balance'!$C910,Table2[#All],MATCH('Cash Balance'!A$3,Acc_Char!$B$1:$I$1,0),0)</f>
        <v>BWID BINH DUONG</v>
      </c>
      <c r="B910" s="1154" t="str">
        <f>VLOOKUP('Cash Balance'!$C910,Table2[#All],MATCH('Cash Balance'!B$3,Acc_Char!$B$1:$I$1,0),0)</f>
        <v>SINOPAC</v>
      </c>
      <c r="C910" s="1203" t="s">
        <v>1523</v>
      </c>
      <c r="D910" s="1156" t="str">
        <f>VLOOKUP('Cash Balance'!$C910,Table2[#All],MATCH('Cash Balance'!D$3,Acc_Char!$B$1:$I$1,0),0)</f>
        <v>Saving Account</v>
      </c>
      <c r="E910" s="1201" t="str">
        <f>VLOOKUP('Cash Balance'!$C910,Table2[#All],MATCH('Cash Balance'!E$3,Acc_Char!$B$1:$I$1,0),0)</f>
        <v>VND</v>
      </c>
      <c r="F910" s="1084" t="e">
        <f>VLOOKUP(C910,'Cash balance (BS)'!A:C,3,)</f>
        <v>#N/A</v>
      </c>
      <c r="G910" s="1191" t="e">
        <f t="shared" si="157"/>
        <v>#N/A</v>
      </c>
      <c r="H910" s="1321">
        <f>SUMIFS('Cash balance (Prior period)'!F:F,'Cash balance (Prior period)'!C:C,Table11[[#This Row],[ACCOUNT NUMBER]],'Cash balance (Prior period)'!E:E,Table11[[#This Row],[CURRENCY]])</f>
        <v>0</v>
      </c>
      <c r="I910" s="1322">
        <f>SUMIFS(Movement!$F$4:$F$2136,Movement!$M$4:$M$2136,"VND",Movement!$C$4:$C$2136,Table11[[#This Row],[ACCOUNT NUMBER]],Movement!$J$4:$J$2136,Table11[[#This Row],[ENTITY]],Movement!$O$4:$O$2136,'Cash Balance'!$A$2)</f>
        <v>30000000000</v>
      </c>
      <c r="J910" s="1323">
        <f>SUMIFS(Movement!$G$4:$G$2136,Movement!$M$4:$M$2136,"VND",Movement!$C$4:$C$2136,Table11[[#This Row],[ACCOUNT NUMBER]],Movement!$J$4:$J$2136,Table11[[#This Row],[ENTITY]],Movement!$O$4:$O$2136,'Cash Balance'!$A$2)</f>
        <v>0</v>
      </c>
      <c r="K910" s="1258">
        <f>Table11[[#This Row],[CASH IN - CREDIT (VND)]]-Table11[[#This Row],[CASH OUT - DEBIT (VND)]]</f>
        <v>30000000000</v>
      </c>
      <c r="L910" s="1134">
        <f t="shared" si="158"/>
        <v>30000000000</v>
      </c>
      <c r="M910" s="1135" t="e">
        <f>VLOOKUP(C910,'Cash balance (BS)'!A:D,4,)</f>
        <v>#N/A</v>
      </c>
      <c r="N910" s="1136" t="e">
        <f>Table11[[#This Row],[CLOSING BALANCE (VND)2]]-Table11[[#This Row],[CB_BS (VND)]]</f>
        <v>#N/A</v>
      </c>
      <c r="O910" s="1094"/>
      <c r="P910" s="1135">
        <f t="shared" si="159"/>
        <v>0</v>
      </c>
      <c r="Q910" s="1137">
        <f>SUMIFS('Cash balance (Prior period)'!G:G,'Cash balance (Prior period)'!C:C,Table11[[#This Row],[ACCOUNT NUMBER]],'Cash balance (Prior period)'!E:E,Table11[[#This Row],[CURRENCY]])</f>
        <v>0</v>
      </c>
      <c r="R910" s="1138">
        <f>SUMIFS(Movement!$F$4:$F$2136,Movement!$M$4:$M$2136,"USD",Movement!$C$4:$C$2136,Table11[[#This Row],[ACCOUNT NUMBER]],Movement!$J$4:$J$2136,Table11[[#This Row],[ENTITY]],Movement!$O$4:$O$2136,'Cash Balance'!$A$2)</f>
        <v>0</v>
      </c>
      <c r="S910" s="1137">
        <f>SUMIFS(Movement!$G$4:$G$2136,Movement!$M$4:$M$2136,"USD",Movement!$C$4:$C$2136,Table11[[#This Row],[ACCOUNT NUMBER]],Movement!$J$4:$J$2136,Table11[[#This Row],[ENTITY]],Movement!$O$4:$O$2136,'Cash Balance'!$A$2)</f>
        <v>0</v>
      </c>
      <c r="T910" s="1139">
        <f t="shared" si="160"/>
        <v>0</v>
      </c>
      <c r="U910" s="1090"/>
      <c r="V910" s="1091">
        <f>Table11[[#This Row],[CLOSING BALANCE (USD)]]-Table11[[#This Row],[CB_BS (USD)]]</f>
        <v>0</v>
      </c>
      <c r="W910" s="1186" t="str">
        <f>VLOOKUP('Cash Balance'!$C910,Table2[#All],MATCH('Cash Balance'!W$3,Acc_Char!$B$1:$I$1,0),0)</f>
        <v>BWID JSC</v>
      </c>
      <c r="X910" s="1186" t="str">
        <f>VLOOKUP(IFERROR(MID($Y910,1,FIND("-",$Y910)-2),$Y910),Table3[#All],2,0)</f>
        <v>SNP</v>
      </c>
      <c r="Y910" s="1186" t="str">
        <f>VLOOKUP($B910,Table4[#All],2,0)</f>
        <v>SINOPAC</v>
      </c>
      <c r="Z910" s="1151"/>
    </row>
    <row r="911" spans="1:26">
      <c r="A911" s="1196" t="str">
        <f>VLOOKUP('Cash Balance'!$C911,Table2[#All],MATCH('Cash Balance'!A$3,Acc_Char!$B$1:$I$1,0),0)</f>
        <v>SAO HOA</v>
      </c>
      <c r="B911" s="1154" t="str">
        <f>VLOOKUP('Cash Balance'!$C911,Table2[#All],MATCH('Cash Balance'!B$3,Acc_Char!$B$1:$I$1,0),0)</f>
        <v>VIETINBANK - TIEN SON</v>
      </c>
      <c r="C911" s="1203" t="s">
        <v>1524</v>
      </c>
      <c r="D911" s="1156" t="str">
        <f>VLOOKUP('Cash Balance'!$C911,Table2[#All],MATCH('Cash Balance'!D$3,Acc_Char!$B$1:$I$1,0),0)</f>
        <v>Saving Account</v>
      </c>
      <c r="E911" s="1201" t="str">
        <f>VLOOKUP('Cash Balance'!$C911,Table2[#All],MATCH('Cash Balance'!E$3,Acc_Char!$B$1:$I$1,0),0)</f>
        <v>VND</v>
      </c>
      <c r="F911" s="1084" t="e">
        <f>VLOOKUP(C911,'Cash balance (BS)'!A:C,3,)</f>
        <v>#N/A</v>
      </c>
      <c r="G911" s="1191" t="e">
        <f t="shared" si="157"/>
        <v>#N/A</v>
      </c>
      <c r="H911" s="1321">
        <f>SUMIFS('Cash balance (Prior period)'!F:F,'Cash balance (Prior period)'!C:C,Table11[[#This Row],[ACCOUNT NUMBER]],'Cash balance (Prior period)'!E:E,Table11[[#This Row],[CURRENCY]])</f>
        <v>0</v>
      </c>
      <c r="I911" s="1322">
        <f>SUMIFS(Movement!$F$4:$F$2136,Movement!$M$4:$M$2136,"VND",Movement!$C$4:$C$2136,Table11[[#This Row],[ACCOUNT NUMBER]],Movement!$J$4:$J$2136,Table11[[#This Row],[ENTITY]],Movement!$O$4:$O$2136,'Cash Balance'!$A$2)</f>
        <v>50000000000</v>
      </c>
      <c r="J911" s="1323">
        <f>SUMIFS(Movement!$G$4:$G$2136,Movement!$M$4:$M$2136,"VND",Movement!$C$4:$C$2136,Table11[[#This Row],[ACCOUNT NUMBER]],Movement!$J$4:$J$2136,Table11[[#This Row],[ENTITY]],Movement!$O$4:$O$2136,'Cash Balance'!$A$2)</f>
        <v>0</v>
      </c>
      <c r="K911" s="1258">
        <f>Table11[[#This Row],[CASH IN - CREDIT (VND)]]-Table11[[#This Row],[CASH OUT - DEBIT (VND)]]</f>
        <v>50000000000</v>
      </c>
      <c r="L911" s="1134">
        <f t="shared" si="158"/>
        <v>50000000000</v>
      </c>
      <c r="M911" s="1135" t="e">
        <f>VLOOKUP(C911,'Cash balance (BS)'!A:D,4,)</f>
        <v>#N/A</v>
      </c>
      <c r="N911" s="1136" t="e">
        <f>Table11[[#This Row],[CLOSING BALANCE (VND)2]]-Table11[[#This Row],[CB_BS (VND)]]</f>
        <v>#N/A</v>
      </c>
      <c r="O911" s="1094"/>
      <c r="P911" s="1135">
        <f t="shared" si="159"/>
        <v>0</v>
      </c>
      <c r="Q911" s="1137">
        <f>SUMIFS('Cash balance (Prior period)'!G:G,'Cash balance (Prior period)'!C:C,Table11[[#This Row],[ACCOUNT NUMBER]],'Cash balance (Prior period)'!E:E,Table11[[#This Row],[CURRENCY]])</f>
        <v>0</v>
      </c>
      <c r="R911" s="1138">
        <f>SUMIFS(Movement!$F$4:$F$2136,Movement!$M$4:$M$2136,"USD",Movement!$C$4:$C$2136,Table11[[#This Row],[ACCOUNT NUMBER]],Movement!$J$4:$J$2136,Table11[[#This Row],[ENTITY]],Movement!$O$4:$O$2136,'Cash Balance'!$A$2)</f>
        <v>0</v>
      </c>
      <c r="S911" s="1137">
        <f>SUMIFS(Movement!$G$4:$G$2136,Movement!$M$4:$M$2136,"USD",Movement!$C$4:$C$2136,Table11[[#This Row],[ACCOUNT NUMBER]],Movement!$J$4:$J$2136,Table11[[#This Row],[ENTITY]],Movement!$O$4:$O$2136,'Cash Balance'!$A$2)</f>
        <v>0</v>
      </c>
      <c r="T911" s="1139">
        <f t="shared" si="160"/>
        <v>0</v>
      </c>
      <c r="U911" s="1090"/>
      <c r="V911" s="1091">
        <f>Table11[[#This Row],[CLOSING BALANCE (USD)]]-Table11[[#This Row],[CB_BS (USD)]]</f>
        <v>0</v>
      </c>
      <c r="W911" s="1186" t="str">
        <f>VLOOKUP('Cash Balance'!$C911,Table2[#All],MATCH('Cash Balance'!W$3,Acc_Char!$B$1:$I$1,0),0)</f>
        <v>VC3</v>
      </c>
      <c r="X911" s="1186" t="str">
        <f>VLOOKUP(IFERROR(MID($Y911,1,FIND("-",$Y911)-2),$Y911),Table3[#All],2,0)</f>
        <v>VTB</v>
      </c>
      <c r="Y911" s="1186" t="str">
        <f>VLOOKUP($B911,Table4[#All],2,0)</f>
        <v>VIETINBANK - TIEN SON</v>
      </c>
      <c r="Z911" s="1151"/>
    </row>
    <row r="912" spans="1:26">
      <c r="A912" s="1153" t="str">
        <f>VLOOKUP('Cash Balance'!$C912,Table2[#All],MATCH('Cash Balance'!A$3,Acc_Char!$B$1:$I$1,0),0)</f>
        <v>BWID TAN DONG HIEP</v>
      </c>
      <c r="B912" s="1154" t="str">
        <f>VLOOKUP('Cash Balance'!$C912,Table2[#All],MATCH('Cash Balance'!B$3,Acc_Char!$B$1:$I$1,0),0)</f>
        <v>SINOPAC</v>
      </c>
      <c r="C912" s="1331" t="s">
        <v>1513</v>
      </c>
      <c r="D912" s="1156" t="str">
        <f>VLOOKUP('Cash Balance'!$C912,Table2[#All],MATCH('Cash Balance'!D$3,Acc_Char!$B$1:$I$1,0),0)</f>
        <v>Saving Account</v>
      </c>
      <c r="E912" s="1201" t="str">
        <f>VLOOKUP('Cash Balance'!$C912,Table2[#All],MATCH('Cash Balance'!E$3,Acc_Char!$B$1:$I$1,0),0)</f>
        <v>VND</v>
      </c>
      <c r="F912" s="1084" t="e">
        <f>VLOOKUP(C912,'Cash balance (BS)'!A:C,3,)</f>
        <v>#N/A</v>
      </c>
      <c r="G912" s="1191" t="e">
        <f t="shared" si="157"/>
        <v>#N/A</v>
      </c>
      <c r="H912" s="1329">
        <f>SUMIFS('Cash balance (Prior period)'!F:F,'Cash balance (Prior period)'!C:C,Table11[[#This Row],[ACCOUNT NUMBER]],'Cash balance (Prior period)'!E:E,Table11[[#This Row],[CURRENCY]])</f>
        <v>5000000000</v>
      </c>
      <c r="I912" s="1330">
        <f>SUMIFS(Movement!$F$4:$F$2136,Movement!$M$4:$M$2136,"VND",Movement!$C$4:$C$2136,Table11[[#This Row],[ACCOUNT NUMBER]],Movement!$J$4:$J$2136,Table11[[#This Row],[ENTITY]],Movement!$O$4:$O$2136,'Cash Balance'!$A$2)</f>
        <v>0</v>
      </c>
      <c r="J912" s="1323">
        <f>SUMIFS(Movement!$G$4:$G$2136,Movement!$M$4:$M$2136,"VND",Movement!$C$4:$C$2136,Table11[[#This Row],[ACCOUNT NUMBER]],Movement!$J$4:$J$2136,Table11[[#This Row],[ENTITY]],Movement!$O$4:$O$2136,'Cash Balance'!$A$2)</f>
        <v>0</v>
      </c>
      <c r="K912" s="1258">
        <f>Table11[[#This Row],[CASH IN - CREDIT (VND)]]-Table11[[#This Row],[CASH OUT - DEBIT (VND)]]</f>
        <v>0</v>
      </c>
      <c r="L912" s="1134">
        <f t="shared" si="158"/>
        <v>5000000000</v>
      </c>
      <c r="M912" s="1135" t="e">
        <f>VLOOKUP(C912,'Cash balance (BS)'!A:D,4,)</f>
        <v>#N/A</v>
      </c>
      <c r="N912" s="1136" t="e">
        <f>Table11[[#This Row],[CLOSING BALANCE (VND)2]]-Table11[[#This Row],[CB_BS (VND)]]</f>
        <v>#N/A</v>
      </c>
      <c r="O912" s="1094"/>
      <c r="P912" s="1135">
        <f t="shared" si="159"/>
        <v>0</v>
      </c>
      <c r="Q912" s="1137">
        <f>SUMIFS('Cash balance (Prior period)'!G:G,'Cash balance (Prior period)'!C:C,Table11[[#This Row],[ACCOUNT NUMBER]],'Cash balance (Prior period)'!E:E,Table11[[#This Row],[CURRENCY]])</f>
        <v>0</v>
      </c>
      <c r="R912" s="1138">
        <f>SUMIFS(Movement!$F$4:$F$2136,Movement!$M$4:$M$2136,"USD",Movement!$C$4:$C$2136,Table11[[#This Row],[ACCOUNT NUMBER]],Movement!$J$4:$J$2136,Table11[[#This Row],[ENTITY]],Movement!$O$4:$O$2136,'Cash Balance'!$A$2)</f>
        <v>0</v>
      </c>
      <c r="S912" s="1137">
        <f>SUMIFS(Movement!$G$4:$G$2136,Movement!$M$4:$M$2136,"USD",Movement!$C$4:$C$2136,Table11[[#This Row],[ACCOUNT NUMBER]],Movement!$J$4:$J$2136,Table11[[#This Row],[ENTITY]],Movement!$O$4:$O$2136,'Cash Balance'!$A$2)</f>
        <v>0</v>
      </c>
      <c r="T912" s="1139">
        <f t="shared" si="160"/>
        <v>0</v>
      </c>
      <c r="U912" s="1090"/>
      <c r="V912" s="1091">
        <f>Table11[[#This Row],[CLOSING BALANCE (USD)]]-Table11[[#This Row],[CB_BS (USD)]]</f>
        <v>0</v>
      </c>
      <c r="W912" s="1186" t="str">
        <f>VLOOKUP('Cash Balance'!$C912,Table2[#All],MATCH('Cash Balance'!W$3,Acc_Char!$B$1:$I$1,0),0)</f>
        <v>Subsidiaries</v>
      </c>
      <c r="X912" s="1156" t="str">
        <f>VLOOKUP(IFERROR(MID($Y912,1,FIND("-",$Y912)-2),$Y912),Table3[#All],2,0)</f>
        <v>SNP</v>
      </c>
      <c r="Y912" s="1156" t="str">
        <f>VLOOKUP($B912,Table4[#All],2,0)</f>
        <v>SINOPAC</v>
      </c>
      <c r="Z912" s="1151"/>
    </row>
    <row r="913" spans="1:26">
      <c r="A913" s="1153" t="str">
        <f>VLOOKUP('Cash Balance'!$C913,Table2[#All],MATCH('Cash Balance'!A$3,Acc_Char!$B$1:$I$1,0),0)</f>
        <v>BW HAI AN</v>
      </c>
      <c r="B913" s="1154" t="str">
        <f>VLOOKUP('Cash Balance'!$C913,Table2[#All],MATCH('Cash Balance'!B$3,Acc_Char!$B$1:$I$1,0),0)</f>
        <v>ACB - HCM</v>
      </c>
      <c r="C913" s="1331" t="s">
        <v>5381</v>
      </c>
      <c r="D913" s="1156" t="str">
        <f>VLOOKUP('Cash Balance'!$C913,Table2[#All],MATCH('Cash Balance'!D$3,Acc_Char!$B$1:$I$1,0),0)</f>
        <v>Current Account</v>
      </c>
      <c r="E913" s="1201" t="str">
        <f>VLOOKUP('Cash Balance'!$C913,Table2[#All],MATCH('Cash Balance'!E$3,Acc_Char!$B$1:$I$1,0),0)</f>
        <v>VND</v>
      </c>
      <c r="F913" s="1084" t="e">
        <f>VLOOKUP(C913,'Cash balance (BS)'!A:C,3,)</f>
        <v>#N/A</v>
      </c>
      <c r="G913" s="1191" t="e">
        <f t="shared" si="157"/>
        <v>#N/A</v>
      </c>
      <c r="H913" s="1329">
        <f>SUMIFS('Cash balance (Prior period)'!F:F,'Cash balance (Prior period)'!C:C,Table11[[#This Row],[ACCOUNT NUMBER]],'Cash balance (Prior period)'!E:E,Table11[[#This Row],[CURRENCY]])</f>
        <v>559651</v>
      </c>
      <c r="I913" s="1330">
        <f>SUMIFS(Movement!$F$4:$F$2136,Movement!$M$4:$M$2136,"VND",Movement!$C$4:$C$2136,Table11[[#This Row],[ACCOUNT NUMBER]],Movement!$J$4:$J$2136,Table11[[#This Row],[ENTITY]],Movement!$O$4:$O$2136,'Cash Balance'!$A$2)</f>
        <v>0</v>
      </c>
      <c r="J913" s="1323">
        <f>SUMIFS(Movement!$G$4:$G$2136,Movement!$M$4:$M$2136,"VND",Movement!$C$4:$C$2136,Table11[[#This Row],[ACCOUNT NUMBER]],Movement!$J$4:$J$2136,Table11[[#This Row],[ENTITY]],Movement!$O$4:$O$2136,'Cash Balance'!$A$2)</f>
        <v>0</v>
      </c>
      <c r="K913" s="1258">
        <f>Table11[[#This Row],[CASH IN - CREDIT (VND)]]-Table11[[#This Row],[CASH OUT - DEBIT (VND)]]</f>
        <v>0</v>
      </c>
      <c r="L913" s="1134">
        <f t="shared" si="158"/>
        <v>559651</v>
      </c>
      <c r="M913" s="1135" t="e">
        <f>VLOOKUP(C913,'Cash balance (BS)'!A:D,4,)</f>
        <v>#N/A</v>
      </c>
      <c r="N913" s="1136" t="e">
        <f>Table11[[#This Row],[CLOSING BALANCE (VND)2]]-Table11[[#This Row],[CB_BS (VND)]]</f>
        <v>#N/A</v>
      </c>
      <c r="O913" s="1094"/>
      <c r="P913" s="1135">
        <f t="shared" si="159"/>
        <v>0</v>
      </c>
      <c r="Q913" s="1137">
        <f>SUMIFS('Cash balance (Prior period)'!G:G,'Cash balance (Prior period)'!C:C,Table11[[#This Row],[ACCOUNT NUMBER]],'Cash balance (Prior period)'!E:E,Table11[[#This Row],[CURRENCY]])</f>
        <v>0</v>
      </c>
      <c r="R913" s="1138">
        <f>SUMIFS(Movement!$F$4:$F$2136,Movement!$M$4:$M$2136,"USD",Movement!$C$4:$C$2136,Table11[[#This Row],[ACCOUNT NUMBER]],Movement!$J$4:$J$2136,Table11[[#This Row],[ENTITY]],Movement!$O$4:$O$2136,'Cash Balance'!$A$2)</f>
        <v>0</v>
      </c>
      <c r="S913" s="1137">
        <f>SUMIFS(Movement!$G$4:$G$2136,Movement!$M$4:$M$2136,"USD",Movement!$C$4:$C$2136,Table11[[#This Row],[ACCOUNT NUMBER]],Movement!$J$4:$J$2136,Table11[[#This Row],[ENTITY]],Movement!$O$4:$O$2136,'Cash Balance'!$A$2)</f>
        <v>0</v>
      </c>
      <c r="T913" s="1139">
        <f t="shared" si="160"/>
        <v>0</v>
      </c>
      <c r="U913" s="1090"/>
      <c r="V913" s="1091">
        <f>Table11[[#This Row],[CLOSING BALANCE (USD)]]-Table11[[#This Row],[CB_BS (USD)]]</f>
        <v>0</v>
      </c>
      <c r="W913" s="1186" t="str">
        <f>VLOOKUP('Cash Balance'!$C913,Table2[#All],MATCH('Cash Balance'!W$3,Acc_Char!$B$1:$I$1,0),0)</f>
        <v>Subsidiaries</v>
      </c>
      <c r="X913" s="1156" t="str">
        <f>VLOOKUP(IFERROR(MID($Y913,1,FIND("-",$Y913)-2),$Y913),Table3[#All],2,0)</f>
        <v>ACB</v>
      </c>
      <c r="Y913" s="1156" t="str">
        <f>VLOOKUP($B913,Table4[#All],2,0)</f>
        <v>ACB - HCM</v>
      </c>
      <c r="Z913" s="1151"/>
    </row>
    <row r="914" spans="1:26">
      <c r="A914" s="1153" t="str">
        <f>VLOOKUP('Cash Balance'!$C914,Table2[#All],MATCH('Cash Balance'!A$3,Acc_Char!$B$1:$I$1,0),0)</f>
        <v>BIEN HOA</v>
      </c>
      <c r="B914" s="1154" t="str">
        <f>VLOOKUP('Cash Balance'!$C914,Table2[#All],MATCH('Cash Balance'!B$3,Acc_Char!$B$1:$I$1,0),0)</f>
        <v>KBank - HCM</v>
      </c>
      <c r="C914" s="1331" t="s">
        <v>1514</v>
      </c>
      <c r="D914" s="1156" t="str">
        <f>VLOOKUP('Cash Balance'!$C914,Table2[#All],MATCH('Cash Balance'!D$3,Acc_Char!$B$1:$I$1,0),0)</f>
        <v>Saving Account</v>
      </c>
      <c r="E914" s="1201" t="str">
        <f>VLOOKUP('Cash Balance'!$C914,Table2[#All],MATCH('Cash Balance'!E$3,Acc_Char!$B$1:$I$1,0),0)</f>
        <v>VND</v>
      </c>
      <c r="F914" s="1084" t="e">
        <f>VLOOKUP(C914,'Cash balance (BS)'!A:C,3,)</f>
        <v>#N/A</v>
      </c>
      <c r="G914" s="1191" t="e">
        <f t="shared" si="157"/>
        <v>#N/A</v>
      </c>
      <c r="H914" s="1329">
        <f>SUMIFS('Cash balance (Prior period)'!F:F,'Cash balance (Prior period)'!C:C,Table11[[#This Row],[ACCOUNT NUMBER]],'Cash balance (Prior period)'!E:E,Table11[[#This Row],[CURRENCY]])</f>
        <v>13000000000</v>
      </c>
      <c r="I914" s="1330">
        <f>SUMIFS(Movement!$F$4:$F$2136,Movement!$M$4:$M$2136,"VND",Movement!$C$4:$C$2136,Table11[[#This Row],[ACCOUNT NUMBER]],Movement!$J$4:$J$2136,Table11[[#This Row],[ENTITY]],Movement!$O$4:$O$2136,'Cash Balance'!$A$2)</f>
        <v>0</v>
      </c>
      <c r="J914" s="1323">
        <f>SUMIFS(Movement!$G$4:$G$2136,Movement!$M$4:$M$2136,"VND",Movement!$C$4:$C$2136,Table11[[#This Row],[ACCOUNT NUMBER]],Movement!$J$4:$J$2136,Table11[[#This Row],[ENTITY]],Movement!$O$4:$O$2136,'Cash Balance'!$A$2)</f>
        <v>0</v>
      </c>
      <c r="K914" s="1258">
        <f>Table11[[#This Row],[CASH IN - CREDIT (VND)]]-Table11[[#This Row],[CASH OUT - DEBIT (VND)]]</f>
        <v>0</v>
      </c>
      <c r="L914" s="1134">
        <f t="shared" si="158"/>
        <v>13000000000</v>
      </c>
      <c r="M914" s="1135" t="e">
        <f>VLOOKUP(C914,'Cash balance (BS)'!A:D,4,)</f>
        <v>#N/A</v>
      </c>
      <c r="N914" s="1136" t="e">
        <f>Table11[[#This Row],[CLOSING BALANCE (VND)2]]-Table11[[#This Row],[CB_BS (VND)]]</f>
        <v>#N/A</v>
      </c>
      <c r="O914" s="1094"/>
      <c r="P914" s="1135">
        <f t="shared" si="159"/>
        <v>0</v>
      </c>
      <c r="Q914" s="1137">
        <f>SUMIFS('Cash balance (Prior period)'!G:G,'Cash balance (Prior period)'!C:C,Table11[[#This Row],[ACCOUNT NUMBER]],'Cash balance (Prior period)'!E:E,Table11[[#This Row],[CURRENCY]])</f>
        <v>0</v>
      </c>
      <c r="R914" s="1138">
        <f>SUMIFS(Movement!$F$4:$F$2136,Movement!$M$4:$M$2136,"USD",Movement!$C$4:$C$2136,Table11[[#This Row],[ACCOUNT NUMBER]],Movement!$J$4:$J$2136,Table11[[#This Row],[ENTITY]],Movement!$O$4:$O$2136,'Cash Balance'!$A$2)</f>
        <v>0</v>
      </c>
      <c r="S914" s="1137">
        <f>SUMIFS(Movement!$G$4:$G$2136,Movement!$M$4:$M$2136,"USD",Movement!$C$4:$C$2136,Table11[[#This Row],[ACCOUNT NUMBER]],Movement!$J$4:$J$2136,Table11[[#This Row],[ENTITY]],Movement!$O$4:$O$2136,'Cash Balance'!$A$2)</f>
        <v>0</v>
      </c>
      <c r="T914" s="1139">
        <f t="shared" si="160"/>
        <v>0</v>
      </c>
      <c r="U914" s="1090"/>
      <c r="V914" s="1091">
        <f>Table11[[#This Row],[CLOSING BALANCE (USD)]]-Table11[[#This Row],[CB_BS (USD)]]</f>
        <v>0</v>
      </c>
      <c r="W914" s="1186" t="str">
        <f>VLOOKUP('Cash Balance'!$C914,Table2[#All],MATCH('Cash Balance'!W$3,Acc_Char!$B$1:$I$1,0),0)</f>
        <v>Subsidiaries</v>
      </c>
      <c r="X914" s="1156" t="str">
        <f>VLOOKUP(IFERROR(MID($Y914,1,FIND("-",$Y914)-2),$Y914),Table3[#All],2,0)</f>
        <v>Others</v>
      </c>
      <c r="Y914" s="1156" t="str">
        <f>VLOOKUP($B914,Table4[#All],2,0)</f>
        <v>OTHERS</v>
      </c>
      <c r="Z914" s="1405" t="s">
        <v>1521</v>
      </c>
    </row>
    <row r="915" spans="1:26">
      <c r="A915" s="1153" t="e">
        <f>VLOOKUP('Cash Balance'!$C915,Table2[#All],MATCH('Cash Balance'!A$3,Acc_Char!$B$1:$I$1,0),0)</f>
        <v>#N/A</v>
      </c>
      <c r="B915" s="1154" t="e">
        <f>VLOOKUP('Cash Balance'!$C915,Table2[#All],MATCH('Cash Balance'!B$3,Acc_Char!$B$1:$I$1,0),0)</f>
        <v>#N/A</v>
      </c>
      <c r="C915" s="1331"/>
      <c r="D915" s="1156" t="e">
        <f>VLOOKUP('Cash Balance'!$C915,Table2[#All],MATCH('Cash Balance'!D$3,Acc_Char!$B$1:$I$1,0),0)</f>
        <v>#N/A</v>
      </c>
      <c r="E915" s="1201" t="e">
        <f>VLOOKUP('Cash Balance'!$C915,Table2[#All],MATCH('Cash Balance'!E$3,Acc_Char!$B$1:$I$1,0),0)</f>
        <v>#N/A</v>
      </c>
      <c r="F915" s="1084" t="e">
        <f>VLOOKUP(C915,'Cash balance (BS)'!A:C,3,)</f>
        <v>#N/A</v>
      </c>
      <c r="G915" s="1191" t="e">
        <f t="shared" ref="G915:G917" si="161">F915-H915</f>
        <v>#N/A</v>
      </c>
      <c r="H915" s="1329">
        <f>SUMIFS('Cash balance (Prior period)'!F:F,'Cash balance (Prior period)'!C:C,Table11[[#This Row],[ACCOUNT NUMBER]],'Cash balance (Prior period)'!E:E,Table11[[#This Row],[CURRENCY]])</f>
        <v>0</v>
      </c>
      <c r="I915" s="1330">
        <f>SUMIFS(Movement!$F$4:$F$2136,Movement!$M$4:$M$2136,"VND",Movement!$C$4:$C$2136,Table11[[#This Row],[ACCOUNT NUMBER]],Movement!$J$4:$J$2136,Table11[[#This Row],[ENTITY]],Movement!$O$4:$O$2136,'Cash Balance'!$A$2)</f>
        <v>0</v>
      </c>
      <c r="J915" s="1323">
        <f>SUMIFS(Movement!$G$4:$G$2136,Movement!$M$4:$M$2136,"VND",Movement!$C$4:$C$2136,Table11[[#This Row],[ACCOUNT NUMBER]],Movement!$J$4:$J$2136,Table11[[#This Row],[ENTITY]],Movement!$O$4:$O$2136,'Cash Balance'!$A$2)</f>
        <v>0</v>
      </c>
      <c r="K915" s="1258">
        <f>Table11[[#This Row],[CASH IN - CREDIT (VND)]]-Table11[[#This Row],[CASH OUT - DEBIT (VND)]]</f>
        <v>0</v>
      </c>
      <c r="L915" s="1134">
        <f t="shared" ref="L915:L917" si="162">H915+I915-J915</f>
        <v>0</v>
      </c>
      <c r="M915" s="1135" t="e">
        <f>VLOOKUP(C915,'Cash balance (BS)'!A:D,4,)</f>
        <v>#N/A</v>
      </c>
      <c r="N915" s="1136" t="e">
        <f>Table11[[#This Row],[CLOSING BALANCE (VND)2]]-Table11[[#This Row],[CB_BS (VND)]]</f>
        <v>#N/A</v>
      </c>
      <c r="O915" s="1094"/>
      <c r="P915" s="1135">
        <f t="shared" ref="P915:P917" si="163">O915-Q915</f>
        <v>0</v>
      </c>
      <c r="Q915" s="1137">
        <f>SUMIFS('Cash balance (Prior period)'!G:G,'Cash balance (Prior period)'!C:C,Table11[[#This Row],[ACCOUNT NUMBER]],'Cash balance (Prior period)'!E:E,Table11[[#This Row],[CURRENCY]])</f>
        <v>0</v>
      </c>
      <c r="R915" s="1138">
        <f>SUMIFS(Movement!$F$4:$F$2136,Movement!$M$4:$M$2136,"USD",Movement!$C$4:$C$2136,Table11[[#This Row],[ACCOUNT NUMBER]],Movement!$J$4:$J$2136,Table11[[#This Row],[ENTITY]],Movement!$O$4:$O$2136,'Cash Balance'!$A$2)</f>
        <v>0</v>
      </c>
      <c r="S915" s="1137">
        <f>SUMIFS(Movement!$G$4:$G$2136,Movement!$M$4:$M$2136,"USD",Movement!$C$4:$C$2136,Table11[[#This Row],[ACCOUNT NUMBER]],Movement!$J$4:$J$2136,Table11[[#This Row],[ENTITY]],Movement!$O$4:$O$2136,'Cash Balance'!$A$2)</f>
        <v>0</v>
      </c>
      <c r="T915" s="1139">
        <f t="shared" ref="T915:T917" si="164">Q915+R915-S915</f>
        <v>0</v>
      </c>
      <c r="U915" s="1090"/>
      <c r="V915" s="1091">
        <f>Table11[[#This Row],[CLOSING BALANCE (USD)]]-Table11[[#This Row],[CB_BS (USD)]]</f>
        <v>0</v>
      </c>
      <c r="W915" s="1186" t="e">
        <f>VLOOKUP('Cash Balance'!$C915,Table2[#All],MATCH('Cash Balance'!W$3,Acc_Char!$B$1:$I$1,0),0)</f>
        <v>#N/A</v>
      </c>
      <c r="X915" s="1156" t="e">
        <f>VLOOKUP(IFERROR(MID($Y915,1,FIND("-",$Y915)-2),$Y915),Table3[#All],2,0)</f>
        <v>#N/A</v>
      </c>
      <c r="Y915" s="1156" t="e">
        <f>VLOOKUP($B915,Table4[#All],2,0)</f>
        <v>#N/A</v>
      </c>
      <c r="Z915" s="1404"/>
    </row>
    <row r="916" spans="1:26">
      <c r="A916" s="1153" t="e">
        <f>VLOOKUP('Cash Balance'!$C916,Table2[#All],MATCH('Cash Balance'!A$3,Acc_Char!$B$1:$I$1,0),0)</f>
        <v>#N/A</v>
      </c>
      <c r="B916" s="1154" t="e">
        <f>VLOOKUP('Cash Balance'!$C916,Table2[#All],MATCH('Cash Balance'!B$3,Acc_Char!$B$1:$I$1,0),0)</f>
        <v>#N/A</v>
      </c>
      <c r="C916" s="1331"/>
      <c r="D916" s="1156" t="e">
        <f>VLOOKUP('Cash Balance'!$C916,Table2[#All],MATCH('Cash Balance'!D$3,Acc_Char!$B$1:$I$1,0),0)</f>
        <v>#N/A</v>
      </c>
      <c r="E916" s="1201" t="e">
        <f>VLOOKUP('Cash Balance'!$C916,Table2[#All],MATCH('Cash Balance'!E$3,Acc_Char!$B$1:$I$1,0),0)</f>
        <v>#N/A</v>
      </c>
      <c r="F916" s="1084" t="e">
        <f>VLOOKUP(C916,'Cash balance (BS)'!A:C,3,)</f>
        <v>#N/A</v>
      </c>
      <c r="G916" s="1191" t="e">
        <f t="shared" si="161"/>
        <v>#N/A</v>
      </c>
      <c r="H916" s="1329">
        <f>SUMIFS('Cash balance (Prior period)'!F:F,'Cash balance (Prior period)'!C:C,Table11[[#This Row],[ACCOUNT NUMBER]],'Cash balance (Prior period)'!E:E,Table11[[#This Row],[CURRENCY]])</f>
        <v>0</v>
      </c>
      <c r="I916" s="1330">
        <f>SUMIFS(Movement!$F$4:$F$2136,Movement!$M$4:$M$2136,"VND",Movement!$C$4:$C$2136,Table11[[#This Row],[ACCOUNT NUMBER]],Movement!$J$4:$J$2136,Table11[[#This Row],[ENTITY]],Movement!$O$4:$O$2136,'Cash Balance'!$A$2)</f>
        <v>0</v>
      </c>
      <c r="J916" s="1323">
        <f>SUMIFS(Movement!$G$4:$G$2136,Movement!$M$4:$M$2136,"VND",Movement!$C$4:$C$2136,Table11[[#This Row],[ACCOUNT NUMBER]],Movement!$J$4:$J$2136,Table11[[#This Row],[ENTITY]],Movement!$O$4:$O$2136,'Cash Balance'!$A$2)</f>
        <v>0</v>
      </c>
      <c r="K916" s="1258">
        <f>Table11[[#This Row],[CASH IN - CREDIT (VND)]]-Table11[[#This Row],[CASH OUT - DEBIT (VND)]]</f>
        <v>0</v>
      </c>
      <c r="L916" s="1134">
        <f t="shared" si="162"/>
        <v>0</v>
      </c>
      <c r="M916" s="1135" t="e">
        <f>VLOOKUP(C916,'Cash balance (BS)'!A:D,4,)</f>
        <v>#N/A</v>
      </c>
      <c r="N916" s="1136" t="e">
        <f>Table11[[#This Row],[CLOSING BALANCE (VND)2]]-Table11[[#This Row],[CB_BS (VND)]]</f>
        <v>#N/A</v>
      </c>
      <c r="O916" s="1094"/>
      <c r="P916" s="1135">
        <f t="shared" si="163"/>
        <v>0</v>
      </c>
      <c r="Q916" s="1137">
        <f>SUMIFS('Cash balance (Prior period)'!G:G,'Cash balance (Prior period)'!C:C,Table11[[#This Row],[ACCOUNT NUMBER]],'Cash balance (Prior period)'!E:E,Table11[[#This Row],[CURRENCY]])</f>
        <v>0</v>
      </c>
      <c r="R916" s="1138">
        <f>SUMIFS(Movement!$F$4:$F$2136,Movement!$M$4:$M$2136,"USD",Movement!$C$4:$C$2136,Table11[[#This Row],[ACCOUNT NUMBER]],Movement!$J$4:$J$2136,Table11[[#This Row],[ENTITY]],Movement!$O$4:$O$2136,'Cash Balance'!$A$2)</f>
        <v>0</v>
      </c>
      <c r="S916" s="1137">
        <f>SUMIFS(Movement!$G$4:$G$2136,Movement!$M$4:$M$2136,"USD",Movement!$C$4:$C$2136,Table11[[#This Row],[ACCOUNT NUMBER]],Movement!$J$4:$J$2136,Table11[[#This Row],[ENTITY]],Movement!$O$4:$O$2136,'Cash Balance'!$A$2)</f>
        <v>0</v>
      </c>
      <c r="T916" s="1139">
        <f t="shared" si="164"/>
        <v>0</v>
      </c>
      <c r="U916" s="1090"/>
      <c r="V916" s="1091">
        <f>Table11[[#This Row],[CLOSING BALANCE (USD)]]-Table11[[#This Row],[CB_BS (USD)]]</f>
        <v>0</v>
      </c>
      <c r="W916" s="1186" t="e">
        <f>VLOOKUP('Cash Balance'!$C916,Table2[#All],MATCH('Cash Balance'!W$3,Acc_Char!$B$1:$I$1,0),0)</f>
        <v>#N/A</v>
      </c>
      <c r="X916" s="1156" t="e">
        <f>VLOOKUP(IFERROR(MID($Y916,1,FIND("-",$Y916)-2),$Y916),Table3[#All],2,0)</f>
        <v>#N/A</v>
      </c>
      <c r="Y916" s="1156" t="e">
        <f>VLOOKUP($B916,Table4[#All],2,0)</f>
        <v>#N/A</v>
      </c>
      <c r="Z916" s="1404"/>
    </row>
    <row r="917" spans="1:26">
      <c r="A917" s="1153" t="e">
        <f>VLOOKUP('Cash Balance'!$C917,Table2[#All],MATCH('Cash Balance'!A$3,Acc_Char!$B$1:$I$1,0),0)</f>
        <v>#N/A</v>
      </c>
      <c r="B917" s="1154" t="e">
        <f>VLOOKUP('Cash Balance'!$C917,Table2[#All],MATCH('Cash Balance'!B$3,Acc_Char!$B$1:$I$1,0),0)</f>
        <v>#N/A</v>
      </c>
      <c r="C917" s="1331"/>
      <c r="D917" s="1156" t="e">
        <f>VLOOKUP('Cash Balance'!$C917,Table2[#All],MATCH('Cash Balance'!D$3,Acc_Char!$B$1:$I$1,0),0)</f>
        <v>#N/A</v>
      </c>
      <c r="E917" s="1201" t="e">
        <f>VLOOKUP('Cash Balance'!$C917,Table2[#All],MATCH('Cash Balance'!E$3,Acc_Char!$B$1:$I$1,0),0)</f>
        <v>#N/A</v>
      </c>
      <c r="F917" s="1084" t="e">
        <f>VLOOKUP(C917,'Cash balance (BS)'!A:C,3,)</f>
        <v>#N/A</v>
      </c>
      <c r="G917" s="1191" t="e">
        <f t="shared" si="161"/>
        <v>#N/A</v>
      </c>
      <c r="H917" s="1329">
        <f>SUMIFS('Cash balance (Prior period)'!F:F,'Cash balance (Prior period)'!C:C,Table11[[#This Row],[ACCOUNT NUMBER]],'Cash balance (Prior period)'!E:E,Table11[[#This Row],[CURRENCY]])</f>
        <v>0</v>
      </c>
      <c r="I917" s="1330">
        <f>SUMIFS(Movement!$F$4:$F$2136,Movement!$M$4:$M$2136,"VND",Movement!$C$4:$C$2136,Table11[[#This Row],[ACCOUNT NUMBER]],Movement!$J$4:$J$2136,Table11[[#This Row],[ENTITY]],Movement!$O$4:$O$2136,'Cash Balance'!$A$2)</f>
        <v>0</v>
      </c>
      <c r="J917" s="1323">
        <f>SUMIFS(Movement!$G$4:$G$2136,Movement!$M$4:$M$2136,"VND",Movement!$C$4:$C$2136,Table11[[#This Row],[ACCOUNT NUMBER]],Movement!$J$4:$J$2136,Table11[[#This Row],[ENTITY]],Movement!$O$4:$O$2136,'Cash Balance'!$A$2)</f>
        <v>0</v>
      </c>
      <c r="K917" s="1258">
        <f>Table11[[#This Row],[CASH IN - CREDIT (VND)]]-Table11[[#This Row],[CASH OUT - DEBIT (VND)]]</f>
        <v>0</v>
      </c>
      <c r="L917" s="1134">
        <f t="shared" si="162"/>
        <v>0</v>
      </c>
      <c r="M917" s="1135" t="e">
        <f>VLOOKUP(C917,'Cash balance (BS)'!A:D,4,)</f>
        <v>#N/A</v>
      </c>
      <c r="N917" s="1136" t="e">
        <f>Table11[[#This Row],[CLOSING BALANCE (VND)2]]-Table11[[#This Row],[CB_BS (VND)]]</f>
        <v>#N/A</v>
      </c>
      <c r="O917" s="1094"/>
      <c r="P917" s="1135">
        <f t="shared" si="163"/>
        <v>0</v>
      </c>
      <c r="Q917" s="1137">
        <f>SUMIFS('Cash balance (Prior period)'!G:G,'Cash balance (Prior period)'!C:C,Table11[[#This Row],[ACCOUNT NUMBER]],'Cash balance (Prior period)'!E:E,Table11[[#This Row],[CURRENCY]])</f>
        <v>0</v>
      </c>
      <c r="R917" s="1138">
        <f>SUMIFS(Movement!$F$4:$F$2136,Movement!$M$4:$M$2136,"USD",Movement!$C$4:$C$2136,Table11[[#This Row],[ACCOUNT NUMBER]],Movement!$J$4:$J$2136,Table11[[#This Row],[ENTITY]],Movement!$O$4:$O$2136,'Cash Balance'!$A$2)</f>
        <v>0</v>
      </c>
      <c r="S917" s="1137">
        <f>SUMIFS(Movement!$G$4:$G$2136,Movement!$M$4:$M$2136,"USD",Movement!$C$4:$C$2136,Table11[[#This Row],[ACCOUNT NUMBER]],Movement!$J$4:$J$2136,Table11[[#This Row],[ENTITY]],Movement!$O$4:$O$2136,'Cash Balance'!$A$2)</f>
        <v>0</v>
      </c>
      <c r="T917" s="1139">
        <f t="shared" si="164"/>
        <v>0</v>
      </c>
      <c r="U917" s="1090"/>
      <c r="V917" s="1091">
        <f>Table11[[#This Row],[CLOSING BALANCE (USD)]]-Table11[[#This Row],[CB_BS (USD)]]</f>
        <v>0</v>
      </c>
      <c r="W917" s="1186" t="e">
        <f>VLOOKUP('Cash Balance'!$C917,Table2[#All],MATCH('Cash Balance'!W$3,Acc_Char!$B$1:$I$1,0),0)</f>
        <v>#N/A</v>
      </c>
      <c r="X917" s="1156" t="e">
        <f>VLOOKUP(IFERROR(MID($Y917,1,FIND("-",$Y917)-2),$Y917),Table3[#All],2,0)</f>
        <v>#N/A</v>
      </c>
      <c r="Y917" s="1156" t="e">
        <f>VLOOKUP($B917,Table4[#All],2,0)</f>
        <v>#N/A</v>
      </c>
      <c r="Z917" s="1404"/>
    </row>
    <row r="918" spans="1:26">
      <c r="A918" s="1153" t="e">
        <f>VLOOKUP('Cash Balance'!$C918,Table2[#All],MATCH('Cash Balance'!A$3,Acc_Char!$B$1:$I$1,0),0)</f>
        <v>#N/A</v>
      </c>
      <c r="B918" s="1154" t="e">
        <f>VLOOKUP('Cash Balance'!$C918,Table2[#All],MATCH('Cash Balance'!B$3,Acc_Char!$B$1:$I$1,0),0)</f>
        <v>#N/A</v>
      </c>
      <c r="C918" s="1331"/>
      <c r="D918" s="1156" t="e">
        <f>VLOOKUP('Cash Balance'!$C918,Table2[#All],MATCH('Cash Balance'!D$3,Acc_Char!$B$1:$I$1,0),0)</f>
        <v>#N/A</v>
      </c>
      <c r="E918" s="1201" t="e">
        <f>VLOOKUP('Cash Balance'!$C918,Table2[#All],MATCH('Cash Balance'!E$3,Acc_Char!$B$1:$I$1,0),0)</f>
        <v>#N/A</v>
      </c>
      <c r="F918" s="1084" t="e">
        <f>VLOOKUP(C918,'Cash balance (BS)'!A:C,3,)</f>
        <v>#N/A</v>
      </c>
      <c r="G918" s="1191" t="e">
        <f>F918-H918</f>
        <v>#N/A</v>
      </c>
      <c r="H918" s="1329">
        <f>SUMIFS('Cash balance (Prior period)'!F:F,'Cash balance (Prior period)'!C:C,Table11[[#This Row],[ACCOUNT NUMBER]],'Cash balance (Prior period)'!E:E,Table11[[#This Row],[CURRENCY]])</f>
        <v>0</v>
      </c>
      <c r="I918" s="1330">
        <f>SUMIFS(Movement!$F$4:$F$2136,Movement!$M$4:$M$2136,"VND",Movement!$C$4:$C$2136,Table11[[#This Row],[ACCOUNT NUMBER]],Movement!$J$4:$J$2136,Table11[[#This Row],[ENTITY]],Movement!$O$4:$O$2136,'Cash Balance'!$A$2)</f>
        <v>0</v>
      </c>
      <c r="J918" s="1323">
        <f>SUMIFS(Movement!$G$4:$G$2136,Movement!$M$4:$M$2136,"VND",Movement!$C$4:$C$2136,Table11[[#This Row],[ACCOUNT NUMBER]],Movement!$J$4:$J$2136,Table11[[#This Row],[ENTITY]],Movement!$O$4:$O$2136,'Cash Balance'!$A$2)</f>
        <v>0</v>
      </c>
      <c r="K918" s="1258">
        <f>Table11[[#This Row],[CASH IN - CREDIT (VND)]]-Table11[[#This Row],[CASH OUT - DEBIT (VND)]]</f>
        <v>0</v>
      </c>
      <c r="L918" s="1134">
        <f>H918+I918-J918</f>
        <v>0</v>
      </c>
      <c r="M918" s="1135" t="e">
        <f>VLOOKUP(C918,'Cash balance (BS)'!A:D,4,)</f>
        <v>#N/A</v>
      </c>
      <c r="N918" s="1136" t="e">
        <f>Table11[[#This Row],[CLOSING BALANCE (VND)2]]-Table11[[#This Row],[CB_BS (VND)]]</f>
        <v>#N/A</v>
      </c>
      <c r="O918" s="1094"/>
      <c r="P918" s="1135">
        <f>O918-Q918</f>
        <v>0</v>
      </c>
      <c r="Q918" s="1137">
        <f>SUMIFS('Cash balance (Prior period)'!G:G,'Cash balance (Prior period)'!C:C,Table11[[#This Row],[ACCOUNT NUMBER]],'Cash balance (Prior period)'!E:E,Table11[[#This Row],[CURRENCY]])</f>
        <v>0</v>
      </c>
      <c r="R918" s="1138">
        <f>SUMIFS(Movement!$F$4:$F$2136,Movement!$M$4:$M$2136,"USD",Movement!$C$4:$C$2136,Table11[[#This Row],[ACCOUNT NUMBER]],Movement!$J$4:$J$2136,Table11[[#This Row],[ENTITY]],Movement!$O$4:$O$2136,'Cash Balance'!$A$2)</f>
        <v>0</v>
      </c>
      <c r="S918" s="1137">
        <f>SUMIFS(Movement!$G$4:$G$2136,Movement!$M$4:$M$2136,"USD",Movement!$C$4:$C$2136,Table11[[#This Row],[ACCOUNT NUMBER]],Movement!$J$4:$J$2136,Table11[[#This Row],[ENTITY]],Movement!$O$4:$O$2136,'Cash Balance'!$A$2)</f>
        <v>0</v>
      </c>
      <c r="T918" s="1139">
        <f>Q918+R918-S918</f>
        <v>0</v>
      </c>
      <c r="U918" s="1090"/>
      <c r="V918" s="1091">
        <f>Table11[[#This Row],[CLOSING BALANCE (USD)]]-Table11[[#This Row],[CB_BS (USD)]]</f>
        <v>0</v>
      </c>
      <c r="W918" s="1186" t="e">
        <f>VLOOKUP('Cash Balance'!$C918,Table2[#All],MATCH('Cash Balance'!W$3,Acc_Char!$B$1:$I$1,0),0)</f>
        <v>#N/A</v>
      </c>
      <c r="X918" s="1156" t="e">
        <f>VLOOKUP(IFERROR(MID($Y918,1,FIND("-",$Y918)-2),$Y918),Table3[#All],2,0)</f>
        <v>#N/A</v>
      </c>
      <c r="Y918" s="1156" t="e">
        <f>VLOOKUP($B918,Table4[#All],2,0)</f>
        <v>#N/A</v>
      </c>
      <c r="Z918" s="1151"/>
    </row>
    <row r="919" spans="1:26">
      <c r="A919" s="1153" t="e">
        <f>VLOOKUP('Cash Balance'!$C919,Table2[#All],MATCH('Cash Balance'!A$3,Acc_Char!$B$1:$I$1,0),0)</f>
        <v>#N/A</v>
      </c>
      <c r="B919" s="1154" t="e">
        <f>VLOOKUP('Cash Balance'!$C919,Table2[#All],MATCH('Cash Balance'!B$3,Acc_Char!$B$1:$I$1,0),0)</f>
        <v>#N/A</v>
      </c>
      <c r="C919" s="1203"/>
      <c r="D919" s="1156" t="e">
        <f>VLOOKUP('Cash Balance'!$C919,Table2[#All],MATCH('Cash Balance'!D$3,Acc_Char!$B$1:$I$1,0),0)</f>
        <v>#N/A</v>
      </c>
      <c r="E919" s="384" t="e">
        <f>VLOOKUP('Cash Balance'!$C919,Table2[#All],MATCH('Cash Balance'!E$3,Acc_Char!$B$1:$I$1,0),0)</f>
        <v>#N/A</v>
      </c>
      <c r="F919" s="1084" t="e">
        <f>VLOOKUP(C919,'Cash balance (BS)'!A:C,3,)</f>
        <v>#N/A</v>
      </c>
      <c r="G919" s="1191" t="e">
        <f t="shared" ref="G919" si="165">F919-H919</f>
        <v>#N/A</v>
      </c>
      <c r="H919" s="1321">
        <f>SUMIFS('Cash balance (Prior period)'!F:F,'Cash balance (Prior period)'!C:C,Table11[[#This Row],[ACCOUNT NUMBER]],'Cash balance (Prior period)'!E:E,Table11[[#This Row],[CURRENCY]])</f>
        <v>0</v>
      </c>
      <c r="I919" s="1322">
        <f>SUMIFS(Movement!$F$4:$F$2136,Movement!$M$4:$M$2136,"VND",Movement!$C$4:$C$2136,Table11[[#This Row],[ACCOUNT NUMBER]],Movement!$J$4:$J$2136,Table11[[#This Row],[ENTITY]],Movement!$O$4:$O$2136,'Cash Balance'!$A$2)</f>
        <v>0</v>
      </c>
      <c r="J919" s="1323">
        <f>SUMIFS(Movement!$G$4:$G$2136,Movement!$M$4:$M$2136,"VND",Movement!$C$4:$C$2136,Table11[[#This Row],[ACCOUNT NUMBER]],Movement!$J$4:$J$2136,Table11[[#This Row],[ENTITY]],Movement!$O$4:$O$2136,'Cash Balance'!$A$2)</f>
        <v>0</v>
      </c>
      <c r="K919" s="1258">
        <f>Table11[[#This Row],[CASH IN - CREDIT (VND)]]-Table11[[#This Row],[CASH OUT - DEBIT (VND)]]</f>
        <v>0</v>
      </c>
      <c r="L919" s="1095">
        <f t="shared" si="85"/>
        <v>0</v>
      </c>
      <c r="M919" s="1135" t="e">
        <f>VLOOKUP(C919,'Cash balance (BS)'!A:D,4,)</f>
        <v>#N/A</v>
      </c>
      <c r="N919" s="1136" t="e">
        <f>Table11[[#This Row],[CLOSING BALANCE (VND)2]]-Table11[[#This Row],[CB_BS (VND)]]</f>
        <v>#N/A</v>
      </c>
      <c r="O919" s="1094">
        <v>0</v>
      </c>
      <c r="P919" s="1135">
        <f t="shared" ref="P919" si="166">O919-Q919</f>
        <v>0</v>
      </c>
      <c r="Q919" s="1137"/>
      <c r="R919" s="1138"/>
      <c r="S919" s="1137"/>
      <c r="T919" s="1087">
        <f t="shared" si="87"/>
        <v>0</v>
      </c>
      <c r="U919" s="1090"/>
      <c r="V919" s="1091">
        <f>Table11[[#This Row],[CLOSING BALANCE (USD)]]-Table11[[#This Row],[CB_BS (USD)]]</f>
        <v>0</v>
      </c>
      <c r="W919" s="1156" t="e">
        <f>VLOOKUP('Cash Balance'!$C919,Table2[#All],MATCH('Cash Balance'!W$3,Acc_Char!$B$1:$I$1,0),0)</f>
        <v>#N/A</v>
      </c>
      <c r="X919" s="1156" t="e">
        <f>VLOOKUP(IFERROR(MID($Y919,1,FIND("-",$Y919)-2),$Y919),Table3[#All],2,0)</f>
        <v>#N/A</v>
      </c>
      <c r="Y919" s="1156" t="e">
        <f>VLOOKUP($B919,Table4[#All],2,0)</f>
        <v>#N/A</v>
      </c>
      <c r="Z919" s="1151"/>
    </row>
    <row r="920" spans="1:26" s="1239" customFormat="1">
      <c r="A920" s="1239" t="s">
        <v>466</v>
      </c>
      <c r="B920" s="1239" t="s">
        <v>466</v>
      </c>
      <c r="C920" s="1239" t="s">
        <v>466</v>
      </c>
      <c r="D920" s="1239" t="s">
        <v>466</v>
      </c>
      <c r="E920" s="1239" t="s">
        <v>1525</v>
      </c>
      <c r="F920" s="1238" t="s">
        <v>466</v>
      </c>
      <c r="H920" s="1325" t="s">
        <v>466</v>
      </c>
      <c r="I920" s="1325" t="s">
        <v>466</v>
      </c>
      <c r="J920" s="1325" t="s">
        <v>466</v>
      </c>
      <c r="L920" s="1238" t="s">
        <v>466</v>
      </c>
      <c r="M920" s="1238"/>
      <c r="N920" s="1238"/>
      <c r="O920" s="1238"/>
      <c r="P920" s="1238"/>
      <c r="Q920" s="1239" t="s">
        <v>466</v>
      </c>
      <c r="R920" s="1239" t="s">
        <v>466</v>
      </c>
      <c r="S920" s="1239" t="s">
        <v>466</v>
      </c>
      <c r="T920" s="1238" t="s">
        <v>466</v>
      </c>
      <c r="U920" s="1238"/>
      <c r="V920" s="1238"/>
      <c r="W920" s="1239" t="s">
        <v>466</v>
      </c>
      <c r="X920" s="1239" t="s">
        <v>466</v>
      </c>
      <c r="Y920" s="1239" t="s">
        <v>466</v>
      </c>
    </row>
    <row r="921" spans="1:26" ht="14.4">
      <c r="C921" s="1092"/>
      <c r="D921" s="1092"/>
    </row>
    <row r="922" spans="1:26">
      <c r="T922" s="1210"/>
    </row>
    <row r="926" spans="1:26">
      <c r="Q926" s="1382"/>
    </row>
  </sheetData>
  <phoneticPr fontId="132" type="noConversion"/>
  <conditionalFormatting sqref="C1:C1048576">
    <cfRule type="duplicateValues" dxfId="16" priority="3"/>
  </conditionalFormatting>
  <conditionalFormatting sqref="F695:G698">
    <cfRule type="duplicateValues" dxfId="15" priority="23"/>
  </conditionalFormatting>
  <conditionalFormatting sqref="H1 L1:Q1">
    <cfRule type="expression" dxfId="14" priority="39">
      <formula>H1=FALSE</formula>
    </cfRule>
  </conditionalFormatting>
  <conditionalFormatting sqref="T1:V1">
    <cfRule type="expression" dxfId="13" priority="1">
      <formula>T1=FALSE</formula>
    </cfRule>
  </conditionalFormatting>
  <conditionalFormatting sqref="AB674:XFD676 F678:G694 F673:G676">
    <cfRule type="duplicateValues" dxfId="12" priority="29"/>
  </conditionalFormatting>
  <conditionalFormatting sqref="AB700:XFD714 F699:G919 U699:V919 C709:C919">
    <cfRule type="duplicateValues" dxfId="11" priority="3629"/>
  </conditionalFormatting>
  <pageMargins left="0.7" right="0.7" top="0.75" bottom="0.75" header="0.3" footer="0.3"/>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65B29-9007-4317-91F7-A382BCF69F53}">
  <sheetPr codeName="Sheet11">
    <tabColor theme="9" tint="0.39997558519241921"/>
  </sheetPr>
  <dimension ref="A1:AD262"/>
  <sheetViews>
    <sheetView zoomScale="80" zoomScaleNormal="80" workbookViewId="0">
      <pane xSplit="2" ySplit="3" topLeftCell="C70" activePane="bottomRight" state="frozen"/>
      <selection pane="topRight" activeCell="L1" sqref="L1"/>
      <selection pane="bottomLeft" activeCell="L1" sqref="L1"/>
      <selection pane="bottomRight" activeCell="B3" sqref="B3"/>
    </sheetView>
  </sheetViews>
  <sheetFormatPr defaultColWidth="8.5546875" defaultRowHeight="14.4"/>
  <cols>
    <col min="1" max="1" width="28" style="24" customWidth="1"/>
    <col min="2" max="2" width="29" style="24" customWidth="1"/>
    <col min="3" max="3" width="19.5546875" style="24" customWidth="1"/>
    <col min="4" max="4" width="16.44140625" style="24" customWidth="1"/>
    <col min="5" max="5" width="17.5546875" style="24" customWidth="1"/>
    <col min="6" max="6" width="22.77734375" style="24" bestFit="1" customWidth="1"/>
    <col min="7" max="7" width="17.44140625" style="24" hidden="1" customWidth="1"/>
    <col min="8" max="8" width="18.5546875" style="24" customWidth="1"/>
    <col min="9" max="10" width="18.5546875" style="24" hidden="1" customWidth="1"/>
    <col min="11" max="11" width="17.5546875" style="882" customWidth="1"/>
    <col min="12" max="12" width="17.5546875" style="24" customWidth="1"/>
    <col min="13" max="13" width="14.5546875" style="24" customWidth="1"/>
    <col min="14" max="14" width="13.5546875" style="24" bestFit="1" customWidth="1"/>
    <col min="15" max="15" width="24.44140625" style="24" customWidth="1"/>
    <col min="16" max="16" width="16.44140625" style="24" hidden="1" customWidth="1"/>
    <col min="17" max="17" width="22.77734375" style="24" hidden="1" customWidth="1"/>
    <col min="18" max="18" width="20.5546875" style="24" hidden="1" customWidth="1"/>
    <col min="19" max="19" width="20.5546875" style="24" customWidth="1"/>
    <col min="20" max="20" width="14.44140625" style="886" bestFit="1" customWidth="1"/>
    <col min="21" max="21" width="21.21875" style="24" bestFit="1" customWidth="1"/>
    <col min="22" max="22" width="13" style="748" hidden="1" customWidth="1"/>
    <col min="23" max="23" width="11.21875" style="24" hidden="1" customWidth="1"/>
    <col min="24" max="24" width="14.44140625" style="24" hidden="1" customWidth="1"/>
    <col min="25" max="25" width="14.21875" style="24" hidden="1" customWidth="1"/>
    <col min="26" max="26" width="15.21875" style="886" hidden="1" customWidth="1"/>
    <col min="27" max="29" width="0" style="24" hidden="1" customWidth="1"/>
    <col min="30" max="16384" width="8.5546875" style="24"/>
  </cols>
  <sheetData>
    <row r="1" spans="1:29">
      <c r="B1" s="748"/>
      <c r="C1" s="759"/>
      <c r="E1" s="759"/>
      <c r="F1" s="885">
        <f>F2/Fx</f>
        <v>103014852.11629418</v>
      </c>
      <c r="K1" s="881" t="s">
        <v>1526</v>
      </c>
      <c r="L1" s="883">
        <f>Summary!B6</f>
        <v>46037</v>
      </c>
    </row>
    <row r="2" spans="1:29">
      <c r="B2" s="877"/>
      <c r="D2" s="759"/>
      <c r="E2" s="928"/>
      <c r="F2" s="749">
        <f>SUBTOTAL(109,F4:F1047675)</f>
        <v>2696413754144</v>
      </c>
      <c r="G2" s="750">
        <f>SUBTOTAL(109,G4:G1047675)</f>
        <v>0</v>
      </c>
      <c r="H2" s="759"/>
      <c r="L2" s="751"/>
    </row>
    <row r="3" spans="1:29" ht="42.6" customHeight="1">
      <c r="A3" s="909" t="s">
        <v>313</v>
      </c>
      <c r="B3" s="910" t="s">
        <v>314</v>
      </c>
      <c r="C3" s="910" t="s">
        <v>315</v>
      </c>
      <c r="D3" s="910" t="s">
        <v>304</v>
      </c>
      <c r="E3" s="910" t="s">
        <v>316</v>
      </c>
      <c r="F3" s="911" t="s">
        <v>1527</v>
      </c>
      <c r="G3" s="625" t="s">
        <v>1528</v>
      </c>
      <c r="H3" s="912" t="s">
        <v>1529</v>
      </c>
      <c r="I3" s="626" t="s">
        <v>1530</v>
      </c>
      <c r="J3" s="626" t="s">
        <v>183</v>
      </c>
      <c r="K3" s="913" t="s">
        <v>1531</v>
      </c>
      <c r="L3" s="912" t="s">
        <v>1532</v>
      </c>
      <c r="M3" s="912" t="s">
        <v>289</v>
      </c>
      <c r="N3" s="912" t="s">
        <v>334</v>
      </c>
      <c r="O3" s="912" t="s">
        <v>69</v>
      </c>
      <c r="P3" s="626" t="s">
        <v>1533</v>
      </c>
      <c r="Q3" s="626" t="s">
        <v>252</v>
      </c>
      <c r="R3" s="626" t="s">
        <v>1534</v>
      </c>
      <c r="S3" s="912" t="s">
        <v>181</v>
      </c>
      <c r="T3" s="914" t="s">
        <v>1535</v>
      </c>
      <c r="U3" s="1407" t="s">
        <v>1536</v>
      </c>
      <c r="V3" s="1406" t="s">
        <v>1537</v>
      </c>
      <c r="W3" s="1116" t="s">
        <v>1538</v>
      </c>
      <c r="X3" s="626" t="s">
        <v>1539</v>
      </c>
      <c r="Y3" s="1116" t="s">
        <v>1540</v>
      </c>
      <c r="Z3" s="626" t="s">
        <v>1541</v>
      </c>
      <c r="AA3" s="626" t="s">
        <v>1542</v>
      </c>
      <c r="AB3" s="626" t="s">
        <v>1543</v>
      </c>
      <c r="AC3" s="626" t="s">
        <v>1544</v>
      </c>
    </row>
    <row r="4" spans="1:29">
      <c r="A4" s="920" t="str">
        <f>IFERROR(VLOOKUP($C4,Table2[#All],3,0),0)</f>
        <v>BAC TIEN PHONG</v>
      </c>
      <c r="B4" s="921" t="str">
        <f>_xlfn.XLOOKUP(Table1218[[#This Row],[ACCOUNT NUMBER]],Table2[Account No.],Table2[BRANCH],"recheck",0)</f>
        <v>BIDV - THANH XUAN</v>
      </c>
      <c r="C4" s="1141" t="s">
        <v>989</v>
      </c>
      <c r="D4" s="922" t="str">
        <f>_xlfn.XLOOKUP(Table1218[[#This Row],[ACCOUNT NUMBER]],Table2[Account No.],Table2[ACCOUNT TYPE],"recheck",0)</f>
        <v>Saving Account</v>
      </c>
      <c r="E4" s="1129" t="str">
        <f>_xlfn.XLOOKUP(Table1218[[#This Row],[ACCOUNT NUMBER]],Table2[Account No.],Table2[CURRENCY],"recheck",0)</f>
        <v>VND</v>
      </c>
      <c r="F4" s="926">
        <f>SUMIFS(Table11[CLOSING BALANCE (VND)2],Table11[ACCOUNT NUMBER],Table1218[[#This Row],[ACCOUNT NUMBER]],Table11[CURRENCY],Table1218[[#This Row],[CURRENCY]])</f>
        <v>6000000000</v>
      </c>
      <c r="G4" s="926">
        <f>SUMIFS(Table11[CLOSING BALANCE (USD)],Table11[ACCOUNT NUMBER],Table1218[[#This Row],[ACCOUNT NUMBER]],Table11[CURRENCY],Table1218[[#This Row],[CURRENCY]])</f>
        <v>0</v>
      </c>
      <c r="H4" s="1129" t="s">
        <v>221</v>
      </c>
      <c r="I4" s="1129"/>
      <c r="J4" s="1129"/>
      <c r="K4" s="1130">
        <v>46041</v>
      </c>
      <c r="L4" s="927">
        <v>4.4999999999999998E-2</v>
      </c>
      <c r="M4" s="922" t="str">
        <f>VLOOKUP($A4,Table1[[#All],[Entities]:[Name]],MATCH(M$3,Table1[[#Headers],[Entities]:[Name]],0),0)</f>
        <v>Subsidiaries</v>
      </c>
      <c r="N4" s="922" t="str">
        <f>IFERROR(VLOOKUP(IFERROR(MID($O4,1,FIND("-",$O4)-2),O4),Table3[#All],2,0),0)</f>
        <v>BIDV</v>
      </c>
      <c r="O4" s="923" t="str">
        <f>B4</f>
        <v>BIDV - THANH XUAN</v>
      </c>
      <c r="P4" s="927"/>
      <c r="Q4" s="922"/>
      <c r="R4" s="922"/>
      <c r="S4" s="924" t="str">
        <f>IF(ISBLANK(Table1218[[#This Row],[Maturity date]]),"","W"&amp;MIN(WEEKNUM($K4+1,2)-WEEKNUM(EOMONTH($K4+1,-1)),4)&amp;TEXT($K4+1,"mmmyy"))</f>
        <v>W-49Jan26</v>
      </c>
      <c r="T4" s="925">
        <f>Table1218[[#This Row],[CLOSING BALANCE 
(VND)]]/1000000000</f>
        <v>6</v>
      </c>
      <c r="U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4" s="1114">
        <f>_xlfn.NUMBERVALUE(LEFT(Table1218[[#This Row],[Term (months)]],1))</f>
        <v>3</v>
      </c>
      <c r="W4" s="1112">
        <v>3</v>
      </c>
      <c r="X4" s="1115">
        <f>Table1218[[#This Row],[Column3]]-Table1218[[#This Row],[Per bank statement]]</f>
        <v>0</v>
      </c>
      <c r="Y4" s="1117">
        <v>4.3999999999999997E-2</v>
      </c>
      <c r="Z4" s="1118">
        <f>Table1218[[#This Row],[Interest rate]]-Table1218[[#This Row],[Per bank statement2]]</f>
        <v>1.0000000000000009E-3</v>
      </c>
      <c r="AA4" s="1112" t="s">
        <v>1550</v>
      </c>
      <c r="AB4" s="1112"/>
      <c r="AC4" s="1112"/>
    </row>
    <row r="5" spans="1:29">
      <c r="A5" s="920" t="str">
        <f>IFERROR(VLOOKUP($C5,Table2[#All],3,0),0)</f>
        <v>BAC TIEN PHONG</v>
      </c>
      <c r="B5" s="921" t="str">
        <f>_xlfn.XLOOKUP(Table1218[[#This Row],[ACCOUNT NUMBER]],Table2[Account No.],Table2[BRANCH],"recheck",0)</f>
        <v>BIDV - THANH XUAN</v>
      </c>
      <c r="C5" s="1141" t="s">
        <v>997</v>
      </c>
      <c r="D5" s="922" t="str">
        <f>_xlfn.XLOOKUP(Table1218[[#This Row],[ACCOUNT NUMBER]],Table2[Account No.],Table2[ACCOUNT TYPE],"recheck",0)</f>
        <v>Saving Account</v>
      </c>
      <c r="E5" s="1129" t="str">
        <f>_xlfn.XLOOKUP(Table1218[[#This Row],[ACCOUNT NUMBER]],Table2[Account No.],Table2[CURRENCY],"recheck",0)</f>
        <v>VND</v>
      </c>
      <c r="F5" s="926">
        <f>SUMIFS(Table11[CLOSING BALANCE (VND)2],Table11[ACCOUNT NUMBER],Table1218[[#This Row],[ACCOUNT NUMBER]],Table11[CURRENCY],Table1218[[#This Row],[CURRENCY]])</f>
        <v>5000000000</v>
      </c>
      <c r="G5" s="926">
        <f>SUMIFS(Table11[CLOSING BALANCE (USD)],Table11[ACCOUNT NUMBER],Table1218[[#This Row],[ACCOUNT NUMBER]],Table11[CURRENCY],Table1218[[#This Row],[CURRENCY]])</f>
        <v>0</v>
      </c>
      <c r="H5" s="1129" t="s">
        <v>224</v>
      </c>
      <c r="I5" s="1129"/>
      <c r="J5" s="1129"/>
      <c r="K5" s="1130">
        <v>46158</v>
      </c>
      <c r="L5" s="927">
        <v>5.2999999999999999E-2</v>
      </c>
      <c r="M5" s="922" t="str">
        <f>VLOOKUP($A5,Table1[[#All],[Entities]:[Name]],MATCH(M$3,Table1[[#Headers],[Entities]:[Name]],0),0)</f>
        <v>Subsidiaries</v>
      </c>
      <c r="N5" s="922" t="str">
        <f>IFERROR(VLOOKUP(IFERROR(MID($O5,1,FIND("-",$O5)-2),O5),Table3[#All],2,0),0)</f>
        <v>BIDV</v>
      </c>
      <c r="O5" s="923" t="str">
        <f>B5</f>
        <v>BIDV - THANH XUAN</v>
      </c>
      <c r="P5" s="927"/>
      <c r="Q5" s="922"/>
      <c r="R5" s="922"/>
      <c r="S5" s="924" t="str">
        <f>IF(ISBLANK(Table1218[[#This Row],[Maturity date]]),"","W"&amp;MIN(WEEKNUM($K5+1,2)-WEEKNUM(EOMONTH($K5+1,-1)),4)&amp;TEXT($K5+1,"mmmyy"))</f>
        <v>W2May26</v>
      </c>
      <c r="T5" s="925">
        <f>Table1218[[#This Row],[CLOSING BALANCE 
(VND)]]/1000000000</f>
        <v>5</v>
      </c>
      <c r="U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4 months</v>
      </c>
      <c r="V5" s="1114">
        <f>_xlfn.NUMBERVALUE(LEFT(Table1218[[#This Row],[Term (months)]],1))</f>
        <v>6</v>
      </c>
      <c r="W5" s="1112">
        <v>6</v>
      </c>
      <c r="X5" s="1115">
        <f>Table1218[[#This Row],[Column3]]-Table1218[[#This Row],[Per bank statement]]</f>
        <v>0</v>
      </c>
      <c r="Y5" s="1117">
        <v>4.4999999999999998E-2</v>
      </c>
      <c r="Z5" s="1118">
        <f>Table1218[[#This Row],[Interest rate]]-Table1218[[#This Row],[Per bank statement2]]</f>
        <v>8.0000000000000002E-3</v>
      </c>
      <c r="AA5" s="1112" t="s">
        <v>1550</v>
      </c>
      <c r="AB5" s="1112"/>
      <c r="AC5" s="1112"/>
    </row>
    <row r="6" spans="1:29">
      <c r="A6" s="920" t="str">
        <f>IFERROR(VLOOKUP($C6,Table2[#All],3,0),0)</f>
        <v>BAU BANG 3</v>
      </c>
      <c r="B6" s="921" t="str">
        <f>_xlfn.XLOOKUP(Table1218[[#This Row],[ACCOUNT NUMBER]],Table2[Account No.],Table2[BRANCH],"recheck",0)</f>
        <v>VIETINBANK - BINH DUONG</v>
      </c>
      <c r="C6" s="1141" t="s">
        <v>853</v>
      </c>
      <c r="D6" s="922" t="str">
        <f>_xlfn.XLOOKUP(Table1218[[#This Row],[ACCOUNT NUMBER]],Table2[Account No.],Table2[ACCOUNT TYPE],"recheck",0)</f>
        <v>Saving Account</v>
      </c>
      <c r="E6" s="1129" t="str">
        <f>_xlfn.XLOOKUP(Table1218[[#This Row],[ACCOUNT NUMBER]],Table2[Account No.],Table2[CURRENCY],"recheck",0)</f>
        <v>VND</v>
      </c>
      <c r="F6" s="926">
        <f>SUMIFS(Table11[CLOSING BALANCE (VND)2],Table11[ACCOUNT NUMBER],Table1218[[#This Row],[ACCOUNT NUMBER]],Table11[CURRENCY],Table1218[[#This Row],[CURRENCY]])</f>
        <v>500000000</v>
      </c>
      <c r="G6" s="926">
        <f>SUMIFS(Table11[CLOSING BALANCE (USD)],Table11[ACCOUNT NUMBER],Table1218[[#This Row],[ACCOUNT NUMBER]],Table11[CURRENCY],Table1218[[#This Row],[CURRENCY]])</f>
        <v>0</v>
      </c>
      <c r="H6" s="1129" t="s">
        <v>224</v>
      </c>
      <c r="I6" s="1129"/>
      <c r="J6" s="1129"/>
      <c r="K6" s="1130">
        <v>46075</v>
      </c>
      <c r="L6" s="927">
        <v>4.4999999999999998E-2</v>
      </c>
      <c r="M6" s="922" t="str">
        <f>VLOOKUP($A6,Table1[[#All],[Entities]:[Name]],MATCH(M$3,Table1[[#Headers],[Entities]:[Name]],0),0)</f>
        <v>Subsidiaries</v>
      </c>
      <c r="N6" s="922" t="str">
        <f>IFERROR(VLOOKUP(IFERROR(MID($O6,1,FIND("-",$O6)-2),O6),Table3[#All],2,0),0)</f>
        <v>VTB</v>
      </c>
      <c r="O6" s="923" t="str">
        <f>B6</f>
        <v>VIETINBANK - BINH DUONG</v>
      </c>
      <c r="P6" s="927"/>
      <c r="Q6" s="922" t="s">
        <v>1545</v>
      </c>
      <c r="R6" s="922"/>
      <c r="S6" s="924" t="str">
        <f>IF(ISBLANK(Table1218[[#This Row],[Maturity date]]),"","W"&amp;MIN(WEEKNUM($K6+1,2)-WEEKNUM(EOMONTH($K6+1,-1)),4)&amp;TEXT($K6+1,"mmmyy"))</f>
        <v>W4Feb26</v>
      </c>
      <c r="T6" s="925">
        <f>Table1218[[#This Row],[CLOSING BALANCE 
(VND)]]/1000000000</f>
        <v>0.5</v>
      </c>
      <c r="U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6" s="1114">
        <f>_xlfn.NUMBERVALUE(LEFT(Table1218[[#This Row],[Term (months)]],1))</f>
        <v>6</v>
      </c>
      <c r="W6" s="1112">
        <v>6</v>
      </c>
      <c r="X6" s="1115">
        <f>Table1218[[#This Row],[Column3]]-Table1218[[#This Row],[Per bank statement]]</f>
        <v>0</v>
      </c>
      <c r="Y6" s="1117">
        <v>4.4999999999999998E-2</v>
      </c>
      <c r="Z6" s="1118">
        <f>Table1218[[#This Row],[Interest rate]]-Table1218[[#This Row],[Per bank statement2]]</f>
        <v>0</v>
      </c>
      <c r="AA6" s="1112">
        <v>4.5</v>
      </c>
      <c r="AB6" s="1112"/>
      <c r="AC6" s="1112"/>
    </row>
    <row r="7" spans="1:29">
      <c r="A7" s="920" t="str">
        <f>IFERROR(VLOOKUP($C7,Table2[#All],3,0),0)</f>
        <v>BW DINH VU</v>
      </c>
      <c r="B7" s="921" t="str">
        <f>_xlfn.XLOOKUP(Table1218[[#This Row],[ACCOUNT NUMBER]],Table2[Account No.],Table2[BRANCH],"recheck",0)</f>
        <v>BIDV - THANH XUAN</v>
      </c>
      <c r="C7" s="921" t="s">
        <v>551</v>
      </c>
      <c r="D7" s="922" t="str">
        <f>_xlfn.XLOOKUP(Table1218[[#This Row],[ACCOUNT NUMBER]],Table2[Account No.],Table2[ACCOUNT TYPE],"recheck",0)</f>
        <v>Saving Account</v>
      </c>
      <c r="E7" s="1129" t="str">
        <f>_xlfn.XLOOKUP(Table1218[[#This Row],[ACCOUNT NUMBER]],Table2[Account No.],Table2[CURRENCY],"recheck",0)</f>
        <v>VND</v>
      </c>
      <c r="F7" s="926">
        <f>SUMIFS(Table11[CLOSING BALANCE (VND)2],Table11[ACCOUNT NUMBER],Table1218[[#This Row],[ACCOUNT NUMBER]],Table11[CURRENCY],Table1218[[#This Row],[CURRENCY]])</f>
        <v>5000000000</v>
      </c>
      <c r="G7" s="926">
        <f>SUMIFS(Table11[CLOSING BALANCE (USD)],Table11[ACCOUNT NUMBER],Table1218[[#This Row],[ACCOUNT NUMBER]],Table11[CURRENCY],Table1218[[#This Row],[CURRENCY]])</f>
        <v>0</v>
      </c>
      <c r="H7" s="1129" t="s">
        <v>221</v>
      </c>
      <c r="I7" s="1129">
        <v>0</v>
      </c>
      <c r="J7" s="1130">
        <v>44734</v>
      </c>
      <c r="K7" s="1130">
        <v>46103</v>
      </c>
      <c r="L7" s="927">
        <v>4.7500000000000001E-2</v>
      </c>
      <c r="M7" s="922" t="str">
        <f>IFERROR(VLOOKUP($A7,Table1[[#All],[Entities]:[Name]],MATCH(M$3,Table1[[#Headers],[Entities]:[Name]],0),0),0)</f>
        <v>Subsidiaries</v>
      </c>
      <c r="N7" s="922" t="str">
        <f>IFERROR(VLOOKUP(IFERROR(MID($O7,1,FIND("-",$O7)-2),O7),Table3[#All],2,0),0)</f>
        <v>BIDV</v>
      </c>
      <c r="O7" s="923" t="str">
        <f>IF(ISBLANK(Table1218[[#This Row],[BRANCH]]),"",IF(VLOOKUP(Table1218[[#This Row],[BRANCH]],Table4[#All],2,0)="OTHERS", "Others",Table1218[[#This Row],[BRANCH]]))</f>
        <v>BIDV - THANH XUAN</v>
      </c>
      <c r="P7" s="927"/>
      <c r="Q7" s="922"/>
      <c r="R7" s="922"/>
      <c r="S7" s="924" t="str">
        <f>IF(ISBLANK(Table1218[[#This Row],[Maturity date]]),"","W"&amp;MIN(WEEKNUM($K7+1,2)-WEEKNUM(EOMONTH($K7+1,-1)),4)&amp;TEXT($K7+1,"mmmyy"))</f>
        <v>W4Mar26</v>
      </c>
      <c r="T7" s="1214">
        <f>Table1218[[#This Row],[CLOSING BALANCE 
(VND)]]/1000000000</f>
        <v>5</v>
      </c>
      <c r="U7"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2 months</v>
      </c>
      <c r="V7" s="1114">
        <f>_xlfn.NUMBERVALUE(LEFT(Table1218[[#This Row],[Term (months)]],1))</f>
        <v>3</v>
      </c>
      <c r="W7" s="1112">
        <v>3</v>
      </c>
      <c r="X7" s="1115">
        <f>Table1218[[#This Row],[Column3]]-Table1218[[#This Row],[Per bank statement]]</f>
        <v>0</v>
      </c>
      <c r="Y7" s="1117">
        <v>4.4999999999999998E-2</v>
      </c>
      <c r="Z7" s="1118">
        <f>Table1218[[#This Row],[Interest rate]]-Table1218[[#This Row],[Per bank statement2]]</f>
        <v>2.5000000000000022E-3</v>
      </c>
      <c r="AA7" s="1112" t="s">
        <v>1550</v>
      </c>
      <c r="AB7" s="1112"/>
      <c r="AC7" s="1112"/>
    </row>
    <row r="8" spans="1:29">
      <c r="A8" s="920" t="str">
        <f>IFERROR(VLOOKUP($C8,Table2[#All],3,0),0)</f>
        <v>BW DONG HAI</v>
      </c>
      <c r="B8" s="921" t="str">
        <f>_xlfn.XLOOKUP(Table1218[[#This Row],[ACCOUNT NUMBER]],Table2[Account No.],Table2[BRANCH],"recheck",0)</f>
        <v>BIDV - THANH XUAN</v>
      </c>
      <c r="C8" s="1141" t="s">
        <v>811</v>
      </c>
      <c r="D8" s="922" t="str">
        <f>_xlfn.XLOOKUP(Table1218[[#This Row],[ACCOUNT NUMBER]],Table2[Account No.],Table2[ACCOUNT TYPE],"recheck",0)</f>
        <v>Saving Account</v>
      </c>
      <c r="E8" s="1129" t="str">
        <f>_xlfn.XLOOKUP(Table1218[[#This Row],[ACCOUNT NUMBER]],Table2[Account No.],Table2[CURRENCY],"recheck",0)</f>
        <v>VND</v>
      </c>
      <c r="F8" s="926">
        <f>SUMIFS(Table11[CLOSING BALANCE (VND)2],Table11[ACCOUNT NUMBER],Table1218[[#This Row],[ACCOUNT NUMBER]],Table11[CURRENCY],Table1218[[#This Row],[CURRENCY]])</f>
        <v>4800000000</v>
      </c>
      <c r="G8" s="926">
        <f>SUMIFS(Table11[CLOSING BALANCE (USD)],Table11[ACCOUNT NUMBER],Table1218[[#This Row],[ACCOUNT NUMBER]],Table11[CURRENCY],Table1218[[#This Row],[CURRENCY]])</f>
        <v>0</v>
      </c>
      <c r="H8" s="1129" t="s">
        <v>221</v>
      </c>
      <c r="I8" s="1129"/>
      <c r="J8" s="1129"/>
      <c r="K8" s="1130">
        <v>46075</v>
      </c>
      <c r="L8" s="927">
        <v>4.7500000000000001E-2</v>
      </c>
      <c r="M8" s="922" t="str">
        <f>IFERROR(VLOOKUP($A8,Table1[[#All],[Entities]:[Name]],MATCH(M$3,Table1[[#Headers],[Entities]:[Name]],0),0),0)</f>
        <v>Subsidiaries</v>
      </c>
      <c r="N8" s="922" t="str">
        <f>IFERROR(VLOOKUP(IFERROR(MID($O8,1,FIND("-",$O8)-2),O8),Table3[#All],2,0),0)</f>
        <v>BIDV</v>
      </c>
      <c r="O8" s="923" t="str">
        <f>B8</f>
        <v>BIDV - THANH XUAN</v>
      </c>
      <c r="P8" s="927"/>
      <c r="Q8" s="922" t="s">
        <v>466</v>
      </c>
      <c r="R8" s="922"/>
      <c r="S8" s="924" t="str">
        <f>IF(ISBLANK(Table1218[[#This Row],[Maturity date]]),"","W"&amp;MIN(WEEKNUM($K8+1,2)-WEEKNUM(EOMONTH($K8+1,-1)),4)&amp;TEXT($K8+1,"mmmyy"))</f>
        <v>W4Feb26</v>
      </c>
      <c r="T8" s="925">
        <f>Table1218[[#This Row],[CLOSING BALANCE 
(VND)]]/1000000000</f>
        <v>4.8</v>
      </c>
      <c r="U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8" s="1114">
        <f>_xlfn.NUMBERVALUE(LEFT(Table1218[[#This Row],[Term (months)]],1))</f>
        <v>3</v>
      </c>
      <c r="W8" s="1112">
        <v>3</v>
      </c>
      <c r="X8" s="1115">
        <f>Table1218[[#This Row],[Column3]]-Table1218[[#This Row],[Per bank statement]]</f>
        <v>0</v>
      </c>
      <c r="Y8" s="1117">
        <v>4.4999999999999998E-2</v>
      </c>
      <c r="Z8" s="1118">
        <f>Table1218[[#This Row],[Interest rate]]-Table1218[[#This Row],[Per bank statement2]]</f>
        <v>2.5000000000000022E-3</v>
      </c>
      <c r="AA8" s="1112" t="s">
        <v>1550</v>
      </c>
      <c r="AB8" s="1112"/>
      <c r="AC8" s="1112"/>
    </row>
    <row r="9" spans="1:29">
      <c r="A9" s="920" t="str">
        <f>IFERROR(VLOOKUP($C9,Table2[#All],3,0),0)</f>
        <v>BW HAI AN</v>
      </c>
      <c r="B9" s="921" t="str">
        <f>_xlfn.XLOOKUP(Table1218[[#This Row],[ACCOUNT NUMBER]],Table2[Account No.],Table2[BRANCH],"recheck",0)</f>
        <v>BIDV - THANH XUAN</v>
      </c>
      <c r="C9" s="1142" t="s">
        <v>619</v>
      </c>
      <c r="D9" s="922" t="str">
        <f>_xlfn.XLOOKUP(Table1218[[#This Row],[ACCOUNT NUMBER]],Table2[Account No.],Table2[ACCOUNT TYPE],"recheck",0)</f>
        <v>Saving Account</v>
      </c>
      <c r="E9" s="1129" t="str">
        <f>_xlfn.XLOOKUP(Table1218[[#This Row],[ACCOUNT NUMBER]],Table2[Account No.],Table2[CURRENCY],"recheck",0)</f>
        <v>VND</v>
      </c>
      <c r="F9" s="926">
        <f>SUMIFS(Table11[CLOSING BALANCE (VND)2],Table11[ACCOUNT NUMBER],Table1218[[#This Row],[ACCOUNT NUMBER]],Table11[CURRENCY],Table1218[[#This Row],[CURRENCY]])</f>
        <v>2000000000</v>
      </c>
      <c r="G9" s="926">
        <f>SUMIFS(Table11[CLOSING BALANCE (USD)],Table11[ACCOUNT NUMBER],Table1218[[#This Row],[ACCOUNT NUMBER]],Table11[CURRENCY],Table1218[[#This Row],[CURRENCY]])</f>
        <v>0</v>
      </c>
      <c r="H9" s="1129" t="s">
        <v>221</v>
      </c>
      <c r="I9" s="1129"/>
      <c r="J9" s="1129"/>
      <c r="K9" s="1130">
        <v>46040</v>
      </c>
      <c r="L9" s="927">
        <v>4.4999999999999998E-2</v>
      </c>
      <c r="M9" s="922" t="str">
        <f>IFERROR(VLOOKUP($A9,Table1[[#All],[Entities]:[Name]],MATCH(M$3,Table1[[#Headers],[Entities]:[Name]],0),0),0)</f>
        <v>Subsidiaries</v>
      </c>
      <c r="N9" s="922" t="str">
        <f>IFERROR(VLOOKUP(IFERROR(MID($O9,1,FIND("-",$O9)-2),O9),Table3[#All],2,0),0)</f>
        <v>BIDV</v>
      </c>
      <c r="O9" s="923" t="str">
        <f>IF(ISBLANK(Table1218[[#This Row],[BRANCH]]),"",IF(VLOOKUP(Table1218[[#This Row],[BRANCH]],Table4[#All],2,0)="OTHERS", "Others",Table1218[[#This Row],[BRANCH]]))</f>
        <v>BIDV - THANH XUAN</v>
      </c>
      <c r="P9" s="927"/>
      <c r="Q9" s="922"/>
      <c r="R9" s="922"/>
      <c r="S9" s="924" t="str">
        <f>IF(ISBLANK(Table1218[[#This Row],[Maturity date]]),"","W"&amp;MIN(WEEKNUM($K9+1,2)-WEEKNUM(EOMONTH($K9+1,-1)),4)&amp;TEXT($K9+1,"mmmyy"))</f>
        <v>W-49Jan26</v>
      </c>
      <c r="T9" s="925">
        <f>Table1218[[#This Row],[CLOSING BALANCE 
(VND)]]/1000000000</f>
        <v>2</v>
      </c>
      <c r="U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9" s="1114">
        <f>_xlfn.NUMBERVALUE(LEFT(Table1218[[#This Row],[Term (months)]],1))</f>
        <v>3</v>
      </c>
      <c r="W9" s="1112">
        <v>3</v>
      </c>
      <c r="X9" s="1115">
        <f>Table1218[[#This Row],[Column3]]-Table1218[[#This Row],[Per bank statement]]</f>
        <v>0</v>
      </c>
      <c r="Y9" s="1117">
        <v>4.3999999999999997E-2</v>
      </c>
      <c r="Z9" s="1118">
        <f>Table1218[[#This Row],[Interest rate]]-Table1218[[#This Row],[Per bank statement2]]</f>
        <v>1.0000000000000009E-3</v>
      </c>
      <c r="AA9" s="1112" t="s">
        <v>1550</v>
      </c>
      <c r="AB9" s="1112"/>
      <c r="AC9" s="1112"/>
    </row>
    <row r="10" spans="1:29">
      <c r="A10" s="920" t="str">
        <f>IFERROR(VLOOKUP($C10,Table2[#All],3,0),0)</f>
        <v>BW PHU NGHIA</v>
      </c>
      <c r="B10" s="921" t="str">
        <f>_xlfn.XLOOKUP(Table1218[[#This Row],[ACCOUNT NUMBER]],Table2[Account No.],Table2[BRANCH],"recheck",0)</f>
        <v>BIDV - THANH XUAN</v>
      </c>
      <c r="C10" s="1141" t="s">
        <v>918</v>
      </c>
      <c r="D10" s="922" t="str">
        <f>_xlfn.XLOOKUP(Table1218[[#This Row],[ACCOUNT NUMBER]],Table2[Account No.],Table2[ACCOUNT TYPE],"recheck",0)</f>
        <v>Saving Account</v>
      </c>
      <c r="E10" s="1129" t="str">
        <f>_xlfn.XLOOKUP(Table1218[[#This Row],[ACCOUNT NUMBER]],Table2[Account No.],Table2[CURRENCY],"recheck",0)</f>
        <v>VND</v>
      </c>
      <c r="F10" s="926">
        <f>SUMIFS(Table11[CLOSING BALANCE (VND)2],Table11[ACCOUNT NUMBER],Table1218[[#This Row],[ACCOUNT NUMBER]],Table11[CURRENCY],Table1218[[#This Row],[CURRENCY]])</f>
        <v>2000000000</v>
      </c>
      <c r="G10" s="926">
        <f>SUMIFS(Table11[CLOSING BALANCE (USD)],Table11[ACCOUNT NUMBER],Table1218[[#This Row],[ACCOUNT NUMBER]],Table11[CURRENCY],Table1218[[#This Row],[CURRENCY]])</f>
        <v>0</v>
      </c>
      <c r="H10" s="1129" t="s">
        <v>219</v>
      </c>
      <c r="I10" s="1129">
        <v>0</v>
      </c>
      <c r="J10" s="1130">
        <v>45259</v>
      </c>
      <c r="K10" s="1130">
        <v>46050</v>
      </c>
      <c r="L10" s="927">
        <v>4.7500000000000001E-2</v>
      </c>
      <c r="M10" s="922" t="str">
        <f>VLOOKUP($A10,Table1[[#All],[Entities]:[Name]],MATCH(M$3,Table1[[#Headers],[Entities]:[Name]],0),0)</f>
        <v>Subsidiaries</v>
      </c>
      <c r="N10" s="922" t="str">
        <f>IFERROR(VLOOKUP(IFERROR(MID($O10,1,FIND("-",$O10)-2),O10),Table3[#All],2,0),0)</f>
        <v>BIDV</v>
      </c>
      <c r="O10" s="923" t="str">
        <f>B10</f>
        <v>BIDV - THANH XUAN</v>
      </c>
      <c r="P10" s="927"/>
      <c r="Q10" s="922"/>
      <c r="R10" s="922"/>
      <c r="S10" s="924" t="str">
        <f>IF(ISBLANK(Table1218[[#This Row],[Maturity date]]),"","W"&amp;MIN(WEEKNUM($K10+1,2)-WEEKNUM(EOMONTH($K10+1,-1)),4)&amp;TEXT($K10+1,"mmmyy"))</f>
        <v>W-48Jan26</v>
      </c>
      <c r="T10" s="925">
        <f>Table1218[[#This Row],[CLOSING BALANCE 
(VND)]]/1000000000</f>
        <v>2</v>
      </c>
      <c r="U1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0" s="1114">
        <f>_xlfn.NUMBERVALUE(LEFT(Table1218[[#This Row],[Term (months)]],1))</f>
        <v>1</v>
      </c>
      <c r="W10" s="1112">
        <v>1</v>
      </c>
      <c r="X10" s="1115">
        <f>Table1218[[#This Row],[Column3]]-Table1218[[#This Row],[Per bank statement]]</f>
        <v>0</v>
      </c>
      <c r="Y10" s="1117">
        <v>4.2999999999999997E-2</v>
      </c>
      <c r="Z10" s="1118">
        <f>Table1218[[#This Row],[Interest rate]]-Table1218[[#This Row],[Per bank statement2]]</f>
        <v>4.500000000000004E-3</v>
      </c>
      <c r="AA10" s="1112" t="s">
        <v>5382</v>
      </c>
      <c r="AB10" s="1112"/>
      <c r="AC10" s="1112"/>
    </row>
    <row r="11" spans="1:29">
      <c r="A11" s="920" t="str">
        <f>IFERROR(VLOOKUP($C11,Table2[#All],3,0),0)</f>
        <v>BW SAI GON</v>
      </c>
      <c r="B11" s="921" t="str">
        <f>_xlfn.XLOOKUP(Table1218[[#This Row],[ACCOUNT NUMBER]],Table2[Account No.],Table2[BRANCH],"recheck",0)</f>
        <v>SINOPAC</v>
      </c>
      <c r="C11" s="1141" t="s">
        <v>962</v>
      </c>
      <c r="D11" s="922" t="str">
        <f>_xlfn.XLOOKUP(Table1218[[#This Row],[ACCOUNT NUMBER]],Table2[Account No.],Table2[ACCOUNT TYPE],"recheck",0)</f>
        <v>Saving Account</v>
      </c>
      <c r="E11" s="1129" t="str">
        <f>_xlfn.XLOOKUP(Table1218[[#This Row],[ACCOUNT NUMBER]],Table2[Account No.],Table2[CURRENCY],"recheck",0)</f>
        <v>VND</v>
      </c>
      <c r="F11" s="926">
        <f>SUMIFS(Table11[CLOSING BALANCE (VND)2],Table11[ACCOUNT NUMBER],Table1218[[#This Row],[ACCOUNT NUMBER]],Table11[CURRENCY],Table1218[[#This Row],[CURRENCY]])</f>
        <v>5633098111</v>
      </c>
      <c r="G11" s="926">
        <f>SUMIFS(Table11[CLOSING BALANCE (USD)],Table11[ACCOUNT NUMBER],Table1218[[#This Row],[ACCOUNT NUMBER]],Table11[CURRENCY],Table1218[[#This Row],[CURRENCY]])</f>
        <v>0</v>
      </c>
      <c r="H11" s="1129" t="s">
        <v>228</v>
      </c>
      <c r="I11" s="1129"/>
      <c r="J11" s="1129"/>
      <c r="K11" s="1130">
        <v>46044</v>
      </c>
      <c r="L11" s="927">
        <v>0.03</v>
      </c>
      <c r="M11" s="922" t="str">
        <f>VLOOKUP($A11,Table1[[#All],[Entities]:[Name]],MATCH(M$3,Table1[[#Headers],[Entities]:[Name]],0),0)</f>
        <v>Subsidiaries</v>
      </c>
      <c r="N11" s="922" t="str">
        <f>IFERROR(VLOOKUP(IFERROR(MID($O11,1,FIND("-",$O11)-2),O11),Table3[#All],2,0),0)</f>
        <v>SNP</v>
      </c>
      <c r="O11" s="923" t="str">
        <f>B11</f>
        <v>SINOPAC</v>
      </c>
      <c r="P11" s="927"/>
      <c r="Q11" s="922"/>
      <c r="R11" s="922"/>
      <c r="S11" s="924" t="s">
        <v>1546</v>
      </c>
      <c r="T11" s="925">
        <f>Table1218[[#This Row],[CLOSING BALANCE 
(VND)]]/1000000000</f>
        <v>5.6330981109999998</v>
      </c>
      <c r="U1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1" s="1113"/>
      <c r="W11" s="1112"/>
      <c r="X11" s="1115"/>
      <c r="Y11" s="1112"/>
      <c r="Z11" s="1118"/>
      <c r="AA11" s="1112"/>
      <c r="AB11" s="1112"/>
      <c r="AC11" s="1112"/>
    </row>
    <row r="12" spans="1:29">
      <c r="A12" s="920" t="str">
        <f>IFERROR(VLOOKUP($C12,Table2[#All],3,0),0)</f>
        <v>BW THU DAU MOT</v>
      </c>
      <c r="B12" s="921" t="str">
        <f>_xlfn.XLOOKUP(Table1218[[#This Row],[ACCOUNT NUMBER]],Table2[Account No.],Table2[BRANCH],"recheck",0)</f>
        <v>VIETINBANK - TIEN SON</v>
      </c>
      <c r="C12" s="1141" t="s">
        <v>819</v>
      </c>
      <c r="D12" s="922" t="str">
        <f>_xlfn.XLOOKUP(Table1218[[#This Row],[ACCOUNT NUMBER]],Table2[Account No.],Table2[ACCOUNT TYPE],"recheck",0)</f>
        <v>Saving Account</v>
      </c>
      <c r="E12" s="1129" t="str">
        <f>_xlfn.XLOOKUP(Table1218[[#This Row],[ACCOUNT NUMBER]],Table2[Account No.],Table2[CURRENCY],"recheck",0)</f>
        <v>VND</v>
      </c>
      <c r="F12" s="926">
        <f>SUMIFS(Table11[CLOSING BALANCE (VND)2],Table11[ACCOUNT NUMBER],Table1218[[#This Row],[ACCOUNT NUMBER]],Table11[CURRENCY],Table1218[[#This Row],[CURRENCY]])</f>
        <v>400000000</v>
      </c>
      <c r="G12" s="926">
        <f>SUMIFS(Table11[CLOSING BALANCE (USD)],Table11[ACCOUNT NUMBER],Table1218[[#This Row],[ACCOUNT NUMBER]],Table11[CURRENCY],Table1218[[#This Row],[CURRENCY]])</f>
        <v>0</v>
      </c>
      <c r="H12" s="1129" t="s">
        <v>224</v>
      </c>
      <c r="I12" s="1129"/>
      <c r="J12" s="1129"/>
      <c r="K12" s="1130">
        <v>46069</v>
      </c>
      <c r="L12" s="927">
        <v>4.4999999999999998E-2</v>
      </c>
      <c r="M12" s="922" t="str">
        <f>VLOOKUP($A12,Table1[[#All],[Entities]:[Name]],MATCH(M$3,Table1[[#Headers],[Entities]:[Name]],0),0)</f>
        <v>Subsidiaries</v>
      </c>
      <c r="N12" s="922" t="str">
        <f>IFERROR(VLOOKUP(IFERROR(MID($O12,1,FIND("-",$O12)-2),O12),Table3[#All],2,0),0)</f>
        <v>VTB</v>
      </c>
      <c r="O12" s="923" t="str">
        <f>B12</f>
        <v>VIETINBANK - TIEN SON</v>
      </c>
      <c r="P12" s="927"/>
      <c r="Q12" s="922" t="s">
        <v>1545</v>
      </c>
      <c r="R12" s="922"/>
      <c r="S12" s="924" t="str">
        <f>IF(ISBLANK(Table1218[[#This Row],[Maturity date]]),"","W"&amp;MIN(WEEKNUM($K12+1,2)-WEEKNUM(EOMONTH($K12+1,-1)),4)&amp;TEXT($K12+1,"mmmyy"))</f>
        <v>W3Feb26</v>
      </c>
      <c r="T12" s="925">
        <f>Table1218[[#This Row],[CLOSING BALANCE 
(VND)]]/1000000000</f>
        <v>0.4</v>
      </c>
      <c r="U1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2" s="1114">
        <f>_xlfn.NUMBERVALUE(LEFT(Table1218[[#This Row],[Term (months)]],1))</f>
        <v>6</v>
      </c>
      <c r="W12" s="1112">
        <v>6</v>
      </c>
      <c r="X12" s="1115">
        <f>Table1218[[#This Row],[Column3]]-Table1218[[#This Row],[Per bank statement]]</f>
        <v>0</v>
      </c>
      <c r="Y12" s="1117">
        <v>4.4999999999999998E-2</v>
      </c>
      <c r="Z12" s="1118">
        <f>Table1218[[#This Row],[Interest rate]]-Table1218[[#This Row],[Per bank statement2]]</f>
        <v>0</v>
      </c>
      <c r="AA12" s="1112">
        <v>4.5</v>
      </c>
      <c r="AB12" s="1112"/>
      <c r="AC12" s="1112"/>
    </row>
    <row r="13" spans="1:29">
      <c r="A13" s="920" t="str">
        <f>IFERROR(VLOOKUP($C13,Table2[#All],3,0),0)</f>
        <v>BWID BINH DUONG</v>
      </c>
      <c r="B13" s="921" t="str">
        <f>_xlfn.XLOOKUP(Table1218[[#This Row],[ACCOUNT NUMBER]],Table2[Account No.],Table2[BRANCH],"recheck",0)</f>
        <v>VIETCOMBANK - HCM</v>
      </c>
      <c r="C13" s="921" t="s">
        <v>5390</v>
      </c>
      <c r="D13" s="922" t="str">
        <f>_xlfn.XLOOKUP(Table1218[[#This Row],[ACCOUNT NUMBER]],Table2[Account No.],Table2[ACCOUNT TYPE],"recheck",0)</f>
        <v>Saving Account</v>
      </c>
      <c r="E13" s="1129" t="str">
        <f>_xlfn.XLOOKUP(Table1218[[#This Row],[ACCOUNT NUMBER]],Table2[Account No.],Table2[CURRENCY],"recheck",0)</f>
        <v>VND</v>
      </c>
      <c r="F13" s="926">
        <f>SUMIFS(Table11[CLOSING BALANCE (VND)2],Table11[ACCOUNT NUMBER],Table1218[[#This Row],[ACCOUNT NUMBER]],Table11[CURRENCY],Table1218[[#This Row],[CURRENCY]])</f>
        <v>100000000</v>
      </c>
      <c r="G13" s="926">
        <f>SUMIFS(Table11[CLOSING BALANCE (USD)],Table11[ACCOUNT NUMBER],Table1218[[#This Row],[ACCOUNT NUMBER]],Table11[CURRENCY],Table1218[[#This Row],[CURRENCY]])</f>
        <v>0</v>
      </c>
      <c r="H13" s="1129" t="s">
        <v>219</v>
      </c>
      <c r="I13" s="1129">
        <v>0</v>
      </c>
      <c r="J13" s="1130">
        <v>44053</v>
      </c>
      <c r="K13" s="1130">
        <v>46063</v>
      </c>
      <c r="L13" s="927">
        <v>2.1000000000000001E-2</v>
      </c>
      <c r="M13" s="922" t="str">
        <f>IFERROR(VLOOKUP($A13,Table1[[#All],[Entities]:[Name]],MATCH(M$3,Table1[[#Headers],[Entities]:[Name]],0),0),0)</f>
        <v>BWID JSC</v>
      </c>
      <c r="N13" s="922" t="str">
        <f>IFERROR(VLOOKUP(IFERROR(MID($O13,1,FIND("-",$O13)-2),O13),Table3[#All],2,0),0)</f>
        <v>VCB</v>
      </c>
      <c r="O13" s="923" t="str">
        <f>IF(ISBLANK(Table1218[[#This Row],[BRANCH]]),"",IF(VLOOKUP(Table1218[[#This Row],[BRANCH]],Table4[#All],2,0)="OTHERS", "Others",Table1218[[#This Row],[BRANCH]]))</f>
        <v>VIETCOMBANK - HCM</v>
      </c>
      <c r="P13" s="927"/>
      <c r="Q13" s="922" t="s">
        <v>1547</v>
      </c>
      <c r="R13" s="922"/>
      <c r="S13" s="924" t="str">
        <f>IF(ISBLANK(Table1218[[#This Row],[Maturity date]]),"","W"&amp;MIN(WEEKNUM($K13+1,2)-WEEKNUM(EOMONTH($K13+1,-1)),4)&amp;TEXT($K13+1,"mmmyy"))</f>
        <v>W2Feb26</v>
      </c>
      <c r="T13" s="925">
        <f>Table1218[[#This Row],[CLOSING BALANCE 
(VND)]]/1000000000</f>
        <v>0.1</v>
      </c>
      <c r="U1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3" s="1114">
        <f>_xlfn.NUMBERVALUE(LEFT(Table1218[[#This Row],[Term (months)]],1))</f>
        <v>1</v>
      </c>
      <c r="W13" s="1115">
        <v>1</v>
      </c>
      <c r="X13" s="1115">
        <f>Table1218[[#This Row],[Column3]]-Table1218[[#This Row],[Per bank statement]]</f>
        <v>0</v>
      </c>
      <c r="Y13" s="1117">
        <v>1.4999999999999999E-2</v>
      </c>
      <c r="Z13" s="1119">
        <f>Table1218[[#This Row],[Interest rate]]-Table1218[[#This Row],[Per bank statement2]]</f>
        <v>6.0000000000000019E-3</v>
      </c>
      <c r="AA13" s="1112"/>
      <c r="AB13" s="1112"/>
      <c r="AC13" s="1112"/>
    </row>
    <row r="14" spans="1:29">
      <c r="A14" s="920" t="str">
        <f>IFERROR(VLOOKUP($C14,Table2[#All],3,0),0)</f>
        <v>BWID BINH DUONG</v>
      </c>
      <c r="B14" s="921" t="str">
        <f>_xlfn.XLOOKUP(Table1218[[#This Row],[ACCOUNT NUMBER]],Table2[Account No.],Table2[BRANCH],"recheck",0)</f>
        <v>VIETCOMBANK - HCM</v>
      </c>
      <c r="C14" s="921" t="s">
        <v>5391</v>
      </c>
      <c r="D14" s="922" t="str">
        <f>_xlfn.XLOOKUP(Table1218[[#This Row],[ACCOUNT NUMBER]],Table2[Account No.],Table2[ACCOUNT TYPE],"recheck",0)</f>
        <v>Saving Account</v>
      </c>
      <c r="E14" s="1129" t="str">
        <f>_xlfn.XLOOKUP(Table1218[[#This Row],[ACCOUNT NUMBER]],Table2[Account No.],Table2[CURRENCY],"recheck",0)</f>
        <v>VND</v>
      </c>
      <c r="F14" s="926">
        <f>SUMIFS(Table11[CLOSING BALANCE (VND)2],Table11[ACCOUNT NUMBER],Table1218[[#This Row],[ACCOUNT NUMBER]],Table11[CURRENCY],Table1218[[#This Row],[CURRENCY]])</f>
        <v>100000000</v>
      </c>
      <c r="G14" s="926">
        <f>SUMIFS(Table11[CLOSING BALANCE (USD)],Table11[ACCOUNT NUMBER],Table1218[[#This Row],[ACCOUNT NUMBER]],Table11[CURRENCY],Table1218[[#This Row],[CURRENCY]])</f>
        <v>0</v>
      </c>
      <c r="H14" s="1129" t="s">
        <v>228</v>
      </c>
      <c r="I14" s="1129"/>
      <c r="J14" s="1129"/>
      <c r="K14" s="1130">
        <v>46318</v>
      </c>
      <c r="L14" s="927">
        <v>4.1000000000000002E-2</v>
      </c>
      <c r="M14" s="922" t="str">
        <f>IFERROR(VLOOKUP($A14,Table1[[#All],[Entities]:[Name]],MATCH(M$3,Table1[[#Headers],[Entities]:[Name]],0),0),0)</f>
        <v>BWID JSC</v>
      </c>
      <c r="N14" s="922" t="str">
        <f>IFERROR(VLOOKUP(IFERROR(MID($O14,1,FIND("-",$O14)-2),O14),Table3[#All],2,0),0)</f>
        <v>VCB</v>
      </c>
      <c r="O14" s="923" t="str">
        <f>IF(ISBLANK(Table1218[[#This Row],[BRANCH]]),"",IF(VLOOKUP(Table1218[[#This Row],[BRANCH]],Table4[#All],2,0)="OTHERS", "Others",Table1218[[#This Row],[BRANCH]]))</f>
        <v>VIETCOMBANK - HCM</v>
      </c>
      <c r="P14" s="927"/>
      <c r="Q14" s="922" t="s">
        <v>1547</v>
      </c>
      <c r="R14" s="922"/>
      <c r="S14" s="924" t="str">
        <f>IF(ISBLANK(Table1218[[#This Row],[Maturity date]]),"","W"&amp;MIN(WEEKNUM($K14+1,2)-WEEKNUM(EOMONTH($K14+1,-1)),4)&amp;TEXT($K14+1,"mmmyy"))</f>
        <v>W3Oct26</v>
      </c>
      <c r="T14" s="925">
        <f>Table1218[[#This Row],[CLOSING BALANCE 
(VND)]]/1000000000</f>
        <v>0.1</v>
      </c>
      <c r="U1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9 months</v>
      </c>
      <c r="V14" s="1114">
        <f>_xlfn.NUMBERVALUE(LEFT(Table1218[[#This Row],[Term (months)]],1))</f>
        <v>1</v>
      </c>
      <c r="W14" s="1115">
        <v>1</v>
      </c>
      <c r="X14" s="1115">
        <f>Table1218[[#This Row],[Column3]]-Table1218[[#This Row],[Per bank statement]]</f>
        <v>0</v>
      </c>
      <c r="Y14" s="1117">
        <v>4.1000000000000002E-2</v>
      </c>
      <c r="Z14" s="1119">
        <f>Table1218[[#This Row],[Interest rate]]-Table1218[[#This Row],[Per bank statement2]]</f>
        <v>0</v>
      </c>
      <c r="AA14" s="1112"/>
      <c r="AB14" s="1112"/>
      <c r="AC14" s="1112"/>
    </row>
    <row r="15" spans="1:29">
      <c r="A15" s="920" t="str">
        <f>IFERROR(VLOOKUP($C15,Table2[#All],3,0),0)</f>
        <v>BWID HAI DUONG 2</v>
      </c>
      <c r="B15" s="921" t="str">
        <f>_xlfn.XLOOKUP(Table1218[[#This Row],[ACCOUNT NUMBER]],Table2[Account No.],Table2[BRANCH],"recheck",0)</f>
        <v>VIETINBANK - TIEN SON</v>
      </c>
      <c r="C15" s="1141" t="s">
        <v>990</v>
      </c>
      <c r="D15" s="922" t="str">
        <f>_xlfn.XLOOKUP(Table1218[[#This Row],[ACCOUNT NUMBER]],Table2[Account No.],Table2[ACCOUNT TYPE],"recheck",0)</f>
        <v>Saving Account</v>
      </c>
      <c r="E15" s="1129" t="str">
        <f>_xlfn.XLOOKUP(Table1218[[#This Row],[ACCOUNT NUMBER]],Table2[Account No.],Table2[CURRENCY],"recheck",0)</f>
        <v>VND</v>
      </c>
      <c r="F15" s="926">
        <f>SUMIFS(Table11[CLOSING BALANCE (VND)2],Table11[ACCOUNT NUMBER],Table1218[[#This Row],[ACCOUNT NUMBER]],Table11[CURRENCY],Table1218[[#This Row],[CURRENCY]])</f>
        <v>7000000000</v>
      </c>
      <c r="G15" s="926">
        <f>SUMIFS(Table11[CLOSING BALANCE (USD)],Table11[ACCOUNT NUMBER],Table1218[[#This Row],[ACCOUNT NUMBER]],Table11[CURRENCY],Table1218[[#This Row],[CURRENCY]])</f>
        <v>0</v>
      </c>
      <c r="H15" s="1129" t="s">
        <v>224</v>
      </c>
      <c r="I15" s="1129"/>
      <c r="J15" s="1129"/>
      <c r="K15" s="1130">
        <v>46138</v>
      </c>
      <c r="L15" s="927">
        <v>4.4999999999999998E-2</v>
      </c>
      <c r="M15" s="922" t="str">
        <f>VLOOKUP($A15,Table1[[#All],[Entities]:[Name]],MATCH(M$3,Table1[[#Headers],[Entities]:[Name]],0),0)</f>
        <v>Subsidiaries</v>
      </c>
      <c r="N15" s="922" t="str">
        <f>IFERROR(VLOOKUP(IFERROR(MID($O15,1,FIND("-",$O15)-2),O15),Table3[#All],2,0),0)</f>
        <v>VTB</v>
      </c>
      <c r="O15" s="923" t="str">
        <f>B15</f>
        <v>VIETINBANK - TIEN SON</v>
      </c>
      <c r="P15" s="927"/>
      <c r="Q15" s="922"/>
      <c r="R15" s="922"/>
      <c r="S15" s="924" t="str">
        <f>IF(ISBLANK(Table1218[[#This Row],[Maturity date]]),"","W"&amp;MIN(WEEKNUM($K15+1,2)-WEEKNUM(EOMONTH($K15+1,-1)),4)&amp;TEXT($K15+1,"mmmyy"))</f>
        <v>W4Apr26</v>
      </c>
      <c r="T15" s="925">
        <f>Table1218[[#This Row],[CLOSING BALANCE 
(VND)]]/1000000000</f>
        <v>7</v>
      </c>
      <c r="U1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3 months</v>
      </c>
      <c r="V15" s="1114">
        <f>_xlfn.NUMBERVALUE(LEFT(Table1218[[#This Row],[Term (months)]],1))</f>
        <v>6</v>
      </c>
      <c r="W15" s="1112">
        <v>6</v>
      </c>
      <c r="X15" s="1115">
        <f>Table1218[[#This Row],[Column3]]-Table1218[[#This Row],[Per bank statement]]</f>
        <v>0</v>
      </c>
      <c r="Y15" s="1117">
        <v>4.4000000000000004E-2</v>
      </c>
      <c r="Z15" s="1118">
        <f>Table1218[[#This Row],[Interest rate]]-Table1218[[#This Row],[Per bank statement2]]</f>
        <v>9.9999999999999395E-4</v>
      </c>
      <c r="AA15" s="1112">
        <v>4.5</v>
      </c>
      <c r="AB15" s="1112"/>
      <c r="AC15" s="1112"/>
    </row>
    <row r="16" spans="1:29">
      <c r="A16" s="920" t="str">
        <f>IFERROR(VLOOKUP($C16,Table2[#All],3,0),0)</f>
        <v>BWID HAI DUONG 3</v>
      </c>
      <c r="B16" s="921" t="str">
        <f>_xlfn.XLOOKUP(Table1218[[#This Row],[ACCOUNT NUMBER]],Table2[Account No.],Table2[BRANCH],"recheck",0)</f>
        <v>BIDV - THANH XUAN</v>
      </c>
      <c r="C16" s="1142" t="s">
        <v>807</v>
      </c>
      <c r="D16" s="922" t="str">
        <f>_xlfn.XLOOKUP(Table1218[[#This Row],[ACCOUNT NUMBER]],Table2[Account No.],Table2[ACCOUNT TYPE],"recheck",0)</f>
        <v>Saving Account</v>
      </c>
      <c r="E16" s="1129" t="str">
        <f>_xlfn.XLOOKUP(Table1218[[#This Row],[ACCOUNT NUMBER]],Table2[Account No.],Table2[CURRENCY],"recheck",0)</f>
        <v>VND</v>
      </c>
      <c r="F16" s="926">
        <f>SUMIFS(Table11[CLOSING BALANCE (VND)2],Table11[ACCOUNT NUMBER],Table1218[[#This Row],[ACCOUNT NUMBER]],Table11[CURRENCY],Table1218[[#This Row],[CURRENCY]])</f>
        <v>2500000000</v>
      </c>
      <c r="G16" s="926">
        <f>SUMIFS(Table11[CLOSING BALANCE (USD)],Table11[ACCOUNT NUMBER],Table1218[[#This Row],[ACCOUNT NUMBER]],Table11[CURRENCY],Table1218[[#This Row],[CURRENCY]])</f>
        <v>0</v>
      </c>
      <c r="H16" s="1129" t="s">
        <v>224</v>
      </c>
      <c r="I16" s="1129"/>
      <c r="J16" s="1129"/>
      <c r="K16" s="1130">
        <v>46064</v>
      </c>
      <c r="L16" s="927">
        <v>4.8000000000000001E-2</v>
      </c>
      <c r="M16" s="922" t="str">
        <f>IFERROR(VLOOKUP($A16,Table1[[#All],[Entities]:[Name]],MATCH(M$3,Table1[[#Headers],[Entities]:[Name]],0),0),0)</f>
        <v>Subsidiaries</v>
      </c>
      <c r="N16" s="922" t="str">
        <f>IFERROR(VLOOKUP(IFERROR(MID($O16,1,FIND("-",$O16)-2),O16),Table3[#All],2,0),0)</f>
        <v>BIDV</v>
      </c>
      <c r="O16" s="923" t="str">
        <f>IF(ISBLANK(Table1218[[#This Row],[BRANCH]]),"",IF(VLOOKUP(Table1218[[#This Row],[BRANCH]],Table4[#All],2,0)="OTHERS", "Others",Table1218[[#This Row],[BRANCH]]))</f>
        <v>BIDV - THANH XUAN</v>
      </c>
      <c r="P16" s="927"/>
      <c r="Q16" s="922"/>
      <c r="R16" s="922"/>
      <c r="S16" s="924" t="str">
        <f>IF(ISBLANK(Table1218[[#This Row],[Maturity date]]),"","W"&amp;MIN(WEEKNUM($K16+1,2)-WEEKNUM(EOMONTH($K16+1,-1)),4)&amp;TEXT($K16+1,"mmmyy"))</f>
        <v>W2Feb26</v>
      </c>
      <c r="T16" s="925">
        <f>Table1218[[#This Row],[CLOSING BALANCE 
(VND)]]/1000000000</f>
        <v>2.5</v>
      </c>
      <c r="U1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6" s="1114">
        <f>_xlfn.NUMBERVALUE(LEFT(Table1218[[#This Row],[Term (months)]],1))</f>
        <v>6</v>
      </c>
      <c r="W16" s="1112">
        <v>6</v>
      </c>
      <c r="X16" s="1115">
        <f>Table1218[[#This Row],[Column3]]-Table1218[[#This Row],[Per bank statement]]</f>
        <v>0</v>
      </c>
      <c r="Y16" s="1117">
        <v>4.8000000000000001E-2</v>
      </c>
      <c r="Z16" s="1118">
        <f>Table1218[[#This Row],[Interest rate]]-Table1218[[#This Row],[Per bank statement2]]</f>
        <v>0</v>
      </c>
      <c r="AA16" s="1112" t="s">
        <v>5383</v>
      </c>
      <c r="AB16" s="1112"/>
      <c r="AC16" s="1112"/>
    </row>
    <row r="17" spans="1:29">
      <c r="A17" s="920" t="str">
        <f>IFERROR(VLOOKUP($C17,Table2[#All],3,0),0)</f>
        <v>BWID NHON TRACH</v>
      </c>
      <c r="B17" s="921" t="str">
        <f>_xlfn.XLOOKUP(Table1218[[#This Row],[ACCOUNT NUMBER]],Table2[Account No.],Table2[BRANCH],"recheck",0)</f>
        <v>VIETCOMBANK - HCM</v>
      </c>
      <c r="C17" s="1142" t="s">
        <v>5386</v>
      </c>
      <c r="D17" s="922" t="str">
        <f>_xlfn.XLOOKUP(Table1218[[#This Row],[ACCOUNT NUMBER]],Table2[Account No.],Table2[ACCOUNT TYPE],"recheck",0)</f>
        <v>Saving Account</v>
      </c>
      <c r="E17" s="1129" t="str">
        <f>_xlfn.XLOOKUP(Table1218[[#This Row],[ACCOUNT NUMBER]],Table2[Account No.],Table2[CURRENCY],"recheck",0)</f>
        <v>VND</v>
      </c>
      <c r="F17" s="926">
        <f>SUMIFS(Table11[CLOSING BALANCE (VND)2],Table11[ACCOUNT NUMBER],Table1218[[#This Row],[ACCOUNT NUMBER]],Table11[CURRENCY],Table1218[[#This Row],[CURRENCY]])</f>
        <v>1128000000</v>
      </c>
      <c r="G17" s="926">
        <f>SUMIFS(Table11[CLOSING BALANCE (USD)],Table11[ACCOUNT NUMBER],Table1218[[#This Row],[ACCOUNT NUMBER]],Table11[CURRENCY],Table1218[[#This Row],[CURRENCY]])</f>
        <v>0</v>
      </c>
      <c r="H17" s="1129" t="s">
        <v>228</v>
      </c>
      <c r="I17" s="1129"/>
      <c r="J17" s="1129"/>
      <c r="K17" s="1130">
        <v>46238</v>
      </c>
      <c r="L17" s="927">
        <v>4.1000000000000002E-2</v>
      </c>
      <c r="M17" s="922" t="str">
        <f>IFERROR(VLOOKUP($A17,Table1[[#All],[Entities]:[Name]],MATCH(M$3,Table1[[#Headers],[Entities]:[Name]],0),0),0)</f>
        <v>Subsidiaries</v>
      </c>
      <c r="N17" s="922" t="str">
        <f>IFERROR(VLOOKUP(IFERROR(MID($O17,1,FIND("-",$O17)-2),O17),Table3[#All],2,0),0)</f>
        <v>VCB</v>
      </c>
      <c r="O17" s="923" t="str">
        <f>IF(ISBLANK(Table1218[[#This Row],[BRANCH]]),"",IF(VLOOKUP(Table1218[[#This Row],[BRANCH]],Table4[#All],2,0)="OTHERS", "Others",Table1218[[#This Row],[BRANCH]]))</f>
        <v>VIETCOMBANK - HCM</v>
      </c>
      <c r="P17" s="927"/>
      <c r="Q17" s="922" t="s">
        <v>1548</v>
      </c>
      <c r="R17" s="922"/>
      <c r="S17" s="924" t="str">
        <f>IF(ISBLANK(Table1218[[#This Row],[Maturity date]]),"","W"&amp;MIN(WEEKNUM($K17+1,2)-WEEKNUM(EOMONTH($K17+1,-1)),4)&amp;TEXT($K17+1,"mmmyy"))</f>
        <v>W1Aug26</v>
      </c>
      <c r="T17" s="925">
        <f>Table1218[[#This Row],[CLOSING BALANCE 
(VND)]]/1000000000</f>
        <v>1.1279999999999999</v>
      </c>
      <c r="U1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7 months</v>
      </c>
      <c r="V17" s="1114">
        <v>12</v>
      </c>
      <c r="W17" s="1112">
        <v>12</v>
      </c>
      <c r="X17" s="1115">
        <f>Table1218[[#This Row],[Column3]]-Table1218[[#This Row],[Per bank statement]]</f>
        <v>0</v>
      </c>
      <c r="Y17" s="1117">
        <v>4.1000000000000002E-2</v>
      </c>
      <c r="Z17" s="1119">
        <f>Table1218[[#This Row],[Interest rate]]-Table1218[[#This Row],[Per bank statement2]]</f>
        <v>0</v>
      </c>
      <c r="AA17" s="1112"/>
      <c r="AB17" s="1112"/>
      <c r="AC17" s="1112"/>
    </row>
    <row r="18" spans="1:29">
      <c r="A18" s="920" t="str">
        <f>IFERROR(VLOOKUP($C18,Table2[#All],3,0),0)</f>
        <v>GIA TAN</v>
      </c>
      <c r="B18" s="921" t="str">
        <f>_xlfn.XLOOKUP(Table1218[[#This Row],[ACCOUNT NUMBER]],Table2[Account No.],Table2[BRANCH],"recheck",0)</f>
        <v>VIETINBANK - TIEN SON</v>
      </c>
      <c r="C18" s="1141" t="s">
        <v>821</v>
      </c>
      <c r="D18" s="922" t="str">
        <f>_xlfn.XLOOKUP(Table1218[[#This Row],[ACCOUNT NUMBER]],Table2[Account No.],Table2[ACCOUNT TYPE],"recheck",0)</f>
        <v>Saving Account</v>
      </c>
      <c r="E18" s="1129" t="str">
        <f>_xlfn.XLOOKUP(Table1218[[#This Row],[ACCOUNT NUMBER]],Table2[Account No.],Table2[CURRENCY],"recheck",0)</f>
        <v>VND</v>
      </c>
      <c r="F18" s="926">
        <f>SUMIFS(Table11[CLOSING BALANCE (VND)2],Table11[ACCOUNT NUMBER],Table1218[[#This Row],[ACCOUNT NUMBER]],Table11[CURRENCY],Table1218[[#This Row],[CURRENCY]])</f>
        <v>50000000</v>
      </c>
      <c r="G18" s="926">
        <f>SUMIFS(Table11[CLOSING BALANCE (USD)],Table11[ACCOUNT NUMBER],Table1218[[#This Row],[ACCOUNT NUMBER]],Table11[CURRENCY],Table1218[[#This Row],[CURRENCY]])</f>
        <v>0</v>
      </c>
      <c r="H18" s="1129" t="s">
        <v>224</v>
      </c>
      <c r="I18" s="1129"/>
      <c r="J18" s="1129"/>
      <c r="K18" s="1130">
        <v>46069</v>
      </c>
      <c r="L18" s="927">
        <v>4.4999999999999998E-2</v>
      </c>
      <c r="M18" s="922" t="str">
        <f>VLOOKUP($A18,Table1[[#All],[Entities]:[Name]],MATCH(M$3,Table1[[#Headers],[Entities]:[Name]],0),0)</f>
        <v>Subsidiaries</v>
      </c>
      <c r="N18" s="922" t="str">
        <f>IFERROR(VLOOKUP(IFERROR(MID($O18,1,FIND("-",$O18)-2),O18),Table3[#All],2,0),0)</f>
        <v>VTB</v>
      </c>
      <c r="O18" s="923" t="str">
        <f>B18</f>
        <v>VIETINBANK - TIEN SON</v>
      </c>
      <c r="P18" s="927"/>
      <c r="Q18" s="922" t="s">
        <v>1545</v>
      </c>
      <c r="R18" s="922"/>
      <c r="S18" s="924" t="str">
        <f>IF(ISBLANK(Table1218[[#This Row],[Maturity date]]),"","W"&amp;MIN(WEEKNUM($K18+1,2)-WEEKNUM(EOMONTH($K18+1,-1)),4)&amp;TEXT($K18+1,"mmmyy"))</f>
        <v>W3Feb26</v>
      </c>
      <c r="T18" s="925">
        <f>Table1218[[#This Row],[CLOSING BALANCE 
(VND)]]/1000000000</f>
        <v>0.05</v>
      </c>
      <c r="U1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8" s="1114">
        <f>_xlfn.NUMBERVALUE(LEFT(Table1218[[#This Row],[Term (months)]],1))</f>
        <v>6</v>
      </c>
      <c r="W18" s="1112">
        <v>6</v>
      </c>
      <c r="X18" s="1115">
        <f>Table1218[[#This Row],[Column3]]-Table1218[[#This Row],[Per bank statement]]</f>
        <v>0</v>
      </c>
      <c r="Y18" s="1117">
        <v>4.4999999999999998E-2</v>
      </c>
      <c r="Z18" s="1118">
        <f>Table1218[[#This Row],[Interest rate]]-Table1218[[#This Row],[Per bank statement2]]</f>
        <v>0</v>
      </c>
      <c r="AA18" s="1112">
        <v>4.5</v>
      </c>
      <c r="AB18" s="1112"/>
      <c r="AC18" s="1112"/>
    </row>
    <row r="19" spans="1:29">
      <c r="A19" s="920" t="str">
        <f>IFERROR(VLOOKUP($C19,Table2[#All],3,0),0)</f>
        <v>GREAT KINGDOM NT 2</v>
      </c>
      <c r="B19" s="921" t="str">
        <f>_xlfn.XLOOKUP(Table1218[[#This Row],[ACCOUNT NUMBER]],Table2[Account No.],Table2[BRANCH],"recheck",0)</f>
        <v>VIETINBANK - CN1</v>
      </c>
      <c r="C19" s="921" t="s">
        <v>542</v>
      </c>
      <c r="D19" s="922" t="str">
        <f>_xlfn.XLOOKUP(Table1218[[#This Row],[ACCOUNT NUMBER]],Table2[Account No.],Table2[ACCOUNT TYPE],"recheck",0)</f>
        <v>Saving Account</v>
      </c>
      <c r="E19" s="1129" t="str">
        <f>_xlfn.XLOOKUP(Table1218[[#This Row],[ACCOUNT NUMBER]],Table2[Account No.],Table2[CURRENCY],"recheck",0)</f>
        <v>VND</v>
      </c>
      <c r="F19" s="926">
        <f>SUMIFS(Table11[CLOSING BALANCE (VND)2],Table11[ACCOUNT NUMBER],Table1218[[#This Row],[ACCOUNT NUMBER]],Table11[CURRENCY],Table1218[[#This Row],[CURRENCY]])</f>
        <v>2883354342</v>
      </c>
      <c r="G19" s="926">
        <f>SUMIFS(Table11[CLOSING BALANCE (USD)],Table11[ACCOUNT NUMBER],Table1218[[#This Row],[ACCOUNT NUMBER]],Table11[CURRENCY],Table1218[[#This Row],[CURRENCY]])</f>
        <v>0</v>
      </c>
      <c r="H19" s="1129" t="s">
        <v>228</v>
      </c>
      <c r="I19" s="1129"/>
      <c r="J19" s="1129"/>
      <c r="K19" s="1130">
        <v>46231</v>
      </c>
      <c r="L19" s="927">
        <v>4.2000000000000003E-2</v>
      </c>
      <c r="M19" s="922" t="str">
        <f>IFERROR(VLOOKUP($A19,Table1[[#All],[Entities]:[Name]],MATCH(M$3,Table1[[#Headers],[Entities]:[Name]],0),0),0)</f>
        <v>Subsidiaries</v>
      </c>
      <c r="N19" s="922" t="str">
        <f>IFERROR(VLOOKUP(IFERROR(MID($O19,1,FIND("-",$O19)-2),O19),Table3[#All],2,0),0)</f>
        <v>VTB</v>
      </c>
      <c r="O19" s="923" t="str">
        <f>IF(ISBLANK(Table1218[[#This Row],[BRANCH]]),"",IF(VLOOKUP(Table1218[[#This Row],[BRANCH]],Table4[#All],2,0)="OTHERS", "Others",Table1218[[#This Row],[BRANCH]]))</f>
        <v>VIETINBANK - CN1</v>
      </c>
      <c r="P19" s="927"/>
      <c r="Q19" s="922" t="s">
        <v>1548</v>
      </c>
      <c r="R19" s="922"/>
      <c r="S19" s="924" t="str">
        <f>IF(ISBLANK(Table1218[[#This Row],[Maturity date]]),"","W"&amp;MIN(WEEKNUM($K19+1,2)-WEEKNUM(EOMONTH($K19+1,-1)),4)&amp;TEXT($K19+1,"mmmyy"))</f>
        <v>W4Jul26</v>
      </c>
      <c r="T19" s="1214">
        <f>Table1218[[#This Row],[CLOSING BALANCE 
(VND)]]/1000000000</f>
        <v>2.8833543420000001</v>
      </c>
      <c r="U19"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9" s="1113">
        <v>12</v>
      </c>
      <c r="W19" s="1112">
        <v>12</v>
      </c>
      <c r="X19" s="1115">
        <f>Table1218[[#This Row],[Column3]]-Table1218[[#This Row],[Per bank statement]]</f>
        <v>0</v>
      </c>
      <c r="Y19" s="1117">
        <v>4.2000000000000003E-2</v>
      </c>
      <c r="Z19" s="1118">
        <f>Table1218[[#This Row],[Interest rate]]-Table1218[[#This Row],[Per bank statement2]]</f>
        <v>0</v>
      </c>
      <c r="AA19" s="1112">
        <v>4.2</v>
      </c>
      <c r="AB19" s="1112"/>
      <c r="AC19" s="1112"/>
    </row>
    <row r="20" spans="1:29">
      <c r="A20" s="920" t="str">
        <f>IFERROR(VLOOKUP($C20,Table2[#All],3,0),0)</f>
        <v>HOLDCO N4A</v>
      </c>
      <c r="B20" s="921" t="str">
        <f>_xlfn.XLOOKUP(Table1218[[#This Row],[ACCOUNT NUMBER]],Table2[Account No.],Table2[BRANCH],"recheck",0)</f>
        <v>VIETINBANK - TIEN SON</v>
      </c>
      <c r="C20" s="1141" t="s">
        <v>1005</v>
      </c>
      <c r="D20" s="922" t="str">
        <f>_xlfn.XLOOKUP(Table1218[[#This Row],[ACCOUNT NUMBER]],Table2[Account No.],Table2[ACCOUNT TYPE],"recheck",0)</f>
        <v>Saving Account</v>
      </c>
      <c r="E20" s="1129" t="str">
        <f>_xlfn.XLOOKUP(Table1218[[#This Row],[ACCOUNT NUMBER]],Table2[Account No.],Table2[CURRENCY],"recheck",0)</f>
        <v>VND</v>
      </c>
      <c r="F20" s="926">
        <f>SUMIFS(Table11[CLOSING BALANCE (VND)2],Table11[ACCOUNT NUMBER],Table1218[[#This Row],[ACCOUNT NUMBER]],Table11[CURRENCY],Table1218[[#This Row],[CURRENCY]])</f>
        <v>900000000</v>
      </c>
      <c r="G20" s="926">
        <v>0</v>
      </c>
      <c r="H20" s="1129" t="s">
        <v>221</v>
      </c>
      <c r="I20" s="1129"/>
      <c r="J20" s="1129"/>
      <c r="K20" s="1130">
        <v>46075</v>
      </c>
      <c r="L20" s="927">
        <v>4.7500000000000001E-2</v>
      </c>
      <c r="M20" s="922" t="str">
        <f>VLOOKUP($A20,Table1[[#All],[Entities]:[Name]],MATCH(M$3,Table1[[#Headers],[Entities]:[Name]],0),0)</f>
        <v>Subsidiaries</v>
      </c>
      <c r="N20" s="922" t="str">
        <f>IFERROR(VLOOKUP(IFERROR(MID($O20,1,FIND("-",$O20)-2),O20),Table3[#All],2,0),0)</f>
        <v>VTB</v>
      </c>
      <c r="O20" s="923" t="str">
        <f t="shared" ref="O20:O50" si="0">B20</f>
        <v>VIETINBANK - TIEN SON</v>
      </c>
      <c r="P20" s="927"/>
      <c r="Q20" s="922" t="s">
        <v>1545</v>
      </c>
      <c r="R20" s="922"/>
      <c r="S20" s="924" t="str">
        <f>IF(ISBLANK(Table1218[[#This Row],[Maturity date]]),"","W"&amp;MIN(WEEKNUM($K20+1,2)-WEEKNUM(EOMONTH($K20+1,-1)),4)&amp;TEXT($K20+1,"mmmyy"))</f>
        <v>W4Feb26</v>
      </c>
      <c r="T20" s="925">
        <f>Table1218[[#This Row],[CLOSING BALANCE 
(VND)]]/1000000000</f>
        <v>0.9</v>
      </c>
      <c r="U2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0" s="1114">
        <f>_xlfn.NUMBERVALUE(LEFT(Table1218[[#This Row],[Term (months)]],1))</f>
        <v>3</v>
      </c>
      <c r="W20" s="1112">
        <v>3</v>
      </c>
      <c r="X20" s="1115">
        <f>Table1218[[#This Row],[Column3]]-Table1218[[#This Row],[Per bank statement]]</f>
        <v>0</v>
      </c>
      <c r="Y20" s="1117">
        <v>4.4999999999999998E-2</v>
      </c>
      <c r="Z20" s="1118">
        <f>Table1218[[#This Row],[Interest rate]]-Table1218[[#This Row],[Per bank statement2]]</f>
        <v>2.5000000000000022E-3</v>
      </c>
      <c r="AA20" s="1112">
        <v>4.5</v>
      </c>
      <c r="AB20" s="1112"/>
      <c r="AC20" s="1112"/>
    </row>
    <row r="21" spans="1:29">
      <c r="A21" s="920" t="str">
        <f>IFERROR(VLOOKUP($C21,Table2[#All],3,0),0)</f>
        <v>HOLDCO N4B</v>
      </c>
      <c r="B21" s="921" t="str">
        <f>_xlfn.XLOOKUP(Table1218[[#This Row],[ACCOUNT NUMBER]],Table2[Account No.],Table2[BRANCH],"recheck",0)</f>
        <v>VIETINBANK - TIEN SON</v>
      </c>
      <c r="C21" s="1141" t="s">
        <v>1007</v>
      </c>
      <c r="D21" s="922" t="str">
        <f>_xlfn.XLOOKUP(Table1218[[#This Row],[ACCOUNT NUMBER]],Table2[Account No.],Table2[ACCOUNT TYPE],"recheck",0)</f>
        <v>Saving Account</v>
      </c>
      <c r="E21" s="1129" t="str">
        <f>_xlfn.XLOOKUP(Table1218[[#This Row],[ACCOUNT NUMBER]],Table2[Account No.],Table2[CURRENCY],"recheck",0)</f>
        <v>VND</v>
      </c>
      <c r="F21" s="926">
        <f>SUMIFS(Table11[CLOSING BALANCE (VND)2],Table11[ACCOUNT NUMBER],Table1218[[#This Row],[ACCOUNT NUMBER]],Table11[CURRENCY],Table1218[[#This Row],[CURRENCY]])</f>
        <v>900000000</v>
      </c>
      <c r="G21" s="926">
        <v>0</v>
      </c>
      <c r="H21" s="1129" t="s">
        <v>221</v>
      </c>
      <c r="I21" s="1129"/>
      <c r="J21" s="1129"/>
      <c r="K21" s="1130">
        <v>46075</v>
      </c>
      <c r="L21" s="927">
        <v>4.7500000000000001E-2</v>
      </c>
      <c r="M21" s="922" t="str">
        <f>VLOOKUP($A21,Table1[[#All],[Entities]:[Name]],MATCH(M$3,Table1[[#Headers],[Entities]:[Name]],0),0)</f>
        <v>Subsidiaries</v>
      </c>
      <c r="N21" s="922" t="str">
        <f>IFERROR(VLOOKUP(IFERROR(MID($O21,1,FIND("-",$O21)-2),O21),Table3[#All],2,0),0)</f>
        <v>VTB</v>
      </c>
      <c r="O21" s="923" t="str">
        <f t="shared" si="0"/>
        <v>VIETINBANK - TIEN SON</v>
      </c>
      <c r="P21" s="927"/>
      <c r="Q21" s="922" t="s">
        <v>1545</v>
      </c>
      <c r="R21" s="922"/>
      <c r="S21" s="924" t="str">
        <f>IF(ISBLANK(Table1218[[#This Row],[Maturity date]]),"","W"&amp;MIN(WEEKNUM($K21+1,2)-WEEKNUM(EOMONTH($K21+1,-1)),4)&amp;TEXT($K21+1,"mmmyy"))</f>
        <v>W4Feb26</v>
      </c>
      <c r="T21" s="925">
        <f>Table1218[[#This Row],[CLOSING BALANCE 
(VND)]]/1000000000</f>
        <v>0.9</v>
      </c>
      <c r="U2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1" s="1114">
        <f>_xlfn.NUMBERVALUE(LEFT(Table1218[[#This Row],[Term (months)]],1))</f>
        <v>3</v>
      </c>
      <c r="W21" s="1112">
        <v>3</v>
      </c>
      <c r="X21" s="1115">
        <f>Table1218[[#This Row],[Column3]]-Table1218[[#This Row],[Per bank statement]]</f>
        <v>0</v>
      </c>
      <c r="Y21" s="1117">
        <v>4.4999999999999998E-2</v>
      </c>
      <c r="Z21" s="1118">
        <f>Table1218[[#This Row],[Interest rate]]-Table1218[[#This Row],[Per bank statement2]]</f>
        <v>2.5000000000000022E-3</v>
      </c>
      <c r="AA21" s="1112">
        <v>4.5</v>
      </c>
      <c r="AB21" s="1112"/>
      <c r="AC21" s="1112"/>
    </row>
    <row r="22" spans="1:29">
      <c r="A22" s="920" t="str">
        <f>IFERROR(VLOOKUP($C22,Table2[#All],3,0),0)</f>
        <v>HOLDCO N4C</v>
      </c>
      <c r="B22" s="921" t="str">
        <f>_xlfn.XLOOKUP(Table1218[[#This Row],[ACCOUNT NUMBER]],Table2[Account No.],Table2[BRANCH],"recheck",0)</f>
        <v>VIETINBANK - TIEN SON</v>
      </c>
      <c r="C22" s="1141" t="s">
        <v>1006</v>
      </c>
      <c r="D22" s="922" t="str">
        <f>_xlfn.XLOOKUP(Table1218[[#This Row],[ACCOUNT NUMBER]],Table2[Account No.],Table2[ACCOUNT TYPE],"recheck",0)</f>
        <v>Saving Account</v>
      </c>
      <c r="E22" s="1129" t="str">
        <f>_xlfn.XLOOKUP(Table1218[[#This Row],[ACCOUNT NUMBER]],Table2[Account No.],Table2[CURRENCY],"recheck",0)</f>
        <v>VND</v>
      </c>
      <c r="F22" s="926">
        <f>SUMIFS(Table11[CLOSING BALANCE (VND)2],Table11[ACCOUNT NUMBER],Table1218[[#This Row],[ACCOUNT NUMBER]],Table11[CURRENCY],Table1218[[#This Row],[CURRENCY]])</f>
        <v>900000000</v>
      </c>
      <c r="G22" s="926">
        <v>0</v>
      </c>
      <c r="H22" s="1129" t="s">
        <v>221</v>
      </c>
      <c r="I22" s="1129"/>
      <c r="J22" s="1129"/>
      <c r="K22" s="1130">
        <v>46075</v>
      </c>
      <c r="L22" s="927">
        <v>4.7500000000000001E-2</v>
      </c>
      <c r="M22" s="922" t="str">
        <f>VLOOKUP($A22,Table1[[#All],[Entities]:[Name]],MATCH(M$3,Table1[[#Headers],[Entities]:[Name]],0),0)</f>
        <v>Subsidiaries</v>
      </c>
      <c r="N22" s="922" t="str">
        <f>IFERROR(VLOOKUP(IFERROR(MID($O22,1,FIND("-",$O22)-2),O22),Table3[#All],2,0),0)</f>
        <v>VTB</v>
      </c>
      <c r="O22" s="923" t="str">
        <f t="shared" si="0"/>
        <v>VIETINBANK - TIEN SON</v>
      </c>
      <c r="P22" s="927"/>
      <c r="Q22" s="922" t="s">
        <v>1545</v>
      </c>
      <c r="R22" s="922"/>
      <c r="S22" s="924" t="str">
        <f>IF(ISBLANK(Table1218[[#This Row],[Maturity date]]),"","W"&amp;MIN(WEEKNUM($K22+1,2)-WEEKNUM(EOMONTH($K22+1,-1)),4)&amp;TEXT($K22+1,"mmmyy"))</f>
        <v>W4Feb26</v>
      </c>
      <c r="T22" s="925">
        <f>Table1218[[#This Row],[CLOSING BALANCE 
(VND)]]/1000000000</f>
        <v>0.9</v>
      </c>
      <c r="U2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2" s="1114">
        <f>_xlfn.NUMBERVALUE(LEFT(Table1218[[#This Row],[Term (months)]],1))</f>
        <v>3</v>
      </c>
      <c r="W22" s="1112">
        <v>3</v>
      </c>
      <c r="X22" s="1115">
        <f>Table1218[[#This Row],[Column3]]-Table1218[[#This Row],[Per bank statement]]</f>
        <v>0</v>
      </c>
      <c r="Y22" s="1117">
        <v>4.4999999999999998E-2</v>
      </c>
      <c r="Z22" s="1118">
        <f>Table1218[[#This Row],[Interest rate]]-Table1218[[#This Row],[Per bank statement2]]</f>
        <v>2.5000000000000022E-3</v>
      </c>
      <c r="AA22" s="1112">
        <v>4.5</v>
      </c>
      <c r="AB22" s="1112"/>
      <c r="AC22" s="1112"/>
    </row>
    <row r="23" spans="1:29">
      <c r="A23" s="920" t="str">
        <f>IFERROR(VLOOKUP($C23,Table2[#All],3,0),0)</f>
        <v>HOLDCO N4D</v>
      </c>
      <c r="B23" s="921" t="str">
        <f>_xlfn.XLOOKUP(Table1218[[#This Row],[ACCOUNT NUMBER]],Table2[Account No.],Table2[BRANCH],"recheck",0)</f>
        <v>VIETINBANK - TIEN SON</v>
      </c>
      <c r="C23" s="1141" t="s">
        <v>1003</v>
      </c>
      <c r="D23" s="922" t="str">
        <f>_xlfn.XLOOKUP(Table1218[[#This Row],[ACCOUNT NUMBER]],Table2[Account No.],Table2[ACCOUNT TYPE],"recheck",0)</f>
        <v>Saving Account</v>
      </c>
      <c r="E23" s="1129" t="str">
        <f>_xlfn.XLOOKUP(Table1218[[#This Row],[ACCOUNT NUMBER]],Table2[Account No.],Table2[CURRENCY],"recheck",0)</f>
        <v>VND</v>
      </c>
      <c r="F23" s="926">
        <f>SUMIFS(Table11[CLOSING BALANCE (VND)2],Table11[ACCOUNT NUMBER],Table1218[[#This Row],[ACCOUNT NUMBER]],Table11[CURRENCY],Table1218[[#This Row],[CURRENCY]])</f>
        <v>900000000</v>
      </c>
      <c r="G23" s="926">
        <v>0</v>
      </c>
      <c r="H23" s="1129" t="s">
        <v>221</v>
      </c>
      <c r="I23" s="1129"/>
      <c r="J23" s="1129"/>
      <c r="K23" s="1130">
        <v>46075</v>
      </c>
      <c r="L23" s="927">
        <v>4.7500000000000001E-2</v>
      </c>
      <c r="M23" s="922" t="str">
        <f>VLOOKUP($A23,Table1[[#All],[Entities]:[Name]],MATCH(M$3,Table1[[#Headers],[Entities]:[Name]],0),0)</f>
        <v>Subsidiaries</v>
      </c>
      <c r="N23" s="922" t="str">
        <f>IFERROR(VLOOKUP(IFERROR(MID($O23,1,FIND("-",$O23)-2),O23),Table3[#All],2,0),0)</f>
        <v>VTB</v>
      </c>
      <c r="O23" s="923" t="str">
        <f t="shared" si="0"/>
        <v>VIETINBANK - TIEN SON</v>
      </c>
      <c r="P23" s="927"/>
      <c r="Q23" s="922" t="s">
        <v>1545</v>
      </c>
      <c r="R23" s="922"/>
      <c r="S23" s="924" t="str">
        <f>IF(ISBLANK(Table1218[[#This Row],[Maturity date]]),"","W"&amp;MIN(WEEKNUM($K23+1,2)-WEEKNUM(EOMONTH($K23+1,-1)),4)&amp;TEXT($K23+1,"mmmyy"))</f>
        <v>W4Feb26</v>
      </c>
      <c r="T23" s="925">
        <f>Table1218[[#This Row],[CLOSING BALANCE 
(VND)]]/1000000000</f>
        <v>0.9</v>
      </c>
      <c r="U2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3" s="1114">
        <f>_xlfn.NUMBERVALUE(LEFT(Table1218[[#This Row],[Term (months)]],1))</f>
        <v>3</v>
      </c>
      <c r="W23" s="1112">
        <v>3</v>
      </c>
      <c r="X23" s="1115">
        <f>Table1218[[#This Row],[Column3]]-Table1218[[#This Row],[Per bank statement]]</f>
        <v>0</v>
      </c>
      <c r="Y23" s="1117">
        <v>4.4999999999999998E-2</v>
      </c>
      <c r="Z23" s="1118">
        <f>Table1218[[#This Row],[Interest rate]]-Table1218[[#This Row],[Per bank statement2]]</f>
        <v>2.5000000000000022E-3</v>
      </c>
      <c r="AA23" s="1112">
        <v>4.5</v>
      </c>
      <c r="AB23" s="1112"/>
      <c r="AC23" s="1112"/>
    </row>
    <row r="24" spans="1:29">
      <c r="A24" s="920" t="str">
        <f>IFERROR(VLOOKUP($C24,Table2[#All],3,0),0)</f>
        <v>HOLDCO N4E</v>
      </c>
      <c r="B24" s="921" t="str">
        <f>_xlfn.XLOOKUP(Table1218[[#This Row],[ACCOUNT NUMBER]],Table2[Account No.],Table2[BRANCH],"recheck",0)</f>
        <v>VIETINBANK - TIEN SON</v>
      </c>
      <c r="C24" s="1141" t="s">
        <v>1004</v>
      </c>
      <c r="D24" s="922" t="str">
        <f>_xlfn.XLOOKUP(Table1218[[#This Row],[ACCOUNT NUMBER]],Table2[Account No.],Table2[ACCOUNT TYPE],"recheck",0)</f>
        <v>Saving Account</v>
      </c>
      <c r="E24" s="1129" t="str">
        <f>_xlfn.XLOOKUP(Table1218[[#This Row],[ACCOUNT NUMBER]],Table2[Account No.],Table2[CURRENCY],"recheck",0)</f>
        <v>VND</v>
      </c>
      <c r="F24" s="926">
        <f>SUMIFS(Table11[CLOSING BALANCE (VND)2],Table11[ACCOUNT NUMBER],Table1218[[#This Row],[ACCOUNT NUMBER]],Table11[CURRENCY],Table1218[[#This Row],[CURRENCY]])</f>
        <v>900000000</v>
      </c>
      <c r="G24" s="926">
        <v>0</v>
      </c>
      <c r="H24" s="1129" t="s">
        <v>221</v>
      </c>
      <c r="I24" s="1129"/>
      <c r="J24" s="1129"/>
      <c r="K24" s="1130">
        <v>46075</v>
      </c>
      <c r="L24" s="927">
        <v>4.7500000000000001E-2</v>
      </c>
      <c r="M24" s="922" t="str">
        <f>VLOOKUP($A24,Table1[[#All],[Entities]:[Name]],MATCH(M$3,Table1[[#Headers],[Entities]:[Name]],0),0)</f>
        <v>Subsidiaries</v>
      </c>
      <c r="N24" s="922" t="str">
        <f>IFERROR(VLOOKUP(IFERROR(MID($O24,1,FIND("-",$O24)-2),O24),Table3[#All],2,0),0)</f>
        <v>VTB</v>
      </c>
      <c r="O24" s="923" t="str">
        <f t="shared" si="0"/>
        <v>VIETINBANK - TIEN SON</v>
      </c>
      <c r="P24" s="927"/>
      <c r="Q24" s="922" t="s">
        <v>1545</v>
      </c>
      <c r="R24" s="922"/>
      <c r="S24" s="924" t="str">
        <f>IF(ISBLANK(Table1218[[#This Row],[Maturity date]]),"","W"&amp;MIN(WEEKNUM($K24+1,2)-WEEKNUM(EOMONTH($K24+1,-1)),4)&amp;TEXT($K24+1,"mmmyy"))</f>
        <v>W4Feb26</v>
      </c>
      <c r="T24" s="925">
        <f>Table1218[[#This Row],[CLOSING BALANCE 
(VND)]]/1000000000</f>
        <v>0.9</v>
      </c>
      <c r="U2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4" s="1114">
        <f>_xlfn.NUMBERVALUE(LEFT(Table1218[[#This Row],[Term (months)]],1))</f>
        <v>3</v>
      </c>
      <c r="W24" s="1112">
        <v>3</v>
      </c>
      <c r="X24" s="1115">
        <f>Table1218[[#This Row],[Column3]]-Table1218[[#This Row],[Per bank statement]]</f>
        <v>0</v>
      </c>
      <c r="Y24" s="1117">
        <v>4.4999999999999998E-2</v>
      </c>
      <c r="Z24" s="1118">
        <f>Table1218[[#This Row],[Interest rate]]-Table1218[[#This Row],[Per bank statement2]]</f>
        <v>2.5000000000000022E-3</v>
      </c>
      <c r="AA24" s="1112">
        <v>4.5</v>
      </c>
      <c r="AB24" s="1112"/>
      <c r="AC24" s="1112"/>
    </row>
    <row r="25" spans="1:29">
      <c r="A25" s="920" t="str">
        <f>IFERROR(VLOOKUP($C25,Table2[#All],3,0),0)</f>
        <v>HOLDCO4F</v>
      </c>
      <c r="B25" s="921" t="str">
        <f>_xlfn.XLOOKUP(Table1218[[#This Row],[ACCOUNT NUMBER]],Table2[Account No.],Table2[BRANCH],"recheck",0)</f>
        <v>VIETINBANK - TIEN SON</v>
      </c>
      <c r="C25" s="1141" t="s">
        <v>829</v>
      </c>
      <c r="D25" s="922" t="str">
        <f>_xlfn.XLOOKUP(Table1218[[#This Row],[ACCOUNT NUMBER]],Table2[Account No.],Table2[ACCOUNT TYPE],"recheck",0)</f>
        <v>Saving Account</v>
      </c>
      <c r="E25" s="1129" t="str">
        <f>_xlfn.XLOOKUP(Table1218[[#This Row],[ACCOUNT NUMBER]],Table2[Account No.],Table2[CURRENCY],"recheck",0)</f>
        <v>VND</v>
      </c>
      <c r="F25" s="926">
        <f>SUMIFS(Table11[CLOSING BALANCE (VND)2],Table11[ACCOUNT NUMBER],Table1218[[#This Row],[ACCOUNT NUMBER]],Table11[CURRENCY],Table1218[[#This Row],[CURRENCY]])</f>
        <v>50000000</v>
      </c>
      <c r="G25" s="926">
        <f>SUMIFS(Table11[CLOSING BALANCE (USD)],Table11[ACCOUNT NUMBER],Table1218[[#This Row],[ACCOUNT NUMBER]],Table11[CURRENCY],Table1218[[#This Row],[CURRENCY]])</f>
        <v>0</v>
      </c>
      <c r="H25" s="1129" t="s">
        <v>224</v>
      </c>
      <c r="I25" s="1129"/>
      <c r="J25" s="1129"/>
      <c r="K25" s="1130">
        <v>46069</v>
      </c>
      <c r="L25" s="927">
        <v>4.4999999999999998E-2</v>
      </c>
      <c r="M25" s="922" t="str">
        <f>VLOOKUP($A25,Table1[[#All],[Entities]:[Name]],MATCH(M$3,Table1[[#Headers],[Entities]:[Name]],0),0)</f>
        <v>Subsidiaries</v>
      </c>
      <c r="N25" s="922" t="str">
        <f>IFERROR(VLOOKUP(IFERROR(MID($O25,1,FIND("-",$O25)-2),O25),Table3[#All],2,0),0)</f>
        <v>VTB</v>
      </c>
      <c r="O25" s="923" t="str">
        <f t="shared" si="0"/>
        <v>VIETINBANK - TIEN SON</v>
      </c>
      <c r="P25" s="927"/>
      <c r="Q25" s="922" t="s">
        <v>1545</v>
      </c>
      <c r="R25" s="922"/>
      <c r="S25" s="924" t="str">
        <f>IF(ISBLANK(Table1218[[#This Row],[Maturity date]]),"","W"&amp;MIN(WEEKNUM($K25+1,2)-WEEKNUM(EOMONTH($K25+1,-1)),4)&amp;TEXT($K25+1,"mmmyy"))</f>
        <v>W3Feb26</v>
      </c>
      <c r="T25" s="925">
        <f>Table1218[[#This Row],[CLOSING BALANCE 
(VND)]]/1000000000</f>
        <v>0.05</v>
      </c>
      <c r="U2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5" s="1114">
        <f>_xlfn.NUMBERVALUE(LEFT(Table1218[[#This Row],[Term (months)]],1))</f>
        <v>6</v>
      </c>
      <c r="W25" s="1112">
        <v>6</v>
      </c>
      <c r="X25" s="1115">
        <f>Table1218[[#This Row],[Column3]]-Table1218[[#This Row],[Per bank statement]]</f>
        <v>0</v>
      </c>
      <c r="Y25" s="1117">
        <v>4.4999999999999998E-2</v>
      </c>
      <c r="Z25" s="1118">
        <f>Table1218[[#This Row],[Interest rate]]-Table1218[[#This Row],[Per bank statement2]]</f>
        <v>0</v>
      </c>
      <c r="AA25" s="1112">
        <v>4.5</v>
      </c>
      <c r="AB25" s="1112"/>
      <c r="AC25" s="1112"/>
    </row>
    <row r="26" spans="1:29">
      <c r="A26" s="920" t="str">
        <f>IFERROR(VLOOKUP($C26,Table2[#All],3,0),0)</f>
        <v>HOLDCO4G</v>
      </c>
      <c r="B26" s="921" t="str">
        <f>_xlfn.XLOOKUP(Table1218[[#This Row],[ACCOUNT NUMBER]],Table2[Account No.],Table2[BRANCH],"recheck",0)</f>
        <v>VIETINBANK - TIEN SON</v>
      </c>
      <c r="C26" s="1141" t="s">
        <v>837</v>
      </c>
      <c r="D26" s="922" t="str">
        <f>_xlfn.XLOOKUP(Table1218[[#This Row],[ACCOUNT NUMBER]],Table2[Account No.],Table2[ACCOUNT TYPE],"recheck",0)</f>
        <v>Saving Account</v>
      </c>
      <c r="E26" s="1129" t="str">
        <f>_xlfn.XLOOKUP(Table1218[[#This Row],[ACCOUNT NUMBER]],Table2[Account No.],Table2[CURRENCY],"recheck",0)</f>
        <v>VND</v>
      </c>
      <c r="F26" s="926">
        <f>SUMIFS(Table11[CLOSING BALANCE (VND)2],Table11[ACCOUNT NUMBER],Table1218[[#This Row],[ACCOUNT NUMBER]],Table11[CURRENCY],Table1218[[#This Row],[CURRENCY]])</f>
        <v>50000000</v>
      </c>
      <c r="G26" s="926">
        <f>SUMIFS(Table11[CLOSING BALANCE (USD)],Table11[ACCOUNT NUMBER],Table1218[[#This Row],[ACCOUNT NUMBER]],Table11[CURRENCY],Table1218[[#This Row],[CURRENCY]])</f>
        <v>0</v>
      </c>
      <c r="H26" s="1129" t="s">
        <v>224</v>
      </c>
      <c r="I26" s="1129"/>
      <c r="J26" s="1129"/>
      <c r="K26" s="1130">
        <v>46069</v>
      </c>
      <c r="L26" s="927">
        <v>4.4999999999999998E-2</v>
      </c>
      <c r="M26" s="922" t="str">
        <f>VLOOKUP($A26,Table1[[#All],[Entities]:[Name]],MATCH(M$3,Table1[[#Headers],[Entities]:[Name]],0),0)</f>
        <v>Subsidiaries</v>
      </c>
      <c r="N26" s="922" t="str">
        <f>IFERROR(VLOOKUP(IFERROR(MID($O26,1,FIND("-",$O26)-2),O26),Table3[#All],2,0),0)</f>
        <v>VTB</v>
      </c>
      <c r="O26" s="923" t="str">
        <f t="shared" si="0"/>
        <v>VIETINBANK - TIEN SON</v>
      </c>
      <c r="P26" s="927"/>
      <c r="Q26" s="922" t="s">
        <v>1545</v>
      </c>
      <c r="R26" s="922"/>
      <c r="S26" s="924" t="str">
        <f>IF(ISBLANK(Table1218[[#This Row],[Maturity date]]),"","W"&amp;MIN(WEEKNUM($K26+1,2)-WEEKNUM(EOMONTH($K26+1,-1)),4)&amp;TEXT($K26+1,"mmmyy"))</f>
        <v>W3Feb26</v>
      </c>
      <c r="T26" s="925">
        <f>Table1218[[#This Row],[CLOSING BALANCE 
(VND)]]/1000000000</f>
        <v>0.05</v>
      </c>
      <c r="U2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6" s="1114">
        <f>_xlfn.NUMBERVALUE(LEFT(Table1218[[#This Row],[Term (months)]],1))</f>
        <v>6</v>
      </c>
      <c r="W26" s="1112">
        <v>6</v>
      </c>
      <c r="X26" s="1115">
        <f>Table1218[[#This Row],[Column3]]-Table1218[[#This Row],[Per bank statement]]</f>
        <v>0</v>
      </c>
      <c r="Y26" s="1117">
        <v>4.4999999999999998E-2</v>
      </c>
      <c r="Z26" s="1118">
        <f>Table1218[[#This Row],[Interest rate]]-Table1218[[#This Row],[Per bank statement2]]</f>
        <v>0</v>
      </c>
      <c r="AA26" s="1112">
        <v>4.5</v>
      </c>
      <c r="AB26" s="1112"/>
      <c r="AC26" s="1112"/>
    </row>
    <row r="27" spans="1:29">
      <c r="A27" s="920" t="str">
        <f>IFERROR(VLOOKUP($C27,Table2[#All],3,0),0)</f>
        <v>HOLDCO4H</v>
      </c>
      <c r="B27" s="921" t="str">
        <f>_xlfn.XLOOKUP(Table1218[[#This Row],[ACCOUNT NUMBER]],Table2[Account No.],Table2[BRANCH],"recheck",0)</f>
        <v>VIETINBANK - TIEN SON</v>
      </c>
      <c r="C27" s="1141" t="s">
        <v>830</v>
      </c>
      <c r="D27" s="922" t="str">
        <f>_xlfn.XLOOKUP(Table1218[[#This Row],[ACCOUNT NUMBER]],Table2[Account No.],Table2[ACCOUNT TYPE],"recheck",0)</f>
        <v>Saving Account</v>
      </c>
      <c r="E27" s="1129" t="str">
        <f>_xlfn.XLOOKUP(Table1218[[#This Row],[ACCOUNT NUMBER]],Table2[Account No.],Table2[CURRENCY],"recheck",0)</f>
        <v>VND</v>
      </c>
      <c r="F27" s="926">
        <f>SUMIFS(Table11[CLOSING BALANCE (VND)2],Table11[ACCOUNT NUMBER],Table1218[[#This Row],[ACCOUNT NUMBER]],Table11[CURRENCY],Table1218[[#This Row],[CURRENCY]])</f>
        <v>50000000</v>
      </c>
      <c r="G27" s="926">
        <f>SUMIFS(Table11[CLOSING BALANCE (USD)],Table11[ACCOUNT NUMBER],Table1218[[#This Row],[ACCOUNT NUMBER]],Table11[CURRENCY],Table1218[[#This Row],[CURRENCY]])</f>
        <v>0</v>
      </c>
      <c r="H27" s="1129" t="s">
        <v>224</v>
      </c>
      <c r="I27" s="1129"/>
      <c r="J27" s="1129"/>
      <c r="K27" s="1130">
        <v>46069</v>
      </c>
      <c r="L27" s="927">
        <v>4.4999999999999998E-2</v>
      </c>
      <c r="M27" s="922" t="str">
        <f>VLOOKUP($A27,Table1[[#All],[Entities]:[Name]],MATCH(M$3,Table1[[#Headers],[Entities]:[Name]],0),0)</f>
        <v>Subsidiaries</v>
      </c>
      <c r="N27" s="922" t="str">
        <f>IFERROR(VLOOKUP(IFERROR(MID($O27,1,FIND("-",$O27)-2),O27),Table3[#All],2,0),0)</f>
        <v>VTB</v>
      </c>
      <c r="O27" s="923" t="str">
        <f t="shared" si="0"/>
        <v>VIETINBANK - TIEN SON</v>
      </c>
      <c r="P27" s="927"/>
      <c r="Q27" s="922" t="s">
        <v>1545</v>
      </c>
      <c r="R27" s="922"/>
      <c r="S27" s="924" t="str">
        <f>IF(ISBLANK(Table1218[[#This Row],[Maturity date]]),"","W"&amp;MIN(WEEKNUM($K27+1,2)-WEEKNUM(EOMONTH($K27+1,-1)),4)&amp;TEXT($K27+1,"mmmyy"))</f>
        <v>W3Feb26</v>
      </c>
      <c r="T27" s="925">
        <f>Table1218[[#This Row],[CLOSING BALANCE 
(VND)]]/1000000000</f>
        <v>0.05</v>
      </c>
      <c r="U2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7" s="1114">
        <f>_xlfn.NUMBERVALUE(LEFT(Table1218[[#This Row],[Term (months)]],1))</f>
        <v>6</v>
      </c>
      <c r="W27" s="1112">
        <v>6</v>
      </c>
      <c r="X27" s="1115">
        <f>Table1218[[#This Row],[Column3]]-Table1218[[#This Row],[Per bank statement]]</f>
        <v>0</v>
      </c>
      <c r="Y27" s="1117">
        <v>4.4999999999999998E-2</v>
      </c>
      <c r="Z27" s="1118">
        <f>Table1218[[#This Row],[Interest rate]]-Table1218[[#This Row],[Per bank statement2]]</f>
        <v>0</v>
      </c>
      <c r="AA27" s="1112">
        <v>4.5</v>
      </c>
      <c r="AB27" s="1112"/>
      <c r="AC27" s="1112"/>
    </row>
    <row r="28" spans="1:29">
      <c r="A28" s="920" t="str">
        <f>IFERROR(VLOOKUP($C28,Table2[#All],3,0),0)</f>
        <v>HOLDCO4I</v>
      </c>
      <c r="B28" s="921" t="str">
        <f>_xlfn.XLOOKUP(Table1218[[#This Row],[ACCOUNT NUMBER]],Table2[Account No.],Table2[BRANCH],"recheck",0)</f>
        <v>VIETINBANK - TIEN SON</v>
      </c>
      <c r="C28" s="1141" t="s">
        <v>836</v>
      </c>
      <c r="D28" s="922" t="str">
        <f>_xlfn.XLOOKUP(Table1218[[#This Row],[ACCOUNT NUMBER]],Table2[Account No.],Table2[ACCOUNT TYPE],"recheck",0)</f>
        <v>Saving Account</v>
      </c>
      <c r="E28" s="1129" t="str">
        <f>_xlfn.XLOOKUP(Table1218[[#This Row],[ACCOUNT NUMBER]],Table2[Account No.],Table2[CURRENCY],"recheck",0)</f>
        <v>VND</v>
      </c>
      <c r="F28" s="926">
        <f>SUMIFS(Table11[CLOSING BALANCE (VND)2],Table11[ACCOUNT NUMBER],Table1218[[#This Row],[ACCOUNT NUMBER]],Table11[CURRENCY],Table1218[[#This Row],[CURRENCY]])</f>
        <v>50000000</v>
      </c>
      <c r="G28" s="926">
        <f>SUMIFS(Table11[CLOSING BALANCE (USD)],Table11[ACCOUNT NUMBER],Table1218[[#This Row],[ACCOUNT NUMBER]],Table11[CURRENCY],Table1218[[#This Row],[CURRENCY]])</f>
        <v>0</v>
      </c>
      <c r="H28" s="1129" t="s">
        <v>224</v>
      </c>
      <c r="I28" s="1129"/>
      <c r="J28" s="1129"/>
      <c r="K28" s="1130">
        <v>46069</v>
      </c>
      <c r="L28" s="927">
        <v>4.4999999999999998E-2</v>
      </c>
      <c r="M28" s="922" t="str">
        <f>VLOOKUP($A28,Table1[[#All],[Entities]:[Name]],MATCH(M$3,Table1[[#Headers],[Entities]:[Name]],0),0)</f>
        <v>Subsidiaries</v>
      </c>
      <c r="N28" s="922" t="str">
        <f>IFERROR(VLOOKUP(IFERROR(MID($O28,1,FIND("-",$O28)-2),O28),Table3[#All],2,0),0)</f>
        <v>VTB</v>
      </c>
      <c r="O28" s="923" t="str">
        <f t="shared" si="0"/>
        <v>VIETINBANK - TIEN SON</v>
      </c>
      <c r="P28" s="927"/>
      <c r="Q28" s="922" t="s">
        <v>1545</v>
      </c>
      <c r="R28" s="922"/>
      <c r="S28" s="924" t="str">
        <f>IF(ISBLANK(Table1218[[#This Row],[Maturity date]]),"","W"&amp;MIN(WEEKNUM($K28+1,2)-WEEKNUM(EOMONTH($K28+1,-1)),4)&amp;TEXT($K28+1,"mmmyy"))</f>
        <v>W3Feb26</v>
      </c>
      <c r="T28" s="925">
        <f>Table1218[[#This Row],[CLOSING BALANCE 
(VND)]]/1000000000</f>
        <v>0.05</v>
      </c>
      <c r="U2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8" s="1114">
        <f>_xlfn.NUMBERVALUE(LEFT(Table1218[[#This Row],[Term (months)]],1))</f>
        <v>6</v>
      </c>
      <c r="W28" s="1112">
        <v>6</v>
      </c>
      <c r="X28" s="1115">
        <f>Table1218[[#This Row],[Column3]]-Table1218[[#This Row],[Per bank statement]]</f>
        <v>0</v>
      </c>
      <c r="Y28" s="1117">
        <v>4.4999999999999998E-2</v>
      </c>
      <c r="Z28" s="1118">
        <f>Table1218[[#This Row],[Interest rate]]-Table1218[[#This Row],[Per bank statement2]]</f>
        <v>0</v>
      </c>
      <c r="AA28" s="1112">
        <v>4.5</v>
      </c>
      <c r="AB28" s="1112"/>
      <c r="AC28" s="1112"/>
    </row>
    <row r="29" spans="1:29">
      <c r="A29" s="920" t="str">
        <f>IFERROR(VLOOKUP($C29,Table2[#All],3,0),0)</f>
        <v>HOLDCO4J</v>
      </c>
      <c r="B29" s="921" t="str">
        <f>_xlfn.XLOOKUP(Table1218[[#This Row],[ACCOUNT NUMBER]],Table2[Account No.],Table2[BRANCH],"recheck",0)</f>
        <v>VIETINBANK - TIEN SON</v>
      </c>
      <c r="C29" s="1141" t="s">
        <v>835</v>
      </c>
      <c r="D29" s="922" t="str">
        <f>_xlfn.XLOOKUP(Table1218[[#This Row],[ACCOUNT NUMBER]],Table2[Account No.],Table2[ACCOUNT TYPE],"recheck",0)</f>
        <v>Saving Account</v>
      </c>
      <c r="E29" s="1129" t="str">
        <f>_xlfn.XLOOKUP(Table1218[[#This Row],[ACCOUNT NUMBER]],Table2[Account No.],Table2[CURRENCY],"recheck",0)</f>
        <v>VND</v>
      </c>
      <c r="F29" s="926">
        <f>SUMIFS(Table11[CLOSING BALANCE (VND)2],Table11[ACCOUNT NUMBER],Table1218[[#This Row],[ACCOUNT NUMBER]],Table11[CURRENCY],Table1218[[#This Row],[CURRENCY]])</f>
        <v>50000000</v>
      </c>
      <c r="G29" s="926">
        <f>SUMIFS(Table11[CLOSING BALANCE (USD)],Table11[ACCOUNT NUMBER],Table1218[[#This Row],[ACCOUNT NUMBER]],Table11[CURRENCY],Table1218[[#This Row],[CURRENCY]])</f>
        <v>0</v>
      </c>
      <c r="H29" s="1129" t="s">
        <v>224</v>
      </c>
      <c r="I29" s="1129"/>
      <c r="J29" s="1129"/>
      <c r="K29" s="1130">
        <v>46069</v>
      </c>
      <c r="L29" s="927">
        <v>4.4999999999999998E-2</v>
      </c>
      <c r="M29" s="922" t="str">
        <f>VLOOKUP($A29,Table1[[#All],[Entities]:[Name]],MATCH(M$3,Table1[[#Headers],[Entities]:[Name]],0),0)</f>
        <v>Subsidiaries</v>
      </c>
      <c r="N29" s="922" t="str">
        <f>IFERROR(VLOOKUP(IFERROR(MID($O29,1,FIND("-",$O29)-2),O29),Table3[#All],2,0),0)</f>
        <v>VTB</v>
      </c>
      <c r="O29" s="923" t="str">
        <f t="shared" si="0"/>
        <v>VIETINBANK - TIEN SON</v>
      </c>
      <c r="P29" s="927"/>
      <c r="Q29" s="922" t="s">
        <v>1545</v>
      </c>
      <c r="R29" s="922"/>
      <c r="S29" s="924" t="str">
        <f>IF(ISBLANK(Table1218[[#This Row],[Maturity date]]),"","W"&amp;MIN(WEEKNUM($K29+1,2)-WEEKNUM(EOMONTH($K29+1,-1)),4)&amp;TEXT($K29+1,"mmmyy"))</f>
        <v>W3Feb26</v>
      </c>
      <c r="T29" s="925">
        <f>Table1218[[#This Row],[CLOSING BALANCE 
(VND)]]/1000000000</f>
        <v>0.05</v>
      </c>
      <c r="U2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9" s="1114">
        <f>_xlfn.NUMBERVALUE(LEFT(Table1218[[#This Row],[Term (months)]],1))</f>
        <v>6</v>
      </c>
      <c r="W29" s="1112">
        <v>6</v>
      </c>
      <c r="X29" s="1115">
        <f>Table1218[[#This Row],[Column3]]-Table1218[[#This Row],[Per bank statement]]</f>
        <v>0</v>
      </c>
      <c r="Y29" s="1117">
        <v>4.4999999999999998E-2</v>
      </c>
      <c r="Z29" s="1118">
        <f>Table1218[[#This Row],[Interest rate]]-Table1218[[#This Row],[Per bank statement2]]</f>
        <v>0</v>
      </c>
      <c r="AA29" s="1112">
        <v>4.5</v>
      </c>
      <c r="AB29" s="1112"/>
      <c r="AC29" s="1112"/>
    </row>
    <row r="30" spans="1:29">
      <c r="A30" s="920" t="str">
        <f>IFERROR(VLOOKUP($C30,Table2[#All],3,0),0)</f>
        <v>HOLDCO4K</v>
      </c>
      <c r="B30" s="921" t="str">
        <f>_xlfn.XLOOKUP(Table1218[[#This Row],[ACCOUNT NUMBER]],Table2[Account No.],Table2[BRANCH],"recheck",0)</f>
        <v>BIDV - THANH XUAN</v>
      </c>
      <c r="C30" s="1141" t="s">
        <v>812</v>
      </c>
      <c r="D30" s="922" t="str">
        <f>_xlfn.XLOOKUP(Table1218[[#This Row],[ACCOUNT NUMBER]],Table2[Account No.],Table2[ACCOUNT TYPE],"recheck",0)</f>
        <v>Saving Account</v>
      </c>
      <c r="E30" s="1129" t="str">
        <f>_xlfn.XLOOKUP(Table1218[[#This Row],[ACCOUNT NUMBER]],Table2[Account No.],Table2[CURRENCY],"recheck",0)</f>
        <v>VND</v>
      </c>
      <c r="F30" s="926">
        <f>SUMIFS(Table11[CLOSING BALANCE (VND)2],Table11[ACCOUNT NUMBER],Table1218[[#This Row],[ACCOUNT NUMBER]],Table11[CURRENCY],Table1218[[#This Row],[CURRENCY]])</f>
        <v>900000000</v>
      </c>
      <c r="G30" s="926">
        <f>SUMIFS(Table11[CLOSING BALANCE (USD)],Table11[ACCOUNT NUMBER],Table1218[[#This Row],[ACCOUNT NUMBER]],Table11[CURRENCY],Table1218[[#This Row],[CURRENCY]])</f>
        <v>0</v>
      </c>
      <c r="H30" s="1129" t="s">
        <v>224</v>
      </c>
      <c r="I30" s="1129"/>
      <c r="J30" s="1129"/>
      <c r="K30" s="1130">
        <v>46075</v>
      </c>
      <c r="L30" s="927">
        <v>4.2000000000000003E-2</v>
      </c>
      <c r="M30" s="922" t="str">
        <f>VLOOKUP($A30,Table1[[#All],[Entities]:[Name]],MATCH(M$3,Table1[[#Headers],[Entities]:[Name]],0),0)</f>
        <v>Subsidiaries</v>
      </c>
      <c r="N30" s="922" t="str">
        <f>IFERROR(VLOOKUP(IFERROR(MID($O30,1,FIND("-",$O30)-2),O30),Table3[#All],2,0),0)</f>
        <v>BIDV</v>
      </c>
      <c r="O30" s="923" t="str">
        <f t="shared" si="0"/>
        <v>BIDV - THANH XUAN</v>
      </c>
      <c r="P30" s="927"/>
      <c r="Q30" s="922" t="s">
        <v>1545</v>
      </c>
      <c r="R30" s="922"/>
      <c r="S30" s="924" t="str">
        <f>IF(ISBLANK(Table1218[[#This Row],[Maturity date]]),"","W"&amp;MIN(WEEKNUM($K30+1,2)-WEEKNUM(EOMONTH($K30+1,-1)),4)&amp;TEXT($K30+1,"mmmyy"))</f>
        <v>W4Feb26</v>
      </c>
      <c r="T30" s="925">
        <f>Table1218[[#This Row],[CLOSING BALANCE 
(VND)]]/1000000000</f>
        <v>0.9</v>
      </c>
      <c r="U3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30" s="1114">
        <f>_xlfn.NUMBERVALUE(LEFT(Table1218[[#This Row],[Term (months)]],1))</f>
        <v>6</v>
      </c>
      <c r="W30" s="1112">
        <v>6</v>
      </c>
      <c r="X30" s="1115">
        <f>Table1218[[#This Row],[Column3]]-Table1218[[#This Row],[Per bank statement]]</f>
        <v>0</v>
      </c>
      <c r="Y30" s="1117">
        <v>4.2000000000000003E-2</v>
      </c>
      <c r="Z30" s="1118">
        <f>Table1218[[#This Row],[Interest rate]]-Table1218[[#This Row],[Per bank statement2]]</f>
        <v>0</v>
      </c>
      <c r="AA30" s="1112" t="s">
        <v>5384</v>
      </c>
      <c r="AB30" s="1112"/>
      <c r="AC30" s="1112"/>
    </row>
    <row r="31" spans="1:29">
      <c r="A31" s="920" t="str">
        <f>IFERROR(VLOOKUP($C31,Table2[#All],3,0),0)</f>
        <v>HOLDCO4M</v>
      </c>
      <c r="B31" s="921" t="str">
        <f>_xlfn.XLOOKUP(Table1218[[#This Row],[ACCOUNT NUMBER]],Table2[Account No.],Table2[BRANCH],"recheck",0)</f>
        <v>BIDV - THANH XUAN</v>
      </c>
      <c r="C31" s="1141" t="s">
        <v>813</v>
      </c>
      <c r="D31" s="922" t="str">
        <f>_xlfn.XLOOKUP(Table1218[[#This Row],[ACCOUNT NUMBER]],Table2[Account No.],Table2[ACCOUNT TYPE],"recheck",0)</f>
        <v>Saving Account</v>
      </c>
      <c r="E31" s="1129" t="str">
        <f>_xlfn.XLOOKUP(Table1218[[#This Row],[ACCOUNT NUMBER]],Table2[Account No.],Table2[CURRENCY],"recheck",0)</f>
        <v>VND</v>
      </c>
      <c r="F31" s="926">
        <f>SUMIFS(Table11[CLOSING BALANCE (VND)2],Table11[ACCOUNT NUMBER],Table1218[[#This Row],[ACCOUNT NUMBER]],Table11[CURRENCY],Table1218[[#This Row],[CURRENCY]])</f>
        <v>900000000</v>
      </c>
      <c r="G31" s="926">
        <f>SUMIFS(Table11[CLOSING BALANCE (USD)],Table11[ACCOUNT NUMBER],Table1218[[#This Row],[ACCOUNT NUMBER]],Table11[CURRENCY],Table1218[[#This Row],[CURRENCY]])</f>
        <v>0</v>
      </c>
      <c r="H31" s="1129" t="s">
        <v>224</v>
      </c>
      <c r="I31" s="1129"/>
      <c r="J31" s="1129"/>
      <c r="K31" s="1130">
        <v>46075</v>
      </c>
      <c r="L31" s="927">
        <v>4.2000000000000003E-2</v>
      </c>
      <c r="M31" s="922" t="str">
        <f>VLOOKUP($A31,Table1[[#All],[Entities]:[Name]],MATCH(M$3,Table1[[#Headers],[Entities]:[Name]],0),0)</f>
        <v>Subsidiaries</v>
      </c>
      <c r="N31" s="922" t="str">
        <f>IFERROR(VLOOKUP(IFERROR(MID($O31,1,FIND("-",$O31)-2),O31),Table3[#All],2,0),0)</f>
        <v>BIDV</v>
      </c>
      <c r="O31" s="923" t="str">
        <f t="shared" si="0"/>
        <v>BIDV - THANH XUAN</v>
      </c>
      <c r="P31" s="927"/>
      <c r="Q31" s="922" t="s">
        <v>1545</v>
      </c>
      <c r="R31" s="922"/>
      <c r="S31" s="924" t="str">
        <f>IF(ISBLANK(Table1218[[#This Row],[Maturity date]]),"","W"&amp;MIN(WEEKNUM($K31+1,2)-WEEKNUM(EOMONTH($K31+1,-1)),4)&amp;TEXT($K31+1,"mmmyy"))</f>
        <v>W4Feb26</v>
      </c>
      <c r="T31" s="925">
        <f>Table1218[[#This Row],[CLOSING BALANCE 
(VND)]]/1000000000</f>
        <v>0.9</v>
      </c>
      <c r="U3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31" s="1114">
        <f>_xlfn.NUMBERVALUE(LEFT(Table1218[[#This Row],[Term (months)]],1))</f>
        <v>6</v>
      </c>
      <c r="W31" s="1112">
        <v>6</v>
      </c>
      <c r="X31" s="1115">
        <f>Table1218[[#This Row],[Column3]]-Table1218[[#This Row],[Per bank statement]]</f>
        <v>0</v>
      </c>
      <c r="Y31" s="1117">
        <v>4.2000000000000003E-2</v>
      </c>
      <c r="Z31" s="1118">
        <f>Table1218[[#This Row],[Interest rate]]-Table1218[[#This Row],[Per bank statement2]]</f>
        <v>0</v>
      </c>
      <c r="AA31" s="1112" t="s">
        <v>5384</v>
      </c>
      <c r="AB31" s="1112"/>
      <c r="AC31" s="1112"/>
    </row>
    <row r="32" spans="1:29">
      <c r="A32" s="920" t="str">
        <f>IFERROR(VLOOKUP($C32,Table2[#All],3,0),0)</f>
        <v>HOLDCO4Q</v>
      </c>
      <c r="B32" s="921" t="str">
        <f>_xlfn.XLOOKUP(Table1218[[#This Row],[ACCOUNT NUMBER]],Table2[Account No.],Table2[BRANCH],"recheck",0)</f>
        <v>VIETINBANK - TIEN SON</v>
      </c>
      <c r="C32" s="1141" t="s">
        <v>838</v>
      </c>
      <c r="D32" s="922" t="str">
        <f>_xlfn.XLOOKUP(Table1218[[#This Row],[ACCOUNT NUMBER]],Table2[Account No.],Table2[ACCOUNT TYPE],"recheck",0)</f>
        <v>Saving Account</v>
      </c>
      <c r="E32" s="1129" t="str">
        <f>_xlfn.XLOOKUP(Table1218[[#This Row],[ACCOUNT NUMBER]],Table2[Account No.],Table2[CURRENCY],"recheck",0)</f>
        <v>VND</v>
      </c>
      <c r="F32" s="926">
        <f>SUMIFS(Table11[CLOSING BALANCE (VND)2],Table11[ACCOUNT NUMBER],Table1218[[#This Row],[ACCOUNT NUMBER]],Table11[CURRENCY],Table1218[[#This Row],[CURRENCY]])</f>
        <v>80000000</v>
      </c>
      <c r="G32" s="926">
        <f>SUMIFS(Table11[CLOSING BALANCE (USD)],Table11[ACCOUNT NUMBER],Table1218[[#This Row],[ACCOUNT NUMBER]],Table11[CURRENCY],Table1218[[#This Row],[CURRENCY]])</f>
        <v>0</v>
      </c>
      <c r="H32" s="1129" t="s">
        <v>224</v>
      </c>
      <c r="I32" s="1129"/>
      <c r="J32" s="1129"/>
      <c r="K32" s="1130">
        <v>46069</v>
      </c>
      <c r="L32" s="927">
        <v>4.4999999999999998E-2</v>
      </c>
      <c r="M32" s="922" t="str">
        <f>VLOOKUP($A32,Table1[[#All],[Entities]:[Name]],MATCH(M$3,Table1[[#Headers],[Entities]:[Name]],0),0)</f>
        <v>Subsidiaries</v>
      </c>
      <c r="N32" s="922" t="str">
        <f>IFERROR(VLOOKUP(IFERROR(MID($O32,1,FIND("-",$O32)-2),O32),Table3[#All],2,0),0)</f>
        <v>VTB</v>
      </c>
      <c r="O32" s="923" t="str">
        <f t="shared" si="0"/>
        <v>VIETINBANK - TIEN SON</v>
      </c>
      <c r="P32" s="927"/>
      <c r="Q32" s="922" t="s">
        <v>1545</v>
      </c>
      <c r="R32" s="922"/>
      <c r="S32" s="924" t="str">
        <f>IF(ISBLANK(Table1218[[#This Row],[Maturity date]]),"","W"&amp;MIN(WEEKNUM($K32+1,2)-WEEKNUM(EOMONTH($K32+1,-1)),4)&amp;TEXT($K32+1,"mmmyy"))</f>
        <v>W3Feb26</v>
      </c>
      <c r="T32" s="925">
        <f>Table1218[[#This Row],[CLOSING BALANCE 
(VND)]]/1000000000</f>
        <v>0.08</v>
      </c>
      <c r="U3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32" s="1114">
        <f>_xlfn.NUMBERVALUE(LEFT(Table1218[[#This Row],[Term (months)]],1))</f>
        <v>6</v>
      </c>
      <c r="W32" s="1112">
        <v>6</v>
      </c>
      <c r="X32" s="1115">
        <f>Table1218[[#This Row],[Column3]]-Table1218[[#This Row],[Per bank statement]]</f>
        <v>0</v>
      </c>
      <c r="Y32" s="1117">
        <v>4.4999999999999998E-2</v>
      </c>
      <c r="Z32" s="1118">
        <f>Table1218[[#This Row],[Interest rate]]-Table1218[[#This Row],[Per bank statement2]]</f>
        <v>0</v>
      </c>
      <c r="AA32" s="1112">
        <v>4.5</v>
      </c>
      <c r="AB32" s="1112"/>
      <c r="AC32" s="1112"/>
    </row>
    <row r="33" spans="1:29">
      <c r="A33" s="920" t="str">
        <f>IFERROR(VLOOKUP($C33,Table2[#All],3,0),0)</f>
        <v>HOLDCO4R</v>
      </c>
      <c r="B33" s="921" t="str">
        <f>_xlfn.XLOOKUP(Table1218[[#This Row],[ACCOUNT NUMBER]],Table2[Account No.],Table2[BRANCH],"recheck",0)</f>
        <v>VIETINBANK - TIEN SON</v>
      </c>
      <c r="C33" s="1141" t="s">
        <v>839</v>
      </c>
      <c r="D33" s="922" t="str">
        <f>_xlfn.XLOOKUP(Table1218[[#This Row],[ACCOUNT NUMBER]],Table2[Account No.],Table2[ACCOUNT TYPE],"recheck",0)</f>
        <v>Saving Account</v>
      </c>
      <c r="E33" s="1129" t="str">
        <f>_xlfn.XLOOKUP(Table1218[[#This Row],[ACCOUNT NUMBER]],Table2[Account No.],Table2[CURRENCY],"recheck",0)</f>
        <v>VND</v>
      </c>
      <c r="F33" s="926">
        <f>SUMIFS(Table11[CLOSING BALANCE (VND)2],Table11[ACCOUNT NUMBER],Table1218[[#This Row],[ACCOUNT NUMBER]],Table11[CURRENCY],Table1218[[#This Row],[CURRENCY]])</f>
        <v>80000000</v>
      </c>
      <c r="G33" s="926">
        <f>SUMIFS(Table11[CLOSING BALANCE (USD)],Table11[ACCOUNT NUMBER],Table1218[[#This Row],[ACCOUNT NUMBER]],Table11[CURRENCY],Table1218[[#This Row],[CURRENCY]])</f>
        <v>0</v>
      </c>
      <c r="H33" s="1129" t="s">
        <v>224</v>
      </c>
      <c r="I33" s="1129"/>
      <c r="J33" s="1129"/>
      <c r="K33" s="1130">
        <v>46069</v>
      </c>
      <c r="L33" s="927">
        <v>4.4999999999999998E-2</v>
      </c>
      <c r="M33" s="922" t="str">
        <f>VLOOKUP($A33,Table1[[#All],[Entities]:[Name]],MATCH(M$3,Table1[[#Headers],[Entities]:[Name]],0),0)</f>
        <v>Subsidiaries</v>
      </c>
      <c r="N33" s="922" t="str">
        <f>IFERROR(VLOOKUP(IFERROR(MID($O33,1,FIND("-",$O33)-2),O33),Table3[#All],2,0),0)</f>
        <v>VTB</v>
      </c>
      <c r="O33" s="923" t="str">
        <f t="shared" si="0"/>
        <v>VIETINBANK - TIEN SON</v>
      </c>
      <c r="P33" s="927"/>
      <c r="Q33" s="922" t="s">
        <v>1545</v>
      </c>
      <c r="R33" s="922"/>
      <c r="S33" s="924" t="str">
        <f>IF(ISBLANK(Table1218[[#This Row],[Maturity date]]),"","W"&amp;MIN(WEEKNUM($K33+1,2)-WEEKNUM(EOMONTH($K33+1,-1)),4)&amp;TEXT($K33+1,"mmmyy"))</f>
        <v>W3Feb26</v>
      </c>
      <c r="T33" s="925">
        <f>Table1218[[#This Row],[CLOSING BALANCE 
(VND)]]/1000000000</f>
        <v>0.08</v>
      </c>
      <c r="U3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33" s="1114">
        <f>_xlfn.NUMBERVALUE(LEFT(Table1218[[#This Row],[Term (months)]],1))</f>
        <v>6</v>
      </c>
      <c r="W33" s="1112">
        <v>6</v>
      </c>
      <c r="X33" s="1115">
        <f>Table1218[[#This Row],[Column3]]-Table1218[[#This Row],[Per bank statement]]</f>
        <v>0</v>
      </c>
      <c r="Y33" s="1117">
        <v>4.4999999999999998E-2</v>
      </c>
      <c r="Z33" s="1118">
        <f>Table1218[[#This Row],[Interest rate]]-Table1218[[#This Row],[Per bank statement2]]</f>
        <v>0</v>
      </c>
      <c r="AA33" s="1112">
        <v>4.5</v>
      </c>
      <c r="AB33" s="1112"/>
      <c r="AC33" s="1112"/>
    </row>
    <row r="34" spans="1:29">
      <c r="A34" s="920" t="str">
        <f>IFERROR(VLOOKUP($C34,Table2[#All],3,0),0)</f>
        <v>HOLDCO4S</v>
      </c>
      <c r="B34" s="921" t="str">
        <f>_xlfn.XLOOKUP(Table1218[[#This Row],[ACCOUNT NUMBER]],Table2[Account No.],Table2[BRANCH],"recheck",0)</f>
        <v>VIETINBANK - TIEN SON</v>
      </c>
      <c r="C34" s="1141" t="s">
        <v>840</v>
      </c>
      <c r="D34" s="922" t="str">
        <f>_xlfn.XLOOKUP(Table1218[[#This Row],[ACCOUNT NUMBER]],Table2[Account No.],Table2[ACCOUNT TYPE],"recheck",0)</f>
        <v>Saving Account</v>
      </c>
      <c r="E34" s="1129" t="str">
        <f>_xlfn.XLOOKUP(Table1218[[#This Row],[ACCOUNT NUMBER]],Table2[Account No.],Table2[CURRENCY],"recheck",0)</f>
        <v>VND</v>
      </c>
      <c r="F34" s="926">
        <f>SUMIFS(Table11[CLOSING BALANCE (VND)2],Table11[ACCOUNT NUMBER],Table1218[[#This Row],[ACCOUNT NUMBER]],Table11[CURRENCY],Table1218[[#This Row],[CURRENCY]])</f>
        <v>80000000</v>
      </c>
      <c r="G34" s="926">
        <f>SUMIFS(Table11[CLOSING BALANCE (USD)],Table11[ACCOUNT NUMBER],Table1218[[#This Row],[ACCOUNT NUMBER]],Table11[CURRENCY],Table1218[[#This Row],[CURRENCY]])</f>
        <v>0</v>
      </c>
      <c r="H34" s="1129" t="s">
        <v>224</v>
      </c>
      <c r="I34" s="1129"/>
      <c r="J34" s="1129"/>
      <c r="K34" s="1130">
        <v>46069</v>
      </c>
      <c r="L34" s="927">
        <v>4.4999999999999998E-2</v>
      </c>
      <c r="M34" s="922" t="str">
        <f>VLOOKUP($A34,Table1[[#All],[Entities]:[Name]],MATCH(M$3,Table1[[#Headers],[Entities]:[Name]],0),0)</f>
        <v>Subsidiaries</v>
      </c>
      <c r="N34" s="922" t="str">
        <f>IFERROR(VLOOKUP(IFERROR(MID($O34,1,FIND("-",$O34)-2),O34),Table3[#All],2,0),0)</f>
        <v>VTB</v>
      </c>
      <c r="O34" s="923" t="str">
        <f t="shared" si="0"/>
        <v>VIETINBANK - TIEN SON</v>
      </c>
      <c r="P34" s="927"/>
      <c r="Q34" s="922" t="s">
        <v>1545</v>
      </c>
      <c r="R34" s="922"/>
      <c r="S34" s="924" t="str">
        <f>IF(ISBLANK(Table1218[[#This Row],[Maturity date]]),"","W"&amp;MIN(WEEKNUM($K34+1,2)-WEEKNUM(EOMONTH($K34+1,-1)),4)&amp;TEXT($K34+1,"mmmyy"))</f>
        <v>W3Feb26</v>
      </c>
      <c r="T34" s="925">
        <f>Table1218[[#This Row],[CLOSING BALANCE 
(VND)]]/1000000000</f>
        <v>0.08</v>
      </c>
      <c r="U3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34" s="1114">
        <f>_xlfn.NUMBERVALUE(LEFT(Table1218[[#This Row],[Term (months)]],1))</f>
        <v>6</v>
      </c>
      <c r="W34" s="1112">
        <v>6</v>
      </c>
      <c r="X34" s="1115">
        <f>Table1218[[#This Row],[Column3]]-Table1218[[#This Row],[Per bank statement]]</f>
        <v>0</v>
      </c>
      <c r="Y34" s="1117">
        <v>4.4999999999999998E-2</v>
      </c>
      <c r="Z34" s="1118">
        <f>Table1218[[#This Row],[Interest rate]]-Table1218[[#This Row],[Per bank statement2]]</f>
        <v>0</v>
      </c>
      <c r="AA34" s="1112">
        <v>4.5</v>
      </c>
      <c r="AB34" s="1112"/>
      <c r="AC34" s="1112"/>
    </row>
    <row r="35" spans="1:29">
      <c r="A35" s="920" t="str">
        <f>IFERROR(VLOOKUP($C35,Table2[#All],3,0),0)</f>
        <v>HOLDCO4T</v>
      </c>
      <c r="B35" s="921" t="str">
        <f>_xlfn.XLOOKUP(Table1218[[#This Row],[ACCOUNT NUMBER]],Table2[Account No.],Table2[BRANCH],"recheck",0)</f>
        <v>VIETINBANK - TIEN SON</v>
      </c>
      <c r="C35" s="1141" t="s">
        <v>841</v>
      </c>
      <c r="D35" s="922" t="str">
        <f>_xlfn.XLOOKUP(Table1218[[#This Row],[ACCOUNT NUMBER]],Table2[Account No.],Table2[ACCOUNT TYPE],"recheck",0)</f>
        <v>Saving Account</v>
      </c>
      <c r="E35" s="1129" t="str">
        <f>_xlfn.XLOOKUP(Table1218[[#This Row],[ACCOUNT NUMBER]],Table2[Account No.],Table2[CURRENCY],"recheck",0)</f>
        <v>VND</v>
      </c>
      <c r="F35" s="926">
        <f>SUMIFS(Table11[CLOSING BALANCE (VND)2],Table11[ACCOUNT NUMBER],Table1218[[#This Row],[ACCOUNT NUMBER]],Table11[CURRENCY],Table1218[[#This Row],[CURRENCY]])</f>
        <v>80000000</v>
      </c>
      <c r="G35" s="926">
        <f>SUMIFS(Table11[CLOSING BALANCE (USD)],Table11[ACCOUNT NUMBER],Table1218[[#This Row],[ACCOUNT NUMBER]],Table11[CURRENCY],Table1218[[#This Row],[CURRENCY]])</f>
        <v>0</v>
      </c>
      <c r="H35" s="1129" t="s">
        <v>224</v>
      </c>
      <c r="I35" s="1129"/>
      <c r="J35" s="1129"/>
      <c r="K35" s="1130">
        <v>46069</v>
      </c>
      <c r="L35" s="927">
        <v>4.4999999999999998E-2</v>
      </c>
      <c r="M35" s="922" t="str">
        <f>VLOOKUP($A35,Table1[[#All],[Entities]:[Name]],MATCH(M$3,Table1[[#Headers],[Entities]:[Name]],0),0)</f>
        <v>Subsidiaries</v>
      </c>
      <c r="N35" s="922" t="str">
        <f>IFERROR(VLOOKUP(IFERROR(MID($O35,1,FIND("-",$O35)-2),O35),Table3[#All],2,0),0)</f>
        <v>VTB</v>
      </c>
      <c r="O35" s="923" t="str">
        <f t="shared" si="0"/>
        <v>VIETINBANK - TIEN SON</v>
      </c>
      <c r="P35" s="927"/>
      <c r="Q35" s="922" t="s">
        <v>1545</v>
      </c>
      <c r="R35" s="922"/>
      <c r="S35" s="924" t="str">
        <f>IF(ISBLANK(Table1218[[#This Row],[Maturity date]]),"","W"&amp;MIN(WEEKNUM($K35+1,2)-WEEKNUM(EOMONTH($K35+1,-1)),4)&amp;TEXT($K35+1,"mmmyy"))</f>
        <v>W3Feb26</v>
      </c>
      <c r="T35" s="925">
        <f>Table1218[[#This Row],[CLOSING BALANCE 
(VND)]]/1000000000</f>
        <v>0.08</v>
      </c>
      <c r="U3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35" s="1114">
        <f>_xlfn.NUMBERVALUE(LEFT(Table1218[[#This Row],[Term (months)]],1))</f>
        <v>6</v>
      </c>
      <c r="W35" s="1112">
        <v>6</v>
      </c>
      <c r="X35" s="1115">
        <f>Table1218[[#This Row],[Column3]]-Table1218[[#This Row],[Per bank statement]]</f>
        <v>0</v>
      </c>
      <c r="Y35" s="1117">
        <v>4.4999999999999998E-2</v>
      </c>
      <c r="Z35" s="1118">
        <f>Table1218[[#This Row],[Interest rate]]-Table1218[[#This Row],[Per bank statement2]]</f>
        <v>0</v>
      </c>
      <c r="AA35" s="1112">
        <v>4.5</v>
      </c>
      <c r="AB35" s="1112"/>
      <c r="AC35" s="1112"/>
    </row>
    <row r="36" spans="1:29">
      <c r="A36" s="920" t="str">
        <f>IFERROR(VLOOKUP($C36,Table2[#All],3,0),0)</f>
        <v>HOLDCO4U</v>
      </c>
      <c r="B36" s="921" t="str">
        <f>_xlfn.XLOOKUP(Table1218[[#This Row],[ACCOUNT NUMBER]],Table2[Account No.],Table2[BRANCH],"recheck",0)</f>
        <v>VIETINBANK - TIEN SON</v>
      </c>
      <c r="C36" s="1141" t="s">
        <v>842</v>
      </c>
      <c r="D36" s="922" t="str">
        <f>_xlfn.XLOOKUP(Table1218[[#This Row],[ACCOUNT NUMBER]],Table2[Account No.],Table2[ACCOUNT TYPE],"recheck",0)</f>
        <v>Saving Account</v>
      </c>
      <c r="E36" s="1129" t="str">
        <f>_xlfn.XLOOKUP(Table1218[[#This Row],[ACCOUNT NUMBER]],Table2[Account No.],Table2[CURRENCY],"recheck",0)</f>
        <v>VND</v>
      </c>
      <c r="F36" s="926">
        <f>SUMIFS(Table11[CLOSING BALANCE (VND)2],Table11[ACCOUNT NUMBER],Table1218[[#This Row],[ACCOUNT NUMBER]],Table11[CURRENCY],Table1218[[#This Row],[CURRENCY]])</f>
        <v>80000000</v>
      </c>
      <c r="G36" s="926">
        <f>SUMIFS(Table11[CLOSING BALANCE (USD)],Table11[ACCOUNT NUMBER],Table1218[[#This Row],[ACCOUNT NUMBER]],Table11[CURRENCY],Table1218[[#This Row],[CURRENCY]])</f>
        <v>0</v>
      </c>
      <c r="H36" s="1129" t="s">
        <v>224</v>
      </c>
      <c r="I36" s="1129"/>
      <c r="J36" s="1129"/>
      <c r="K36" s="1130">
        <v>46069</v>
      </c>
      <c r="L36" s="927">
        <v>4.4999999999999998E-2</v>
      </c>
      <c r="M36" s="922" t="str">
        <f>VLOOKUP($A36,Table1[[#All],[Entities]:[Name]],MATCH(M$3,Table1[[#Headers],[Entities]:[Name]],0),0)</f>
        <v>Subsidiaries</v>
      </c>
      <c r="N36" s="922" t="str">
        <f>IFERROR(VLOOKUP(IFERROR(MID($O36,1,FIND("-",$O36)-2),O36),Table3[#All],2,0),0)</f>
        <v>VTB</v>
      </c>
      <c r="O36" s="923" t="str">
        <f t="shared" si="0"/>
        <v>VIETINBANK - TIEN SON</v>
      </c>
      <c r="P36" s="927"/>
      <c r="Q36" s="922" t="s">
        <v>1545</v>
      </c>
      <c r="R36" s="922"/>
      <c r="S36" s="924" t="str">
        <f>IF(ISBLANK(Table1218[[#This Row],[Maturity date]]),"","W"&amp;MIN(WEEKNUM($K36+1,2)-WEEKNUM(EOMONTH($K36+1,-1)),4)&amp;TEXT($K36+1,"mmmyy"))</f>
        <v>W3Feb26</v>
      </c>
      <c r="T36" s="925">
        <f>Table1218[[#This Row],[CLOSING BALANCE 
(VND)]]/1000000000</f>
        <v>0.08</v>
      </c>
      <c r="U3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36" s="1114">
        <f>_xlfn.NUMBERVALUE(LEFT(Table1218[[#This Row],[Term (months)]],1))</f>
        <v>6</v>
      </c>
      <c r="W36" s="1112">
        <v>6</v>
      </c>
      <c r="X36" s="1115">
        <f>Table1218[[#This Row],[Column3]]-Table1218[[#This Row],[Per bank statement]]</f>
        <v>0</v>
      </c>
      <c r="Y36" s="1117">
        <v>4.4999999999999998E-2</v>
      </c>
      <c r="Z36" s="1118">
        <f>Table1218[[#This Row],[Interest rate]]-Table1218[[#This Row],[Per bank statement2]]</f>
        <v>0</v>
      </c>
      <c r="AA36" s="1112">
        <v>4.5</v>
      </c>
      <c r="AB36" s="1112"/>
      <c r="AC36" s="1112"/>
    </row>
    <row r="37" spans="1:29">
      <c r="A37" s="920" t="str">
        <f>IFERROR(VLOOKUP($C37,Table2[#All],3,0),0)</f>
        <v>HOLDCO4W</v>
      </c>
      <c r="B37" s="921" t="str">
        <f>_xlfn.XLOOKUP(Table1218[[#This Row],[ACCOUNT NUMBER]],Table2[Account No.],Table2[BRANCH],"recheck",0)</f>
        <v>VIETINBANK - TIEN SON</v>
      </c>
      <c r="C37" s="1141" t="s">
        <v>844</v>
      </c>
      <c r="D37" s="922" t="str">
        <f>_xlfn.XLOOKUP(Table1218[[#This Row],[ACCOUNT NUMBER]],Table2[Account No.],Table2[ACCOUNT TYPE],"recheck",0)</f>
        <v>Saving Account</v>
      </c>
      <c r="E37" s="1129" t="str">
        <f>_xlfn.XLOOKUP(Table1218[[#This Row],[ACCOUNT NUMBER]],Table2[Account No.],Table2[CURRENCY],"recheck",0)</f>
        <v>VND</v>
      </c>
      <c r="F37" s="926">
        <f>SUMIFS(Table11[CLOSING BALANCE (VND)2],Table11[ACCOUNT NUMBER],Table1218[[#This Row],[ACCOUNT NUMBER]],Table11[CURRENCY],Table1218[[#This Row],[CURRENCY]])</f>
        <v>900000000</v>
      </c>
      <c r="G37" s="926">
        <f>SUMIFS(Table11[CLOSING BALANCE (USD)],Table11[ACCOUNT NUMBER],Table1218[[#This Row],[ACCOUNT NUMBER]],Table11[CURRENCY],Table1218[[#This Row],[CURRENCY]])</f>
        <v>0</v>
      </c>
      <c r="H37" s="1129" t="s">
        <v>224</v>
      </c>
      <c r="I37" s="1129"/>
      <c r="J37" s="1129"/>
      <c r="K37" s="1130">
        <v>46069</v>
      </c>
      <c r="L37" s="927">
        <v>4.4999999999999998E-2</v>
      </c>
      <c r="M37" s="922" t="str">
        <f>VLOOKUP($A37,Table1[[#All],[Entities]:[Name]],MATCH(M$3,Table1[[#Headers],[Entities]:[Name]],0),0)</f>
        <v>Subsidiaries</v>
      </c>
      <c r="N37" s="922" t="str">
        <f>IFERROR(VLOOKUP(IFERROR(MID($O37,1,FIND("-",$O37)-2),O37),Table3[#All],2,0),0)</f>
        <v>VTB</v>
      </c>
      <c r="O37" s="923" t="str">
        <f t="shared" si="0"/>
        <v>VIETINBANK - TIEN SON</v>
      </c>
      <c r="P37" s="927"/>
      <c r="Q37" s="922" t="s">
        <v>1545</v>
      </c>
      <c r="R37" s="922"/>
      <c r="S37" s="924" t="str">
        <f>IF(ISBLANK(Table1218[[#This Row],[Maturity date]]),"","W"&amp;MIN(WEEKNUM($K37+1,2)-WEEKNUM(EOMONTH($K37+1,-1)),4)&amp;TEXT($K37+1,"mmmyy"))</f>
        <v>W3Feb26</v>
      </c>
      <c r="T37" s="925">
        <f>Table1218[[#This Row],[CLOSING BALANCE 
(VND)]]/1000000000</f>
        <v>0.9</v>
      </c>
      <c r="U3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37" s="1114">
        <f>_xlfn.NUMBERVALUE(LEFT(Table1218[[#This Row],[Term (months)]],1))</f>
        <v>6</v>
      </c>
      <c r="W37" s="1112">
        <v>6</v>
      </c>
      <c r="X37" s="1115">
        <f>Table1218[[#This Row],[Column3]]-Table1218[[#This Row],[Per bank statement]]</f>
        <v>0</v>
      </c>
      <c r="Y37" s="1117">
        <v>4.4999999999999998E-2</v>
      </c>
      <c r="Z37" s="1118">
        <f>Table1218[[#This Row],[Interest rate]]-Table1218[[#This Row],[Per bank statement2]]</f>
        <v>0</v>
      </c>
      <c r="AA37" s="1112">
        <v>4.5</v>
      </c>
      <c r="AB37" s="1112"/>
      <c r="AC37" s="1112"/>
    </row>
    <row r="38" spans="1:29">
      <c r="A38" s="920" t="str">
        <f>IFERROR(VLOOKUP($C38,Table2[#All],3,0),0)</f>
        <v>HOLDCO4Z</v>
      </c>
      <c r="B38" s="921" t="str">
        <f>_xlfn.XLOOKUP(Table1218[[#This Row],[ACCOUNT NUMBER]],Table2[Account No.],Table2[BRANCH],"recheck",0)</f>
        <v>VIETINBANK - TIEN SON</v>
      </c>
      <c r="C38" s="1141" t="s">
        <v>843</v>
      </c>
      <c r="D38" s="922" t="str">
        <f>_xlfn.XLOOKUP(Table1218[[#This Row],[ACCOUNT NUMBER]],Table2[Account No.],Table2[ACCOUNT TYPE],"recheck",0)</f>
        <v>Saving Account</v>
      </c>
      <c r="E38" s="1129" t="str">
        <f>_xlfn.XLOOKUP(Table1218[[#This Row],[ACCOUNT NUMBER]],Table2[Account No.],Table2[CURRENCY],"recheck",0)</f>
        <v>VND</v>
      </c>
      <c r="F38" s="926">
        <f>SUMIFS(Table11[CLOSING BALANCE (VND)2],Table11[ACCOUNT NUMBER],Table1218[[#This Row],[ACCOUNT NUMBER]],Table11[CURRENCY],Table1218[[#This Row],[CURRENCY]])</f>
        <v>900000000</v>
      </c>
      <c r="G38" s="926">
        <f>SUMIFS(Table11[CLOSING BALANCE (USD)],Table11[ACCOUNT NUMBER],Table1218[[#This Row],[ACCOUNT NUMBER]],Table11[CURRENCY],Table1218[[#This Row],[CURRENCY]])</f>
        <v>0</v>
      </c>
      <c r="H38" s="1129" t="s">
        <v>224</v>
      </c>
      <c r="I38" s="1129"/>
      <c r="J38" s="1129"/>
      <c r="K38" s="1130">
        <v>46069</v>
      </c>
      <c r="L38" s="927">
        <v>4.4999999999999998E-2</v>
      </c>
      <c r="M38" s="922" t="str">
        <f>VLOOKUP($A38,Table1[[#All],[Entities]:[Name]],MATCH(M$3,Table1[[#Headers],[Entities]:[Name]],0),0)</f>
        <v>Subsidiaries</v>
      </c>
      <c r="N38" s="922" t="str">
        <f>IFERROR(VLOOKUP(IFERROR(MID($O38,1,FIND("-",$O38)-2),O38),Table3[#All],2,0),0)</f>
        <v>VTB</v>
      </c>
      <c r="O38" s="923" t="str">
        <f t="shared" si="0"/>
        <v>VIETINBANK - TIEN SON</v>
      </c>
      <c r="P38" s="927"/>
      <c r="Q38" s="922" t="s">
        <v>1545</v>
      </c>
      <c r="R38" s="922"/>
      <c r="S38" s="924" t="str">
        <f>IF(ISBLANK(Table1218[[#This Row],[Maturity date]]),"","W"&amp;MIN(WEEKNUM($K38+1,2)-WEEKNUM(EOMONTH($K38+1,-1)),4)&amp;TEXT($K38+1,"mmmyy"))</f>
        <v>W3Feb26</v>
      </c>
      <c r="T38" s="925">
        <f>Table1218[[#This Row],[CLOSING BALANCE 
(VND)]]/1000000000</f>
        <v>0.9</v>
      </c>
      <c r="U3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38" s="1114">
        <f>_xlfn.NUMBERVALUE(LEFT(Table1218[[#This Row],[Term (months)]],1))</f>
        <v>6</v>
      </c>
      <c r="W38" s="1112">
        <v>6</v>
      </c>
      <c r="X38" s="1115">
        <f>Table1218[[#This Row],[Column3]]-Table1218[[#This Row],[Per bank statement]]</f>
        <v>0</v>
      </c>
      <c r="Y38" s="1117">
        <v>4.4999999999999998E-2</v>
      </c>
      <c r="Z38" s="1118">
        <f>Table1218[[#This Row],[Interest rate]]-Table1218[[#This Row],[Per bank statement2]]</f>
        <v>0</v>
      </c>
      <c r="AA38" s="1112">
        <v>4.5</v>
      </c>
      <c r="AB38" s="1112"/>
      <c r="AC38" s="1112"/>
    </row>
    <row r="39" spans="1:29">
      <c r="A39" s="920" t="str">
        <f>IFERROR(VLOOKUP($C39,Table2[#All],3,0),0)</f>
        <v>HOLDCO5F</v>
      </c>
      <c r="B39" s="921" t="str">
        <f>_xlfn.XLOOKUP(Table1218[[#This Row],[ACCOUNT NUMBER]],Table2[Account No.],Table2[BRANCH],"recheck",0)</f>
        <v>VIETINBANK - TIEN SON</v>
      </c>
      <c r="C39" s="1141" t="s">
        <v>828</v>
      </c>
      <c r="D39" s="922" t="str">
        <f>_xlfn.XLOOKUP(Table1218[[#This Row],[ACCOUNT NUMBER]],Table2[Account No.],Table2[ACCOUNT TYPE],"recheck",0)</f>
        <v>Saving Account</v>
      </c>
      <c r="E39" s="1129" t="str">
        <f>_xlfn.XLOOKUP(Table1218[[#This Row],[ACCOUNT NUMBER]],Table2[Account No.],Table2[CURRENCY],"recheck",0)</f>
        <v>VND</v>
      </c>
      <c r="F39" s="926">
        <f>SUMIFS(Table11[CLOSING BALANCE (VND)2],Table11[ACCOUNT NUMBER],Table1218[[#This Row],[ACCOUNT NUMBER]],Table11[CURRENCY],Table1218[[#This Row],[CURRENCY]])</f>
        <v>600000000</v>
      </c>
      <c r="G39" s="926">
        <f>SUMIFS(Table11[CLOSING BALANCE (USD)],Table11[ACCOUNT NUMBER],Table1218[[#This Row],[ACCOUNT NUMBER]],Table11[CURRENCY],Table1218[[#This Row],[CURRENCY]])</f>
        <v>0</v>
      </c>
      <c r="H39" s="1129" t="s">
        <v>224</v>
      </c>
      <c r="I39" s="1129"/>
      <c r="J39" s="1129"/>
      <c r="K39" s="1130">
        <v>46069</v>
      </c>
      <c r="L39" s="927">
        <v>4.4999999999999998E-2</v>
      </c>
      <c r="M39" s="922" t="str">
        <f>VLOOKUP($A39,Table1[[#All],[Entities]:[Name]],MATCH(M$3,Table1[[#Headers],[Entities]:[Name]],0),0)</f>
        <v>Subsidiaries</v>
      </c>
      <c r="N39" s="922" t="str">
        <f>IFERROR(VLOOKUP(IFERROR(MID($O39,1,FIND("-",$O39)-2),O39),Table3[#All],2,0),0)</f>
        <v>VTB</v>
      </c>
      <c r="O39" s="923" t="str">
        <f t="shared" si="0"/>
        <v>VIETINBANK - TIEN SON</v>
      </c>
      <c r="P39" s="927"/>
      <c r="Q39" s="922" t="s">
        <v>1545</v>
      </c>
      <c r="R39" s="922"/>
      <c r="S39" s="924" t="str">
        <f>IF(ISBLANK(Table1218[[#This Row],[Maturity date]]),"","W"&amp;MIN(WEEKNUM($K39+1,2)-WEEKNUM(EOMONTH($K39+1,-1)),4)&amp;TEXT($K39+1,"mmmyy"))</f>
        <v>W3Feb26</v>
      </c>
      <c r="T39" s="925">
        <f>Table1218[[#This Row],[CLOSING BALANCE 
(VND)]]/1000000000</f>
        <v>0.6</v>
      </c>
      <c r="U3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39" s="1114">
        <f>_xlfn.NUMBERVALUE(LEFT(Table1218[[#This Row],[Term (months)]],1))</f>
        <v>6</v>
      </c>
      <c r="W39" s="1112">
        <v>6</v>
      </c>
      <c r="X39" s="1115">
        <f>Table1218[[#This Row],[Column3]]-Table1218[[#This Row],[Per bank statement]]</f>
        <v>0</v>
      </c>
      <c r="Y39" s="1117">
        <v>4.4999999999999998E-2</v>
      </c>
      <c r="Z39" s="1118">
        <f>Table1218[[#This Row],[Interest rate]]-Table1218[[#This Row],[Per bank statement2]]</f>
        <v>0</v>
      </c>
      <c r="AA39" s="1112">
        <v>4.5</v>
      </c>
      <c r="AB39" s="1112"/>
      <c r="AC39" s="1112"/>
    </row>
    <row r="40" spans="1:29">
      <c r="A40" s="920" t="str">
        <f>IFERROR(VLOOKUP($C40,Table2[#All],3,0),0)</f>
        <v>HOLDCO5G</v>
      </c>
      <c r="B40" s="921" t="str">
        <f>_xlfn.XLOOKUP(Table1218[[#This Row],[ACCOUNT NUMBER]],Table2[Account No.],Table2[BRANCH],"recheck",0)</f>
        <v>VIETINBANK - TIEN SON</v>
      </c>
      <c r="C40" s="1141" t="s">
        <v>834</v>
      </c>
      <c r="D40" s="922" t="str">
        <f>_xlfn.XLOOKUP(Table1218[[#This Row],[ACCOUNT NUMBER]],Table2[Account No.],Table2[ACCOUNT TYPE],"recheck",0)</f>
        <v>Saving Account</v>
      </c>
      <c r="E40" s="1129" t="str">
        <f>_xlfn.XLOOKUP(Table1218[[#This Row],[ACCOUNT NUMBER]],Table2[Account No.],Table2[CURRENCY],"recheck",0)</f>
        <v>VND</v>
      </c>
      <c r="F40" s="926">
        <f>SUMIFS(Table11[CLOSING BALANCE (VND)2],Table11[ACCOUNT NUMBER],Table1218[[#This Row],[ACCOUNT NUMBER]],Table11[CURRENCY],Table1218[[#This Row],[CURRENCY]])</f>
        <v>800000000</v>
      </c>
      <c r="G40" s="926">
        <f>SUMIFS(Table11[CLOSING BALANCE (USD)],Table11[ACCOUNT NUMBER],Table1218[[#This Row],[ACCOUNT NUMBER]],Table11[CURRENCY],Table1218[[#This Row],[CURRENCY]])</f>
        <v>0</v>
      </c>
      <c r="H40" s="1129" t="s">
        <v>224</v>
      </c>
      <c r="I40" s="1129"/>
      <c r="J40" s="1129"/>
      <c r="K40" s="1130">
        <v>46069</v>
      </c>
      <c r="L40" s="927">
        <v>4.4999999999999998E-2</v>
      </c>
      <c r="M40" s="922" t="str">
        <f>VLOOKUP($A40,Table1[[#All],[Entities]:[Name]],MATCH(M$3,Table1[[#Headers],[Entities]:[Name]],0),0)</f>
        <v>Subsidiaries</v>
      </c>
      <c r="N40" s="922" t="str">
        <f>IFERROR(VLOOKUP(IFERROR(MID($O40,1,FIND("-",$O40)-2),O40),Table3[#All],2,0),0)</f>
        <v>VTB</v>
      </c>
      <c r="O40" s="923" t="str">
        <f t="shared" si="0"/>
        <v>VIETINBANK - TIEN SON</v>
      </c>
      <c r="P40" s="927"/>
      <c r="Q40" s="922" t="s">
        <v>1545</v>
      </c>
      <c r="R40" s="922"/>
      <c r="S40" s="924" t="str">
        <f>IF(ISBLANK(Table1218[[#This Row],[Maturity date]]),"","W"&amp;MIN(WEEKNUM($K40+1,2)-WEEKNUM(EOMONTH($K40+1,-1)),4)&amp;TEXT($K40+1,"mmmyy"))</f>
        <v>W3Feb26</v>
      </c>
      <c r="T40" s="925">
        <f>Table1218[[#This Row],[CLOSING BALANCE 
(VND)]]/1000000000</f>
        <v>0.8</v>
      </c>
      <c r="U4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40" s="1114">
        <f>_xlfn.NUMBERVALUE(LEFT(Table1218[[#This Row],[Term (months)]],1))</f>
        <v>6</v>
      </c>
      <c r="W40" s="1112">
        <v>6</v>
      </c>
      <c r="X40" s="1115">
        <f>Table1218[[#This Row],[Column3]]-Table1218[[#This Row],[Per bank statement]]</f>
        <v>0</v>
      </c>
      <c r="Y40" s="1117">
        <v>4.4999999999999998E-2</v>
      </c>
      <c r="Z40" s="1118">
        <f>Table1218[[#This Row],[Interest rate]]-Table1218[[#This Row],[Per bank statement2]]</f>
        <v>0</v>
      </c>
      <c r="AA40" s="1112">
        <v>4.5</v>
      </c>
      <c r="AB40" s="1112"/>
      <c r="AC40" s="1112"/>
    </row>
    <row r="41" spans="1:29">
      <c r="A41" s="920" t="str">
        <f>IFERROR(VLOOKUP($C41,Table2[#All],3,0),0)</f>
        <v>HOLDCO5H</v>
      </c>
      <c r="B41" s="921" t="str">
        <f>_xlfn.XLOOKUP(Table1218[[#This Row],[ACCOUNT NUMBER]],Table2[Account No.],Table2[BRANCH],"recheck",0)</f>
        <v>VIETINBANK - TIEN SON</v>
      </c>
      <c r="C41" s="1141" t="s">
        <v>831</v>
      </c>
      <c r="D41" s="922" t="str">
        <f>_xlfn.XLOOKUP(Table1218[[#This Row],[ACCOUNT NUMBER]],Table2[Account No.],Table2[ACCOUNT TYPE],"recheck",0)</f>
        <v>Saving Account</v>
      </c>
      <c r="E41" s="1129" t="str">
        <f>_xlfn.XLOOKUP(Table1218[[#This Row],[ACCOUNT NUMBER]],Table2[Account No.],Table2[CURRENCY],"recheck",0)</f>
        <v>VND</v>
      </c>
      <c r="F41" s="926">
        <f>SUMIFS(Table11[CLOSING BALANCE (VND)2],Table11[ACCOUNT NUMBER],Table1218[[#This Row],[ACCOUNT NUMBER]],Table11[CURRENCY],Table1218[[#This Row],[CURRENCY]])</f>
        <v>800000000</v>
      </c>
      <c r="G41" s="926">
        <f>SUMIFS(Table11[CLOSING BALANCE (USD)],Table11[ACCOUNT NUMBER],Table1218[[#This Row],[ACCOUNT NUMBER]],Table11[CURRENCY],Table1218[[#This Row],[CURRENCY]])</f>
        <v>0</v>
      </c>
      <c r="H41" s="1129" t="s">
        <v>224</v>
      </c>
      <c r="I41" s="1129"/>
      <c r="J41" s="1129"/>
      <c r="K41" s="1130">
        <v>46069</v>
      </c>
      <c r="L41" s="927">
        <v>4.4999999999999998E-2</v>
      </c>
      <c r="M41" s="922" t="str">
        <f>VLOOKUP($A41,Table1[[#All],[Entities]:[Name]],MATCH(M$3,Table1[[#Headers],[Entities]:[Name]],0),0)</f>
        <v>Subsidiaries</v>
      </c>
      <c r="N41" s="922" t="str">
        <f>IFERROR(VLOOKUP(IFERROR(MID($O41,1,FIND("-",$O41)-2),O41),Table3[#All],2,0),0)</f>
        <v>VTB</v>
      </c>
      <c r="O41" s="923" t="str">
        <f t="shared" si="0"/>
        <v>VIETINBANK - TIEN SON</v>
      </c>
      <c r="P41" s="927"/>
      <c r="Q41" s="922" t="s">
        <v>1545</v>
      </c>
      <c r="R41" s="922"/>
      <c r="S41" s="924" t="str">
        <f>IF(ISBLANK(Table1218[[#This Row],[Maturity date]]),"","W"&amp;MIN(WEEKNUM($K41+1,2)-WEEKNUM(EOMONTH($K41+1,-1)),4)&amp;TEXT($K41+1,"mmmyy"))</f>
        <v>W3Feb26</v>
      </c>
      <c r="T41" s="925">
        <f>Table1218[[#This Row],[CLOSING BALANCE 
(VND)]]/1000000000</f>
        <v>0.8</v>
      </c>
      <c r="U4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41" s="1114">
        <f>_xlfn.NUMBERVALUE(LEFT(Table1218[[#This Row],[Term (months)]],1))</f>
        <v>6</v>
      </c>
      <c r="W41" s="1112">
        <v>6</v>
      </c>
      <c r="X41" s="1115">
        <f>Table1218[[#This Row],[Column3]]-Table1218[[#This Row],[Per bank statement]]</f>
        <v>0</v>
      </c>
      <c r="Y41" s="1117">
        <v>4.4999999999999998E-2</v>
      </c>
      <c r="Z41" s="1118">
        <f>Table1218[[#This Row],[Interest rate]]-Table1218[[#This Row],[Per bank statement2]]</f>
        <v>0</v>
      </c>
      <c r="AA41" s="1112">
        <v>4.5</v>
      </c>
      <c r="AB41" s="1112"/>
      <c r="AC41" s="1112"/>
    </row>
    <row r="42" spans="1:29">
      <c r="A42" s="920" t="str">
        <f>IFERROR(VLOOKUP($C42,Table2[#All],3,0),0)</f>
        <v>HOLDCO5I</v>
      </c>
      <c r="B42" s="921" t="str">
        <f>_xlfn.XLOOKUP(Table1218[[#This Row],[ACCOUNT NUMBER]],Table2[Account No.],Table2[BRANCH],"recheck",0)</f>
        <v>VIETINBANK - TIEN SON</v>
      </c>
      <c r="C42" s="1141" t="s">
        <v>833</v>
      </c>
      <c r="D42" s="922" t="str">
        <f>_xlfn.XLOOKUP(Table1218[[#This Row],[ACCOUNT NUMBER]],Table2[Account No.],Table2[ACCOUNT TYPE],"recheck",0)</f>
        <v>Saving Account</v>
      </c>
      <c r="E42" s="1129" t="str">
        <f>_xlfn.XLOOKUP(Table1218[[#This Row],[ACCOUNT NUMBER]],Table2[Account No.],Table2[CURRENCY],"recheck",0)</f>
        <v>VND</v>
      </c>
      <c r="F42" s="926">
        <f>SUMIFS(Table11[CLOSING BALANCE (VND)2],Table11[ACCOUNT NUMBER],Table1218[[#This Row],[ACCOUNT NUMBER]],Table11[CURRENCY],Table1218[[#This Row],[CURRENCY]])</f>
        <v>800000000</v>
      </c>
      <c r="G42" s="926">
        <f>SUMIFS(Table11[CLOSING BALANCE (USD)],Table11[ACCOUNT NUMBER],Table1218[[#This Row],[ACCOUNT NUMBER]],Table11[CURRENCY],Table1218[[#This Row],[CURRENCY]])</f>
        <v>0</v>
      </c>
      <c r="H42" s="1129" t="s">
        <v>224</v>
      </c>
      <c r="I42" s="1129"/>
      <c r="J42" s="1129"/>
      <c r="K42" s="1130">
        <v>46069</v>
      </c>
      <c r="L42" s="927">
        <v>4.4999999999999998E-2</v>
      </c>
      <c r="M42" s="922" t="str">
        <f>VLOOKUP($A42,Table1[[#All],[Entities]:[Name]],MATCH(M$3,Table1[[#Headers],[Entities]:[Name]],0),0)</f>
        <v>Subsidiaries</v>
      </c>
      <c r="N42" s="922" t="str">
        <f>IFERROR(VLOOKUP(IFERROR(MID($O42,1,FIND("-",$O42)-2),O42),Table3[#All],2,0),0)</f>
        <v>VTB</v>
      </c>
      <c r="O42" s="923" t="str">
        <f t="shared" si="0"/>
        <v>VIETINBANK - TIEN SON</v>
      </c>
      <c r="P42" s="927"/>
      <c r="Q42" s="922" t="s">
        <v>1545</v>
      </c>
      <c r="R42" s="922"/>
      <c r="S42" s="924" t="str">
        <f>IF(ISBLANK(Table1218[[#This Row],[Maturity date]]),"","W"&amp;MIN(WEEKNUM($K42+1,2)-WEEKNUM(EOMONTH($K42+1,-1)),4)&amp;TEXT($K42+1,"mmmyy"))</f>
        <v>W3Feb26</v>
      </c>
      <c r="T42" s="925">
        <f>Table1218[[#This Row],[CLOSING BALANCE 
(VND)]]/1000000000</f>
        <v>0.8</v>
      </c>
      <c r="U4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42" s="1114">
        <f>_xlfn.NUMBERVALUE(LEFT(Table1218[[#This Row],[Term (months)]],1))</f>
        <v>6</v>
      </c>
      <c r="W42" s="1112">
        <v>6</v>
      </c>
      <c r="X42" s="1115">
        <f>Table1218[[#This Row],[Column3]]-Table1218[[#This Row],[Per bank statement]]</f>
        <v>0</v>
      </c>
      <c r="Y42" s="1117">
        <v>4.4999999999999998E-2</v>
      </c>
      <c r="Z42" s="1118">
        <f>Table1218[[#This Row],[Interest rate]]-Table1218[[#This Row],[Per bank statement2]]</f>
        <v>0</v>
      </c>
      <c r="AA42" s="1112">
        <v>4.5</v>
      </c>
      <c r="AB42" s="1112"/>
      <c r="AC42" s="1112"/>
    </row>
    <row r="43" spans="1:29">
      <c r="A43" s="920" t="str">
        <f>IFERROR(VLOOKUP($C43,Table2[#All],3,0),0)</f>
        <v>HOLDCO5J</v>
      </c>
      <c r="B43" s="921" t="str">
        <f>_xlfn.XLOOKUP(Table1218[[#This Row],[ACCOUNT NUMBER]],Table2[Account No.],Table2[BRANCH],"recheck",0)</f>
        <v>VIETINBANK - TIEN SON</v>
      </c>
      <c r="C43" s="1141" t="s">
        <v>832</v>
      </c>
      <c r="D43" s="922" t="str">
        <f>_xlfn.XLOOKUP(Table1218[[#This Row],[ACCOUNT NUMBER]],Table2[Account No.],Table2[ACCOUNT TYPE],"recheck",0)</f>
        <v>Saving Account</v>
      </c>
      <c r="E43" s="1129" t="str">
        <f>_xlfn.XLOOKUP(Table1218[[#This Row],[ACCOUNT NUMBER]],Table2[Account No.],Table2[CURRENCY],"recheck",0)</f>
        <v>VND</v>
      </c>
      <c r="F43" s="926">
        <f>SUMIFS(Table11[CLOSING BALANCE (VND)2],Table11[ACCOUNT NUMBER],Table1218[[#This Row],[ACCOUNT NUMBER]],Table11[CURRENCY],Table1218[[#This Row],[CURRENCY]])</f>
        <v>800000000</v>
      </c>
      <c r="G43" s="926">
        <f>SUMIFS(Table11[CLOSING BALANCE (USD)],Table11[ACCOUNT NUMBER],Table1218[[#This Row],[ACCOUNT NUMBER]],Table11[CURRENCY],Table1218[[#This Row],[CURRENCY]])</f>
        <v>0</v>
      </c>
      <c r="H43" s="1129" t="s">
        <v>224</v>
      </c>
      <c r="I43" s="1129"/>
      <c r="J43" s="1129"/>
      <c r="K43" s="1130">
        <v>46069</v>
      </c>
      <c r="L43" s="927">
        <v>4.4999999999999998E-2</v>
      </c>
      <c r="M43" s="922" t="str">
        <f>VLOOKUP($A43,Table1[[#All],[Entities]:[Name]],MATCH(M$3,Table1[[#Headers],[Entities]:[Name]],0),0)</f>
        <v>Subsidiaries</v>
      </c>
      <c r="N43" s="922" t="str">
        <f>IFERROR(VLOOKUP(IFERROR(MID($O43,1,FIND("-",$O43)-2),O43),Table3[#All],2,0),0)</f>
        <v>VTB</v>
      </c>
      <c r="O43" s="923" t="str">
        <f t="shared" si="0"/>
        <v>VIETINBANK - TIEN SON</v>
      </c>
      <c r="P43" s="927"/>
      <c r="Q43" s="922" t="s">
        <v>1545</v>
      </c>
      <c r="R43" s="922"/>
      <c r="S43" s="924" t="str">
        <f>IF(ISBLANK(Table1218[[#This Row],[Maturity date]]),"","W"&amp;MIN(WEEKNUM($K43+1,2)-WEEKNUM(EOMONTH($K43+1,-1)),4)&amp;TEXT($K43+1,"mmmyy"))</f>
        <v>W3Feb26</v>
      </c>
      <c r="T43" s="925">
        <f>Table1218[[#This Row],[CLOSING BALANCE 
(VND)]]/1000000000</f>
        <v>0.8</v>
      </c>
      <c r="U4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43" s="1114">
        <f>_xlfn.NUMBERVALUE(LEFT(Table1218[[#This Row],[Term (months)]],1))</f>
        <v>6</v>
      </c>
      <c r="W43" s="1112">
        <v>6</v>
      </c>
      <c r="X43" s="1115">
        <f>Table1218[[#This Row],[Column3]]-Table1218[[#This Row],[Per bank statement]]</f>
        <v>0</v>
      </c>
      <c r="Y43" s="1117">
        <v>4.4999999999999998E-2</v>
      </c>
      <c r="Z43" s="1118">
        <f>Table1218[[#This Row],[Interest rate]]-Table1218[[#This Row],[Per bank statement2]]</f>
        <v>0</v>
      </c>
      <c r="AA43" s="1112">
        <v>4.5</v>
      </c>
      <c r="AB43" s="1112"/>
      <c r="AC43" s="1112"/>
    </row>
    <row r="44" spans="1:29">
      <c r="A44" s="920" t="str">
        <f>IFERROR(VLOOKUP($C44,Table2[#All],3,0),0)</f>
        <v>HOLDCO5K</v>
      </c>
      <c r="B44" s="921" t="str">
        <f>_xlfn.XLOOKUP(Table1218[[#This Row],[ACCOUNT NUMBER]],Table2[Account No.],Table2[BRANCH],"recheck",0)</f>
        <v>BIDV - THANH XUAN</v>
      </c>
      <c r="C44" s="1141" t="s">
        <v>817</v>
      </c>
      <c r="D44" s="922" t="str">
        <f>_xlfn.XLOOKUP(Table1218[[#This Row],[ACCOUNT NUMBER]],Table2[Account No.],Table2[ACCOUNT TYPE],"recheck",0)</f>
        <v>Saving Account</v>
      </c>
      <c r="E44" s="1129" t="str">
        <f>_xlfn.XLOOKUP(Table1218[[#This Row],[ACCOUNT NUMBER]],Table2[Account No.],Table2[CURRENCY],"recheck",0)</f>
        <v>VND</v>
      </c>
      <c r="F44" s="926">
        <f>SUMIFS(Table11[CLOSING BALANCE (VND)2],Table11[ACCOUNT NUMBER],Table1218[[#This Row],[ACCOUNT NUMBER]],Table11[CURRENCY],Table1218[[#This Row],[CURRENCY]])</f>
        <v>800000000</v>
      </c>
      <c r="G44" s="926">
        <f>SUMIFS(Table11[CLOSING BALANCE (USD)],Table11[ACCOUNT NUMBER],Table1218[[#This Row],[ACCOUNT NUMBER]],Table11[CURRENCY],Table1218[[#This Row],[CURRENCY]])</f>
        <v>0</v>
      </c>
      <c r="H44" s="1129" t="s">
        <v>224</v>
      </c>
      <c r="I44" s="1129"/>
      <c r="J44" s="1129"/>
      <c r="K44" s="1130">
        <v>46075</v>
      </c>
      <c r="L44" s="927">
        <v>4.2000000000000003E-2</v>
      </c>
      <c r="M44" s="922" t="str">
        <f>VLOOKUP($A44,Table1[[#All],[Entities]:[Name]],MATCH(M$3,Table1[[#Headers],[Entities]:[Name]],0),0)</f>
        <v>Subsidiaries</v>
      </c>
      <c r="N44" s="922" t="str">
        <f>IFERROR(VLOOKUP(IFERROR(MID($O44,1,FIND("-",$O44)-2),O44),Table3[#All],2,0),0)</f>
        <v>BIDV</v>
      </c>
      <c r="O44" s="923" t="str">
        <f t="shared" si="0"/>
        <v>BIDV - THANH XUAN</v>
      </c>
      <c r="P44" s="927"/>
      <c r="Q44" s="922" t="s">
        <v>1545</v>
      </c>
      <c r="R44" s="922"/>
      <c r="S44" s="924" t="str">
        <f>IF(ISBLANK(Table1218[[#This Row],[Maturity date]]),"","W"&amp;MIN(WEEKNUM($K44+1,2)-WEEKNUM(EOMONTH($K44+1,-1)),4)&amp;TEXT($K44+1,"mmmyy"))</f>
        <v>W4Feb26</v>
      </c>
      <c r="T44" s="925">
        <f>Table1218[[#This Row],[CLOSING BALANCE 
(VND)]]/1000000000</f>
        <v>0.8</v>
      </c>
      <c r="U4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44" s="1114">
        <f>_xlfn.NUMBERVALUE(LEFT(Table1218[[#This Row],[Term (months)]],1))</f>
        <v>6</v>
      </c>
      <c r="W44" s="1112">
        <v>6</v>
      </c>
      <c r="X44" s="1115">
        <f>Table1218[[#This Row],[Column3]]-Table1218[[#This Row],[Per bank statement]]</f>
        <v>0</v>
      </c>
      <c r="Y44" s="1117">
        <v>4.2000000000000003E-2</v>
      </c>
      <c r="Z44" s="1118">
        <f>Table1218[[#This Row],[Interest rate]]-Table1218[[#This Row],[Per bank statement2]]</f>
        <v>0</v>
      </c>
      <c r="AA44" s="1112" t="s">
        <v>5384</v>
      </c>
      <c r="AB44" s="1112"/>
      <c r="AC44" s="1112"/>
    </row>
    <row r="45" spans="1:29">
      <c r="A45" s="920" t="str">
        <f>IFERROR(VLOOKUP($C45,Table2[#All],3,0),0)</f>
        <v>HOLDCO5M</v>
      </c>
      <c r="B45" s="921" t="str">
        <f>_xlfn.XLOOKUP(Table1218[[#This Row],[ACCOUNT NUMBER]],Table2[Account No.],Table2[BRANCH],"recheck",0)</f>
        <v>BIDV - THANH XUAN</v>
      </c>
      <c r="C45" s="1141" t="s">
        <v>818</v>
      </c>
      <c r="D45" s="922" t="str">
        <f>_xlfn.XLOOKUP(Table1218[[#This Row],[ACCOUNT NUMBER]],Table2[Account No.],Table2[ACCOUNT TYPE],"recheck",0)</f>
        <v>Saving Account</v>
      </c>
      <c r="E45" s="1129" t="str">
        <f>_xlfn.XLOOKUP(Table1218[[#This Row],[ACCOUNT NUMBER]],Table2[Account No.],Table2[CURRENCY],"recheck",0)</f>
        <v>VND</v>
      </c>
      <c r="F45" s="926">
        <f>SUMIFS(Table11[CLOSING BALANCE (VND)2],Table11[ACCOUNT NUMBER],Table1218[[#This Row],[ACCOUNT NUMBER]],Table11[CURRENCY],Table1218[[#This Row],[CURRENCY]])</f>
        <v>800000000</v>
      </c>
      <c r="G45" s="926">
        <f>SUMIFS(Table11[CLOSING BALANCE (USD)],Table11[ACCOUNT NUMBER],Table1218[[#This Row],[ACCOUNT NUMBER]],Table11[CURRENCY],Table1218[[#This Row],[CURRENCY]])</f>
        <v>0</v>
      </c>
      <c r="H45" s="1129" t="s">
        <v>224</v>
      </c>
      <c r="I45" s="1129"/>
      <c r="J45" s="1129"/>
      <c r="K45" s="1130">
        <v>46075</v>
      </c>
      <c r="L45" s="927">
        <v>4.2000000000000003E-2</v>
      </c>
      <c r="M45" s="922" t="str">
        <f>VLOOKUP($A45,Table1[[#All],[Entities]:[Name]],MATCH(M$3,Table1[[#Headers],[Entities]:[Name]],0),0)</f>
        <v>Subsidiaries</v>
      </c>
      <c r="N45" s="922" t="str">
        <f>IFERROR(VLOOKUP(IFERROR(MID($O45,1,FIND("-",$O45)-2),O45),Table3[#All],2,0),0)</f>
        <v>BIDV</v>
      </c>
      <c r="O45" s="923" t="str">
        <f t="shared" si="0"/>
        <v>BIDV - THANH XUAN</v>
      </c>
      <c r="P45" s="927"/>
      <c r="Q45" s="922" t="s">
        <v>1545</v>
      </c>
      <c r="R45" s="922"/>
      <c r="S45" s="924" t="str">
        <f>IF(ISBLANK(Table1218[[#This Row],[Maturity date]]),"","W"&amp;MIN(WEEKNUM($K45+1,2)-WEEKNUM(EOMONTH($K45+1,-1)),4)&amp;TEXT($K45+1,"mmmyy"))</f>
        <v>W4Feb26</v>
      </c>
      <c r="T45" s="925">
        <f>Table1218[[#This Row],[CLOSING BALANCE 
(VND)]]/1000000000</f>
        <v>0.8</v>
      </c>
      <c r="U4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45" s="1114">
        <f>_xlfn.NUMBERVALUE(LEFT(Table1218[[#This Row],[Term (months)]],1))</f>
        <v>6</v>
      </c>
      <c r="W45" s="1112">
        <v>6</v>
      </c>
      <c r="X45" s="1115">
        <f>Table1218[[#This Row],[Column3]]-Table1218[[#This Row],[Per bank statement]]</f>
        <v>0</v>
      </c>
      <c r="Y45" s="1117">
        <v>4.2000000000000003E-2</v>
      </c>
      <c r="Z45" s="1118">
        <f>Table1218[[#This Row],[Interest rate]]-Table1218[[#This Row],[Per bank statement2]]</f>
        <v>0</v>
      </c>
      <c r="AA45" s="1112" t="s">
        <v>5384</v>
      </c>
      <c r="AB45" s="1112"/>
      <c r="AC45" s="1112"/>
    </row>
    <row r="46" spans="1:29">
      <c r="A46" s="920" t="str">
        <f>IFERROR(VLOOKUP($C46,Table2[#All],3,0),0)</f>
        <v>HOLDCO5Q</v>
      </c>
      <c r="B46" s="921" t="str">
        <f>_xlfn.XLOOKUP(Table1218[[#This Row],[ACCOUNT NUMBER]],Table2[Account No.],Table2[BRANCH],"recheck",0)</f>
        <v>VIETINBANK - TIEN SON</v>
      </c>
      <c r="C46" s="1141" t="s">
        <v>845</v>
      </c>
      <c r="D46" s="922" t="str">
        <f>_xlfn.XLOOKUP(Table1218[[#This Row],[ACCOUNT NUMBER]],Table2[Account No.],Table2[ACCOUNT TYPE],"recheck",0)</f>
        <v>Saving Account</v>
      </c>
      <c r="E46" s="1129" t="str">
        <f>_xlfn.XLOOKUP(Table1218[[#This Row],[ACCOUNT NUMBER]],Table2[Account No.],Table2[CURRENCY],"recheck",0)</f>
        <v>VND</v>
      </c>
      <c r="F46" s="926">
        <f>SUMIFS(Table11[CLOSING BALANCE (VND)2],Table11[ACCOUNT NUMBER],Table1218[[#This Row],[ACCOUNT NUMBER]],Table11[CURRENCY],Table1218[[#This Row],[CURRENCY]])</f>
        <v>800000000</v>
      </c>
      <c r="G46" s="926">
        <f>SUMIFS(Table11[CLOSING BALANCE (USD)],Table11[ACCOUNT NUMBER],Table1218[[#This Row],[ACCOUNT NUMBER]],Table11[CURRENCY],Table1218[[#This Row],[CURRENCY]])</f>
        <v>0</v>
      </c>
      <c r="H46" s="1129" t="s">
        <v>224</v>
      </c>
      <c r="I46" s="1129"/>
      <c r="J46" s="1129"/>
      <c r="K46" s="1130">
        <v>46069</v>
      </c>
      <c r="L46" s="927">
        <v>4.4999999999999998E-2</v>
      </c>
      <c r="M46" s="922" t="str">
        <f>VLOOKUP($A46,Table1[[#All],[Entities]:[Name]],MATCH(M$3,Table1[[#Headers],[Entities]:[Name]],0),0)</f>
        <v>Subsidiaries</v>
      </c>
      <c r="N46" s="922" t="str">
        <f>IFERROR(VLOOKUP(IFERROR(MID($O46,1,FIND("-",$O46)-2),O46),Table3[#All],2,0),0)</f>
        <v>VTB</v>
      </c>
      <c r="O46" s="923" t="str">
        <f t="shared" si="0"/>
        <v>VIETINBANK - TIEN SON</v>
      </c>
      <c r="P46" s="927"/>
      <c r="Q46" s="922" t="s">
        <v>1545</v>
      </c>
      <c r="R46" s="922"/>
      <c r="S46" s="924" t="str">
        <f>IF(ISBLANK(Table1218[[#This Row],[Maturity date]]),"","W"&amp;MIN(WEEKNUM($K46+1,2)-WEEKNUM(EOMONTH($K46+1,-1)),4)&amp;TEXT($K46+1,"mmmyy"))</f>
        <v>W3Feb26</v>
      </c>
      <c r="T46" s="925">
        <f>Table1218[[#This Row],[CLOSING BALANCE 
(VND)]]/1000000000</f>
        <v>0.8</v>
      </c>
      <c r="U4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46" s="1114">
        <f>_xlfn.NUMBERVALUE(LEFT(Table1218[[#This Row],[Term (months)]],1))</f>
        <v>6</v>
      </c>
      <c r="W46" s="1112">
        <v>6</v>
      </c>
      <c r="X46" s="1115">
        <f>Table1218[[#This Row],[Column3]]-Table1218[[#This Row],[Per bank statement]]</f>
        <v>0</v>
      </c>
      <c r="Y46" s="1117">
        <v>4.4999999999999998E-2</v>
      </c>
      <c r="Z46" s="1118">
        <f>Table1218[[#This Row],[Interest rate]]-Table1218[[#This Row],[Per bank statement2]]</f>
        <v>0</v>
      </c>
      <c r="AA46" s="1112">
        <v>4.5</v>
      </c>
      <c r="AB46" s="1112"/>
      <c r="AC46" s="1112"/>
    </row>
    <row r="47" spans="1:29">
      <c r="A47" s="920" t="str">
        <f>IFERROR(VLOOKUP($C47,Table2[#All],3,0),0)</f>
        <v>HOLDCO5R</v>
      </c>
      <c r="B47" s="921" t="str">
        <f>_xlfn.XLOOKUP(Table1218[[#This Row],[ACCOUNT NUMBER]],Table2[Account No.],Table2[BRANCH],"recheck",0)</f>
        <v>VIETINBANK - TIEN SON</v>
      </c>
      <c r="C47" s="1141" t="s">
        <v>846</v>
      </c>
      <c r="D47" s="922" t="str">
        <f>_xlfn.XLOOKUP(Table1218[[#This Row],[ACCOUNT NUMBER]],Table2[Account No.],Table2[ACCOUNT TYPE],"recheck",0)</f>
        <v>Saving Account</v>
      </c>
      <c r="E47" s="1129" t="str">
        <f>_xlfn.XLOOKUP(Table1218[[#This Row],[ACCOUNT NUMBER]],Table2[Account No.],Table2[CURRENCY],"recheck",0)</f>
        <v>VND</v>
      </c>
      <c r="F47" s="926">
        <f>SUMIFS(Table11[CLOSING BALANCE (VND)2],Table11[ACCOUNT NUMBER],Table1218[[#This Row],[ACCOUNT NUMBER]],Table11[CURRENCY],Table1218[[#This Row],[CURRENCY]])</f>
        <v>800000000</v>
      </c>
      <c r="G47" s="926">
        <f>SUMIFS(Table11[CLOSING BALANCE (USD)],Table11[ACCOUNT NUMBER],Table1218[[#This Row],[ACCOUNT NUMBER]],Table11[CURRENCY],Table1218[[#This Row],[CURRENCY]])</f>
        <v>0</v>
      </c>
      <c r="H47" s="1129" t="s">
        <v>224</v>
      </c>
      <c r="I47" s="1129"/>
      <c r="J47" s="1129"/>
      <c r="K47" s="1130">
        <v>46069</v>
      </c>
      <c r="L47" s="927">
        <v>4.4999999999999998E-2</v>
      </c>
      <c r="M47" s="922" t="str">
        <f>VLOOKUP($A47,Table1[[#All],[Entities]:[Name]],MATCH(M$3,Table1[[#Headers],[Entities]:[Name]],0),0)</f>
        <v>Subsidiaries</v>
      </c>
      <c r="N47" s="922" t="str">
        <f>IFERROR(VLOOKUP(IFERROR(MID($O47,1,FIND("-",$O47)-2),O47),Table3[#All],2,0),0)</f>
        <v>VTB</v>
      </c>
      <c r="O47" s="923" t="str">
        <f t="shared" si="0"/>
        <v>VIETINBANK - TIEN SON</v>
      </c>
      <c r="P47" s="927"/>
      <c r="Q47" s="922" t="s">
        <v>1545</v>
      </c>
      <c r="R47" s="922"/>
      <c r="S47" s="924" t="str">
        <f>IF(ISBLANK(Table1218[[#This Row],[Maturity date]]),"","W"&amp;MIN(WEEKNUM($K47+1,2)-WEEKNUM(EOMONTH($K47+1,-1)),4)&amp;TEXT($K47+1,"mmmyy"))</f>
        <v>W3Feb26</v>
      </c>
      <c r="T47" s="925">
        <f>Table1218[[#This Row],[CLOSING BALANCE 
(VND)]]/1000000000</f>
        <v>0.8</v>
      </c>
      <c r="U4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47" s="1114">
        <f>_xlfn.NUMBERVALUE(LEFT(Table1218[[#This Row],[Term (months)]],1))</f>
        <v>6</v>
      </c>
      <c r="W47" s="1112">
        <v>6</v>
      </c>
      <c r="X47" s="1115">
        <f>Table1218[[#This Row],[Column3]]-Table1218[[#This Row],[Per bank statement]]</f>
        <v>0</v>
      </c>
      <c r="Y47" s="1117">
        <v>4.4999999999999998E-2</v>
      </c>
      <c r="Z47" s="1118">
        <f>Table1218[[#This Row],[Interest rate]]-Table1218[[#This Row],[Per bank statement2]]</f>
        <v>0</v>
      </c>
      <c r="AA47" s="1112">
        <v>4.5</v>
      </c>
      <c r="AB47" s="1112"/>
      <c r="AC47" s="1112"/>
    </row>
    <row r="48" spans="1:29">
      <c r="A48" s="920" t="str">
        <f>IFERROR(VLOOKUP($C48,Table2[#All],3,0),0)</f>
        <v>HOLDCO5S</v>
      </c>
      <c r="B48" s="921" t="str">
        <f>_xlfn.XLOOKUP(Table1218[[#This Row],[ACCOUNT NUMBER]],Table2[Account No.],Table2[BRANCH],"recheck",0)</f>
        <v>VIETINBANK - TIEN SON</v>
      </c>
      <c r="C48" s="1141" t="s">
        <v>847</v>
      </c>
      <c r="D48" s="922" t="str">
        <f>_xlfn.XLOOKUP(Table1218[[#This Row],[ACCOUNT NUMBER]],Table2[Account No.],Table2[ACCOUNT TYPE],"recheck",0)</f>
        <v>Saving Account</v>
      </c>
      <c r="E48" s="1129" t="str">
        <f>_xlfn.XLOOKUP(Table1218[[#This Row],[ACCOUNT NUMBER]],Table2[Account No.],Table2[CURRENCY],"recheck",0)</f>
        <v>VND</v>
      </c>
      <c r="F48" s="926">
        <f>SUMIFS(Table11[CLOSING BALANCE (VND)2],Table11[ACCOUNT NUMBER],Table1218[[#This Row],[ACCOUNT NUMBER]],Table11[CURRENCY],Table1218[[#This Row],[CURRENCY]])</f>
        <v>800000000</v>
      </c>
      <c r="G48" s="926">
        <f>SUMIFS(Table11[CLOSING BALANCE (USD)],Table11[ACCOUNT NUMBER],Table1218[[#This Row],[ACCOUNT NUMBER]],Table11[CURRENCY],Table1218[[#This Row],[CURRENCY]])</f>
        <v>0</v>
      </c>
      <c r="H48" s="1129" t="s">
        <v>224</v>
      </c>
      <c r="I48" s="1129"/>
      <c r="J48" s="1129"/>
      <c r="K48" s="1130">
        <v>46069</v>
      </c>
      <c r="L48" s="927">
        <v>4.4999999999999998E-2</v>
      </c>
      <c r="M48" s="922" t="str">
        <f>VLOOKUP($A48,Table1[[#All],[Entities]:[Name]],MATCH(M$3,Table1[[#Headers],[Entities]:[Name]],0),0)</f>
        <v>Subsidiaries</v>
      </c>
      <c r="N48" s="922" t="str">
        <f>IFERROR(VLOOKUP(IFERROR(MID($O48,1,FIND("-",$O48)-2),O48),Table3[#All],2,0),0)</f>
        <v>VTB</v>
      </c>
      <c r="O48" s="923" t="str">
        <f t="shared" si="0"/>
        <v>VIETINBANK - TIEN SON</v>
      </c>
      <c r="P48" s="927"/>
      <c r="Q48" s="922" t="s">
        <v>1545</v>
      </c>
      <c r="R48" s="922"/>
      <c r="S48" s="924" t="str">
        <f>IF(ISBLANK(Table1218[[#This Row],[Maturity date]]),"","W"&amp;MIN(WEEKNUM($K48+1,2)-WEEKNUM(EOMONTH($K48+1,-1)),4)&amp;TEXT($K48+1,"mmmyy"))</f>
        <v>W3Feb26</v>
      </c>
      <c r="T48" s="925">
        <f>Table1218[[#This Row],[CLOSING BALANCE 
(VND)]]/1000000000</f>
        <v>0.8</v>
      </c>
      <c r="U4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48" s="1114">
        <f>_xlfn.NUMBERVALUE(LEFT(Table1218[[#This Row],[Term (months)]],1))</f>
        <v>6</v>
      </c>
      <c r="W48" s="1112">
        <v>6</v>
      </c>
      <c r="X48" s="1115">
        <f>Table1218[[#This Row],[Column3]]-Table1218[[#This Row],[Per bank statement]]</f>
        <v>0</v>
      </c>
      <c r="Y48" s="1117">
        <v>4.4999999999999998E-2</v>
      </c>
      <c r="Z48" s="1118">
        <f>Table1218[[#This Row],[Interest rate]]-Table1218[[#This Row],[Per bank statement2]]</f>
        <v>0</v>
      </c>
      <c r="AA48" s="1112">
        <v>4.5</v>
      </c>
      <c r="AB48" s="1112"/>
      <c r="AC48" s="1112"/>
    </row>
    <row r="49" spans="1:29">
      <c r="A49" s="920" t="str">
        <f>IFERROR(VLOOKUP($C49,Table2[#All],3,0),0)</f>
        <v>HOLDCO5T</v>
      </c>
      <c r="B49" s="921" t="str">
        <f>_xlfn.XLOOKUP(Table1218[[#This Row],[ACCOUNT NUMBER]],Table2[Account No.],Table2[BRANCH],"recheck",0)</f>
        <v>VIETINBANK - TIEN SON</v>
      </c>
      <c r="C49" s="1141" t="s">
        <v>848</v>
      </c>
      <c r="D49" s="922" t="str">
        <f>_xlfn.XLOOKUP(Table1218[[#This Row],[ACCOUNT NUMBER]],Table2[Account No.],Table2[ACCOUNT TYPE],"recheck",0)</f>
        <v>Saving Account</v>
      </c>
      <c r="E49" s="1129" t="str">
        <f>_xlfn.XLOOKUP(Table1218[[#This Row],[ACCOUNT NUMBER]],Table2[Account No.],Table2[CURRENCY],"recheck",0)</f>
        <v>VND</v>
      </c>
      <c r="F49" s="926">
        <f>SUMIFS(Table11[CLOSING BALANCE (VND)2],Table11[ACCOUNT NUMBER],Table1218[[#This Row],[ACCOUNT NUMBER]],Table11[CURRENCY],Table1218[[#This Row],[CURRENCY]])</f>
        <v>800000000</v>
      </c>
      <c r="G49" s="926">
        <f>SUMIFS(Table11[CLOSING BALANCE (USD)],Table11[ACCOUNT NUMBER],Table1218[[#This Row],[ACCOUNT NUMBER]],Table11[CURRENCY],Table1218[[#This Row],[CURRENCY]])</f>
        <v>0</v>
      </c>
      <c r="H49" s="1129" t="s">
        <v>224</v>
      </c>
      <c r="I49" s="1129"/>
      <c r="J49" s="1129"/>
      <c r="K49" s="1130">
        <v>46069</v>
      </c>
      <c r="L49" s="927">
        <v>4.4999999999999998E-2</v>
      </c>
      <c r="M49" s="922" t="str">
        <f>VLOOKUP($A49,Table1[[#All],[Entities]:[Name]],MATCH(M$3,Table1[[#Headers],[Entities]:[Name]],0),0)</f>
        <v>Subsidiaries</v>
      </c>
      <c r="N49" s="922" t="str">
        <f>IFERROR(VLOOKUP(IFERROR(MID($O49,1,FIND("-",$O49)-2),O49),Table3[#All],2,0),0)</f>
        <v>VTB</v>
      </c>
      <c r="O49" s="923" t="str">
        <f t="shared" si="0"/>
        <v>VIETINBANK - TIEN SON</v>
      </c>
      <c r="P49" s="927"/>
      <c r="Q49" s="922" t="s">
        <v>1545</v>
      </c>
      <c r="R49" s="922"/>
      <c r="S49" s="924" t="str">
        <f>IF(ISBLANK(Table1218[[#This Row],[Maturity date]]),"","W"&amp;MIN(WEEKNUM($K49+1,2)-WEEKNUM(EOMONTH($K49+1,-1)),4)&amp;TEXT($K49+1,"mmmyy"))</f>
        <v>W3Feb26</v>
      </c>
      <c r="T49" s="925">
        <f>Table1218[[#This Row],[CLOSING BALANCE 
(VND)]]/1000000000</f>
        <v>0.8</v>
      </c>
      <c r="U4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49" s="1114">
        <f>_xlfn.NUMBERVALUE(LEFT(Table1218[[#This Row],[Term (months)]],1))</f>
        <v>6</v>
      </c>
      <c r="W49" s="1112">
        <v>6</v>
      </c>
      <c r="X49" s="1115">
        <f>Table1218[[#This Row],[Column3]]-Table1218[[#This Row],[Per bank statement]]</f>
        <v>0</v>
      </c>
      <c r="Y49" s="1117">
        <v>4.4999999999999998E-2</v>
      </c>
      <c r="Z49" s="1118">
        <f>Table1218[[#This Row],[Interest rate]]-Table1218[[#This Row],[Per bank statement2]]</f>
        <v>0</v>
      </c>
      <c r="AA49" s="1112">
        <v>4.5</v>
      </c>
      <c r="AB49" s="1112"/>
      <c r="AC49" s="1112"/>
    </row>
    <row r="50" spans="1:29">
      <c r="A50" s="920" t="str">
        <f>IFERROR(VLOOKUP($C50,Table2[#All],3,0),0)</f>
        <v>HOLDCO5U</v>
      </c>
      <c r="B50" s="921" t="str">
        <f>_xlfn.XLOOKUP(Table1218[[#This Row],[ACCOUNT NUMBER]],Table2[Account No.],Table2[BRANCH],"recheck",0)</f>
        <v>VIETINBANK - TIEN SON</v>
      </c>
      <c r="C50" s="1141" t="s">
        <v>849</v>
      </c>
      <c r="D50" s="922" t="str">
        <f>_xlfn.XLOOKUP(Table1218[[#This Row],[ACCOUNT NUMBER]],Table2[Account No.],Table2[ACCOUNT TYPE],"recheck",0)</f>
        <v>Saving Account</v>
      </c>
      <c r="E50" s="1129" t="str">
        <f>_xlfn.XLOOKUP(Table1218[[#This Row],[ACCOUNT NUMBER]],Table2[Account No.],Table2[CURRENCY],"recheck",0)</f>
        <v>VND</v>
      </c>
      <c r="F50" s="926">
        <f>SUMIFS(Table11[CLOSING BALANCE (VND)2],Table11[ACCOUNT NUMBER],Table1218[[#This Row],[ACCOUNT NUMBER]],Table11[CURRENCY],Table1218[[#This Row],[CURRENCY]])</f>
        <v>800000000</v>
      </c>
      <c r="G50" s="926">
        <f>SUMIFS(Table11[CLOSING BALANCE (USD)],Table11[ACCOUNT NUMBER],Table1218[[#This Row],[ACCOUNT NUMBER]],Table11[CURRENCY],Table1218[[#This Row],[CURRENCY]])</f>
        <v>0</v>
      </c>
      <c r="H50" s="1129" t="s">
        <v>224</v>
      </c>
      <c r="I50" s="1129"/>
      <c r="J50" s="1129"/>
      <c r="K50" s="1130">
        <v>46069</v>
      </c>
      <c r="L50" s="927">
        <v>4.4999999999999998E-2</v>
      </c>
      <c r="M50" s="922" t="str">
        <f>VLOOKUP($A50,Table1[[#All],[Entities]:[Name]],MATCH(M$3,Table1[[#Headers],[Entities]:[Name]],0),0)</f>
        <v>Subsidiaries</v>
      </c>
      <c r="N50" s="922" t="str">
        <f>IFERROR(VLOOKUP(IFERROR(MID($O50,1,FIND("-",$O50)-2),O50),Table3[#All],2,0),0)</f>
        <v>VTB</v>
      </c>
      <c r="O50" s="923" t="str">
        <f t="shared" si="0"/>
        <v>VIETINBANK - TIEN SON</v>
      </c>
      <c r="P50" s="927"/>
      <c r="Q50" s="922" t="s">
        <v>1545</v>
      </c>
      <c r="R50" s="922"/>
      <c r="S50" s="924" t="str">
        <f>IF(ISBLANK(Table1218[[#This Row],[Maturity date]]),"","W"&amp;MIN(WEEKNUM($K50+1,2)-WEEKNUM(EOMONTH($K50+1,-1)),4)&amp;TEXT($K50+1,"mmmyy"))</f>
        <v>W3Feb26</v>
      </c>
      <c r="T50" s="925">
        <f>Table1218[[#This Row],[CLOSING BALANCE 
(VND)]]/1000000000</f>
        <v>0.8</v>
      </c>
      <c r="U5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50" s="1114">
        <f>_xlfn.NUMBERVALUE(LEFT(Table1218[[#This Row],[Term (months)]],1))</f>
        <v>6</v>
      </c>
      <c r="W50" s="1112">
        <v>6</v>
      </c>
      <c r="X50" s="1115">
        <f>Table1218[[#This Row],[Column3]]-Table1218[[#This Row],[Per bank statement]]</f>
        <v>0</v>
      </c>
      <c r="Y50" s="1117">
        <v>4.4999999999999998E-2</v>
      </c>
      <c r="Z50" s="1118">
        <f>Table1218[[#This Row],[Interest rate]]-Table1218[[#This Row],[Per bank statement2]]</f>
        <v>0</v>
      </c>
      <c r="AA50" s="1112">
        <v>4.5</v>
      </c>
      <c r="AB50" s="1112"/>
      <c r="AC50" s="1112"/>
    </row>
    <row r="51" spans="1:29">
      <c r="A51" s="920" t="str">
        <f>IFERROR(VLOOKUP($C51,Table2[#All],3,0),0)</f>
        <v>KIM TRUC DN</v>
      </c>
      <c r="B51" s="921" t="str">
        <f>_xlfn.XLOOKUP(Table1218[[#This Row],[ACCOUNT NUMBER]],Table2[Account No.],Table2[BRANCH],"recheck",0)</f>
        <v>BIDV - NAM SAI GON</v>
      </c>
      <c r="C51" s="1142" t="s">
        <v>569</v>
      </c>
      <c r="D51" s="922" t="str">
        <f>_xlfn.XLOOKUP(Table1218[[#This Row],[ACCOUNT NUMBER]],Table2[Account No.],Table2[ACCOUNT TYPE],"recheck",0)</f>
        <v>Saving Account</v>
      </c>
      <c r="E51" s="1129" t="str">
        <f>_xlfn.XLOOKUP(Table1218[[#This Row],[ACCOUNT NUMBER]],Table2[Account No.],Table2[CURRENCY],"recheck",0)</f>
        <v>VND</v>
      </c>
      <c r="F51" s="926">
        <f>SUMIFS(Table11[CLOSING BALANCE (VND)2],Table11[ACCOUNT NUMBER],Table1218[[#This Row],[ACCOUNT NUMBER]],Table11[CURRENCY],Table1218[[#This Row],[CURRENCY]])</f>
        <v>1418000000</v>
      </c>
      <c r="G51" s="926">
        <f>SUMIFS(Table11[CLOSING BALANCE (USD)],Table11[ACCOUNT NUMBER],Table1218[[#This Row],[ACCOUNT NUMBER]],Table11[CURRENCY],Table1218[[#This Row],[CURRENCY]])</f>
        <v>0</v>
      </c>
      <c r="H51" s="1129" t="s">
        <v>228</v>
      </c>
      <c r="I51" s="1129"/>
      <c r="J51" s="1129"/>
      <c r="K51" s="1130">
        <v>46322</v>
      </c>
      <c r="L51" s="927">
        <v>4.2000000000000003E-2</v>
      </c>
      <c r="M51" s="922" t="str">
        <f>IFERROR(VLOOKUP($A51,Table1[[#All],[Entities]:[Name]],MATCH(M$3,Table1[[#Headers],[Entities]:[Name]],0),0),0)</f>
        <v>Subsidiaries</v>
      </c>
      <c r="N51" s="922" t="str">
        <f>IFERROR(VLOOKUP(IFERROR(MID($O51,1,FIND("-",$O51)-2),O51),Table3[#All],2,0),0)</f>
        <v>BIDV</v>
      </c>
      <c r="O51" s="923" t="str">
        <f>IF(ISBLANK(Table1218[[#This Row],[BRANCH]]),"",IF(VLOOKUP(Table1218[[#This Row],[BRANCH]],Table4[#All],2,0)="OTHERS", "Others",Table1218[[#This Row],[BRANCH]]))</f>
        <v>BIDV - NAM SAI GON</v>
      </c>
      <c r="P51" s="927"/>
      <c r="Q51" s="922"/>
      <c r="R51" s="922"/>
      <c r="S51" s="924" t="str">
        <f>IF(ISBLANK(Table1218[[#This Row],[Maturity date]]),"","W"&amp;MIN(WEEKNUM($K51+1,2)-WEEKNUM(EOMONTH($K51+1,-1)),4)&amp;TEXT($K51+1,"mmmyy"))</f>
        <v>W4Oct26</v>
      </c>
      <c r="T51" s="925">
        <f>Table1218[[#This Row],[CLOSING BALANCE 
(VND)]]/1000000000</f>
        <v>1.4179999999999999</v>
      </c>
      <c r="U5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9 months</v>
      </c>
      <c r="V51" s="1114">
        <v>12</v>
      </c>
      <c r="W51" s="1112">
        <v>12</v>
      </c>
      <c r="X51" s="1115">
        <f>Table1218[[#This Row],[Column3]]-Table1218[[#This Row],[Per bank statement]]</f>
        <v>0</v>
      </c>
      <c r="Y51" s="1117">
        <v>4.2000000000000003E-2</v>
      </c>
      <c r="Z51" s="1118">
        <f>Table1218[[#This Row],[Interest rate]]-Table1218[[#This Row],[Per bank statement2]]</f>
        <v>0</v>
      </c>
      <c r="AA51" s="1112" t="s">
        <v>5384</v>
      </c>
      <c r="AB51" s="1112"/>
      <c r="AC51" s="1112"/>
    </row>
    <row r="52" spans="1:29">
      <c r="A52" s="920" t="str">
        <f>IFERROR(VLOOKUP($C52,Table2[#All],3,0),0)</f>
        <v>LONG BINH</v>
      </c>
      <c r="B52" s="921" t="str">
        <f>_xlfn.XLOOKUP(Table1218[[#This Row],[ACCOUNT NUMBER]],Table2[Account No.],Table2[BRANCH],"recheck",0)</f>
        <v>VIETINBANK - CN1</v>
      </c>
      <c r="C52" s="921" t="s">
        <v>704</v>
      </c>
      <c r="D52" s="922" t="str">
        <f>_xlfn.XLOOKUP(Table1218[[#This Row],[ACCOUNT NUMBER]],Table2[Account No.],Table2[ACCOUNT TYPE],"recheck",0)</f>
        <v>Saving Account</v>
      </c>
      <c r="E52" s="1129" t="str">
        <f>_xlfn.XLOOKUP(Table1218[[#This Row],[ACCOUNT NUMBER]],Table2[Account No.],Table2[CURRENCY],"recheck",0)</f>
        <v>VND</v>
      </c>
      <c r="F52" s="926">
        <f>SUMIFS(Table11[CLOSING BALANCE (VND)2],Table11[ACCOUNT NUMBER],Table1218[[#This Row],[ACCOUNT NUMBER]],Table11[CURRENCY],Table1218[[#This Row],[CURRENCY]])</f>
        <v>1738000000</v>
      </c>
      <c r="G52" s="926">
        <f>SUMIFS(Table11[CLOSING BALANCE (USD)],Table11[ACCOUNT NUMBER],Table1218[[#This Row],[ACCOUNT NUMBER]],Table11[CURRENCY],Table1218[[#This Row],[CURRENCY]])</f>
        <v>0</v>
      </c>
      <c r="H52" s="1129" t="s">
        <v>228</v>
      </c>
      <c r="I52" s="1129"/>
      <c r="J52" s="1129"/>
      <c r="K52" s="1130">
        <v>46214</v>
      </c>
      <c r="L52" s="927">
        <v>4.2000000000000003E-2</v>
      </c>
      <c r="M52" s="922" t="str">
        <f>IFERROR(VLOOKUP($A52,Table1[[#All],[Entities]:[Name]],MATCH(M$3,Table1[[#Headers],[Entities]:[Name]],0),0),0)</f>
        <v>Subsidiaries</v>
      </c>
      <c r="N52" s="922" t="str">
        <f>IFERROR(VLOOKUP(IFERROR(MID($O52,1,FIND("-",$O52)-2),O52),Table3[#All],2,0),0)</f>
        <v>VTB</v>
      </c>
      <c r="O52" s="923" t="str">
        <f>IF(ISBLANK(Table1218[[#This Row],[BRANCH]]),"",IF(VLOOKUP(Table1218[[#This Row],[BRANCH]],Table4[#All],2,0)="OTHERS", "Others",Table1218[[#This Row],[BRANCH]]))</f>
        <v>VIETINBANK - CN1</v>
      </c>
      <c r="P52" s="927"/>
      <c r="Q52" s="922" t="s">
        <v>1549</v>
      </c>
      <c r="R52" s="922"/>
      <c r="S52" s="924" t="str">
        <f>IF(ISBLANK(Table1218[[#This Row],[Maturity date]]),"","W"&amp;MIN(WEEKNUM($K52+1,2)-WEEKNUM(EOMONTH($K52+1,-1)),4)&amp;TEXT($K52+1,"mmmyy"))</f>
        <v>W1Jul26</v>
      </c>
      <c r="T52" s="1214">
        <f>Table1218[[#This Row],[CLOSING BALANCE 
(VND)]]/1000000000</f>
        <v>1.738</v>
      </c>
      <c r="U52"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52" s="1113">
        <v>12</v>
      </c>
      <c r="W52" s="1112">
        <v>12</v>
      </c>
      <c r="X52" s="1115">
        <f>Table1218[[#This Row],[Column3]]-Table1218[[#This Row],[Per bank statement]]</f>
        <v>0</v>
      </c>
      <c r="Y52" s="1117">
        <v>4.2000000000000003E-2</v>
      </c>
      <c r="Z52" s="1118">
        <f>Table1218[[#This Row],[Interest rate]]-Table1218[[#This Row],[Per bank statement2]]</f>
        <v>0</v>
      </c>
      <c r="AA52" s="1112">
        <v>4.2</v>
      </c>
      <c r="AB52" s="1112"/>
      <c r="AC52" s="1112"/>
    </row>
    <row r="53" spans="1:29">
      <c r="A53" s="920" t="str">
        <f>IFERROR(VLOOKUP($C53,Table2[#All],3,0),0)</f>
        <v>QV2 HOLDCO</v>
      </c>
      <c r="B53" s="921" t="str">
        <f>_xlfn.XLOOKUP(Table1218[[#This Row],[ACCOUNT NUMBER]],Table2[Account No.],Table2[BRANCH],"recheck",0)</f>
        <v>BIDV - THANH XUAN</v>
      </c>
      <c r="C53" s="1143" t="s">
        <v>916</v>
      </c>
      <c r="D53" s="922" t="str">
        <f>_xlfn.XLOOKUP(Table1218[[#This Row],[ACCOUNT NUMBER]],Table2[Account No.],Table2[ACCOUNT TYPE],"recheck",0)</f>
        <v>Saving Account</v>
      </c>
      <c r="E53" s="1129" t="str">
        <f>_xlfn.XLOOKUP(Table1218[[#This Row],[ACCOUNT NUMBER]],Table2[Account No.],Table2[CURRENCY],"recheck",0)</f>
        <v>VND</v>
      </c>
      <c r="F53" s="926">
        <f>SUMIFS(Table11[CLOSING BALANCE (VND)2],Table11[ACCOUNT NUMBER],Table1218[[#This Row],[ACCOUNT NUMBER]],Table11[CURRENCY],Table1218[[#This Row],[CURRENCY]])</f>
        <v>1000000000</v>
      </c>
      <c r="G53" s="926">
        <f>SUMIFS(Table11[CLOSING BALANCE (USD)],Table11[ACCOUNT NUMBER],Table1218[[#This Row],[ACCOUNT NUMBER]],Table11[CURRENCY],Table1218[[#This Row],[CURRENCY]])</f>
        <v>0</v>
      </c>
      <c r="H53" s="1129" t="s">
        <v>221</v>
      </c>
      <c r="I53" s="1129"/>
      <c r="J53" s="1129"/>
      <c r="K53" s="1130">
        <v>46069</v>
      </c>
      <c r="L53" s="927">
        <v>4.7500000000000001E-2</v>
      </c>
      <c r="M53" s="922" t="str">
        <f>VLOOKUP($A53,Table1[[#All],[Entities]:[Name]],MATCH(M$3,Table1[[#Headers],[Entities]:[Name]],0),0)</f>
        <v>Subsidiaries</v>
      </c>
      <c r="N53" s="922" t="str">
        <f>IFERROR(VLOOKUP(IFERROR(MID($O53,1,FIND("-",$O53)-2),O53),Table3[#All],2,0),0)</f>
        <v>BIDV</v>
      </c>
      <c r="O53" s="923" t="str">
        <f t="shared" ref="O53:O60" si="1">B53</f>
        <v>BIDV - THANH XUAN</v>
      </c>
      <c r="P53" s="927"/>
      <c r="Q53" s="922" t="s">
        <v>1545</v>
      </c>
      <c r="R53" s="922"/>
      <c r="S53" s="924" t="str">
        <f>IF(ISBLANK(Table1218[[#This Row],[Maturity date]]),"","W"&amp;MIN(WEEKNUM($K53+1,2)-WEEKNUM(EOMONTH($K53+1,-1)),4)&amp;TEXT($K53+1,"mmmyy"))</f>
        <v>W3Feb26</v>
      </c>
      <c r="T53" s="925">
        <f>Table1218[[#This Row],[CLOSING BALANCE 
(VND)]]/1000000000</f>
        <v>1</v>
      </c>
      <c r="U5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53" s="1114">
        <f>_xlfn.NUMBERVALUE(LEFT(Table1218[[#This Row],[Term (months)]],1))</f>
        <v>3</v>
      </c>
      <c r="W53" s="1112">
        <v>3</v>
      </c>
      <c r="X53" s="1115">
        <f>Table1218[[#This Row],[Column3]]-Table1218[[#This Row],[Per bank statement]]</f>
        <v>0</v>
      </c>
      <c r="Y53" s="1117">
        <v>4.4999999999999998E-2</v>
      </c>
      <c r="Z53" s="1118">
        <f>Table1218[[#This Row],[Interest rate]]-Table1218[[#This Row],[Per bank statement2]]</f>
        <v>2.5000000000000022E-3</v>
      </c>
      <c r="AA53" s="1112" t="s">
        <v>1550</v>
      </c>
      <c r="AB53" s="1112"/>
      <c r="AC53" s="1112"/>
    </row>
    <row r="54" spans="1:29">
      <c r="A54" s="920" t="str">
        <f>IFERROR(VLOOKUP($C54,Table2[#All],3,0),0)</f>
        <v>SG LOGISTICS</v>
      </c>
      <c r="B54" s="921" t="str">
        <f>_xlfn.XLOOKUP(Table1218[[#This Row],[ACCOUNT NUMBER]],Table2[Account No.],Table2[BRANCH],"recheck",0)</f>
        <v>VIETINBANK - TIEN SON</v>
      </c>
      <c r="C54" s="1141" t="s">
        <v>820</v>
      </c>
      <c r="D54" s="922" t="str">
        <f>_xlfn.XLOOKUP(Table1218[[#This Row],[ACCOUNT NUMBER]],Table2[Account No.],Table2[ACCOUNT TYPE],"recheck",0)</f>
        <v>Saving Account</v>
      </c>
      <c r="E54" s="1129" t="str">
        <f>_xlfn.XLOOKUP(Table1218[[#This Row],[ACCOUNT NUMBER]],Table2[Account No.],Table2[CURRENCY],"recheck",0)</f>
        <v>VND</v>
      </c>
      <c r="F54" s="926">
        <f>SUMIFS(Table11[CLOSING BALANCE (VND)2],Table11[ACCOUNT NUMBER],Table1218[[#This Row],[ACCOUNT NUMBER]],Table11[CURRENCY],Table1218[[#This Row],[CURRENCY]])</f>
        <v>50000000</v>
      </c>
      <c r="G54" s="926">
        <f>SUMIFS(Table11[CLOSING BALANCE (USD)],Table11[ACCOUNT NUMBER],Table1218[[#This Row],[ACCOUNT NUMBER]],Table11[CURRENCY],Table1218[[#This Row],[CURRENCY]])</f>
        <v>0</v>
      </c>
      <c r="H54" s="1129" t="s">
        <v>224</v>
      </c>
      <c r="I54" s="1129"/>
      <c r="J54" s="1129"/>
      <c r="K54" s="1130">
        <v>46069</v>
      </c>
      <c r="L54" s="927">
        <v>4.4999999999999998E-2</v>
      </c>
      <c r="M54" s="922" t="str">
        <f>VLOOKUP($A54,Table1[[#All],[Entities]:[Name]],MATCH(M$3,Table1[[#Headers],[Entities]:[Name]],0),0)</f>
        <v>Subsidiaries</v>
      </c>
      <c r="N54" s="922" t="str">
        <f>IFERROR(VLOOKUP(IFERROR(MID($O54,1,FIND("-",$O54)-2),O54),Table3[#All],2,0),0)</f>
        <v>VTB</v>
      </c>
      <c r="O54" s="923" t="str">
        <f t="shared" si="1"/>
        <v>VIETINBANK - TIEN SON</v>
      </c>
      <c r="P54" s="927"/>
      <c r="Q54" s="922" t="s">
        <v>1545</v>
      </c>
      <c r="R54" s="922"/>
      <c r="S54" s="924" t="str">
        <f>IF(ISBLANK(Table1218[[#This Row],[Maturity date]]),"","W"&amp;MIN(WEEKNUM($K54+1,2)-WEEKNUM(EOMONTH($K54+1,-1)),4)&amp;TEXT($K54+1,"mmmyy"))</f>
        <v>W3Feb26</v>
      </c>
      <c r="T54" s="925">
        <f>Table1218[[#This Row],[CLOSING BALANCE 
(VND)]]/1000000000</f>
        <v>0.05</v>
      </c>
      <c r="U5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54" s="1114">
        <f>_xlfn.NUMBERVALUE(LEFT(Table1218[[#This Row],[Term (months)]],1))</f>
        <v>6</v>
      </c>
      <c r="W54" s="1112">
        <v>6</v>
      </c>
      <c r="X54" s="1115">
        <f>Table1218[[#This Row],[Column3]]-Table1218[[#This Row],[Per bank statement]]</f>
        <v>0</v>
      </c>
      <c r="Y54" s="1117">
        <v>4.4999999999999998E-2</v>
      </c>
      <c r="Z54" s="1118">
        <f>Table1218[[#This Row],[Interest rate]]-Table1218[[#This Row],[Per bank statement2]]</f>
        <v>0</v>
      </c>
      <c r="AA54" s="1112">
        <v>4.5</v>
      </c>
      <c r="AB54" s="1112"/>
      <c r="AC54" s="1112"/>
    </row>
    <row r="55" spans="1:29">
      <c r="A55" s="920" t="str">
        <f>IFERROR(VLOOKUP($C55,Table2[#All],3,0),0)</f>
        <v>SPV4A</v>
      </c>
      <c r="B55" s="921" t="str">
        <f>_xlfn.XLOOKUP(Table1218[[#This Row],[ACCOUNT NUMBER]],Table2[Account No.],Table2[BRANCH],"recheck",0)</f>
        <v>VIETINBANK - TIEN SON</v>
      </c>
      <c r="C55" s="1141" t="s">
        <v>825</v>
      </c>
      <c r="D55" s="922" t="str">
        <f>_xlfn.XLOOKUP(Table1218[[#This Row],[ACCOUNT NUMBER]],Table2[Account No.],Table2[ACCOUNT TYPE],"recheck",0)</f>
        <v>Saving Account</v>
      </c>
      <c r="E55" s="1129" t="str">
        <f>_xlfn.XLOOKUP(Table1218[[#This Row],[ACCOUNT NUMBER]],Table2[Account No.],Table2[CURRENCY],"recheck",0)</f>
        <v>VND</v>
      </c>
      <c r="F55" s="926">
        <f>SUMIFS(Table11[CLOSING BALANCE (VND)2],Table11[ACCOUNT NUMBER],Table1218[[#This Row],[ACCOUNT NUMBER]],Table11[CURRENCY],Table1218[[#This Row],[CURRENCY]])</f>
        <v>50000000</v>
      </c>
      <c r="G55" s="926">
        <f>SUMIFS(Table11[CLOSING BALANCE (USD)],Table11[ACCOUNT NUMBER],Table1218[[#This Row],[ACCOUNT NUMBER]],Table11[CURRENCY],Table1218[[#This Row],[CURRENCY]])</f>
        <v>0</v>
      </c>
      <c r="H55" s="1129" t="s">
        <v>224</v>
      </c>
      <c r="I55" s="1129"/>
      <c r="J55" s="1129"/>
      <c r="K55" s="1130">
        <v>46069</v>
      </c>
      <c r="L55" s="927">
        <v>4.4999999999999998E-2</v>
      </c>
      <c r="M55" s="922" t="str">
        <f>VLOOKUP($A55,Table1[[#All],[Entities]:[Name]],MATCH(M$3,Table1[[#Headers],[Entities]:[Name]],0),0)</f>
        <v>Subsidiaries</v>
      </c>
      <c r="N55" s="922" t="str">
        <f>IFERROR(VLOOKUP(IFERROR(MID($O55,1,FIND("-",$O55)-2),O55),Table3[#All],2,0),0)</f>
        <v>VTB</v>
      </c>
      <c r="O55" s="923" t="str">
        <f t="shared" si="1"/>
        <v>VIETINBANK - TIEN SON</v>
      </c>
      <c r="P55" s="927"/>
      <c r="Q55" s="922" t="s">
        <v>1545</v>
      </c>
      <c r="R55" s="922"/>
      <c r="S55" s="924" t="str">
        <f>IF(ISBLANK(Table1218[[#This Row],[Maturity date]]),"","W"&amp;MIN(WEEKNUM($K55+1,2)-WEEKNUM(EOMONTH($K55+1,-1)),4)&amp;TEXT($K55+1,"mmmyy"))</f>
        <v>W3Feb26</v>
      </c>
      <c r="T55" s="925">
        <f>Table1218[[#This Row],[CLOSING BALANCE 
(VND)]]/1000000000</f>
        <v>0.05</v>
      </c>
      <c r="U5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55" s="1114">
        <f>_xlfn.NUMBERVALUE(LEFT(Table1218[[#This Row],[Term (months)]],1))</f>
        <v>6</v>
      </c>
      <c r="W55" s="1112">
        <v>6</v>
      </c>
      <c r="X55" s="1115">
        <f>Table1218[[#This Row],[Column3]]-Table1218[[#This Row],[Per bank statement]]</f>
        <v>0</v>
      </c>
      <c r="Y55" s="1117">
        <v>4.4999999999999998E-2</v>
      </c>
      <c r="Z55" s="1118">
        <f>Table1218[[#This Row],[Interest rate]]-Table1218[[#This Row],[Per bank statement2]]</f>
        <v>0</v>
      </c>
      <c r="AA55" s="1112">
        <v>4.5</v>
      </c>
      <c r="AB55" s="1112"/>
      <c r="AC55" s="1112"/>
    </row>
    <row r="56" spans="1:29">
      <c r="A56" s="920" t="str">
        <f>IFERROR(VLOOKUP($C56,Table2[#All],3,0),0)</f>
        <v>SPV4B</v>
      </c>
      <c r="B56" s="921" t="str">
        <f>_xlfn.XLOOKUP(Table1218[[#This Row],[ACCOUNT NUMBER]],Table2[Account No.],Table2[BRANCH],"recheck",0)</f>
        <v>VIETINBANK - TIEN SON</v>
      </c>
      <c r="C56" s="1141" t="s">
        <v>822</v>
      </c>
      <c r="D56" s="922" t="str">
        <f>_xlfn.XLOOKUP(Table1218[[#This Row],[ACCOUNT NUMBER]],Table2[Account No.],Table2[ACCOUNT TYPE],"recheck",0)</f>
        <v>Saving Account</v>
      </c>
      <c r="E56" s="1129" t="str">
        <f>_xlfn.XLOOKUP(Table1218[[#This Row],[ACCOUNT NUMBER]],Table2[Account No.],Table2[CURRENCY],"recheck",0)</f>
        <v>VND</v>
      </c>
      <c r="F56" s="926">
        <f>SUMIFS(Table11[CLOSING BALANCE (VND)2],Table11[ACCOUNT NUMBER],Table1218[[#This Row],[ACCOUNT NUMBER]],Table11[CURRENCY],Table1218[[#This Row],[CURRENCY]])</f>
        <v>80000000</v>
      </c>
      <c r="G56" s="926">
        <f>SUMIFS(Table11[CLOSING BALANCE (USD)],Table11[ACCOUNT NUMBER],Table1218[[#This Row],[ACCOUNT NUMBER]],Table11[CURRENCY],Table1218[[#This Row],[CURRENCY]])</f>
        <v>0</v>
      </c>
      <c r="H56" s="1129" t="s">
        <v>224</v>
      </c>
      <c r="I56" s="1129"/>
      <c r="J56" s="1129"/>
      <c r="K56" s="1130">
        <v>46069</v>
      </c>
      <c r="L56" s="927">
        <v>4.4999999999999998E-2</v>
      </c>
      <c r="M56" s="922" t="str">
        <f>VLOOKUP($A56,Table1[[#All],[Entities]:[Name]],MATCH(M$3,Table1[[#Headers],[Entities]:[Name]],0),0)</f>
        <v>Subsidiaries</v>
      </c>
      <c r="N56" s="922" t="str">
        <f>IFERROR(VLOOKUP(IFERROR(MID($O56,1,FIND("-",$O56)-2),O56),Table3[#All],2,0),0)</f>
        <v>VTB</v>
      </c>
      <c r="O56" s="923" t="str">
        <f t="shared" si="1"/>
        <v>VIETINBANK - TIEN SON</v>
      </c>
      <c r="P56" s="927"/>
      <c r="Q56" s="922" t="s">
        <v>1545</v>
      </c>
      <c r="R56" s="922"/>
      <c r="S56" s="924" t="str">
        <f>IF(ISBLANK(Table1218[[#This Row],[Maturity date]]),"","W"&amp;MIN(WEEKNUM($K56+1,2)-WEEKNUM(EOMONTH($K56+1,-1)),4)&amp;TEXT($K56+1,"mmmyy"))</f>
        <v>W3Feb26</v>
      </c>
      <c r="T56" s="925">
        <f>Table1218[[#This Row],[CLOSING BALANCE 
(VND)]]/1000000000</f>
        <v>0.08</v>
      </c>
      <c r="U5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56" s="1114">
        <f>_xlfn.NUMBERVALUE(LEFT(Table1218[[#This Row],[Term (months)]],1))</f>
        <v>6</v>
      </c>
      <c r="W56" s="1112">
        <v>6</v>
      </c>
      <c r="X56" s="1115">
        <f>Table1218[[#This Row],[Column3]]-Table1218[[#This Row],[Per bank statement]]</f>
        <v>0</v>
      </c>
      <c r="Y56" s="1117">
        <v>4.4999999999999998E-2</v>
      </c>
      <c r="Z56" s="1118">
        <f>Table1218[[#This Row],[Interest rate]]-Table1218[[#This Row],[Per bank statement2]]</f>
        <v>0</v>
      </c>
      <c r="AA56" s="1112">
        <v>4.5</v>
      </c>
      <c r="AB56" s="1112"/>
      <c r="AC56" s="1112"/>
    </row>
    <row r="57" spans="1:29">
      <c r="A57" s="920" t="str">
        <f>IFERROR(VLOOKUP($C57,Table2[#All],3,0),0)</f>
        <v>SPV4C</v>
      </c>
      <c r="B57" s="921" t="str">
        <f>_xlfn.XLOOKUP(Table1218[[#This Row],[ACCOUNT NUMBER]],Table2[Account No.],Table2[BRANCH],"recheck",0)</f>
        <v>VIETINBANK - TIEN SON</v>
      </c>
      <c r="C57" s="1141" t="s">
        <v>823</v>
      </c>
      <c r="D57" s="922" t="str">
        <f>_xlfn.XLOOKUP(Table1218[[#This Row],[ACCOUNT NUMBER]],Table2[Account No.],Table2[ACCOUNT TYPE],"recheck",0)</f>
        <v>Saving Account</v>
      </c>
      <c r="E57" s="1129" t="str">
        <f>_xlfn.XLOOKUP(Table1218[[#This Row],[ACCOUNT NUMBER]],Table2[Account No.],Table2[CURRENCY],"recheck",0)</f>
        <v>VND</v>
      </c>
      <c r="F57" s="926">
        <f>SUMIFS(Table11[CLOSING BALANCE (VND)2],Table11[ACCOUNT NUMBER],Table1218[[#This Row],[ACCOUNT NUMBER]],Table11[CURRENCY],Table1218[[#This Row],[CURRENCY]])</f>
        <v>50000000</v>
      </c>
      <c r="G57" s="926">
        <f>SUMIFS(Table11[CLOSING BALANCE (USD)],Table11[ACCOUNT NUMBER],Table1218[[#This Row],[ACCOUNT NUMBER]],Table11[CURRENCY],Table1218[[#This Row],[CURRENCY]])</f>
        <v>0</v>
      </c>
      <c r="H57" s="1129" t="s">
        <v>224</v>
      </c>
      <c r="I57" s="1129"/>
      <c r="J57" s="1129"/>
      <c r="K57" s="1130">
        <v>46069</v>
      </c>
      <c r="L57" s="927">
        <v>4.4999999999999998E-2</v>
      </c>
      <c r="M57" s="922" t="str">
        <f>VLOOKUP($A57,Table1[[#All],[Entities]:[Name]],MATCH(M$3,Table1[[#Headers],[Entities]:[Name]],0),0)</f>
        <v>Subsidiaries</v>
      </c>
      <c r="N57" s="922" t="str">
        <f>IFERROR(VLOOKUP(IFERROR(MID($O57,1,FIND("-",$O57)-2),O57),Table3[#All],2,0),0)</f>
        <v>VTB</v>
      </c>
      <c r="O57" s="923" t="str">
        <f t="shared" si="1"/>
        <v>VIETINBANK - TIEN SON</v>
      </c>
      <c r="P57" s="927"/>
      <c r="Q57" s="922" t="s">
        <v>1545</v>
      </c>
      <c r="R57" s="922"/>
      <c r="S57" s="924" t="str">
        <f>IF(ISBLANK(Table1218[[#This Row],[Maturity date]]),"","W"&amp;MIN(WEEKNUM($K57+1,2)-WEEKNUM(EOMONTH($K57+1,-1)),4)&amp;TEXT($K57+1,"mmmyy"))</f>
        <v>W3Feb26</v>
      </c>
      <c r="T57" s="925">
        <f>Table1218[[#This Row],[CLOSING BALANCE 
(VND)]]/1000000000</f>
        <v>0.05</v>
      </c>
      <c r="U5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57" s="1114">
        <f>_xlfn.NUMBERVALUE(LEFT(Table1218[[#This Row],[Term (months)]],1))</f>
        <v>6</v>
      </c>
      <c r="W57" s="1112">
        <v>6</v>
      </c>
      <c r="X57" s="1115">
        <f>Table1218[[#This Row],[Column3]]-Table1218[[#This Row],[Per bank statement]]</f>
        <v>0</v>
      </c>
      <c r="Y57" s="1117">
        <v>4.4999999999999998E-2</v>
      </c>
      <c r="Z57" s="1118">
        <f>Table1218[[#This Row],[Interest rate]]-Table1218[[#This Row],[Per bank statement2]]</f>
        <v>0</v>
      </c>
      <c r="AA57" s="1112">
        <v>4.5</v>
      </c>
      <c r="AB57" s="1112"/>
      <c r="AC57" s="1112"/>
    </row>
    <row r="58" spans="1:29">
      <c r="A58" s="920" t="str">
        <f>IFERROR(VLOOKUP($C58,Table2[#All],3,0),0)</f>
        <v>SPV5A</v>
      </c>
      <c r="B58" s="921" t="str">
        <f>_xlfn.XLOOKUP(Table1218[[#This Row],[ACCOUNT NUMBER]],Table2[Account No.],Table2[BRANCH],"recheck",0)</f>
        <v>VIETINBANK - TIEN SON</v>
      </c>
      <c r="C58" s="1141" t="s">
        <v>826</v>
      </c>
      <c r="D58" s="922" t="str">
        <f>_xlfn.XLOOKUP(Table1218[[#This Row],[ACCOUNT NUMBER]],Table2[Account No.],Table2[ACCOUNT TYPE],"recheck",0)</f>
        <v>Saving Account</v>
      </c>
      <c r="E58" s="1129" t="str">
        <f>_xlfn.XLOOKUP(Table1218[[#This Row],[ACCOUNT NUMBER]],Table2[Account No.],Table2[CURRENCY],"recheck",0)</f>
        <v>VND</v>
      </c>
      <c r="F58" s="926">
        <f>SUMIFS(Table11[CLOSING BALANCE (VND)2],Table11[ACCOUNT NUMBER],Table1218[[#This Row],[ACCOUNT NUMBER]],Table11[CURRENCY],Table1218[[#This Row],[CURRENCY]])</f>
        <v>80000000</v>
      </c>
      <c r="G58" s="926">
        <f>SUMIFS(Table11[CLOSING BALANCE (USD)],Table11[ACCOUNT NUMBER],Table1218[[#This Row],[ACCOUNT NUMBER]],Table11[CURRENCY],Table1218[[#This Row],[CURRENCY]])</f>
        <v>0</v>
      </c>
      <c r="H58" s="1129" t="s">
        <v>224</v>
      </c>
      <c r="I58" s="1129"/>
      <c r="J58" s="1129"/>
      <c r="K58" s="1130">
        <v>46069</v>
      </c>
      <c r="L58" s="927">
        <v>4.4999999999999998E-2</v>
      </c>
      <c r="M58" s="922" t="str">
        <f>VLOOKUP($A58,Table1[[#All],[Entities]:[Name]],MATCH(M$3,Table1[[#Headers],[Entities]:[Name]],0),0)</f>
        <v>Subsidiaries</v>
      </c>
      <c r="N58" s="922" t="str">
        <f>IFERROR(VLOOKUP(IFERROR(MID($O58,1,FIND("-",$O58)-2),O58),Table3[#All],2,0),0)</f>
        <v>VTB</v>
      </c>
      <c r="O58" s="923" t="str">
        <f t="shared" si="1"/>
        <v>VIETINBANK - TIEN SON</v>
      </c>
      <c r="P58" s="927"/>
      <c r="Q58" s="922" t="s">
        <v>1545</v>
      </c>
      <c r="R58" s="922"/>
      <c r="S58" s="924" t="str">
        <f>IF(ISBLANK(Table1218[[#This Row],[Maturity date]]),"","W"&amp;MIN(WEEKNUM($K58+1,2)-WEEKNUM(EOMONTH($K58+1,-1)),4)&amp;TEXT($K58+1,"mmmyy"))</f>
        <v>W3Feb26</v>
      </c>
      <c r="T58" s="925">
        <f>Table1218[[#This Row],[CLOSING BALANCE 
(VND)]]/1000000000</f>
        <v>0.08</v>
      </c>
      <c r="U5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58" s="1114">
        <f>_xlfn.NUMBERVALUE(LEFT(Table1218[[#This Row],[Term (months)]],1))</f>
        <v>6</v>
      </c>
      <c r="W58" s="1112">
        <v>6</v>
      </c>
      <c r="X58" s="1115">
        <f>Table1218[[#This Row],[Column3]]-Table1218[[#This Row],[Per bank statement]]</f>
        <v>0</v>
      </c>
      <c r="Y58" s="1117">
        <v>4.4999999999999998E-2</v>
      </c>
      <c r="Z58" s="1118">
        <f>Table1218[[#This Row],[Interest rate]]-Table1218[[#This Row],[Per bank statement2]]</f>
        <v>0</v>
      </c>
      <c r="AA58" s="1112">
        <v>4.5</v>
      </c>
      <c r="AB58" s="1112"/>
      <c r="AC58" s="1112"/>
    </row>
    <row r="59" spans="1:29">
      <c r="A59" s="920" t="str">
        <f>IFERROR(VLOOKUP($C59,Table2[#All],3,0),0)</f>
        <v>SPV5A</v>
      </c>
      <c r="B59" s="921" t="str">
        <f>_xlfn.XLOOKUP(Table1218[[#This Row],[ACCOUNT NUMBER]],Table2[Account No.],Table2[BRANCH],"recheck",0)</f>
        <v>VIETINBANK - TIEN SON</v>
      </c>
      <c r="C59" s="1141" t="s">
        <v>827</v>
      </c>
      <c r="D59" s="922" t="str">
        <f>_xlfn.XLOOKUP(Table1218[[#This Row],[ACCOUNT NUMBER]],Table2[Account No.],Table2[ACCOUNT TYPE],"recheck",0)</f>
        <v>Saving Account</v>
      </c>
      <c r="E59" s="1129" t="str">
        <f>_xlfn.XLOOKUP(Table1218[[#This Row],[ACCOUNT NUMBER]],Table2[Account No.],Table2[CURRENCY],"recheck",0)</f>
        <v>VND</v>
      </c>
      <c r="F59" s="926">
        <f>SUMIFS(Table11[CLOSING BALANCE (VND)2],Table11[ACCOUNT NUMBER],Table1218[[#This Row],[ACCOUNT NUMBER]],Table11[CURRENCY],Table1218[[#This Row],[CURRENCY]])</f>
        <v>720000000</v>
      </c>
      <c r="G59" s="926">
        <f>SUMIFS(Table11[CLOSING BALANCE (USD)],Table11[ACCOUNT NUMBER],Table1218[[#This Row],[ACCOUNT NUMBER]],Table11[CURRENCY],Table1218[[#This Row],[CURRENCY]])</f>
        <v>0</v>
      </c>
      <c r="H59" s="1129" t="s">
        <v>224</v>
      </c>
      <c r="I59" s="1129"/>
      <c r="J59" s="1129"/>
      <c r="K59" s="1130">
        <v>46069</v>
      </c>
      <c r="L59" s="927">
        <v>4.4999999999999998E-2</v>
      </c>
      <c r="M59" s="922" t="str">
        <f>VLOOKUP($A59,Table1[[#All],[Entities]:[Name]],MATCH(M$3,Table1[[#Headers],[Entities]:[Name]],0),0)</f>
        <v>Subsidiaries</v>
      </c>
      <c r="N59" s="922" t="str">
        <f>IFERROR(VLOOKUP(IFERROR(MID($O59,1,FIND("-",$O59)-2),O59),Table3[#All],2,0),0)</f>
        <v>VTB</v>
      </c>
      <c r="O59" s="923" t="str">
        <f t="shared" si="1"/>
        <v>VIETINBANK - TIEN SON</v>
      </c>
      <c r="P59" s="927"/>
      <c r="Q59" s="922" t="s">
        <v>1545</v>
      </c>
      <c r="R59" s="922"/>
      <c r="S59" s="924" t="str">
        <f>IF(ISBLANK(Table1218[[#This Row],[Maturity date]]),"","W"&amp;MIN(WEEKNUM($K59+1,2)-WEEKNUM(EOMONTH($K59+1,-1)),4)&amp;TEXT($K59+1,"mmmyy"))</f>
        <v>W3Feb26</v>
      </c>
      <c r="T59" s="925">
        <f>Table1218[[#This Row],[CLOSING BALANCE 
(VND)]]/1000000000</f>
        <v>0.72</v>
      </c>
      <c r="U5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59" s="1114">
        <f>_xlfn.NUMBERVALUE(LEFT(Table1218[[#This Row],[Term (months)]],1))</f>
        <v>6</v>
      </c>
      <c r="W59" s="1112">
        <v>6</v>
      </c>
      <c r="X59" s="1115">
        <f>Table1218[[#This Row],[Column3]]-Table1218[[#This Row],[Per bank statement]]</f>
        <v>0</v>
      </c>
      <c r="Y59" s="1117">
        <v>4.4999999999999998E-2</v>
      </c>
      <c r="Z59" s="1118">
        <f>Table1218[[#This Row],[Interest rate]]-Table1218[[#This Row],[Per bank statement2]]</f>
        <v>0</v>
      </c>
      <c r="AA59" s="1112">
        <v>4.5</v>
      </c>
      <c r="AB59" s="1112"/>
      <c r="AC59" s="1112"/>
    </row>
    <row r="60" spans="1:29">
      <c r="A60" s="920" t="str">
        <f>IFERROR(VLOOKUP($C60,Table2[#All],3,0),0)</f>
        <v>SPV5C</v>
      </c>
      <c r="B60" s="921" t="str">
        <f>_xlfn.XLOOKUP(Table1218[[#This Row],[ACCOUNT NUMBER]],Table2[Account No.],Table2[BRANCH],"recheck",0)</f>
        <v>VIETINBANK - TIEN SON</v>
      </c>
      <c r="C60" s="1141" t="s">
        <v>824</v>
      </c>
      <c r="D60" s="922" t="str">
        <f>_xlfn.XLOOKUP(Table1218[[#This Row],[ACCOUNT NUMBER]],Table2[Account No.],Table2[ACCOUNT TYPE],"recheck",0)</f>
        <v>Saving Account</v>
      </c>
      <c r="E60" s="1129" t="str">
        <f>_xlfn.XLOOKUP(Table1218[[#This Row],[ACCOUNT NUMBER]],Table2[Account No.],Table2[CURRENCY],"recheck",0)</f>
        <v>VND</v>
      </c>
      <c r="F60" s="926">
        <f>SUMIFS(Table11[CLOSING BALANCE (VND)2],Table11[ACCOUNT NUMBER],Table1218[[#This Row],[ACCOUNT NUMBER]],Table11[CURRENCY],Table1218[[#This Row],[CURRENCY]])</f>
        <v>800000000</v>
      </c>
      <c r="G60" s="926">
        <f>SUMIFS(Table11[CLOSING BALANCE (USD)],Table11[ACCOUNT NUMBER],Table1218[[#This Row],[ACCOUNT NUMBER]],Table11[CURRENCY],Table1218[[#This Row],[CURRENCY]])</f>
        <v>0</v>
      </c>
      <c r="H60" s="1129" t="s">
        <v>224</v>
      </c>
      <c r="I60" s="1129"/>
      <c r="J60" s="1129"/>
      <c r="K60" s="1130">
        <v>46069</v>
      </c>
      <c r="L60" s="927">
        <v>4.4999999999999998E-2</v>
      </c>
      <c r="M60" s="922" t="str">
        <f>VLOOKUP($A60,Table1[[#All],[Entities]:[Name]],MATCH(M$3,Table1[[#Headers],[Entities]:[Name]],0),0)</f>
        <v>Subsidiaries</v>
      </c>
      <c r="N60" s="922" t="str">
        <f>IFERROR(VLOOKUP(IFERROR(MID($O60,1,FIND("-",$O60)-2),O60),Table3[#All],2,0),0)</f>
        <v>VTB</v>
      </c>
      <c r="O60" s="923" t="str">
        <f t="shared" si="1"/>
        <v>VIETINBANK - TIEN SON</v>
      </c>
      <c r="P60" s="927"/>
      <c r="Q60" s="922" t="s">
        <v>1545</v>
      </c>
      <c r="R60" s="922"/>
      <c r="S60" s="924" t="str">
        <f>IF(ISBLANK(Table1218[[#This Row],[Maturity date]]),"","W"&amp;MIN(WEEKNUM($K60+1,2)-WEEKNUM(EOMONTH($K60+1,-1)),4)&amp;TEXT($K60+1,"mmmyy"))</f>
        <v>W3Feb26</v>
      </c>
      <c r="T60" s="925">
        <f>Table1218[[#This Row],[CLOSING BALANCE 
(VND)]]/1000000000</f>
        <v>0.8</v>
      </c>
      <c r="U6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60" s="1114">
        <f>_xlfn.NUMBERVALUE(LEFT(Table1218[[#This Row],[Term (months)]],1))</f>
        <v>6</v>
      </c>
      <c r="W60" s="1112">
        <v>6</v>
      </c>
      <c r="X60" s="1115">
        <f>Table1218[[#This Row],[Column3]]-Table1218[[#This Row],[Per bank statement]]</f>
        <v>0</v>
      </c>
      <c r="Y60" s="1117">
        <v>4.4999999999999998E-2</v>
      </c>
      <c r="Z60" s="1118">
        <f>Table1218[[#This Row],[Interest rate]]-Table1218[[#This Row],[Per bank statement2]]</f>
        <v>0</v>
      </c>
      <c r="AA60" s="1112">
        <v>4.5</v>
      </c>
      <c r="AB60" s="1112"/>
      <c r="AC60" s="1112"/>
    </row>
    <row r="61" spans="1:29">
      <c r="A61" s="920" t="str">
        <f>IFERROR(VLOOKUP($C61,Table2[#All],3,0),0)</f>
        <v>VINA PARTNERS INVESTMENT</v>
      </c>
      <c r="B61" s="921" t="str">
        <f>_xlfn.XLOOKUP(Table1218[[#This Row],[ACCOUNT NUMBER]],Table2[Account No.],Table2[BRANCH],"recheck",0)</f>
        <v>VIETINBANK - CN1</v>
      </c>
      <c r="C61" s="921" t="s">
        <v>670</v>
      </c>
      <c r="D61" s="922" t="str">
        <f>_xlfn.XLOOKUP(Table1218[[#This Row],[ACCOUNT NUMBER]],Table2[Account No.],Table2[ACCOUNT TYPE],"recheck",0)</f>
        <v>Saving Account</v>
      </c>
      <c r="E61" s="1129" t="str">
        <f>_xlfn.XLOOKUP(Table1218[[#This Row],[ACCOUNT NUMBER]],Table2[Account No.],Table2[CURRENCY],"recheck",0)</f>
        <v>VND</v>
      </c>
      <c r="F61" s="926">
        <f>SUMIFS(Table11[CLOSING BALANCE (VND)2],Table11[ACCOUNT NUMBER],Table1218[[#This Row],[ACCOUNT NUMBER]],Table11[CURRENCY],Table1218[[#This Row],[CURRENCY]])</f>
        <v>2900000000</v>
      </c>
      <c r="G61" s="926">
        <f>SUMIFS(Table11[CLOSING BALANCE (USD)],Table11[ACCOUNT NUMBER],Table1218[[#This Row],[ACCOUNT NUMBER]],Table11[CURRENCY],Table1218[[#This Row],[CURRENCY]])</f>
        <v>0</v>
      </c>
      <c r="H61" s="1129" t="s">
        <v>228</v>
      </c>
      <c r="I61" s="1129"/>
      <c r="J61" s="1129"/>
      <c r="K61" s="1130">
        <v>46312</v>
      </c>
      <c r="L61" s="927">
        <v>4.7E-2</v>
      </c>
      <c r="M61" s="922" t="str">
        <f>IFERROR(VLOOKUP($A61,Table1[[#All],[Entities]:[Name]],MATCH(M$3,Table1[[#Headers],[Entities]:[Name]],0),0),0)</f>
        <v>Subsidiaries</v>
      </c>
      <c r="N61" s="922" t="str">
        <f>IFERROR(VLOOKUP(IFERROR(MID($O61,1,FIND("-",$O61)-2),O61),Table3[#All],2,0),0)</f>
        <v>VTB</v>
      </c>
      <c r="O61" s="923" t="str">
        <f>IF(ISBLANK(Table1218[[#This Row],[BRANCH]]),"",IF(VLOOKUP(Table1218[[#This Row],[BRANCH]],Table4[#All],2,0)="OTHERS", "Others",Table1218[[#This Row],[BRANCH]]))</f>
        <v>VIETINBANK - CN1</v>
      </c>
      <c r="P61" s="927"/>
      <c r="Q61" s="922"/>
      <c r="R61" s="922"/>
      <c r="S61" s="924" t="str">
        <f>IF(ISBLANK(Table1218[[#This Row],[Maturity date]]),"","W"&amp;MIN(WEEKNUM($K61+1,2)-WEEKNUM(EOMONTH($K61+1,-1)),4)&amp;TEXT($K61+1,"mmmyy"))</f>
        <v>W2Oct26</v>
      </c>
      <c r="T61" s="1214">
        <f>Table1218[[#This Row],[CLOSING BALANCE 
(VND)]]/1000000000</f>
        <v>2.9</v>
      </c>
      <c r="U61"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9 months</v>
      </c>
      <c r="V61" s="1113">
        <v>12</v>
      </c>
      <c r="W61" s="1112">
        <v>12</v>
      </c>
      <c r="X61" s="1115">
        <f>Table1218[[#This Row],[Column3]]-Table1218[[#This Row],[Per bank statement]]</f>
        <v>0</v>
      </c>
      <c r="Y61" s="1117">
        <v>4.2000000000000003E-2</v>
      </c>
      <c r="Z61" s="1118">
        <f>Table1218[[#This Row],[Interest rate]]-Table1218[[#This Row],[Per bank statement2]]</f>
        <v>4.9999999999999975E-3</v>
      </c>
      <c r="AA61" s="1112">
        <v>4.2</v>
      </c>
      <c r="AB61" s="1112"/>
      <c r="AC61" s="1112"/>
    </row>
    <row r="62" spans="1:29">
      <c r="A62" s="920" t="str">
        <f>IFERROR(VLOOKUP($C62,Table2[#All],3,0),0)</f>
        <v>WPJV 1</v>
      </c>
      <c r="B62" s="921" t="str">
        <f>_xlfn.XLOOKUP(Table1218[[#This Row],[ACCOUNT NUMBER]],Table2[Account No.],Table2[BRANCH],"recheck",0)</f>
        <v>VIETINBANK - TIEN SON</v>
      </c>
      <c r="C62" s="921" t="s">
        <v>741</v>
      </c>
      <c r="D62" s="922" t="str">
        <f>_xlfn.XLOOKUP(Table1218[[#This Row],[ACCOUNT NUMBER]],Table2[Account No.],Table2[ACCOUNT TYPE],"recheck",0)</f>
        <v>Saving Account</v>
      </c>
      <c r="E62" s="1129" t="str">
        <f>_xlfn.XLOOKUP(Table1218[[#This Row],[ACCOUNT NUMBER]],Table2[Account No.],Table2[CURRENCY],"recheck",0)</f>
        <v>VND</v>
      </c>
      <c r="F62" s="926">
        <f>SUMIFS(Table11[CLOSING BALANCE (VND)2],Table11[ACCOUNT NUMBER],Table1218[[#This Row],[ACCOUNT NUMBER]],Table11[CURRENCY],Table1218[[#This Row],[CURRENCY]])</f>
        <v>5112305361</v>
      </c>
      <c r="G62" s="926">
        <f>SUMIFS(Table11[CLOSING BALANCE (USD)],Table11[ACCOUNT NUMBER],Table1218[[#This Row],[ACCOUNT NUMBER]],Table11[CURRENCY],Table1218[[#This Row],[CURRENCY]])</f>
        <v>0</v>
      </c>
      <c r="H62" s="1129" t="s">
        <v>219</v>
      </c>
      <c r="I62" s="1129">
        <v>0</v>
      </c>
      <c r="J62" s="1130">
        <v>44866</v>
      </c>
      <c r="K62" s="1130">
        <v>46054</v>
      </c>
      <c r="L62" s="927">
        <v>2.1000000000000001E-2</v>
      </c>
      <c r="M62" s="922" t="str">
        <f>IFERROR(VLOOKUP($A62,Table1[[#All],[Entities]:[Name]],MATCH(M$3,Table1[[#Headers],[Entities]:[Name]],0),0),0)</f>
        <v>Subsidiaries</v>
      </c>
      <c r="N62" s="922" t="str">
        <f>IFERROR(VLOOKUP(IFERROR(MID($O62,1,FIND("-",$O62)-2),O62),Table3[#All],2,0),0)</f>
        <v>VTB</v>
      </c>
      <c r="O62" s="923" t="str">
        <f>IF(ISBLANK(Table1218[[#This Row],[BRANCH]]),"",IF(VLOOKUP(Table1218[[#This Row],[BRANCH]],Table4[#All],2,0)="OTHERS", "Others",Table1218[[#This Row],[BRANCH]]))</f>
        <v>VIETINBANK - TIEN SON</v>
      </c>
      <c r="P62" s="927"/>
      <c r="Q62" s="922"/>
      <c r="R62" s="922"/>
      <c r="S62" s="924" t="str">
        <f>IF(ISBLANK(Table1218[[#This Row],[Maturity date]]),"","W"&amp;MIN(WEEKNUM($K62+1,2)-WEEKNUM(EOMONTH($K62+1,-1)),4)&amp;TEXT($K62+1,"mmmyy"))</f>
        <v>W1Feb26</v>
      </c>
      <c r="T62" s="1214">
        <f>Table1218[[#This Row],[CLOSING BALANCE 
(VND)]]/1000000000</f>
        <v>5.1123053609999998</v>
      </c>
      <c r="U62"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62" s="1114">
        <f>_xlfn.NUMBERVALUE(LEFT(Table1218[[#This Row],[Term (months)]],1))</f>
        <v>1</v>
      </c>
      <c r="W62" s="1112">
        <v>1</v>
      </c>
      <c r="X62" s="1115">
        <f>Table1218[[#This Row],[Column3]]-Table1218[[#This Row],[Per bank statement]]</f>
        <v>0</v>
      </c>
      <c r="Y62" s="1117">
        <v>4.4999999999999998E-2</v>
      </c>
      <c r="Z62" s="1118">
        <f>Table1218[[#This Row],[Interest rate]]-Table1218[[#This Row],[Per bank statement2]]</f>
        <v>-2.3999999999999997E-2</v>
      </c>
      <c r="AA62" s="1112">
        <v>4.5</v>
      </c>
      <c r="AB62" s="1112"/>
      <c r="AC62" s="1112"/>
    </row>
    <row r="63" spans="1:29">
      <c r="A63" s="920" t="str">
        <f>IFERROR(VLOOKUP($C63,Table2[#All],3,0),0)</f>
        <v>BWID DONG AN LID</v>
      </c>
      <c r="B63" s="921" t="str">
        <f>_xlfn.XLOOKUP(Table1218[[#This Row],[ACCOUNT NUMBER]],Table2[Account No.],Table2[BRANCH],"recheck",0)</f>
        <v>VIETINBANK - DONG SAI GON</v>
      </c>
      <c r="C63" s="1141" t="s">
        <v>1062</v>
      </c>
      <c r="D63" s="922" t="str">
        <f>_xlfn.XLOOKUP(Table1218[[#This Row],[ACCOUNT NUMBER]],Table2[Account No.],Table2[ACCOUNT TYPE],"recheck",0)</f>
        <v>Saving Account</v>
      </c>
      <c r="E63" s="1129" t="str">
        <f>_xlfn.XLOOKUP(Table1218[[#This Row],[ACCOUNT NUMBER]],Table2[Account No.],Table2[CURRENCY],"recheck",0)</f>
        <v>VND</v>
      </c>
      <c r="F63" s="926">
        <f>SUMIFS(Table11[CLOSING BALANCE (VND)2],Table11[ACCOUNT NUMBER],Table1218[[#This Row],[ACCOUNT NUMBER]],Table11[CURRENCY],Table1218[[#This Row],[CURRENCY]])</f>
        <v>5000000000</v>
      </c>
      <c r="G63" s="926">
        <f>SUMIFS(Table11[CLOSING BALANCE (USD)],Table11[ACCOUNT NUMBER],Table1218[[#This Row],[ACCOUNT NUMBER]],Table11[CURRENCY],Table1218[[#This Row],[CURRENCY]])</f>
        <v>0</v>
      </c>
      <c r="H63" s="1129" t="s">
        <v>219</v>
      </c>
      <c r="I63" s="1129">
        <v>0</v>
      </c>
      <c r="J63" s="1130">
        <v>45499</v>
      </c>
      <c r="K63" s="1130">
        <v>46048</v>
      </c>
      <c r="L63" s="927">
        <v>4.7500000000000001E-2</v>
      </c>
      <c r="M63" s="922" t="str">
        <f>VLOOKUP($A63,Table1[[#All],[Entities]:[Name]],MATCH(M$3,Table1[[#Headers],[Entities]:[Name]],0),0)</f>
        <v>Subsidiaries</v>
      </c>
      <c r="N63" s="922" t="str">
        <f>IFERROR(VLOOKUP(IFERROR(MID($O63,1,FIND("-",$O63)-2),O63),Table3[#All],2,0),0)</f>
        <v>VTB</v>
      </c>
      <c r="O63" s="923" t="str">
        <f t="shared" ref="O63:O86" si="2">B63</f>
        <v>VIETINBANK - DONG SAI GON</v>
      </c>
      <c r="P63" s="927"/>
      <c r="Q63" s="922"/>
      <c r="R63" s="922"/>
      <c r="S63" s="924" t="str">
        <f>IF(ISBLANK(Table1218[[#This Row],[Maturity date]]),"","W"&amp;MIN(WEEKNUM($K63+1,2)-WEEKNUM(EOMONTH($K63+1,-1)),4)&amp;TEXT($K63+1,"mmmyy"))</f>
        <v>W-48Jan26</v>
      </c>
      <c r="T63" s="925">
        <f>Table1218[[#This Row],[CLOSING BALANCE 
(VND)]]/1000000000</f>
        <v>5</v>
      </c>
      <c r="U6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63" s="1114">
        <f>_xlfn.NUMBERVALUE(LEFT(Table1218[[#This Row],[Term (months)]],1))</f>
        <v>1</v>
      </c>
      <c r="W63" s="1112">
        <v>1</v>
      </c>
      <c r="X63" s="1115">
        <f>Table1218[[#This Row],[Column3]]-Table1218[[#This Row],[Per bank statement]]</f>
        <v>0</v>
      </c>
      <c r="Y63" s="1117">
        <v>4.2999999999999997E-2</v>
      </c>
      <c r="Z63" s="1118">
        <f>Table1218[[#This Row],[Interest rate]]-Table1218[[#This Row],[Per bank statement2]]</f>
        <v>4.500000000000004E-3</v>
      </c>
      <c r="AA63" s="1112">
        <v>4.5</v>
      </c>
      <c r="AB63" s="1112"/>
      <c r="AC63" s="1112"/>
    </row>
    <row r="64" spans="1:29">
      <c r="A64" s="920" t="str">
        <f>IFERROR(VLOOKUP($C64,Table2[#All],3,0),0)</f>
        <v>BAC TIEN PHONG</v>
      </c>
      <c r="B64" s="921" t="str">
        <f>_xlfn.XLOOKUP(Table1218[[#This Row],[ACCOUNT NUMBER]],Table2[Account No.],Table2[BRANCH],"recheck",0)</f>
        <v>BIDV - THANH XUAN</v>
      </c>
      <c r="C64" s="1141" t="s">
        <v>1066</v>
      </c>
      <c r="D64" s="922" t="str">
        <f>_xlfn.XLOOKUP(Table1218[[#This Row],[ACCOUNT NUMBER]],Table2[Account No.],Table2[ACCOUNT TYPE],"recheck",0)</f>
        <v>Saving Account</v>
      </c>
      <c r="E64" s="1129" t="str">
        <f>_xlfn.XLOOKUP(Table1218[[#This Row],[ACCOUNT NUMBER]],Table2[Account No.],Table2[CURRENCY],"recheck",0)</f>
        <v>VND</v>
      </c>
      <c r="F64" s="926">
        <f>SUMIFS(Table11[CLOSING BALANCE (VND)2],Table11[ACCOUNT NUMBER],Table1218[[#This Row],[ACCOUNT NUMBER]],Table11[CURRENCY],Table1218[[#This Row],[CURRENCY]])</f>
        <v>13000000000</v>
      </c>
      <c r="G64" s="926">
        <f>SUMIFS(Table11[CLOSING BALANCE (USD)],Table11[ACCOUNT NUMBER],Table1218[[#This Row],[ACCOUNT NUMBER]],Table11[CURRENCY],Table1218[[#This Row],[CURRENCY]])</f>
        <v>0</v>
      </c>
      <c r="H64" s="1129" t="s">
        <v>219</v>
      </c>
      <c r="I64" s="1129">
        <v>0</v>
      </c>
      <c r="J64" s="1130"/>
      <c r="K64" s="1130">
        <v>46062</v>
      </c>
      <c r="L64" s="927">
        <v>4.7500000000000001E-2</v>
      </c>
      <c r="M64" s="922" t="str">
        <f>VLOOKUP($A64,Table1[[#All],[Entities]:[Name]],MATCH(M$3,Table1[[#Headers],[Entities]:[Name]],0),0)</f>
        <v>Subsidiaries</v>
      </c>
      <c r="N64" s="922" t="str">
        <f>IFERROR(VLOOKUP(IFERROR(MID($O64,1,FIND("-",$O64)-2),O64),Table3[#All],2,0),0)</f>
        <v>BIDV</v>
      </c>
      <c r="O64" s="923" t="str">
        <f t="shared" si="2"/>
        <v>BIDV - THANH XUAN</v>
      </c>
      <c r="P64" s="927"/>
      <c r="Q64" s="922"/>
      <c r="R64" s="922"/>
      <c r="S64" s="924" t="str">
        <f>IF(ISBLANK(Table1218[[#This Row],[Maturity date]]),"","W"&amp;MIN(WEEKNUM($K64+1,2)-WEEKNUM(EOMONTH($K64+1,-1)),4)&amp;TEXT($K64+1,"mmmyy"))</f>
        <v>W2Feb26</v>
      </c>
      <c r="T64" s="925">
        <f>Table1218[[#This Row],[CLOSING BALANCE 
(VND)]]/1000000000</f>
        <v>13</v>
      </c>
      <c r="U6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64" s="1114">
        <f>_xlfn.NUMBERVALUE(LEFT(Table1218[[#This Row],[Term (months)]],1))</f>
        <v>1</v>
      </c>
      <c r="W64" s="1112">
        <v>1</v>
      </c>
      <c r="X64" s="1115">
        <f>Table1218[[#This Row],[Column3]]-Table1218[[#This Row],[Per bank statement]]</f>
        <v>0</v>
      </c>
      <c r="Y64" s="1117">
        <v>4.4999999999999998E-2</v>
      </c>
      <c r="Z64" s="1118">
        <f>Table1218[[#This Row],[Interest rate]]-Table1218[[#This Row],[Per bank statement2]]</f>
        <v>2.5000000000000022E-3</v>
      </c>
      <c r="AA64" s="1112" t="s">
        <v>1550</v>
      </c>
      <c r="AB64" s="1112"/>
      <c r="AC64" s="1112"/>
    </row>
    <row r="65" spans="1:29">
      <c r="A65" s="920" t="str">
        <f>IFERROR(VLOOKUP($C65,Table2[#All],3,0),0)</f>
        <v>BAC TIEN PHONG</v>
      </c>
      <c r="B65" s="921" t="str">
        <f>_xlfn.XLOOKUP(Table1218[[#This Row],[ACCOUNT NUMBER]],Table2[Account No.],Table2[BRANCH],"recheck",0)</f>
        <v>BIDV - THANH XUAN</v>
      </c>
      <c r="C65" s="1141" t="s">
        <v>1067</v>
      </c>
      <c r="D65" s="922" t="str">
        <f>_xlfn.XLOOKUP(Table1218[[#This Row],[ACCOUNT NUMBER]],Table2[Account No.],Table2[ACCOUNT TYPE],"recheck",0)</f>
        <v>Saving Account</v>
      </c>
      <c r="E65" s="1129" t="str">
        <f>_xlfn.XLOOKUP(Table1218[[#This Row],[ACCOUNT NUMBER]],Table2[Account No.],Table2[CURRENCY],"recheck",0)</f>
        <v>VND</v>
      </c>
      <c r="F65" s="926">
        <f>SUMIFS(Table11[CLOSING BALANCE (VND)2],Table11[ACCOUNT NUMBER],Table1218[[#This Row],[ACCOUNT NUMBER]],Table11[CURRENCY],Table1218[[#This Row],[CURRENCY]])</f>
        <v>8000000000</v>
      </c>
      <c r="G65" s="926">
        <f>SUMIFS(Table11[CLOSING BALANCE (USD)],Table11[ACCOUNT NUMBER],Table1218[[#This Row],[ACCOUNT NUMBER]],Table11[CURRENCY],Table1218[[#This Row],[CURRENCY]])</f>
        <v>0</v>
      </c>
      <c r="H65" s="1129" t="s">
        <v>219</v>
      </c>
      <c r="I65" s="1129">
        <v>0</v>
      </c>
      <c r="J65" s="1130"/>
      <c r="K65" s="1130">
        <v>46067</v>
      </c>
      <c r="L65" s="1149">
        <v>2.1000000000000001E-2</v>
      </c>
      <c r="M65" s="922" t="str">
        <f>VLOOKUP($A65,Table1[[#All],[Entities]:[Name]],MATCH(M$3,Table1[[#Headers],[Entities]:[Name]],0),0)</f>
        <v>Subsidiaries</v>
      </c>
      <c r="N65" s="922" t="str">
        <f>IFERROR(VLOOKUP(IFERROR(MID($O65,1,FIND("-",$O65)-2),O65),Table3[#All],2,0),0)</f>
        <v>BIDV</v>
      </c>
      <c r="O65" s="923" t="str">
        <f t="shared" si="2"/>
        <v>BIDV - THANH XUAN</v>
      </c>
      <c r="P65" s="927"/>
      <c r="Q65" s="922"/>
      <c r="R65" s="922"/>
      <c r="S65" s="924" t="str">
        <f>IF(ISBLANK(Table1218[[#This Row],[Maturity date]]),"","W"&amp;MIN(WEEKNUM($K65+1,2)-WEEKNUM(EOMONTH($K65+1,-1)),4)&amp;TEXT($K65+1,"mmmyy"))</f>
        <v>W2Feb26</v>
      </c>
      <c r="T65" s="925">
        <f>Table1218[[#This Row],[CLOSING BALANCE 
(VND)]]/1000000000</f>
        <v>8</v>
      </c>
      <c r="U6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65" s="1114">
        <f>_xlfn.NUMBERVALUE(LEFT(Table1218[[#This Row],[Term (months)]],1))</f>
        <v>1</v>
      </c>
      <c r="W65" s="1112">
        <v>1</v>
      </c>
      <c r="X65" s="1115">
        <f>Table1218[[#This Row],[Column3]]-Table1218[[#This Row],[Per bank statement]]</f>
        <v>0</v>
      </c>
      <c r="Y65" s="1117">
        <v>4.4999999999999998E-2</v>
      </c>
      <c r="Z65" s="1118">
        <f>Table1218[[#This Row],[Interest rate]]-Table1218[[#This Row],[Per bank statement2]]</f>
        <v>-2.3999999999999997E-2</v>
      </c>
      <c r="AA65" s="1112" t="s">
        <v>1550</v>
      </c>
      <c r="AB65" s="1112"/>
      <c r="AC65" s="1112"/>
    </row>
    <row r="66" spans="1:29">
      <c r="A66" s="920" t="str">
        <f>IFERROR(VLOOKUP($C66,Table2[#All],3,0),0)</f>
        <v>NDV PROJECT CO</v>
      </c>
      <c r="B66" s="921" t="str">
        <f>_xlfn.XLOOKUP(Table1218[[#This Row],[ACCOUNT NUMBER]],Table2[Account No.],Table2[BRANCH],"recheck",0)</f>
        <v>BIDV - THANH XUAN</v>
      </c>
      <c r="C66" s="1141" t="s">
        <v>1073</v>
      </c>
      <c r="D66" s="922" t="str">
        <f>_xlfn.XLOOKUP(Table1218[[#This Row],[ACCOUNT NUMBER]],Table2[Account No.],Table2[ACCOUNT TYPE],"recheck",0)</f>
        <v>Saving Account</v>
      </c>
      <c r="E66" s="1129" t="str">
        <f>_xlfn.XLOOKUP(Table1218[[#This Row],[ACCOUNT NUMBER]],Table2[Account No.],Table2[CURRENCY],"recheck",0)</f>
        <v>VND</v>
      </c>
      <c r="F66" s="926">
        <f>SUMIFS(Table11[CLOSING BALANCE (VND)2],Table11[ACCOUNT NUMBER],Table1218[[#This Row],[ACCOUNT NUMBER]],Table11[CURRENCY],Table1218[[#This Row],[CURRENCY]])</f>
        <v>4815000000</v>
      </c>
      <c r="G66" s="926"/>
      <c r="H66" s="1129" t="s">
        <v>221</v>
      </c>
      <c r="I66" s="1129"/>
      <c r="J66" s="1129"/>
      <c r="K66" s="1130">
        <v>46145</v>
      </c>
      <c r="L66" s="1149">
        <v>2.4E-2</v>
      </c>
      <c r="M66" s="922" t="str">
        <f>VLOOKUP($A66,Table1[[#All],[Entities]:[Name]],MATCH(M$3,Table1[[#Headers],[Entities]:[Name]],0),0)</f>
        <v>Subsidiaries</v>
      </c>
      <c r="N66" s="922" t="str">
        <f>IFERROR(VLOOKUP(IFERROR(MID($O66,1,FIND("-",$O66)-2),O66),Table3[#All],2,0),0)</f>
        <v>BIDV</v>
      </c>
      <c r="O66" s="923" t="str">
        <f t="shared" si="2"/>
        <v>BIDV - THANH XUAN</v>
      </c>
      <c r="P66" s="927"/>
      <c r="Q66" s="922"/>
      <c r="R66" s="922"/>
      <c r="S66" s="924" t="str">
        <f>IF(ISBLANK(Table1218[[#This Row],[Maturity date]]),"","W"&amp;MIN(WEEKNUM($K66+1,2)-WEEKNUM(EOMONTH($K66+1,-1)),4)&amp;TEXT($K66+1,"mmmyy"))</f>
        <v>W1May26</v>
      </c>
      <c r="T66" s="925">
        <f>Table1218[[#This Row],[CLOSING BALANCE 
(VND)]]/1000000000</f>
        <v>4.8150000000000004</v>
      </c>
      <c r="U6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4 months</v>
      </c>
      <c r="V66" s="1114">
        <f>_xlfn.NUMBERVALUE(LEFT(Table1218[[#This Row],[Term (months)]],1))</f>
        <v>3</v>
      </c>
      <c r="W66" s="1115">
        <v>3</v>
      </c>
      <c r="X66" s="1115">
        <f>Table1218[[#This Row],[Column3]]-Table1218[[#This Row],[Per bank statement]]</f>
        <v>0</v>
      </c>
      <c r="Y66" s="1117">
        <v>4.4999999999999998E-2</v>
      </c>
      <c r="Z66" s="1118">
        <f>Table1218[[#This Row],[Interest rate]]-Table1218[[#This Row],[Per bank statement2]]</f>
        <v>-2.0999999999999998E-2</v>
      </c>
      <c r="AA66" s="1112"/>
      <c r="AB66" s="1112"/>
      <c r="AC66" s="1112"/>
    </row>
    <row r="67" spans="1:29">
      <c r="A67" s="920" t="str">
        <f>IFERROR(VLOOKUP($C67,Table2[#All],3,0),0)</f>
        <v>THUAN THANH 3B</v>
      </c>
      <c r="B67" s="921" t="str">
        <f>_xlfn.XLOOKUP(Table1218[[#This Row],[ACCOUNT NUMBER]],Table2[Account No.],Table2[BRANCH],"recheck",0)</f>
        <v>VIETCOMBANK - BA DINH</v>
      </c>
      <c r="C67" s="1141" t="s">
        <v>1074</v>
      </c>
      <c r="D67" s="922" t="str">
        <f>_xlfn.XLOOKUP(Table1218[[#This Row],[ACCOUNT NUMBER]],Table2[Account No.],Table2[ACCOUNT TYPE],"recheck",0)</f>
        <v>Saving Account</v>
      </c>
      <c r="E67" s="1129" t="str">
        <f>_xlfn.XLOOKUP(Table1218[[#This Row],[ACCOUNT NUMBER]],Table2[Account No.],Table2[CURRENCY],"recheck",0)</f>
        <v>VND</v>
      </c>
      <c r="F67" s="926">
        <f>SUMIFS(Table11[CLOSING BALANCE (VND)2],Table11[ACCOUNT NUMBER],Table1218[[#This Row],[ACCOUNT NUMBER]],Table11[CURRENCY],Table1218[[#This Row],[CURRENCY]])</f>
        <v>4000000000</v>
      </c>
      <c r="G67" s="926"/>
      <c r="H67" s="1129" t="s">
        <v>219</v>
      </c>
      <c r="I67" s="1129"/>
      <c r="J67" s="1129"/>
      <c r="K67" s="1130">
        <v>46041</v>
      </c>
      <c r="L67" s="1259">
        <v>4.7500000000000001E-2</v>
      </c>
      <c r="M67" s="922" t="str">
        <f>VLOOKUP($A67,Table1[[#All],[Entities]:[Name]],MATCH(M$3,Table1[[#Headers],[Entities]:[Name]],0),0)</f>
        <v>Subsidiaries</v>
      </c>
      <c r="N67" s="922" t="str">
        <f>IFERROR(VLOOKUP(IFERROR(MID($O67,1,FIND("-",$O67)-2),O67),Table3[#All],2,0),0)</f>
        <v>VCB</v>
      </c>
      <c r="O67" s="923" t="str">
        <f t="shared" si="2"/>
        <v>VIETCOMBANK - BA DINH</v>
      </c>
      <c r="P67" s="927"/>
      <c r="Q67" s="922"/>
      <c r="R67" s="922"/>
      <c r="S67" s="924" t="str">
        <f>IF(ISBLANK(Table1218[[#This Row],[Maturity date]]),"","W"&amp;MIN(WEEKNUM($K67+1,2)-WEEKNUM(EOMONTH($K67+1,-1)),4)&amp;TEXT($K67+1,"mmmyy"))</f>
        <v>W-49Jan26</v>
      </c>
      <c r="T67" s="925">
        <f>Table1218[[#This Row],[CLOSING BALANCE 
(VND)]]/1000000000</f>
        <v>4</v>
      </c>
      <c r="U6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67" s="1114">
        <f>_xlfn.NUMBERVALUE(LEFT(Table1218[[#This Row],[Term (months)]],1))</f>
        <v>1</v>
      </c>
      <c r="W67" s="1115">
        <v>1</v>
      </c>
      <c r="X67" s="1115">
        <f>Table1218[[#This Row],[Column3]]-Table1218[[#This Row],[Per bank statement]]</f>
        <v>0</v>
      </c>
      <c r="Y67" s="1117">
        <v>4.2999999999999997E-2</v>
      </c>
      <c r="Z67" s="1119">
        <f>Table1218[[#This Row],[Interest rate]]-Table1218[[#This Row],[Per bank statement2]]</f>
        <v>4.500000000000004E-3</v>
      </c>
      <c r="AA67" s="1112"/>
      <c r="AB67" s="1112"/>
      <c r="AC67" s="1112"/>
    </row>
    <row r="68" spans="1:29">
      <c r="A68" s="920" t="str">
        <f>IFERROR(VLOOKUP($C68,Table2[#All],3,0),0)</f>
        <v>BW DINH VU</v>
      </c>
      <c r="B68" s="921" t="str">
        <f>_xlfn.XLOOKUP(Table1218[[#This Row],[ACCOUNT NUMBER]],Table2[Account No.],Table2[BRANCH],"recheck",0)</f>
        <v>BIDV - THANH XUAN</v>
      </c>
      <c r="C68" s="1141" t="s">
        <v>1080</v>
      </c>
      <c r="D68" s="922" t="str">
        <f>_xlfn.XLOOKUP(Table1218[[#This Row],[ACCOUNT NUMBER]],Table2[Account No.],Table2[ACCOUNT TYPE],"recheck",0)</f>
        <v>Saving Account</v>
      </c>
      <c r="E68" s="1129" t="str">
        <f>_xlfn.XLOOKUP(Table1218[[#This Row],[ACCOUNT NUMBER]],Table2[Account No.],Table2[CURRENCY],"recheck",0)</f>
        <v>VND</v>
      </c>
      <c r="F68" s="926">
        <f>SUMIFS(Table11[CLOSING BALANCE (VND)2],Table11[ACCOUNT NUMBER],Table1218[[#This Row],[ACCOUNT NUMBER]],Table11[CURRENCY],Table1218[[#This Row],[CURRENCY]])</f>
        <v>4000000000</v>
      </c>
      <c r="G68" s="926"/>
      <c r="H68" s="1129" t="s">
        <v>221</v>
      </c>
      <c r="I68" s="1129"/>
      <c r="J68" s="1129"/>
      <c r="K68" s="1130">
        <v>46051</v>
      </c>
      <c r="L68" s="1244">
        <v>4.7500000000000001E-2</v>
      </c>
      <c r="M68" s="922" t="str">
        <f>VLOOKUP($A68,Table1[[#All],[Entities]:[Name]],MATCH(M$3,Table1[[#Headers],[Entities]:[Name]],0),0)</f>
        <v>Subsidiaries</v>
      </c>
      <c r="N68" s="922" t="str">
        <f>IFERROR(VLOOKUP(IFERROR(MID($O68,1,FIND("-",$O68)-2),O68),Table3[#All],2,0),0)</f>
        <v>BIDV</v>
      </c>
      <c r="O68" s="923" t="str">
        <f t="shared" si="2"/>
        <v>BIDV - THANH XUAN</v>
      </c>
      <c r="P68" s="927"/>
      <c r="Q68" s="922"/>
      <c r="R68" s="922"/>
      <c r="S68" s="924" t="str">
        <f>IF(ISBLANK(Table1218[[#This Row],[Maturity date]]),"","W"&amp;MIN(WEEKNUM($K68+1,2)-WEEKNUM(EOMONTH($K68+1,-1)),4)&amp;TEXT($K68+1,"mmmyy"))</f>
        <v>W-48Jan26</v>
      </c>
      <c r="T68" s="925">
        <f>Table1218[[#This Row],[CLOSING BALANCE 
(VND)]]/1000000000</f>
        <v>4</v>
      </c>
      <c r="U6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68" s="1114">
        <f>_xlfn.NUMBERVALUE(LEFT(Table1218[[#This Row],[Term (months)]],1))</f>
        <v>3</v>
      </c>
      <c r="W68" s="1112">
        <v>3</v>
      </c>
      <c r="X68" s="1115">
        <f>Table1218[[#This Row],[Column3]]-Table1218[[#This Row],[Per bank statement]]</f>
        <v>0</v>
      </c>
      <c r="Y68" s="1117">
        <v>4.4999999999999998E-2</v>
      </c>
      <c r="Z68" s="1119">
        <f>Table1218[[#This Row],[Interest rate]]-Table1218[[#This Row],[Per bank statement2]]</f>
        <v>2.5000000000000022E-3</v>
      </c>
      <c r="AA68" s="1112" t="s">
        <v>1550</v>
      </c>
      <c r="AB68" s="1112"/>
      <c r="AC68" s="1112"/>
    </row>
    <row r="69" spans="1:29">
      <c r="A69" s="920" t="str">
        <f>IFERROR(VLOOKUP($C69,Table2[#All],3,0),0)</f>
        <v>TAY NAM A</v>
      </c>
      <c r="B69" s="921" t="str">
        <f>_xlfn.XLOOKUP(Table1218[[#This Row],[ACCOUNT NUMBER]],Table2[Account No.],Table2[BRANCH],"recheck",0)</f>
        <v>KBank - HCM</v>
      </c>
      <c r="C69" s="1141" t="s">
        <v>1084</v>
      </c>
      <c r="D69" s="922" t="str">
        <f>_xlfn.XLOOKUP(Table1218[[#This Row],[ACCOUNT NUMBER]],Table2[Account No.],Table2[ACCOUNT TYPE],"recheck",0)</f>
        <v>Saving Account</v>
      </c>
      <c r="E69" s="1129" t="str">
        <f>_xlfn.XLOOKUP(Table1218[[#This Row],[ACCOUNT NUMBER]],Table2[Account No.],Table2[CURRENCY],"recheck",0)</f>
        <v>VND</v>
      </c>
      <c r="F69" s="926">
        <f>SUMIFS(Table11[CLOSING BALANCE (VND)2],Table11[ACCOUNT NUMBER],Table1218[[#This Row],[ACCOUNT NUMBER]],Table11[CURRENCY],Table1218[[#This Row],[CURRENCY]])</f>
        <v>1700000000</v>
      </c>
      <c r="G69" s="926"/>
      <c r="H69" s="1129" t="s">
        <v>221</v>
      </c>
      <c r="I69" s="1129"/>
      <c r="J69" s="1129"/>
      <c r="K69" s="1130">
        <v>46054</v>
      </c>
      <c r="L69" s="927">
        <v>4.7500000000000001E-2</v>
      </c>
      <c r="M69" s="922" t="str">
        <f>VLOOKUP($A69,Table1[[#All],[Entities]:[Name]],MATCH(M$3,Table1[[#Headers],[Entities]:[Name]],0),0)</f>
        <v>Subsidiaries</v>
      </c>
      <c r="N69" s="922" t="str">
        <f>IFERROR(VLOOKUP(IFERROR(MID($O69,1,FIND("-",$O69)-2),O69),Table3[#All],2,0),0)</f>
        <v>KBANK</v>
      </c>
      <c r="O69" s="923" t="str">
        <f t="shared" si="2"/>
        <v>KBank - HCM</v>
      </c>
      <c r="P69" s="927"/>
      <c r="Q69" s="922"/>
      <c r="R69" s="922"/>
      <c r="S69" s="924" t="str">
        <f>IF(ISBLANK(Table1218[[#This Row],[Maturity date]]),"","W"&amp;MIN(WEEKNUM($K69+1,2)-WEEKNUM(EOMONTH($K69+1,-1)),4)&amp;TEXT($K69+1,"mmmyy"))</f>
        <v>W1Feb26</v>
      </c>
      <c r="T69" s="925">
        <f>Table1218[[#This Row],[CLOSING BALANCE 
(VND)]]/1000000000</f>
        <v>1.7</v>
      </c>
      <c r="U6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69" s="1114"/>
      <c r="W69" s="1112"/>
      <c r="X69" s="1115"/>
      <c r="Y69" s="1112"/>
      <c r="Z69" s="1118"/>
      <c r="AA69" s="1112"/>
      <c r="AB69" s="1112"/>
      <c r="AC69" s="1112"/>
    </row>
    <row r="70" spans="1:29">
      <c r="A70" s="920" t="str">
        <f>IFERROR(VLOOKUP($C70,Table2[#All],3,0),0)</f>
        <v>BW DONG HAI</v>
      </c>
      <c r="B70" s="921" t="str">
        <f>_xlfn.XLOOKUP(Table1218[[#This Row],[ACCOUNT NUMBER]],Table2[Account No.],Table2[BRANCH],"recheck",0)</f>
        <v>BIDV - THANH XUAN</v>
      </c>
      <c r="C70" s="1141" t="s">
        <v>1087</v>
      </c>
      <c r="D70" s="922" t="str">
        <f>_xlfn.XLOOKUP(Table1218[[#This Row],[ACCOUNT NUMBER]],Table2[Account No.],Table2[ACCOUNT TYPE],"recheck",0)</f>
        <v>Saving Account</v>
      </c>
      <c r="E70" s="1129" t="str">
        <f>_xlfn.XLOOKUP(Table1218[[#This Row],[ACCOUNT NUMBER]],Table2[Account No.],Table2[CURRENCY],"recheck",0)</f>
        <v>VND</v>
      </c>
      <c r="F70" s="926">
        <f>SUMIFS(Table11[CLOSING BALANCE (VND)2],Table11[ACCOUNT NUMBER],Table1218[[#This Row],[ACCOUNT NUMBER]],Table11[CURRENCY],Table1218[[#This Row],[CURRENCY]])</f>
        <v>4000000000</v>
      </c>
      <c r="G70" s="926"/>
      <c r="H70" s="1129" t="s">
        <v>221</v>
      </c>
      <c r="I70" s="1129"/>
      <c r="J70" s="1129"/>
      <c r="K70" s="1130">
        <v>46081</v>
      </c>
      <c r="L70" s="927">
        <v>4.7500000000000001E-2</v>
      </c>
      <c r="M70" s="922" t="str">
        <f>VLOOKUP($A70,Table1[[#All],[Entities]:[Name]],MATCH(M$3,Table1[[#Headers],[Entities]:[Name]],0),0)</f>
        <v>Subsidiaries</v>
      </c>
      <c r="N70" s="922" t="str">
        <f>IFERROR(VLOOKUP(IFERROR(MID($O70,1,FIND("-",$O70)-2),O70),Table3[#All],2,0),0)</f>
        <v>BIDV</v>
      </c>
      <c r="O70" s="923" t="str">
        <f t="shared" si="2"/>
        <v>BIDV - THANH XUAN</v>
      </c>
      <c r="P70" s="927"/>
      <c r="Q70" s="922"/>
      <c r="R70" s="922"/>
      <c r="S70" s="924" t="str">
        <f>IF(ISBLANK(Table1218[[#This Row],[Maturity date]]),"","W"&amp;MIN(WEEKNUM($K70+1,2)-WEEKNUM(EOMONTH($K70+1,-1)),4)&amp;TEXT($K70+1,"mmmyy"))</f>
        <v>W0Mar26</v>
      </c>
      <c r="T70" s="925">
        <f>Table1218[[#This Row],[CLOSING BALANCE 
(VND)]]/1000000000</f>
        <v>4</v>
      </c>
      <c r="U7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70" s="1114">
        <f>_xlfn.NUMBERVALUE(LEFT(Table1218[[#This Row],[Term (months)]],1))</f>
        <v>3</v>
      </c>
      <c r="W70" s="1112">
        <v>3</v>
      </c>
      <c r="X70" s="1115">
        <f>Table1218[[#This Row],[Column3]]-Table1218[[#This Row],[Per bank statement]]</f>
        <v>0</v>
      </c>
      <c r="Y70" s="1117">
        <v>4.4999999999999998E-2</v>
      </c>
      <c r="Z70" s="1118">
        <f>Table1218[[#This Row],[Interest rate]]-Table1218[[#This Row],[Per bank statement2]]</f>
        <v>2.5000000000000022E-3</v>
      </c>
      <c r="AA70" s="1112" t="s">
        <v>1550</v>
      </c>
      <c r="AB70" s="1112"/>
      <c r="AC70" s="1112"/>
    </row>
    <row r="71" spans="1:29">
      <c r="A71" s="920" t="str">
        <f>IFERROR(VLOOKUP($C71,Table2[#All],3,0),0)</f>
        <v>BW PHU NGHIA</v>
      </c>
      <c r="B71" s="921" t="str">
        <f>_xlfn.XLOOKUP(Table1218[[#This Row],[ACCOUNT NUMBER]],Table2[Account No.],Table2[BRANCH],"recheck",0)</f>
        <v>BIDV - THANH XUAN</v>
      </c>
      <c r="C71" s="1141" t="s">
        <v>1088</v>
      </c>
      <c r="D71" s="922" t="str">
        <f>_xlfn.XLOOKUP(Table1218[[#This Row],[ACCOUNT NUMBER]],Table2[Account No.],Table2[ACCOUNT TYPE],"recheck",0)</f>
        <v>Saving Account</v>
      </c>
      <c r="E71" s="1129" t="str">
        <f>_xlfn.XLOOKUP(Table1218[[#This Row],[ACCOUNT NUMBER]],Table2[Account No.],Table2[CURRENCY],"recheck",0)</f>
        <v>VND</v>
      </c>
      <c r="F71" s="926">
        <f>SUMIFS(Table11[CLOSING BALANCE (VND)2],Table11[ACCOUNT NUMBER],Table1218[[#This Row],[ACCOUNT NUMBER]],Table11[CURRENCY],Table1218[[#This Row],[CURRENCY]])</f>
        <v>4000000000</v>
      </c>
      <c r="G71" s="926"/>
      <c r="H71" s="1129" t="s">
        <v>219</v>
      </c>
      <c r="I71" s="1129"/>
      <c r="J71" s="1129"/>
      <c r="K71" s="1130">
        <v>46043</v>
      </c>
      <c r="L71" s="927">
        <v>4.7500000000000001E-2</v>
      </c>
      <c r="M71" s="922" t="str">
        <f>VLOOKUP($A71,Table1[[#All],[Entities]:[Name]],MATCH(M$3,Table1[[#Headers],[Entities]:[Name]],0),0)</f>
        <v>Subsidiaries</v>
      </c>
      <c r="N71" s="922" t="str">
        <f>IFERROR(VLOOKUP(IFERROR(MID($O71,1,FIND("-",$O71)-2),O71),Table3[#All],2,0),0)</f>
        <v>BIDV</v>
      </c>
      <c r="O71" s="923" t="str">
        <f t="shared" si="2"/>
        <v>BIDV - THANH XUAN</v>
      </c>
      <c r="P71" s="927"/>
      <c r="Q71" s="922"/>
      <c r="R71" s="922"/>
      <c r="S71" s="924" t="str">
        <f>IF(ISBLANK(Table1218[[#This Row],[Maturity date]]),"","W"&amp;MIN(WEEKNUM($K71+1,2)-WEEKNUM(EOMONTH($K71+1,-1)),4)&amp;TEXT($K71+1,"mmmyy"))</f>
        <v>W-49Jan26</v>
      </c>
      <c r="T71" s="925">
        <f>Table1218[[#This Row],[CLOSING BALANCE 
(VND)]]/1000000000</f>
        <v>4</v>
      </c>
      <c r="U7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71" s="1114">
        <f>_xlfn.NUMBERVALUE(LEFT(Table1218[[#This Row],[Term (months)]],1))</f>
        <v>1</v>
      </c>
      <c r="W71" s="1112">
        <v>1</v>
      </c>
      <c r="X71" s="1115">
        <f>Table1218[[#This Row],[Column3]]-Table1218[[#This Row],[Per bank statement]]</f>
        <v>0</v>
      </c>
      <c r="Y71" s="1117">
        <v>4.2999999999999997E-2</v>
      </c>
      <c r="Z71" s="1118">
        <f>Table1218[[#This Row],[Interest rate]]-Table1218[[#This Row],[Per bank statement2]]</f>
        <v>4.500000000000004E-3</v>
      </c>
      <c r="AA71" s="1112" t="s">
        <v>1550</v>
      </c>
      <c r="AB71" s="1112"/>
      <c r="AC71" s="1112"/>
    </row>
    <row r="72" spans="1:29">
      <c r="A72" s="920" t="str">
        <f>IFERROR(VLOOKUP($C72,Table2[#All],3,0),0)</f>
        <v>BW NAM HAI</v>
      </c>
      <c r="B72" s="921" t="str">
        <f>_xlfn.XLOOKUP(Table1218[[#This Row],[ACCOUNT NUMBER]],Table2[Account No.],Table2[BRANCH],"recheck",0)</f>
        <v>VIETCOMBANK - BA DINH</v>
      </c>
      <c r="C72" s="1141" t="s">
        <v>1089</v>
      </c>
      <c r="D72" s="922" t="str">
        <f>_xlfn.XLOOKUP(Table1218[[#This Row],[ACCOUNT NUMBER]],Table2[Account No.],Table2[ACCOUNT TYPE],"recheck",0)</f>
        <v>Saving Account</v>
      </c>
      <c r="E72" s="1129" t="str">
        <f>_xlfn.XLOOKUP(Table1218[[#This Row],[ACCOUNT NUMBER]],Table2[Account No.],Table2[CURRENCY],"recheck",0)</f>
        <v>VND</v>
      </c>
      <c r="F72" s="926">
        <f>SUMIFS(Table11[CLOSING BALANCE (VND)2],Table11[ACCOUNT NUMBER],Table1218[[#This Row],[ACCOUNT NUMBER]],Table11[CURRENCY],Table1218[[#This Row],[CURRENCY]])</f>
        <v>7000000000</v>
      </c>
      <c r="G72" s="926"/>
      <c r="H72" s="1129" t="s">
        <v>219</v>
      </c>
      <c r="I72" s="1129"/>
      <c r="J72" s="1129"/>
      <c r="K72" s="1130">
        <v>46051</v>
      </c>
      <c r="L72" s="1289">
        <v>4.7500000000000001E-2</v>
      </c>
      <c r="M72" s="922" t="str">
        <f>VLOOKUP($A72,Table1[[#All],[Entities]:[Name]],MATCH(M$3,Table1[[#Headers],[Entities]:[Name]],0),0)</f>
        <v>Subsidiaries</v>
      </c>
      <c r="N72" s="922" t="str">
        <f>IFERROR(VLOOKUP(IFERROR(MID($O72,1,FIND("-",$O72)-2),O72),Table3[#All],2,0),0)</f>
        <v>VCB</v>
      </c>
      <c r="O72" s="923" t="str">
        <f t="shared" si="2"/>
        <v>VIETCOMBANK - BA DINH</v>
      </c>
      <c r="P72" s="927"/>
      <c r="Q72" s="922"/>
      <c r="R72" s="922"/>
      <c r="S72" s="924" t="str">
        <f>IF(ISBLANK(Table1218[[#This Row],[Maturity date]]),"","W"&amp;MIN(WEEKNUM($K72+1,2)-WEEKNUM(EOMONTH($K72+1,-1)),4)&amp;TEXT($K72+1,"mmmyy"))</f>
        <v>W-48Jan26</v>
      </c>
      <c r="T72" s="925">
        <f>Table1218[[#This Row],[CLOSING BALANCE 
(VND)]]/1000000000</f>
        <v>7</v>
      </c>
      <c r="U7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72" s="1114">
        <f>_xlfn.NUMBERVALUE(LEFT(Table1218[[#This Row],[Term (months)]],1))</f>
        <v>1</v>
      </c>
      <c r="W72" s="1112">
        <v>1</v>
      </c>
      <c r="X72" s="1115">
        <f>Table1218[[#This Row],[Column3]]-Table1218[[#This Row],[Per bank statement]]</f>
        <v>0</v>
      </c>
      <c r="Y72" s="1117">
        <v>4.4999999999999998E-2</v>
      </c>
      <c r="Z72" s="1119">
        <f>Table1218[[#This Row],[Interest rate]]-Table1218[[#This Row],[Per bank statement2]]</f>
        <v>2.5000000000000022E-3</v>
      </c>
      <c r="AA72" s="1112"/>
      <c r="AB72" s="1112"/>
      <c r="AC72" s="1112"/>
    </row>
    <row r="73" spans="1:29">
      <c r="A73" s="920" t="str">
        <f>IFERROR(VLOOKUP($C73,Table2[#All],3,0),0)</f>
        <v>BW SAI GON</v>
      </c>
      <c r="B73" s="921" t="str">
        <f>_xlfn.XLOOKUP(Table1218[[#This Row],[ACCOUNT NUMBER]],Table2[Account No.],Table2[BRANCH],"recheck",0)</f>
        <v>SINOPAC</v>
      </c>
      <c r="C73" s="1141" t="s">
        <v>1090</v>
      </c>
      <c r="D73" s="922" t="str">
        <f>_xlfn.XLOOKUP(Table1218[[#This Row],[ACCOUNT NUMBER]],Table2[Account No.],Table2[ACCOUNT TYPE],"recheck",0)</f>
        <v>Saving Account</v>
      </c>
      <c r="E73" s="1129" t="str">
        <f>_xlfn.XLOOKUP(Table1218[[#This Row],[ACCOUNT NUMBER]],Table2[Account No.],Table2[CURRENCY],"recheck",0)</f>
        <v>VND</v>
      </c>
      <c r="F73" s="926">
        <f>SUMIFS(Table11[CLOSING BALANCE (VND)2],Table11[ACCOUNT NUMBER],Table1218[[#This Row],[ACCOUNT NUMBER]],Table11[CURRENCY],Table1218[[#This Row],[CURRENCY]])</f>
        <v>20000000000</v>
      </c>
      <c r="G73" s="926"/>
      <c r="H73" s="1129" t="s">
        <v>221</v>
      </c>
      <c r="I73" s="1129"/>
      <c r="J73" s="1129"/>
      <c r="K73" s="1130">
        <v>46074</v>
      </c>
      <c r="L73" s="927">
        <v>4.4999999999999998E-2</v>
      </c>
      <c r="M73" s="922" t="str">
        <f>VLOOKUP($A73,Table1[[#All],[Entities]:[Name]],MATCH(M$3,Table1[[#Headers],[Entities]:[Name]],0),0)</f>
        <v>Subsidiaries</v>
      </c>
      <c r="N73" s="922" t="str">
        <f>IFERROR(VLOOKUP(IFERROR(MID($O73,1,FIND("-",$O73)-2),O73),Table3[#All],2,0),0)</f>
        <v>SNP</v>
      </c>
      <c r="O73" s="923" t="str">
        <f t="shared" si="2"/>
        <v>SINOPAC</v>
      </c>
      <c r="P73" s="927"/>
      <c r="Q73" s="922"/>
      <c r="R73" s="922"/>
      <c r="S73" s="924" t="str">
        <f>IF(ISBLANK(Table1218[[#This Row],[Maturity date]]),"","W"&amp;MIN(WEEKNUM($K73+1,2)-WEEKNUM(EOMONTH($K73+1,-1)),4)&amp;TEXT($K73+1,"mmmyy"))</f>
        <v>W3Feb26</v>
      </c>
      <c r="T73" s="925">
        <f>Table1218[[#This Row],[CLOSING BALANCE 
(VND)]]/1000000000</f>
        <v>20</v>
      </c>
      <c r="U7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73" s="1114"/>
      <c r="W73" s="1112"/>
      <c r="X73" s="1115"/>
      <c r="Y73" s="1112"/>
      <c r="Z73" s="1118"/>
      <c r="AA73" s="1112"/>
      <c r="AB73" s="1112"/>
      <c r="AC73" s="1112"/>
    </row>
    <row r="74" spans="1:29">
      <c r="A74" s="920" t="str">
        <f>IFERROR(VLOOKUP($C74,Table2[#All],3,0),0)</f>
        <v>SUPPLY CHAIN 2A</v>
      </c>
      <c r="B74" s="921" t="str">
        <f>_xlfn.XLOOKUP(Table1218[[#This Row],[ACCOUNT NUMBER]],Table2[Account No.],Table2[BRANCH],"recheck",0)</f>
        <v>VIB - HOI SO</v>
      </c>
      <c r="C74" s="1143" t="s">
        <v>1091</v>
      </c>
      <c r="D74" s="922" t="str">
        <f>_xlfn.XLOOKUP(Table1218[[#This Row],[ACCOUNT NUMBER]],Table2[Account No.],Table2[ACCOUNT TYPE],"recheck",0)</f>
        <v>Saving Account</v>
      </c>
      <c r="E74" s="1129" t="str">
        <f>_xlfn.XLOOKUP(Table1218[[#This Row],[ACCOUNT NUMBER]],Table2[Account No.],Table2[CURRENCY],"recheck",0)</f>
        <v>VND</v>
      </c>
      <c r="F74" s="926">
        <f>SUMIFS(Table11[CLOSING BALANCE (VND)2],Table11[ACCOUNT NUMBER],Table1218[[#This Row],[ACCOUNT NUMBER]],Table11[CURRENCY],Table1218[[#This Row],[CURRENCY]])</f>
        <v>2600000000</v>
      </c>
      <c r="G74" s="926"/>
      <c r="H74" s="1129" t="s">
        <v>224</v>
      </c>
      <c r="I74" s="1129"/>
      <c r="J74" s="1129"/>
      <c r="K74" s="1130">
        <v>46175</v>
      </c>
      <c r="L74" s="927">
        <v>7.0999999999999994E-2</v>
      </c>
      <c r="M74" s="922" t="str">
        <f>VLOOKUP($A74,Table1[[#All],[Entities]:[Name]],MATCH(M$3,Table1[[#Headers],[Entities]:[Name]],0),0)</f>
        <v>Subsidiaries</v>
      </c>
      <c r="N74" s="922" t="str">
        <f>IFERROR(VLOOKUP(IFERROR(MID($O74,1,FIND("-",$O74)-2),O74),Table3[#All],2,0),0)</f>
        <v>VIB</v>
      </c>
      <c r="O74" s="923" t="str">
        <f t="shared" si="2"/>
        <v>VIB - HOI SO</v>
      </c>
      <c r="P74" s="927"/>
      <c r="Q74" s="922"/>
      <c r="R74" s="922"/>
      <c r="S74" s="924" t="str">
        <f>IF(ISBLANK(Table1218[[#This Row],[Maturity date]]),"","W"&amp;MIN(WEEKNUM($K74+1,2)-WEEKNUM(EOMONTH($K74+1,-1)),4)&amp;TEXT($K74+1,"mmmyy"))</f>
        <v>W0Jun26</v>
      </c>
      <c r="T74" s="1214">
        <f>Table1218[[#This Row],[CLOSING BALANCE 
(VND)]]/1000000000</f>
        <v>2.6</v>
      </c>
      <c r="U74"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5 months</v>
      </c>
      <c r="V74" s="1114"/>
      <c r="W74" s="1112"/>
      <c r="X74" s="1115"/>
      <c r="Y74" s="1112"/>
      <c r="Z74" s="1118"/>
      <c r="AA74" s="1112"/>
      <c r="AB74" s="1112"/>
      <c r="AC74" s="1112"/>
    </row>
    <row r="75" spans="1:29">
      <c r="A75" s="920" t="str">
        <f>IFERROR(VLOOKUP($C75,Table2[#All],3,0),0)</f>
        <v>NSHL LLC</v>
      </c>
      <c r="B75" s="921" t="str">
        <f>_xlfn.XLOOKUP(Table1218[[#This Row],[ACCOUNT NUMBER]],Table2[Account No.],Table2[BRANCH],"recheck",0)</f>
        <v>BIDV - THANH XUAN</v>
      </c>
      <c r="C75" s="1143" t="s">
        <v>1104</v>
      </c>
      <c r="D75" s="922" t="str">
        <f>_xlfn.XLOOKUP(Table1218[[#This Row],[ACCOUNT NUMBER]],Table2[Account No.],Table2[ACCOUNT TYPE],"recheck",0)</f>
        <v>Saving Account</v>
      </c>
      <c r="E75" s="1129" t="str">
        <f>_xlfn.XLOOKUP(Table1218[[#This Row],[ACCOUNT NUMBER]],Table2[Account No.],Table2[CURRENCY],"recheck",0)</f>
        <v>VND</v>
      </c>
      <c r="F75" s="926">
        <f>SUMIFS(Table11[CLOSING BALANCE (VND)2],Table11[ACCOUNT NUMBER],Table1218[[#This Row],[ACCOUNT NUMBER]],Table11[CURRENCY],Table1218[[#This Row],[CURRENCY]])</f>
        <v>7400000000</v>
      </c>
      <c r="G75" s="926"/>
      <c r="H75" s="1129" t="s">
        <v>219</v>
      </c>
      <c r="I75" s="1129"/>
      <c r="J75" s="1129"/>
      <c r="K75" s="1130">
        <v>46042</v>
      </c>
      <c r="L75" s="927">
        <v>4.7500000000000001E-2</v>
      </c>
      <c r="M75" s="922" t="str">
        <f>VLOOKUP($A75,Table1[[#All],[Entities]:[Name]],MATCH(M$3,Table1[[#Headers],[Entities]:[Name]],0),0)</f>
        <v>Subsidiaries</v>
      </c>
      <c r="N75" s="922" t="str">
        <f>IFERROR(VLOOKUP(IFERROR(MID($O75,1,FIND("-",$O75)-2),O75),Table3[#All],2,0),0)</f>
        <v>BIDV</v>
      </c>
      <c r="O75" s="923" t="str">
        <f t="shared" si="2"/>
        <v>BIDV - THANH XUAN</v>
      </c>
      <c r="P75" s="927"/>
      <c r="Q75" s="922"/>
      <c r="R75" s="922"/>
      <c r="S75" s="924" t="str">
        <f>IF(ISBLANK(Table1218[[#This Row],[Maturity date]]),"","W"&amp;MIN(WEEKNUM($K75+1,2)-WEEKNUM(EOMONTH($K75+1,-1)),4)&amp;TEXT($K75+1,"mmmyy"))</f>
        <v>W-49Jan26</v>
      </c>
      <c r="T75" s="925">
        <f>Table1218[[#This Row],[CLOSING BALANCE 
(VND)]]/1000000000</f>
        <v>7.4</v>
      </c>
      <c r="U7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75" s="1114">
        <f>_xlfn.NUMBERVALUE(LEFT(Table1218[[#This Row],[Term (months)]],1))</f>
        <v>1</v>
      </c>
      <c r="W75" s="1115">
        <v>1</v>
      </c>
      <c r="X75" s="1115">
        <f>Table1218[[#This Row],[Column3]]-Table1218[[#This Row],[Per bank statement]]</f>
        <v>0</v>
      </c>
      <c r="Y75" s="1117">
        <v>4.2999999999999997E-2</v>
      </c>
      <c r="Z75" s="1118">
        <f>Table1218[[#This Row],[Interest rate]]-Table1218[[#This Row],[Per bank statement2]]</f>
        <v>4.500000000000004E-3</v>
      </c>
      <c r="AA75" s="1131">
        <v>4.4999999999999998E-2</v>
      </c>
      <c r="AB75" s="1112"/>
      <c r="AC75" s="1112"/>
    </row>
    <row r="76" spans="1:29">
      <c r="A76" s="919" t="str">
        <f>IFERROR(VLOOKUP($C76,Table2[#All],3,0),0)</f>
        <v>BWID BAC NINH</v>
      </c>
      <c r="B76" s="1260" t="str">
        <f>_xlfn.XLOOKUP(Table1218[[#This Row],[ACCOUNT NUMBER]],Table2[Account No.],Table2[BRANCH],"recheck",0)</f>
        <v>VIETINBANK - TIEN SON</v>
      </c>
      <c r="C76" s="1261" t="s">
        <v>1106</v>
      </c>
      <c r="D76" s="1262" t="str">
        <f>_xlfn.XLOOKUP(Table1218[[#This Row],[ACCOUNT NUMBER]],Table2[Account No.],Table2[ACCOUNT TYPE],"recheck",0)</f>
        <v>Saving Account</v>
      </c>
      <c r="E76" s="1129" t="str">
        <f>_xlfn.XLOOKUP(Table1218[[#This Row],[ACCOUNT NUMBER]],Table2[Account No.],Table2[CURRENCY],"recheck",0)</f>
        <v>VND</v>
      </c>
      <c r="F76" s="926">
        <f>SUMIFS(Table11[CLOSING BALANCE (VND)2],Table11[ACCOUNT NUMBER],Table1218[[#This Row],[ACCOUNT NUMBER]],Table11[CURRENCY],Table1218[[#This Row],[CURRENCY]])</f>
        <v>2500000000</v>
      </c>
      <c r="G76" s="1263"/>
      <c r="H76" s="1129" t="s">
        <v>219</v>
      </c>
      <c r="I76" s="1129">
        <v>0</v>
      </c>
      <c r="J76" s="1130">
        <v>45678</v>
      </c>
      <c r="K76" s="1130">
        <v>46043</v>
      </c>
      <c r="L76" s="927">
        <v>4.7500000000000001E-2</v>
      </c>
      <c r="M76" s="1262" t="str">
        <f>VLOOKUP($A76,Table1[[#All],[Entities]:[Name]],MATCH(M$3,Table1[[#Headers],[Entities]:[Name]],0),0)</f>
        <v>Subsidiaries</v>
      </c>
      <c r="N76" s="1262" t="str">
        <f>IFERROR(VLOOKUP(IFERROR(MID($O76,1,FIND("-",$O76)-2),O76),Table3[#All],2,0),0)</f>
        <v>VTB</v>
      </c>
      <c r="O76" s="1264" t="str">
        <f t="shared" si="2"/>
        <v>VIETINBANK - TIEN SON</v>
      </c>
      <c r="P76" s="1259"/>
      <c r="Q76" s="1262"/>
      <c r="R76" s="1262"/>
      <c r="S76" s="1265" t="str">
        <f>IF(ISBLANK(Table1218[[#This Row],[Maturity date]]),"","W"&amp;MIN(WEEKNUM($K76+1,2)-WEEKNUM(EOMONTH($K76+1,-1)),4)&amp;TEXT($K76+1,"mmmyy"))</f>
        <v>W-49Jan26</v>
      </c>
      <c r="T76" s="1266">
        <f>Table1218[[#This Row],[CLOSING BALANCE 
(VND)]]/1000000000</f>
        <v>2.5</v>
      </c>
      <c r="U7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76" s="1114">
        <f>_xlfn.NUMBERVALUE(LEFT(Table1218[[#This Row],[Term (months)]],1))</f>
        <v>1</v>
      </c>
      <c r="W76" s="1112">
        <v>1</v>
      </c>
      <c r="X76" s="1115">
        <f>Table1218[[#This Row],[Column3]]-Table1218[[#This Row],[Per bank statement]]</f>
        <v>0</v>
      </c>
      <c r="Y76" s="1117">
        <v>4.2999999999999997E-2</v>
      </c>
      <c r="Z76" s="1118">
        <f>Table1218[[#This Row],[Interest rate]]-Table1218[[#This Row],[Per bank statement2]]</f>
        <v>4.500000000000004E-3</v>
      </c>
      <c r="AA76" s="1112">
        <v>4.5</v>
      </c>
      <c r="AB76" s="1112"/>
      <c r="AC76" s="1112"/>
    </row>
    <row r="77" spans="1:29">
      <c r="A77" s="919" t="str">
        <f>IFERROR(VLOOKUP($C77,Table2[#All],3,0),0)</f>
        <v>XENIA 1</v>
      </c>
      <c r="B77" s="1260" t="str">
        <f>_xlfn.XLOOKUP(Table1218[[#This Row],[ACCOUNT NUMBER]],Table2[Account No.],Table2[BRANCH],"recheck",0)</f>
        <v>VIETINBANK - TIEN SON</v>
      </c>
      <c r="C77" s="1261" t="s">
        <v>1109</v>
      </c>
      <c r="D77" s="1262" t="str">
        <f>_xlfn.XLOOKUP(Table1218[[#This Row],[ACCOUNT NUMBER]],Table2[Account No.],Table2[ACCOUNT TYPE],"recheck",0)</f>
        <v>Saving Account</v>
      </c>
      <c r="E77" s="1129" t="str">
        <f>_xlfn.XLOOKUP(Table1218[[#This Row],[ACCOUNT NUMBER]],Table2[Account No.],Table2[CURRENCY],"recheck",0)</f>
        <v>VND</v>
      </c>
      <c r="F77" s="926">
        <f>SUMIFS(Table11[CLOSING BALANCE (VND)2],Table11[ACCOUNT NUMBER],Table1218[[#This Row],[ACCOUNT NUMBER]],Table11[CURRENCY],Table1218[[#This Row],[CURRENCY]])</f>
        <v>56000000000</v>
      </c>
      <c r="G77" s="1263"/>
      <c r="H77" s="1267" t="s">
        <v>219</v>
      </c>
      <c r="I77" s="1267"/>
      <c r="J77" s="1267"/>
      <c r="K77" s="1130">
        <v>46044</v>
      </c>
      <c r="L77" s="927">
        <v>4.7500000000000001E-2</v>
      </c>
      <c r="M77" s="1262" t="str">
        <f>VLOOKUP($A77,Table1[[#All],[Entities]:[Name]],MATCH(M$3,Table1[[#Headers],[Entities]:[Name]],0),0)</f>
        <v>Subsidiaries</v>
      </c>
      <c r="N77" s="1262" t="str">
        <f>IFERROR(VLOOKUP(IFERROR(MID($O77,1,FIND("-",$O77)-2),O77),Table3[#All],2,0),0)</f>
        <v>VTB</v>
      </c>
      <c r="O77" s="1264" t="str">
        <f t="shared" si="2"/>
        <v>VIETINBANK - TIEN SON</v>
      </c>
      <c r="P77" s="1259"/>
      <c r="Q77" s="1262"/>
      <c r="R77" s="1262"/>
      <c r="S77" s="1265" t="str">
        <f>IF(ISBLANK(Table1218[[#This Row],[Maturity date]]),"","W"&amp;MIN(WEEKNUM($K77+1,2)-WEEKNUM(EOMONTH($K77+1,-1)),4)&amp;TEXT($K77+1,"mmmyy"))</f>
        <v>W-49Jan26</v>
      </c>
      <c r="T77" s="1266">
        <f>Table1218[[#This Row],[CLOSING BALANCE 
(VND)]]/1000000000</f>
        <v>56</v>
      </c>
      <c r="U7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77" s="1114">
        <f>_xlfn.NUMBERVALUE(LEFT(Table1218[[#This Row],[Term (months)]],1))</f>
        <v>1</v>
      </c>
      <c r="W77" s="1112">
        <v>1</v>
      </c>
      <c r="X77" s="1115">
        <f>Table1218[[#This Row],[Column3]]-Table1218[[#This Row],[Per bank statement]]</f>
        <v>0</v>
      </c>
      <c r="Y77" s="1117">
        <v>4.2999999999999997E-2</v>
      </c>
      <c r="Z77" s="1118">
        <f>Table1218[[#This Row],[Interest rate]]-Table1218[[#This Row],[Per bank statement2]]</f>
        <v>4.500000000000004E-3</v>
      </c>
      <c r="AA77" s="1117">
        <v>4.4999999999999998E-2</v>
      </c>
      <c r="AB77" s="1112"/>
      <c r="AC77" s="1112"/>
    </row>
    <row r="78" spans="1:29">
      <c r="A78" s="919" t="str">
        <f>IFERROR(VLOOKUP($C78,Table2[#All],3,0),0)</f>
        <v>WPJV 3</v>
      </c>
      <c r="B78" s="1260" t="str">
        <f>_xlfn.XLOOKUP(Table1218[[#This Row],[ACCOUNT NUMBER]],Table2[Account No.],Table2[BRANCH],"recheck",0)</f>
        <v>VIETINBANK - TIEN SON</v>
      </c>
      <c r="C78" s="1261" t="s">
        <v>1110</v>
      </c>
      <c r="D78" s="1262" t="str">
        <f>_xlfn.XLOOKUP(Table1218[[#This Row],[ACCOUNT NUMBER]],Table2[Account No.],Table2[ACCOUNT TYPE],"recheck",0)</f>
        <v>Saving Account</v>
      </c>
      <c r="E78" s="1129" t="str">
        <f>_xlfn.XLOOKUP(Table1218[[#This Row],[ACCOUNT NUMBER]],Table2[Account No.],Table2[CURRENCY],"recheck",0)</f>
        <v>VND</v>
      </c>
      <c r="F78" s="926">
        <f>SUMIFS(Table11[CLOSING BALANCE (VND)2],Table11[ACCOUNT NUMBER],Table1218[[#This Row],[ACCOUNT NUMBER]],Table11[CURRENCY],Table1218[[#This Row],[CURRENCY]])</f>
        <v>50000000</v>
      </c>
      <c r="G78" s="1263"/>
      <c r="H78" s="1129" t="s">
        <v>219</v>
      </c>
      <c r="I78" s="1129"/>
      <c r="J78" s="1129"/>
      <c r="K78" s="1130">
        <v>46043</v>
      </c>
      <c r="L78" s="927">
        <v>4.7500000000000001E-2</v>
      </c>
      <c r="M78" s="1262" t="str">
        <f>VLOOKUP($A78,Table1[[#All],[Entities]:[Name]],MATCH(M$3,Table1[[#Headers],[Entities]:[Name]],0),0)</f>
        <v>Subsidiaries</v>
      </c>
      <c r="N78" s="1262" t="str">
        <f>IFERROR(VLOOKUP(IFERROR(MID($O78,1,FIND("-",$O78)-2),O78),Table3[#All],2,0),0)</f>
        <v>VTB</v>
      </c>
      <c r="O78" s="1264" t="str">
        <f t="shared" si="2"/>
        <v>VIETINBANK - TIEN SON</v>
      </c>
      <c r="P78" s="1259"/>
      <c r="Q78" s="1262"/>
      <c r="R78" s="1262"/>
      <c r="S78" s="1265" t="str">
        <f>IF(ISBLANK(Table1218[[#This Row],[Maturity date]]),"","W"&amp;MIN(WEEKNUM($K78+1,2)-WEEKNUM(EOMONTH($K78+1,-1)),4)&amp;TEXT($K78+1,"mmmyy"))</f>
        <v>W-49Jan26</v>
      </c>
      <c r="T78" s="1266">
        <f>Table1218[[#This Row],[CLOSING BALANCE 
(VND)]]/1000000000</f>
        <v>0.05</v>
      </c>
      <c r="U7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78" s="1114">
        <f>_xlfn.NUMBERVALUE(LEFT(Table1218[[#This Row],[Term (months)]],1))</f>
        <v>1</v>
      </c>
      <c r="W78" s="1112">
        <v>1</v>
      </c>
      <c r="X78" s="1115">
        <f>Table1218[[#This Row],[Column3]]-Table1218[[#This Row],[Per bank statement]]</f>
        <v>0</v>
      </c>
      <c r="Y78" s="1117">
        <v>4.2999999999999997E-2</v>
      </c>
      <c r="Z78" s="1118">
        <f>Table1218[[#This Row],[Interest rate]]-Table1218[[#This Row],[Per bank statement2]]</f>
        <v>4.500000000000004E-3</v>
      </c>
      <c r="AA78" s="1112">
        <v>4.5</v>
      </c>
      <c r="AB78" s="1112"/>
      <c r="AC78" s="1112"/>
    </row>
    <row r="79" spans="1:29">
      <c r="A79" s="919" t="str">
        <f>IFERROR(VLOOKUP($C79,Table2[#All],3,0),0)</f>
        <v>BAC TIEN PHONG</v>
      </c>
      <c r="B79" s="1260" t="str">
        <f>_xlfn.XLOOKUP(Table1218[[#This Row],[ACCOUNT NUMBER]],Table2[Account No.],Table2[BRANCH],"recheck",0)</f>
        <v>BIDV - THANH XUAN</v>
      </c>
      <c r="C79" s="1261" t="s">
        <v>1111</v>
      </c>
      <c r="D79" s="1262" t="str">
        <f>_xlfn.XLOOKUP(Table1218[[#This Row],[ACCOUNT NUMBER]],Table2[Account No.],Table2[ACCOUNT TYPE],"recheck",0)</f>
        <v>Saving Account</v>
      </c>
      <c r="E79" s="1129" t="str">
        <f>_xlfn.XLOOKUP(Table1218[[#This Row],[ACCOUNT NUMBER]],Table2[Account No.],Table2[CURRENCY],"recheck",0)</f>
        <v>VND</v>
      </c>
      <c r="F79" s="926">
        <f>SUMIFS(Table11[CLOSING BALANCE (VND)2],Table11[ACCOUNT NUMBER],Table1218[[#This Row],[ACCOUNT NUMBER]],Table11[CURRENCY],Table1218[[#This Row],[CURRENCY]])</f>
        <v>2067551997</v>
      </c>
      <c r="G79" s="1263"/>
      <c r="H79" s="1129" t="s">
        <v>221</v>
      </c>
      <c r="I79" s="1129"/>
      <c r="J79" s="1129"/>
      <c r="K79" s="1130">
        <v>46044</v>
      </c>
      <c r="L79" s="927">
        <v>4.4999999999999998E-2</v>
      </c>
      <c r="M79" s="1262" t="str">
        <f>VLOOKUP($A79,Table1[[#All],[Entities]:[Name]],MATCH(M$3,Table1[[#Headers],[Entities]:[Name]],0),0)</f>
        <v>Subsidiaries</v>
      </c>
      <c r="N79" s="1262" t="str">
        <f>IFERROR(VLOOKUP(IFERROR(MID($O79,1,FIND("-",$O79)-2),O79),Table3[#All],2,0),0)</f>
        <v>BIDV</v>
      </c>
      <c r="O79" s="1264" t="str">
        <f t="shared" si="2"/>
        <v>BIDV - THANH XUAN</v>
      </c>
      <c r="P79" s="1259"/>
      <c r="Q79" s="1262"/>
      <c r="R79" s="1262"/>
      <c r="S79" s="1265" t="str">
        <f>IF(ISBLANK(Table1218[[#This Row],[Maturity date]]),"","W"&amp;MIN(WEEKNUM($K79+1,2)-WEEKNUM(EOMONTH($K79+1,-1)),4)&amp;TEXT($K79+1,"mmmyy"))</f>
        <v>W-49Jan26</v>
      </c>
      <c r="T79" s="1266">
        <f>Table1218[[#This Row],[CLOSING BALANCE 
(VND)]]/1000000000</f>
        <v>2.0675519969999998</v>
      </c>
      <c r="U7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79" s="1114">
        <f>_xlfn.NUMBERVALUE(LEFT(Table1218[[#This Row],[Term (months)]],1))</f>
        <v>3</v>
      </c>
      <c r="W79" s="1112">
        <v>3</v>
      </c>
      <c r="X79" s="1115">
        <f>Table1218[[#This Row],[Column3]]-Table1218[[#This Row],[Per bank statement]]</f>
        <v>0</v>
      </c>
      <c r="Y79" s="1117">
        <v>4.3999999999999997E-2</v>
      </c>
      <c r="Z79" s="1118">
        <f>Table1218[[#This Row],[Interest rate]]-Table1218[[#This Row],[Per bank statement2]]</f>
        <v>1.0000000000000009E-3</v>
      </c>
      <c r="AA79" s="1112" t="s">
        <v>1550</v>
      </c>
      <c r="AB79" s="1112"/>
      <c r="AC79" s="1112"/>
    </row>
    <row r="80" spans="1:29">
      <c r="A80" s="919" t="str">
        <f>IFERROR(VLOOKUP($C80,Table2[#All],3,0),0)</f>
        <v>BWID HAI DUONG 3</v>
      </c>
      <c r="B80" s="1260" t="str">
        <f>_xlfn.XLOOKUP(Table1218[[#This Row],[ACCOUNT NUMBER]],Table2[Account No.],Table2[BRANCH],"recheck",0)</f>
        <v>BIDV - THANH XUAN</v>
      </c>
      <c r="C80" s="1261" t="s">
        <v>1114</v>
      </c>
      <c r="D80" s="1262" t="str">
        <f>_xlfn.XLOOKUP(Table1218[[#This Row],[ACCOUNT NUMBER]],Table2[Account No.],Table2[ACCOUNT TYPE],"recheck",0)</f>
        <v>Saving Account</v>
      </c>
      <c r="E80" s="1129" t="str">
        <f>_xlfn.XLOOKUP(Table1218[[#This Row],[ACCOUNT NUMBER]],Table2[Account No.],Table2[CURRENCY],"recheck",0)</f>
        <v>VND</v>
      </c>
      <c r="F80" s="926">
        <f>SUMIFS(Table11[CLOSING BALANCE (VND)2],Table11[ACCOUNT NUMBER],Table1218[[#This Row],[ACCOUNT NUMBER]],Table11[CURRENCY],Table1218[[#This Row],[CURRENCY]])</f>
        <v>9000000000</v>
      </c>
      <c r="G80" s="1263"/>
      <c r="H80" s="1267" t="s">
        <v>221</v>
      </c>
      <c r="I80" s="1267"/>
      <c r="J80" s="1267"/>
      <c r="K80" s="1268">
        <v>46044</v>
      </c>
      <c r="L80" s="927">
        <v>4.4999999999999998E-2</v>
      </c>
      <c r="M80" s="1262" t="str">
        <f>VLOOKUP($A80,Table1[[#All],[Entities]:[Name]],MATCH(M$3,Table1[[#Headers],[Entities]:[Name]],0),0)</f>
        <v>Subsidiaries</v>
      </c>
      <c r="N80" s="1262" t="str">
        <f>IFERROR(VLOOKUP(IFERROR(MID($O80,1,FIND("-",$O80)-2),O80),Table3[#All],2,0),0)</f>
        <v>BIDV</v>
      </c>
      <c r="O80" s="1264" t="str">
        <f t="shared" si="2"/>
        <v>BIDV - THANH XUAN</v>
      </c>
      <c r="P80" s="1259"/>
      <c r="Q80" s="1262"/>
      <c r="R80" s="1262"/>
      <c r="S80" s="1265" t="str">
        <f>IF(ISBLANK(Table1218[[#This Row],[Maturity date]]),"","W"&amp;MIN(WEEKNUM($K80+1,2)-WEEKNUM(EOMONTH($K80+1,-1)),4)&amp;TEXT($K80+1,"mmmyy"))</f>
        <v>W-49Jan26</v>
      </c>
      <c r="T80" s="1266">
        <f>Table1218[[#This Row],[CLOSING BALANCE 
(VND)]]/1000000000</f>
        <v>9</v>
      </c>
      <c r="U8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80" s="1114">
        <f>_xlfn.NUMBERVALUE(LEFT(Table1218[[#This Row],[Term (months)]],1))</f>
        <v>3</v>
      </c>
      <c r="W80" s="1112">
        <v>3</v>
      </c>
      <c r="X80" s="1115">
        <f>Table1218[[#This Row],[Column3]]-Table1218[[#This Row],[Per bank statement]]</f>
        <v>0</v>
      </c>
      <c r="Y80" s="1117">
        <v>4.3999999999999997E-2</v>
      </c>
      <c r="Z80" s="1118">
        <f>Table1218[[#This Row],[Interest rate]]-Table1218[[#This Row],[Per bank statement2]]</f>
        <v>1.0000000000000009E-3</v>
      </c>
      <c r="AA80" s="1112" t="s">
        <v>1550</v>
      </c>
      <c r="AB80" s="1112"/>
      <c r="AC80" s="1112"/>
    </row>
    <row r="81" spans="1:29">
      <c r="A81" s="919" t="str">
        <f>IFERROR(VLOOKUP($C81,Table2[#All],3,0),0)</f>
        <v>BWID LOGISTICS TAN UYEN</v>
      </c>
      <c r="B81" s="1260" t="str">
        <f>_xlfn.XLOOKUP(Table1218[[#This Row],[ACCOUNT NUMBER]],Table2[Account No.],Table2[BRANCH],"recheck",0)</f>
        <v>VIETCOMBANK - BA DINH</v>
      </c>
      <c r="C81" s="1269" t="s">
        <v>5387</v>
      </c>
      <c r="D81" s="1262" t="str">
        <f>_xlfn.XLOOKUP(Table1218[[#This Row],[ACCOUNT NUMBER]],Table2[Account No.],Table2[ACCOUNT TYPE],"recheck",0)</f>
        <v>Saving Account</v>
      </c>
      <c r="E81" s="1129" t="str">
        <f>_xlfn.XLOOKUP(Table1218[[#This Row],[ACCOUNT NUMBER]],Table2[Account No.],Table2[CURRENCY],"recheck",0)</f>
        <v>VND</v>
      </c>
      <c r="F81" s="926">
        <f>SUMIFS(Table11[CLOSING BALANCE (VND)2],Table11[ACCOUNT NUMBER],Table1218[[#This Row],[ACCOUNT NUMBER]],Table11[CURRENCY],Table1218[[#This Row],[CURRENCY]])</f>
        <v>5215073357</v>
      </c>
      <c r="G81" s="1263"/>
      <c r="H81" s="1129" t="s">
        <v>220</v>
      </c>
      <c r="I81" s="1129"/>
      <c r="J81" s="1129"/>
      <c r="K81" s="1130">
        <v>46064</v>
      </c>
      <c r="L81" s="927">
        <v>4.4999999999999998E-2</v>
      </c>
      <c r="M81" s="1262" t="str">
        <f>VLOOKUP($A81,Table1[[#All],[Entities]:[Name]],MATCH(M$3,Table1[[#Headers],[Entities]:[Name]],0),0)</f>
        <v>Subsidiaries</v>
      </c>
      <c r="N81" s="1262" t="str">
        <f>IFERROR(VLOOKUP(IFERROR(MID($O81,1,FIND("-",$O81)-2),O81),Table3[#All],2,0),0)</f>
        <v>VCB</v>
      </c>
      <c r="O81" s="1264" t="str">
        <f t="shared" si="2"/>
        <v>VIETCOMBANK - BA DINH</v>
      </c>
      <c r="P81" s="1259"/>
      <c r="Q81" s="1262"/>
      <c r="R81" s="1262"/>
      <c r="S81" s="1265" t="str">
        <f>IF(ISBLANK(Table1218[[#This Row],[Maturity date]]),"","W"&amp;MIN(WEEKNUM($K81+1,2)-WEEKNUM(EOMONTH($K81+1,-1)),4)&amp;TEXT($K81+1,"mmmyy"))</f>
        <v>W2Feb26</v>
      </c>
      <c r="T81" s="1266">
        <f>Table1218[[#This Row],[CLOSING BALANCE 
(VND)]]/1000000000</f>
        <v>5.2150733569999996</v>
      </c>
      <c r="U8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81" s="1114">
        <f>_xlfn.NUMBERVALUE(LEFT(Table1218[[#This Row],[Term (months)]],1))</f>
        <v>2</v>
      </c>
      <c r="W81" s="1112">
        <v>2</v>
      </c>
      <c r="X81" s="1115">
        <f>Table1218[[#This Row],[Column3]]-Table1218[[#This Row],[Per bank statement]]</f>
        <v>0</v>
      </c>
      <c r="Y81" s="1117">
        <v>4.4999999999999998E-2</v>
      </c>
      <c r="Z81" s="1119">
        <f>Table1218[[#This Row],[Interest rate]]-Table1218[[#This Row],[Per bank statement2]]</f>
        <v>0</v>
      </c>
      <c r="AA81" s="1112"/>
      <c r="AB81" s="1112"/>
      <c r="AC81" s="1112"/>
    </row>
    <row r="82" spans="1:29">
      <c r="A82" s="919" t="str">
        <f>IFERROR(VLOOKUP($C82,Table2[#All],3,0),0)</f>
        <v>BW DONG HAI</v>
      </c>
      <c r="B82" s="1260" t="str">
        <f>_xlfn.XLOOKUP(Table1218[[#This Row],[ACCOUNT NUMBER]],Table2[Account No.],Table2[BRANCH],"recheck",0)</f>
        <v>BIDV - THANH XUAN</v>
      </c>
      <c r="C82" s="1261" t="s">
        <v>1141</v>
      </c>
      <c r="D82" s="1262" t="str">
        <f>_xlfn.XLOOKUP(Table1218[[#This Row],[ACCOUNT NUMBER]],Table2[Account No.],Table2[ACCOUNT TYPE],"recheck",0)</f>
        <v>Saving Account</v>
      </c>
      <c r="E82" s="1129" t="str">
        <f>_xlfn.XLOOKUP(Table1218[[#This Row],[ACCOUNT NUMBER]],Table2[Account No.],Table2[CURRENCY],"recheck",0)</f>
        <v>VND</v>
      </c>
      <c r="F82" s="926">
        <f>SUMIFS(Table11[CLOSING BALANCE (VND)2],Table11[ACCOUNT NUMBER],Table1218[[#This Row],[ACCOUNT NUMBER]],Table11[CURRENCY],Table1218[[#This Row],[CURRENCY]])</f>
        <v>8442365763</v>
      </c>
      <c r="G82" s="1263"/>
      <c r="H82" s="1129" t="s">
        <v>221</v>
      </c>
      <c r="I82" s="1129"/>
      <c r="J82" s="1129"/>
      <c r="K82" s="1130">
        <v>46081</v>
      </c>
      <c r="L82" s="927">
        <v>4.7500000000000001E-2</v>
      </c>
      <c r="M82" s="1262" t="str">
        <f>VLOOKUP($A82,Table1[[#All],[Entities]:[Name]],MATCH(M$3,Table1[[#Headers],[Entities]:[Name]],0),0)</f>
        <v>Subsidiaries</v>
      </c>
      <c r="N82" s="1262" t="str">
        <f>IFERROR(VLOOKUP(IFERROR(MID($O82,1,FIND("-",$O82)-2),O82),Table3[#All],2,0),0)</f>
        <v>BIDV</v>
      </c>
      <c r="O82" s="1264" t="str">
        <f t="shared" si="2"/>
        <v>BIDV - THANH XUAN</v>
      </c>
      <c r="P82" s="1259"/>
      <c r="Q82" s="1262"/>
      <c r="R82" s="1262"/>
      <c r="S82" s="1265" t="str">
        <f>IF(ISBLANK(Table1218[[#This Row],[Maturity date]]),"","W"&amp;MIN(WEEKNUM($K82+1,2)-WEEKNUM(EOMONTH($K82+1,-1)),4)&amp;TEXT($K82+1,"mmmyy"))</f>
        <v>W0Mar26</v>
      </c>
      <c r="T82" s="1266">
        <f>Table1218[[#This Row],[CLOSING BALANCE 
(VND)]]/1000000000</f>
        <v>8.4423657629999997</v>
      </c>
      <c r="U8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82" s="1114">
        <f>_xlfn.NUMBERVALUE(LEFT(Table1218[[#This Row],[Term (months)]],1))</f>
        <v>3</v>
      </c>
      <c r="W82" s="1112">
        <v>3</v>
      </c>
      <c r="X82" s="1115">
        <f>Table1218[[#This Row],[Column3]]-Table1218[[#This Row],[Per bank statement]]</f>
        <v>0</v>
      </c>
      <c r="Y82" s="1117">
        <v>4.4999999999999998E-2</v>
      </c>
      <c r="Z82" s="1118">
        <f>Table1218[[#This Row],[Interest rate]]-Table1218[[#This Row],[Per bank statement2]]</f>
        <v>2.5000000000000022E-3</v>
      </c>
      <c r="AA82" s="1112" t="s">
        <v>1550</v>
      </c>
      <c r="AB82" s="1112"/>
      <c r="AC82" s="1112"/>
    </row>
    <row r="83" spans="1:29">
      <c r="A83" s="919" t="str">
        <f>IFERROR(VLOOKUP($C83,Table2[#All],3,0),0)</f>
        <v>KIM TRUC DN</v>
      </c>
      <c r="B83" s="1260" t="str">
        <f>_xlfn.XLOOKUP(Table1218[[#This Row],[ACCOUNT NUMBER]],Table2[Account No.],Table2[BRANCH],"recheck",0)</f>
        <v>BIDV - NAM SAI GON</v>
      </c>
      <c r="C83" s="1261" t="s">
        <v>1142</v>
      </c>
      <c r="D83" s="1262" t="str">
        <f>_xlfn.XLOOKUP(Table1218[[#This Row],[ACCOUNT NUMBER]],Table2[Account No.],Table2[ACCOUNT TYPE],"recheck",0)</f>
        <v>Saving Account</v>
      </c>
      <c r="E83" s="1129" t="str">
        <f>_xlfn.XLOOKUP(Table1218[[#This Row],[ACCOUNT NUMBER]],Table2[Account No.],Table2[CURRENCY],"recheck",0)</f>
        <v>VND</v>
      </c>
      <c r="F83" s="926">
        <f>SUMIFS(Table11[CLOSING BALANCE (VND)2],Table11[ACCOUNT NUMBER],Table1218[[#This Row],[ACCOUNT NUMBER]],Table11[CURRENCY],Table1218[[#This Row],[CURRENCY]])</f>
        <v>1460000000</v>
      </c>
      <c r="G83" s="1263"/>
      <c r="H83" s="1129" t="s">
        <v>228</v>
      </c>
      <c r="I83" s="1129"/>
      <c r="J83" s="1129"/>
      <c r="K83" s="1130">
        <v>46074</v>
      </c>
      <c r="L83" s="927">
        <v>5.1999999999999998E-2</v>
      </c>
      <c r="M83" s="1262" t="str">
        <f>VLOOKUP($A83,Table1[[#All],[Entities]:[Name]],MATCH(M$3,Table1[[#Headers],[Entities]:[Name]],0),0)</f>
        <v>Subsidiaries</v>
      </c>
      <c r="N83" s="1262" t="str">
        <f>IFERROR(VLOOKUP(IFERROR(MID($O83,1,FIND("-",$O83)-2),O83),Table3[#All],2,0),0)</f>
        <v>BIDV</v>
      </c>
      <c r="O83" s="1264" t="str">
        <f t="shared" si="2"/>
        <v>BIDV - NAM SAI GON</v>
      </c>
      <c r="P83" s="1259"/>
      <c r="Q83" s="1262"/>
      <c r="R83" s="1262"/>
      <c r="S83" s="1265" t="str">
        <f>IF(ISBLANK(Table1218[[#This Row],[Maturity date]]),"","W"&amp;MIN(WEEKNUM($K83+1,2)-WEEKNUM(EOMONTH($K83+1,-1)),4)&amp;TEXT($K83+1,"mmmyy"))</f>
        <v>W3Feb26</v>
      </c>
      <c r="T83" s="1266">
        <f>Table1218[[#This Row],[CLOSING BALANCE 
(VND)]]/1000000000</f>
        <v>1.46</v>
      </c>
      <c r="U8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83" s="1114">
        <v>12</v>
      </c>
      <c r="W83" s="1112">
        <v>12</v>
      </c>
      <c r="X83" s="1115">
        <f>Table1218[[#This Row],[Column3]]-Table1218[[#This Row],[Per bank statement]]</f>
        <v>0</v>
      </c>
      <c r="Y83" s="1117">
        <v>5.1999999999999998E-2</v>
      </c>
      <c r="Z83" s="1118">
        <f>Table1218[[#This Row],[Interest rate]]-Table1218[[#This Row],[Per bank statement2]]</f>
        <v>0</v>
      </c>
      <c r="AA83" s="1112" t="s">
        <v>5385</v>
      </c>
      <c r="AB83" s="1112"/>
      <c r="AC83" s="1112"/>
    </row>
    <row r="84" spans="1:29">
      <c r="A84" s="920" t="str">
        <f>IFERROR(VLOOKUP($C84,Table2[#All],3,0),0)</f>
        <v>XENIA 2</v>
      </c>
      <c r="B84" s="921" t="str">
        <f>_xlfn.XLOOKUP(Table1218[[#This Row],[ACCOUNT NUMBER]],Table2[Account No.],Table2[BRANCH],"recheck",0)</f>
        <v>VIETINBANK - TIEN SON</v>
      </c>
      <c r="C84" s="1141" t="s">
        <v>1139</v>
      </c>
      <c r="D84" s="922" t="str">
        <f>_xlfn.XLOOKUP(Table1218[[#This Row],[ACCOUNT NUMBER]],Table2[Account No.],Table2[ACCOUNT TYPE],"recheck",0)</f>
        <v>Saving Account</v>
      </c>
      <c r="E84" s="1129" t="str">
        <f>_xlfn.XLOOKUP(Table1218[[#This Row],[ACCOUNT NUMBER]],Table2[Account No.],Table2[CURRENCY],"recheck",0)</f>
        <v>VND</v>
      </c>
      <c r="F84" s="926">
        <f>SUMIFS(Table11[CLOSING BALANCE (VND)2],Table11[ACCOUNT NUMBER],Table1218[[#This Row],[ACCOUNT NUMBER]],Table11[CURRENCY],Table1218[[#This Row],[CURRENCY]])</f>
        <v>3000000000</v>
      </c>
      <c r="G84" s="926"/>
      <c r="H84" s="1129" t="s">
        <v>219</v>
      </c>
      <c r="I84" s="1129"/>
      <c r="J84" s="1129"/>
      <c r="K84" s="1130">
        <v>46047</v>
      </c>
      <c r="L84" s="927">
        <v>4.7500000000000001E-2</v>
      </c>
      <c r="M84" s="922" t="str">
        <f>VLOOKUP($A84,Table1[[#All],[Entities]:[Name]],MATCH(M$3,Table1[[#Headers],[Entities]:[Name]],0),0)</f>
        <v>Subsidiaries</v>
      </c>
      <c r="N84" s="922" t="str">
        <f>IFERROR(VLOOKUP(IFERROR(MID($O84,1,FIND("-",$O84)-2),O84),Table3[#All],2,0),0)</f>
        <v>VTB</v>
      </c>
      <c r="O84" s="923" t="str">
        <f t="shared" si="2"/>
        <v>VIETINBANK - TIEN SON</v>
      </c>
      <c r="P84" s="927"/>
      <c r="Q84" s="922"/>
      <c r="R84" s="922"/>
      <c r="S84" s="924" t="str">
        <f>IF(ISBLANK(Table1218[[#This Row],[Maturity date]]),"","W"&amp;MIN(WEEKNUM($K84+1,2)-WEEKNUM(EOMONTH($K84+1,-1)),4)&amp;TEXT($K84+1,"mmmyy"))</f>
        <v>W-48Jan26</v>
      </c>
      <c r="T84" s="925">
        <f>Table1218[[#This Row],[CLOSING BALANCE 
(VND)]]/1000000000</f>
        <v>3</v>
      </c>
      <c r="U8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84" s="1114">
        <f>_xlfn.NUMBERVALUE(LEFT(Table1218[[#This Row],[Term (months)]],1))</f>
        <v>1</v>
      </c>
      <c r="W84" s="1112">
        <v>1</v>
      </c>
      <c r="X84" s="1115">
        <f>Table1218[[#This Row],[Column3]]-Table1218[[#This Row],[Per bank statement]]</f>
        <v>0</v>
      </c>
      <c r="Y84" s="1117">
        <v>4.2999999999999997E-2</v>
      </c>
      <c r="Z84" s="1118">
        <f>Table1218[[#This Row],[Interest rate]]-Table1218[[#This Row],[Per bank statement2]]</f>
        <v>4.500000000000004E-3</v>
      </c>
      <c r="AA84" s="1117">
        <v>4.4999999999999998E-2</v>
      </c>
      <c r="AB84" s="1112"/>
      <c r="AC84" s="1112"/>
    </row>
    <row r="85" spans="1:29">
      <c r="A85" s="919" t="str">
        <f>IFERROR(VLOOKUP($C85,Table2[#All],3,0),0)</f>
        <v>XENIA 2</v>
      </c>
      <c r="B85" s="1260" t="str">
        <f>_xlfn.XLOOKUP(Table1218[[#This Row],[ACCOUNT NUMBER]],Table2[Account No.],Table2[BRANCH],"recheck",0)</f>
        <v>VIETINBANK - TIEN SON</v>
      </c>
      <c r="C85" s="1261" t="s">
        <v>1140</v>
      </c>
      <c r="D85" s="1262" t="str">
        <f>_xlfn.XLOOKUP(Table1218[[#This Row],[ACCOUNT NUMBER]],Table2[Account No.],Table2[ACCOUNT TYPE],"recheck",0)</f>
        <v>Saving Account</v>
      </c>
      <c r="E85" s="1129" t="str">
        <f>_xlfn.XLOOKUP(Table1218[[#This Row],[ACCOUNT NUMBER]],Table2[Account No.],Table2[CURRENCY],"recheck",0)</f>
        <v>VND</v>
      </c>
      <c r="F85" s="926">
        <f>SUMIFS(Table11[CLOSING BALANCE (VND)2],Table11[ACCOUNT NUMBER],Table1218[[#This Row],[ACCOUNT NUMBER]],Table11[CURRENCY],Table1218[[#This Row],[CURRENCY]])</f>
        <v>2500000000</v>
      </c>
      <c r="G85" s="1263"/>
      <c r="H85" s="1129" t="s">
        <v>219</v>
      </c>
      <c r="I85" s="1129"/>
      <c r="J85" s="1129"/>
      <c r="K85" s="1130">
        <v>46047</v>
      </c>
      <c r="L85" s="927">
        <v>4.7500000000000001E-2</v>
      </c>
      <c r="M85" s="1262" t="str">
        <f>VLOOKUP($A85,Table1[[#All],[Entities]:[Name]],MATCH(M$3,Table1[[#Headers],[Entities]:[Name]],0),0)</f>
        <v>Subsidiaries</v>
      </c>
      <c r="N85" s="1262" t="str">
        <f>IFERROR(VLOOKUP(IFERROR(MID($O85,1,FIND("-",$O85)-2),O85),Table3[#All],2,0),0)</f>
        <v>VTB</v>
      </c>
      <c r="O85" s="1264" t="str">
        <f t="shared" si="2"/>
        <v>VIETINBANK - TIEN SON</v>
      </c>
      <c r="P85" s="1259"/>
      <c r="Q85" s="1262"/>
      <c r="R85" s="1262"/>
      <c r="S85" s="1265" t="str">
        <f>IF(ISBLANK(Table1218[[#This Row],[Maturity date]]),"","W"&amp;MIN(WEEKNUM($K85+1,2)-WEEKNUM(EOMONTH($K85+1,-1)),4)&amp;TEXT($K85+1,"mmmyy"))</f>
        <v>W-48Jan26</v>
      </c>
      <c r="T85" s="1266">
        <f>Table1218[[#This Row],[CLOSING BALANCE 
(VND)]]/1000000000</f>
        <v>2.5</v>
      </c>
      <c r="U8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85" s="1114">
        <f>_xlfn.NUMBERVALUE(LEFT(Table1218[[#This Row],[Term (months)]],1))</f>
        <v>1</v>
      </c>
      <c r="W85" s="1112">
        <v>1</v>
      </c>
      <c r="X85" s="1115">
        <f>Table1218[[#This Row],[Column3]]-Table1218[[#This Row],[Per bank statement]]</f>
        <v>0</v>
      </c>
      <c r="Y85" s="1117">
        <v>4.2999999999999997E-2</v>
      </c>
      <c r="Z85" s="1118">
        <f>Table1218[[#This Row],[Interest rate]]-Table1218[[#This Row],[Per bank statement2]]</f>
        <v>4.500000000000004E-3</v>
      </c>
      <c r="AA85" s="1117">
        <v>4.4999999999999998E-2</v>
      </c>
      <c r="AB85" s="1112"/>
      <c r="AC85" s="1112"/>
    </row>
    <row r="86" spans="1:29">
      <c r="A86" s="919" t="str">
        <f>IFERROR(VLOOKUP($C86,Table2[#All],3,0),0)</f>
        <v>KIM TRUC DN</v>
      </c>
      <c r="B86" s="1260" t="str">
        <f>_xlfn.XLOOKUP(Table1218[[#This Row],[ACCOUNT NUMBER]],Table2[Account No.],Table2[BRANCH],"recheck",0)</f>
        <v>BIDV - NAM SAI GON</v>
      </c>
      <c r="C86" s="1261" t="s">
        <v>1151</v>
      </c>
      <c r="D86" s="1262" t="str">
        <f>_xlfn.XLOOKUP(Table1218[[#This Row],[ACCOUNT NUMBER]],Table2[Account No.],Table2[ACCOUNT TYPE],"recheck",0)</f>
        <v>Saving Account</v>
      </c>
      <c r="E86" s="1129" t="str">
        <f>_xlfn.XLOOKUP(Table1218[[#This Row],[ACCOUNT NUMBER]],Table2[Account No.],Table2[CURRENCY],"recheck",0)</f>
        <v>VND</v>
      </c>
      <c r="F86" s="926">
        <f>SUMIFS(Table11[CLOSING BALANCE (VND)2],Table11[ACCOUNT NUMBER],Table1218[[#This Row],[ACCOUNT NUMBER]],Table11[CURRENCY],Table1218[[#This Row],[CURRENCY]])</f>
        <v>6000000000</v>
      </c>
      <c r="G86" s="1263"/>
      <c r="H86" s="1267" t="s">
        <v>219</v>
      </c>
      <c r="I86" s="1267">
        <v>0</v>
      </c>
      <c r="J86" s="1130">
        <v>45722</v>
      </c>
      <c r="K86" s="1130">
        <v>46059</v>
      </c>
      <c r="L86" s="927">
        <v>4.7500000000000001E-2</v>
      </c>
      <c r="M86" s="1262" t="str">
        <f>VLOOKUP($A86,Table1[[#All],[Entities]:[Name]],MATCH(M$3,Table1[[#Headers],[Entities]:[Name]],0),0)</f>
        <v>Subsidiaries</v>
      </c>
      <c r="N86" s="1262" t="str">
        <f>IFERROR(VLOOKUP(IFERROR(MID($O86,1,FIND("-",$O86)-2),O86),Table3[#All],2,0),0)</f>
        <v>BIDV</v>
      </c>
      <c r="O86" s="1264" t="str">
        <f t="shared" si="2"/>
        <v>BIDV - NAM SAI GON</v>
      </c>
      <c r="P86" s="1259"/>
      <c r="Q86" s="1262"/>
      <c r="R86" s="1262"/>
      <c r="S86" s="1265" t="str">
        <f>IF(ISBLANK(Table1218[[#This Row],[Maturity date]]),"","W"&amp;MIN(WEEKNUM($K86+1,2)-WEEKNUM(EOMONTH($K86+1,-1)),4)&amp;TEXT($K86+1,"mmmyy"))</f>
        <v>W1Feb26</v>
      </c>
      <c r="T86" s="1266">
        <f>Table1218[[#This Row],[CLOSING BALANCE 
(VND)]]/1000000000</f>
        <v>6</v>
      </c>
      <c r="U8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86" s="1114">
        <f>_xlfn.NUMBERVALUE(LEFT(Table1218[[#This Row],[Term (months)]],1))</f>
        <v>1</v>
      </c>
      <c r="W86" s="1112">
        <v>1</v>
      </c>
      <c r="X86" s="1115">
        <f>Table1218[[#This Row],[Column3]]-Table1218[[#This Row],[Per bank statement]]</f>
        <v>0</v>
      </c>
      <c r="Y86" s="1117">
        <v>4.2999999999999997E-2</v>
      </c>
      <c r="Z86" s="1118">
        <f>Table1218[[#This Row],[Interest rate]]-Table1218[[#This Row],[Per bank statement2]]</f>
        <v>4.500000000000004E-3</v>
      </c>
      <c r="AA86" s="1112" t="s">
        <v>5382</v>
      </c>
      <c r="AB86" s="1112"/>
      <c r="AC86" s="1112"/>
    </row>
    <row r="87" spans="1:29">
      <c r="A87" s="920" t="str">
        <f>IFERROR(VLOOKUP($C87,Table2[#All],3,0),0)</f>
        <v>WINLOCK 2A</v>
      </c>
      <c r="B87" s="921" t="str">
        <f>_xlfn.XLOOKUP(Table1218[[#This Row],[ACCOUNT NUMBER]],Table2[Account No.],Table2[BRANCH],"recheck",0)</f>
        <v>VIETINBANK - TIEN SON</v>
      </c>
      <c r="C87" s="1141" t="s">
        <v>1167</v>
      </c>
      <c r="D87" s="922" t="str">
        <f>_xlfn.XLOOKUP(Table1218[[#This Row],[ACCOUNT NUMBER]],Table2[Account No.],Table2[ACCOUNT TYPE],"recheck",0)</f>
        <v>Saving Account</v>
      </c>
      <c r="E87" s="1129" t="str">
        <f>_xlfn.XLOOKUP(Table1218[[#This Row],[ACCOUNT NUMBER]],Table2[Account No.],Table2[CURRENCY],"recheck",0)</f>
        <v>VND</v>
      </c>
      <c r="F87" s="926">
        <f>SUMIFS(Table11[CLOSING BALANCE (VND)2],Table11[ACCOUNT NUMBER],Table1218[[#This Row],[ACCOUNT NUMBER]],Table11[CURRENCY],Table1218[[#This Row],[CURRENCY]])</f>
        <v>2647867968</v>
      </c>
      <c r="G87" s="926"/>
      <c r="H87" s="1129" t="s">
        <v>229</v>
      </c>
      <c r="I87" s="1267">
        <v>0</v>
      </c>
      <c r="J87" s="1130">
        <v>45741</v>
      </c>
      <c r="K87" s="1130">
        <v>46137</v>
      </c>
      <c r="L87" s="927">
        <v>4.7E-2</v>
      </c>
      <c r="M87" s="922" t="str">
        <f>VLOOKUP($A87,Table1[[#All],[Entities]:[Name]],MATCH(M$3,Table1[[#Headers],[Entities]:[Name]],0),0)</f>
        <v>Subsidiaries</v>
      </c>
      <c r="N87" s="922" t="str">
        <f>IFERROR(VLOOKUP(IFERROR(MID($O87,1,FIND("-",$O87)-2),O87),Table3[#All],2,0),0)</f>
        <v>VTB</v>
      </c>
      <c r="O87" s="923" t="str">
        <f>B87</f>
        <v>VIETINBANK - TIEN SON</v>
      </c>
      <c r="P87" s="927"/>
      <c r="Q87" s="922"/>
      <c r="R87" s="922"/>
      <c r="S87" s="924" t="str">
        <f>IF(ISBLANK(Table1218[[#This Row],[Maturity date]]),"","W"&amp;MIN(WEEKNUM($K87+1,2)-WEEKNUM(EOMONTH($K87+1,-1)),4)&amp;TEXT($K87+1,"mmmyy"))</f>
        <v>W3Apr26</v>
      </c>
      <c r="T87" s="1214">
        <f>Table1218[[#This Row],[CLOSING BALANCE 
(VND)]]/1000000000</f>
        <v>2.6478679679999999</v>
      </c>
      <c r="U87"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3 months</v>
      </c>
      <c r="V87" s="1113">
        <v>13</v>
      </c>
      <c r="W87" s="1112">
        <v>13</v>
      </c>
      <c r="X87" s="1115">
        <f>Table1218[[#This Row],[Column3]]-Table1218[[#This Row],[Per bank statement]]</f>
        <v>0</v>
      </c>
      <c r="Y87" s="1117">
        <v>4.7E-2</v>
      </c>
      <c r="Z87" s="1118">
        <f>Table1218[[#This Row],[Interest rate]]-Table1218[[#This Row],[Per bank statement2]]</f>
        <v>0</v>
      </c>
      <c r="AA87" s="1112" t="e">
        <v>#N/A</v>
      </c>
      <c r="AB87" s="1112"/>
      <c r="AC87" s="1112"/>
    </row>
    <row r="88" spans="1:29">
      <c r="A88" s="919" t="str">
        <f>IFERROR(VLOOKUP($C88,Table2[#All],3,0),0)</f>
        <v>WINLOCK 2A</v>
      </c>
      <c r="B88" s="1260" t="str">
        <f>_xlfn.XLOOKUP(Table1218[[#This Row],[ACCOUNT NUMBER]],Table2[Account No.],Table2[BRANCH],"recheck",0)</f>
        <v>VIETINBANK - TIEN SON</v>
      </c>
      <c r="C88" s="1261" t="s">
        <v>1168</v>
      </c>
      <c r="D88" s="1262" t="str">
        <f>_xlfn.XLOOKUP(Table1218[[#This Row],[ACCOUNT NUMBER]],Table2[Account No.],Table2[ACCOUNT TYPE],"recheck",0)</f>
        <v>Saving Account</v>
      </c>
      <c r="E88" s="1129" t="str">
        <f>_xlfn.XLOOKUP(Table1218[[#This Row],[ACCOUNT NUMBER]],Table2[Account No.],Table2[CURRENCY],"recheck",0)</f>
        <v>VND</v>
      </c>
      <c r="F88" s="926">
        <f>SUMIFS(Table11[CLOSING BALANCE (VND)2],Table11[ACCOUNT NUMBER],Table1218[[#This Row],[ACCOUNT NUMBER]],Table11[CURRENCY],Table1218[[#This Row],[CURRENCY]])</f>
        <v>3277700640</v>
      </c>
      <c r="G88" s="1263"/>
      <c r="H88" s="1129" t="s">
        <v>229</v>
      </c>
      <c r="I88" s="1267">
        <v>0</v>
      </c>
      <c r="J88" s="1130">
        <v>45741</v>
      </c>
      <c r="K88" s="1130">
        <v>46137</v>
      </c>
      <c r="L88" s="927">
        <v>4.7E-2</v>
      </c>
      <c r="M88" s="1262" t="str">
        <f>VLOOKUP($A88,Table1[[#All],[Entities]:[Name]],MATCH(M$3,Table1[[#Headers],[Entities]:[Name]],0),0)</f>
        <v>Subsidiaries</v>
      </c>
      <c r="N88" s="1262" t="str">
        <f>IFERROR(VLOOKUP(IFERROR(MID($O88,1,FIND("-",$O88)-2),O88),Table3[#All],2,0),0)</f>
        <v>VTB</v>
      </c>
      <c r="O88" s="1264" t="str">
        <f t="shared" ref="O88:O103" si="3">B88</f>
        <v>VIETINBANK - TIEN SON</v>
      </c>
      <c r="P88" s="1259"/>
      <c r="Q88" s="1262"/>
      <c r="R88" s="1262"/>
      <c r="S88" s="1265" t="str">
        <f>IF(ISBLANK(Table1218[[#This Row],[Maturity date]]),"","W"&amp;MIN(WEEKNUM($K88+1,2)-WEEKNUM(EOMONTH($K88+1,-1)),4)&amp;TEXT($K88+1,"mmmyy"))</f>
        <v>W3Apr26</v>
      </c>
      <c r="T88" s="1270">
        <f>Table1218[[#This Row],[CLOSING BALANCE 
(VND)]]/1000000000</f>
        <v>3.2777006399999999</v>
      </c>
      <c r="U88"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3 months</v>
      </c>
      <c r="V88" s="1113">
        <v>13</v>
      </c>
      <c r="W88" s="1112">
        <v>13</v>
      </c>
      <c r="X88" s="1115">
        <f>Table1218[[#This Row],[Column3]]-Table1218[[#This Row],[Per bank statement]]</f>
        <v>0</v>
      </c>
      <c r="Y88" s="1117">
        <v>4.7E-2</v>
      </c>
      <c r="Z88" s="1118">
        <f>Table1218[[#This Row],[Interest rate]]-Table1218[[#This Row],[Per bank statement2]]</f>
        <v>0</v>
      </c>
      <c r="AA88" s="1112" t="e">
        <v>#N/A</v>
      </c>
      <c r="AB88" s="1112"/>
      <c r="AC88" s="1112"/>
    </row>
    <row r="89" spans="1:29">
      <c r="A89" s="919" t="str">
        <f>IFERROR(VLOOKUP($C89,Table2[#All],3,0),0)</f>
        <v>BWID HAI DUONG</v>
      </c>
      <c r="B89" s="1260" t="str">
        <f>_xlfn.XLOOKUP(Table1218[[#This Row],[ACCOUNT NUMBER]],Table2[Account No.],Table2[BRANCH],"recheck",0)</f>
        <v>VIETINBANK - TIEN SON</v>
      </c>
      <c r="C89" s="1261" t="s">
        <v>1171</v>
      </c>
      <c r="D89" s="1262" t="str">
        <f>_xlfn.XLOOKUP(Table1218[[#This Row],[ACCOUNT NUMBER]],Table2[Account No.],Table2[ACCOUNT TYPE],"recheck",0)</f>
        <v>Saving Account</v>
      </c>
      <c r="E89" s="1129" t="str">
        <f>_xlfn.XLOOKUP(Table1218[[#This Row],[ACCOUNT NUMBER]],Table2[Account No.],Table2[CURRENCY],"recheck",0)</f>
        <v>VND</v>
      </c>
      <c r="F89" s="926">
        <f>SUMIFS(Table11[CLOSING BALANCE (VND)2],Table11[ACCOUNT NUMBER],Table1218[[#This Row],[ACCOUNT NUMBER]],Table11[CURRENCY],Table1218[[#This Row],[CURRENCY]])</f>
        <v>16000000000</v>
      </c>
      <c r="G89" s="1263"/>
      <c r="H89" s="1267" t="s">
        <v>219</v>
      </c>
      <c r="I89" s="1267"/>
      <c r="J89" s="1267"/>
      <c r="K89" s="1268">
        <v>46068</v>
      </c>
      <c r="L89" s="927">
        <v>4.7500000000000001E-2</v>
      </c>
      <c r="M89" s="1262" t="str">
        <f>VLOOKUP($A89,Table1[[#All],[Entities]:[Name]],MATCH(M$3,Table1[[#Headers],[Entities]:[Name]],0),0)</f>
        <v>Subsidiaries</v>
      </c>
      <c r="N89" s="1262" t="str">
        <f>IFERROR(VLOOKUP(IFERROR(MID($O89,1,FIND("-",$O89)-2),O89),Table3[#All],2,0),0)</f>
        <v>VTB</v>
      </c>
      <c r="O89" s="1264" t="str">
        <f t="shared" si="3"/>
        <v>VIETINBANK - TIEN SON</v>
      </c>
      <c r="P89" s="1259"/>
      <c r="Q89" s="1262"/>
      <c r="R89" s="1262"/>
      <c r="S89" s="1265" t="str">
        <f>IF(ISBLANK(Table1218[[#This Row],[Maturity date]]),"","W"&amp;MIN(WEEKNUM($K89+1,2)-WEEKNUM(EOMONTH($K89+1,-1)),4)&amp;TEXT($K89+1,"mmmyy"))</f>
        <v>W3Feb26</v>
      </c>
      <c r="T89" s="1266">
        <f>Table1218[[#This Row],[CLOSING BALANCE 
(VND)]]/1000000000</f>
        <v>16</v>
      </c>
      <c r="U8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89" s="1114">
        <f>_xlfn.NUMBERVALUE(LEFT(Table1218[[#This Row],[Term (months)]],1))</f>
        <v>1</v>
      </c>
      <c r="W89" s="1112">
        <v>1</v>
      </c>
      <c r="X89" s="1115">
        <f>Table1218[[#This Row],[Column3]]-Table1218[[#This Row],[Per bank statement]]</f>
        <v>0</v>
      </c>
      <c r="Y89" s="1117">
        <v>4.4999999999999998E-2</v>
      </c>
      <c r="Z89" s="1118">
        <f>Table1218[[#This Row],[Interest rate]]-Table1218[[#This Row],[Per bank statement2]]</f>
        <v>2.5000000000000022E-3</v>
      </c>
      <c r="AA89" s="1112">
        <v>4.5</v>
      </c>
      <c r="AB89" s="1112"/>
      <c r="AC89" s="1112"/>
    </row>
    <row r="90" spans="1:29">
      <c r="A90" s="919" t="str">
        <f>IFERROR(VLOOKUP($C90,Table2[#All],3,0),0)</f>
        <v>BCI JSC</v>
      </c>
      <c r="B90" s="1260" t="str">
        <f>_xlfn.XLOOKUP(Table1218[[#This Row],[ACCOUNT NUMBER]],Table2[Account No.],Table2[BRANCH],"recheck",0)</f>
        <v>VIETINBANK - TIEN SON</v>
      </c>
      <c r="C90" s="1269" t="s">
        <v>1179</v>
      </c>
      <c r="D90" s="1262" t="str">
        <f>_xlfn.XLOOKUP(Table1218[[#This Row],[ACCOUNT NUMBER]],Table2[Account No.],Table2[ACCOUNT TYPE],"recheck",0)</f>
        <v>Saving Account</v>
      </c>
      <c r="E90" s="1129" t="str">
        <f>_xlfn.XLOOKUP(Table1218[[#This Row],[ACCOUNT NUMBER]],Table2[Account No.],Table2[CURRENCY],"recheck",0)</f>
        <v>VND</v>
      </c>
      <c r="F90" s="926">
        <f>SUMIFS(Table11[CLOSING BALANCE (VND)2],Table11[ACCOUNT NUMBER],Table1218[[#This Row],[ACCOUNT NUMBER]],Table11[CURRENCY],Table1218[[#This Row],[CURRENCY]])</f>
        <v>3000000000</v>
      </c>
      <c r="G90" s="1263"/>
      <c r="H90" s="1267" t="s">
        <v>219</v>
      </c>
      <c r="I90" s="1267"/>
      <c r="J90" s="1267"/>
      <c r="K90" s="1268">
        <v>46046</v>
      </c>
      <c r="L90" s="927">
        <v>4.7500000000000001E-2</v>
      </c>
      <c r="M90" s="1262" t="str">
        <f>VLOOKUP($A90,Table1[[#All],[Entities]:[Name]],MATCH(M$3,Table1[[#Headers],[Entities]:[Name]],0),0)</f>
        <v>Subsidiaries</v>
      </c>
      <c r="N90" s="1262" t="str">
        <f>IFERROR(VLOOKUP(IFERROR(MID($O90,1,FIND("-",$O90)-2),O90),Table3[#All],2,0),0)</f>
        <v>VTB</v>
      </c>
      <c r="O90" s="1264" t="str">
        <f t="shared" si="3"/>
        <v>VIETINBANK - TIEN SON</v>
      </c>
      <c r="P90" s="1259"/>
      <c r="Q90" s="1262"/>
      <c r="R90" s="1262"/>
      <c r="S90" s="1265" t="str">
        <f>IF(ISBLANK(Table1218[[#This Row],[Maturity date]]),"","W"&amp;MIN(WEEKNUM($K90+1,2)-WEEKNUM(EOMONTH($K90+1,-1)),4)&amp;TEXT($K90+1,"mmmyy"))</f>
        <v>W-49Jan26</v>
      </c>
      <c r="T90" s="1266">
        <f>Table1218[[#This Row],[CLOSING BALANCE 
(VND)]]/1000000000</f>
        <v>3</v>
      </c>
      <c r="U9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90" s="1114">
        <f>_xlfn.NUMBERVALUE(LEFT(Table1218[[#This Row],[Term (months)]],1))</f>
        <v>1</v>
      </c>
      <c r="W90" s="1112">
        <v>1</v>
      </c>
      <c r="X90" s="1115">
        <f>Table1218[[#This Row],[Column3]]-Table1218[[#This Row],[Per bank statement]]</f>
        <v>0</v>
      </c>
      <c r="Y90" s="1117">
        <v>4.2999999999999997E-2</v>
      </c>
      <c r="Z90" s="1118">
        <f>Table1218[[#This Row],[Interest rate]]-Table1218[[#This Row],[Per bank statement2]]</f>
        <v>4.500000000000004E-3</v>
      </c>
      <c r="AA90" s="1112">
        <v>4.5</v>
      </c>
      <c r="AB90" s="1112"/>
      <c r="AC90" s="1112"/>
    </row>
    <row r="91" spans="1:29">
      <c r="A91" s="919" t="str">
        <f>IFERROR(VLOOKUP($C91,Table2[#All],3,0),0)</f>
        <v>DEEP C 2B</v>
      </c>
      <c r="B91" s="1260" t="str">
        <f>_xlfn.XLOOKUP(Table1218[[#This Row],[ACCOUNT NUMBER]],Table2[Account No.],Table2[BRANCH],"recheck",0)</f>
        <v>VIETINBANK - TPHCM</v>
      </c>
      <c r="C91" s="1261" t="s">
        <v>1185</v>
      </c>
      <c r="D91" s="1262" t="str">
        <f>_xlfn.XLOOKUP(Table1218[[#This Row],[ACCOUNT NUMBER]],Table2[Account No.],Table2[ACCOUNT TYPE],"recheck",0)</f>
        <v>Saving Account</v>
      </c>
      <c r="E91" s="1129" t="str">
        <f>_xlfn.XLOOKUP(Table1218[[#This Row],[ACCOUNT NUMBER]],Table2[Account No.],Table2[CURRENCY],"recheck",0)</f>
        <v>VND</v>
      </c>
      <c r="F91" s="926">
        <f>SUMIFS(Table11[CLOSING BALANCE (VND)2],Table11[ACCOUNT NUMBER],Table1218[[#This Row],[ACCOUNT NUMBER]],Table11[CURRENCY],Table1218[[#This Row],[CURRENCY]])</f>
        <v>9000000000</v>
      </c>
      <c r="G91" s="1263"/>
      <c r="H91" s="1267" t="s">
        <v>221</v>
      </c>
      <c r="I91" s="1267"/>
      <c r="J91" s="1267"/>
      <c r="K91" s="1268">
        <v>46040</v>
      </c>
      <c r="L91" s="927">
        <v>4.4999999999999998E-2</v>
      </c>
      <c r="M91" s="1262" t="str">
        <f>VLOOKUP($A91,Table1[[#All],[Entities]:[Name]],MATCH(M$3,Table1[[#Headers],[Entities]:[Name]],0),0)</f>
        <v>Subsidiaries</v>
      </c>
      <c r="N91" s="1262" t="str">
        <f>IFERROR(VLOOKUP(IFERROR(MID($O91,1,FIND("-",$O91)-2),O91),Table3[#All],2,0),0)</f>
        <v>VTB</v>
      </c>
      <c r="O91" s="1264" t="str">
        <f t="shared" si="3"/>
        <v>VIETINBANK - TPHCM</v>
      </c>
      <c r="P91" s="1259"/>
      <c r="Q91" s="1262"/>
      <c r="R91" s="1262"/>
      <c r="S91" s="1265" t="str">
        <f>IF(ISBLANK(Table1218[[#This Row],[Maturity date]]),"","W"&amp;MIN(WEEKNUM($K91+1,2)-WEEKNUM(EOMONTH($K91+1,-1)),4)&amp;TEXT($K91+1,"mmmyy"))</f>
        <v>W-49Jan26</v>
      </c>
      <c r="T91" s="1266">
        <f>Table1218[[#This Row],[CLOSING BALANCE 
(VND)]]/1000000000</f>
        <v>9</v>
      </c>
      <c r="U9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91" s="1114">
        <f>_xlfn.NUMBERVALUE(LEFT(Table1218[[#This Row],[Term (months)]],1))</f>
        <v>3</v>
      </c>
      <c r="W91" s="1112">
        <v>3</v>
      </c>
      <c r="X91" s="1115">
        <f>Table1218[[#This Row],[Column3]]-Table1218[[#This Row],[Per bank statement]]</f>
        <v>0</v>
      </c>
      <c r="Y91" s="1117">
        <v>4.2999999999999997E-2</v>
      </c>
      <c r="Z91" s="1118">
        <f>Table1218[[#This Row],[Interest rate]]-Table1218[[#This Row],[Per bank statement2]]</f>
        <v>2.0000000000000018E-3</v>
      </c>
      <c r="AA91" s="1112">
        <v>1.9</v>
      </c>
      <c r="AB91" s="1112"/>
      <c r="AC91" s="1112"/>
    </row>
    <row r="92" spans="1:29">
      <c r="A92" s="920" t="str">
        <f>IFERROR(VLOOKUP($C92,Table2[#All],3,0),0)</f>
        <v>BWID BAC NINH</v>
      </c>
      <c r="B92" s="921" t="str">
        <f>_xlfn.XLOOKUP(Table1218[[#This Row],[ACCOUNT NUMBER]],Table2[Account No.],Table2[BRANCH],"recheck",0)</f>
        <v>VIETINBANK - TIEN SON</v>
      </c>
      <c r="C92" s="1141" t="s">
        <v>1186</v>
      </c>
      <c r="D92" s="922" t="str">
        <f>_xlfn.XLOOKUP(Table1218[[#This Row],[ACCOUNT NUMBER]],Table2[Account No.],Table2[ACCOUNT TYPE],"recheck",0)</f>
        <v>Saving Account</v>
      </c>
      <c r="E92" s="1129" t="str">
        <f>_xlfn.XLOOKUP(Table1218[[#This Row],[ACCOUNT NUMBER]],Table2[Account No.],Table2[CURRENCY],"recheck",0)</f>
        <v>VND</v>
      </c>
      <c r="F92" s="926">
        <f>SUMIFS(Table11[CLOSING BALANCE (VND)2],Table11[ACCOUNT NUMBER],Table1218[[#This Row],[ACCOUNT NUMBER]],Table11[CURRENCY],Table1218[[#This Row],[CURRENCY]])</f>
        <v>4000000000</v>
      </c>
      <c r="G92" s="926"/>
      <c r="H92" s="1129" t="s">
        <v>219</v>
      </c>
      <c r="I92" s="1267"/>
      <c r="J92" s="1267"/>
      <c r="K92" s="1130">
        <v>46051</v>
      </c>
      <c r="L92" s="1259">
        <v>4.7500000000000001E-2</v>
      </c>
      <c r="M92" s="922" t="str">
        <f>VLOOKUP($A92,Table1[[#All],[Entities]:[Name]],MATCH(M$3,Table1[[#Headers],[Entities]:[Name]],0),0)</f>
        <v>Subsidiaries</v>
      </c>
      <c r="N92" s="922" t="str">
        <f>IFERROR(VLOOKUP(IFERROR(MID($O92,1,FIND("-",$O92)-2),O92),Table3[#All],2,0),0)</f>
        <v>VTB</v>
      </c>
      <c r="O92" s="923" t="str">
        <f t="shared" si="3"/>
        <v>VIETINBANK - TIEN SON</v>
      </c>
      <c r="P92" s="927"/>
      <c r="Q92" s="922"/>
      <c r="R92" s="922"/>
      <c r="S92" s="924" t="str">
        <f>IF(ISBLANK(Table1218[[#This Row],[Maturity date]]),"","W"&amp;MIN(WEEKNUM($K92+1,2)-WEEKNUM(EOMONTH($K92+1,-1)),4)&amp;TEXT($K92+1,"mmmyy"))</f>
        <v>W-48Jan26</v>
      </c>
      <c r="T92" s="925">
        <f>Table1218[[#This Row],[CLOSING BALANCE 
(VND)]]/1000000000</f>
        <v>4</v>
      </c>
      <c r="U9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92" s="1114">
        <f>_xlfn.NUMBERVALUE(LEFT(Table1218[[#This Row],[Term (months)]],1))</f>
        <v>1</v>
      </c>
      <c r="W92" s="1112">
        <v>1</v>
      </c>
      <c r="X92" s="1115">
        <f>Table1218[[#This Row],[Column3]]-Table1218[[#This Row],[Per bank statement]]</f>
        <v>0</v>
      </c>
      <c r="Y92" s="1117">
        <v>4.2999999999999997E-2</v>
      </c>
      <c r="Z92" s="1118">
        <f>Table1218[[#This Row],[Interest rate]]-Table1218[[#This Row],[Per bank statement2]]</f>
        <v>4.500000000000004E-3</v>
      </c>
      <c r="AA92" s="1112">
        <v>4.3</v>
      </c>
      <c r="AB92" s="1112"/>
      <c r="AC92" s="1112"/>
    </row>
    <row r="93" spans="1:29">
      <c r="A93" s="919" t="str">
        <f>IFERROR(VLOOKUP($C93,Table2[#All],3,0),0)</f>
        <v>KIM TRUC DN</v>
      </c>
      <c r="B93" s="1260" t="str">
        <f>_xlfn.XLOOKUP(Table1218[[#This Row],[ACCOUNT NUMBER]],Table2[Account No.],Table2[BRANCH],"recheck",0)</f>
        <v>BIDV - NAM SAI GON</v>
      </c>
      <c r="C93" s="1261" t="s">
        <v>1190</v>
      </c>
      <c r="D93" s="1262" t="str">
        <f>_xlfn.XLOOKUP(Table1218[[#This Row],[ACCOUNT NUMBER]],Table2[Account No.],Table2[ACCOUNT TYPE],"recheck",0)</f>
        <v>Saving Account</v>
      </c>
      <c r="E93" s="1129" t="str">
        <f>_xlfn.XLOOKUP(Table1218[[#This Row],[ACCOUNT NUMBER]],Table2[Account No.],Table2[CURRENCY],"recheck",0)</f>
        <v>VND</v>
      </c>
      <c r="F93" s="926">
        <f>SUMIFS(Table11[CLOSING BALANCE (VND)2],Table11[ACCOUNT NUMBER],Table1218[[#This Row],[ACCOUNT NUMBER]],Table11[CURRENCY],Table1218[[#This Row],[CURRENCY]])</f>
        <v>4000000000</v>
      </c>
      <c r="G93" s="1263"/>
      <c r="H93" s="1267" t="s">
        <v>219</v>
      </c>
      <c r="I93" s="1267"/>
      <c r="J93" s="1267"/>
      <c r="K93" s="1130">
        <v>46051</v>
      </c>
      <c r="L93" s="1259">
        <v>4.7500000000000001E-2</v>
      </c>
      <c r="M93" s="1262" t="str">
        <f>VLOOKUP($A93,Table1[[#All],[Entities]:[Name]],MATCH(M$3,Table1[[#Headers],[Entities]:[Name]],0),0)</f>
        <v>Subsidiaries</v>
      </c>
      <c r="N93" s="1262" t="str">
        <f>IFERROR(VLOOKUP(IFERROR(MID($O93,1,FIND("-",$O93)-2),O93),Table3[#All],2,0),0)</f>
        <v>BIDV</v>
      </c>
      <c r="O93" s="1264" t="str">
        <f t="shared" si="3"/>
        <v>BIDV - NAM SAI GON</v>
      </c>
      <c r="P93" s="1259"/>
      <c r="Q93" s="1262"/>
      <c r="R93" s="1262"/>
      <c r="S93" s="1265" t="str">
        <f>IF(ISBLANK(Table1218[[#This Row],[Maturity date]]),"","W"&amp;MIN(WEEKNUM($K93+1,2)-WEEKNUM(EOMONTH($K93+1,-1)),4)&amp;TEXT($K93+1,"mmmyy"))</f>
        <v>W-48Jan26</v>
      </c>
      <c r="T93" s="1270">
        <f>Table1218[[#This Row],[CLOSING BALANCE 
(VND)]]/1000000000</f>
        <v>4</v>
      </c>
      <c r="U93"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93" s="1114">
        <f>_xlfn.NUMBERVALUE(LEFT(Table1218[[#This Row],[Term (months)]],1))</f>
        <v>1</v>
      </c>
      <c r="W93" s="1112">
        <v>1</v>
      </c>
      <c r="X93" s="1115">
        <f>Table1218[[#This Row],[Column3]]-Table1218[[#This Row],[Per bank statement]]</f>
        <v>0</v>
      </c>
      <c r="Y93" s="1117">
        <v>4.2999999999999997E-2</v>
      </c>
      <c r="Z93" s="1118">
        <f>Table1218[[#This Row],[Interest rate]]-Table1218[[#This Row],[Per bank statement2]]</f>
        <v>4.500000000000004E-3</v>
      </c>
      <c r="AA93" s="1112" t="s">
        <v>5382</v>
      </c>
      <c r="AB93" s="1112"/>
      <c r="AC93" s="1112"/>
    </row>
    <row r="94" spans="1:29">
      <c r="A94" s="919" t="str">
        <f>IFERROR(VLOOKUP($C94,Table2[#All],3,0),0)</f>
        <v>BW DINH VU</v>
      </c>
      <c r="B94" s="1260" t="str">
        <f>_xlfn.XLOOKUP(Table1218[[#This Row],[ACCOUNT NUMBER]],Table2[Account No.],Table2[BRANCH],"recheck",0)</f>
        <v>BIDV - THANH XUAN</v>
      </c>
      <c r="C94" s="1261" t="s">
        <v>1192</v>
      </c>
      <c r="D94" s="1262" t="str">
        <f>_xlfn.XLOOKUP(Table1218[[#This Row],[ACCOUNT NUMBER]],Table2[Account No.],Table2[ACCOUNT TYPE],"recheck",0)</f>
        <v>Saving Account</v>
      </c>
      <c r="E94" s="1129" t="str">
        <f>_xlfn.XLOOKUP(Table1218[[#This Row],[ACCOUNT NUMBER]],Table2[Account No.],Table2[CURRENCY],"recheck",0)</f>
        <v>VND</v>
      </c>
      <c r="F94" s="926">
        <f>SUMIFS(Table11[CLOSING BALANCE (VND)2],Table11[ACCOUNT NUMBER],Table1218[[#This Row],[ACCOUNT NUMBER]],Table11[CURRENCY],Table1218[[#This Row],[CURRENCY]])</f>
        <v>8000000000</v>
      </c>
      <c r="G94" s="1263"/>
      <c r="H94" s="1267" t="s">
        <v>221</v>
      </c>
      <c r="I94" s="1267"/>
      <c r="J94" s="1267"/>
      <c r="K94" s="1268">
        <v>46040</v>
      </c>
      <c r="L94" s="927">
        <v>4.4999999999999998E-2</v>
      </c>
      <c r="M94" s="1262" t="str">
        <f>VLOOKUP($A94,Table1[[#All],[Entities]:[Name]],MATCH(M$3,Table1[[#Headers],[Entities]:[Name]],0),0)</f>
        <v>Subsidiaries</v>
      </c>
      <c r="N94" s="1262" t="str">
        <f>IFERROR(VLOOKUP(IFERROR(MID($O94,1,FIND("-",$O94)-2),O94),Table3[#All],2,0),0)</f>
        <v>BIDV</v>
      </c>
      <c r="O94" s="1264" t="str">
        <f t="shared" si="3"/>
        <v>BIDV - THANH XUAN</v>
      </c>
      <c r="P94" s="1259"/>
      <c r="Q94" s="1262"/>
      <c r="R94" s="1262"/>
      <c r="S94" s="1265" t="str">
        <f>IF(ISBLANK(Table1218[[#This Row],[Maturity date]]),"","W"&amp;MIN(WEEKNUM($K94+1,2)-WEEKNUM(EOMONTH($K94+1,-1)),4)&amp;TEXT($K94+1,"mmmyy"))</f>
        <v>W-49Jan26</v>
      </c>
      <c r="T94" s="1266">
        <f>Table1218[[#This Row],[CLOSING BALANCE 
(VND)]]/1000000000</f>
        <v>8</v>
      </c>
      <c r="U9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94" s="1114">
        <f>_xlfn.NUMBERVALUE(LEFT(Table1218[[#This Row],[Term (months)]],1))</f>
        <v>3</v>
      </c>
      <c r="W94" s="1112">
        <v>3</v>
      </c>
      <c r="X94" s="1115">
        <f>Table1218[[#This Row],[Column3]]-Table1218[[#This Row],[Per bank statement]]</f>
        <v>0</v>
      </c>
      <c r="Y94" s="1117">
        <v>4.3999999999999997E-2</v>
      </c>
      <c r="Z94" s="1118">
        <f>Table1218[[#This Row],[Interest rate]]-Table1218[[#This Row],[Per bank statement2]]</f>
        <v>1.0000000000000009E-3</v>
      </c>
      <c r="AA94" s="1112" t="s">
        <v>1550</v>
      </c>
      <c r="AB94" s="1112"/>
      <c r="AC94" s="1112"/>
    </row>
    <row r="95" spans="1:29">
      <c r="A95" s="919" t="str">
        <f>IFERROR(VLOOKUP($C95,Table2[#All],3,0),0)</f>
        <v>SPV5B</v>
      </c>
      <c r="B95" s="1260" t="str">
        <f>_xlfn.XLOOKUP(Table1218[[#This Row],[ACCOUNT NUMBER]],Table2[Account No.],Table2[BRANCH],"recheck",0)</f>
        <v>VIETINBANK - TIEN SON</v>
      </c>
      <c r="C95" s="1261" t="s">
        <v>1208</v>
      </c>
      <c r="D95" s="1262" t="str">
        <f>_xlfn.XLOOKUP(Table1218[[#This Row],[ACCOUNT NUMBER]],Table2[Account No.],Table2[ACCOUNT TYPE],"recheck",0)</f>
        <v>Saving Account</v>
      </c>
      <c r="E95" s="1129" t="str">
        <f>_xlfn.XLOOKUP(Table1218[[#This Row],[ACCOUNT NUMBER]],Table2[Account No.],Table2[CURRENCY],"recheck",0)</f>
        <v>VND</v>
      </c>
      <c r="F95" s="926">
        <f>SUMIFS(Table11[CLOSING BALANCE (VND)2],Table11[ACCOUNT NUMBER],Table1218[[#This Row],[ACCOUNT NUMBER]],Table11[CURRENCY],Table1218[[#This Row],[CURRENCY]])</f>
        <v>4000000000</v>
      </c>
      <c r="G95" s="1263"/>
      <c r="H95" s="1267" t="s">
        <v>224</v>
      </c>
      <c r="I95" s="1267"/>
      <c r="J95" s="1267"/>
      <c r="K95" s="1268">
        <v>46151</v>
      </c>
      <c r="L95" s="1259">
        <v>4.3999999999999997E-2</v>
      </c>
      <c r="M95" s="1262" t="str">
        <f>VLOOKUP($A95,Table1[[#All],[Entities]:[Name]],MATCH(M$3,Table1[[#Headers],[Entities]:[Name]],0),0)</f>
        <v>Subsidiaries</v>
      </c>
      <c r="N95" s="1262" t="str">
        <f>IFERROR(VLOOKUP(IFERROR(MID($O95,1,FIND("-",$O95)-2),O95),Table3[#All],2,0),0)</f>
        <v>VTB</v>
      </c>
      <c r="O95" s="1264" t="str">
        <f t="shared" si="3"/>
        <v>VIETINBANK - TIEN SON</v>
      </c>
      <c r="P95" s="1259"/>
      <c r="Q95" s="1262"/>
      <c r="R95" s="1262"/>
      <c r="S95" s="1265" t="str">
        <f>IF(ISBLANK(Table1218[[#This Row],[Maturity date]]),"","W"&amp;MIN(WEEKNUM($K95+1,2)-WEEKNUM(EOMONTH($K95+1,-1)),4)&amp;TEXT($K95+1,"mmmyy"))</f>
        <v>W1May26</v>
      </c>
      <c r="T95" s="1266">
        <f>Table1218[[#This Row],[CLOSING BALANCE 
(VND)]]/1000000000</f>
        <v>4</v>
      </c>
      <c r="U9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4 months</v>
      </c>
      <c r="V95" s="1114">
        <f>_xlfn.NUMBERVALUE(LEFT(Table1218[[#This Row],[Term (months)]],1))</f>
        <v>6</v>
      </c>
      <c r="W95" s="1112">
        <v>6</v>
      </c>
      <c r="X95" s="1115">
        <f>Table1218[[#This Row],[Column3]]-Table1218[[#This Row],[Per bank statement]]</f>
        <v>0</v>
      </c>
      <c r="Y95" s="1117">
        <v>4.4000000000000004E-2</v>
      </c>
      <c r="Z95" s="1118">
        <f>Table1218[[#This Row],[Interest rate]]-Table1218[[#This Row],[Per bank statement2]]</f>
        <v>0</v>
      </c>
      <c r="AA95" s="1112">
        <v>4.4000000000000004</v>
      </c>
      <c r="AB95" s="1112"/>
      <c r="AC95" s="1112"/>
    </row>
    <row r="96" spans="1:29">
      <c r="A96" s="919" t="str">
        <f>IFERROR(VLOOKUP($C96,Table2[#All],3,0),0)</f>
        <v>BW NAM HAI</v>
      </c>
      <c r="B96" s="1260" t="str">
        <f>_xlfn.XLOOKUP(Table1218[[#This Row],[ACCOUNT NUMBER]],Table2[Account No.],Table2[BRANCH],"recheck",0)</f>
        <v>VIETCOMBANK - BA DINH</v>
      </c>
      <c r="C96" s="1261" t="s">
        <v>1220</v>
      </c>
      <c r="D96" s="1262" t="str">
        <f>_xlfn.XLOOKUP(Table1218[[#This Row],[ACCOUNT NUMBER]],Table2[Account No.],Table2[ACCOUNT TYPE],"recheck",0)</f>
        <v>Saving Account</v>
      </c>
      <c r="E96" s="1129" t="str">
        <f>_xlfn.XLOOKUP(Table1218[[#This Row],[ACCOUNT NUMBER]],Table2[Account No.],Table2[CURRENCY],"recheck",0)</f>
        <v>VND</v>
      </c>
      <c r="F96" s="926">
        <f>SUMIFS(Table11[CLOSING BALANCE (VND)2],Table11[ACCOUNT NUMBER],Table1218[[#This Row],[ACCOUNT NUMBER]],Table11[CURRENCY],Table1218[[#This Row],[CURRENCY]])</f>
        <v>3000000000</v>
      </c>
      <c r="G96" s="1263"/>
      <c r="H96" s="1267" t="s">
        <v>219</v>
      </c>
      <c r="I96" s="1267"/>
      <c r="J96" s="1267"/>
      <c r="K96" s="1268">
        <v>46065</v>
      </c>
      <c r="L96" s="1244">
        <v>4.7500000000000001E-2</v>
      </c>
      <c r="M96" s="1262" t="str">
        <f>VLOOKUP($A96,Table1[[#All],[Entities]:[Name]],MATCH(M$3,Table1[[#Headers],[Entities]:[Name]],0),0)</f>
        <v>Subsidiaries</v>
      </c>
      <c r="N96" s="1262" t="str">
        <f>IFERROR(VLOOKUP(IFERROR(MID($O96,1,FIND("-",$O96)-2),O96),Table3[#All],2,0),0)</f>
        <v>VCB</v>
      </c>
      <c r="O96" s="1264" t="str">
        <f t="shared" si="3"/>
        <v>VIETCOMBANK - BA DINH</v>
      </c>
      <c r="P96" s="1259"/>
      <c r="Q96" s="1262"/>
      <c r="R96" s="1262"/>
      <c r="S96" s="1265" t="str">
        <f>IF(ISBLANK(Table1218[[#This Row],[Maturity date]]),"","W"&amp;MIN(WEEKNUM($K96+1,2)-WEEKNUM(EOMONTH($K96+1,-1)),4)&amp;TEXT($K96+1,"mmmyy"))</f>
        <v>W2Feb26</v>
      </c>
      <c r="T96" s="1266">
        <f>Table1218[[#This Row],[CLOSING BALANCE 
(VND)]]/1000000000</f>
        <v>3</v>
      </c>
      <c r="U9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96" s="1114">
        <f>_xlfn.NUMBERVALUE(LEFT(Table1218[[#This Row],[Term (months)]],1))</f>
        <v>1</v>
      </c>
      <c r="W96" s="1112">
        <v>1</v>
      </c>
      <c r="X96" s="1115">
        <f>Table1218[[#This Row],[Column3]]-Table1218[[#This Row],[Per bank statement]]</f>
        <v>0</v>
      </c>
      <c r="Y96" s="1117">
        <v>4.4999999999999998E-2</v>
      </c>
      <c r="Z96" s="1119">
        <f>Table1218[[#This Row],[Interest rate]]-Table1218[[#This Row],[Per bank statement2]]</f>
        <v>2.5000000000000022E-3</v>
      </c>
      <c r="AA96" s="1112"/>
      <c r="AB96" s="1112"/>
      <c r="AC96" s="1112"/>
    </row>
    <row r="97" spans="1:29">
      <c r="A97" s="919" t="str">
        <f>IFERROR(VLOOKUP($C97,Table2[#All],3,0),0)</f>
        <v>BWID HAI DUONG 3</v>
      </c>
      <c r="B97" s="1260" t="str">
        <f>_xlfn.XLOOKUP(Table1218[[#This Row],[ACCOUNT NUMBER]],Table2[Account No.],Table2[BRANCH],"recheck",0)</f>
        <v>BIDV - THANH XUAN</v>
      </c>
      <c r="C97" s="1261" t="s">
        <v>1230</v>
      </c>
      <c r="D97" s="1262" t="str">
        <f>_xlfn.XLOOKUP(Table1218[[#This Row],[ACCOUNT NUMBER]],Table2[Account No.],Table2[ACCOUNT TYPE],"recheck",0)</f>
        <v>Saving Account</v>
      </c>
      <c r="E97" s="1129" t="s">
        <v>80</v>
      </c>
      <c r="F97" s="926">
        <f>SUMIFS(Table11[CLOSING BALANCE (VND)2],Table11[ACCOUNT NUMBER],Table1218[[#This Row],[ACCOUNT NUMBER]],Table11[CURRENCY],Table1218[[#This Row],[CURRENCY]])</f>
        <v>100000000</v>
      </c>
      <c r="G97" s="1263"/>
      <c r="H97" s="1267" t="s">
        <v>224</v>
      </c>
      <c r="I97" s="1267"/>
      <c r="J97" s="1267"/>
      <c r="K97" s="1268">
        <v>46187</v>
      </c>
      <c r="L97" s="1149">
        <v>2.9000000000000001E-2</v>
      </c>
      <c r="M97" s="1262" t="str">
        <f>VLOOKUP($A97,Table1[[#All],[Entities]:[Name]],MATCH(M$3,Table1[[#Headers],[Entities]:[Name]],0),0)</f>
        <v>Subsidiaries</v>
      </c>
      <c r="N97" s="1262" t="str">
        <f>IFERROR(VLOOKUP(IFERROR(MID($O97,1,FIND("-",$O97)-2),O97),Table3[#All],2,0),0)</f>
        <v>BIDV</v>
      </c>
      <c r="O97" s="1264" t="str">
        <f t="shared" si="3"/>
        <v>BIDV - THANH XUAN</v>
      </c>
      <c r="P97" s="1259"/>
      <c r="Q97" s="1262"/>
      <c r="R97" s="1262"/>
      <c r="S97" s="1265" t="str">
        <f>IF(ISBLANK(Table1218[[#This Row],[Maturity date]]),"","W"&amp;MIN(WEEKNUM($K97+1,2)-WEEKNUM(EOMONTH($K97+1,-1)),4)&amp;TEXT($K97+1,"mmmyy"))</f>
        <v>W2Jun26</v>
      </c>
      <c r="T97" s="1266">
        <f>Table1218[[#This Row],[CLOSING BALANCE 
(VND)]]/1000000000</f>
        <v>0.1</v>
      </c>
      <c r="U9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5 months</v>
      </c>
      <c r="V97" s="1114">
        <f>_xlfn.NUMBERVALUE(LEFT(Table1218[[#This Row],[Term (months)]],1))</f>
        <v>6</v>
      </c>
      <c r="W97" s="1112">
        <v>6</v>
      </c>
      <c r="X97" s="1115">
        <f>Table1218[[#This Row],[Column3]]-Table1218[[#This Row],[Per bank statement]]</f>
        <v>0</v>
      </c>
      <c r="Y97" s="1117">
        <v>4.4999999999999998E-2</v>
      </c>
      <c r="Z97" s="1118">
        <f>Table1218[[#This Row],[Interest rate]]-Table1218[[#This Row],[Per bank statement2]]</f>
        <v>-1.5999999999999997E-2</v>
      </c>
      <c r="AA97" s="1112" t="s">
        <v>1550</v>
      </c>
      <c r="AB97" s="1112"/>
      <c r="AC97" s="1112"/>
    </row>
    <row r="98" spans="1:29">
      <c r="A98" s="920" t="str">
        <f>IFERROR(VLOOKUP($C98,Table2[#All],3,0),0)</f>
        <v>BW PHU NGHIA</v>
      </c>
      <c r="B98" s="921" t="str">
        <f>_xlfn.XLOOKUP(Table1218[[#This Row],[ACCOUNT NUMBER]],Table2[Account No.],Table2[BRANCH],"recheck",0)</f>
        <v>BIDV - THANH XUAN</v>
      </c>
      <c r="C98" s="1141" t="s">
        <v>1231</v>
      </c>
      <c r="D98" s="922" t="str">
        <f>_xlfn.XLOOKUP(Table1218[[#This Row],[ACCOUNT NUMBER]],Table2[Account No.],Table2[ACCOUNT TYPE],"recheck",0)</f>
        <v>Saving Account</v>
      </c>
      <c r="E98" s="1129" t="s">
        <v>80</v>
      </c>
      <c r="F98" s="926">
        <f>SUMIFS(Table11[CLOSING BALANCE (VND)2],Table11[ACCOUNT NUMBER],Table1218[[#This Row],[ACCOUNT NUMBER]],Table11[CURRENCY],Table1218[[#This Row],[CURRENCY]])</f>
        <v>2000000000</v>
      </c>
      <c r="G98" s="926"/>
      <c r="H98" s="1267" t="s">
        <v>219</v>
      </c>
      <c r="I98" s="1267"/>
      <c r="J98" s="1267"/>
      <c r="K98" s="1130">
        <v>46045</v>
      </c>
      <c r="L98" s="1259">
        <v>4.7500000000000001E-2</v>
      </c>
      <c r="M98" s="922" t="str">
        <f>VLOOKUP($A98,Table1[[#All],[Entities]:[Name]],MATCH(M$3,Table1[[#Headers],[Entities]:[Name]],0),0)</f>
        <v>Subsidiaries</v>
      </c>
      <c r="N98" s="922" t="str">
        <f>IFERROR(VLOOKUP(IFERROR(MID($O98,1,FIND("-",$O98)-2),O98),Table3[#All],2,0),0)</f>
        <v>BIDV</v>
      </c>
      <c r="O98" s="923" t="str">
        <f t="shared" si="3"/>
        <v>BIDV - THANH XUAN</v>
      </c>
      <c r="P98" s="927"/>
      <c r="Q98" s="922"/>
      <c r="R98" s="922"/>
      <c r="S98" s="924" t="str">
        <f>IF(ISBLANK(Table1218[[#This Row],[Maturity date]]),"","W"&amp;MIN(WEEKNUM($K98+1,2)-WEEKNUM(EOMONTH($K98+1,-1)),4)&amp;TEXT($K98+1,"mmmyy"))</f>
        <v>W-49Jan26</v>
      </c>
      <c r="T98" s="925">
        <f>Table1218[[#This Row],[CLOSING BALANCE 
(VND)]]/1000000000</f>
        <v>2</v>
      </c>
      <c r="U9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98" s="1114">
        <f>_xlfn.NUMBERVALUE(LEFT(Table1218[[#This Row],[Term (months)]],1))</f>
        <v>1</v>
      </c>
      <c r="W98" s="1112">
        <v>1</v>
      </c>
      <c r="X98" s="1115">
        <f>Table1218[[#This Row],[Column3]]-Table1218[[#This Row],[Per bank statement]]</f>
        <v>0</v>
      </c>
      <c r="Y98" s="1117">
        <v>4.2999999999999997E-2</v>
      </c>
      <c r="Z98" s="1118">
        <f>Table1218[[#This Row],[Interest rate]]-Table1218[[#This Row],[Per bank statement2]]</f>
        <v>4.500000000000004E-3</v>
      </c>
      <c r="AA98" s="1112" t="s">
        <v>1550</v>
      </c>
      <c r="AB98" s="1112"/>
      <c r="AC98" s="1112"/>
    </row>
    <row r="99" spans="1:29">
      <c r="A99" s="920" t="str">
        <f>IFERROR(VLOOKUP($C99,Table2[#All],3,0),0)</f>
        <v>THUAN THANH 3B</v>
      </c>
      <c r="B99" s="921" t="str">
        <f>_xlfn.XLOOKUP(Table1218[[#This Row],[ACCOUNT NUMBER]],Table2[Account No.],Table2[BRANCH],"recheck",0)</f>
        <v>VIETCOMBANK - BA DINH</v>
      </c>
      <c r="C99" s="1141" t="s">
        <v>1249</v>
      </c>
      <c r="D99" s="922" t="str">
        <f>_xlfn.XLOOKUP(Table1218[[#This Row],[ACCOUNT NUMBER]],Table2[Account No.],Table2[ACCOUNT TYPE],"recheck",0)</f>
        <v>Saving Account</v>
      </c>
      <c r="E99" s="1129" t="str">
        <f>_xlfn.XLOOKUP(Table1218[[#This Row],[ACCOUNT NUMBER]],Table2[Account No.],Table2[CURRENCY],"recheck",0)</f>
        <v>VND</v>
      </c>
      <c r="F99" s="926">
        <f>SUMIFS(Table11[CLOSING BALANCE (VND)2],Table11[ACCOUNT NUMBER],Table1218[[#This Row],[ACCOUNT NUMBER]],Table11[CURRENCY],Table1218[[#This Row],[CURRENCY]])</f>
        <v>14000000000</v>
      </c>
      <c r="G99" s="926"/>
      <c r="H99" s="1129" t="s">
        <v>219</v>
      </c>
      <c r="I99" s="1267"/>
      <c r="J99" s="1267"/>
      <c r="K99" s="1130">
        <v>46057</v>
      </c>
      <c r="L99" s="1259">
        <v>4.7500000000000001E-2</v>
      </c>
      <c r="M99" s="922" t="str">
        <f>VLOOKUP($A99,Table1[[#All],[Entities]:[Name]],MATCH(M$3,Table1[[#Headers],[Entities]:[Name]],0),0)</f>
        <v>Subsidiaries</v>
      </c>
      <c r="N99" s="922" t="str">
        <f>IFERROR(VLOOKUP(IFERROR(MID($O99,1,FIND("-",$O99)-2),O99),Table3[#All],2,0),0)</f>
        <v>VCB</v>
      </c>
      <c r="O99" s="923" t="str">
        <f t="shared" si="3"/>
        <v>VIETCOMBANK - BA DINH</v>
      </c>
      <c r="P99" s="927"/>
      <c r="Q99" s="922"/>
      <c r="R99" s="922"/>
      <c r="S99" s="924" t="str">
        <f>IF(ISBLANK(Table1218[[#This Row],[Maturity date]]),"","W"&amp;MIN(WEEKNUM($K99+1,2)-WEEKNUM(EOMONTH($K99+1,-1)),4)&amp;TEXT($K99+1,"mmmyy"))</f>
        <v>W1Feb26</v>
      </c>
      <c r="T99" s="925">
        <f>Table1218[[#This Row],[CLOSING BALANCE 
(VND)]]/1000000000</f>
        <v>14</v>
      </c>
      <c r="U9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99" s="1114">
        <f>_xlfn.NUMBERVALUE(LEFT(Table1218[[#This Row],[Term (months)]],1))</f>
        <v>1</v>
      </c>
      <c r="W99" s="1115">
        <v>1</v>
      </c>
      <c r="X99" s="1115">
        <f>Table1218[[#This Row],[Column3]]-Table1218[[#This Row],[Per bank statement]]</f>
        <v>0</v>
      </c>
      <c r="Y99" s="1117">
        <v>4.4999999999999998E-2</v>
      </c>
      <c r="Z99" s="1119">
        <f>Table1218[[#This Row],[Interest rate]]-Table1218[[#This Row],[Per bank statement2]]</f>
        <v>2.5000000000000022E-3</v>
      </c>
      <c r="AA99" s="1112"/>
      <c r="AB99" s="1112"/>
      <c r="AC99" s="1112"/>
    </row>
    <row r="100" spans="1:29">
      <c r="A100" s="919" t="str">
        <f>IFERROR(VLOOKUP($C100,Table2[#All],3,0),0)</f>
        <v>THUAN THANH 3B</v>
      </c>
      <c r="B100" s="1260" t="str">
        <f>_xlfn.XLOOKUP(Table1218[[#This Row],[ACCOUNT NUMBER]],Table2[Account No.],Table2[BRANCH],"recheck",0)</f>
        <v>VIETCOMBANK - BA DINH</v>
      </c>
      <c r="C100" s="1261" t="s">
        <v>1250</v>
      </c>
      <c r="D100" s="1262" t="str">
        <f>_xlfn.XLOOKUP(Table1218[[#This Row],[ACCOUNT NUMBER]],Table2[Account No.],Table2[ACCOUNT TYPE],"recheck",0)</f>
        <v>Saving Account</v>
      </c>
      <c r="E100" s="1129" t="str">
        <f>_xlfn.XLOOKUP(Table1218[[#This Row],[ACCOUNT NUMBER]],Table2[Account No.],Table2[CURRENCY],"recheck",0)</f>
        <v>VND</v>
      </c>
      <c r="F100" s="926">
        <f>SUMIFS(Table11[CLOSING BALANCE (VND)2],Table11[ACCOUNT NUMBER],Table1218[[#This Row],[ACCOUNT NUMBER]],Table11[CURRENCY],Table1218[[#This Row],[CURRENCY]])</f>
        <v>3500000000</v>
      </c>
      <c r="G100" s="1263"/>
      <c r="H100" s="1267" t="s">
        <v>221</v>
      </c>
      <c r="I100" s="1267"/>
      <c r="J100" s="1267"/>
      <c r="K100" s="1268">
        <v>46085</v>
      </c>
      <c r="L100" s="1259">
        <v>4.7500000000000001E-2</v>
      </c>
      <c r="M100" s="1262" t="str">
        <f>VLOOKUP($A100,Table1[[#All],[Entities]:[Name]],MATCH(M$3,Table1[[#Headers],[Entities]:[Name]],0),0)</f>
        <v>Subsidiaries</v>
      </c>
      <c r="N100" s="1262" t="str">
        <f>IFERROR(VLOOKUP(IFERROR(MID($O100,1,FIND("-",$O100)-2),O100),Table3[#All],2,0),0)</f>
        <v>VCB</v>
      </c>
      <c r="O100" s="1264" t="str">
        <f t="shared" si="3"/>
        <v>VIETCOMBANK - BA DINH</v>
      </c>
      <c r="P100" s="1259"/>
      <c r="Q100" s="1262"/>
      <c r="R100" s="1262"/>
      <c r="S100" s="1265" t="str">
        <f>IF(ISBLANK(Table1218[[#This Row],[Maturity date]]),"","W"&amp;MIN(WEEKNUM($K100+1,2)-WEEKNUM(EOMONTH($K100+1,-1)),4)&amp;TEXT($K100+1,"mmmyy"))</f>
        <v>W1Mar26</v>
      </c>
      <c r="T100" s="1266">
        <f>Table1218[[#This Row],[CLOSING BALANCE 
(VND)]]/1000000000</f>
        <v>3.5</v>
      </c>
      <c r="U10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2 months</v>
      </c>
      <c r="V100" s="1114">
        <f>_xlfn.NUMBERVALUE(LEFT(Table1218[[#This Row],[Term (months)]],1))</f>
        <v>3</v>
      </c>
      <c r="W100" s="1115">
        <v>3</v>
      </c>
      <c r="X100" s="1115">
        <f>Table1218[[#This Row],[Column3]]-Table1218[[#This Row],[Per bank statement]]</f>
        <v>0</v>
      </c>
      <c r="Y100" s="1117">
        <v>4.4999999999999998E-2</v>
      </c>
      <c r="Z100" s="1119">
        <f>Table1218[[#This Row],[Interest rate]]-Table1218[[#This Row],[Per bank statement2]]</f>
        <v>2.5000000000000022E-3</v>
      </c>
      <c r="AA100" s="1112"/>
      <c r="AB100" s="1112"/>
      <c r="AC100" s="1112"/>
    </row>
    <row r="101" spans="1:29">
      <c r="A101" s="919" t="str">
        <f>IFERROR(VLOOKUP($C101,Table2[#All],3,0),0)</f>
        <v>YEN PHONG</v>
      </c>
      <c r="B101" s="1260" t="str">
        <f>_xlfn.XLOOKUP(Table1218[[#This Row],[ACCOUNT NUMBER]],Table2[Account No.],Table2[BRANCH],"recheck",0)</f>
        <v>VIETINBANK - TIEN SON</v>
      </c>
      <c r="C101" s="1261" t="s">
        <v>1258</v>
      </c>
      <c r="D101" s="1262" t="str">
        <f>_xlfn.XLOOKUP(Table1218[[#This Row],[ACCOUNT NUMBER]],Table2[Account No.],Table2[ACCOUNT TYPE],"recheck",0)</f>
        <v>Saving Account</v>
      </c>
      <c r="E101" s="1129" t="s">
        <v>80</v>
      </c>
      <c r="F101" s="926">
        <f>SUMIFS(Table11[CLOSING BALANCE (VND)2],Table11[ACCOUNT NUMBER],Table1218[[#This Row],[ACCOUNT NUMBER]],Table11[CURRENCY],Table1218[[#This Row],[CURRENCY]])</f>
        <v>1500000000</v>
      </c>
      <c r="G101" s="1263"/>
      <c r="H101" s="1267" t="s">
        <v>219</v>
      </c>
      <c r="I101" s="1267"/>
      <c r="J101" s="1267"/>
      <c r="K101" s="1268">
        <v>46046</v>
      </c>
      <c r="L101" s="1259">
        <v>4.7500000000000001E-2</v>
      </c>
      <c r="M101" s="1262" t="str">
        <f>VLOOKUP($A101,Table1[[#All],[Entities]:[Name]],MATCH(M$3,Table1[[#Headers],[Entities]:[Name]],0),0)</f>
        <v>Subsidiaries</v>
      </c>
      <c r="N101" s="1262" t="str">
        <f>IFERROR(VLOOKUP(IFERROR(MID($O101,1,FIND("-",$O101)-2),O101),Table3[#All],2,0),0)</f>
        <v>VTB</v>
      </c>
      <c r="O101" s="1264" t="str">
        <f t="shared" si="3"/>
        <v>VIETINBANK - TIEN SON</v>
      </c>
      <c r="P101" s="1259"/>
      <c r="Q101" s="1262"/>
      <c r="R101" s="1262"/>
      <c r="S101" s="1265" t="str">
        <f>IF(ISBLANK(Table1218[[#This Row],[Maturity date]]),"","W"&amp;MIN(WEEKNUM($K101+1,2)-WEEKNUM(EOMONTH($K101+1,-1)),4)&amp;TEXT($K101+1,"mmmyy"))</f>
        <v>W-49Jan26</v>
      </c>
      <c r="T101" s="1266">
        <f>Table1218[[#This Row],[CLOSING BALANCE 
(VND)]]/1000000000</f>
        <v>1.5</v>
      </c>
      <c r="U10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01" s="1114">
        <f>_xlfn.NUMBERVALUE(LEFT(Table1218[[#This Row],[Term (months)]],1))</f>
        <v>1</v>
      </c>
      <c r="W101" s="1112">
        <v>1</v>
      </c>
      <c r="X101" s="1115">
        <f>Table1218[[#This Row],[Column3]]-Table1218[[#This Row],[Per bank statement]]</f>
        <v>0</v>
      </c>
      <c r="Y101" s="1117">
        <v>4.2999999999999997E-2</v>
      </c>
      <c r="Z101" s="1118">
        <f>Table1218[[#This Row],[Interest rate]]-Table1218[[#This Row],[Per bank statement2]]</f>
        <v>4.500000000000004E-3</v>
      </c>
      <c r="AA101" s="1112">
        <v>4.5</v>
      </c>
      <c r="AB101" s="1112"/>
      <c r="AC101" s="1112"/>
    </row>
    <row r="102" spans="1:29">
      <c r="A102" s="919" t="str">
        <f>IFERROR(VLOOKUP($C102,Table2[#All],3,0),0)</f>
        <v>BWID Tan Phu Trung</v>
      </c>
      <c r="B102" s="1260" t="str">
        <f>_xlfn.XLOOKUP(Table1218[[#This Row],[ACCOUNT NUMBER]],Table2[Account No.],Table2[BRANCH],"recheck",0)</f>
        <v>VIETINBANK - TIEN SON</v>
      </c>
      <c r="C102" s="1261" t="s">
        <v>1261</v>
      </c>
      <c r="D102" s="1262" t="str">
        <f>_xlfn.XLOOKUP(Table1218[[#This Row],[ACCOUNT NUMBER]],Table2[Account No.],Table2[ACCOUNT TYPE],"recheck",0)</f>
        <v>Saving Account</v>
      </c>
      <c r="E102" s="1129" t="s">
        <v>80</v>
      </c>
      <c r="F102" s="926">
        <f>SUMIFS(Table11[CLOSING BALANCE (VND)2],Table11[ACCOUNT NUMBER],Table1218[[#This Row],[ACCOUNT NUMBER]],Table11[CURRENCY],Table1218[[#This Row],[CURRENCY]])</f>
        <v>5000000000</v>
      </c>
      <c r="G102" s="1263"/>
      <c r="H102" s="1267" t="s">
        <v>219</v>
      </c>
      <c r="I102" s="1267"/>
      <c r="J102" s="1267"/>
      <c r="K102" s="1268">
        <v>46042</v>
      </c>
      <c r="L102" s="1259">
        <v>4.7500000000000001E-2</v>
      </c>
      <c r="M102" s="1262" t="str">
        <f>VLOOKUP($A102,Table1[[#All],[Entities]:[Name]],MATCH(M$3,Table1[[#Headers],[Entities]:[Name]],0),0)</f>
        <v>Subsidiaries</v>
      </c>
      <c r="N102" s="1262" t="str">
        <f>IFERROR(VLOOKUP(IFERROR(MID($O102,1,FIND("-",$O102)-2),O102),Table3[#All],2,0),0)</f>
        <v>VTB</v>
      </c>
      <c r="O102" s="1264" t="str">
        <f t="shared" si="3"/>
        <v>VIETINBANK - TIEN SON</v>
      </c>
      <c r="P102" s="1259"/>
      <c r="Q102" s="1262"/>
      <c r="R102" s="1262"/>
      <c r="S102" s="1265" t="str">
        <f>IF(ISBLANK(Table1218[[#This Row],[Maturity date]]),"","W"&amp;MIN(WEEKNUM($K102+1,2)-WEEKNUM(EOMONTH($K102+1,-1)),4)&amp;TEXT($K102+1,"mmmyy"))</f>
        <v>W-49Jan26</v>
      </c>
      <c r="T102" s="1266">
        <f>Table1218[[#This Row],[CLOSING BALANCE 
(VND)]]/1000000000</f>
        <v>5</v>
      </c>
      <c r="U10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02" s="1114">
        <f>_xlfn.NUMBERVALUE(LEFT(Table1218[[#This Row],[Term (months)]],1))</f>
        <v>1</v>
      </c>
      <c r="W102" s="1112">
        <v>1</v>
      </c>
      <c r="X102" s="1115">
        <f>Table1218[[#This Row],[Column3]]-Table1218[[#This Row],[Per bank statement]]</f>
        <v>0</v>
      </c>
      <c r="Y102" s="1117">
        <v>4.2999999999999997E-2</v>
      </c>
      <c r="Z102" s="1118">
        <f>Table1218[[#This Row],[Interest rate]]-Table1218[[#This Row],[Per bank statement2]]</f>
        <v>4.500000000000004E-3</v>
      </c>
      <c r="AA102" s="1112">
        <v>4.5</v>
      </c>
      <c r="AB102" s="1112"/>
      <c r="AC102" s="1112"/>
    </row>
    <row r="103" spans="1:29">
      <c r="A103" s="919" t="str">
        <f>IFERROR(VLOOKUP($C103,Table2[#All],3,0),0)</f>
        <v>BAC TIEN PHONG</v>
      </c>
      <c r="B103" s="1260" t="str">
        <f>_xlfn.XLOOKUP(Table1218[[#This Row],[ACCOUNT NUMBER]],Table2[Account No.],Table2[BRANCH],"recheck",0)</f>
        <v>BIDV - THANH XUAN</v>
      </c>
      <c r="C103" s="1261" t="s">
        <v>1263</v>
      </c>
      <c r="D103" s="1262" t="str">
        <f>_xlfn.XLOOKUP(Table1218[[#This Row],[ACCOUNT NUMBER]],Table2[Account No.],Table2[ACCOUNT TYPE],"recheck",0)</f>
        <v>Saving Account</v>
      </c>
      <c r="E103" s="1129" t="s">
        <v>80</v>
      </c>
      <c r="F103" s="926">
        <f>SUMIFS(Table11[CLOSING BALANCE (VND)2],Table11[ACCOUNT NUMBER],Table1218[[#This Row],[ACCOUNT NUMBER]],Table11[CURRENCY],Table1218[[#This Row],[CURRENCY]])</f>
        <v>3000000000</v>
      </c>
      <c r="G103" s="1263"/>
      <c r="H103" s="1267" t="s">
        <v>221</v>
      </c>
      <c r="I103" s="1267"/>
      <c r="J103" s="1267"/>
      <c r="K103" s="1268">
        <v>46108</v>
      </c>
      <c r="L103" s="1259">
        <v>4.7500000000000001E-2</v>
      </c>
      <c r="M103" s="1262" t="str">
        <f>VLOOKUP($A103,Table1[[#All],[Entities]:[Name]],MATCH(M$3,Table1[[#Headers],[Entities]:[Name]],0),0)</f>
        <v>Subsidiaries</v>
      </c>
      <c r="N103" s="1262" t="str">
        <f>IFERROR(VLOOKUP(IFERROR(MID($O103,1,FIND("-",$O103)-2),O103),Table3[#All],2,0),0)</f>
        <v>BIDV</v>
      </c>
      <c r="O103" s="1264" t="str">
        <f t="shared" si="3"/>
        <v>BIDV - THANH XUAN</v>
      </c>
      <c r="P103" s="1259"/>
      <c r="Q103" s="1262"/>
      <c r="R103" s="1262"/>
      <c r="S103" s="1265" t="str">
        <f>IF(ISBLANK(Table1218[[#This Row],[Maturity date]]),"","W"&amp;MIN(WEEKNUM($K103+1,2)-WEEKNUM(EOMONTH($K103+1,-1)),4)&amp;TEXT($K103+1,"mmmyy"))</f>
        <v>W4Mar26</v>
      </c>
      <c r="T103" s="1266">
        <f>Table1218[[#This Row],[CLOSING BALANCE 
(VND)]]/1000000000</f>
        <v>3</v>
      </c>
      <c r="U10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2 months</v>
      </c>
      <c r="V103" s="1114">
        <f>_xlfn.NUMBERVALUE(LEFT(Table1218[[#This Row],[Term (months)]],1))</f>
        <v>3</v>
      </c>
      <c r="W103" s="1112">
        <v>3</v>
      </c>
      <c r="X103" s="1115">
        <f>Table1218[[#This Row],[Column3]]-Table1218[[#This Row],[Per bank statement]]</f>
        <v>0</v>
      </c>
      <c r="Y103" s="1117">
        <v>4.4999999999999998E-2</v>
      </c>
      <c r="Z103" s="1118">
        <f>Table1218[[#This Row],[Interest rate]]-Table1218[[#This Row],[Per bank statement2]]</f>
        <v>2.5000000000000022E-3</v>
      </c>
      <c r="AA103" s="1112" t="s">
        <v>1550</v>
      </c>
      <c r="AB103" s="1112"/>
      <c r="AC103" s="1112"/>
    </row>
    <row r="104" spans="1:29">
      <c r="A104" s="919" t="str">
        <f>IFERROR(VLOOKUP($C104,Table2[#All],3,0),0)</f>
        <v>NDV PROJECT CO</v>
      </c>
      <c r="B104" s="1260" t="str">
        <f>_xlfn.XLOOKUP(Table1218[[#This Row],[ACCOUNT NUMBER]],Table2[Account No.],Table2[BRANCH],"recheck",0)</f>
        <v>BIDV - THANH XUAN</v>
      </c>
      <c r="C104" s="1261" t="s">
        <v>1275</v>
      </c>
      <c r="D104" s="1262" t="str">
        <f>_xlfn.XLOOKUP(Table1218[[#This Row],[ACCOUNT NUMBER]],Table2[Account No.],Table2[ACCOUNT TYPE],"recheck",0)</f>
        <v>Saving Account</v>
      </c>
      <c r="E104" s="1129" t="s">
        <v>80</v>
      </c>
      <c r="F104" s="926">
        <f>SUMIFS(Table11[CLOSING BALANCE (VND)2],Table11[ACCOUNT NUMBER],Table1218[[#This Row],[ACCOUNT NUMBER]],Table11[CURRENCY],Table1218[[#This Row],[CURRENCY]])</f>
        <v>3000000000</v>
      </c>
      <c r="G104" s="1263"/>
      <c r="H104" s="1267" t="s">
        <v>219</v>
      </c>
      <c r="I104" s="1267"/>
      <c r="J104" s="1267"/>
      <c r="K104" s="1268">
        <v>46047</v>
      </c>
      <c r="L104" s="1288">
        <v>4.7500000000000001E-2</v>
      </c>
      <c r="M104" s="1262" t="str">
        <f>VLOOKUP($A104,Table1[[#All],[Entities]:[Name]],MATCH(M$3,Table1[[#Headers],[Entities]:[Name]],0),0)</f>
        <v>Subsidiaries</v>
      </c>
      <c r="N104" s="1262" t="str">
        <f>IFERROR(VLOOKUP(IFERROR(MID($O104,1,FIND("-",$O104)-2),O104),Table3[#All],2,0),0)</f>
        <v>BIDV</v>
      </c>
      <c r="O104" s="1264" t="str">
        <f t="shared" ref="O104:O132" si="4">B104</f>
        <v>BIDV - THANH XUAN</v>
      </c>
      <c r="P104" s="1259"/>
      <c r="Q104" s="1262"/>
      <c r="R104" s="1262"/>
      <c r="S104" s="1265" t="str">
        <f>IF(ISBLANK(Table1218[[#This Row],[Maturity date]]),"","W"&amp;MIN(WEEKNUM($K104+1,2)-WEEKNUM(EOMONTH($K104+1,-1)),4)&amp;TEXT($K104+1,"mmmyy"))</f>
        <v>W-48Jan26</v>
      </c>
      <c r="T104" s="1266">
        <f>Table1218[[#This Row],[CLOSING BALANCE 
(VND)]]/1000000000</f>
        <v>3</v>
      </c>
      <c r="U10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04" s="1114">
        <f>_xlfn.NUMBERVALUE(LEFT(Table1218[[#This Row],[Term (months)]],1))</f>
        <v>1</v>
      </c>
      <c r="W104" s="1115">
        <v>1</v>
      </c>
      <c r="X104" s="1115">
        <f>Table1218[[#This Row],[Column3]]-Table1218[[#This Row],[Per bank statement]]</f>
        <v>0</v>
      </c>
      <c r="Y104" s="1117">
        <v>4.2999999999999997E-2</v>
      </c>
      <c r="Z104" s="1118">
        <f>Table1218[[#This Row],[Interest rate]]-Table1218[[#This Row],[Per bank statement2]]</f>
        <v>4.500000000000004E-3</v>
      </c>
      <c r="AA104" s="1131">
        <v>4.4999999999999998E-2</v>
      </c>
      <c r="AB104" s="1112"/>
      <c r="AC104" s="1112"/>
    </row>
    <row r="105" spans="1:29">
      <c r="A105" s="919" t="str">
        <f>IFERROR(VLOOKUP($C105,Table2[#All],3,0),0)</f>
        <v>HOLDCO N4A</v>
      </c>
      <c r="B105" s="1260" t="str">
        <f>_xlfn.XLOOKUP(Table1218[[#This Row],[ACCOUNT NUMBER]],Table2[Account No.],Table2[BRANCH],"recheck",0)</f>
        <v>VIETINBANK - TIEN SON</v>
      </c>
      <c r="C105" s="1261" t="s">
        <v>1283</v>
      </c>
      <c r="D105" s="1262" t="str">
        <f>_xlfn.XLOOKUP(Table1218[[#This Row],[ACCOUNT NUMBER]],Table2[Account No.],Table2[ACCOUNT TYPE],"recheck",0)</f>
        <v>Saving Account</v>
      </c>
      <c r="E105" s="1267" t="s">
        <v>80</v>
      </c>
      <c r="F105" s="926">
        <f>SUMIFS(Table11[CLOSING BALANCE (VND)2],Table11[ACCOUNT NUMBER],Table1218[[#This Row],[ACCOUNT NUMBER]],Table11[CURRENCY],Table1218[[#This Row],[CURRENCY]])</f>
        <v>100000000</v>
      </c>
      <c r="G105" s="1263"/>
      <c r="H105" s="1267" t="s">
        <v>224</v>
      </c>
      <c r="I105" s="1267"/>
      <c r="J105" s="1267"/>
      <c r="K105" s="1268">
        <v>46204</v>
      </c>
      <c r="L105" s="1259">
        <v>5.2999999999999999E-2</v>
      </c>
      <c r="M105" s="1262" t="str">
        <f>VLOOKUP($A105,Table1[[#All],[Entities]:[Name]],MATCH(M$3,Table1[[#Headers],[Entities]:[Name]],0),0)</f>
        <v>Subsidiaries</v>
      </c>
      <c r="N105" s="1262" t="str">
        <f>IFERROR(VLOOKUP(IFERROR(MID($O105,1,FIND("-",$O105)-2),O105),Table3[#All],2,0),0)</f>
        <v>VTB</v>
      </c>
      <c r="O105" s="1264" t="str">
        <f t="shared" si="4"/>
        <v>VIETINBANK - TIEN SON</v>
      </c>
      <c r="P105" s="1259"/>
      <c r="Q105" s="1262"/>
      <c r="R105" s="1262"/>
      <c r="S105" s="1265" t="str">
        <f>IF(ISBLANK(Table1218[[#This Row],[Maturity date]]),"","W"&amp;MIN(WEEKNUM($K105+1,2)-WEEKNUM(EOMONTH($K105+1,-1)),4)&amp;TEXT($K105+1,"mmmyy"))</f>
        <v>W0Jul26</v>
      </c>
      <c r="T105" s="1266">
        <f>Table1218[[#This Row],[CLOSING BALANCE 
(VND)]]/1000000000</f>
        <v>0.1</v>
      </c>
      <c r="U10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05" s="1114">
        <f>_xlfn.NUMBERVALUE(LEFT(Table1218[[#This Row],[Term (months)]],1))</f>
        <v>6</v>
      </c>
      <c r="W105" s="1112">
        <v>6</v>
      </c>
      <c r="X105" s="1115">
        <f>Table1218[[#This Row],[Column3]]-Table1218[[#This Row],[Per bank statement]]</f>
        <v>0</v>
      </c>
      <c r="Y105" s="1117">
        <v>4.4999999999999998E-2</v>
      </c>
      <c r="Z105" s="1118">
        <f>Table1218[[#This Row],[Interest rate]]-Table1218[[#This Row],[Per bank statement2]]</f>
        <v>8.0000000000000002E-3</v>
      </c>
      <c r="AA105" s="1112">
        <v>4.5</v>
      </c>
      <c r="AB105" s="1112"/>
      <c r="AC105" s="1112"/>
    </row>
    <row r="106" spans="1:29">
      <c r="A106" s="919" t="str">
        <f>IFERROR(VLOOKUP($C106,Table2[#All],3,0),0)</f>
        <v>HOLDCO N4B</v>
      </c>
      <c r="B106" s="1260" t="str">
        <f>_xlfn.XLOOKUP(Table1218[[#This Row],[ACCOUNT NUMBER]],Table2[Account No.],Table2[BRANCH],"recheck",0)</f>
        <v>VIETINBANK - TIEN SON</v>
      </c>
      <c r="C106" s="1261" t="s">
        <v>1284</v>
      </c>
      <c r="D106" s="1262" t="str">
        <f>_xlfn.XLOOKUP(Table1218[[#This Row],[ACCOUNT NUMBER]],Table2[Account No.],Table2[ACCOUNT TYPE],"recheck",0)</f>
        <v>Saving Account</v>
      </c>
      <c r="E106" s="1267" t="s">
        <v>80</v>
      </c>
      <c r="F106" s="926">
        <f>SUMIFS(Table11[CLOSING BALANCE (VND)2],Table11[ACCOUNT NUMBER],Table1218[[#This Row],[ACCOUNT NUMBER]],Table11[CURRENCY],Table1218[[#This Row],[CURRENCY]])</f>
        <v>100000000</v>
      </c>
      <c r="G106" s="1263"/>
      <c r="H106" s="1267" t="s">
        <v>224</v>
      </c>
      <c r="I106" s="1267"/>
      <c r="J106" s="1267"/>
      <c r="K106" s="1268">
        <v>46204</v>
      </c>
      <c r="L106" s="1259">
        <v>5.2999999999999999E-2</v>
      </c>
      <c r="M106" s="1262" t="str">
        <f>VLOOKUP($A106,Table1[[#All],[Entities]:[Name]],MATCH(M$3,Table1[[#Headers],[Entities]:[Name]],0),0)</f>
        <v>Subsidiaries</v>
      </c>
      <c r="N106" s="1262" t="str">
        <f>IFERROR(VLOOKUP(IFERROR(MID($O106,1,FIND("-",$O106)-2),O106),Table3[#All],2,0),0)</f>
        <v>VTB</v>
      </c>
      <c r="O106" s="1264" t="str">
        <f t="shared" si="4"/>
        <v>VIETINBANK - TIEN SON</v>
      </c>
      <c r="P106" s="1259"/>
      <c r="Q106" s="1262"/>
      <c r="R106" s="1262"/>
      <c r="S106" s="1265" t="str">
        <f>IF(ISBLANK(Table1218[[#This Row],[Maturity date]]),"","W"&amp;MIN(WEEKNUM($K106+1,2)-WEEKNUM(EOMONTH($K106+1,-1)),4)&amp;TEXT($K106+1,"mmmyy"))</f>
        <v>W0Jul26</v>
      </c>
      <c r="T106" s="1266">
        <f>Table1218[[#This Row],[CLOSING BALANCE 
(VND)]]/1000000000</f>
        <v>0.1</v>
      </c>
      <c r="U10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06" s="1114">
        <f>_xlfn.NUMBERVALUE(LEFT(Table1218[[#This Row],[Term (months)]],1))</f>
        <v>6</v>
      </c>
      <c r="W106" s="1112">
        <v>6</v>
      </c>
      <c r="X106" s="1115">
        <f>Table1218[[#This Row],[Column3]]-Table1218[[#This Row],[Per bank statement]]</f>
        <v>0</v>
      </c>
      <c r="Y106" s="1117">
        <v>4.4999999999999998E-2</v>
      </c>
      <c r="Z106" s="1118">
        <f>Table1218[[#This Row],[Interest rate]]-Table1218[[#This Row],[Per bank statement2]]</f>
        <v>8.0000000000000002E-3</v>
      </c>
      <c r="AA106" s="1112">
        <v>4.5</v>
      </c>
      <c r="AB106" s="1112"/>
      <c r="AC106" s="1112"/>
    </row>
    <row r="107" spans="1:29">
      <c r="A107" s="919" t="str">
        <f>IFERROR(VLOOKUP($C107,Table2[#All],3,0),0)</f>
        <v>HOLDCO N4D</v>
      </c>
      <c r="B107" s="1260" t="str">
        <f>_xlfn.XLOOKUP(Table1218[[#This Row],[ACCOUNT NUMBER]],Table2[Account No.],Table2[BRANCH],"recheck",0)</f>
        <v>VIETINBANK - TIEN SON</v>
      </c>
      <c r="C107" s="1261" t="s">
        <v>1308</v>
      </c>
      <c r="D107" s="1262" t="str">
        <f>_xlfn.XLOOKUP(Table1218[[#This Row],[ACCOUNT NUMBER]],Table2[Account No.],Table2[ACCOUNT TYPE],"recheck",0)</f>
        <v>Saving Account</v>
      </c>
      <c r="E107" s="1267" t="s">
        <v>80</v>
      </c>
      <c r="F107" s="926">
        <f>SUMIFS(Table11[CLOSING BALANCE (VND)2],Table11[ACCOUNT NUMBER],Table1218[[#This Row],[ACCOUNT NUMBER]],Table11[CURRENCY],Table1218[[#This Row],[CURRENCY]])</f>
        <v>100000000</v>
      </c>
      <c r="G107" s="1263"/>
      <c r="H107" s="1267" t="s">
        <v>224</v>
      </c>
      <c r="I107" s="1267"/>
      <c r="J107" s="1267"/>
      <c r="K107" s="1268">
        <v>46204</v>
      </c>
      <c r="L107" s="1259">
        <v>5.2999999999999999E-2</v>
      </c>
      <c r="M107" s="1262" t="str">
        <f>VLOOKUP($A107,Table1[[#All],[Entities]:[Name]],MATCH(M$3,Table1[[#Headers],[Entities]:[Name]],0),0)</f>
        <v>Subsidiaries</v>
      </c>
      <c r="N107" s="1262" t="str">
        <f>IFERROR(VLOOKUP(IFERROR(MID($O107,1,FIND("-",$O107)-2),O107),Table3[#All],2,0),0)</f>
        <v>VTB</v>
      </c>
      <c r="O107" s="1264" t="str">
        <f t="shared" si="4"/>
        <v>VIETINBANK - TIEN SON</v>
      </c>
      <c r="P107" s="1259"/>
      <c r="Q107" s="1262"/>
      <c r="R107" s="1262"/>
      <c r="S107" s="1265" t="str">
        <f>IF(ISBLANK(Table1218[[#This Row],[Maturity date]]),"","W"&amp;MIN(WEEKNUM($K107+1,2)-WEEKNUM(EOMONTH($K107+1,-1)),4)&amp;TEXT($K107+1,"mmmyy"))</f>
        <v>W0Jul26</v>
      </c>
      <c r="T107" s="1266">
        <f>Table1218[[#This Row],[CLOSING BALANCE 
(VND)]]/1000000000</f>
        <v>0.1</v>
      </c>
      <c r="U10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07" s="1114">
        <f>_xlfn.NUMBERVALUE(LEFT(Table1218[[#This Row],[Term (months)]],1))</f>
        <v>6</v>
      </c>
      <c r="W107" s="1112">
        <v>6</v>
      </c>
      <c r="X107" s="1115">
        <f>Table1218[[#This Row],[Column3]]-Table1218[[#This Row],[Per bank statement]]</f>
        <v>0</v>
      </c>
      <c r="Y107" s="1117">
        <v>4.4999999999999998E-2</v>
      </c>
      <c r="Z107" s="1118">
        <f>Table1218[[#This Row],[Interest rate]]-Table1218[[#This Row],[Per bank statement2]]</f>
        <v>8.0000000000000002E-3</v>
      </c>
      <c r="AA107" s="1112">
        <v>4.5</v>
      </c>
      <c r="AB107" s="1112"/>
      <c r="AC107" s="1112"/>
    </row>
    <row r="108" spans="1:29">
      <c r="A108" s="919" t="str">
        <f>IFERROR(VLOOKUP($C108,Table2[#All],3,0),0)</f>
        <v>HOLDCO N4E</v>
      </c>
      <c r="B108" s="1260" t="str">
        <f>_xlfn.XLOOKUP(Table1218[[#This Row],[ACCOUNT NUMBER]],Table2[Account No.],Table2[BRANCH],"recheck",0)</f>
        <v>VIETINBANK - TIEN SON</v>
      </c>
      <c r="C108" s="1269" t="s">
        <v>1285</v>
      </c>
      <c r="D108" s="1262" t="str">
        <f>_xlfn.XLOOKUP(Table1218[[#This Row],[ACCOUNT NUMBER]],Table2[Account No.],Table2[ACCOUNT TYPE],"recheck",0)</f>
        <v>Saving Account</v>
      </c>
      <c r="E108" s="1267" t="s">
        <v>80</v>
      </c>
      <c r="F108" s="926">
        <f>SUMIFS(Table11[CLOSING BALANCE (VND)2],Table11[ACCOUNT NUMBER],Table1218[[#This Row],[ACCOUNT NUMBER]],Table11[CURRENCY],Table1218[[#This Row],[CURRENCY]])</f>
        <v>100000000</v>
      </c>
      <c r="G108" s="1263"/>
      <c r="H108" s="1267" t="s">
        <v>224</v>
      </c>
      <c r="I108" s="1267"/>
      <c r="J108" s="1267"/>
      <c r="K108" s="1268">
        <v>46204</v>
      </c>
      <c r="L108" s="1259">
        <v>5.2999999999999999E-2</v>
      </c>
      <c r="M108" s="1262" t="str">
        <f>VLOOKUP($A108,Table1[[#All],[Entities]:[Name]],MATCH(M$3,Table1[[#Headers],[Entities]:[Name]],0),0)</f>
        <v>Subsidiaries</v>
      </c>
      <c r="N108" s="1262" t="str">
        <f>IFERROR(VLOOKUP(IFERROR(MID($O108,1,FIND("-",$O108)-2),O108),Table3[#All],2,0),0)</f>
        <v>VTB</v>
      </c>
      <c r="O108" s="1264" t="str">
        <f t="shared" si="4"/>
        <v>VIETINBANK - TIEN SON</v>
      </c>
      <c r="P108" s="1259"/>
      <c r="Q108" s="1262"/>
      <c r="R108" s="1262"/>
      <c r="S108" s="1265" t="str">
        <f>IF(ISBLANK(Table1218[[#This Row],[Maturity date]]),"","W"&amp;MIN(WEEKNUM($K108+1,2)-WEEKNUM(EOMONTH($K108+1,-1)),4)&amp;TEXT($K108+1,"mmmyy"))</f>
        <v>W0Jul26</v>
      </c>
      <c r="T108" s="1266">
        <f>Table1218[[#This Row],[CLOSING BALANCE 
(VND)]]/1000000000</f>
        <v>0.1</v>
      </c>
      <c r="U10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08" s="1114">
        <f>_xlfn.NUMBERVALUE(LEFT(Table1218[[#This Row],[Term (months)]],1))</f>
        <v>6</v>
      </c>
      <c r="W108" s="1112">
        <v>6</v>
      </c>
      <c r="X108" s="1115">
        <f>Table1218[[#This Row],[Column3]]-Table1218[[#This Row],[Per bank statement]]</f>
        <v>0</v>
      </c>
      <c r="Y108" s="1117">
        <v>4.4999999999999998E-2</v>
      </c>
      <c r="Z108" s="1118">
        <f>Table1218[[#This Row],[Interest rate]]-Table1218[[#This Row],[Per bank statement2]]</f>
        <v>8.0000000000000002E-3</v>
      </c>
      <c r="AA108" s="1112">
        <v>4.5</v>
      </c>
      <c r="AB108" s="1112"/>
      <c r="AC108" s="1112"/>
    </row>
    <row r="109" spans="1:29">
      <c r="A109" s="919" t="str">
        <f>IFERROR(VLOOKUP($C109,Table2[#All],3,0),0)</f>
        <v>HOLDCO4X</v>
      </c>
      <c r="B109" s="1260" t="str">
        <f>_xlfn.XLOOKUP(Table1218[[#This Row],[ACCOUNT NUMBER]],Table2[Account No.],Table2[BRANCH],"recheck",0)</f>
        <v>VIETINBANK - TIEN SON</v>
      </c>
      <c r="C109" s="1261" t="s">
        <v>1286</v>
      </c>
      <c r="D109" s="1262" t="str">
        <f>_xlfn.XLOOKUP(Table1218[[#This Row],[ACCOUNT NUMBER]],Table2[Account No.],Table2[ACCOUNT TYPE],"recheck",0)</f>
        <v>Saving Account</v>
      </c>
      <c r="E109" s="1267" t="s">
        <v>80</v>
      </c>
      <c r="F109" s="926">
        <f>SUMIFS(Table11[CLOSING BALANCE (VND)2],Table11[ACCOUNT NUMBER],Table1218[[#This Row],[ACCOUNT NUMBER]],Table11[CURRENCY],Table1218[[#This Row],[CURRENCY]])</f>
        <v>800000000</v>
      </c>
      <c r="G109" s="1263"/>
      <c r="H109" s="1267" t="s">
        <v>224</v>
      </c>
      <c r="I109" s="1267"/>
      <c r="J109" s="1267"/>
      <c r="K109" s="1268">
        <v>46204</v>
      </c>
      <c r="L109" s="1259">
        <v>5.2999999999999999E-2</v>
      </c>
      <c r="M109" s="1262" t="str">
        <f>VLOOKUP($A109,Table1[[#All],[Entities]:[Name]],MATCH(M$3,Table1[[#Headers],[Entities]:[Name]],0),0)</f>
        <v>Subsidiaries</v>
      </c>
      <c r="N109" s="1262" t="str">
        <f>IFERROR(VLOOKUP(IFERROR(MID($O109,1,FIND("-",$O109)-2),O109),Table3[#All],2,0),0)</f>
        <v>VTB</v>
      </c>
      <c r="O109" s="1264" t="str">
        <f t="shared" si="4"/>
        <v>VIETINBANK - TIEN SON</v>
      </c>
      <c r="P109" s="1259"/>
      <c r="Q109" s="1262"/>
      <c r="R109" s="1262"/>
      <c r="S109" s="1265" t="str">
        <f>IF(ISBLANK(Table1218[[#This Row],[Maturity date]]),"","W"&amp;MIN(WEEKNUM($K109+1,2)-WEEKNUM(EOMONTH($K109+1,-1)),4)&amp;TEXT($K109+1,"mmmyy"))</f>
        <v>W0Jul26</v>
      </c>
      <c r="T109" s="1266">
        <f>Table1218[[#This Row],[CLOSING BALANCE 
(VND)]]/1000000000</f>
        <v>0.8</v>
      </c>
      <c r="U10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09" s="1114">
        <f>_xlfn.NUMBERVALUE(LEFT(Table1218[[#This Row],[Term (months)]],1))</f>
        <v>6</v>
      </c>
      <c r="W109" s="1112">
        <v>6</v>
      </c>
      <c r="X109" s="1115">
        <f>Table1218[[#This Row],[Column3]]-Table1218[[#This Row],[Per bank statement]]</f>
        <v>0</v>
      </c>
      <c r="Y109" s="1117">
        <v>4.4999999999999998E-2</v>
      </c>
      <c r="Z109" s="1118">
        <f>Table1218[[#This Row],[Interest rate]]-Table1218[[#This Row],[Per bank statement2]]</f>
        <v>8.0000000000000002E-3</v>
      </c>
      <c r="AA109" s="1112">
        <v>4.5</v>
      </c>
      <c r="AB109" s="1112"/>
      <c r="AC109" s="1112"/>
    </row>
    <row r="110" spans="1:29">
      <c r="A110" s="919" t="str">
        <f>IFERROR(VLOOKUP($C110,Table2[#All],3,0),0)</f>
        <v>HOLDCO S4E</v>
      </c>
      <c r="B110" s="1260" t="str">
        <f>_xlfn.XLOOKUP(Table1218[[#This Row],[ACCOUNT NUMBER]],Table2[Account No.],Table2[BRANCH],"recheck",0)</f>
        <v>VIETINBANK - TIEN SON</v>
      </c>
      <c r="C110" s="1261" t="s">
        <v>1287</v>
      </c>
      <c r="D110" s="1262" t="str">
        <f>_xlfn.XLOOKUP(Table1218[[#This Row],[ACCOUNT NUMBER]],Table2[Account No.],Table2[ACCOUNT TYPE],"recheck",0)</f>
        <v>Saving Account</v>
      </c>
      <c r="E110" s="1267" t="s">
        <v>80</v>
      </c>
      <c r="F110" s="926">
        <f>SUMIFS(Table11[CLOSING BALANCE (VND)2],Table11[ACCOUNT NUMBER],Table1218[[#This Row],[ACCOUNT NUMBER]],Table11[CURRENCY],Table1218[[#This Row],[CURRENCY]])</f>
        <v>900000000</v>
      </c>
      <c r="G110" s="1263"/>
      <c r="H110" s="1267" t="s">
        <v>224</v>
      </c>
      <c r="I110" s="1267"/>
      <c r="J110" s="1267"/>
      <c r="K110" s="1268">
        <v>46204</v>
      </c>
      <c r="L110" s="1259">
        <v>5.2999999999999999E-2</v>
      </c>
      <c r="M110" s="1262" t="str">
        <f>VLOOKUP($A110,Table1[[#All],[Entities]:[Name]],MATCH(M$3,Table1[[#Headers],[Entities]:[Name]],0),0)</f>
        <v>Subsidiaries</v>
      </c>
      <c r="N110" s="1262" t="str">
        <f>IFERROR(VLOOKUP(IFERROR(MID($O110,1,FIND("-",$O110)-2),O110),Table3[#All],2,0),0)</f>
        <v>VTB</v>
      </c>
      <c r="O110" s="1264" t="str">
        <f t="shared" si="4"/>
        <v>VIETINBANK - TIEN SON</v>
      </c>
      <c r="P110" s="1259"/>
      <c r="Q110" s="1262"/>
      <c r="R110" s="1262"/>
      <c r="S110" s="1265" t="str">
        <f>IF(ISBLANK(Table1218[[#This Row],[Maturity date]]),"","W"&amp;MIN(WEEKNUM($K110+1,2)-WEEKNUM(EOMONTH($K110+1,-1)),4)&amp;TEXT($K110+1,"mmmyy"))</f>
        <v>W0Jul26</v>
      </c>
      <c r="T110" s="1266">
        <f>Table1218[[#This Row],[CLOSING BALANCE 
(VND)]]/1000000000</f>
        <v>0.9</v>
      </c>
      <c r="U11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10" s="1114">
        <f>_xlfn.NUMBERVALUE(LEFT(Table1218[[#This Row],[Term (months)]],1))</f>
        <v>6</v>
      </c>
      <c r="W110" s="1112">
        <v>6</v>
      </c>
      <c r="X110" s="1115">
        <f>Table1218[[#This Row],[Column3]]-Table1218[[#This Row],[Per bank statement]]</f>
        <v>0</v>
      </c>
      <c r="Y110" s="1117">
        <v>4.4999999999999998E-2</v>
      </c>
      <c r="Z110" s="1118">
        <f>Table1218[[#This Row],[Interest rate]]-Table1218[[#This Row],[Per bank statement2]]</f>
        <v>8.0000000000000002E-3</v>
      </c>
      <c r="AA110" s="1112">
        <v>4.5</v>
      </c>
      <c r="AB110" s="1112"/>
      <c r="AC110" s="1112"/>
    </row>
    <row r="111" spans="1:29">
      <c r="A111" s="919" t="str">
        <f>IFERROR(VLOOKUP($C111,Table2[#All],3,0),0)</f>
        <v>HOLDCO S5A</v>
      </c>
      <c r="B111" s="1260" t="str">
        <f>_xlfn.XLOOKUP(Table1218[[#This Row],[ACCOUNT NUMBER]],Table2[Account No.],Table2[BRANCH],"recheck",0)</f>
        <v>VIETINBANK - TIEN SON</v>
      </c>
      <c r="C111" s="1261" t="s">
        <v>1288</v>
      </c>
      <c r="D111" s="1262" t="str">
        <f>_xlfn.XLOOKUP(Table1218[[#This Row],[ACCOUNT NUMBER]],Table2[Account No.],Table2[ACCOUNT TYPE],"recheck",0)</f>
        <v>Saving Account</v>
      </c>
      <c r="E111" s="1267" t="s">
        <v>80</v>
      </c>
      <c r="F111" s="926">
        <f>SUMIFS(Table11[CLOSING BALANCE (VND)2],Table11[ACCOUNT NUMBER],Table1218[[#This Row],[ACCOUNT NUMBER]],Table11[CURRENCY],Table1218[[#This Row],[CURRENCY]])</f>
        <v>800000000</v>
      </c>
      <c r="G111" s="1263"/>
      <c r="H111" s="1267" t="s">
        <v>224</v>
      </c>
      <c r="I111" s="1267"/>
      <c r="J111" s="1267"/>
      <c r="K111" s="1268">
        <v>46204</v>
      </c>
      <c r="L111" s="1259">
        <v>5.2999999999999999E-2</v>
      </c>
      <c r="M111" s="1262" t="str">
        <f>VLOOKUP($A111,Table1[[#All],[Entities]:[Name]],MATCH(M$3,Table1[[#Headers],[Entities]:[Name]],0),0)</f>
        <v>Subsidiaries</v>
      </c>
      <c r="N111" s="1262" t="str">
        <f>IFERROR(VLOOKUP(IFERROR(MID($O111,1,FIND("-",$O111)-2),O111),Table3[#All],2,0),0)</f>
        <v>VTB</v>
      </c>
      <c r="O111" s="1264" t="str">
        <f t="shared" si="4"/>
        <v>VIETINBANK - TIEN SON</v>
      </c>
      <c r="P111" s="1259"/>
      <c r="Q111" s="1262"/>
      <c r="R111" s="1262"/>
      <c r="S111" s="1265" t="str">
        <f>IF(ISBLANK(Table1218[[#This Row],[Maturity date]]),"","W"&amp;MIN(WEEKNUM($K111+1,2)-WEEKNUM(EOMONTH($K111+1,-1)),4)&amp;TEXT($K111+1,"mmmyy"))</f>
        <v>W0Jul26</v>
      </c>
      <c r="T111" s="1266">
        <f>Table1218[[#This Row],[CLOSING BALANCE 
(VND)]]/1000000000</f>
        <v>0.8</v>
      </c>
      <c r="U11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11" s="1114">
        <f>_xlfn.NUMBERVALUE(LEFT(Table1218[[#This Row],[Term (months)]],1))</f>
        <v>6</v>
      </c>
      <c r="W111" s="1112">
        <v>6</v>
      </c>
      <c r="X111" s="1115">
        <f>Table1218[[#This Row],[Column3]]-Table1218[[#This Row],[Per bank statement]]</f>
        <v>0</v>
      </c>
      <c r="Y111" s="1117">
        <v>4.4999999999999998E-2</v>
      </c>
      <c r="Z111" s="1118">
        <f>Table1218[[#This Row],[Interest rate]]-Table1218[[#This Row],[Per bank statement2]]</f>
        <v>8.0000000000000002E-3</v>
      </c>
      <c r="AA111" s="1112">
        <v>4.5</v>
      </c>
      <c r="AB111" s="1112"/>
      <c r="AC111" s="1112"/>
    </row>
    <row r="112" spans="1:29">
      <c r="A112" s="919" t="str">
        <f>IFERROR(VLOOKUP($C112,Table2[#All],3,0),0)</f>
        <v>HOLDCO S5B</v>
      </c>
      <c r="B112" s="1260" t="str">
        <f>_xlfn.XLOOKUP(Table1218[[#This Row],[ACCOUNT NUMBER]],Table2[Account No.],Table2[BRANCH],"recheck",0)</f>
        <v>VIETINBANK - TIEN SON</v>
      </c>
      <c r="C112" s="1261" t="s">
        <v>1291</v>
      </c>
      <c r="D112" s="1262" t="str">
        <f>_xlfn.XLOOKUP(Table1218[[#This Row],[ACCOUNT NUMBER]],Table2[Account No.],Table2[ACCOUNT TYPE],"recheck",0)</f>
        <v>Saving Account</v>
      </c>
      <c r="E112" s="1267" t="s">
        <v>80</v>
      </c>
      <c r="F112" s="926">
        <f>SUMIFS(Table11[CLOSING BALANCE (VND)2],Table11[ACCOUNT NUMBER],Table1218[[#This Row],[ACCOUNT NUMBER]],Table11[CURRENCY],Table1218[[#This Row],[CURRENCY]])</f>
        <v>850000000</v>
      </c>
      <c r="G112" s="1263"/>
      <c r="H112" s="1267" t="s">
        <v>224</v>
      </c>
      <c r="I112" s="1267"/>
      <c r="J112" s="1267"/>
      <c r="K112" s="1268">
        <v>46204</v>
      </c>
      <c r="L112" s="1259">
        <v>5.2999999999999999E-2</v>
      </c>
      <c r="M112" s="1262" t="str">
        <f>VLOOKUP($A112,Table1[[#All],[Entities]:[Name]],MATCH(M$3,Table1[[#Headers],[Entities]:[Name]],0),0)</f>
        <v>Subsidiaries</v>
      </c>
      <c r="N112" s="1262" t="str">
        <f>IFERROR(VLOOKUP(IFERROR(MID($O112,1,FIND("-",$O112)-2),O112),Table3[#All],2,0),0)</f>
        <v>VTB</v>
      </c>
      <c r="O112" s="1264" t="str">
        <f t="shared" si="4"/>
        <v>VIETINBANK - TIEN SON</v>
      </c>
      <c r="P112" s="1259"/>
      <c r="Q112" s="1262"/>
      <c r="R112" s="1262"/>
      <c r="S112" s="1265" t="str">
        <f>IF(ISBLANK(Table1218[[#This Row],[Maturity date]]),"","W"&amp;MIN(WEEKNUM($K112+1,2)-WEEKNUM(EOMONTH($K112+1,-1)),4)&amp;TEXT($K112+1,"mmmyy"))</f>
        <v>W0Jul26</v>
      </c>
      <c r="T112" s="1266">
        <f>Table1218[[#This Row],[CLOSING BALANCE 
(VND)]]/1000000000</f>
        <v>0.85</v>
      </c>
      <c r="U11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12" s="1114">
        <f>_xlfn.NUMBERVALUE(LEFT(Table1218[[#This Row],[Term (months)]],1))</f>
        <v>6</v>
      </c>
      <c r="W112" s="1112">
        <v>6</v>
      </c>
      <c r="X112" s="1115">
        <f>Table1218[[#This Row],[Column3]]-Table1218[[#This Row],[Per bank statement]]</f>
        <v>0</v>
      </c>
      <c r="Y112" s="1117">
        <v>4.4999999999999998E-2</v>
      </c>
      <c r="Z112" s="1118">
        <f>Table1218[[#This Row],[Interest rate]]-Table1218[[#This Row],[Per bank statement2]]</f>
        <v>8.0000000000000002E-3</v>
      </c>
      <c r="AA112" s="1112">
        <v>4.5</v>
      </c>
      <c r="AB112" s="1112"/>
      <c r="AC112" s="1112"/>
    </row>
    <row r="113" spans="1:29">
      <c r="A113" s="919" t="str">
        <f>IFERROR(VLOOKUP($C113,Table2[#All],3,0),0)</f>
        <v>HOLDCO4W</v>
      </c>
      <c r="B113" s="1260" t="str">
        <f>_xlfn.XLOOKUP(Table1218[[#This Row],[ACCOUNT NUMBER]],Table2[Account No.],Table2[BRANCH],"recheck",0)</f>
        <v>VIETINBANK - TIEN SON</v>
      </c>
      <c r="C113" s="1261" t="s">
        <v>1292</v>
      </c>
      <c r="D113" s="1262" t="str">
        <f>_xlfn.XLOOKUP(Table1218[[#This Row],[ACCOUNT NUMBER]],Table2[Account No.],Table2[ACCOUNT TYPE],"recheck",0)</f>
        <v>Saving Account</v>
      </c>
      <c r="E113" s="1267" t="s">
        <v>80</v>
      </c>
      <c r="F113" s="926">
        <f>SUMIFS(Table11[CLOSING BALANCE (VND)2],Table11[ACCOUNT NUMBER],Table1218[[#This Row],[ACCOUNT NUMBER]],Table11[CURRENCY],Table1218[[#This Row],[CURRENCY]])</f>
        <v>100000000</v>
      </c>
      <c r="G113" s="1263"/>
      <c r="H113" s="1267" t="s">
        <v>224</v>
      </c>
      <c r="I113" s="1267"/>
      <c r="J113" s="1267"/>
      <c r="K113" s="1268">
        <v>46204</v>
      </c>
      <c r="L113" s="1259">
        <v>5.2999999999999999E-2</v>
      </c>
      <c r="M113" s="1262" t="str">
        <f>VLOOKUP($A113,Table1[[#All],[Entities]:[Name]],MATCH(M$3,Table1[[#Headers],[Entities]:[Name]],0),0)</f>
        <v>Subsidiaries</v>
      </c>
      <c r="N113" s="1262" t="str">
        <f>IFERROR(VLOOKUP(IFERROR(MID($O113,1,FIND("-",$O113)-2),O113),Table3[#All],2,0),0)</f>
        <v>VTB</v>
      </c>
      <c r="O113" s="1264" t="str">
        <f t="shared" si="4"/>
        <v>VIETINBANK - TIEN SON</v>
      </c>
      <c r="P113" s="1259"/>
      <c r="Q113" s="1262"/>
      <c r="R113" s="1262"/>
      <c r="S113" s="1265" t="str">
        <f>IF(ISBLANK(Table1218[[#This Row],[Maturity date]]),"","W"&amp;MIN(WEEKNUM($K113+1,2)-WEEKNUM(EOMONTH($K113+1,-1)),4)&amp;TEXT($K113+1,"mmmyy"))</f>
        <v>W0Jul26</v>
      </c>
      <c r="T113" s="1266">
        <f>Table1218[[#This Row],[CLOSING BALANCE 
(VND)]]/1000000000</f>
        <v>0.1</v>
      </c>
      <c r="U11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13" s="1114">
        <f>_xlfn.NUMBERVALUE(LEFT(Table1218[[#This Row],[Term (months)]],1))</f>
        <v>6</v>
      </c>
      <c r="W113" s="1112">
        <v>6</v>
      </c>
      <c r="X113" s="1115">
        <f>Table1218[[#This Row],[Column3]]-Table1218[[#This Row],[Per bank statement]]</f>
        <v>0</v>
      </c>
      <c r="Y113" s="1117">
        <v>4.4999999999999998E-2</v>
      </c>
      <c r="Z113" s="1118">
        <f>Table1218[[#This Row],[Interest rate]]-Table1218[[#This Row],[Per bank statement2]]</f>
        <v>8.0000000000000002E-3</v>
      </c>
      <c r="AA113" s="1112">
        <v>4.5</v>
      </c>
      <c r="AB113" s="1112"/>
      <c r="AC113" s="1112"/>
    </row>
    <row r="114" spans="1:29">
      <c r="A114" s="919" t="str">
        <f>IFERROR(VLOOKUP($C114,Table2[#All],3,0),0)</f>
        <v>HOLDCO5G</v>
      </c>
      <c r="B114" s="1260" t="str">
        <f>_xlfn.XLOOKUP(Table1218[[#This Row],[ACCOUNT NUMBER]],Table2[Account No.],Table2[BRANCH],"recheck",0)</f>
        <v>VIETINBANK - TIEN SON</v>
      </c>
      <c r="C114" s="1261" t="s">
        <v>1293</v>
      </c>
      <c r="D114" s="1262" t="str">
        <f>_xlfn.XLOOKUP(Table1218[[#This Row],[ACCOUNT NUMBER]],Table2[Account No.],Table2[ACCOUNT TYPE],"recheck",0)</f>
        <v>Saving Account</v>
      </c>
      <c r="E114" s="1267" t="s">
        <v>80</v>
      </c>
      <c r="F114" s="926">
        <f>SUMIFS(Table11[CLOSING BALANCE (VND)2],Table11[ACCOUNT NUMBER],Table1218[[#This Row],[ACCOUNT NUMBER]],Table11[CURRENCY],Table1218[[#This Row],[CURRENCY]])</f>
        <v>100000000</v>
      </c>
      <c r="G114" s="1263"/>
      <c r="H114" s="1267" t="s">
        <v>224</v>
      </c>
      <c r="I114" s="1267"/>
      <c r="J114" s="1267"/>
      <c r="K114" s="1268">
        <v>46204</v>
      </c>
      <c r="L114" s="1259">
        <v>5.2999999999999999E-2</v>
      </c>
      <c r="M114" s="1262" t="str">
        <f>VLOOKUP($A114,Table1[[#All],[Entities]:[Name]],MATCH(M$3,Table1[[#Headers],[Entities]:[Name]],0),0)</f>
        <v>Subsidiaries</v>
      </c>
      <c r="N114" s="1262" t="str">
        <f>IFERROR(VLOOKUP(IFERROR(MID($O114,1,FIND("-",$O114)-2),O114),Table3[#All],2,0),0)</f>
        <v>VTB</v>
      </c>
      <c r="O114" s="1264" t="str">
        <f t="shared" si="4"/>
        <v>VIETINBANK - TIEN SON</v>
      </c>
      <c r="P114" s="1259"/>
      <c r="Q114" s="1262"/>
      <c r="R114" s="1262"/>
      <c r="S114" s="1265" t="str">
        <f>IF(ISBLANK(Table1218[[#This Row],[Maturity date]]),"","W"&amp;MIN(WEEKNUM($K114+1,2)-WEEKNUM(EOMONTH($K114+1,-1)),4)&amp;TEXT($K114+1,"mmmyy"))</f>
        <v>W0Jul26</v>
      </c>
      <c r="T114" s="1266">
        <f>Table1218[[#This Row],[CLOSING BALANCE 
(VND)]]/1000000000</f>
        <v>0.1</v>
      </c>
      <c r="U11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14" s="1114">
        <f>_xlfn.NUMBERVALUE(LEFT(Table1218[[#This Row],[Term (months)]],1))</f>
        <v>6</v>
      </c>
      <c r="W114" s="1112">
        <v>6</v>
      </c>
      <c r="X114" s="1115">
        <f>Table1218[[#This Row],[Column3]]-Table1218[[#This Row],[Per bank statement]]</f>
        <v>0</v>
      </c>
      <c r="Y114" s="1117">
        <v>4.4999999999999998E-2</v>
      </c>
      <c r="Z114" s="1118">
        <f>Table1218[[#This Row],[Interest rate]]-Table1218[[#This Row],[Per bank statement2]]</f>
        <v>8.0000000000000002E-3</v>
      </c>
      <c r="AA114" s="1112">
        <v>4.5</v>
      </c>
      <c r="AB114" s="1112"/>
      <c r="AC114" s="1112"/>
    </row>
    <row r="115" spans="1:29">
      <c r="A115" s="919" t="str">
        <f>IFERROR(VLOOKUP($C115,Table2[#All],3,0),0)</f>
        <v>HOLDCO5H</v>
      </c>
      <c r="B115" s="1260" t="str">
        <f>_xlfn.XLOOKUP(Table1218[[#This Row],[ACCOUNT NUMBER]],Table2[Account No.],Table2[BRANCH],"recheck",0)</f>
        <v>VIETINBANK - TIEN SON</v>
      </c>
      <c r="C115" s="1261" t="s">
        <v>1294</v>
      </c>
      <c r="D115" s="1262" t="str">
        <f>_xlfn.XLOOKUP(Table1218[[#This Row],[ACCOUNT NUMBER]],Table2[Account No.],Table2[ACCOUNT TYPE],"recheck",0)</f>
        <v>Saving Account</v>
      </c>
      <c r="E115" s="1267" t="s">
        <v>80</v>
      </c>
      <c r="F115" s="926">
        <f>SUMIFS(Table11[CLOSING BALANCE (VND)2],Table11[ACCOUNT NUMBER],Table1218[[#This Row],[ACCOUNT NUMBER]],Table11[CURRENCY],Table1218[[#This Row],[CURRENCY]])</f>
        <v>90000000</v>
      </c>
      <c r="G115" s="1263"/>
      <c r="H115" s="1267" t="s">
        <v>224</v>
      </c>
      <c r="I115" s="1267"/>
      <c r="J115" s="1267"/>
      <c r="K115" s="1268">
        <v>46204</v>
      </c>
      <c r="L115" s="1259">
        <v>5.2999999999999999E-2</v>
      </c>
      <c r="M115" s="1262" t="str">
        <f>VLOOKUP($A115,Table1[[#All],[Entities]:[Name]],MATCH(M$3,Table1[[#Headers],[Entities]:[Name]],0),0)</f>
        <v>Subsidiaries</v>
      </c>
      <c r="N115" s="1262" t="str">
        <f>IFERROR(VLOOKUP(IFERROR(MID($O115,1,FIND("-",$O115)-2),O115),Table3[#All],2,0),0)</f>
        <v>VTB</v>
      </c>
      <c r="O115" s="1264" t="str">
        <f t="shared" si="4"/>
        <v>VIETINBANK - TIEN SON</v>
      </c>
      <c r="P115" s="1259"/>
      <c r="Q115" s="1262"/>
      <c r="R115" s="1262"/>
      <c r="S115" s="1265" t="str">
        <f>IF(ISBLANK(Table1218[[#This Row],[Maturity date]]),"","W"&amp;MIN(WEEKNUM($K115+1,2)-WEEKNUM(EOMONTH($K115+1,-1)),4)&amp;TEXT($K115+1,"mmmyy"))</f>
        <v>W0Jul26</v>
      </c>
      <c r="T115" s="1266">
        <f>Table1218[[#This Row],[CLOSING BALANCE 
(VND)]]/1000000000</f>
        <v>0.09</v>
      </c>
      <c r="U11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15" s="1114">
        <f>_xlfn.NUMBERVALUE(LEFT(Table1218[[#This Row],[Term (months)]],1))</f>
        <v>6</v>
      </c>
      <c r="W115" s="1112">
        <v>6</v>
      </c>
      <c r="X115" s="1115">
        <f>Table1218[[#This Row],[Column3]]-Table1218[[#This Row],[Per bank statement]]</f>
        <v>0</v>
      </c>
      <c r="Y115" s="1117">
        <v>4.4999999999999998E-2</v>
      </c>
      <c r="Z115" s="1118">
        <f>Table1218[[#This Row],[Interest rate]]-Table1218[[#This Row],[Per bank statement2]]</f>
        <v>8.0000000000000002E-3</v>
      </c>
      <c r="AA115" s="1112">
        <v>4.5</v>
      </c>
      <c r="AB115" s="1112"/>
      <c r="AC115" s="1112"/>
    </row>
    <row r="116" spans="1:29">
      <c r="A116" s="919" t="str">
        <f>IFERROR(VLOOKUP($C116,Table2[#All],3,0),0)</f>
        <v>HOLDCO5I</v>
      </c>
      <c r="B116" s="1260" t="str">
        <f>_xlfn.XLOOKUP(Table1218[[#This Row],[ACCOUNT NUMBER]],Table2[Account No.],Table2[BRANCH],"recheck",0)</f>
        <v>VIETINBANK - TIEN SON</v>
      </c>
      <c r="C116" s="1261" t="s">
        <v>1295</v>
      </c>
      <c r="D116" s="1262" t="str">
        <f>_xlfn.XLOOKUP(Table1218[[#This Row],[ACCOUNT NUMBER]],Table2[Account No.],Table2[ACCOUNT TYPE],"recheck",0)</f>
        <v>Saving Account</v>
      </c>
      <c r="E116" s="1267" t="s">
        <v>80</v>
      </c>
      <c r="F116" s="926">
        <f>SUMIFS(Table11[CLOSING BALANCE (VND)2],Table11[ACCOUNT NUMBER],Table1218[[#This Row],[ACCOUNT NUMBER]],Table11[CURRENCY],Table1218[[#This Row],[CURRENCY]])</f>
        <v>100000000</v>
      </c>
      <c r="G116" s="1263"/>
      <c r="H116" s="1267" t="s">
        <v>224</v>
      </c>
      <c r="I116" s="1267"/>
      <c r="J116" s="1267"/>
      <c r="K116" s="1268">
        <v>46204</v>
      </c>
      <c r="L116" s="1259">
        <v>5.2999999999999999E-2</v>
      </c>
      <c r="M116" s="1262" t="str">
        <f>VLOOKUP($A116,Table1[[#All],[Entities]:[Name]],MATCH(M$3,Table1[[#Headers],[Entities]:[Name]],0),0)</f>
        <v>Subsidiaries</v>
      </c>
      <c r="N116" s="1262" t="str">
        <f>IFERROR(VLOOKUP(IFERROR(MID($O116,1,FIND("-",$O116)-2),O116),Table3[#All],2,0),0)</f>
        <v>VTB</v>
      </c>
      <c r="O116" s="1264" t="str">
        <f t="shared" si="4"/>
        <v>VIETINBANK - TIEN SON</v>
      </c>
      <c r="P116" s="1259"/>
      <c r="Q116" s="1262"/>
      <c r="R116" s="1262"/>
      <c r="S116" s="1265" t="str">
        <f>IF(ISBLANK(Table1218[[#This Row],[Maturity date]]),"","W"&amp;MIN(WEEKNUM($K116+1,2)-WEEKNUM(EOMONTH($K116+1,-1)),4)&amp;TEXT($K116+1,"mmmyy"))</f>
        <v>W0Jul26</v>
      </c>
      <c r="T116" s="1266">
        <f>Table1218[[#This Row],[CLOSING BALANCE 
(VND)]]/1000000000</f>
        <v>0.1</v>
      </c>
      <c r="U11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16" s="1114">
        <f>_xlfn.NUMBERVALUE(LEFT(Table1218[[#This Row],[Term (months)]],1))</f>
        <v>6</v>
      </c>
      <c r="W116" s="1112">
        <v>6</v>
      </c>
      <c r="X116" s="1115">
        <f>Table1218[[#This Row],[Column3]]-Table1218[[#This Row],[Per bank statement]]</f>
        <v>0</v>
      </c>
      <c r="Y116" s="1117">
        <v>4.4999999999999998E-2</v>
      </c>
      <c r="Z116" s="1118">
        <f>Table1218[[#This Row],[Interest rate]]-Table1218[[#This Row],[Per bank statement2]]</f>
        <v>8.0000000000000002E-3</v>
      </c>
      <c r="AA116" s="1112">
        <v>4.5</v>
      </c>
      <c r="AB116" s="1112"/>
      <c r="AC116" s="1112"/>
    </row>
    <row r="117" spans="1:29">
      <c r="A117" s="919" t="str">
        <f>IFERROR(VLOOKUP($C117,Table2[#All],3,0),0)</f>
        <v>HOLDCO5R</v>
      </c>
      <c r="B117" s="1260" t="str">
        <f>_xlfn.XLOOKUP(Table1218[[#This Row],[ACCOUNT NUMBER]],Table2[Account No.],Table2[BRANCH],"recheck",0)</f>
        <v>VIETINBANK - TIEN SON</v>
      </c>
      <c r="C117" s="1261" t="s">
        <v>1296</v>
      </c>
      <c r="D117" s="1262" t="str">
        <f>_xlfn.XLOOKUP(Table1218[[#This Row],[ACCOUNT NUMBER]],Table2[Account No.],Table2[ACCOUNT TYPE],"recheck",0)</f>
        <v>Saving Account</v>
      </c>
      <c r="E117" s="1267" t="s">
        <v>80</v>
      </c>
      <c r="F117" s="926">
        <f>SUMIFS(Table11[CLOSING BALANCE (VND)2],Table11[ACCOUNT NUMBER],Table1218[[#This Row],[ACCOUNT NUMBER]],Table11[CURRENCY],Table1218[[#This Row],[CURRENCY]])</f>
        <v>300000000</v>
      </c>
      <c r="G117" s="1263"/>
      <c r="H117" s="1267" t="s">
        <v>224</v>
      </c>
      <c r="I117" s="1267"/>
      <c r="J117" s="1267"/>
      <c r="K117" s="1268">
        <v>46204</v>
      </c>
      <c r="L117" s="1259">
        <v>5.2999999999999999E-2</v>
      </c>
      <c r="M117" s="1262" t="str">
        <f>VLOOKUP($A117,Table1[[#All],[Entities]:[Name]],MATCH(M$3,Table1[[#Headers],[Entities]:[Name]],0),0)</f>
        <v>Subsidiaries</v>
      </c>
      <c r="N117" s="1262" t="str">
        <f>IFERROR(VLOOKUP(IFERROR(MID($O117,1,FIND("-",$O117)-2),O117),Table3[#All],2,0),0)</f>
        <v>VTB</v>
      </c>
      <c r="O117" s="1264" t="str">
        <f t="shared" si="4"/>
        <v>VIETINBANK - TIEN SON</v>
      </c>
      <c r="P117" s="1259"/>
      <c r="Q117" s="1262"/>
      <c r="R117" s="1262"/>
      <c r="S117" s="1265" t="str">
        <f>IF(ISBLANK(Table1218[[#This Row],[Maturity date]]),"","W"&amp;MIN(WEEKNUM($K117+1,2)-WEEKNUM(EOMONTH($K117+1,-1)),4)&amp;TEXT($K117+1,"mmmyy"))</f>
        <v>W0Jul26</v>
      </c>
      <c r="T117" s="1266">
        <f>Table1218[[#This Row],[CLOSING BALANCE 
(VND)]]/1000000000</f>
        <v>0.3</v>
      </c>
      <c r="U11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17" s="1114">
        <f>_xlfn.NUMBERVALUE(LEFT(Table1218[[#This Row],[Term (months)]],1))</f>
        <v>6</v>
      </c>
      <c r="W117" s="1112">
        <v>6</v>
      </c>
      <c r="X117" s="1115">
        <f>Table1218[[#This Row],[Column3]]-Table1218[[#This Row],[Per bank statement]]</f>
        <v>0</v>
      </c>
      <c r="Y117" s="1117">
        <v>4.4999999999999998E-2</v>
      </c>
      <c r="Z117" s="1118">
        <f>Table1218[[#This Row],[Interest rate]]-Table1218[[#This Row],[Per bank statement2]]</f>
        <v>8.0000000000000002E-3</v>
      </c>
      <c r="AA117" s="1112">
        <v>4.5</v>
      </c>
      <c r="AB117" s="1112"/>
      <c r="AC117" s="1112"/>
    </row>
    <row r="118" spans="1:29">
      <c r="A118" s="919" t="str">
        <f>IFERROR(VLOOKUP($C118,Table2[#All],3,0),0)</f>
        <v>HOLDCO5T</v>
      </c>
      <c r="B118" s="1260" t="str">
        <f>_xlfn.XLOOKUP(Table1218[[#This Row],[ACCOUNT NUMBER]],Table2[Account No.],Table2[BRANCH],"recheck",0)</f>
        <v>VIETINBANK - TIEN SON</v>
      </c>
      <c r="C118" s="1261" t="s">
        <v>1298</v>
      </c>
      <c r="D118" s="1262" t="str">
        <f>_xlfn.XLOOKUP(Table1218[[#This Row],[ACCOUNT NUMBER]],Table2[Account No.],Table2[ACCOUNT TYPE],"recheck",0)</f>
        <v>Saving Account</v>
      </c>
      <c r="E118" s="1267" t="s">
        <v>80</v>
      </c>
      <c r="F118" s="926">
        <f>SUMIFS(Table11[CLOSING BALANCE (VND)2],Table11[ACCOUNT NUMBER],Table1218[[#This Row],[ACCOUNT NUMBER]],Table11[CURRENCY],Table1218[[#This Row],[CURRENCY]])</f>
        <v>100000000</v>
      </c>
      <c r="G118" s="1263"/>
      <c r="H118" s="1267" t="s">
        <v>224</v>
      </c>
      <c r="I118" s="1267"/>
      <c r="J118" s="1267"/>
      <c r="K118" s="1268">
        <v>46204</v>
      </c>
      <c r="L118" s="1259">
        <v>5.2999999999999999E-2</v>
      </c>
      <c r="M118" s="1262" t="str">
        <f>VLOOKUP($A118,Table1[[#All],[Entities]:[Name]],MATCH(M$3,Table1[[#Headers],[Entities]:[Name]],0),0)</f>
        <v>Subsidiaries</v>
      </c>
      <c r="N118" s="1262" t="str">
        <f>IFERROR(VLOOKUP(IFERROR(MID($O118,1,FIND("-",$O118)-2),O118),Table3[#All],2,0),0)</f>
        <v>VTB</v>
      </c>
      <c r="O118" s="1264" t="str">
        <f t="shared" si="4"/>
        <v>VIETINBANK - TIEN SON</v>
      </c>
      <c r="P118" s="1259"/>
      <c r="Q118" s="1262"/>
      <c r="R118" s="1262"/>
      <c r="S118" s="1265" t="str">
        <f>IF(ISBLANK(Table1218[[#This Row],[Maturity date]]),"","W"&amp;MIN(WEEKNUM($K118+1,2)-WEEKNUM(EOMONTH($K118+1,-1)),4)&amp;TEXT($K118+1,"mmmyy"))</f>
        <v>W0Jul26</v>
      </c>
      <c r="T118" s="1266">
        <f>Table1218[[#This Row],[CLOSING BALANCE 
(VND)]]/1000000000</f>
        <v>0.1</v>
      </c>
      <c r="U11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18" s="1114">
        <f>_xlfn.NUMBERVALUE(LEFT(Table1218[[#This Row],[Term (months)]],1))</f>
        <v>6</v>
      </c>
      <c r="W118" s="1112">
        <v>6</v>
      </c>
      <c r="X118" s="1115">
        <f>Table1218[[#This Row],[Column3]]-Table1218[[#This Row],[Per bank statement]]</f>
        <v>0</v>
      </c>
      <c r="Y118" s="1117">
        <v>4.4999999999999998E-2</v>
      </c>
      <c r="Z118" s="1118">
        <f>Table1218[[#This Row],[Interest rate]]-Table1218[[#This Row],[Per bank statement2]]</f>
        <v>8.0000000000000002E-3</v>
      </c>
      <c r="AA118" s="1112">
        <v>4.5</v>
      </c>
      <c r="AB118" s="1112"/>
      <c r="AC118" s="1112"/>
    </row>
    <row r="119" spans="1:29">
      <c r="A119" s="919" t="str">
        <f>IFERROR(VLOOKUP($C119,Table2[#All],3,0),0)</f>
        <v>HOLDCO5U</v>
      </c>
      <c r="B119" s="1260" t="str">
        <f>_xlfn.XLOOKUP(Table1218[[#This Row],[ACCOUNT NUMBER]],Table2[Account No.],Table2[BRANCH],"recheck",0)</f>
        <v>VIETINBANK - TIEN SON</v>
      </c>
      <c r="C119" s="1261" t="s">
        <v>1299</v>
      </c>
      <c r="D119" s="1262" t="str">
        <f>_xlfn.XLOOKUP(Table1218[[#This Row],[ACCOUNT NUMBER]],Table2[Account No.],Table2[ACCOUNT TYPE],"recheck",0)</f>
        <v>Saving Account</v>
      </c>
      <c r="E119" s="1267" t="s">
        <v>80</v>
      </c>
      <c r="F119" s="926">
        <f>SUMIFS(Table11[CLOSING BALANCE (VND)2],Table11[ACCOUNT NUMBER],Table1218[[#This Row],[ACCOUNT NUMBER]],Table11[CURRENCY],Table1218[[#This Row],[CURRENCY]])</f>
        <v>100000000</v>
      </c>
      <c r="G119" s="1263"/>
      <c r="H119" s="1267" t="s">
        <v>224</v>
      </c>
      <c r="I119" s="1267"/>
      <c r="J119" s="1267"/>
      <c r="K119" s="1268">
        <v>46204</v>
      </c>
      <c r="L119" s="1259">
        <v>5.2999999999999999E-2</v>
      </c>
      <c r="M119" s="1262" t="str">
        <f>VLOOKUP($A119,Table1[[#All],[Entities]:[Name]],MATCH(M$3,Table1[[#Headers],[Entities]:[Name]],0),0)</f>
        <v>Subsidiaries</v>
      </c>
      <c r="N119" s="1262" t="str">
        <f>IFERROR(VLOOKUP(IFERROR(MID($O119,1,FIND("-",$O119)-2),O119),Table3[#All],2,0),0)</f>
        <v>VTB</v>
      </c>
      <c r="O119" s="1264" t="str">
        <f t="shared" si="4"/>
        <v>VIETINBANK - TIEN SON</v>
      </c>
      <c r="P119" s="1259"/>
      <c r="Q119" s="1262"/>
      <c r="R119" s="1262"/>
      <c r="S119" s="1265" t="str">
        <f>IF(ISBLANK(Table1218[[#This Row],[Maturity date]]),"","W"&amp;MIN(WEEKNUM($K119+1,2)-WEEKNUM(EOMONTH($K119+1,-1)),4)&amp;TEXT($K119+1,"mmmyy"))</f>
        <v>W0Jul26</v>
      </c>
      <c r="T119" s="1266">
        <f>Table1218[[#This Row],[CLOSING BALANCE 
(VND)]]/1000000000</f>
        <v>0.1</v>
      </c>
      <c r="U11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19" s="1114">
        <f>_xlfn.NUMBERVALUE(LEFT(Table1218[[#This Row],[Term (months)]],1))</f>
        <v>6</v>
      </c>
      <c r="W119" s="1112">
        <v>6</v>
      </c>
      <c r="X119" s="1115">
        <f>Table1218[[#This Row],[Column3]]-Table1218[[#This Row],[Per bank statement]]</f>
        <v>0</v>
      </c>
      <c r="Y119" s="1117">
        <v>4.4999999999999998E-2</v>
      </c>
      <c r="Z119" s="1118">
        <f>Table1218[[#This Row],[Interest rate]]-Table1218[[#This Row],[Per bank statement2]]</f>
        <v>8.0000000000000002E-3</v>
      </c>
      <c r="AA119" s="1112">
        <v>4.5</v>
      </c>
      <c r="AB119" s="1112"/>
      <c r="AC119" s="1112"/>
    </row>
    <row r="120" spans="1:29">
      <c r="A120" s="919" t="str">
        <f>IFERROR(VLOOKUP($C120,Table2[#All],3,0),0)</f>
        <v>IRE CONSULTANCY &amp; MANAGEMENT</v>
      </c>
      <c r="B120" s="1260" t="str">
        <f>_xlfn.XLOOKUP(Table1218[[#This Row],[ACCOUNT NUMBER]],Table2[Account No.],Table2[BRANCH],"recheck",0)</f>
        <v>VIETINBANK - TIEN SON</v>
      </c>
      <c r="C120" s="1261" t="s">
        <v>1300</v>
      </c>
      <c r="D120" s="1262" t="str">
        <f>_xlfn.XLOOKUP(Table1218[[#This Row],[ACCOUNT NUMBER]],Table2[Account No.],Table2[ACCOUNT TYPE],"recheck",0)</f>
        <v>Saving Account</v>
      </c>
      <c r="E120" s="1267" t="s">
        <v>80</v>
      </c>
      <c r="F120" s="926">
        <f>SUMIFS(Table11[CLOSING BALANCE (VND)2],Table11[ACCOUNT NUMBER],Table1218[[#This Row],[ACCOUNT NUMBER]],Table11[CURRENCY],Table1218[[#This Row],[CURRENCY]])</f>
        <v>1500000000</v>
      </c>
      <c r="G120" s="1263"/>
      <c r="H120" s="1267" t="s">
        <v>224</v>
      </c>
      <c r="I120" s="1267"/>
      <c r="J120" s="1267"/>
      <c r="K120" s="1268">
        <v>46204</v>
      </c>
      <c r="L120" s="1259">
        <v>5.2999999999999999E-2</v>
      </c>
      <c r="M120" s="1262" t="str">
        <f>VLOOKUP($A120,Table1[[#All],[Entities]:[Name]],MATCH(M$3,Table1[[#Headers],[Entities]:[Name]],0),0)</f>
        <v>Subsidiaries</v>
      </c>
      <c r="N120" s="1262" t="str">
        <f>IFERROR(VLOOKUP(IFERROR(MID($O120,1,FIND("-",$O120)-2),O120),Table3[#All],2,0),0)</f>
        <v>VTB</v>
      </c>
      <c r="O120" s="1264" t="str">
        <f t="shared" si="4"/>
        <v>VIETINBANK - TIEN SON</v>
      </c>
      <c r="P120" s="1259"/>
      <c r="Q120" s="1262"/>
      <c r="R120" s="1262"/>
      <c r="S120" s="1265" t="str">
        <f>IF(ISBLANK(Table1218[[#This Row],[Maturity date]]),"","W"&amp;MIN(WEEKNUM($K120+1,2)-WEEKNUM(EOMONTH($K120+1,-1)),4)&amp;TEXT($K120+1,"mmmyy"))</f>
        <v>W0Jul26</v>
      </c>
      <c r="T120" s="1266">
        <f>Table1218[[#This Row],[CLOSING BALANCE 
(VND)]]/1000000000</f>
        <v>1.5</v>
      </c>
      <c r="U12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20" s="1114">
        <f>_xlfn.NUMBERVALUE(LEFT(Table1218[[#This Row],[Term (months)]],1))</f>
        <v>6</v>
      </c>
      <c r="W120" s="1112">
        <v>6</v>
      </c>
      <c r="X120" s="1115">
        <f>Table1218[[#This Row],[Column3]]-Table1218[[#This Row],[Per bank statement]]</f>
        <v>0</v>
      </c>
      <c r="Y120" s="1117">
        <v>4.4999999999999998E-2</v>
      </c>
      <c r="Z120" s="1118">
        <f>Table1218[[#This Row],[Interest rate]]-Table1218[[#This Row],[Per bank statement2]]</f>
        <v>8.0000000000000002E-3</v>
      </c>
      <c r="AA120" s="1112">
        <v>4.5</v>
      </c>
      <c r="AB120" s="1112"/>
      <c r="AC120" s="1112"/>
    </row>
    <row r="121" spans="1:29">
      <c r="A121" s="919" t="str">
        <f>IFERROR(VLOOKUP($C121,Table2[#All],3,0),0)</f>
        <v>SPV5A</v>
      </c>
      <c r="B121" s="1260" t="str">
        <f>_xlfn.XLOOKUP(Table1218[[#This Row],[ACCOUNT NUMBER]],Table2[Account No.],Table2[BRANCH],"recheck",0)</f>
        <v>VIETINBANK - TIEN SON</v>
      </c>
      <c r="C121" s="1261" t="s">
        <v>1301</v>
      </c>
      <c r="D121" s="1262" t="str">
        <f>_xlfn.XLOOKUP(Table1218[[#This Row],[ACCOUNT NUMBER]],Table2[Account No.],Table2[ACCOUNT TYPE],"recheck",0)</f>
        <v>Saving Account</v>
      </c>
      <c r="E121" s="1267" t="s">
        <v>80</v>
      </c>
      <c r="F121" s="926">
        <f>SUMIFS(Table11[CLOSING BALANCE (VND)2],Table11[ACCOUNT NUMBER],Table1218[[#This Row],[ACCOUNT NUMBER]],Table11[CURRENCY],Table1218[[#This Row],[CURRENCY]])</f>
        <v>100000000</v>
      </c>
      <c r="G121" s="1263"/>
      <c r="H121" s="1267" t="s">
        <v>224</v>
      </c>
      <c r="I121" s="1267"/>
      <c r="J121" s="1267"/>
      <c r="K121" s="1268">
        <v>46204</v>
      </c>
      <c r="L121" s="1259">
        <v>5.2999999999999999E-2</v>
      </c>
      <c r="M121" s="1262" t="str">
        <f>VLOOKUP($A121,Table1[[#All],[Entities]:[Name]],MATCH(M$3,Table1[[#Headers],[Entities]:[Name]],0),0)</f>
        <v>Subsidiaries</v>
      </c>
      <c r="N121" s="1262" t="str">
        <f>IFERROR(VLOOKUP(IFERROR(MID($O121,1,FIND("-",$O121)-2),O121),Table3[#All],2,0),0)</f>
        <v>VTB</v>
      </c>
      <c r="O121" s="1264" t="str">
        <f t="shared" si="4"/>
        <v>VIETINBANK - TIEN SON</v>
      </c>
      <c r="P121" s="1259"/>
      <c r="Q121" s="1262"/>
      <c r="R121" s="1262"/>
      <c r="S121" s="1265" t="str">
        <f>IF(ISBLANK(Table1218[[#This Row],[Maturity date]]),"","W"&amp;MIN(WEEKNUM($K121+1,2)-WEEKNUM(EOMONTH($K121+1,-1)),4)&amp;TEXT($K121+1,"mmmyy"))</f>
        <v>W0Jul26</v>
      </c>
      <c r="T121" s="1266">
        <f>Table1218[[#This Row],[CLOSING BALANCE 
(VND)]]/1000000000</f>
        <v>0.1</v>
      </c>
      <c r="U12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21" s="1114">
        <f>_xlfn.NUMBERVALUE(LEFT(Table1218[[#This Row],[Term (months)]],1))</f>
        <v>6</v>
      </c>
      <c r="W121" s="1112">
        <v>6</v>
      </c>
      <c r="X121" s="1115">
        <f>Table1218[[#This Row],[Column3]]-Table1218[[#This Row],[Per bank statement]]</f>
        <v>0</v>
      </c>
      <c r="Y121" s="1117">
        <v>4.4999999999999998E-2</v>
      </c>
      <c r="Z121" s="1118">
        <f>Table1218[[#This Row],[Interest rate]]-Table1218[[#This Row],[Per bank statement2]]</f>
        <v>8.0000000000000002E-3</v>
      </c>
      <c r="AA121" s="1112">
        <v>4.5</v>
      </c>
      <c r="AB121" s="1112"/>
      <c r="AC121" s="1112"/>
    </row>
    <row r="122" spans="1:29">
      <c r="A122" s="919" t="str">
        <f>IFERROR(VLOOKUP($C122,Table2[#All],3,0),0)</f>
        <v>WPJV 1</v>
      </c>
      <c r="B122" s="1260" t="str">
        <f>_xlfn.XLOOKUP(Table1218[[#This Row],[ACCOUNT NUMBER]],Table2[Account No.],Table2[BRANCH],"recheck",0)</f>
        <v>VIETINBANK - TIEN SON</v>
      </c>
      <c r="C122" s="1261" t="s">
        <v>1302</v>
      </c>
      <c r="D122" s="1262" t="str">
        <f>_xlfn.XLOOKUP(Table1218[[#This Row],[ACCOUNT NUMBER]],Table2[Account No.],Table2[ACCOUNT TYPE],"recheck",0)</f>
        <v>Saving Account</v>
      </c>
      <c r="E122" s="1267" t="s">
        <v>80</v>
      </c>
      <c r="F122" s="926">
        <f>SUMIFS(Table11[CLOSING BALANCE (VND)2],Table11[ACCOUNT NUMBER],Table1218[[#This Row],[ACCOUNT NUMBER]],Table11[CURRENCY],Table1218[[#This Row],[CURRENCY]])</f>
        <v>300000000</v>
      </c>
      <c r="G122" s="1263"/>
      <c r="H122" s="1267" t="s">
        <v>224</v>
      </c>
      <c r="I122" s="1267"/>
      <c r="J122" s="1267"/>
      <c r="K122" s="1268">
        <v>46204</v>
      </c>
      <c r="L122" s="1259">
        <v>5.2999999999999999E-2</v>
      </c>
      <c r="M122" s="1262" t="str">
        <f>VLOOKUP($A122,Table1[[#All],[Entities]:[Name]],MATCH(M$3,Table1[[#Headers],[Entities]:[Name]],0),0)</f>
        <v>Subsidiaries</v>
      </c>
      <c r="N122" s="1262" t="str">
        <f>IFERROR(VLOOKUP(IFERROR(MID($O122,1,FIND("-",$O122)-2),O122),Table3[#All],2,0),0)</f>
        <v>VTB</v>
      </c>
      <c r="O122" s="1264" t="str">
        <f t="shared" si="4"/>
        <v>VIETINBANK - TIEN SON</v>
      </c>
      <c r="P122" s="1259"/>
      <c r="Q122" s="1262"/>
      <c r="R122" s="1262"/>
      <c r="S122" s="1265" t="str">
        <f>IF(ISBLANK(Table1218[[#This Row],[Maturity date]]),"","W"&amp;MIN(WEEKNUM($K122+1,2)-WEEKNUM(EOMONTH($K122+1,-1)),4)&amp;TEXT($K122+1,"mmmyy"))</f>
        <v>W0Jul26</v>
      </c>
      <c r="T122" s="1266">
        <f>Table1218[[#This Row],[CLOSING BALANCE 
(VND)]]/1000000000</f>
        <v>0.3</v>
      </c>
      <c r="U12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22" s="1114">
        <f>_xlfn.NUMBERVALUE(LEFT(Table1218[[#This Row],[Term (months)]],1))</f>
        <v>6</v>
      </c>
      <c r="W122" s="1112">
        <v>6</v>
      </c>
      <c r="X122" s="1115">
        <f>Table1218[[#This Row],[Column3]]-Table1218[[#This Row],[Per bank statement]]</f>
        <v>0</v>
      </c>
      <c r="Y122" s="1117">
        <v>4.4999999999999998E-2</v>
      </c>
      <c r="Z122" s="1118">
        <f>Table1218[[#This Row],[Interest rate]]-Table1218[[#This Row],[Per bank statement2]]</f>
        <v>8.0000000000000002E-3</v>
      </c>
      <c r="AA122" s="1112">
        <v>4.5</v>
      </c>
      <c r="AB122" s="1112"/>
      <c r="AC122" s="1112"/>
    </row>
    <row r="123" spans="1:29">
      <c r="A123" s="919" t="str">
        <f>IFERROR(VLOOKUP($C123,Table2[#All],3,0),0)</f>
        <v>WPJV 2</v>
      </c>
      <c r="B123" s="1260" t="str">
        <f>_xlfn.XLOOKUP(Table1218[[#This Row],[ACCOUNT NUMBER]],Table2[Account No.],Table2[BRANCH],"recheck",0)</f>
        <v>VIETINBANK - TIEN SON</v>
      </c>
      <c r="C123" s="1261" t="s">
        <v>1303</v>
      </c>
      <c r="D123" s="1262" t="str">
        <f>_xlfn.XLOOKUP(Table1218[[#This Row],[ACCOUNT NUMBER]],Table2[Account No.],Table2[ACCOUNT TYPE],"recheck",0)</f>
        <v>Saving Account</v>
      </c>
      <c r="E123" s="1267" t="s">
        <v>80</v>
      </c>
      <c r="F123" s="926">
        <f>SUMIFS(Table11[CLOSING BALANCE (VND)2],Table11[ACCOUNT NUMBER],Table1218[[#This Row],[ACCOUNT NUMBER]],Table11[CURRENCY],Table1218[[#This Row],[CURRENCY]])</f>
        <v>100000000</v>
      </c>
      <c r="G123" s="1263"/>
      <c r="H123" s="1267" t="s">
        <v>224</v>
      </c>
      <c r="I123" s="1267"/>
      <c r="J123" s="1267"/>
      <c r="K123" s="1268">
        <v>46204</v>
      </c>
      <c r="L123" s="1259">
        <v>5.2999999999999999E-2</v>
      </c>
      <c r="M123" s="1262" t="str">
        <f>VLOOKUP($A123,Table1[[#All],[Entities]:[Name]],MATCH(M$3,Table1[[#Headers],[Entities]:[Name]],0),0)</f>
        <v>Subsidiaries</v>
      </c>
      <c r="N123" s="1262" t="str">
        <f>IFERROR(VLOOKUP(IFERROR(MID($O123,1,FIND("-",$O123)-2),O123),Table3[#All],2,0),0)</f>
        <v>VTB</v>
      </c>
      <c r="O123" s="1264" t="str">
        <f t="shared" si="4"/>
        <v>VIETINBANK - TIEN SON</v>
      </c>
      <c r="P123" s="1259"/>
      <c r="Q123" s="1262"/>
      <c r="R123" s="1262"/>
      <c r="S123" s="1265" t="str">
        <f>IF(ISBLANK(Table1218[[#This Row],[Maturity date]]),"","W"&amp;MIN(WEEKNUM($K123+1,2)-WEEKNUM(EOMONTH($K123+1,-1)),4)&amp;TEXT($K123+1,"mmmyy"))</f>
        <v>W0Jul26</v>
      </c>
      <c r="T123" s="1266">
        <f>Table1218[[#This Row],[CLOSING BALANCE 
(VND)]]/1000000000</f>
        <v>0.1</v>
      </c>
      <c r="U12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23" s="1114">
        <f>_xlfn.NUMBERVALUE(LEFT(Table1218[[#This Row],[Term (months)]],1))</f>
        <v>6</v>
      </c>
      <c r="W123" s="1112">
        <v>6</v>
      </c>
      <c r="X123" s="1115">
        <f>Table1218[[#This Row],[Column3]]-Table1218[[#This Row],[Per bank statement]]</f>
        <v>0</v>
      </c>
      <c r="Y123" s="1117">
        <v>4.4999999999999998E-2</v>
      </c>
      <c r="Z123" s="1118">
        <f>Table1218[[#This Row],[Interest rate]]-Table1218[[#This Row],[Per bank statement2]]</f>
        <v>8.0000000000000002E-3</v>
      </c>
      <c r="AA123" s="1112">
        <v>4.5</v>
      </c>
      <c r="AB123" s="1112"/>
      <c r="AC123" s="1112"/>
    </row>
    <row r="124" spans="1:29">
      <c r="A124" s="919" t="str">
        <f>IFERROR(VLOOKUP($C124,Table2[#All],3,0),0)</f>
        <v>PHUOC LOI</v>
      </c>
      <c r="B124" s="1260" t="str">
        <f>_xlfn.XLOOKUP(Table1218[[#This Row],[ACCOUNT NUMBER]],Table2[Account No.],Table2[BRANCH],"recheck",0)</f>
        <v>VIETINBANK - TIEN SON</v>
      </c>
      <c r="C124" s="1261" t="s">
        <v>1304</v>
      </c>
      <c r="D124" s="1262" t="str">
        <f>_xlfn.XLOOKUP(Table1218[[#This Row],[ACCOUNT NUMBER]],Table2[Account No.],Table2[ACCOUNT TYPE],"recheck",0)</f>
        <v>Saving Account</v>
      </c>
      <c r="E124" s="1267" t="s">
        <v>80</v>
      </c>
      <c r="F124" s="926">
        <f>SUMIFS(Table11[CLOSING BALANCE (VND)2],Table11[ACCOUNT NUMBER],Table1218[[#This Row],[ACCOUNT NUMBER]],Table11[CURRENCY],Table1218[[#This Row],[CURRENCY]])</f>
        <v>100000000</v>
      </c>
      <c r="G124" s="1263"/>
      <c r="H124" s="1267" t="s">
        <v>224</v>
      </c>
      <c r="I124" s="1267"/>
      <c r="J124" s="1267"/>
      <c r="K124" s="1268">
        <v>46204</v>
      </c>
      <c r="L124" s="1259">
        <v>5.2999999999999999E-2</v>
      </c>
      <c r="M124" s="1262" t="str">
        <f>VLOOKUP($A124,Table1[[#All],[Entities]:[Name]],MATCH(M$3,Table1[[#Headers],[Entities]:[Name]],0),0)</f>
        <v>Subsidiaries</v>
      </c>
      <c r="N124" s="1262" t="str">
        <f>IFERROR(VLOOKUP(IFERROR(MID($O124,1,FIND("-",$O124)-2),O124),Table3[#All],2,0),0)</f>
        <v>VTB</v>
      </c>
      <c r="O124" s="1264" t="str">
        <f t="shared" si="4"/>
        <v>VIETINBANK - TIEN SON</v>
      </c>
      <c r="P124" s="1259"/>
      <c r="Q124" s="1262"/>
      <c r="R124" s="1262"/>
      <c r="S124" s="1265" t="str">
        <f>IF(ISBLANK(Table1218[[#This Row],[Maturity date]]),"","W"&amp;MIN(WEEKNUM($K124+1,2)-WEEKNUM(EOMONTH($K124+1,-1)),4)&amp;TEXT($K124+1,"mmmyy"))</f>
        <v>W0Jul26</v>
      </c>
      <c r="T124" s="1266">
        <f>Table1218[[#This Row],[CLOSING BALANCE 
(VND)]]/1000000000</f>
        <v>0.1</v>
      </c>
      <c r="U12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24" s="1114">
        <f>_xlfn.NUMBERVALUE(LEFT(Table1218[[#This Row],[Term (months)]],1))</f>
        <v>6</v>
      </c>
      <c r="W124" s="1112">
        <v>6</v>
      </c>
      <c r="X124" s="1115">
        <f>Table1218[[#This Row],[Column3]]-Table1218[[#This Row],[Per bank statement]]</f>
        <v>0</v>
      </c>
      <c r="Y124" s="1117">
        <v>4.4999999999999998E-2</v>
      </c>
      <c r="Z124" s="1118">
        <f>Table1218[[#This Row],[Interest rate]]-Table1218[[#This Row],[Per bank statement2]]</f>
        <v>8.0000000000000002E-3</v>
      </c>
      <c r="AA124" s="1112">
        <v>4.5</v>
      </c>
      <c r="AB124" s="1112"/>
      <c r="AC124" s="1112"/>
    </row>
    <row r="125" spans="1:29">
      <c r="A125" s="919" t="str">
        <f>IFERROR(VLOOKUP($C125,Table2[#All],3,0),0)</f>
        <v>SPV4D</v>
      </c>
      <c r="B125" s="1260" t="str">
        <f>_xlfn.XLOOKUP(Table1218[[#This Row],[ACCOUNT NUMBER]],Table2[Account No.],Table2[BRANCH],"recheck",0)</f>
        <v>VIETINBANK - TIEN SON</v>
      </c>
      <c r="C125" s="1261" t="s">
        <v>1306</v>
      </c>
      <c r="D125" s="1262" t="str">
        <f>_xlfn.XLOOKUP(Table1218[[#This Row],[ACCOUNT NUMBER]],Table2[Account No.],Table2[ACCOUNT TYPE],"recheck",0)</f>
        <v>Saving Account</v>
      </c>
      <c r="E125" s="1267" t="s">
        <v>80</v>
      </c>
      <c r="F125" s="926">
        <f>SUMIFS(Table11[CLOSING BALANCE (VND)2],Table11[ACCOUNT NUMBER],Table1218[[#This Row],[ACCOUNT NUMBER]],Table11[CURRENCY],Table1218[[#This Row],[CURRENCY]])</f>
        <v>780000000</v>
      </c>
      <c r="G125" s="1263"/>
      <c r="H125" s="1267" t="s">
        <v>224</v>
      </c>
      <c r="I125" s="1267"/>
      <c r="J125" s="1267"/>
      <c r="K125" s="1268">
        <v>46204</v>
      </c>
      <c r="L125" s="1259">
        <v>5.2999999999999999E-2</v>
      </c>
      <c r="M125" s="1262" t="str">
        <f>VLOOKUP($A125,Table1[[#All],[Entities]:[Name]],MATCH(M$3,Table1[[#Headers],[Entities]:[Name]],0),0)</f>
        <v>Subsidiaries</v>
      </c>
      <c r="N125" s="1262" t="str">
        <f>IFERROR(VLOOKUP(IFERROR(MID($O125,1,FIND("-",$O125)-2),O125),Table3[#All],2,0),0)</f>
        <v>VTB</v>
      </c>
      <c r="O125" s="1264" t="str">
        <f t="shared" si="4"/>
        <v>VIETINBANK - TIEN SON</v>
      </c>
      <c r="P125" s="1259"/>
      <c r="Q125" s="1262"/>
      <c r="R125" s="1262"/>
      <c r="S125" s="1265" t="str">
        <f>IF(ISBLANK(Table1218[[#This Row],[Maturity date]]),"","W"&amp;MIN(WEEKNUM($K125+1,2)-WEEKNUM(EOMONTH($K125+1,-1)),4)&amp;TEXT($K125+1,"mmmyy"))</f>
        <v>W0Jul26</v>
      </c>
      <c r="T125" s="1266">
        <f>Table1218[[#This Row],[CLOSING BALANCE 
(VND)]]/1000000000</f>
        <v>0.78</v>
      </c>
      <c r="U12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25" s="1114">
        <f>_xlfn.NUMBERVALUE(LEFT(Table1218[[#This Row],[Term (months)]],1))</f>
        <v>6</v>
      </c>
      <c r="W125" s="1112">
        <v>6</v>
      </c>
      <c r="X125" s="1115">
        <f>Table1218[[#This Row],[Column3]]-Table1218[[#This Row],[Per bank statement]]</f>
        <v>0</v>
      </c>
      <c r="Y125" s="1117">
        <v>4.4999999999999998E-2</v>
      </c>
      <c r="Z125" s="1118">
        <f>Table1218[[#This Row],[Interest rate]]-Table1218[[#This Row],[Per bank statement2]]</f>
        <v>8.0000000000000002E-3</v>
      </c>
      <c r="AA125" s="1112" t="e">
        <v>#N/A</v>
      </c>
      <c r="AB125" s="1112"/>
      <c r="AC125" s="1112"/>
    </row>
    <row r="126" spans="1:29">
      <c r="A126" s="919" t="str">
        <f>IFERROR(VLOOKUP($C126,Table2[#All],3,0),0)</f>
        <v>SPV4E</v>
      </c>
      <c r="B126" s="1260" t="str">
        <f>_xlfn.XLOOKUP(Table1218[[#This Row],[ACCOUNT NUMBER]],Table2[Account No.],Table2[BRANCH],"recheck",0)</f>
        <v>VIETINBANK - TIEN SON</v>
      </c>
      <c r="C126" s="1261" t="s">
        <v>1307</v>
      </c>
      <c r="D126" s="1262" t="str">
        <f>_xlfn.XLOOKUP(Table1218[[#This Row],[ACCOUNT NUMBER]],Table2[Account No.],Table2[ACCOUNT TYPE],"recheck",0)</f>
        <v>Saving Account</v>
      </c>
      <c r="E126" s="1267" t="s">
        <v>80</v>
      </c>
      <c r="F126" s="926">
        <f>SUMIFS(Table11[CLOSING BALANCE (VND)2],Table11[ACCOUNT NUMBER],Table1218[[#This Row],[ACCOUNT NUMBER]],Table11[CURRENCY],Table1218[[#This Row],[CURRENCY]])</f>
        <v>400000000</v>
      </c>
      <c r="G126" s="1263"/>
      <c r="H126" s="1267" t="s">
        <v>224</v>
      </c>
      <c r="I126" s="1267"/>
      <c r="J126" s="1267"/>
      <c r="K126" s="1268">
        <v>46204</v>
      </c>
      <c r="L126" s="1259">
        <v>5.2999999999999999E-2</v>
      </c>
      <c r="M126" s="1262" t="str">
        <f>VLOOKUP($A126,Table1[[#All],[Entities]:[Name]],MATCH(M$3,Table1[[#Headers],[Entities]:[Name]],0),0)</f>
        <v>Subsidiaries</v>
      </c>
      <c r="N126" s="1262" t="str">
        <f>IFERROR(VLOOKUP(IFERROR(MID($O126,1,FIND("-",$O126)-2),O126),Table3[#All],2,0),0)</f>
        <v>VTB</v>
      </c>
      <c r="O126" s="1264" t="str">
        <f t="shared" si="4"/>
        <v>VIETINBANK - TIEN SON</v>
      </c>
      <c r="P126" s="1259"/>
      <c r="Q126" s="1262"/>
      <c r="R126" s="1262"/>
      <c r="S126" s="1265" t="str">
        <f>IF(ISBLANK(Table1218[[#This Row],[Maturity date]]),"","W"&amp;MIN(WEEKNUM($K126+1,2)-WEEKNUM(EOMONTH($K126+1,-1)),4)&amp;TEXT($K126+1,"mmmyy"))</f>
        <v>W0Jul26</v>
      </c>
      <c r="T126" s="1266">
        <f>Table1218[[#This Row],[CLOSING BALANCE 
(VND)]]/1000000000</f>
        <v>0.4</v>
      </c>
      <c r="U12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26" s="1114">
        <f>_xlfn.NUMBERVALUE(LEFT(Table1218[[#This Row],[Term (months)]],1))</f>
        <v>6</v>
      </c>
      <c r="W126" s="1112">
        <v>6</v>
      </c>
      <c r="X126" s="1115">
        <f>Table1218[[#This Row],[Column3]]-Table1218[[#This Row],[Per bank statement]]</f>
        <v>0</v>
      </c>
      <c r="Y126" s="1117">
        <v>4.4999999999999998E-2</v>
      </c>
      <c r="Z126" s="1118">
        <f>Table1218[[#This Row],[Interest rate]]-Table1218[[#This Row],[Per bank statement2]]</f>
        <v>8.0000000000000002E-3</v>
      </c>
      <c r="AA126" s="1112" t="e">
        <v>#N/A</v>
      </c>
      <c r="AB126" s="1112"/>
      <c r="AC126" s="1112"/>
    </row>
    <row r="127" spans="1:29">
      <c r="A127" s="919" t="str">
        <f>IFERROR(VLOOKUP($C127,Table2[#All],3,0),0)</f>
        <v>HOLDCO4K</v>
      </c>
      <c r="B127" s="1260" t="str">
        <f>_xlfn.XLOOKUP(Table1218[[#This Row],[ACCOUNT NUMBER]],Table2[Account No.],Table2[BRANCH],"recheck",0)</f>
        <v>BIDV - THANH XUAN</v>
      </c>
      <c r="C127" s="1261" t="s">
        <v>1312</v>
      </c>
      <c r="D127" s="1262" t="str">
        <f>_xlfn.XLOOKUP(Table1218[[#This Row],[ACCOUNT NUMBER]],Table2[Account No.],Table2[ACCOUNT TYPE],"recheck",0)</f>
        <v>Saving Account</v>
      </c>
      <c r="E127" s="1267" t="s">
        <v>80</v>
      </c>
      <c r="F127" s="926">
        <f>SUMIFS(Table11[CLOSING BALANCE (VND)2],Table11[ACCOUNT NUMBER],Table1218[[#This Row],[ACCOUNT NUMBER]],Table11[CURRENCY],Table1218[[#This Row],[CURRENCY]])</f>
        <v>120000000</v>
      </c>
      <c r="G127" s="1263"/>
      <c r="H127" s="1267" t="s">
        <v>224</v>
      </c>
      <c r="I127" s="1267"/>
      <c r="J127" s="1267"/>
      <c r="K127" s="1268">
        <v>46204</v>
      </c>
      <c r="L127" s="1259">
        <v>5.8000000000000003E-2</v>
      </c>
      <c r="M127" s="1262" t="str">
        <f>VLOOKUP($A127,Table1[[#All],[Entities]:[Name]],MATCH(M$3,Table1[[#Headers],[Entities]:[Name]],0),0)</f>
        <v>Subsidiaries</v>
      </c>
      <c r="N127" s="1262" t="str">
        <f>IFERROR(VLOOKUP(IFERROR(MID($O127,1,FIND("-",$O127)-2),O127),Table3[#All],2,0),0)</f>
        <v>BIDV</v>
      </c>
      <c r="O127" s="1264" t="str">
        <f t="shared" si="4"/>
        <v>BIDV - THANH XUAN</v>
      </c>
      <c r="P127" s="1259"/>
      <c r="Q127" s="1262"/>
      <c r="R127" s="1262"/>
      <c r="S127" s="1265" t="str">
        <f>IF(ISBLANK(Table1218[[#This Row],[Maturity date]]),"","W"&amp;MIN(WEEKNUM($K127+1,2)-WEEKNUM(EOMONTH($K127+1,-1)),4)&amp;TEXT($K127+1,"mmmyy"))</f>
        <v>W0Jul26</v>
      </c>
      <c r="T127" s="1266">
        <f>Table1218[[#This Row],[CLOSING BALANCE 
(VND)]]/1000000000</f>
        <v>0.12</v>
      </c>
      <c r="U12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27" s="1114">
        <f>_xlfn.NUMBERVALUE(LEFT(Table1218[[#This Row],[Term (months)]],1))</f>
        <v>6</v>
      </c>
      <c r="W127" s="1112">
        <v>6</v>
      </c>
      <c r="X127" s="1115">
        <f>Table1218[[#This Row],[Column3]]-Table1218[[#This Row],[Per bank statement]]</f>
        <v>0</v>
      </c>
      <c r="Y127" s="1117">
        <v>4.2000000000000003E-2</v>
      </c>
      <c r="Z127" s="1118">
        <f>Table1218[[#This Row],[Interest rate]]-Table1218[[#This Row],[Per bank statement2]]</f>
        <v>1.6E-2</v>
      </c>
      <c r="AA127" s="1112" t="s">
        <v>5384</v>
      </c>
      <c r="AB127" s="1112"/>
      <c r="AC127" s="1112"/>
    </row>
    <row r="128" spans="1:29">
      <c r="A128" s="919" t="str">
        <f>IFERROR(VLOOKUP($C128,Table2[#All],3,0),0)</f>
        <v>HOLDCO4M</v>
      </c>
      <c r="B128" s="1260" t="str">
        <f>_xlfn.XLOOKUP(Table1218[[#This Row],[ACCOUNT NUMBER]],Table2[Account No.],Table2[BRANCH],"recheck",0)</f>
        <v>BIDV - THANH XUAN</v>
      </c>
      <c r="C128" s="1261" t="s">
        <v>1313</v>
      </c>
      <c r="D128" s="1262" t="str">
        <f>_xlfn.XLOOKUP(Table1218[[#This Row],[ACCOUNT NUMBER]],Table2[Account No.],Table2[ACCOUNT TYPE],"recheck",0)</f>
        <v>Saving Account</v>
      </c>
      <c r="E128" s="1267" t="s">
        <v>80</v>
      </c>
      <c r="F128" s="926">
        <f>SUMIFS(Table11[CLOSING BALANCE (VND)2],Table11[ACCOUNT NUMBER],Table1218[[#This Row],[ACCOUNT NUMBER]],Table11[CURRENCY],Table1218[[#This Row],[CURRENCY]])</f>
        <v>130000000</v>
      </c>
      <c r="G128" s="1263"/>
      <c r="H128" s="1267" t="s">
        <v>224</v>
      </c>
      <c r="I128" s="1267"/>
      <c r="J128" s="1267"/>
      <c r="K128" s="1268">
        <v>46204</v>
      </c>
      <c r="L128" s="1259">
        <v>5.8000000000000003E-2</v>
      </c>
      <c r="M128" s="1262" t="str">
        <f>VLOOKUP($A128,Table1[[#All],[Entities]:[Name]],MATCH(M$3,Table1[[#Headers],[Entities]:[Name]],0),0)</f>
        <v>Subsidiaries</v>
      </c>
      <c r="N128" s="1262" t="str">
        <f>IFERROR(VLOOKUP(IFERROR(MID($O128,1,FIND("-",$O128)-2),O128),Table3[#All],2,0),0)</f>
        <v>BIDV</v>
      </c>
      <c r="O128" s="1264" t="str">
        <f t="shared" si="4"/>
        <v>BIDV - THANH XUAN</v>
      </c>
      <c r="P128" s="1259"/>
      <c r="Q128" s="1262"/>
      <c r="R128" s="1262"/>
      <c r="S128" s="1265" t="str">
        <f>IF(ISBLANK(Table1218[[#This Row],[Maturity date]]),"","W"&amp;MIN(WEEKNUM($K128+1,2)-WEEKNUM(EOMONTH($K128+1,-1)),4)&amp;TEXT($K128+1,"mmmyy"))</f>
        <v>W0Jul26</v>
      </c>
      <c r="T128" s="1266">
        <f>Table1218[[#This Row],[CLOSING BALANCE 
(VND)]]/1000000000</f>
        <v>0.13</v>
      </c>
      <c r="U12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28" s="1114">
        <f>_xlfn.NUMBERVALUE(LEFT(Table1218[[#This Row],[Term (months)]],1))</f>
        <v>6</v>
      </c>
      <c r="W128" s="1112">
        <v>6</v>
      </c>
      <c r="X128" s="1115">
        <f>Table1218[[#This Row],[Column3]]-Table1218[[#This Row],[Per bank statement]]</f>
        <v>0</v>
      </c>
      <c r="Y128" s="1117">
        <v>4.2000000000000003E-2</v>
      </c>
      <c r="Z128" s="1118">
        <f>Table1218[[#This Row],[Interest rate]]-Table1218[[#This Row],[Per bank statement2]]</f>
        <v>1.6E-2</v>
      </c>
      <c r="AA128" s="1112" t="s">
        <v>5384</v>
      </c>
      <c r="AB128" s="1112"/>
      <c r="AC128" s="1112"/>
    </row>
    <row r="129" spans="1:29">
      <c r="A129" s="919" t="str">
        <f>IFERROR(VLOOKUP($C129,Table2[#All],3,0),0)</f>
        <v>HOLDCO5K</v>
      </c>
      <c r="B129" s="1260" t="str">
        <f>_xlfn.XLOOKUP(Table1218[[#This Row],[ACCOUNT NUMBER]],Table2[Account No.],Table2[BRANCH],"recheck",0)</f>
        <v>BIDV - THANH XUAN</v>
      </c>
      <c r="C129" s="1261" t="s">
        <v>1314</v>
      </c>
      <c r="D129" s="1262" t="str">
        <f>_xlfn.XLOOKUP(Table1218[[#This Row],[ACCOUNT NUMBER]],Table2[Account No.],Table2[ACCOUNT TYPE],"recheck",0)</f>
        <v>Saving Account</v>
      </c>
      <c r="E129" s="1267" t="s">
        <v>80</v>
      </c>
      <c r="F129" s="926">
        <f>SUMIFS(Table11[CLOSING BALANCE (VND)2],Table11[ACCOUNT NUMBER],Table1218[[#This Row],[ACCOUNT NUMBER]],Table11[CURRENCY],Table1218[[#This Row],[CURRENCY]])</f>
        <v>120000000</v>
      </c>
      <c r="G129" s="1263"/>
      <c r="H129" s="1267" t="s">
        <v>224</v>
      </c>
      <c r="I129" s="1267"/>
      <c r="J129" s="1267"/>
      <c r="K129" s="1268">
        <v>46204</v>
      </c>
      <c r="L129" s="1259">
        <v>5.8000000000000003E-2</v>
      </c>
      <c r="M129" s="1262" t="str">
        <f>VLOOKUP($A129,Table1[[#All],[Entities]:[Name]],MATCH(M$3,Table1[[#Headers],[Entities]:[Name]],0),0)</f>
        <v>Subsidiaries</v>
      </c>
      <c r="N129" s="1262" t="str">
        <f>IFERROR(VLOOKUP(IFERROR(MID($O129,1,FIND("-",$O129)-2),O129),Table3[#All],2,0),0)</f>
        <v>BIDV</v>
      </c>
      <c r="O129" s="1264" t="str">
        <f t="shared" si="4"/>
        <v>BIDV - THANH XUAN</v>
      </c>
      <c r="P129" s="1259"/>
      <c r="Q129" s="1262"/>
      <c r="R129" s="1262"/>
      <c r="S129" s="1265" t="str">
        <f>IF(ISBLANK(Table1218[[#This Row],[Maturity date]]),"","W"&amp;MIN(WEEKNUM($K129+1,2)-WEEKNUM(EOMONTH($K129+1,-1)),4)&amp;TEXT($K129+1,"mmmyy"))</f>
        <v>W0Jul26</v>
      </c>
      <c r="T129" s="1266">
        <f>Table1218[[#This Row],[CLOSING BALANCE 
(VND)]]/1000000000</f>
        <v>0.12</v>
      </c>
      <c r="U12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29" s="1114">
        <f>_xlfn.NUMBERVALUE(LEFT(Table1218[[#This Row],[Term (months)]],1))</f>
        <v>6</v>
      </c>
      <c r="W129" s="1112">
        <v>6</v>
      </c>
      <c r="X129" s="1115">
        <f>Table1218[[#This Row],[Column3]]-Table1218[[#This Row],[Per bank statement]]</f>
        <v>0</v>
      </c>
      <c r="Y129" s="1117">
        <v>4.2000000000000003E-2</v>
      </c>
      <c r="Z129" s="1118">
        <f>Table1218[[#This Row],[Interest rate]]-Table1218[[#This Row],[Per bank statement2]]</f>
        <v>1.6E-2</v>
      </c>
      <c r="AA129" s="1112" t="s">
        <v>5384</v>
      </c>
      <c r="AB129" s="1112"/>
      <c r="AC129" s="1112"/>
    </row>
    <row r="130" spans="1:29">
      <c r="A130" s="919" t="str">
        <f>IFERROR(VLOOKUP($C130,Table2[#All],3,0),0)</f>
        <v>HOLDCO5M</v>
      </c>
      <c r="B130" s="1260" t="str">
        <f>_xlfn.XLOOKUP(Table1218[[#This Row],[ACCOUNT NUMBER]],Table2[Account No.],Table2[BRANCH],"recheck",0)</f>
        <v>BIDV - THANH XUAN</v>
      </c>
      <c r="C130" s="1261" t="s">
        <v>1315</v>
      </c>
      <c r="D130" s="1262" t="str">
        <f>_xlfn.XLOOKUP(Table1218[[#This Row],[ACCOUNT NUMBER]],Table2[Account No.],Table2[ACCOUNT TYPE],"recheck",0)</f>
        <v>Saving Account</v>
      </c>
      <c r="E130" s="1267" t="s">
        <v>80</v>
      </c>
      <c r="F130" s="926">
        <f>SUMIFS(Table11[CLOSING BALANCE (VND)2],Table11[ACCOUNT NUMBER],Table1218[[#This Row],[ACCOUNT NUMBER]],Table11[CURRENCY],Table1218[[#This Row],[CURRENCY]])</f>
        <v>110000000</v>
      </c>
      <c r="G130" s="1263"/>
      <c r="H130" s="1267" t="s">
        <v>224</v>
      </c>
      <c r="I130" s="1267"/>
      <c r="J130" s="1267"/>
      <c r="K130" s="1268">
        <v>46204</v>
      </c>
      <c r="L130" s="1259">
        <v>5.8000000000000003E-2</v>
      </c>
      <c r="M130" s="1262" t="str">
        <f>VLOOKUP($A130,Table1[[#All],[Entities]:[Name]],MATCH(M$3,Table1[[#Headers],[Entities]:[Name]],0),0)</f>
        <v>Subsidiaries</v>
      </c>
      <c r="N130" s="1262" t="str">
        <f>IFERROR(VLOOKUP(IFERROR(MID($O130,1,FIND("-",$O130)-2),O130),Table3[#All],2,0),0)</f>
        <v>BIDV</v>
      </c>
      <c r="O130" s="1264" t="str">
        <f t="shared" si="4"/>
        <v>BIDV - THANH XUAN</v>
      </c>
      <c r="P130" s="1259"/>
      <c r="Q130" s="1262"/>
      <c r="R130" s="1262"/>
      <c r="S130" s="1265" t="str">
        <f>IF(ISBLANK(Table1218[[#This Row],[Maturity date]]),"","W"&amp;MIN(WEEKNUM($K130+1,2)-WEEKNUM(EOMONTH($K130+1,-1)),4)&amp;TEXT($K130+1,"mmmyy"))</f>
        <v>W0Jul26</v>
      </c>
      <c r="T130" s="1266">
        <f>Table1218[[#This Row],[CLOSING BALANCE 
(VND)]]/1000000000</f>
        <v>0.11</v>
      </c>
      <c r="U13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30" s="1114">
        <f>_xlfn.NUMBERVALUE(LEFT(Table1218[[#This Row],[Term (months)]],1))</f>
        <v>6</v>
      </c>
      <c r="W130" s="1112">
        <v>6</v>
      </c>
      <c r="X130" s="1115">
        <f>Table1218[[#This Row],[Column3]]-Table1218[[#This Row],[Per bank statement]]</f>
        <v>0</v>
      </c>
      <c r="Y130" s="1117">
        <v>4.2000000000000003E-2</v>
      </c>
      <c r="Z130" s="1118">
        <f>Table1218[[#This Row],[Interest rate]]-Table1218[[#This Row],[Per bank statement2]]</f>
        <v>1.6E-2</v>
      </c>
      <c r="AA130" s="1112" t="s">
        <v>5384</v>
      </c>
      <c r="AB130" s="1112"/>
      <c r="AC130" s="1112"/>
    </row>
    <row r="131" spans="1:29">
      <c r="A131" s="919" t="str">
        <f>IFERROR(VLOOKUP($C131,Table2[#All],3,0),0)</f>
        <v>HOLDCO4N</v>
      </c>
      <c r="B131" s="1260" t="str">
        <f>_xlfn.XLOOKUP(Table1218[[#This Row],[ACCOUNT NUMBER]],Table2[Account No.],Table2[BRANCH],"recheck",0)</f>
        <v>BIDV - THANH XUAN</v>
      </c>
      <c r="C131" s="1261" t="s">
        <v>1316</v>
      </c>
      <c r="D131" s="1262" t="str">
        <f>_xlfn.XLOOKUP(Table1218[[#This Row],[ACCOUNT NUMBER]],Table2[Account No.],Table2[ACCOUNT TYPE],"recheck",0)</f>
        <v>Saving Account</v>
      </c>
      <c r="E131" s="1267" t="s">
        <v>80</v>
      </c>
      <c r="F131" s="926">
        <f>SUMIFS(Table11[CLOSING BALANCE (VND)2],Table11[ACCOUNT NUMBER],Table1218[[#This Row],[ACCOUNT NUMBER]],Table11[CURRENCY],Table1218[[#This Row],[CURRENCY]])</f>
        <v>100000000</v>
      </c>
      <c r="G131" s="1263"/>
      <c r="H131" s="1267" t="s">
        <v>224</v>
      </c>
      <c r="I131" s="1267"/>
      <c r="J131" s="1267"/>
      <c r="K131" s="1268">
        <v>46204</v>
      </c>
      <c r="L131" s="1259">
        <v>5.8000000000000003E-2</v>
      </c>
      <c r="M131" s="1262" t="str">
        <f>VLOOKUP($A131,Table1[[#All],[Entities]:[Name]],MATCH(M$3,Table1[[#Headers],[Entities]:[Name]],0),0)</f>
        <v>Subsidiaries</v>
      </c>
      <c r="N131" s="1262" t="str">
        <f>IFERROR(VLOOKUP(IFERROR(MID($O131,1,FIND("-",$O131)-2),O131),Table3[#All],2,0),0)</f>
        <v>BIDV</v>
      </c>
      <c r="O131" s="1264" t="str">
        <f t="shared" si="4"/>
        <v>BIDV - THANH XUAN</v>
      </c>
      <c r="P131" s="1259"/>
      <c r="Q131" s="1262"/>
      <c r="R131" s="1262"/>
      <c r="S131" s="1265" t="str">
        <f>IF(ISBLANK(Table1218[[#This Row],[Maturity date]]),"","W"&amp;MIN(WEEKNUM($K131+1,2)-WEEKNUM(EOMONTH($K131+1,-1)),4)&amp;TEXT($K131+1,"mmmyy"))</f>
        <v>W0Jul26</v>
      </c>
      <c r="T131" s="1266">
        <f>Table1218[[#This Row],[CLOSING BALANCE 
(VND)]]/1000000000</f>
        <v>0.1</v>
      </c>
      <c r="U13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31" s="1114">
        <f>_xlfn.NUMBERVALUE(LEFT(Table1218[[#This Row],[Term (months)]],1))</f>
        <v>6</v>
      </c>
      <c r="W131" s="1112">
        <v>6</v>
      </c>
      <c r="X131" s="1115">
        <f>Table1218[[#This Row],[Column3]]-Table1218[[#This Row],[Per bank statement]]</f>
        <v>0</v>
      </c>
      <c r="Y131" s="1117">
        <v>4.2000000000000003E-2</v>
      </c>
      <c r="Z131" s="1118">
        <f>Table1218[[#This Row],[Interest rate]]-Table1218[[#This Row],[Per bank statement2]]</f>
        <v>1.6E-2</v>
      </c>
      <c r="AA131" s="1112" t="s">
        <v>5384</v>
      </c>
      <c r="AB131" s="1112"/>
      <c r="AC131" s="1112"/>
    </row>
    <row r="132" spans="1:29">
      <c r="A132" s="919" t="str">
        <f>IFERROR(VLOOKUP($C132,Table2[#All],3,0),0)</f>
        <v>HOLDCO4O</v>
      </c>
      <c r="B132" s="1260" t="str">
        <f>_xlfn.XLOOKUP(Table1218[[#This Row],[ACCOUNT NUMBER]],Table2[Account No.],Table2[BRANCH],"recheck",0)</f>
        <v>BIDV - THANH XUAN</v>
      </c>
      <c r="C132" s="1261" t="s">
        <v>1317</v>
      </c>
      <c r="D132" s="1262" t="str">
        <f>_xlfn.XLOOKUP(Table1218[[#This Row],[ACCOUNT NUMBER]],Table2[Account No.],Table2[ACCOUNT TYPE],"recheck",0)</f>
        <v>Saving Account</v>
      </c>
      <c r="E132" s="1267" t="s">
        <v>80</v>
      </c>
      <c r="F132" s="926">
        <f>SUMIFS(Table11[CLOSING BALANCE (VND)2],Table11[ACCOUNT NUMBER],Table1218[[#This Row],[ACCOUNT NUMBER]],Table11[CURRENCY],Table1218[[#This Row],[CURRENCY]])</f>
        <v>100000000</v>
      </c>
      <c r="G132" s="1263"/>
      <c r="H132" s="1267" t="s">
        <v>224</v>
      </c>
      <c r="I132" s="1267"/>
      <c r="J132" s="1267"/>
      <c r="K132" s="1268">
        <v>46204</v>
      </c>
      <c r="L132" s="1259">
        <v>5.8000000000000003E-2</v>
      </c>
      <c r="M132" s="1262" t="str">
        <f>VLOOKUP($A132,Table1[[#All],[Entities]:[Name]],MATCH(M$3,Table1[[#Headers],[Entities]:[Name]],0),0)</f>
        <v>Subsidiaries</v>
      </c>
      <c r="N132" s="1262" t="str">
        <f>IFERROR(VLOOKUP(IFERROR(MID($O132,1,FIND("-",$O132)-2),O132),Table3[#All],2,0),0)</f>
        <v>BIDV</v>
      </c>
      <c r="O132" s="1264" t="str">
        <f t="shared" si="4"/>
        <v>BIDV - THANH XUAN</v>
      </c>
      <c r="P132" s="1259"/>
      <c r="Q132" s="1262"/>
      <c r="R132" s="1262"/>
      <c r="S132" s="1265" t="str">
        <f>IF(ISBLANK(Table1218[[#This Row],[Maturity date]]),"","W"&amp;MIN(WEEKNUM($K132+1,2)-WEEKNUM(EOMONTH($K132+1,-1)),4)&amp;TEXT($K132+1,"mmmyy"))</f>
        <v>W0Jul26</v>
      </c>
      <c r="T132" s="1266">
        <f>Table1218[[#This Row],[CLOSING BALANCE 
(VND)]]/1000000000</f>
        <v>0.1</v>
      </c>
      <c r="U13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32" s="1114">
        <f>_xlfn.NUMBERVALUE(LEFT(Table1218[[#This Row],[Term (months)]],1))</f>
        <v>6</v>
      </c>
      <c r="W132" s="1112">
        <v>6</v>
      </c>
      <c r="X132" s="1115">
        <f>Table1218[[#This Row],[Column3]]-Table1218[[#This Row],[Per bank statement]]</f>
        <v>0</v>
      </c>
      <c r="Y132" s="1117">
        <v>4.2000000000000003E-2</v>
      </c>
      <c r="Z132" s="1118">
        <f>Table1218[[#This Row],[Interest rate]]-Table1218[[#This Row],[Per bank statement2]]</f>
        <v>1.6E-2</v>
      </c>
      <c r="AA132" s="1112" t="s">
        <v>5384</v>
      </c>
      <c r="AB132" s="1112"/>
      <c r="AC132" s="1112"/>
    </row>
    <row r="133" spans="1:29">
      <c r="A133" s="919" t="str">
        <f>IFERROR(VLOOKUP($C133,Table2[#All],3,0),0)</f>
        <v>HOLDCO4P</v>
      </c>
      <c r="B133" s="1260" t="str">
        <f>_xlfn.XLOOKUP(Table1218[[#This Row],[ACCOUNT NUMBER]],Table2[Account No.],Table2[BRANCH],"recheck",0)</f>
        <v>BIDV - THANH XUAN</v>
      </c>
      <c r="C133" s="1261" t="s">
        <v>1318</v>
      </c>
      <c r="D133" s="1262" t="str">
        <f>_xlfn.XLOOKUP(Table1218[[#This Row],[ACCOUNT NUMBER]],Table2[Account No.],Table2[ACCOUNT TYPE],"recheck",0)</f>
        <v>Saving Account</v>
      </c>
      <c r="E133" s="1267" t="s">
        <v>80</v>
      </c>
      <c r="F133" s="926">
        <f>SUMIFS(Table11[CLOSING BALANCE (VND)2],Table11[ACCOUNT NUMBER],Table1218[[#This Row],[ACCOUNT NUMBER]],Table11[CURRENCY],Table1218[[#This Row],[CURRENCY]])</f>
        <v>120000000</v>
      </c>
      <c r="G133" s="1263"/>
      <c r="H133" s="1267" t="s">
        <v>224</v>
      </c>
      <c r="I133" s="1267"/>
      <c r="J133" s="1267"/>
      <c r="K133" s="1268">
        <v>46204</v>
      </c>
      <c r="L133" s="1259">
        <v>5.8000000000000003E-2</v>
      </c>
      <c r="M133" s="1262" t="str">
        <f>VLOOKUP($A133,Table1[[#All],[Entities]:[Name]],MATCH(M$3,Table1[[#Headers],[Entities]:[Name]],0),0)</f>
        <v>Subsidiaries</v>
      </c>
      <c r="N133" s="1262" t="str">
        <f>IFERROR(VLOOKUP(IFERROR(MID($O133,1,FIND("-",$O133)-2),O133),Table3[#All],2,0),0)</f>
        <v>BIDV</v>
      </c>
      <c r="O133" s="1264" t="str">
        <f t="shared" ref="O133:O150" si="5">B133</f>
        <v>BIDV - THANH XUAN</v>
      </c>
      <c r="P133" s="1259"/>
      <c r="Q133" s="1262"/>
      <c r="R133" s="1262"/>
      <c r="S133" s="1265" t="str">
        <f>IF(ISBLANK(Table1218[[#This Row],[Maturity date]]),"","W"&amp;MIN(WEEKNUM($K133+1,2)-WEEKNUM(EOMONTH($K133+1,-1)),4)&amp;TEXT($K133+1,"mmmyy"))</f>
        <v>W0Jul26</v>
      </c>
      <c r="T133" s="1266">
        <f>Table1218[[#This Row],[CLOSING BALANCE 
(VND)]]/1000000000</f>
        <v>0.12</v>
      </c>
      <c r="U13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33" s="1114">
        <f>_xlfn.NUMBERVALUE(LEFT(Table1218[[#This Row],[Term (months)]],1))</f>
        <v>6</v>
      </c>
      <c r="W133" s="1112">
        <v>6</v>
      </c>
      <c r="X133" s="1115">
        <f>Table1218[[#This Row],[Column3]]-Table1218[[#This Row],[Per bank statement]]</f>
        <v>0</v>
      </c>
      <c r="Y133" s="1117">
        <v>4.2000000000000003E-2</v>
      </c>
      <c r="Z133" s="1118">
        <f>Table1218[[#This Row],[Interest rate]]-Table1218[[#This Row],[Per bank statement2]]</f>
        <v>1.6E-2</v>
      </c>
      <c r="AA133" s="1112" t="s">
        <v>5384</v>
      </c>
      <c r="AB133" s="1112"/>
      <c r="AC133" s="1112"/>
    </row>
    <row r="134" spans="1:29">
      <c r="A134" s="919" t="str">
        <f>IFERROR(VLOOKUP($C134,Table2[#All],3,0),0)</f>
        <v>NSHL HOLDCO</v>
      </c>
      <c r="B134" s="1260" t="str">
        <f>_xlfn.XLOOKUP(Table1218[[#This Row],[ACCOUNT NUMBER]],Table2[Account No.],Table2[BRANCH],"recheck",0)</f>
        <v>BIDV - THANH XUAN</v>
      </c>
      <c r="C134" s="1269" t="s">
        <v>1320</v>
      </c>
      <c r="D134" s="1262" t="str">
        <f>_xlfn.XLOOKUP(Table1218[[#This Row],[ACCOUNT NUMBER]],Table2[Account No.],Table2[ACCOUNT TYPE],"recheck",0)</f>
        <v>Saving Account</v>
      </c>
      <c r="E134" s="1267" t="s">
        <v>80</v>
      </c>
      <c r="F134" s="926">
        <f>SUMIFS(Table11[CLOSING BALANCE (VND)2],Table11[ACCOUNT NUMBER],Table1218[[#This Row],[ACCOUNT NUMBER]],Table11[CURRENCY],Table1218[[#This Row],[CURRENCY]])</f>
        <v>200000000</v>
      </c>
      <c r="G134" s="1263"/>
      <c r="H134" s="1267" t="s">
        <v>224</v>
      </c>
      <c r="I134" s="1267"/>
      <c r="J134" s="1267"/>
      <c r="K134" s="1268">
        <v>46204</v>
      </c>
      <c r="L134" s="1259">
        <v>5.8000000000000003E-2</v>
      </c>
      <c r="M134" s="1262" t="str">
        <f>VLOOKUP($A134,Table1[[#All],[Entities]:[Name]],MATCH(M$3,Table1[[#Headers],[Entities]:[Name]],0),0)</f>
        <v>Subsidiaries</v>
      </c>
      <c r="N134" s="1262" t="str">
        <f>IFERROR(VLOOKUP(IFERROR(MID($O134,1,FIND("-",$O134)-2),O134),Table3[#All],2,0),0)</f>
        <v>BIDV</v>
      </c>
      <c r="O134" s="1264" t="str">
        <f t="shared" si="5"/>
        <v>BIDV - THANH XUAN</v>
      </c>
      <c r="P134" s="1259"/>
      <c r="Q134" s="1262"/>
      <c r="R134" s="1262"/>
      <c r="S134" s="1265" t="str">
        <f>IF(ISBLANK(Table1218[[#This Row],[Maturity date]]),"","W"&amp;MIN(WEEKNUM($K134+1,2)-WEEKNUM(EOMONTH($K134+1,-1)),4)&amp;TEXT($K134+1,"mmmyy"))</f>
        <v>W0Jul26</v>
      </c>
      <c r="T134" s="1270">
        <f>Table1218[[#This Row],[CLOSING BALANCE 
(VND)]]/1000000000</f>
        <v>0.2</v>
      </c>
      <c r="U134"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6 months</v>
      </c>
      <c r="V134" s="1114">
        <f>_xlfn.NUMBERVALUE(LEFT(Table1218[[#This Row],[Term (months)]],1))</f>
        <v>6</v>
      </c>
      <c r="W134" s="1115">
        <v>6</v>
      </c>
      <c r="X134" s="1115">
        <f>Table1218[[#This Row],[Column3]]-Table1218[[#This Row],[Per bank statement]]</f>
        <v>0</v>
      </c>
      <c r="Y134" s="1117">
        <v>4.2000000000000003E-2</v>
      </c>
      <c r="Z134" s="1118">
        <f>Table1218[[#This Row],[Interest rate]]-Table1218[[#This Row],[Per bank statement2]]</f>
        <v>1.6E-2</v>
      </c>
      <c r="AA134" s="1112"/>
      <c r="AB134" s="1112"/>
      <c r="AC134" s="1112"/>
    </row>
    <row r="135" spans="1:29">
      <c r="A135" s="919" t="str">
        <f>IFERROR(VLOOKUP($C135,Table2[#All],3,0),0)</f>
        <v>YEN PHONG PROJECT CO</v>
      </c>
      <c r="B135" s="1260" t="str">
        <f>_xlfn.XLOOKUP(Table1218[[#This Row],[ACCOUNT NUMBER]],Table2[Account No.],Table2[BRANCH],"recheck",0)</f>
        <v>BIDV - THANH XUAN</v>
      </c>
      <c r="C135" s="1261" t="s">
        <v>1321</v>
      </c>
      <c r="D135" s="1262" t="str">
        <f>_xlfn.XLOOKUP(Table1218[[#This Row],[ACCOUNT NUMBER]],Table2[Account No.],Table2[ACCOUNT TYPE],"recheck",0)</f>
        <v>Saving Account</v>
      </c>
      <c r="E135" s="1267" t="s">
        <v>80</v>
      </c>
      <c r="F135" s="926">
        <f>SUMIFS(Table11[CLOSING BALANCE (VND)2],Table11[ACCOUNT NUMBER],Table1218[[#This Row],[ACCOUNT NUMBER]],Table11[CURRENCY],Table1218[[#This Row],[CURRENCY]])</f>
        <v>2000000000</v>
      </c>
      <c r="G135" s="1263"/>
      <c r="H135" s="1267" t="s">
        <v>219</v>
      </c>
      <c r="I135" s="1267"/>
      <c r="J135" s="1267"/>
      <c r="K135" s="1268">
        <v>46042</v>
      </c>
      <c r="L135" s="1259">
        <v>4.7500000000000001E-2</v>
      </c>
      <c r="M135" s="1262" t="str">
        <f>VLOOKUP($A135,Table1[[#All],[Entities]:[Name]],MATCH(M$3,Table1[[#Headers],[Entities]:[Name]],0),0)</f>
        <v>Subsidiaries</v>
      </c>
      <c r="N135" s="1262" t="str">
        <f>IFERROR(VLOOKUP(IFERROR(MID($O135,1,FIND("-",$O135)-2),O135),Table3[#All],2,0),0)</f>
        <v>BIDV</v>
      </c>
      <c r="O135" s="1264" t="str">
        <f t="shared" si="5"/>
        <v>BIDV - THANH XUAN</v>
      </c>
      <c r="P135" s="1259"/>
      <c r="Q135" s="1262"/>
      <c r="R135" s="1262"/>
      <c r="S135" s="1265" t="str">
        <f>IF(ISBLANK(Table1218[[#This Row],[Maturity date]]),"","W"&amp;MIN(WEEKNUM($K135+1,2)-WEEKNUM(EOMONTH($K135+1,-1)),4)&amp;TEXT($K135+1,"mmmyy"))</f>
        <v>W-49Jan26</v>
      </c>
      <c r="T135" s="1266">
        <f>Table1218[[#This Row],[CLOSING BALANCE 
(VND)]]/1000000000</f>
        <v>2</v>
      </c>
      <c r="U13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35" s="1114">
        <f>_xlfn.NUMBERVALUE(LEFT(Table1218[[#This Row],[Term (months)]],1))</f>
        <v>1</v>
      </c>
      <c r="W135" s="1115">
        <v>1</v>
      </c>
      <c r="X135" s="1115">
        <f>Table1218[[#This Row],[Column3]]-Table1218[[#This Row],[Per bank statement]]</f>
        <v>0</v>
      </c>
      <c r="Y135" s="1117">
        <v>4.2999999999999997E-2</v>
      </c>
      <c r="Z135" s="1118">
        <f>Table1218[[#This Row],[Interest rate]]-Table1218[[#This Row],[Per bank statement2]]</f>
        <v>4.500000000000004E-3</v>
      </c>
      <c r="AA135" s="1131">
        <v>4.4999999999999998E-2</v>
      </c>
      <c r="AB135" s="1112"/>
      <c r="AC135" s="1112"/>
    </row>
    <row r="136" spans="1:29">
      <c r="A136" s="919" t="str">
        <f>IFERROR(VLOOKUP($C136,Table2[#All],3,0),0)</f>
        <v>BCI JSC</v>
      </c>
      <c r="B136" s="1260" t="str">
        <f>_xlfn.XLOOKUP(Table1218[[#This Row],[ACCOUNT NUMBER]],Table2[Account No.],Table2[BRANCH],"recheck",0)</f>
        <v>VIETINBANK - TIEN SON</v>
      </c>
      <c r="C136" s="1269" t="s">
        <v>1323</v>
      </c>
      <c r="D136" s="1262" t="str">
        <f>_xlfn.XLOOKUP(Table1218[[#This Row],[ACCOUNT NUMBER]],Table2[Account No.],Table2[ACCOUNT TYPE],"recheck",0)</f>
        <v>Saving Account</v>
      </c>
      <c r="E136" s="1267" t="s">
        <v>80</v>
      </c>
      <c r="F136" s="926">
        <f>SUMIFS(Table11[CLOSING BALANCE (VND)2],Table11[ACCOUNT NUMBER],Table1218[[#This Row],[ACCOUNT NUMBER]],Table11[CURRENCY],Table1218[[#This Row],[CURRENCY]])</f>
        <v>6000000000</v>
      </c>
      <c r="G136" s="1263"/>
      <c r="H136" s="1267" t="s">
        <v>219</v>
      </c>
      <c r="I136" s="1267"/>
      <c r="J136" s="1267"/>
      <c r="K136" s="1268">
        <v>46040</v>
      </c>
      <c r="L136" s="1259">
        <v>4.7500000000000001E-2</v>
      </c>
      <c r="M136" s="1262" t="str">
        <f>VLOOKUP($A136,Table1[[#All],[Entities]:[Name]],MATCH(M$3,Table1[[#Headers],[Entities]:[Name]],0),0)</f>
        <v>Subsidiaries</v>
      </c>
      <c r="N136" s="1262" t="str">
        <f>IFERROR(VLOOKUP(IFERROR(MID($O136,1,FIND("-",$O136)-2),O136),Table3[#All],2,0),0)</f>
        <v>VTB</v>
      </c>
      <c r="O136" s="1264" t="str">
        <f t="shared" si="5"/>
        <v>VIETINBANK - TIEN SON</v>
      </c>
      <c r="P136" s="1259"/>
      <c r="Q136" s="1262"/>
      <c r="R136" s="1262"/>
      <c r="S136" s="1265" t="str">
        <f>IF(ISBLANK(Table1218[[#This Row],[Maturity date]]),"","W"&amp;MIN(WEEKNUM($K136+1,2)-WEEKNUM(EOMONTH($K136+1,-1)),4)&amp;TEXT($K136+1,"mmmyy"))</f>
        <v>W-49Jan26</v>
      </c>
      <c r="T136" s="1266">
        <f>Table1218[[#This Row],[CLOSING BALANCE 
(VND)]]/1000000000</f>
        <v>6</v>
      </c>
      <c r="U13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36" s="1114">
        <f>_xlfn.NUMBERVALUE(LEFT(Table1218[[#This Row],[Term (months)]],1))</f>
        <v>1</v>
      </c>
      <c r="W136" s="1112">
        <v>1</v>
      </c>
      <c r="X136" s="1115">
        <f>Table1218[[#This Row],[Column3]]-Table1218[[#This Row],[Per bank statement]]</f>
        <v>0</v>
      </c>
      <c r="Y136" s="1117">
        <v>4.2999999999999997E-2</v>
      </c>
      <c r="Z136" s="1118">
        <f>Table1218[[#This Row],[Interest rate]]-Table1218[[#This Row],[Per bank statement2]]</f>
        <v>4.500000000000004E-3</v>
      </c>
      <c r="AA136" s="1112">
        <v>4.5</v>
      </c>
      <c r="AB136" s="1112"/>
      <c r="AC136" s="1112"/>
    </row>
    <row r="137" spans="1:29">
      <c r="A137" s="919" t="str">
        <f>IFERROR(VLOOKUP($C137,Table2[#All],3,0),0)</f>
        <v>BWID HAI DUONG 2</v>
      </c>
      <c r="B137" s="1260" t="str">
        <f>_xlfn.XLOOKUP(Table1218[[#This Row],[ACCOUNT NUMBER]],Table2[Account No.],Table2[BRANCH],"recheck",0)</f>
        <v>VIETINBANK - TIEN SON</v>
      </c>
      <c r="C137" s="1261" t="s">
        <v>1325</v>
      </c>
      <c r="D137" s="1262" t="str">
        <f>_xlfn.XLOOKUP(Table1218[[#This Row],[ACCOUNT NUMBER]],Table2[Account No.],Table2[ACCOUNT TYPE],"recheck",0)</f>
        <v>Saving Account</v>
      </c>
      <c r="E137" s="1267" t="s">
        <v>80</v>
      </c>
      <c r="F137" s="926">
        <f>SUMIFS(Table11[CLOSING BALANCE (VND)2],Table11[ACCOUNT NUMBER],Table1218[[#This Row],[ACCOUNT NUMBER]],Table11[CURRENCY],Table1218[[#This Row],[CURRENCY]])</f>
        <v>16000000000</v>
      </c>
      <c r="G137" s="1263"/>
      <c r="H137" s="1267" t="s">
        <v>219</v>
      </c>
      <c r="I137" s="1267"/>
      <c r="J137" s="1267"/>
      <c r="K137" s="1268">
        <v>46047</v>
      </c>
      <c r="L137" s="1259">
        <v>4.7500000000000001E-2</v>
      </c>
      <c r="M137" s="1262" t="str">
        <f>VLOOKUP($A137,Table1[[#All],[Entities]:[Name]],MATCH(M$3,Table1[[#Headers],[Entities]:[Name]],0),0)</f>
        <v>Subsidiaries</v>
      </c>
      <c r="N137" s="1262" t="str">
        <f>IFERROR(VLOOKUP(IFERROR(MID($O137,1,FIND("-",$O137)-2),O137),Table3[#All],2,0),0)</f>
        <v>VTB</v>
      </c>
      <c r="O137" s="1264" t="str">
        <f t="shared" si="5"/>
        <v>VIETINBANK - TIEN SON</v>
      </c>
      <c r="P137" s="1259"/>
      <c r="Q137" s="1262"/>
      <c r="R137" s="1262"/>
      <c r="S137" s="1265" t="str">
        <f>IF(ISBLANK(Table1218[[#This Row],[Maturity date]]),"","W"&amp;MIN(WEEKNUM($K137+1,2)-WEEKNUM(EOMONTH($K137+1,-1)),4)&amp;TEXT($K137+1,"mmmyy"))</f>
        <v>W-48Jan26</v>
      </c>
      <c r="T137" s="1266">
        <f>Table1218[[#This Row],[CLOSING BALANCE 
(VND)]]/1000000000</f>
        <v>16</v>
      </c>
      <c r="U13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37" s="1114">
        <f>_xlfn.NUMBERVALUE(LEFT(Table1218[[#This Row],[Term (months)]],1))</f>
        <v>1</v>
      </c>
      <c r="W137" s="1112">
        <v>1</v>
      </c>
      <c r="X137" s="1115">
        <f>Table1218[[#This Row],[Column3]]-Table1218[[#This Row],[Per bank statement]]</f>
        <v>0</v>
      </c>
      <c r="Y137" s="1117">
        <v>4.2999999999999997E-2</v>
      </c>
      <c r="Z137" s="1118">
        <f>Table1218[[#This Row],[Interest rate]]-Table1218[[#This Row],[Per bank statement2]]</f>
        <v>4.500000000000004E-3</v>
      </c>
      <c r="AA137" s="1112">
        <v>4.5</v>
      </c>
      <c r="AB137" s="1112"/>
      <c r="AC137" s="1112"/>
    </row>
    <row r="138" spans="1:29">
      <c r="A138" s="919" t="str">
        <f>IFERROR(VLOOKUP($C138,Table2[#All],3,0),0)</f>
        <v>TAN DONG HIEP B ELECTRON</v>
      </c>
      <c r="B138" s="1260" t="str">
        <f>_xlfn.XLOOKUP(Table1218[[#This Row],[ACCOUNT NUMBER]],Table2[Account No.],Table2[BRANCH],"recheck",0)</f>
        <v>VIETINBANK - TPHCM</v>
      </c>
      <c r="C138" s="1261" t="s">
        <v>1327</v>
      </c>
      <c r="D138" s="1262" t="str">
        <f>_xlfn.XLOOKUP(Table1218[[#This Row],[ACCOUNT NUMBER]],Table2[Account No.],Table2[ACCOUNT TYPE],"recheck",0)</f>
        <v>Saving Account</v>
      </c>
      <c r="E138" s="1267" t="s">
        <v>80</v>
      </c>
      <c r="F138" s="926">
        <f>SUMIFS(Table11[CLOSING BALANCE (VND)2],Table11[ACCOUNT NUMBER],Table1218[[#This Row],[ACCOUNT NUMBER]],Table11[CURRENCY],Table1218[[#This Row],[CURRENCY]])</f>
        <v>15000000000</v>
      </c>
      <c r="G138" s="1263"/>
      <c r="H138" s="1267" t="s">
        <v>219</v>
      </c>
      <c r="I138" s="1267"/>
      <c r="J138" s="1267"/>
      <c r="K138" s="1268">
        <v>46050</v>
      </c>
      <c r="L138" s="927">
        <v>4.7500000000000001E-2</v>
      </c>
      <c r="M138" s="1262" t="str">
        <f>VLOOKUP($A138,Table1[[#All],[Entities]:[Name]],MATCH(M$3,Table1[[#Headers],[Entities]:[Name]],0),0)</f>
        <v>Subsidiaries</v>
      </c>
      <c r="N138" s="1262" t="str">
        <f>IFERROR(VLOOKUP(IFERROR(MID($O138,1,FIND("-",$O138)-2),O138),Table3[#All],2,0),0)</f>
        <v>VTB</v>
      </c>
      <c r="O138" s="1264" t="str">
        <f t="shared" si="5"/>
        <v>VIETINBANK - TPHCM</v>
      </c>
      <c r="P138" s="1259"/>
      <c r="Q138" s="1262"/>
      <c r="R138" s="1262"/>
      <c r="S138" s="1265" t="str">
        <f>IF(ISBLANK(Table1218[[#This Row],[Maturity date]]),"","W"&amp;MIN(WEEKNUM($K138+1,2)-WEEKNUM(EOMONTH($K138+1,-1)),4)&amp;TEXT($K138+1,"mmmyy"))</f>
        <v>W-48Jan26</v>
      </c>
      <c r="T138" s="1266">
        <f>Table1218[[#This Row],[CLOSING BALANCE 
(VND)]]/1000000000</f>
        <v>15</v>
      </c>
      <c r="U13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38" s="1114">
        <f>_xlfn.NUMBERVALUE(LEFT(Table1218[[#This Row],[Term (months)]],1))</f>
        <v>1</v>
      </c>
      <c r="W138" s="1112">
        <v>1</v>
      </c>
      <c r="X138" s="1115">
        <f>Table1218[[#This Row],[Column3]]-Table1218[[#This Row],[Per bank statement]]</f>
        <v>0</v>
      </c>
      <c r="Y138" s="1117">
        <v>4.2999999999999997E-2</v>
      </c>
      <c r="Z138" s="1118">
        <f>Table1218[[#This Row],[Interest rate]]-Table1218[[#This Row],[Per bank statement2]]</f>
        <v>4.500000000000004E-3</v>
      </c>
      <c r="AA138" s="1112">
        <v>4.3</v>
      </c>
      <c r="AB138" s="1112"/>
      <c r="AC138" s="1112"/>
    </row>
    <row r="139" spans="1:29">
      <c r="A139" s="919" t="str">
        <f>IFERROR(VLOOKUP($C139,Table2[#All],3,0),0)</f>
        <v>NASTEC JSC</v>
      </c>
      <c r="B139" s="1260" t="str">
        <f>_xlfn.XLOOKUP(Table1218[[#This Row],[ACCOUNT NUMBER]],Table2[Account No.],Table2[BRANCH],"recheck",0)</f>
        <v>VIETINBANK - TIEN SON</v>
      </c>
      <c r="C139" s="1261" t="s">
        <v>1334</v>
      </c>
      <c r="D139" s="1262" t="str">
        <f>_xlfn.XLOOKUP(Table1218[[#This Row],[ACCOUNT NUMBER]],Table2[Account No.],Table2[ACCOUNT TYPE],"recheck",0)</f>
        <v>Saving Account</v>
      </c>
      <c r="E139" s="1267" t="s">
        <v>80</v>
      </c>
      <c r="F139" s="926">
        <f>SUMIFS(Table11[CLOSING BALANCE (VND)2],Table11[ACCOUNT NUMBER],Table1218[[#This Row],[ACCOUNT NUMBER]],Table11[CURRENCY],Table1218[[#This Row],[CURRENCY]])</f>
        <v>39400000000</v>
      </c>
      <c r="G139" s="1263"/>
      <c r="H139" s="1267" t="s">
        <v>221</v>
      </c>
      <c r="I139" s="1267"/>
      <c r="J139" s="1267"/>
      <c r="K139" s="1268">
        <v>46051</v>
      </c>
      <c r="L139" s="1259">
        <v>4.7500000000000001E-2</v>
      </c>
      <c r="M139" s="1262" t="str">
        <f>VLOOKUP($A139,Table1[[#All],[Entities]:[Name]],MATCH(M$3,Table1[[#Headers],[Entities]:[Name]],0),0)</f>
        <v>Subsidiaries</v>
      </c>
      <c r="N139" s="1262" t="str">
        <f>IFERROR(VLOOKUP(IFERROR(MID($O139,1,FIND("-",$O139)-2),O139),Table3[#All],2,0),0)</f>
        <v>VTB</v>
      </c>
      <c r="O139" s="1264" t="str">
        <f t="shared" si="5"/>
        <v>VIETINBANK - TIEN SON</v>
      </c>
      <c r="P139" s="1259"/>
      <c r="Q139" s="1262"/>
      <c r="R139" s="1262"/>
      <c r="S139" s="1265" t="str">
        <f>IF(ISBLANK(Table1218[[#This Row],[Maturity date]]),"","W"&amp;MIN(WEEKNUM($K139+1,2)-WEEKNUM(EOMONTH($K139+1,-1)),4)&amp;TEXT($K139+1,"mmmyy"))</f>
        <v>W-48Jan26</v>
      </c>
      <c r="T139" s="1266">
        <f>Table1218[[#This Row],[CLOSING BALANCE 
(VND)]]/1000000000</f>
        <v>39.4</v>
      </c>
      <c r="U13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39" s="1114">
        <f>_xlfn.NUMBERVALUE(LEFT(Table1218[[#This Row],[Term (months)]],1))</f>
        <v>3</v>
      </c>
      <c r="W139" s="1112">
        <v>3</v>
      </c>
      <c r="X139" s="1115">
        <f>Table1218[[#This Row],[Column3]]-Table1218[[#This Row],[Per bank statement]]</f>
        <v>0</v>
      </c>
      <c r="Y139" s="1117">
        <v>4.4999999999999998E-2</v>
      </c>
      <c r="Z139" s="1118">
        <f>Table1218[[#This Row],[Interest rate]]-Table1218[[#This Row],[Per bank statement2]]</f>
        <v>2.5000000000000022E-3</v>
      </c>
      <c r="AA139" s="1112">
        <v>4.5</v>
      </c>
      <c r="AB139" s="1112"/>
      <c r="AC139" s="1112"/>
    </row>
    <row r="140" spans="1:29">
      <c r="A140" s="919" t="str">
        <f>IFERROR(VLOOKUP($C140,Table2[#All],3,0),0)</f>
        <v>XENIA 2</v>
      </c>
      <c r="B140" s="1260" t="str">
        <f>_xlfn.XLOOKUP(Table1218[[#This Row],[ACCOUNT NUMBER]],Table2[Account No.],Table2[BRANCH],"recheck",0)</f>
        <v>VIETINBANK - TIEN SON</v>
      </c>
      <c r="C140" s="1261" t="s">
        <v>1332</v>
      </c>
      <c r="D140" s="1262" t="str">
        <f>_xlfn.XLOOKUP(Table1218[[#This Row],[ACCOUNT NUMBER]],Table2[Account No.],Table2[ACCOUNT TYPE],"recheck",0)</f>
        <v>Saving Account</v>
      </c>
      <c r="E140" s="1267" t="s">
        <v>80</v>
      </c>
      <c r="F140" s="926">
        <f>SUMIFS(Table11[CLOSING BALANCE (VND)2],Table11[ACCOUNT NUMBER],Table1218[[#This Row],[ACCOUNT NUMBER]],Table11[CURRENCY],Table1218[[#This Row],[CURRENCY]])</f>
        <v>22000000000</v>
      </c>
      <c r="G140" s="1263"/>
      <c r="H140" s="1267" t="s">
        <v>219</v>
      </c>
      <c r="I140" s="1267"/>
      <c r="J140" s="1267"/>
      <c r="K140" s="1268">
        <v>46052</v>
      </c>
      <c r="L140" s="1259">
        <v>4.7500000000000001E-2</v>
      </c>
      <c r="M140" s="1262" t="str">
        <f>VLOOKUP($A140,Table1[[#All],[Entities]:[Name]],MATCH(M$3,Table1[[#Headers],[Entities]:[Name]],0),0)</f>
        <v>Subsidiaries</v>
      </c>
      <c r="N140" s="1262" t="str">
        <f>IFERROR(VLOOKUP(IFERROR(MID($O140,1,FIND("-",$O140)-2),O140),Table3[#All],2,0),0)</f>
        <v>VTB</v>
      </c>
      <c r="O140" s="1264" t="str">
        <f t="shared" si="5"/>
        <v>VIETINBANK - TIEN SON</v>
      </c>
      <c r="P140" s="1259"/>
      <c r="Q140" s="1262"/>
      <c r="R140" s="1262"/>
      <c r="S140" s="1265" t="str">
        <f>IF(ISBLANK(Table1218[[#This Row],[Maturity date]]),"","W"&amp;MIN(WEEKNUM($K140+1,2)-WEEKNUM(EOMONTH($K140+1,-1)),4)&amp;TEXT($K140+1,"mmmyy"))</f>
        <v>W-48Jan26</v>
      </c>
      <c r="T140" s="1266">
        <f>Table1218[[#This Row],[CLOSING BALANCE 
(VND)]]/1000000000</f>
        <v>22</v>
      </c>
      <c r="U14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40" s="1114">
        <f>_xlfn.NUMBERVALUE(LEFT(Table1218[[#This Row],[Term (months)]],1))</f>
        <v>1</v>
      </c>
      <c r="W140" s="1112">
        <v>1</v>
      </c>
      <c r="X140" s="1115">
        <f>Table1218[[#This Row],[Column3]]-Table1218[[#This Row],[Per bank statement]]</f>
        <v>0</v>
      </c>
      <c r="Y140" s="1117">
        <v>4.2999999999999997E-2</v>
      </c>
      <c r="Z140" s="1118">
        <f>Table1218[[#This Row],[Interest rate]]-Table1218[[#This Row],[Per bank statement2]]</f>
        <v>4.500000000000004E-3</v>
      </c>
      <c r="AA140" s="1112" t="e">
        <v>#N/A</v>
      </c>
      <c r="AB140" s="1112"/>
      <c r="AC140" s="1112"/>
    </row>
    <row r="141" spans="1:29">
      <c r="A141" s="919" t="str">
        <f>IFERROR(VLOOKUP($C141,Table2[#All],3,0),0)</f>
        <v>THUAN THANH 3B</v>
      </c>
      <c r="B141" s="1260" t="str">
        <f>_xlfn.XLOOKUP(Table1218[[#This Row],[ACCOUNT NUMBER]],Table2[Account No.],Table2[BRANCH],"recheck",0)</f>
        <v>VIETCOMBANK - BA DINH</v>
      </c>
      <c r="C141" s="1261" t="s">
        <v>1339</v>
      </c>
      <c r="D141" s="1262" t="str">
        <f>_xlfn.XLOOKUP(Table1218[[#This Row],[ACCOUNT NUMBER]],Table2[Account No.],Table2[ACCOUNT TYPE],"recheck",0)</f>
        <v>Saving Account</v>
      </c>
      <c r="E141" s="1267" t="s">
        <v>80</v>
      </c>
      <c r="F141" s="926">
        <f>SUMIFS(Table11[CLOSING BALANCE (VND)2],Table11[ACCOUNT NUMBER],Table1218[[#This Row],[ACCOUNT NUMBER]],Table11[CURRENCY],Table1218[[#This Row],[CURRENCY]])</f>
        <v>3000000000</v>
      </c>
      <c r="G141" s="1263"/>
      <c r="H141" s="1267" t="s">
        <v>221</v>
      </c>
      <c r="I141" s="1267"/>
      <c r="J141" s="1267"/>
      <c r="K141" s="1268">
        <v>46055</v>
      </c>
      <c r="L141" s="1259">
        <v>4.7500000000000001E-2</v>
      </c>
      <c r="M141" s="1262" t="str">
        <f>VLOOKUP($A141,Table1[[#All],[Entities]:[Name]],MATCH(M$3,Table1[[#Headers],[Entities]:[Name]],0),0)</f>
        <v>Subsidiaries</v>
      </c>
      <c r="N141" s="1262" t="str">
        <f>IFERROR(VLOOKUP(IFERROR(MID($O141,1,FIND("-",$O141)-2),O141),Table3[#All],2,0),0)</f>
        <v>VCB</v>
      </c>
      <c r="O141" s="1264" t="str">
        <f t="shared" si="5"/>
        <v>VIETCOMBANK - BA DINH</v>
      </c>
      <c r="P141" s="1259"/>
      <c r="Q141" s="1262"/>
      <c r="R141" s="1262"/>
      <c r="S141" s="1265" t="str">
        <f>IF(ISBLANK(Table1218[[#This Row],[Maturity date]]),"","W"&amp;MIN(WEEKNUM($K141+1,2)-WEEKNUM(EOMONTH($K141+1,-1)),4)&amp;TEXT($K141+1,"mmmyy"))</f>
        <v>W1Feb26</v>
      </c>
      <c r="T141" s="1266">
        <f>Table1218[[#This Row],[CLOSING BALANCE 
(VND)]]/1000000000</f>
        <v>3</v>
      </c>
      <c r="U14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41" s="1114">
        <f>_xlfn.NUMBERVALUE(LEFT(Table1218[[#This Row],[Term (months)]],1))</f>
        <v>3</v>
      </c>
      <c r="W141" s="1115">
        <v>3</v>
      </c>
      <c r="X141" s="1115">
        <f>Table1218[[#This Row],[Column3]]-Table1218[[#This Row],[Per bank statement]]</f>
        <v>0</v>
      </c>
      <c r="Y141" s="1117">
        <v>4.4999999999999998E-2</v>
      </c>
      <c r="Z141" s="1119">
        <f>Table1218[[#This Row],[Interest rate]]-Table1218[[#This Row],[Per bank statement2]]</f>
        <v>2.5000000000000022E-3</v>
      </c>
      <c r="AA141" s="1112"/>
      <c r="AB141" s="1112"/>
      <c r="AC141" s="1112"/>
    </row>
    <row r="142" spans="1:29">
      <c r="A142" s="919" t="str">
        <f>IFERROR(VLOOKUP($C142,Table2[#All],3,0),0)</f>
        <v>BW NAM HAI</v>
      </c>
      <c r="B142" s="1260" t="str">
        <f>_xlfn.XLOOKUP(Table1218[[#This Row],[ACCOUNT NUMBER]],Table2[Account No.],Table2[BRANCH],"recheck",0)</f>
        <v>VIETCOMBANK - BA DINH</v>
      </c>
      <c r="C142" s="1261" t="s">
        <v>1341</v>
      </c>
      <c r="D142" s="1262" t="str">
        <f>_xlfn.XLOOKUP(Table1218[[#This Row],[ACCOUNT NUMBER]],Table2[Account No.],Table2[ACCOUNT TYPE],"recheck",0)</f>
        <v>Saving Account</v>
      </c>
      <c r="E142" s="1267" t="s">
        <v>80</v>
      </c>
      <c r="F142" s="926">
        <f>SUMIFS(Table11[CLOSING BALANCE (VND)2],Table11[ACCOUNT NUMBER],Table1218[[#This Row],[ACCOUNT NUMBER]],Table11[CURRENCY],Table1218[[#This Row],[CURRENCY]])</f>
        <v>2300000000</v>
      </c>
      <c r="G142" s="1263"/>
      <c r="H142" s="1267" t="s">
        <v>219</v>
      </c>
      <c r="I142" s="1267"/>
      <c r="J142" s="1267"/>
      <c r="K142" s="1268">
        <v>46048</v>
      </c>
      <c r="L142" s="1259">
        <v>4.7500000000000001E-2</v>
      </c>
      <c r="M142" s="1262" t="str">
        <f>VLOOKUP($A142,Table1[[#All],[Entities]:[Name]],MATCH(M$3,Table1[[#Headers],[Entities]:[Name]],0),0)</f>
        <v>Subsidiaries</v>
      </c>
      <c r="N142" s="1262" t="str">
        <f>IFERROR(VLOOKUP(IFERROR(MID($O142,1,FIND("-",$O142)-2),O142),Table3[#All],2,0),0)</f>
        <v>VCB</v>
      </c>
      <c r="O142" s="1264" t="str">
        <f t="shared" si="5"/>
        <v>VIETCOMBANK - BA DINH</v>
      </c>
      <c r="P142" s="1259"/>
      <c r="Q142" s="1262"/>
      <c r="R142" s="1262"/>
      <c r="S142" s="1265" t="str">
        <f>IF(ISBLANK(Table1218[[#This Row],[Maturity date]]),"","W"&amp;MIN(WEEKNUM($K142+1,2)-WEEKNUM(EOMONTH($K142+1,-1)),4)&amp;TEXT($K142+1,"mmmyy"))</f>
        <v>W-48Jan26</v>
      </c>
      <c r="T142" s="1266">
        <f>Table1218[[#This Row],[CLOSING BALANCE 
(VND)]]/1000000000</f>
        <v>2.2999999999999998</v>
      </c>
      <c r="U14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42" s="1114">
        <f>_xlfn.NUMBERVALUE(LEFT(Table1218[[#This Row],[Term (months)]],1))</f>
        <v>1</v>
      </c>
      <c r="W142" s="1112">
        <v>1</v>
      </c>
      <c r="X142" s="1115">
        <f>Table1218[[#This Row],[Column3]]-Table1218[[#This Row],[Per bank statement]]</f>
        <v>0</v>
      </c>
      <c r="Y142" s="1117">
        <v>4.4999999999999998E-2</v>
      </c>
      <c r="Z142" s="1119">
        <f>Table1218[[#This Row],[Interest rate]]-Table1218[[#This Row],[Per bank statement2]]</f>
        <v>2.5000000000000022E-3</v>
      </c>
      <c r="AA142" s="1112"/>
      <c r="AB142" s="1112"/>
      <c r="AC142" s="1112"/>
    </row>
    <row r="143" spans="1:29">
      <c r="A143" s="919" t="str">
        <f>IFERROR(VLOOKUP($C143,Table2[#All],3,0),0)</f>
        <v>BAC TIEN PHONG</v>
      </c>
      <c r="B143" s="1260" t="str">
        <f>_xlfn.XLOOKUP(Table1218[[#This Row],[ACCOUNT NUMBER]],Table2[Account No.],Table2[BRANCH],"recheck",0)</f>
        <v>BIDV - THANH XUAN</v>
      </c>
      <c r="C143" s="1261" t="s">
        <v>1353</v>
      </c>
      <c r="D143" s="1262" t="str">
        <f>_xlfn.XLOOKUP(Table1218[[#This Row],[ACCOUNT NUMBER]],Table2[Account No.],Table2[ACCOUNT TYPE],"recheck",0)</f>
        <v>Saving Account</v>
      </c>
      <c r="E143" s="1267" t="s">
        <v>80</v>
      </c>
      <c r="F143" s="926">
        <f>SUMIFS(Table11[CLOSING BALANCE (VND)2],Table11[ACCOUNT NUMBER],Table1218[[#This Row],[ACCOUNT NUMBER]],Table11[CURRENCY],Table1218[[#This Row],[CURRENCY]])</f>
        <v>3000000000</v>
      </c>
      <c r="G143" s="1263"/>
      <c r="H143" s="1267" t="s">
        <v>221</v>
      </c>
      <c r="I143" s="1267"/>
      <c r="J143" s="1267"/>
      <c r="K143" s="1268">
        <v>46053</v>
      </c>
      <c r="L143" s="1259">
        <v>4.7500000000000001E-2</v>
      </c>
      <c r="M143" s="1262" t="str">
        <f>VLOOKUP($A143,Table1[[#All],[Entities]:[Name]],MATCH(M$3,Table1[[#Headers],[Entities]:[Name]],0),0)</f>
        <v>Subsidiaries</v>
      </c>
      <c r="N143" s="1262" t="str">
        <f>IFERROR(VLOOKUP(IFERROR(MID($O143,1,FIND("-",$O143)-2),O143),Table3[#All],2,0),0)</f>
        <v>BIDV</v>
      </c>
      <c r="O143" s="1264" t="str">
        <f t="shared" si="5"/>
        <v>BIDV - THANH XUAN</v>
      </c>
      <c r="P143" s="1259"/>
      <c r="Q143" s="1262"/>
      <c r="R143" s="1262"/>
      <c r="S143" s="1265" t="str">
        <f>IF(ISBLANK(Table1218[[#This Row],[Maturity date]]),"","W"&amp;MIN(WEEKNUM($K143+1,2)-WEEKNUM(EOMONTH($K143+1,-1)),4)&amp;TEXT($K143+1,"mmmyy"))</f>
        <v>W0Feb26</v>
      </c>
      <c r="T143" s="1266">
        <f>Table1218[[#This Row],[CLOSING BALANCE 
(VND)]]/1000000000</f>
        <v>3</v>
      </c>
      <c r="U14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43" s="1114">
        <f>_xlfn.NUMBERVALUE(LEFT(Table1218[[#This Row],[Term (months)]],1))</f>
        <v>3</v>
      </c>
      <c r="W143" s="1112">
        <v>3</v>
      </c>
      <c r="X143" s="1115">
        <f>Table1218[[#This Row],[Column3]]-Table1218[[#This Row],[Per bank statement]]</f>
        <v>0</v>
      </c>
      <c r="Y143" s="1117">
        <v>4.4999999999999998E-2</v>
      </c>
      <c r="Z143" s="1118">
        <f>Table1218[[#This Row],[Interest rate]]-Table1218[[#This Row],[Per bank statement2]]</f>
        <v>2.5000000000000022E-3</v>
      </c>
      <c r="AA143" s="1112" t="s">
        <v>1550</v>
      </c>
      <c r="AB143" s="1112"/>
      <c r="AC143" s="1112"/>
    </row>
    <row r="144" spans="1:29">
      <c r="A144" s="919" t="str">
        <f>IFERROR(VLOOKUP($C144,Table2[#All],3,0),0)</f>
        <v>NDV PROJECT CO</v>
      </c>
      <c r="B144" s="1260" t="str">
        <f>_xlfn.XLOOKUP(Table1218[[#This Row],[ACCOUNT NUMBER]],Table2[Account No.],Table2[BRANCH],"recheck",0)</f>
        <v>BIDV - THANH XUAN</v>
      </c>
      <c r="C144" s="1261" t="s">
        <v>1354</v>
      </c>
      <c r="D144" s="1262" t="str">
        <f>_xlfn.XLOOKUP(Table1218[[#This Row],[ACCOUNT NUMBER]],Table2[Account No.],Table2[ACCOUNT TYPE],"recheck",0)</f>
        <v>Saving Account</v>
      </c>
      <c r="E144" s="1267" t="s">
        <v>80</v>
      </c>
      <c r="F144" s="926">
        <f>SUMIFS(Table11[CLOSING BALANCE (VND)2],Table11[ACCOUNT NUMBER],Table1218[[#This Row],[ACCOUNT NUMBER]],Table11[CURRENCY],Table1218[[#This Row],[CURRENCY]])</f>
        <v>11000000000</v>
      </c>
      <c r="G144" s="1263"/>
      <c r="H144" s="1267" t="s">
        <v>221</v>
      </c>
      <c r="I144" s="1267"/>
      <c r="J144" s="1267"/>
      <c r="K144" s="1268">
        <v>46045</v>
      </c>
      <c r="L144" s="1259">
        <v>4.4999999999999998E-2</v>
      </c>
      <c r="M144" s="1262" t="str">
        <f>VLOOKUP($A144,Table1[[#All],[Entities]:[Name]],MATCH(M$3,Table1[[#Headers],[Entities]:[Name]],0),0)</f>
        <v>Subsidiaries</v>
      </c>
      <c r="N144" s="1262" t="str">
        <f>IFERROR(VLOOKUP(IFERROR(MID($O144,1,FIND("-",$O144)-2),O144),Table3[#All],2,0),0)</f>
        <v>BIDV</v>
      </c>
      <c r="O144" s="1264" t="str">
        <f t="shared" si="5"/>
        <v>BIDV - THANH XUAN</v>
      </c>
      <c r="P144" s="1259"/>
      <c r="Q144" s="1262"/>
      <c r="R144" s="1262"/>
      <c r="S144" s="1265" t="str">
        <f>IF(ISBLANK(Table1218[[#This Row],[Maturity date]]),"","W"&amp;MIN(WEEKNUM($K144+1,2)-WEEKNUM(EOMONTH($K144+1,-1)),4)&amp;TEXT($K144+1,"mmmyy"))</f>
        <v>W-49Jan26</v>
      </c>
      <c r="T144" s="1266">
        <f>Table1218[[#This Row],[CLOSING BALANCE 
(VND)]]/1000000000</f>
        <v>11</v>
      </c>
      <c r="U14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44" s="1114">
        <f>_xlfn.NUMBERVALUE(LEFT(Table1218[[#This Row],[Term (months)]],1))</f>
        <v>3</v>
      </c>
      <c r="W144" s="1115">
        <v>3</v>
      </c>
      <c r="X144" s="1115">
        <f>Table1218[[#This Row],[Column3]]-Table1218[[#This Row],[Per bank statement]]</f>
        <v>0</v>
      </c>
      <c r="Y144" s="1117">
        <v>4.4999999999999998E-2</v>
      </c>
      <c r="Z144" s="1118">
        <f>Table1218[[#This Row],[Interest rate]]-Table1218[[#This Row],[Per bank statement2]]</f>
        <v>0</v>
      </c>
      <c r="AA144" s="1131">
        <v>4.4999999999999998E-2</v>
      </c>
      <c r="AB144" s="1112"/>
      <c r="AC144" s="1112"/>
    </row>
    <row r="145" spans="1:29">
      <c r="A145" s="919" t="str">
        <f>IFERROR(VLOOKUP($C145,Table2[#All],3,0),0)</f>
        <v>THUAN THANH 3B</v>
      </c>
      <c r="B145" s="1260" t="str">
        <f>_xlfn.XLOOKUP(Table1218[[#This Row],[ACCOUNT NUMBER]],Table2[Account No.],Table2[BRANCH],"recheck",0)</f>
        <v>VIETCOMBANK - BA DINH</v>
      </c>
      <c r="C145" s="1261" t="s">
        <v>1356</v>
      </c>
      <c r="D145" s="1262" t="str">
        <f>_xlfn.XLOOKUP(Table1218[[#This Row],[ACCOUNT NUMBER]],Table2[Account No.],Table2[ACCOUNT TYPE],"recheck",0)</f>
        <v>Saving Account</v>
      </c>
      <c r="E145" s="1267" t="s">
        <v>80</v>
      </c>
      <c r="F145" s="926">
        <f>SUMIFS(Table11[CLOSING BALANCE (VND)2],Table11[ACCOUNT NUMBER],Table1218[[#This Row],[ACCOUNT NUMBER]],Table11[CURRENCY],Table1218[[#This Row],[CURRENCY]])</f>
        <v>1500000000</v>
      </c>
      <c r="G145" s="1263"/>
      <c r="H145" s="1267" t="s">
        <v>221</v>
      </c>
      <c r="I145" s="1267"/>
      <c r="J145" s="1267"/>
      <c r="K145" s="1268">
        <v>46358</v>
      </c>
      <c r="L145" s="1259">
        <v>4.7500000000000001E-2</v>
      </c>
      <c r="M145" s="1262" t="str">
        <f>VLOOKUP($A145,Table1[[#All],[Entities]:[Name]],MATCH(M$3,Table1[[#Headers],[Entities]:[Name]],0),0)</f>
        <v>Subsidiaries</v>
      </c>
      <c r="N145" s="1262" t="str">
        <f>IFERROR(VLOOKUP(IFERROR(MID($O145,1,FIND("-",$O145)-2),O145),Table3[#All],2,0),0)</f>
        <v>VCB</v>
      </c>
      <c r="O145" s="1264" t="str">
        <f t="shared" si="5"/>
        <v>VIETCOMBANK - BA DINH</v>
      </c>
      <c r="P145" s="1259"/>
      <c r="Q145" s="1262"/>
      <c r="R145" s="1262"/>
      <c r="S145" s="1265" t="str">
        <f>IF(ISBLANK(Table1218[[#This Row],[Maturity date]]),"","W"&amp;MIN(WEEKNUM($K145+1,2)-WEEKNUM(EOMONTH($K145+1,-1)),4)&amp;TEXT($K145+1,"mmmyy"))</f>
        <v>W0Dec26</v>
      </c>
      <c r="T145" s="1266">
        <f>Table1218[[#This Row],[CLOSING BALANCE 
(VND)]]/1000000000</f>
        <v>1.5</v>
      </c>
      <c r="U14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11 months</v>
      </c>
      <c r="V145" s="1114">
        <f>_xlfn.NUMBERVALUE(LEFT(Table1218[[#This Row],[Term (months)]],1))</f>
        <v>3</v>
      </c>
      <c r="W145" s="1115">
        <v>3</v>
      </c>
      <c r="X145" s="1115">
        <f>Table1218[[#This Row],[Column3]]-Table1218[[#This Row],[Per bank statement]]</f>
        <v>0</v>
      </c>
      <c r="Y145" s="1117">
        <v>4.4999999999999998E-2</v>
      </c>
      <c r="Z145" s="1119">
        <f>Table1218[[#This Row],[Interest rate]]-Table1218[[#This Row],[Per bank statement2]]</f>
        <v>2.5000000000000022E-3</v>
      </c>
      <c r="AA145" s="1112"/>
      <c r="AB145" s="1112"/>
      <c r="AC145" s="1112"/>
    </row>
    <row r="146" spans="1:29">
      <c r="A146" s="919" t="str">
        <f>IFERROR(VLOOKUP($C146,Table2[#All],3,0),0)</f>
        <v>BWID HAI DUONG 3</v>
      </c>
      <c r="B146" s="1260" t="str">
        <f>_xlfn.XLOOKUP(Table1218[[#This Row],[ACCOUNT NUMBER]],Table2[Account No.],Table2[BRANCH],"recheck",0)</f>
        <v>BIDV - THANH XUAN</v>
      </c>
      <c r="C146" s="1269" t="s">
        <v>1359</v>
      </c>
      <c r="D146" s="1262" t="str">
        <f>_xlfn.XLOOKUP(Table1218[[#This Row],[ACCOUNT NUMBER]],Table2[Account No.],Table2[ACCOUNT TYPE],"recheck",0)</f>
        <v>Saving Account</v>
      </c>
      <c r="E146" s="1267" t="s">
        <v>80</v>
      </c>
      <c r="F146" s="926">
        <f>SUMIFS(Table11[CLOSING BALANCE (VND)2],Table11[ACCOUNT NUMBER],Table1218[[#This Row],[ACCOUNT NUMBER]],Table11[CURRENCY],Table1218[[#This Row],[CURRENCY]])</f>
        <v>3800000000</v>
      </c>
      <c r="G146" s="1263"/>
      <c r="H146" s="1267" t="s">
        <v>221</v>
      </c>
      <c r="I146" s="1267"/>
      <c r="J146" s="1267"/>
      <c r="K146" s="1268">
        <v>46065</v>
      </c>
      <c r="L146" s="1259">
        <v>4.7500000000000001E-2</v>
      </c>
      <c r="M146" s="1262" t="str">
        <f>VLOOKUP($A146,Table1[[#All],[Entities]:[Name]],MATCH(M$3,Table1[[#Headers],[Entities]:[Name]],0),0)</f>
        <v>Subsidiaries</v>
      </c>
      <c r="N146" s="1262" t="str">
        <f>IFERROR(VLOOKUP(IFERROR(MID($O146,1,FIND("-",$O146)-2),O146),Table3[#All],2,0),0)</f>
        <v>BIDV</v>
      </c>
      <c r="O146" s="1264" t="str">
        <f t="shared" si="5"/>
        <v>BIDV - THANH XUAN</v>
      </c>
      <c r="P146" s="1259"/>
      <c r="Q146" s="1262"/>
      <c r="R146" s="1262"/>
      <c r="S146" s="1265" t="str">
        <f>IF(ISBLANK(Table1218[[#This Row],[Maturity date]]),"","W"&amp;MIN(WEEKNUM($K146+1,2)-WEEKNUM(EOMONTH($K146+1,-1)),4)&amp;TEXT($K146+1,"mmmyy"))</f>
        <v>W2Feb26</v>
      </c>
      <c r="T146" s="1266">
        <f>Table1218[[#This Row],[CLOSING BALANCE 
(VND)]]/1000000000</f>
        <v>3.8</v>
      </c>
      <c r="U14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46" s="1114">
        <f>_xlfn.NUMBERVALUE(LEFT(Table1218[[#This Row],[Term (months)]],1))</f>
        <v>3</v>
      </c>
      <c r="W146" s="1112">
        <v>3</v>
      </c>
      <c r="X146" s="1115">
        <f>Table1218[[#This Row],[Column3]]-Table1218[[#This Row],[Per bank statement]]</f>
        <v>0</v>
      </c>
      <c r="Y146" s="1117">
        <v>4.4999999999999998E-2</v>
      </c>
      <c r="Z146" s="1118">
        <f>Table1218[[#This Row],[Interest rate]]-Table1218[[#This Row],[Per bank statement2]]</f>
        <v>2.5000000000000022E-3</v>
      </c>
      <c r="AA146" s="1112" t="s">
        <v>1550</v>
      </c>
      <c r="AB146" s="1112"/>
      <c r="AC146" s="1112"/>
    </row>
    <row r="147" spans="1:29">
      <c r="A147" s="919" t="str">
        <f>IFERROR(VLOOKUP($C147,Table2[#All],3,0),0)</f>
        <v>XENIA 2</v>
      </c>
      <c r="B147" s="1260" t="str">
        <f>_xlfn.XLOOKUP(Table1218[[#This Row],[ACCOUNT NUMBER]],Table2[Account No.],Table2[BRANCH],"recheck",0)</f>
        <v>VIETINBANK - TIEN SON</v>
      </c>
      <c r="C147" s="1261" t="s">
        <v>1362</v>
      </c>
      <c r="D147" s="1262" t="str">
        <f>_xlfn.XLOOKUP(Table1218[[#This Row],[ACCOUNT NUMBER]],Table2[Account No.],Table2[ACCOUNT TYPE],"recheck",0)</f>
        <v>Saving Account</v>
      </c>
      <c r="E147" s="1267" t="s">
        <v>80</v>
      </c>
      <c r="F147" s="926">
        <f>SUMIFS(Table11[CLOSING BALANCE (VND)2],Table11[ACCOUNT NUMBER],Table1218[[#This Row],[ACCOUNT NUMBER]],Table11[CURRENCY],Table1218[[#This Row],[CURRENCY]])</f>
        <v>12000000000</v>
      </c>
      <c r="G147" s="1263"/>
      <c r="H147" s="1267" t="s">
        <v>219</v>
      </c>
      <c r="I147" s="1267"/>
      <c r="J147" s="1267"/>
      <c r="K147" s="1268">
        <v>46066</v>
      </c>
      <c r="L147" s="927">
        <v>4.7500000000000001E-2</v>
      </c>
      <c r="M147" s="1262" t="str">
        <f>VLOOKUP($A147,Table1[[#All],[Entities]:[Name]],MATCH(M$3,Table1[[#Headers],[Entities]:[Name]],0),0)</f>
        <v>Subsidiaries</v>
      </c>
      <c r="N147" s="1262" t="str">
        <f>IFERROR(VLOOKUP(IFERROR(MID($O147,1,FIND("-",$O147)-2),O147),Table3[#All],2,0),0)</f>
        <v>VTB</v>
      </c>
      <c r="O147" s="1264" t="str">
        <f t="shared" si="5"/>
        <v>VIETINBANK - TIEN SON</v>
      </c>
      <c r="P147" s="1259"/>
      <c r="Q147" s="1262"/>
      <c r="R147" s="1262"/>
      <c r="S147" s="1265" t="str">
        <f>IF(ISBLANK(Table1218[[#This Row],[Maturity date]]),"","W"&amp;MIN(WEEKNUM($K147+1,2)-WEEKNUM(EOMONTH($K147+1,-1)),4)&amp;TEXT($K147+1,"mmmyy"))</f>
        <v>W2Feb26</v>
      </c>
      <c r="T147" s="1266">
        <f>Table1218[[#This Row],[CLOSING BALANCE 
(VND)]]/1000000000</f>
        <v>12</v>
      </c>
      <c r="U14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47" s="1114">
        <f>_xlfn.NUMBERVALUE(LEFT(Table1218[[#This Row],[Term (months)]],1))</f>
        <v>1</v>
      </c>
      <c r="W147" s="1112">
        <v>1</v>
      </c>
      <c r="X147" s="1115">
        <f>Table1218[[#This Row],[Column3]]-Table1218[[#This Row],[Per bank statement]]</f>
        <v>0</v>
      </c>
      <c r="Y147" s="1117">
        <v>4.4999999999999998E-2</v>
      </c>
      <c r="Z147" s="1118">
        <f>Table1218[[#This Row],[Interest rate]]-Table1218[[#This Row],[Per bank statement2]]</f>
        <v>2.5000000000000022E-3</v>
      </c>
      <c r="AA147" s="1112" t="e">
        <v>#N/A</v>
      </c>
      <c r="AB147" s="1112"/>
      <c r="AC147" s="1112"/>
    </row>
    <row r="148" spans="1:29">
      <c r="A148" s="919" t="str">
        <f>IFERROR(VLOOKUP($C148,Table2[#All],3,0),0)</f>
        <v>XENIA 1</v>
      </c>
      <c r="B148" s="1260" t="str">
        <f>_xlfn.XLOOKUP(Table1218[[#This Row],[ACCOUNT NUMBER]],Table2[Account No.],Table2[BRANCH],"recheck",0)</f>
        <v>VIETINBANK - TIEN SON</v>
      </c>
      <c r="C148" s="1261" t="s">
        <v>1363</v>
      </c>
      <c r="D148" s="1262" t="str">
        <f>_xlfn.XLOOKUP(Table1218[[#This Row],[ACCOUNT NUMBER]],Table2[Account No.],Table2[ACCOUNT TYPE],"recheck",0)</f>
        <v>Saving Account</v>
      </c>
      <c r="E148" s="1267" t="s">
        <v>80</v>
      </c>
      <c r="F148" s="926">
        <f>SUMIFS(Table11[CLOSING BALANCE (VND)2],Table11[ACCOUNT NUMBER],Table1218[[#This Row],[ACCOUNT NUMBER]],Table11[CURRENCY],Table1218[[#This Row],[CURRENCY]])</f>
        <v>13000000000</v>
      </c>
      <c r="G148" s="1263"/>
      <c r="H148" s="1267" t="s">
        <v>219</v>
      </c>
      <c r="I148" s="1267"/>
      <c r="J148" s="1267"/>
      <c r="K148" s="1268">
        <v>46066</v>
      </c>
      <c r="L148" s="927">
        <v>4.7500000000000001E-2</v>
      </c>
      <c r="M148" s="1262" t="str">
        <f>VLOOKUP($A148,Table1[[#All],[Entities]:[Name]],MATCH(M$3,Table1[[#Headers],[Entities]:[Name]],0),0)</f>
        <v>Subsidiaries</v>
      </c>
      <c r="N148" s="1262" t="str">
        <f>IFERROR(VLOOKUP(IFERROR(MID($O148,1,FIND("-",$O148)-2),O148),Table3[#All],2,0),0)</f>
        <v>VTB</v>
      </c>
      <c r="O148" s="1264" t="str">
        <f t="shared" si="5"/>
        <v>VIETINBANK - TIEN SON</v>
      </c>
      <c r="P148" s="1259"/>
      <c r="Q148" s="1262"/>
      <c r="R148" s="1262"/>
      <c r="S148" s="1265" t="str">
        <f>IF(ISBLANK(Table1218[[#This Row],[Maturity date]]),"","W"&amp;MIN(WEEKNUM($K148+1,2)-WEEKNUM(EOMONTH($K148+1,-1)),4)&amp;TEXT($K148+1,"mmmyy"))</f>
        <v>W2Feb26</v>
      </c>
      <c r="T148" s="1266">
        <f>Table1218[[#This Row],[CLOSING BALANCE 
(VND)]]/1000000000</f>
        <v>13</v>
      </c>
      <c r="U14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48" s="1114">
        <f>_xlfn.NUMBERVALUE(LEFT(Table1218[[#This Row],[Term (months)]],1))</f>
        <v>1</v>
      </c>
      <c r="W148" s="1112">
        <v>1</v>
      </c>
      <c r="X148" s="1115">
        <f>Table1218[[#This Row],[Column3]]-Table1218[[#This Row],[Per bank statement]]</f>
        <v>0</v>
      </c>
      <c r="Y148" s="1117">
        <v>4.4999999999999998E-2</v>
      </c>
      <c r="Z148" s="1118">
        <f>Table1218[[#This Row],[Interest rate]]-Table1218[[#This Row],[Per bank statement2]]</f>
        <v>2.5000000000000022E-3</v>
      </c>
      <c r="AA148" s="1112" t="e">
        <v>#N/A</v>
      </c>
      <c r="AB148" s="1112"/>
      <c r="AC148" s="1112"/>
    </row>
    <row r="149" spans="1:29">
      <c r="A149" s="919" t="str">
        <f>IFERROR(VLOOKUP($C149,Table2[#All],3,0),0)</f>
        <v>BW MY PHUOC 3</v>
      </c>
      <c r="B149" s="1260" t="str">
        <f>_xlfn.XLOOKUP(Table1218[[#This Row],[ACCOUNT NUMBER]],Table2[Account No.],Table2[BRANCH],"recheck",0)</f>
        <v>Woori Bank</v>
      </c>
      <c r="C149" s="1261" t="s">
        <v>1369</v>
      </c>
      <c r="D149" s="1262" t="str">
        <f>_xlfn.XLOOKUP(Table1218[[#This Row],[ACCOUNT NUMBER]],Table2[Account No.],Table2[ACCOUNT TYPE],"recheck",0)</f>
        <v>Saving Account</v>
      </c>
      <c r="E149" s="1267" t="s">
        <v>80</v>
      </c>
      <c r="F149" s="926">
        <f>SUMIFS(Table11[CLOSING BALANCE (VND)2],Table11[ACCOUNT NUMBER],Table1218[[#This Row],[ACCOUNT NUMBER]],Table11[CURRENCY],Table1218[[#This Row],[CURRENCY]])</f>
        <v>17000000000</v>
      </c>
      <c r="G149" s="1263"/>
      <c r="H149" s="1267" t="s">
        <v>219</v>
      </c>
      <c r="I149" s="1267"/>
      <c r="J149" s="1267"/>
      <c r="K149" s="1268">
        <v>46048</v>
      </c>
      <c r="L149" s="1290">
        <v>2.4E-2</v>
      </c>
      <c r="M149" s="1262" t="str">
        <f>VLOOKUP($A149,Table1[[#All],[Entities]:[Name]],MATCH(M$3,Table1[[#Headers],[Entities]:[Name]],0),0)</f>
        <v>Subsidiaries</v>
      </c>
      <c r="N149" s="1262" t="str">
        <f>IFERROR(VLOOKUP(IFERROR(MID($O149,1,FIND("-",$O149)-2),O149),Table3[#All],2,0),0)</f>
        <v>Woori Bank</v>
      </c>
      <c r="O149" s="1264" t="str">
        <f t="shared" si="5"/>
        <v>Woori Bank</v>
      </c>
      <c r="P149" s="1259"/>
      <c r="Q149" s="1262"/>
      <c r="R149" s="1262"/>
      <c r="S149" s="1265" t="str">
        <f>IF(ISBLANK(Table1218[[#This Row],[Maturity date]]),"","W"&amp;MIN(WEEKNUM($K149+1,2)-WEEKNUM(EOMONTH($K149+1,-1)),4)&amp;TEXT($K149+1,"mmmyy"))</f>
        <v>W-48Jan26</v>
      </c>
      <c r="T149" s="1266">
        <f>Table1218[[#This Row],[CLOSING BALANCE 
(VND)]]/1000000000</f>
        <v>17</v>
      </c>
      <c r="U14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49" s="1114"/>
      <c r="W149" s="1112"/>
      <c r="X149" s="1115"/>
      <c r="Y149" s="1112"/>
      <c r="Z149" s="1118"/>
      <c r="AA149" s="1112"/>
      <c r="AB149" s="1112"/>
      <c r="AC149" s="1112"/>
    </row>
    <row r="150" spans="1:29">
      <c r="A150" s="919" t="str">
        <f>IFERROR(VLOOKUP($C150,Table2[#All],3,0),0)</f>
        <v>THUAN THANH 3B</v>
      </c>
      <c r="B150" s="1260" t="str">
        <f>_xlfn.XLOOKUP(Table1218[[#This Row],[ACCOUNT NUMBER]],Table2[Account No.],Table2[BRANCH],"recheck",0)</f>
        <v>VIETCOMBANK - BA DINH</v>
      </c>
      <c r="C150" s="1261" t="s">
        <v>1370</v>
      </c>
      <c r="D150" s="1262" t="str">
        <f>_xlfn.XLOOKUP(Table1218[[#This Row],[ACCOUNT NUMBER]],Table2[Account No.],Table2[ACCOUNT TYPE],"recheck",0)</f>
        <v>Saving Account</v>
      </c>
      <c r="E150" s="1267" t="s">
        <v>80</v>
      </c>
      <c r="F150" s="926">
        <f>SUMIFS(Table11[CLOSING BALANCE (VND)2],Table11[ACCOUNT NUMBER],Table1218[[#This Row],[ACCOUNT NUMBER]],Table11[CURRENCY],Table1218[[#This Row],[CURRENCY]])</f>
        <v>6000000000</v>
      </c>
      <c r="G150" s="1263"/>
      <c r="H150" s="1267" t="s">
        <v>223</v>
      </c>
      <c r="I150" s="1267"/>
      <c r="J150" s="1267"/>
      <c r="K150" s="1268">
        <v>46048</v>
      </c>
      <c r="L150" s="1259">
        <v>4.4999999999999998E-2</v>
      </c>
      <c r="M150" s="1262" t="str">
        <f>VLOOKUP($A150,Table1[[#All],[Entities]:[Name]],MATCH(M$3,Table1[[#Headers],[Entities]:[Name]],0),0)</f>
        <v>Subsidiaries</v>
      </c>
      <c r="N150" s="1262" t="str">
        <f>IFERROR(VLOOKUP(IFERROR(MID($O150,1,FIND("-",$O150)-2),O150),Table3[#All],2,0),0)</f>
        <v>VCB</v>
      </c>
      <c r="O150" s="1264" t="str">
        <f t="shared" si="5"/>
        <v>VIETCOMBANK - BA DINH</v>
      </c>
      <c r="P150" s="1259"/>
      <c r="Q150" s="1262"/>
      <c r="R150" s="1262"/>
      <c r="S150" s="1265" t="str">
        <f>IF(ISBLANK(Table1218[[#This Row],[Maturity date]]),"","W"&amp;MIN(WEEKNUM($K150+1,2)-WEEKNUM(EOMONTH($K150+1,-1)),4)&amp;TEXT($K150+1,"mmmyy"))</f>
        <v>W-48Jan26</v>
      </c>
      <c r="T150" s="1266">
        <f>Table1218[[#This Row],[CLOSING BALANCE 
(VND)]]/1000000000</f>
        <v>6</v>
      </c>
      <c r="U15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50" s="1114">
        <f>_xlfn.NUMBERVALUE(LEFT(Table1218[[#This Row],[Term (months)]],1))</f>
        <v>5</v>
      </c>
      <c r="W150" s="1115">
        <v>5</v>
      </c>
      <c r="X150" s="1115">
        <f>Table1218[[#This Row],[Column3]]-Table1218[[#This Row],[Per bank statement]]</f>
        <v>0</v>
      </c>
      <c r="Y150" s="1117">
        <v>4.4999999999999998E-2</v>
      </c>
      <c r="Z150" s="1119">
        <f>Table1218[[#This Row],[Interest rate]]-Table1218[[#This Row],[Per bank statement2]]</f>
        <v>0</v>
      </c>
      <c r="AA150" s="1112"/>
      <c r="AB150" s="1112"/>
      <c r="AC150" s="1112"/>
    </row>
    <row r="151" spans="1:29">
      <c r="A151" s="919" t="str">
        <f>IFERROR(VLOOKUP($C151,Table2[#All],3,0),0)</f>
        <v>BWID THOI HOA 2</v>
      </c>
      <c r="B151" s="1260" t="str">
        <f>_xlfn.XLOOKUP(Table1218[[#This Row],[ACCOUNT NUMBER]],Table2[Account No.],Table2[BRANCH],"recheck",0)</f>
        <v>KBank - HCM</v>
      </c>
      <c r="C151" s="1261" t="s">
        <v>1371</v>
      </c>
      <c r="D151" s="1262" t="str">
        <f>_xlfn.XLOOKUP(Table1218[[#This Row],[ACCOUNT NUMBER]],Table2[Account No.],Table2[ACCOUNT TYPE],"recheck",0)</f>
        <v>Saving Account</v>
      </c>
      <c r="E151" s="1267" t="s">
        <v>80</v>
      </c>
      <c r="F151" s="926">
        <f>SUMIFS(Table11[CLOSING BALANCE (VND)2],Table11[ACCOUNT NUMBER],Table1218[[#This Row],[ACCOUNT NUMBER]],Table11[CURRENCY],Table1218[[#This Row],[CURRENCY]])</f>
        <v>12000000000</v>
      </c>
      <c r="G151" s="1263"/>
      <c r="H151" s="1267" t="s">
        <v>221</v>
      </c>
      <c r="I151" s="1267"/>
      <c r="J151" s="1267"/>
      <c r="K151" s="1268">
        <v>46071</v>
      </c>
      <c r="L151" s="1259">
        <v>4.7500000000000001E-2</v>
      </c>
      <c r="M151" s="1262" t="str">
        <f>VLOOKUP($A151,Table1[[#All],[Entities]:[Name]],MATCH(M$3,Table1[[#Headers],[Entities]:[Name]],0),0)</f>
        <v>Subsidiaries</v>
      </c>
      <c r="N151" s="1262" t="str">
        <f>IFERROR(VLOOKUP(IFERROR(MID($O151,1,FIND("-",$O151)-2),O151),Table3[#All],2,0),0)</f>
        <v>KBANK</v>
      </c>
      <c r="O151" s="1264" t="str">
        <f t="shared" ref="O151:O157" si="6">B151</f>
        <v>KBank - HCM</v>
      </c>
      <c r="P151" s="1259"/>
      <c r="Q151" s="1262"/>
      <c r="R151" s="1262"/>
      <c r="S151" s="1265" t="str">
        <f>IF(ISBLANK(Table1218[[#This Row],[Maturity date]]),"","W"&amp;MIN(WEEKNUM($K151+1,2)-WEEKNUM(EOMONTH($K151+1,-1)),4)&amp;TEXT($K151+1,"mmmyy"))</f>
        <v>W3Feb26</v>
      </c>
      <c r="T151" s="1266">
        <f>Table1218[[#This Row],[CLOSING BALANCE 
(VND)]]/1000000000</f>
        <v>12</v>
      </c>
      <c r="U15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51" s="1114"/>
      <c r="W151" s="1112"/>
      <c r="X151" s="1115"/>
      <c r="Y151" s="1112"/>
      <c r="Z151" s="1118"/>
      <c r="AA151" s="1112"/>
      <c r="AB151" s="1112"/>
      <c r="AC151" s="1112"/>
    </row>
    <row r="152" spans="1:29">
      <c r="A152" s="920" t="str">
        <f>IFERROR(VLOOKUP($C152,Table2[#All],3,0),0)</f>
        <v>WINLOCK 2A</v>
      </c>
      <c r="B152" s="921" t="str">
        <f>_xlfn.XLOOKUP(Table1218[[#This Row],[ACCOUNT NUMBER]],Table2[Account No.],Table2[BRANCH],"recheck",0)</f>
        <v>VIETINBANK - TIEN SON</v>
      </c>
      <c r="C152" s="1144" t="s">
        <v>1374</v>
      </c>
      <c r="D152" s="922" t="str">
        <f>_xlfn.XLOOKUP(Table1218[[#This Row],[ACCOUNT NUMBER]],Table2[Account No.],Table2[ACCOUNT TYPE],"recheck",0)</f>
        <v>Saving Account</v>
      </c>
      <c r="E152" s="1267" t="s">
        <v>80</v>
      </c>
      <c r="F152" s="926">
        <f>SUMIFS(Table11[CLOSING BALANCE (VND)2],Table11[ACCOUNT NUMBER],Table1218[[#This Row],[ACCOUNT NUMBER]],Table11[CURRENCY],Table1218[[#This Row],[CURRENCY]])</f>
        <v>16000000000</v>
      </c>
      <c r="G152" s="926"/>
      <c r="H152" s="1129" t="s">
        <v>219</v>
      </c>
      <c r="I152" s="1267"/>
      <c r="J152" s="1267"/>
      <c r="K152" s="1130">
        <v>46051</v>
      </c>
      <c r="L152" s="1259">
        <v>4.7500000000000001E-2</v>
      </c>
      <c r="M152" s="922" t="str">
        <f>VLOOKUP($A152,Table1[[#All],[Entities]:[Name]],MATCH(M$3,Table1[[#Headers],[Entities]:[Name]],0),0)</f>
        <v>Subsidiaries</v>
      </c>
      <c r="N152" s="922" t="str">
        <f>IFERROR(VLOOKUP(IFERROR(MID($O152,1,FIND("-",$O152)-2),O152),Table3[#All],2,0),0)</f>
        <v>VTB</v>
      </c>
      <c r="O152" s="923" t="str">
        <f t="shared" si="6"/>
        <v>VIETINBANK - TIEN SON</v>
      </c>
      <c r="P152" s="927"/>
      <c r="Q152" s="922"/>
      <c r="R152" s="922"/>
      <c r="S152" s="924" t="str">
        <f>IF(ISBLANK(Table1218[[#This Row],[Maturity date]]),"","W"&amp;MIN(WEEKNUM($K152+1,2)-WEEKNUM(EOMONTH($K152+1,-1)),4)&amp;TEXT($K152+1,"mmmyy"))</f>
        <v>W-48Jan26</v>
      </c>
      <c r="T152" s="925">
        <f>Table1218[[#This Row],[CLOSING BALANCE 
(VND)]]/1000000000</f>
        <v>16</v>
      </c>
      <c r="U15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52" s="1114">
        <f>_xlfn.NUMBERVALUE(LEFT(Table1218[[#This Row],[Term (months)]],1))</f>
        <v>1</v>
      </c>
      <c r="W152" s="1112">
        <v>1</v>
      </c>
      <c r="X152" s="1115">
        <f>Table1218[[#This Row],[Column3]]-Table1218[[#This Row],[Per bank statement]]</f>
        <v>0</v>
      </c>
      <c r="Y152" s="1117">
        <v>4.2999999999999997E-2</v>
      </c>
      <c r="Z152" s="1118">
        <f>Table1218[[#This Row],[Interest rate]]-Table1218[[#This Row],[Per bank statement2]]</f>
        <v>4.500000000000004E-3</v>
      </c>
      <c r="AA152" s="1112" t="e">
        <v>#N/A</v>
      </c>
      <c r="AB152" s="1112"/>
      <c r="AC152" s="1112"/>
    </row>
    <row r="153" spans="1:29">
      <c r="A153" s="919" t="str">
        <f>IFERROR(VLOOKUP($C153,Table2[#All],3,0),0)</f>
        <v>WINLOCK 2A</v>
      </c>
      <c r="B153" s="1260" t="str">
        <f>_xlfn.XLOOKUP(Table1218[[#This Row],[ACCOUNT NUMBER]],Table2[Account No.],Table2[BRANCH],"recheck",0)</f>
        <v>VIETINBANK - TIEN SON</v>
      </c>
      <c r="C153" s="1271" t="s">
        <v>1375</v>
      </c>
      <c r="D153" s="1262" t="str">
        <f>_xlfn.XLOOKUP(Table1218[[#This Row],[ACCOUNT NUMBER]],Table2[Account No.],Table2[ACCOUNT TYPE],"recheck",0)</f>
        <v>Saving Account</v>
      </c>
      <c r="E153" s="1267" t="s">
        <v>80</v>
      </c>
      <c r="F153" s="926">
        <f>SUMIFS(Table11[CLOSING BALANCE (VND)2],Table11[ACCOUNT NUMBER],Table1218[[#This Row],[ACCOUNT NUMBER]],Table11[CURRENCY],Table1218[[#This Row],[CURRENCY]])</f>
        <v>15000000000</v>
      </c>
      <c r="G153" s="1263"/>
      <c r="H153" s="1267" t="s">
        <v>219</v>
      </c>
      <c r="I153" s="1267"/>
      <c r="J153" s="1267"/>
      <c r="K153" s="1130">
        <v>46051</v>
      </c>
      <c r="L153" s="1259">
        <v>4.7500000000000001E-2</v>
      </c>
      <c r="M153" s="1262" t="str">
        <f>VLOOKUP($A153,Table1[[#All],[Entities]:[Name]],MATCH(M$3,Table1[[#Headers],[Entities]:[Name]],0),0)</f>
        <v>Subsidiaries</v>
      </c>
      <c r="N153" s="1262" t="str">
        <f>IFERROR(VLOOKUP(IFERROR(MID($O153,1,FIND("-",$O153)-2),O153),Table3[#All],2,0),0)</f>
        <v>VTB</v>
      </c>
      <c r="O153" s="1264" t="str">
        <f t="shared" si="6"/>
        <v>VIETINBANK - TIEN SON</v>
      </c>
      <c r="P153" s="1259"/>
      <c r="Q153" s="1262"/>
      <c r="R153" s="1262"/>
      <c r="S153" s="1265" t="str">
        <f>IF(ISBLANK(Table1218[[#This Row],[Maturity date]]),"","W"&amp;MIN(WEEKNUM($K153+1,2)-WEEKNUM(EOMONTH($K153+1,-1)),4)&amp;TEXT($K153+1,"mmmyy"))</f>
        <v>W-48Jan26</v>
      </c>
      <c r="T153" s="1266">
        <f>Table1218[[#This Row],[CLOSING BALANCE 
(VND)]]/1000000000</f>
        <v>15</v>
      </c>
      <c r="U15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53" s="1114">
        <f>_xlfn.NUMBERVALUE(LEFT(Table1218[[#This Row],[Term (months)]],1))</f>
        <v>1</v>
      </c>
      <c r="W153" s="1112">
        <v>1</v>
      </c>
      <c r="X153" s="1115">
        <f>Table1218[[#This Row],[Column3]]-Table1218[[#This Row],[Per bank statement]]</f>
        <v>0</v>
      </c>
      <c r="Y153" s="1117">
        <v>4.2999999999999997E-2</v>
      </c>
      <c r="Z153" s="1118">
        <f>Table1218[[#This Row],[Interest rate]]-Table1218[[#This Row],[Per bank statement2]]</f>
        <v>4.500000000000004E-3</v>
      </c>
      <c r="AA153" s="1112" t="e">
        <v>#N/A</v>
      </c>
      <c r="AB153" s="1112"/>
      <c r="AC153" s="1112"/>
    </row>
    <row r="154" spans="1:29">
      <c r="A154" s="919" t="str">
        <f>IFERROR(VLOOKUP($C154,Table2[#All],3,0),0)</f>
        <v>MP3 SOLAR POWER</v>
      </c>
      <c r="B154" s="1260" t="str">
        <f>_xlfn.XLOOKUP(Table1218[[#This Row],[ACCOUNT NUMBER]],Table2[Account No.],Table2[BRANCH],"recheck",0)</f>
        <v>VIETINBANK - DONG SAI GON</v>
      </c>
      <c r="C154" s="1261" t="s">
        <v>1391</v>
      </c>
      <c r="D154" s="1262" t="str">
        <f>_xlfn.XLOOKUP(Table1218[[#This Row],[ACCOUNT NUMBER]],Table2[Account No.],Table2[ACCOUNT TYPE],"recheck",0)</f>
        <v>Saving Account</v>
      </c>
      <c r="E154" s="1267" t="s">
        <v>80</v>
      </c>
      <c r="F154" s="926">
        <f>SUMIFS(Table11[CLOSING BALANCE (VND)2],Table11[ACCOUNT NUMBER],Table1218[[#This Row],[ACCOUNT NUMBER]],Table11[CURRENCY],Table1218[[#This Row],[CURRENCY]])</f>
        <v>1500000000</v>
      </c>
      <c r="G154" s="1263"/>
      <c r="H154" s="1267" t="s">
        <v>221</v>
      </c>
      <c r="I154" s="1267"/>
      <c r="J154" s="1267"/>
      <c r="K154" s="1268">
        <v>46093</v>
      </c>
      <c r="L154" s="1259">
        <v>4.4999999999999998E-2</v>
      </c>
      <c r="M154" s="1262" t="str">
        <f>VLOOKUP($A154,Table1[[#All],[Entities]:[Name]],MATCH(M$3,Table1[[#Headers],[Entities]:[Name]],0),0)</f>
        <v>Subsidiaries</v>
      </c>
      <c r="N154" s="1262" t="str">
        <f>IFERROR(VLOOKUP(IFERROR(MID($O154,1,FIND("-",$O154)-2),O154),Table3[#All],2,0),0)</f>
        <v>VTB</v>
      </c>
      <c r="O154" s="1264" t="str">
        <f t="shared" si="6"/>
        <v>VIETINBANK - DONG SAI GON</v>
      </c>
      <c r="P154" s="1259"/>
      <c r="Q154" s="1262"/>
      <c r="R154" s="1262"/>
      <c r="S154" s="1265" t="str">
        <f>IF(ISBLANK(Table1218[[#This Row],[Maturity date]]),"","W"&amp;MIN(WEEKNUM($K154+1,2)-WEEKNUM(EOMONTH($K154+1,-1)),4)&amp;TEXT($K154+1,"mmmyy"))</f>
        <v>W2Mar26</v>
      </c>
      <c r="T154" s="1266">
        <f>Table1218[[#This Row],[CLOSING BALANCE 
(VND)]]/1000000000</f>
        <v>1.5</v>
      </c>
      <c r="U15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2 months</v>
      </c>
      <c r="V154" s="1114">
        <f>_xlfn.NUMBERVALUE(LEFT(Table1218[[#This Row],[Term (months)]],1))</f>
        <v>3</v>
      </c>
      <c r="W154" s="1112">
        <v>3</v>
      </c>
      <c r="X154" s="1115">
        <f>Table1218[[#This Row],[Column3]]-Table1218[[#This Row],[Per bank statement]]</f>
        <v>0</v>
      </c>
      <c r="Y154" s="1117">
        <v>4.4999999999999998E-2</v>
      </c>
      <c r="Z154" s="1118">
        <f>Table1218[[#This Row],[Interest rate]]-Table1218[[#This Row],[Per bank statement2]]</f>
        <v>0</v>
      </c>
      <c r="AA154" s="1112">
        <v>4.5</v>
      </c>
      <c r="AB154" s="1112"/>
      <c r="AC154" s="1112"/>
    </row>
    <row r="155" spans="1:29">
      <c r="A155" s="919" t="str">
        <f>IFERROR(VLOOKUP($C155,Table2[#All],3,0),0)</f>
        <v>TPT1 SOLAR POWER</v>
      </c>
      <c r="B155" s="1260" t="str">
        <f>_xlfn.XLOOKUP(Table1218[[#This Row],[ACCOUNT NUMBER]],Table2[Account No.],Table2[BRANCH],"recheck",0)</f>
        <v>VIETINBANK - DONG SAI GON</v>
      </c>
      <c r="C155" s="1261" t="s">
        <v>1392</v>
      </c>
      <c r="D155" s="1262" t="str">
        <f>_xlfn.XLOOKUP(Table1218[[#This Row],[ACCOUNT NUMBER]],Table2[Account No.],Table2[ACCOUNT TYPE],"recheck",0)</f>
        <v>Saving Account</v>
      </c>
      <c r="E155" s="1267" t="s">
        <v>80</v>
      </c>
      <c r="F155" s="926">
        <f>SUMIFS(Table11[CLOSING BALANCE (VND)2],Table11[ACCOUNT NUMBER],Table1218[[#This Row],[ACCOUNT NUMBER]],Table11[CURRENCY],Table1218[[#This Row],[CURRENCY]])</f>
        <v>1000000000</v>
      </c>
      <c r="G155" s="1263"/>
      <c r="H155" s="1267" t="s">
        <v>221</v>
      </c>
      <c r="I155" s="1267"/>
      <c r="J155" s="1267"/>
      <c r="K155" s="1268">
        <v>46093</v>
      </c>
      <c r="L155" s="1259">
        <v>4.4999999999999998E-2</v>
      </c>
      <c r="M155" s="1262" t="str">
        <f>VLOOKUP($A155,Table1[[#All],[Entities]:[Name]],MATCH(M$3,Table1[[#Headers],[Entities]:[Name]],0),0)</f>
        <v>Subsidiaries</v>
      </c>
      <c r="N155" s="1262" t="str">
        <f>IFERROR(VLOOKUP(IFERROR(MID($O155,1,FIND("-",$O155)-2),O155),Table3[#All],2,0),0)</f>
        <v>VTB</v>
      </c>
      <c r="O155" s="1264" t="str">
        <f t="shared" si="6"/>
        <v>VIETINBANK - DONG SAI GON</v>
      </c>
      <c r="P155" s="1259"/>
      <c r="Q155" s="1262"/>
      <c r="R155" s="1262"/>
      <c r="S155" s="1265" t="str">
        <f>IF(ISBLANK(Table1218[[#This Row],[Maturity date]]),"","W"&amp;MIN(WEEKNUM($K155+1,2)-WEEKNUM(EOMONTH($K155+1,-1)),4)&amp;TEXT($K155+1,"mmmyy"))</f>
        <v>W2Mar26</v>
      </c>
      <c r="T155" s="1266">
        <f>Table1218[[#This Row],[CLOSING BALANCE 
(VND)]]/1000000000</f>
        <v>1</v>
      </c>
      <c r="U15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2 months</v>
      </c>
      <c r="V155" s="1114">
        <f>_xlfn.NUMBERVALUE(LEFT(Table1218[[#This Row],[Term (months)]],1))</f>
        <v>3</v>
      </c>
      <c r="W155" s="1112">
        <v>3</v>
      </c>
      <c r="X155" s="1115">
        <f>Table1218[[#This Row],[Column3]]-Table1218[[#This Row],[Per bank statement]]</f>
        <v>0</v>
      </c>
      <c r="Y155" s="1117">
        <v>4.4999999999999998E-2</v>
      </c>
      <c r="Z155" s="1118">
        <f>Table1218[[#This Row],[Interest rate]]-Table1218[[#This Row],[Per bank statement2]]</f>
        <v>0</v>
      </c>
      <c r="AA155" s="1112">
        <v>4.5</v>
      </c>
      <c r="AB155" s="1112"/>
      <c r="AC155" s="1112"/>
    </row>
    <row r="156" spans="1:29">
      <c r="A156" s="919" t="str">
        <f>IFERROR(VLOOKUP($C156,Table2[#All],3,0),0)</f>
        <v>THUAN DAO</v>
      </c>
      <c r="B156" s="1260" t="str">
        <f>_xlfn.XLOOKUP(Table1218[[#This Row],[ACCOUNT NUMBER]],Table2[Account No.],Table2[BRANCH],"recheck",0)</f>
        <v>VIETINBANK - TPHCM</v>
      </c>
      <c r="C156" s="1261" t="s">
        <v>1406</v>
      </c>
      <c r="D156" s="1262" t="str">
        <f>_xlfn.XLOOKUP(Table1218[[#This Row],[ACCOUNT NUMBER]],Table2[Account No.],Table2[ACCOUNT TYPE],"recheck",0)</f>
        <v>Saving Account</v>
      </c>
      <c r="E156" s="1267" t="s">
        <v>80</v>
      </c>
      <c r="F156" s="926">
        <f>SUMIFS(Table11[CLOSING BALANCE (VND)2],Table11[ACCOUNT NUMBER],Table1218[[#This Row],[ACCOUNT NUMBER]],Table11[CURRENCY],Table1218[[#This Row],[CURRENCY]])</f>
        <v>3033907661</v>
      </c>
      <c r="G156" s="1263"/>
      <c r="H156" s="1267" t="s">
        <v>219</v>
      </c>
      <c r="I156" s="1267"/>
      <c r="J156" s="1267"/>
      <c r="K156" s="1268">
        <v>46065</v>
      </c>
      <c r="L156" s="1259">
        <v>4.7500000000000001E-2</v>
      </c>
      <c r="M156" s="1262" t="str">
        <f>VLOOKUP($A156,Table1[[#All],[Entities]:[Name]],MATCH(M$3,Table1[[#Headers],[Entities]:[Name]],0),0)</f>
        <v>Subsidiaries</v>
      </c>
      <c r="N156" s="1262" t="str">
        <f>IFERROR(VLOOKUP(IFERROR(MID($O156,1,FIND("-",$O156)-2),O156),Table3[#All],2,0),0)</f>
        <v>VTB</v>
      </c>
      <c r="O156" s="1264" t="str">
        <f t="shared" si="6"/>
        <v>VIETINBANK - TPHCM</v>
      </c>
      <c r="P156" s="1259"/>
      <c r="Q156" s="1262"/>
      <c r="R156" s="1262"/>
      <c r="S156" s="1265" t="str">
        <f>IF(ISBLANK(Table1218[[#This Row],[Maturity date]]),"","W"&amp;MIN(WEEKNUM($K156+1,2)-WEEKNUM(EOMONTH($K156+1,-1)),4)&amp;TEXT($K156+1,"mmmyy"))</f>
        <v>W2Feb26</v>
      </c>
      <c r="T156" s="1266">
        <f>Table1218[[#This Row],[CLOSING BALANCE 
(VND)]]/1000000000</f>
        <v>3.0339076610000002</v>
      </c>
      <c r="U15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56" s="1114">
        <f>_xlfn.NUMBERVALUE(LEFT(Table1218[[#This Row],[Term (months)]],1))</f>
        <v>1</v>
      </c>
      <c r="W156" s="1112">
        <v>1</v>
      </c>
      <c r="X156" s="1115">
        <f>Table1218[[#This Row],[Column3]]-Table1218[[#This Row],[Per bank statement]]</f>
        <v>0</v>
      </c>
      <c r="Y156" s="1117">
        <v>4.4999999999999998E-2</v>
      </c>
      <c r="Z156" s="1118">
        <f>Table1218[[#This Row],[Interest rate]]-Table1218[[#This Row],[Per bank statement2]]</f>
        <v>2.5000000000000022E-3</v>
      </c>
      <c r="AA156" s="1112">
        <v>4.5</v>
      </c>
      <c r="AB156" s="1112"/>
      <c r="AC156" s="1112"/>
    </row>
    <row r="157" spans="1:29">
      <c r="A157" s="919" t="str">
        <f>IFERROR(VLOOKUP($C157,Table2[#All],3,0),0)</f>
        <v>BWID THOI HOA</v>
      </c>
      <c r="B157" s="1260" t="str">
        <f>_xlfn.XLOOKUP(Table1218[[#This Row],[ACCOUNT NUMBER]],Table2[Account No.],Table2[BRANCH],"recheck",0)</f>
        <v>VIETCOMBANK - HCM</v>
      </c>
      <c r="C157" s="1261" t="s">
        <v>1394</v>
      </c>
      <c r="D157" s="1262" t="str">
        <f>_xlfn.XLOOKUP(Table1218[[#This Row],[ACCOUNT NUMBER]],Table2[Account No.],Table2[ACCOUNT TYPE],"recheck",0)</f>
        <v>Saving Account</v>
      </c>
      <c r="E157" s="1267" t="s">
        <v>80</v>
      </c>
      <c r="F157" s="926">
        <f>SUMIFS(Table11[CLOSING BALANCE (VND)2],Table11[ACCOUNT NUMBER],Table1218[[#This Row],[ACCOUNT NUMBER]],Table11[CURRENCY],Table1218[[#This Row],[CURRENCY]])</f>
        <v>24000000000</v>
      </c>
      <c r="G157" s="1263"/>
      <c r="H157" s="1267" t="s">
        <v>221</v>
      </c>
      <c r="I157" s="1267"/>
      <c r="J157" s="1267"/>
      <c r="K157" s="1268">
        <v>46091</v>
      </c>
      <c r="L157" s="1259">
        <v>4.7500000000000001E-2</v>
      </c>
      <c r="M157" s="1262" t="str">
        <f>VLOOKUP($A157,Table1[[#All],[Entities]:[Name]],MATCH(M$3,Table1[[#Headers],[Entities]:[Name]],0),0)</f>
        <v>Subsidiaries</v>
      </c>
      <c r="N157" s="1262" t="str">
        <f>IFERROR(VLOOKUP(IFERROR(MID($O157,1,FIND("-",$O157)-2),O157),Table3[#All],2,0),0)</f>
        <v>VCB</v>
      </c>
      <c r="O157" s="1264" t="str">
        <f t="shared" si="6"/>
        <v>VIETCOMBANK - HCM</v>
      </c>
      <c r="P157" s="1259"/>
      <c r="Q157" s="1262"/>
      <c r="R157" s="1262"/>
      <c r="S157" s="1265" t="str">
        <f>IF(ISBLANK(Table1218[[#This Row],[Maturity date]]),"","W"&amp;MIN(WEEKNUM($K157+1,2)-WEEKNUM(EOMONTH($K157+1,-1)),4)&amp;TEXT($K157+1,"mmmyy"))</f>
        <v>W2Mar26</v>
      </c>
      <c r="T157" s="1266">
        <f>Table1218[[#This Row],[CLOSING BALANCE 
(VND)]]/1000000000</f>
        <v>24</v>
      </c>
      <c r="U15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2 months</v>
      </c>
      <c r="V157" s="1114">
        <f>_xlfn.NUMBERVALUE(LEFT(Table1218[[#This Row],[Term (months)]],1))</f>
        <v>3</v>
      </c>
      <c r="W157" s="1112">
        <v>3</v>
      </c>
      <c r="X157" s="1115">
        <f>Table1218[[#This Row],[Column3]]-Table1218[[#This Row],[Per bank statement]]</f>
        <v>0</v>
      </c>
      <c r="Y157" s="1117">
        <v>4.4999999999999998E-2</v>
      </c>
      <c r="Z157" s="1119">
        <f>Table1218[[#This Row],[Interest rate]]-Table1218[[#This Row],[Per bank statement2]]</f>
        <v>2.5000000000000022E-3</v>
      </c>
      <c r="AA157" s="1112"/>
      <c r="AB157" s="1112"/>
      <c r="AC157" s="1112"/>
    </row>
    <row r="158" spans="1:29">
      <c r="A158" s="919" t="str">
        <f>IFERROR(VLOOKUP($C158,Table2[#All],3,0),0)</f>
        <v>SONG THAN 2</v>
      </c>
      <c r="B158" s="1260" t="str">
        <f>_xlfn.XLOOKUP(Table1218[[#This Row],[ACCOUNT NUMBER]],Table2[Account No.],Table2[BRANCH],"recheck",0)</f>
        <v>VIETINBANK - TPHCM</v>
      </c>
      <c r="C158" s="1261" t="s">
        <v>1405</v>
      </c>
      <c r="D158" s="1262" t="str">
        <f>_xlfn.XLOOKUP(Table1218[[#This Row],[ACCOUNT NUMBER]],Table2[Account No.],Table2[ACCOUNT TYPE],"recheck",0)</f>
        <v>Saving Account</v>
      </c>
      <c r="E158" s="1267" t="s">
        <v>80</v>
      </c>
      <c r="F158" s="926">
        <f>SUMIFS(Table11[CLOSING BALANCE (VND)2],Table11[ACCOUNT NUMBER],Table1218[[#This Row],[ACCOUNT NUMBER]],Table11[CURRENCY],Table1218[[#This Row],[CURRENCY]])</f>
        <v>4000000000</v>
      </c>
      <c r="G158" s="1263"/>
      <c r="H158" s="1267" t="s">
        <v>221</v>
      </c>
      <c r="I158" s="1267"/>
      <c r="J158" s="1267"/>
      <c r="K158" s="1268">
        <v>46107</v>
      </c>
      <c r="L158" s="1259">
        <v>4.7500000000000001E-2</v>
      </c>
      <c r="M158" s="1262" t="str">
        <f>VLOOKUP($A158,Table1[[#All],[Entities]:[Name]],MATCH(M$3,Table1[[#Headers],[Entities]:[Name]],0),0)</f>
        <v>Subsidiaries</v>
      </c>
      <c r="N158" s="1262" t="str">
        <f>IFERROR(VLOOKUP(IFERROR(MID($O158,1,FIND("-",$O158)-2),O158),Table3[#All],2,0),0)</f>
        <v>VTB</v>
      </c>
      <c r="O158" s="1264" t="str">
        <f t="shared" ref="O158:O161" si="7">B158</f>
        <v>VIETINBANK - TPHCM</v>
      </c>
      <c r="P158" s="1259"/>
      <c r="Q158" s="1262"/>
      <c r="R158" s="1262"/>
      <c r="S158" s="1265" t="str">
        <f>IF(ISBLANK(Table1218[[#This Row],[Maturity date]]),"","W"&amp;MIN(WEEKNUM($K158+1,2)-WEEKNUM(EOMONTH($K158+1,-1)),4)&amp;TEXT($K158+1,"mmmyy"))</f>
        <v>W4Mar26</v>
      </c>
      <c r="T158" s="1266">
        <f>Table1218[[#This Row],[CLOSING BALANCE 
(VND)]]/1000000000</f>
        <v>4</v>
      </c>
      <c r="U15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2 months</v>
      </c>
      <c r="V158" s="1114">
        <f>_xlfn.NUMBERVALUE(LEFT(Table1218[[#This Row],[Term (months)]],1))</f>
        <v>3</v>
      </c>
      <c r="W158" s="1112">
        <v>3</v>
      </c>
      <c r="X158" s="1115">
        <f>Table1218[[#This Row],[Column3]]-Table1218[[#This Row],[Per bank statement]]</f>
        <v>0</v>
      </c>
      <c r="Y158" s="1117">
        <v>4.4999999999999998E-2</v>
      </c>
      <c r="Z158" s="1118">
        <f>Table1218[[#This Row],[Interest rate]]-Table1218[[#This Row],[Per bank statement2]]</f>
        <v>2.5000000000000022E-3</v>
      </c>
      <c r="AA158" s="1112">
        <v>4.5</v>
      </c>
      <c r="AB158" s="1112"/>
      <c r="AC158" s="1112"/>
    </row>
    <row r="159" spans="1:29">
      <c r="A159" s="919" t="str">
        <f>IFERROR(VLOOKUP($C159,Table2[#All],3,0),0)</f>
        <v>KIM TRUC DN</v>
      </c>
      <c r="B159" s="1260" t="str">
        <f>_xlfn.XLOOKUP(Table1218[[#This Row],[ACCOUNT NUMBER]],Table2[Account No.],Table2[BRANCH],"recheck",0)</f>
        <v>BIDV - NAM SAI GON</v>
      </c>
      <c r="C159" s="1261" t="s">
        <v>1403</v>
      </c>
      <c r="D159" s="1262" t="str">
        <f>_xlfn.XLOOKUP(Table1218[[#This Row],[ACCOUNT NUMBER]],Table2[Account No.],Table2[ACCOUNT TYPE],"recheck",0)</f>
        <v>Saving Account</v>
      </c>
      <c r="E159" s="1267" t="s">
        <v>80</v>
      </c>
      <c r="F159" s="926">
        <f>SUMIFS(Table11[CLOSING BALANCE (VND)2],Table11[ACCOUNT NUMBER],Table1218[[#This Row],[ACCOUNT NUMBER]],Table11[CURRENCY],Table1218[[#This Row],[CURRENCY]])</f>
        <v>32000000000</v>
      </c>
      <c r="G159" s="1263"/>
      <c r="H159" s="1267" t="s">
        <v>219</v>
      </c>
      <c r="I159" s="1267"/>
      <c r="J159" s="1267"/>
      <c r="K159" s="1268">
        <v>46040</v>
      </c>
      <c r="L159" s="1259">
        <v>4.7500000000000001E-2</v>
      </c>
      <c r="M159" s="1262" t="str">
        <f>VLOOKUP($A159,Table1[[#All],[Entities]:[Name]],MATCH(M$3,Table1[[#Headers],[Entities]:[Name]],0),0)</f>
        <v>Subsidiaries</v>
      </c>
      <c r="N159" s="1262" t="str">
        <f>IFERROR(VLOOKUP(IFERROR(MID($O159,1,FIND("-",$O159)-2),O159),Table3[#All],2,0),0)</f>
        <v>BIDV</v>
      </c>
      <c r="O159" s="1264" t="str">
        <f t="shared" si="7"/>
        <v>BIDV - NAM SAI GON</v>
      </c>
      <c r="P159" s="1259"/>
      <c r="Q159" s="1262"/>
      <c r="R159" s="1262"/>
      <c r="S159" s="1265" t="str">
        <f>IF(ISBLANK(Table1218[[#This Row],[Maturity date]]),"","W"&amp;MIN(WEEKNUM($K159+1,2)-WEEKNUM(EOMONTH($K159+1,-1)),4)&amp;TEXT($K159+1,"mmmyy"))</f>
        <v>W-49Jan26</v>
      </c>
      <c r="T159" s="1266">
        <f>Table1218[[#This Row],[CLOSING BALANCE 
(VND)]]/1000000000</f>
        <v>32</v>
      </c>
      <c r="U15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59" s="1114">
        <f>_xlfn.NUMBERVALUE(LEFT(Table1218[[#This Row],[Term (months)]],1))</f>
        <v>1</v>
      </c>
      <c r="W159" s="1112">
        <v>1</v>
      </c>
      <c r="X159" s="1115">
        <f>Table1218[[#This Row],[Column3]]-Table1218[[#This Row],[Per bank statement]]</f>
        <v>0</v>
      </c>
      <c r="Y159" s="1117">
        <v>4.2999999999999997E-2</v>
      </c>
      <c r="Z159" s="1118">
        <f>Table1218[[#This Row],[Interest rate]]-Table1218[[#This Row],[Per bank statement2]]</f>
        <v>4.500000000000004E-3</v>
      </c>
      <c r="AA159" s="1112" t="s">
        <v>1550</v>
      </c>
      <c r="AB159" s="1112"/>
      <c r="AC159" s="1112"/>
    </row>
    <row r="160" spans="1:29">
      <c r="A160" s="919" t="str">
        <f>IFERROR(VLOOKUP($C160,Table2[#All],3,0),0)</f>
        <v>KIM TRUC DN</v>
      </c>
      <c r="B160" s="1260" t="str">
        <f>_xlfn.XLOOKUP(Table1218[[#This Row],[ACCOUNT NUMBER]],Table2[Account No.],Table2[BRANCH],"recheck",0)</f>
        <v>BIDV - NAM SAI GON</v>
      </c>
      <c r="C160" s="1261" t="s">
        <v>1404</v>
      </c>
      <c r="D160" s="1262" t="str">
        <f>_xlfn.XLOOKUP(Table1218[[#This Row],[ACCOUNT NUMBER]],Table2[Account No.],Table2[ACCOUNT TYPE],"recheck",0)</f>
        <v>Saving Account</v>
      </c>
      <c r="E160" s="1267" t="s">
        <v>80</v>
      </c>
      <c r="F160" s="926">
        <f>SUMIFS(Table11[CLOSING BALANCE (VND)2],Table11[ACCOUNT NUMBER],Table1218[[#This Row],[ACCOUNT NUMBER]],Table11[CURRENCY],Table1218[[#This Row],[CURRENCY]])</f>
        <v>4000000000</v>
      </c>
      <c r="G160" s="1263"/>
      <c r="H160" s="1267" t="s">
        <v>219</v>
      </c>
      <c r="I160" s="1267"/>
      <c r="J160" s="1267"/>
      <c r="K160" s="1268">
        <v>46052</v>
      </c>
      <c r="L160" s="1259">
        <v>4.7500000000000001E-2</v>
      </c>
      <c r="M160" s="1262" t="str">
        <f>VLOOKUP($A160,Table1[[#All],[Entities]:[Name]],MATCH(M$3,Table1[[#Headers],[Entities]:[Name]],0),0)</f>
        <v>Subsidiaries</v>
      </c>
      <c r="N160" s="1262" t="str">
        <f>IFERROR(VLOOKUP(IFERROR(MID($O160,1,FIND("-",$O160)-2),O160),Table3[#All],2,0),0)</f>
        <v>BIDV</v>
      </c>
      <c r="O160" s="1264" t="str">
        <f t="shared" si="7"/>
        <v>BIDV - NAM SAI GON</v>
      </c>
      <c r="P160" s="1259"/>
      <c r="Q160" s="1262"/>
      <c r="R160" s="1262"/>
      <c r="S160" s="1265" t="str">
        <f>IF(ISBLANK(Table1218[[#This Row],[Maturity date]]),"","W"&amp;MIN(WEEKNUM($K160+1,2)-WEEKNUM(EOMONTH($K160+1,-1)),4)&amp;TEXT($K160+1,"mmmyy"))</f>
        <v>W-48Jan26</v>
      </c>
      <c r="T160" s="1266">
        <f>Table1218[[#This Row],[CLOSING BALANCE 
(VND)]]/1000000000</f>
        <v>4</v>
      </c>
      <c r="U16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60" s="1114">
        <f>_xlfn.NUMBERVALUE(LEFT(Table1218[[#This Row],[Term (months)]],1))</f>
        <v>1</v>
      </c>
      <c r="W160" s="1112">
        <v>1</v>
      </c>
      <c r="X160" s="1115">
        <f>Table1218[[#This Row],[Column3]]-Table1218[[#This Row],[Per bank statement]]</f>
        <v>0</v>
      </c>
      <c r="Y160" s="1117">
        <v>4.2999999999999997E-2</v>
      </c>
      <c r="Z160" s="1118">
        <f>Table1218[[#This Row],[Interest rate]]-Table1218[[#This Row],[Per bank statement2]]</f>
        <v>4.500000000000004E-3</v>
      </c>
      <c r="AA160" s="1112" t="s">
        <v>5382</v>
      </c>
      <c r="AB160" s="1112"/>
      <c r="AC160" s="1112"/>
    </row>
    <row r="161" spans="1:29">
      <c r="A161" s="919" t="str">
        <f>IFERROR(VLOOKUP($C161,Table2[#All],3,0),0)</f>
        <v>THUAN THANH 3B</v>
      </c>
      <c r="B161" s="1260" t="str">
        <f>_xlfn.XLOOKUP(Table1218[[#This Row],[ACCOUNT NUMBER]],Table2[Account No.],Table2[BRANCH],"recheck",0)</f>
        <v>VIETCOMBANK - BA DINH</v>
      </c>
      <c r="C161" s="1261" t="s">
        <v>5392</v>
      </c>
      <c r="D161" s="1262" t="str">
        <f>_xlfn.XLOOKUP(Table1218[[#This Row],[ACCOUNT NUMBER]],Table2[Account No.],Table2[ACCOUNT TYPE],"recheck",0)</f>
        <v>Saving Account</v>
      </c>
      <c r="E161" s="1267" t="s">
        <v>80</v>
      </c>
      <c r="F161" s="926">
        <f>SUMIFS(Table11[CLOSING BALANCE (VND)2],Table11[ACCOUNT NUMBER],Table1218[[#This Row],[ACCOUNT NUMBER]],Table11[CURRENCY],Table1218[[#This Row],[CURRENCY]])</f>
        <v>3500000000</v>
      </c>
      <c r="G161" s="1263"/>
      <c r="H161" s="1267" t="s">
        <v>219</v>
      </c>
      <c r="I161" s="1267"/>
      <c r="J161" s="1267"/>
      <c r="K161" s="1268">
        <v>46052</v>
      </c>
      <c r="L161" s="1259">
        <v>4.7500000000000001E-2</v>
      </c>
      <c r="M161" s="1262" t="str">
        <f>VLOOKUP($A161,Table1[[#All],[Entities]:[Name]],MATCH(M$3,Table1[[#Headers],[Entities]:[Name]],0),0)</f>
        <v>Subsidiaries</v>
      </c>
      <c r="N161" s="1262" t="str">
        <f>IFERROR(VLOOKUP(IFERROR(MID($O161,1,FIND("-",$O161)-2),O161),Table3[#All],2,0),0)</f>
        <v>VCB</v>
      </c>
      <c r="O161" s="1264" t="str">
        <f t="shared" si="7"/>
        <v>VIETCOMBANK - BA DINH</v>
      </c>
      <c r="P161" s="1259"/>
      <c r="Q161" s="1262"/>
      <c r="R161" s="1262"/>
      <c r="S161" s="1265" t="str">
        <f>IF(ISBLANK(Table1218[[#This Row],[Maturity date]]),"","W"&amp;MIN(WEEKNUM($K161+1,2)-WEEKNUM(EOMONTH($K161+1,-1)),4)&amp;TEXT($K161+1,"mmmyy"))</f>
        <v>W-48Jan26</v>
      </c>
      <c r="T161" s="1266">
        <f>Table1218[[#This Row],[CLOSING BALANCE 
(VND)]]/1000000000</f>
        <v>3.5</v>
      </c>
      <c r="U16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61" s="1114">
        <f>_xlfn.NUMBERVALUE(LEFT(Table1218[[#This Row],[Term (months)]],1))</f>
        <v>1</v>
      </c>
      <c r="W161" s="1115">
        <v>1</v>
      </c>
      <c r="X161" s="1115">
        <f>Table1218[[#This Row],[Column3]]-Table1218[[#This Row],[Per bank statement]]</f>
        <v>0</v>
      </c>
      <c r="Y161" s="1117">
        <v>4.4999999999999998E-2</v>
      </c>
      <c r="Z161" s="1119">
        <f>Table1218[[#This Row],[Interest rate]]-Table1218[[#This Row],[Per bank statement2]]</f>
        <v>2.5000000000000022E-3</v>
      </c>
      <c r="AA161" s="1112"/>
      <c r="AB161" s="1112"/>
      <c r="AC161" s="1112"/>
    </row>
    <row r="162" spans="1:29">
      <c r="A162" s="919" t="str">
        <f>IFERROR(VLOOKUP($C162,Table2[#All],3,0),0)</f>
        <v>SAO HOA</v>
      </c>
      <c r="B162" s="1260" t="str">
        <f>_xlfn.XLOOKUP(Table1218[[#This Row],[ACCOUNT NUMBER]],Table2[Account No.],Table2[BRANCH],"recheck",0)</f>
        <v>VIB - HOI SO</v>
      </c>
      <c r="C162" s="1269" t="s">
        <v>1409</v>
      </c>
      <c r="D162" s="1262" t="str">
        <f>_xlfn.XLOOKUP(Table1218[[#This Row],[ACCOUNT NUMBER]],Table2[Account No.],Table2[ACCOUNT TYPE],"recheck",0)</f>
        <v>Saving Account</v>
      </c>
      <c r="E162" s="1267" t="s">
        <v>80</v>
      </c>
      <c r="F162" s="926">
        <f>SUMIFS(Table11[CLOSING BALANCE (VND)2],Table11[ACCOUNT NUMBER],Table1218[[#This Row],[ACCOUNT NUMBER]],Table11[CURRENCY],Table1218[[#This Row],[CURRENCY]])</f>
        <v>170000000000</v>
      </c>
      <c r="G162" s="1263"/>
      <c r="H162" s="1267" t="s">
        <v>224</v>
      </c>
      <c r="I162" s="1267"/>
      <c r="J162" s="1267"/>
      <c r="K162" s="1268">
        <v>46111</v>
      </c>
      <c r="L162" s="1259">
        <v>6.2E-2</v>
      </c>
      <c r="M162" s="1262" t="str">
        <f>VLOOKUP($A162,Table1[[#All],[Entities]:[Name]],MATCH(M$3,Table1[[#Headers],[Entities]:[Name]],0),0)</f>
        <v>VC3</v>
      </c>
      <c r="N162" s="1262" t="str">
        <f>IFERROR(VLOOKUP(IFERROR(MID($O162,1,FIND("-",$O162)-2),O162),Table3[#All],2,0),0)</f>
        <v>VIB</v>
      </c>
      <c r="O162" s="1264" t="str">
        <f t="shared" ref="O162:O164" si="8">B162</f>
        <v>VIB - HOI SO</v>
      </c>
      <c r="P162" s="1259"/>
      <c r="Q162" s="1262"/>
      <c r="R162" s="1262"/>
      <c r="S162" s="1265" t="str">
        <f>IF(ISBLANK(Table1218[[#This Row],[Maturity date]]),"","W"&amp;MIN(WEEKNUM($K162+1,2)-WEEKNUM(EOMONTH($K162+1,-1)),4)&amp;TEXT($K162+1,"mmmyy"))</f>
        <v>W4Mar26</v>
      </c>
      <c r="T162" s="1266">
        <f>Table1218[[#This Row],[CLOSING BALANCE 
(VND)]]/1000000000</f>
        <v>170</v>
      </c>
      <c r="U16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2 months</v>
      </c>
      <c r="V162" s="1114"/>
      <c r="W162" s="1112"/>
      <c r="X162" s="1115"/>
      <c r="Y162" s="1112"/>
      <c r="Z162" s="1118"/>
      <c r="AA162" s="1112"/>
      <c r="AB162" s="1112"/>
      <c r="AC162" s="1112"/>
    </row>
    <row r="163" spans="1:29">
      <c r="A163" s="919" t="str">
        <f>IFERROR(VLOOKUP($C163,Table2[#All],3,0),0)</f>
        <v>BW SAI GON</v>
      </c>
      <c r="B163" s="1260" t="str">
        <f>_xlfn.XLOOKUP(Table1218[[#This Row],[ACCOUNT NUMBER]],Table2[Account No.],Table2[BRANCH],"recheck",0)</f>
        <v>SINOPAC</v>
      </c>
      <c r="C163" s="1261" t="s">
        <v>1412</v>
      </c>
      <c r="D163" s="1262" t="str">
        <f>_xlfn.XLOOKUP(Table1218[[#This Row],[ACCOUNT NUMBER]],Table2[Account No.],Table2[ACCOUNT TYPE],"recheck",0)</f>
        <v>Saving Account</v>
      </c>
      <c r="E163" s="1267" t="s">
        <v>80</v>
      </c>
      <c r="F163" s="926">
        <f>SUMIFS(Table11[CLOSING BALANCE (VND)2],Table11[ACCOUNT NUMBER],Table1218[[#This Row],[ACCOUNT NUMBER]],Table11[CURRENCY],Table1218[[#This Row],[CURRENCY]])</f>
        <v>5500000000</v>
      </c>
      <c r="G163" s="1263"/>
      <c r="H163" s="1267" t="s">
        <v>219</v>
      </c>
      <c r="I163" s="1267"/>
      <c r="J163" s="1267"/>
      <c r="K163" s="1268">
        <v>46054</v>
      </c>
      <c r="L163" s="1259">
        <v>3.9E-2</v>
      </c>
      <c r="M163" s="1262" t="str">
        <f>VLOOKUP($A163,Table1[[#All],[Entities]:[Name]],MATCH(M$3,Table1[[#Headers],[Entities]:[Name]],0),0)</f>
        <v>Subsidiaries</v>
      </c>
      <c r="N163" s="1262" t="str">
        <f>IFERROR(VLOOKUP(IFERROR(MID($O163,1,FIND("-",$O163)-2),O163),Table3[#All],2,0),0)</f>
        <v>SNP</v>
      </c>
      <c r="O163" s="1264" t="str">
        <f t="shared" si="8"/>
        <v>SINOPAC</v>
      </c>
      <c r="P163" s="1259"/>
      <c r="Q163" s="1262"/>
      <c r="R163" s="1262"/>
      <c r="S163" s="1265" t="str">
        <f>IF(ISBLANK(Table1218[[#This Row],[Maturity date]]),"","W"&amp;MIN(WEEKNUM($K163+1,2)-WEEKNUM(EOMONTH($K163+1,-1)),4)&amp;TEXT($K163+1,"mmmyy"))</f>
        <v>W1Feb26</v>
      </c>
      <c r="T163" s="1266">
        <f>Table1218[[#This Row],[CLOSING BALANCE 
(VND)]]/1000000000</f>
        <v>5.5</v>
      </c>
      <c r="U16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63" s="1114"/>
      <c r="W163" s="1112"/>
      <c r="X163" s="1115"/>
      <c r="Y163" s="1112"/>
      <c r="Z163" s="1118"/>
      <c r="AA163" s="1112"/>
      <c r="AB163" s="1112"/>
      <c r="AC163" s="1112"/>
    </row>
    <row r="164" spans="1:29">
      <c r="A164" s="919" t="str">
        <f>IFERROR(VLOOKUP($C164,Table2[#All],3,0),0)</f>
        <v>BW NAM HAI</v>
      </c>
      <c r="B164" s="1260" t="str">
        <f>_xlfn.XLOOKUP(Table1218[[#This Row],[ACCOUNT NUMBER]],Table2[Account No.],Table2[BRANCH],"recheck",0)</f>
        <v>VIETCOMBANK - BA DINH</v>
      </c>
      <c r="C164" s="1261" t="s">
        <v>1176</v>
      </c>
      <c r="D164" s="1262" t="str">
        <f>_xlfn.XLOOKUP(Table1218[[#This Row],[ACCOUNT NUMBER]],Table2[Account No.],Table2[ACCOUNT TYPE],"recheck",0)</f>
        <v>Saving Account</v>
      </c>
      <c r="E164" s="1267" t="s">
        <v>80</v>
      </c>
      <c r="F164" s="926">
        <f>SUMIFS(Table11[CLOSING BALANCE (VND)2],Table11[ACCOUNT NUMBER],Table1218[[#This Row],[ACCOUNT NUMBER]],Table11[CURRENCY],Table1218[[#This Row],[CURRENCY]])</f>
        <v>5000000000</v>
      </c>
      <c r="G164" s="1263"/>
      <c r="H164" s="1267" t="s">
        <v>219</v>
      </c>
      <c r="I164" s="1267"/>
      <c r="J164" s="1267"/>
      <c r="K164" s="1268">
        <v>46055</v>
      </c>
      <c r="L164" s="1288">
        <v>4.7500000000000001E-2</v>
      </c>
      <c r="M164" s="1262" t="str">
        <f>VLOOKUP($A164,Table1[[#All],[Entities]:[Name]],MATCH(M$3,Table1[[#Headers],[Entities]:[Name]],0),0)</f>
        <v>Subsidiaries</v>
      </c>
      <c r="N164" s="1262" t="str">
        <f>IFERROR(VLOOKUP(IFERROR(MID($O164,1,FIND("-",$O164)-2),O164),Table3[#All],2,0),0)</f>
        <v>VCB</v>
      </c>
      <c r="O164" s="1264" t="str">
        <f t="shared" si="8"/>
        <v>VIETCOMBANK - BA DINH</v>
      </c>
      <c r="P164" s="1259"/>
      <c r="Q164" s="1262"/>
      <c r="R164" s="1262"/>
      <c r="S164" s="1265" t="str">
        <f>IF(ISBLANK(Table1218[[#This Row],[Maturity date]]),"","W"&amp;MIN(WEEKNUM($K164+1,2)-WEEKNUM(EOMONTH($K164+1,-1)),4)&amp;TEXT($K164+1,"mmmyy"))</f>
        <v>W1Feb26</v>
      </c>
      <c r="T164" s="1266">
        <f>Table1218[[#This Row],[CLOSING BALANCE 
(VND)]]/1000000000</f>
        <v>5</v>
      </c>
      <c r="U16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64" s="1113"/>
      <c r="W164" s="1112"/>
      <c r="X164" s="1115"/>
      <c r="Y164" s="1112"/>
      <c r="Z164" s="1120"/>
      <c r="AA164" s="1112"/>
      <c r="AB164" s="1112"/>
      <c r="AC164" s="1112"/>
    </row>
    <row r="165" spans="1:29">
      <c r="A165" s="919" t="str">
        <f>IFERROR(VLOOKUP($C165,Table2[#All],3,0),0)</f>
        <v>SONG THAN 2</v>
      </c>
      <c r="B165" s="1260" t="str">
        <f>_xlfn.XLOOKUP(Table1218[[#This Row],[ACCOUNT NUMBER]],Table2[Account No.],Table2[BRANCH],"recheck",0)</f>
        <v>VIETINBANK - TPHCM</v>
      </c>
      <c r="C165" s="1261" t="s">
        <v>1436</v>
      </c>
      <c r="D165" s="1262" t="str">
        <f>_xlfn.XLOOKUP(Table1218[[#This Row],[ACCOUNT NUMBER]],Table2[Account No.],Table2[ACCOUNT TYPE],"recheck",0)</f>
        <v>Saving Account</v>
      </c>
      <c r="E165" s="1267" t="s">
        <v>80</v>
      </c>
      <c r="F165" s="926">
        <f>SUMIFS(Table11[CLOSING BALANCE (VND)2],Table11[ACCOUNT NUMBER],Table1218[[#This Row],[ACCOUNT NUMBER]],Table11[CURRENCY],Table1218[[#This Row],[CURRENCY]])</f>
        <v>5000000000</v>
      </c>
      <c r="G165" s="1263"/>
      <c r="H165" s="1267" t="s">
        <v>220</v>
      </c>
      <c r="I165" s="1267"/>
      <c r="J165" s="1267"/>
      <c r="K165" s="1268">
        <v>46048</v>
      </c>
      <c r="L165" s="1259">
        <v>4.7500000000000001E-2</v>
      </c>
      <c r="M165" s="1262" t="str">
        <f>VLOOKUP($A165,Table1[[#All],[Entities]:[Name]],MATCH(M$3,Table1[[#Headers],[Entities]:[Name]],0),0)</f>
        <v>Subsidiaries</v>
      </c>
      <c r="N165" s="1262" t="str">
        <f>IFERROR(VLOOKUP(IFERROR(MID($O165,1,FIND("-",$O165)-2),O165),Table3[#All],2,0),0)</f>
        <v>VTB</v>
      </c>
      <c r="O165" s="1264" t="str">
        <f t="shared" ref="O165:O171" si="9">B165</f>
        <v>VIETINBANK - TPHCM</v>
      </c>
      <c r="P165" s="1259"/>
      <c r="Q165" s="1262"/>
      <c r="R165" s="1262"/>
      <c r="S165" s="1265" t="str">
        <f>IF(ISBLANK(Table1218[[#This Row],[Maturity date]]),"","W"&amp;MIN(WEEKNUM($K165+1,2)-WEEKNUM(EOMONTH($K165+1,-1)),4)&amp;TEXT($K165+1,"mmmyy"))</f>
        <v>W-48Jan26</v>
      </c>
      <c r="T165" s="1266">
        <f>Table1218[[#This Row],[CLOSING BALANCE 
(VND)]]/1000000000</f>
        <v>5</v>
      </c>
      <c r="U16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65" s="1113"/>
      <c r="W165" s="1112"/>
      <c r="X165" s="1115"/>
      <c r="Y165" s="1112"/>
      <c r="Z165" s="1120"/>
      <c r="AA165" s="1112" t="e">
        <v>#N/A</v>
      </c>
      <c r="AB165" s="1112"/>
      <c r="AC165" s="1112"/>
    </row>
    <row r="166" spans="1:29">
      <c r="A166" s="919" t="str">
        <f>IFERROR(VLOOKUP($C166,Table2[#All],3,0),0)</f>
        <v>SONG THAN 2</v>
      </c>
      <c r="B166" s="1260" t="str">
        <f>_xlfn.XLOOKUP(Table1218[[#This Row],[ACCOUNT NUMBER]],Table2[Account No.],Table2[BRANCH],"recheck",0)</f>
        <v>VIETINBANK - TPHCM</v>
      </c>
      <c r="C166" s="1261" t="s">
        <v>1413</v>
      </c>
      <c r="D166" s="1262" t="str">
        <f>_xlfn.XLOOKUP(Table1218[[#This Row],[ACCOUNT NUMBER]],Table2[Account No.],Table2[ACCOUNT TYPE],"recheck",0)</f>
        <v>Saving Account</v>
      </c>
      <c r="E166" s="1267" t="s">
        <v>80</v>
      </c>
      <c r="F166" s="926">
        <f>SUMIFS(Table11[CLOSING BALANCE (VND)2],Table11[ACCOUNT NUMBER],Table1218[[#This Row],[ACCOUNT NUMBER]],Table11[CURRENCY],Table1218[[#This Row],[CURRENCY]])</f>
        <v>5000000000</v>
      </c>
      <c r="G166" s="1263"/>
      <c r="H166" s="1267" t="s">
        <v>221</v>
      </c>
      <c r="I166" s="1267"/>
      <c r="J166" s="1267"/>
      <c r="K166" s="1268">
        <v>46051</v>
      </c>
      <c r="L166" s="1259">
        <v>4.7500000000000001E-2</v>
      </c>
      <c r="M166" s="1262" t="str">
        <f>VLOOKUP($A166,Table1[[#All],[Entities]:[Name]],MATCH(M$3,Table1[[#Headers],[Entities]:[Name]],0),0)</f>
        <v>Subsidiaries</v>
      </c>
      <c r="N166" s="1262" t="str">
        <f>IFERROR(VLOOKUP(IFERROR(MID($O166,1,FIND("-",$O166)-2),O166),Table3[#All],2,0),0)</f>
        <v>VTB</v>
      </c>
      <c r="O166" s="1264" t="str">
        <f t="shared" si="9"/>
        <v>VIETINBANK - TPHCM</v>
      </c>
      <c r="P166" s="1259"/>
      <c r="Q166" s="1262"/>
      <c r="R166" s="1262"/>
      <c r="S166" s="1265" t="str">
        <f>IF(ISBLANK(Table1218[[#This Row],[Maturity date]]),"","W"&amp;MIN(WEEKNUM($K166+1,2)-WEEKNUM(EOMONTH($K166+1,-1)),4)&amp;TEXT($K166+1,"mmmyy"))</f>
        <v>W-48Jan26</v>
      </c>
      <c r="T166" s="1266">
        <f>Table1218[[#This Row],[CLOSING BALANCE 
(VND)]]/1000000000</f>
        <v>5</v>
      </c>
      <c r="U16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66" s="1113"/>
      <c r="W166" s="1112"/>
      <c r="X166" s="1115"/>
      <c r="Y166" s="1112"/>
      <c r="Z166" s="1120"/>
      <c r="AA166" s="1112" t="e">
        <v>#N/A</v>
      </c>
      <c r="AB166" s="1112"/>
      <c r="AC166" s="1112"/>
    </row>
    <row r="167" spans="1:29">
      <c r="A167" s="919" t="str">
        <f>IFERROR(VLOOKUP($C167,Table2[#All],3,0),0)</f>
        <v>THUAN THANH 3B</v>
      </c>
      <c r="B167" s="1260" t="str">
        <f>_xlfn.XLOOKUP(Table1218[[#This Row],[ACCOUNT NUMBER]],Table2[Account No.],Table2[BRANCH],"recheck",0)</f>
        <v>VIETCOMBANK - BA DINH</v>
      </c>
      <c r="C167" s="1261" t="s">
        <v>1414</v>
      </c>
      <c r="D167" s="1262" t="str">
        <f>_xlfn.XLOOKUP(Table1218[[#This Row],[ACCOUNT NUMBER]],Table2[Account No.],Table2[ACCOUNT TYPE],"recheck",0)</f>
        <v>Saving Account</v>
      </c>
      <c r="E167" s="1267" t="s">
        <v>80</v>
      </c>
      <c r="F167" s="926">
        <f>SUMIFS(Table11[CLOSING BALANCE (VND)2],Table11[ACCOUNT NUMBER],Table1218[[#This Row],[ACCOUNT NUMBER]],Table11[CURRENCY],Table1218[[#This Row],[CURRENCY]])</f>
        <v>4500000000</v>
      </c>
      <c r="G167" s="1263"/>
      <c r="H167" s="1267" t="s">
        <v>221</v>
      </c>
      <c r="I167" s="1267"/>
      <c r="J167" s="1267"/>
      <c r="K167" s="1268">
        <v>46055</v>
      </c>
      <c r="L167" s="1259">
        <v>4.4999999999999998E-2</v>
      </c>
      <c r="M167" s="1262" t="str">
        <f>VLOOKUP($A167,Table1[[#All],[Entities]:[Name]],MATCH(M$3,Table1[[#Headers],[Entities]:[Name]],0),0)</f>
        <v>Subsidiaries</v>
      </c>
      <c r="N167" s="1262" t="str">
        <f>IFERROR(VLOOKUP(IFERROR(MID($O167,1,FIND("-",$O167)-2),O167),Table3[#All],2,0),0)</f>
        <v>VCB</v>
      </c>
      <c r="O167" s="1264" t="str">
        <f t="shared" si="9"/>
        <v>VIETCOMBANK - BA DINH</v>
      </c>
      <c r="P167" s="1259"/>
      <c r="Q167" s="1262"/>
      <c r="R167" s="1262"/>
      <c r="S167" s="1265" t="str">
        <f>IF(ISBLANK(Table1218[[#This Row],[Maturity date]]),"","W"&amp;MIN(WEEKNUM($K167+1,2)-WEEKNUM(EOMONTH($K167+1,-1)),4)&amp;TEXT($K167+1,"mmmyy"))</f>
        <v>W1Feb26</v>
      </c>
      <c r="T167" s="1266">
        <f>Table1218[[#This Row],[CLOSING BALANCE 
(VND)]]/1000000000</f>
        <v>4.5</v>
      </c>
      <c r="U16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67" s="1113"/>
      <c r="W167" s="1112"/>
      <c r="X167" s="1115"/>
      <c r="Y167" s="1112"/>
      <c r="Z167" s="1120"/>
      <c r="AA167" s="1112" t="e">
        <v>#N/A</v>
      </c>
      <c r="AB167" s="1112"/>
      <c r="AC167" s="1112"/>
    </row>
    <row r="168" spans="1:29">
      <c r="A168" s="920" t="str">
        <f>IFERROR(VLOOKUP($C168,Table2[#All],3,0),0)</f>
        <v>WINLOCK 2B</v>
      </c>
      <c r="B168" s="921" t="str">
        <f>_xlfn.XLOOKUP(Table1218[[#This Row],[ACCOUNT NUMBER]],Table2[Account No.],Table2[BRANCH],"recheck",0)</f>
        <v>VIETINBANK - TIEN SON</v>
      </c>
      <c r="C168" s="1261" t="s">
        <v>1422</v>
      </c>
      <c r="D168" s="922" t="str">
        <f>_xlfn.XLOOKUP(Table1218[[#This Row],[ACCOUNT NUMBER]],Table2[Account No.],Table2[ACCOUNT TYPE],"recheck",0)</f>
        <v>Saving Account</v>
      </c>
      <c r="E168" s="1267" t="s">
        <v>80</v>
      </c>
      <c r="F168" s="926">
        <f>SUMIFS(Table11[CLOSING BALANCE (VND)2],Table11[ACCOUNT NUMBER],Table1218[[#This Row],[ACCOUNT NUMBER]],Table11[CURRENCY],Table1218[[#This Row],[CURRENCY]])</f>
        <v>4744038499</v>
      </c>
      <c r="G168" s="926"/>
      <c r="H168" s="1129" t="s">
        <v>229</v>
      </c>
      <c r="I168" s="1267"/>
      <c r="J168" s="1267"/>
      <c r="K168" s="1268">
        <v>46342</v>
      </c>
      <c r="L168" s="927">
        <v>4.7E-2</v>
      </c>
      <c r="M168" s="922" t="str">
        <f>VLOOKUP($A168,Table1[[#All],[Entities]:[Name]],MATCH(M$3,Table1[[#Headers],[Entities]:[Name]],0),0)</f>
        <v>Subsidiaries</v>
      </c>
      <c r="N168" s="922" t="str">
        <f>IFERROR(VLOOKUP(IFERROR(MID($O168,1,FIND("-",$O168)-2),O168),Table3[#All],2,0),0)</f>
        <v>VTB</v>
      </c>
      <c r="O168" s="923" t="str">
        <f t="shared" si="9"/>
        <v>VIETINBANK - TIEN SON</v>
      </c>
      <c r="P168" s="927"/>
      <c r="Q168" s="922"/>
      <c r="R168" s="922"/>
      <c r="S168" s="924" t="str">
        <f>IF(ISBLANK(Table1218[[#This Row],[Maturity date]]),"","W"&amp;MIN(WEEKNUM($K168+1,2)-WEEKNUM(EOMONTH($K168+1,-1)),4)&amp;TEXT($K168+1,"mmmyy"))</f>
        <v>W3Nov26</v>
      </c>
      <c r="T168" s="1214">
        <f>Table1218[[#This Row],[CLOSING BALANCE 
(VND)]]/1000000000</f>
        <v>4.7440384990000002</v>
      </c>
      <c r="U168"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10 months</v>
      </c>
      <c r="V168" s="1113"/>
      <c r="W168" s="1112"/>
      <c r="X168" s="1115"/>
      <c r="Y168" s="1112"/>
      <c r="Z168" s="1120"/>
      <c r="AA168" s="1112" t="e">
        <v>#N/A</v>
      </c>
      <c r="AB168" s="1112"/>
      <c r="AC168" s="1112"/>
    </row>
    <row r="169" spans="1:29">
      <c r="A169" s="920" t="str">
        <f>IFERROR(VLOOKUP($C169,Table2[#All],3,0),0)</f>
        <v>WINLOCK 2B</v>
      </c>
      <c r="B169" s="921" t="str">
        <f>_xlfn.XLOOKUP(Table1218[[#This Row],[ACCOUNT NUMBER]],Table2[Account No.],Table2[BRANCH],"recheck",0)</f>
        <v>VIETINBANK - TIEN SON</v>
      </c>
      <c r="C169" s="1143" t="s">
        <v>1425</v>
      </c>
      <c r="D169" s="922" t="str">
        <f>_xlfn.XLOOKUP(Table1218[[#This Row],[ACCOUNT NUMBER]],Table2[Account No.],Table2[ACCOUNT TYPE],"recheck",0)</f>
        <v>Saving Account</v>
      </c>
      <c r="E169" s="1267" t="s">
        <v>80</v>
      </c>
      <c r="F169" s="926">
        <f>SUMIFS(Table11[CLOSING BALANCE (VND)2],Table11[ACCOUNT NUMBER],Table1218[[#This Row],[ACCOUNT NUMBER]],Table11[CURRENCY],Table1218[[#This Row],[CURRENCY]])</f>
        <v>5097490445</v>
      </c>
      <c r="G169" s="926"/>
      <c r="H169" s="1129" t="s">
        <v>229</v>
      </c>
      <c r="I169" s="1267"/>
      <c r="J169" s="1267"/>
      <c r="K169" s="1268">
        <v>46342</v>
      </c>
      <c r="L169" s="927">
        <v>4.7E-2</v>
      </c>
      <c r="M169" s="922" t="str">
        <f>VLOOKUP($A169,Table1[[#All],[Entities]:[Name]],MATCH(M$3,Table1[[#Headers],[Entities]:[Name]],0),0)</f>
        <v>Subsidiaries</v>
      </c>
      <c r="N169" s="922" t="str">
        <f>IFERROR(VLOOKUP(IFERROR(MID($O169,1,FIND("-",$O169)-2),O169),Table3[#All],2,0),0)</f>
        <v>VTB</v>
      </c>
      <c r="O169" s="923" t="str">
        <f t="shared" si="9"/>
        <v>VIETINBANK - TIEN SON</v>
      </c>
      <c r="P169" s="927"/>
      <c r="Q169" s="922"/>
      <c r="R169" s="922"/>
      <c r="S169" s="924" t="str">
        <f>IF(ISBLANK(Table1218[[#This Row],[Maturity date]]),"","W"&amp;MIN(WEEKNUM($K169+1,2)-WEEKNUM(EOMONTH($K169+1,-1)),4)&amp;TEXT($K169+1,"mmmyy"))</f>
        <v>W3Nov26</v>
      </c>
      <c r="T169" s="1214">
        <f>Table1218[[#This Row],[CLOSING BALANCE 
(VND)]]/1000000000</f>
        <v>5.097490445</v>
      </c>
      <c r="U169"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10 months</v>
      </c>
      <c r="V169" s="1113"/>
      <c r="W169" s="1112"/>
      <c r="X169" s="1115"/>
      <c r="Y169" s="1112"/>
      <c r="Z169" s="1120"/>
      <c r="AA169" s="1112" t="e">
        <v>#N/A</v>
      </c>
      <c r="AB169" s="1112"/>
      <c r="AC169" s="1112"/>
    </row>
    <row r="170" spans="1:29">
      <c r="A170" s="920" t="str">
        <f>IFERROR(VLOOKUP($C170,Table2[#All],3,0),0)</f>
        <v>NDV PROJECT CO</v>
      </c>
      <c r="B170" s="921" t="str">
        <f>_xlfn.XLOOKUP(Table1218[[#This Row],[ACCOUNT NUMBER]],Table2[Account No.],Table2[BRANCH],"recheck",0)</f>
        <v>BIDV - THANH XUAN</v>
      </c>
      <c r="C170" s="1143" t="s">
        <v>1442</v>
      </c>
      <c r="D170" s="922" t="str">
        <f>_xlfn.XLOOKUP(Table1218[[#This Row],[ACCOUNT NUMBER]],Table2[Account No.],Table2[ACCOUNT TYPE],"recheck",0)</f>
        <v>Saving Account</v>
      </c>
      <c r="E170" s="1267" t="s">
        <v>80</v>
      </c>
      <c r="F170" s="1140">
        <f>SUMIFS(Table11[CLOSING BALANCE (VND)2],Table11[ACCOUNT NUMBER],Table1218[[#This Row],[ACCOUNT NUMBER]],Table11[CURRENCY],Table1218[[#This Row],[CURRENCY]])</f>
        <v>10000000000</v>
      </c>
      <c r="G170" s="926"/>
      <c r="H170" s="1129" t="s">
        <v>221</v>
      </c>
      <c r="I170" s="1267"/>
      <c r="J170" s="1267"/>
      <c r="K170" s="1268">
        <v>46045</v>
      </c>
      <c r="L170" s="927">
        <v>4.4999999999999998E-2</v>
      </c>
      <c r="M170" s="922" t="str">
        <f>VLOOKUP($A170,Table1[[#All],[Entities]:[Name]],MATCH(M$3,Table1[[#Headers],[Entities]:[Name]],0),0)</f>
        <v>Subsidiaries</v>
      </c>
      <c r="N170" s="922" t="str">
        <f>IFERROR(VLOOKUP(IFERROR(MID($O170,1,FIND("-",$O170)-2),O170),Table3[#All],2,0),0)</f>
        <v>BIDV</v>
      </c>
      <c r="O170" s="923" t="str">
        <f t="shared" si="9"/>
        <v>BIDV - THANH XUAN</v>
      </c>
      <c r="P170" s="927"/>
      <c r="Q170" s="922"/>
      <c r="R170" s="922"/>
      <c r="S170" s="924" t="str">
        <f>IF(ISBLANK(Table1218[[#This Row],[Maturity date]]),"","W"&amp;MIN(WEEKNUM($K170+1,2)-WEEKNUM(EOMONTH($K170+1,-1)),4)&amp;TEXT($K170+1,"mmmyy"))</f>
        <v>W-49Jan26</v>
      </c>
      <c r="T170" s="925">
        <f>Table1218[[#This Row],[CLOSING BALANCE 
(VND)]]/1000000000</f>
        <v>10</v>
      </c>
      <c r="U17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70" s="1113"/>
      <c r="W170" s="1112"/>
      <c r="X170" s="1115"/>
      <c r="Y170" s="1112"/>
      <c r="Z170" s="1120"/>
      <c r="AA170" s="1112" t="e">
        <v>#N/A</v>
      </c>
      <c r="AB170" s="1112"/>
      <c r="AC170" s="1112"/>
    </row>
    <row r="171" spans="1:29">
      <c r="A171" s="919" t="str">
        <f>IFERROR(VLOOKUP($C171,Table2[#All],3,0),0)</f>
        <v>BWID THOI HOA 2</v>
      </c>
      <c r="B171" s="1260" t="str">
        <f>_xlfn.XLOOKUP(Table1218[[#This Row],[ACCOUNT NUMBER]],Table2[Account No.],Table2[BRANCH],"recheck",0)</f>
        <v>KBank - HCM</v>
      </c>
      <c r="C171" s="1261" t="s">
        <v>1430</v>
      </c>
      <c r="D171" s="1262" t="str">
        <f>_xlfn.XLOOKUP(Table1218[[#This Row],[ACCOUNT NUMBER]],Table2[Account No.],Table2[ACCOUNT TYPE],"recheck",0)</f>
        <v>Saving Account</v>
      </c>
      <c r="E171" s="1267" t="s">
        <v>80</v>
      </c>
      <c r="F171" s="926">
        <f>SUMIFS(Table11[CLOSING BALANCE (VND)2],Table11[ACCOUNT NUMBER],Table1218[[#This Row],[ACCOUNT NUMBER]],Table11[CURRENCY],Table1218[[#This Row],[CURRENCY]])</f>
        <v>10000000000</v>
      </c>
      <c r="G171" s="1263"/>
      <c r="H171" s="1267" t="s">
        <v>219</v>
      </c>
      <c r="I171" s="1267"/>
      <c r="J171" s="1267"/>
      <c r="K171" s="1268">
        <v>46046</v>
      </c>
      <c r="L171" s="1259">
        <v>4.7500000000000001E-2</v>
      </c>
      <c r="M171" s="1262" t="str">
        <f>VLOOKUP($A171,Table1[[#All],[Entities]:[Name]],MATCH(M$3,Table1[[#Headers],[Entities]:[Name]],0),0)</f>
        <v>Subsidiaries</v>
      </c>
      <c r="N171" s="1262" t="str">
        <f>IFERROR(VLOOKUP(IFERROR(MID($O171,1,FIND("-",$O171)-2),O171),Table3[#All],2,0),0)</f>
        <v>KBANK</v>
      </c>
      <c r="O171" s="1264" t="str">
        <f t="shared" si="9"/>
        <v>KBank - HCM</v>
      </c>
      <c r="P171" s="1259"/>
      <c r="Q171" s="1262"/>
      <c r="R171" s="1262"/>
      <c r="S171" s="1265" t="str">
        <f>IF(ISBLANK(Table1218[[#This Row],[Maturity date]]),"","W"&amp;MIN(WEEKNUM($K171+1,2)-WEEKNUM(EOMONTH($K171+1,-1)),4)&amp;TEXT($K171+1,"mmmyy"))</f>
        <v>W-49Jan26</v>
      </c>
      <c r="T171" s="1266">
        <f>Table1218[[#This Row],[CLOSING BALANCE 
(VND)]]/1000000000</f>
        <v>10</v>
      </c>
      <c r="U17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71" s="1113"/>
      <c r="W171" s="1112"/>
      <c r="X171" s="1115"/>
      <c r="Y171" s="1112"/>
      <c r="Z171" s="1120"/>
      <c r="AA171" s="1112" t="e">
        <v>#N/A</v>
      </c>
      <c r="AB171" s="1112"/>
      <c r="AC171" s="1112"/>
    </row>
    <row r="172" spans="1:29">
      <c r="A172" s="919" t="str">
        <f>IFERROR(VLOOKUP($C172,Table2[#All],3,0),0)</f>
        <v>BW BAU BANG 01</v>
      </c>
      <c r="B172" s="1260" t="str">
        <f>_xlfn.XLOOKUP(Table1218[[#This Row],[ACCOUNT NUMBER]],Table2[Account No.],Table2[BRANCH],"recheck",0)</f>
        <v>VIETINBANK - BINH DUONG</v>
      </c>
      <c r="C172" s="1261" t="s">
        <v>1445</v>
      </c>
      <c r="D172" s="1262" t="str">
        <f>_xlfn.XLOOKUP(Table1218[[#This Row],[ACCOUNT NUMBER]],Table2[Account No.],Table2[ACCOUNT TYPE],"recheck",0)</f>
        <v>Saving Account</v>
      </c>
      <c r="E172" s="1267" t="s">
        <v>80</v>
      </c>
      <c r="F172" s="926">
        <f>SUMIFS(Table11[CLOSING BALANCE (VND)2],Table11[ACCOUNT NUMBER],Table1218[[#This Row],[ACCOUNT NUMBER]],Table11[CURRENCY],Table1218[[#This Row],[CURRENCY]])</f>
        <v>20000000000</v>
      </c>
      <c r="G172" s="1263"/>
      <c r="H172" s="1267" t="s">
        <v>220</v>
      </c>
      <c r="I172" s="1267"/>
      <c r="J172" s="1267"/>
      <c r="K172" s="1268">
        <v>46069</v>
      </c>
      <c r="L172" s="1259">
        <v>4.7500000000000001E-2</v>
      </c>
      <c r="M172" s="1262" t="str">
        <f>VLOOKUP($A172,Table1[[#All],[Entities]:[Name]],MATCH(M$3,Table1[[#Headers],[Entities]:[Name]],0),0)</f>
        <v>Subsidiaries</v>
      </c>
      <c r="N172" s="1262" t="str">
        <f>IFERROR(VLOOKUP(IFERROR(MID($O172,1,FIND("-",$O172)-2),O172),Table3[#All],2,0),0)</f>
        <v>VTB</v>
      </c>
      <c r="O172" s="1264" t="str">
        <f t="shared" ref="O172:O186" si="10">B172</f>
        <v>VIETINBANK - BINH DUONG</v>
      </c>
      <c r="P172" s="1259"/>
      <c r="Q172" s="1262"/>
      <c r="R172" s="1262"/>
      <c r="S172" s="1265" t="str">
        <f>IF(ISBLANK(Table1218[[#This Row],[Maturity date]]),"","W"&amp;MIN(WEEKNUM($K172+1,2)-WEEKNUM(EOMONTH($K172+1,-1)),4)&amp;TEXT($K172+1,"mmmyy"))</f>
        <v>W3Feb26</v>
      </c>
      <c r="T172" s="1266">
        <f>Table1218[[#This Row],[CLOSING BALANCE 
(VND)]]/1000000000</f>
        <v>20</v>
      </c>
      <c r="U17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72" s="1113"/>
      <c r="W172" s="1112"/>
      <c r="X172" s="1115"/>
      <c r="Y172" s="1112"/>
      <c r="Z172" s="1120"/>
      <c r="AA172" s="1112" t="e">
        <v>#N/A</v>
      </c>
      <c r="AB172" s="1112"/>
      <c r="AC172" s="1112"/>
    </row>
    <row r="173" spans="1:29">
      <c r="A173" s="919" t="str">
        <f>IFERROR(VLOOKUP($C173,Table2[#All],3,0),0)</f>
        <v>BW BAU BANG 01</v>
      </c>
      <c r="B173" s="1260" t="str">
        <f>_xlfn.XLOOKUP(Table1218[[#This Row],[ACCOUNT NUMBER]],Table2[Account No.],Table2[BRANCH],"recheck",0)</f>
        <v>VIETINBANK - BINH DUONG</v>
      </c>
      <c r="C173" s="1261" t="s">
        <v>1443</v>
      </c>
      <c r="D173" s="1262" t="str">
        <f>_xlfn.XLOOKUP(Table1218[[#This Row],[ACCOUNT NUMBER]],Table2[Account No.],Table2[ACCOUNT TYPE],"recheck",0)</f>
        <v>Saving Account</v>
      </c>
      <c r="E173" s="1267" t="s">
        <v>80</v>
      </c>
      <c r="F173" s="926">
        <f>SUMIFS(Table11[CLOSING BALANCE (VND)2],Table11[ACCOUNT NUMBER],Table1218[[#This Row],[ACCOUNT NUMBER]],Table11[CURRENCY],Table1218[[#This Row],[CURRENCY]])</f>
        <v>20000000000</v>
      </c>
      <c r="G173" s="1263"/>
      <c r="H173" s="1267" t="s">
        <v>221</v>
      </c>
      <c r="I173" s="1267"/>
      <c r="J173" s="1267"/>
      <c r="K173" s="1268">
        <v>46048</v>
      </c>
      <c r="L173" s="1259">
        <v>4.4999999999999998E-2</v>
      </c>
      <c r="M173" s="1262" t="str">
        <f>VLOOKUP($A173,Table1[[#All],[Entities]:[Name]],MATCH(M$3,Table1[[#Headers],[Entities]:[Name]],0),0)</f>
        <v>Subsidiaries</v>
      </c>
      <c r="N173" s="1262" t="str">
        <f>IFERROR(VLOOKUP(IFERROR(MID($O173,1,FIND("-",$O173)-2),O173),Table3[#All],2,0),0)</f>
        <v>VTB</v>
      </c>
      <c r="O173" s="1264" t="str">
        <f t="shared" si="10"/>
        <v>VIETINBANK - BINH DUONG</v>
      </c>
      <c r="P173" s="1259"/>
      <c r="Q173" s="1262"/>
      <c r="R173" s="1262"/>
      <c r="S173" s="1265" t="str">
        <f>IF(ISBLANK(Table1218[[#This Row],[Maturity date]]),"","W"&amp;MIN(WEEKNUM($K173+1,2)-WEEKNUM(EOMONTH($K173+1,-1)),4)&amp;TEXT($K173+1,"mmmyy"))</f>
        <v>W-48Jan26</v>
      </c>
      <c r="T173" s="1266">
        <f>Table1218[[#This Row],[CLOSING BALANCE 
(VND)]]/1000000000</f>
        <v>20</v>
      </c>
      <c r="U17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73" s="1113"/>
      <c r="W173" s="1112"/>
      <c r="X173" s="1115"/>
      <c r="Y173" s="1112"/>
      <c r="Z173" s="1120"/>
      <c r="AA173" s="1112" t="e">
        <v>#N/A</v>
      </c>
      <c r="AB173" s="1112"/>
      <c r="AC173" s="1112"/>
    </row>
    <row r="174" spans="1:29">
      <c r="A174" s="919" t="str">
        <f>IFERROR(VLOOKUP($C174,Table2[#All],3,0),0)</f>
        <v>BW BAU BANG 01</v>
      </c>
      <c r="B174" s="1260" t="str">
        <f>_xlfn.XLOOKUP(Table1218[[#This Row],[ACCOUNT NUMBER]],Table2[Account No.],Table2[BRANCH],"recheck",0)</f>
        <v>VIETINBANK - BINH DUONG</v>
      </c>
      <c r="C174" s="1261" t="s">
        <v>1441</v>
      </c>
      <c r="D174" s="1262" t="str">
        <f>_xlfn.XLOOKUP(Table1218[[#This Row],[ACCOUNT NUMBER]],Table2[Account No.],Table2[ACCOUNT TYPE],"recheck",0)</f>
        <v>Saving Account</v>
      </c>
      <c r="E174" s="1267" t="s">
        <v>80</v>
      </c>
      <c r="F174" s="926">
        <f>SUMIFS(Table11[CLOSING BALANCE (VND)2],Table11[ACCOUNT NUMBER],Table1218[[#This Row],[ACCOUNT NUMBER]],Table11[CURRENCY],Table1218[[#This Row],[CURRENCY]])</f>
        <v>15000000000</v>
      </c>
      <c r="G174" s="1263"/>
      <c r="H174" s="1267" t="s">
        <v>220</v>
      </c>
      <c r="I174" s="1267"/>
      <c r="J174" s="1267"/>
      <c r="K174" s="1268">
        <v>46048</v>
      </c>
      <c r="L174" s="1259">
        <v>4.7500000000000001E-2</v>
      </c>
      <c r="M174" s="1262" t="str">
        <f>VLOOKUP($A174,Table1[[#All],[Entities]:[Name]],MATCH(M$3,Table1[[#Headers],[Entities]:[Name]],0),0)</f>
        <v>Subsidiaries</v>
      </c>
      <c r="N174" s="1262" t="str">
        <f>IFERROR(VLOOKUP(IFERROR(MID($O174,1,FIND("-",$O174)-2),O174),Table3[#All],2,0),0)</f>
        <v>VTB</v>
      </c>
      <c r="O174" s="1264" t="str">
        <f t="shared" si="10"/>
        <v>VIETINBANK - BINH DUONG</v>
      </c>
      <c r="P174" s="1259"/>
      <c r="Q174" s="1262"/>
      <c r="R174" s="1262"/>
      <c r="S174" s="1265" t="str">
        <f>IF(ISBLANK(Table1218[[#This Row],[Maturity date]]),"","W"&amp;MIN(WEEKNUM($K174+1,2)-WEEKNUM(EOMONTH($K174+1,-1)),4)&amp;TEXT($K174+1,"mmmyy"))</f>
        <v>W-48Jan26</v>
      </c>
      <c r="T174" s="1266">
        <f>Table1218[[#This Row],[CLOSING BALANCE 
(VND)]]/1000000000</f>
        <v>15</v>
      </c>
      <c r="U17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74" s="1113"/>
      <c r="W174" s="1112"/>
      <c r="X174" s="1115"/>
      <c r="Y174" s="1112"/>
      <c r="Z174" s="1120"/>
      <c r="AA174" s="1112" t="e">
        <v>#N/A</v>
      </c>
      <c r="AB174" s="1112"/>
      <c r="AC174" s="1112"/>
    </row>
    <row r="175" spans="1:29">
      <c r="A175" s="919" t="str">
        <f>IFERROR(VLOOKUP($C175,Table2[#All],3,0),0)</f>
        <v>GREAT KINGDOM NT 2</v>
      </c>
      <c r="B175" s="1260" t="str">
        <f>_xlfn.XLOOKUP(Table1218[[#This Row],[ACCOUNT NUMBER]],Table2[Account No.],Table2[BRANCH],"recheck",0)</f>
        <v>VIETINBANK - DONG SAI GON</v>
      </c>
      <c r="C175" s="1261" t="s">
        <v>1439</v>
      </c>
      <c r="D175" s="1262" t="str">
        <f>_xlfn.XLOOKUP(Table1218[[#This Row],[ACCOUNT NUMBER]],Table2[Account No.],Table2[ACCOUNT TYPE],"recheck",0)</f>
        <v>Saving Account</v>
      </c>
      <c r="E175" s="1267" t="s">
        <v>80</v>
      </c>
      <c r="F175" s="926">
        <f>SUMIFS(Table11[CLOSING BALANCE (VND)2],Table11[ACCOUNT NUMBER],Table1218[[#This Row],[ACCOUNT NUMBER]],Table11[CURRENCY],Table1218[[#This Row],[CURRENCY]])</f>
        <v>5000000000</v>
      </c>
      <c r="G175" s="1263"/>
      <c r="H175" s="1267" t="s">
        <v>220</v>
      </c>
      <c r="I175" s="1267"/>
      <c r="J175" s="1267"/>
      <c r="K175" s="1268">
        <v>46048</v>
      </c>
      <c r="L175" s="1259">
        <v>4.7500000000000001E-2</v>
      </c>
      <c r="M175" s="1262" t="str">
        <f>VLOOKUP($A175,Table1[[#All],[Entities]:[Name]],MATCH(M$3,Table1[[#Headers],[Entities]:[Name]],0),0)</f>
        <v>Subsidiaries</v>
      </c>
      <c r="N175" s="1262" t="str">
        <f>IFERROR(VLOOKUP(IFERROR(MID($O175,1,FIND("-",$O175)-2),O175),Table3[#All],2,0),0)</f>
        <v>VTB</v>
      </c>
      <c r="O175" s="1264" t="str">
        <f t="shared" si="10"/>
        <v>VIETINBANK - DONG SAI GON</v>
      </c>
      <c r="P175" s="1259"/>
      <c r="Q175" s="1262"/>
      <c r="R175" s="1262"/>
      <c r="S175" s="1265" t="str">
        <f>IF(ISBLANK(Table1218[[#This Row],[Maturity date]]),"","W"&amp;MIN(WEEKNUM($K175+1,2)-WEEKNUM(EOMONTH($K175+1,-1)),4)&amp;TEXT($K175+1,"mmmyy"))</f>
        <v>W-48Jan26</v>
      </c>
      <c r="T175" s="1266">
        <f>Table1218[[#This Row],[CLOSING BALANCE 
(VND)]]/1000000000</f>
        <v>5</v>
      </c>
      <c r="U17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75" s="1113"/>
      <c r="W175" s="1112"/>
      <c r="X175" s="1115"/>
      <c r="Y175" s="1112"/>
      <c r="Z175" s="1120"/>
      <c r="AA175" s="1112" t="e">
        <v>#N/A</v>
      </c>
      <c r="AB175" s="1112"/>
      <c r="AC175" s="1112"/>
    </row>
    <row r="176" spans="1:29">
      <c r="A176" s="919" t="str">
        <f>IFERROR(VLOOKUP($C176,Table2[#All],3,0),0)</f>
        <v>VINA PARTNERS INVESTMENT</v>
      </c>
      <c r="B176" s="1260" t="str">
        <f>_xlfn.XLOOKUP(Table1218[[#This Row],[ACCOUNT NUMBER]],Table2[Account No.],Table2[BRANCH],"recheck",0)</f>
        <v>VIETINBANK - CN1</v>
      </c>
      <c r="C176" s="1269" t="s">
        <v>1437</v>
      </c>
      <c r="D176" s="1262" t="str">
        <f>_xlfn.XLOOKUP(Table1218[[#This Row],[ACCOUNT NUMBER]],Table2[Account No.],Table2[ACCOUNT TYPE],"recheck",0)</f>
        <v>Saving Account</v>
      </c>
      <c r="E176" s="1267" t="s">
        <v>80</v>
      </c>
      <c r="F176" s="926">
        <f>SUMIFS(Table11[CLOSING BALANCE (VND)2],Table11[ACCOUNT NUMBER],Table1218[[#This Row],[ACCOUNT NUMBER]],Table11[CURRENCY],Table1218[[#This Row],[CURRENCY]])</f>
        <v>7000000000</v>
      </c>
      <c r="G176" s="1263"/>
      <c r="H176" s="1267" t="s">
        <v>219</v>
      </c>
      <c r="I176" s="1267"/>
      <c r="J176" s="1267"/>
      <c r="K176" s="1268">
        <v>46046</v>
      </c>
      <c r="L176" s="1259">
        <v>4.7500000000000001E-2</v>
      </c>
      <c r="M176" s="1262" t="str">
        <f>VLOOKUP($A176,Table1[[#All],[Entities]:[Name]],MATCH(M$3,Table1[[#Headers],[Entities]:[Name]],0),0)</f>
        <v>Subsidiaries</v>
      </c>
      <c r="N176" s="1262" t="str">
        <f>IFERROR(VLOOKUP(IFERROR(MID($O176,1,FIND("-",$O176)-2),O176),Table3[#All],2,0),0)</f>
        <v>VTB</v>
      </c>
      <c r="O176" s="1264" t="str">
        <f t="shared" si="10"/>
        <v>VIETINBANK - CN1</v>
      </c>
      <c r="P176" s="1259"/>
      <c r="Q176" s="1262"/>
      <c r="R176" s="1262"/>
      <c r="S176" s="1265" t="str">
        <f>IF(ISBLANK(Table1218[[#This Row],[Maturity date]]),"","W"&amp;MIN(WEEKNUM($K176+1,2)-WEEKNUM(EOMONTH($K176+1,-1)),4)&amp;TEXT($K176+1,"mmmyy"))</f>
        <v>W-49Jan26</v>
      </c>
      <c r="T176" s="1266">
        <f>Table1218[[#This Row],[CLOSING BALANCE 
(VND)]]/1000000000</f>
        <v>7</v>
      </c>
      <c r="U17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76" s="1113"/>
      <c r="W176" s="1112"/>
      <c r="X176" s="1115"/>
      <c r="Y176" s="1112"/>
      <c r="Z176" s="1120"/>
      <c r="AA176" s="1112" t="e">
        <v>#N/A</v>
      </c>
      <c r="AB176" s="1112"/>
      <c r="AC176" s="1112"/>
    </row>
    <row r="177" spans="1:29">
      <c r="A177" s="919" t="str">
        <f>IFERROR(VLOOKUP($C177,Table2[#All],3,0),0)</f>
        <v>VINA PARTNERS INVESTMENT</v>
      </c>
      <c r="B177" s="1260" t="str">
        <f>_xlfn.XLOOKUP(Table1218[[#This Row],[ACCOUNT NUMBER]],Table2[Account No.],Table2[BRANCH],"recheck",0)</f>
        <v>VIETINBANK - CN1</v>
      </c>
      <c r="C177" s="1261" t="s">
        <v>1434</v>
      </c>
      <c r="D177" s="1262" t="str">
        <f>_xlfn.XLOOKUP(Table1218[[#This Row],[ACCOUNT NUMBER]],Table2[Account No.],Table2[ACCOUNT TYPE],"recheck",0)</f>
        <v>Saving Account</v>
      </c>
      <c r="E177" s="1267" t="s">
        <v>80</v>
      </c>
      <c r="F177" s="926">
        <f>SUMIFS(Table11[CLOSING BALANCE (VND)2],Table11[ACCOUNT NUMBER],Table1218[[#This Row],[ACCOUNT NUMBER]],Table11[CURRENCY],Table1218[[#This Row],[CURRENCY]])</f>
        <v>11000000000</v>
      </c>
      <c r="G177" s="1263"/>
      <c r="H177" s="1267" t="s">
        <v>221</v>
      </c>
      <c r="I177" s="1267"/>
      <c r="J177" s="1267"/>
      <c r="K177" s="1268">
        <v>46048</v>
      </c>
      <c r="L177" s="1259">
        <v>4.4999999999999998E-2</v>
      </c>
      <c r="M177" s="1262" t="str">
        <f>VLOOKUP($A177,Table1[[#All],[Entities]:[Name]],MATCH(M$3,Table1[[#Headers],[Entities]:[Name]],0),0)</f>
        <v>Subsidiaries</v>
      </c>
      <c r="N177" s="1262" t="str">
        <f>IFERROR(VLOOKUP(IFERROR(MID($O177,1,FIND("-",$O177)-2),O177),Table3[#All],2,0),0)</f>
        <v>VTB</v>
      </c>
      <c r="O177" s="1264" t="str">
        <f t="shared" si="10"/>
        <v>VIETINBANK - CN1</v>
      </c>
      <c r="P177" s="1259"/>
      <c r="Q177" s="1262"/>
      <c r="R177" s="1262"/>
      <c r="S177" s="1265" t="str">
        <f>IF(ISBLANK(Table1218[[#This Row],[Maturity date]]),"","W"&amp;MIN(WEEKNUM($K177+1,2)-WEEKNUM(EOMONTH($K177+1,-1)),4)&amp;TEXT($K177+1,"mmmyy"))</f>
        <v>W-48Jan26</v>
      </c>
      <c r="T177" s="1266">
        <f>Table1218[[#This Row],[CLOSING BALANCE 
(VND)]]/1000000000</f>
        <v>11</v>
      </c>
      <c r="U17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77" s="1113"/>
      <c r="W177" s="1112"/>
      <c r="X177" s="1115"/>
      <c r="Y177" s="1112"/>
      <c r="Z177" s="1120"/>
      <c r="AA177" s="1112" t="e">
        <v>#N/A</v>
      </c>
      <c r="AB177" s="1112"/>
      <c r="AC177" s="1112"/>
    </row>
    <row r="178" spans="1:29">
      <c r="A178" s="919" t="str">
        <f>IFERROR(VLOOKUP($C178,Table2[#All],3,0),0)</f>
        <v>WINLOCK 2A</v>
      </c>
      <c r="B178" s="1260" t="str">
        <f>_xlfn.XLOOKUP(Table1218[[#This Row],[ACCOUNT NUMBER]],Table2[Account No.],Table2[BRANCH],"recheck",0)</f>
        <v>VIETINBANK - TIEN SON</v>
      </c>
      <c r="C178" s="1261" t="s">
        <v>1435</v>
      </c>
      <c r="D178" s="1262" t="str">
        <f>_xlfn.XLOOKUP(Table1218[[#This Row],[ACCOUNT NUMBER]],Table2[Account No.],Table2[ACCOUNT TYPE],"recheck",0)</f>
        <v>Saving Account</v>
      </c>
      <c r="E178" s="1267" t="s">
        <v>80</v>
      </c>
      <c r="F178" s="926">
        <f>SUMIFS(Table11[CLOSING BALANCE (VND)2],Table11[ACCOUNT NUMBER],Table1218[[#This Row],[ACCOUNT NUMBER]],Table11[CURRENCY],Table1218[[#This Row],[CURRENCY]])</f>
        <v>4000000000</v>
      </c>
      <c r="G178" s="1263"/>
      <c r="H178" s="1267" t="s">
        <v>219</v>
      </c>
      <c r="I178" s="1267"/>
      <c r="J178" s="1267"/>
      <c r="K178" s="1268">
        <v>46049</v>
      </c>
      <c r="L178" s="1259">
        <v>4.7500000000000001E-2</v>
      </c>
      <c r="M178" s="1262" t="str">
        <f>VLOOKUP($A178,Table1[[#All],[Entities]:[Name]],MATCH(M$3,Table1[[#Headers],[Entities]:[Name]],0),0)</f>
        <v>Subsidiaries</v>
      </c>
      <c r="N178" s="1262" t="str">
        <f>IFERROR(VLOOKUP(IFERROR(MID($O178,1,FIND("-",$O178)-2),O178),Table3[#All],2,0),0)</f>
        <v>VTB</v>
      </c>
      <c r="O178" s="1264" t="str">
        <f t="shared" si="10"/>
        <v>VIETINBANK - TIEN SON</v>
      </c>
      <c r="P178" s="1259"/>
      <c r="Q178" s="1262"/>
      <c r="R178" s="1262"/>
      <c r="S178" s="1265" t="str">
        <f>IF(ISBLANK(Table1218[[#This Row],[Maturity date]]),"","W"&amp;MIN(WEEKNUM($K178+1,2)-WEEKNUM(EOMONTH($K178+1,-1)),4)&amp;TEXT($K178+1,"mmmyy"))</f>
        <v>W-48Jan26</v>
      </c>
      <c r="T178" s="1266">
        <f>Table1218[[#This Row],[CLOSING BALANCE 
(VND)]]/1000000000</f>
        <v>4</v>
      </c>
      <c r="U17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78" s="1113"/>
      <c r="W178" s="1112"/>
      <c r="X178" s="1115"/>
      <c r="Y178" s="1112"/>
      <c r="Z178" s="1120"/>
      <c r="AA178" s="1112" t="e">
        <v>#N/A</v>
      </c>
      <c r="AB178" s="1112"/>
      <c r="AC178" s="1112"/>
    </row>
    <row r="179" spans="1:29">
      <c r="A179" s="919" t="str">
        <f>IFERROR(VLOOKUP($C179,Table2[#All],3,0),0)</f>
        <v>WINLOCK 2A</v>
      </c>
      <c r="B179" s="1260" t="str">
        <f>_xlfn.XLOOKUP(Table1218[[#This Row],[ACCOUNT NUMBER]],Table2[Account No.],Table2[BRANCH],"recheck",0)</f>
        <v>VIETINBANK - TIEN SON</v>
      </c>
      <c r="C179" s="1261" t="s">
        <v>1432</v>
      </c>
      <c r="D179" s="1262" t="str">
        <f>_xlfn.XLOOKUP(Table1218[[#This Row],[ACCOUNT NUMBER]],Table2[Account No.],Table2[ACCOUNT TYPE],"recheck",0)</f>
        <v>Saving Account</v>
      </c>
      <c r="E179" s="1267" t="s">
        <v>80</v>
      </c>
      <c r="F179" s="926">
        <f>SUMIFS(Table11[CLOSING BALANCE (VND)2],Table11[ACCOUNT NUMBER],Table1218[[#This Row],[ACCOUNT NUMBER]],Table11[CURRENCY],Table1218[[#This Row],[CURRENCY]])</f>
        <v>5000000000</v>
      </c>
      <c r="G179" s="1263"/>
      <c r="H179" s="1267" t="s">
        <v>219</v>
      </c>
      <c r="I179" s="1267"/>
      <c r="J179" s="1267"/>
      <c r="K179" s="1268">
        <v>46049</v>
      </c>
      <c r="L179" s="1259">
        <v>4.7500000000000001E-2</v>
      </c>
      <c r="M179" s="1262" t="str">
        <f>VLOOKUP($A179,Table1[[#All],[Entities]:[Name]],MATCH(M$3,Table1[[#Headers],[Entities]:[Name]],0),0)</f>
        <v>Subsidiaries</v>
      </c>
      <c r="N179" s="1262" t="str">
        <f>IFERROR(VLOOKUP(IFERROR(MID($O179,1,FIND("-",$O179)-2),O179),Table3[#All],2,0),0)</f>
        <v>VTB</v>
      </c>
      <c r="O179" s="1264" t="str">
        <f t="shared" si="10"/>
        <v>VIETINBANK - TIEN SON</v>
      </c>
      <c r="P179" s="1259"/>
      <c r="Q179" s="1262"/>
      <c r="R179" s="1262"/>
      <c r="S179" s="1265" t="str">
        <f>IF(ISBLANK(Table1218[[#This Row],[Maturity date]]),"","W"&amp;MIN(WEEKNUM($K179+1,2)-WEEKNUM(EOMONTH($K179+1,-1)),4)&amp;TEXT($K179+1,"mmmyy"))</f>
        <v>W-48Jan26</v>
      </c>
      <c r="T179" s="1266">
        <f>Table1218[[#This Row],[CLOSING BALANCE 
(VND)]]/1000000000</f>
        <v>5</v>
      </c>
      <c r="U17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79" s="1113"/>
      <c r="W179" s="1112"/>
      <c r="X179" s="1115"/>
      <c r="Y179" s="1112"/>
      <c r="Z179" s="1120"/>
      <c r="AA179" s="1112" t="e">
        <v>#N/A</v>
      </c>
      <c r="AB179" s="1112"/>
      <c r="AC179" s="1112"/>
    </row>
    <row r="180" spans="1:29">
      <c r="A180" s="919" t="str">
        <f>IFERROR(VLOOKUP($C180,Table2[#All],3,0),0)</f>
        <v>BAU BANG 6</v>
      </c>
      <c r="B180" s="1260" t="str">
        <f>_xlfn.XLOOKUP(Table1218[[#This Row],[ACCOUNT NUMBER]],Table2[Account No.],Table2[BRANCH],"recheck",0)</f>
        <v>VIETINBANK - BINH DUONG</v>
      </c>
      <c r="C180" s="1261" t="s">
        <v>1429</v>
      </c>
      <c r="D180" s="1262" t="str">
        <f>_xlfn.XLOOKUP(Table1218[[#This Row],[ACCOUNT NUMBER]],Table2[Account No.],Table2[ACCOUNT TYPE],"recheck",0)</f>
        <v>Saving Account</v>
      </c>
      <c r="E180" s="1267" t="s">
        <v>80</v>
      </c>
      <c r="F180" s="926">
        <f>SUMIFS(Table11[CLOSING BALANCE (VND)2],Table11[ACCOUNT NUMBER],Table1218[[#This Row],[ACCOUNT NUMBER]],Table11[CURRENCY],Table1218[[#This Row],[CURRENCY]])</f>
        <v>20000000000</v>
      </c>
      <c r="G180" s="1263"/>
      <c r="H180" s="1267" t="s">
        <v>219</v>
      </c>
      <c r="I180" s="1267"/>
      <c r="J180" s="1267"/>
      <c r="K180" s="1268">
        <v>46044</v>
      </c>
      <c r="L180" s="1259">
        <v>4.7500000000000001E-2</v>
      </c>
      <c r="M180" s="1262" t="str">
        <f>VLOOKUP($A180,Table1[[#All],[Entities]:[Name]],MATCH(M$3,Table1[[#Headers],[Entities]:[Name]],0),0)</f>
        <v>Subsidiaries</v>
      </c>
      <c r="N180" s="1262" t="str">
        <f>IFERROR(VLOOKUP(IFERROR(MID($O180,1,FIND("-",$O180)-2),O180),Table3[#All],2,0),0)</f>
        <v>VTB</v>
      </c>
      <c r="O180" s="1264" t="str">
        <f t="shared" si="10"/>
        <v>VIETINBANK - BINH DUONG</v>
      </c>
      <c r="P180" s="1259"/>
      <c r="Q180" s="1262"/>
      <c r="R180" s="1262"/>
      <c r="S180" s="1265" t="str">
        <f>IF(ISBLANK(Table1218[[#This Row],[Maturity date]]),"","W"&amp;MIN(WEEKNUM($K180+1,2)-WEEKNUM(EOMONTH($K180+1,-1)),4)&amp;TEXT($K180+1,"mmmyy"))</f>
        <v>W-49Jan26</v>
      </c>
      <c r="T180" s="1266">
        <f>Table1218[[#This Row],[CLOSING BALANCE 
(VND)]]/1000000000</f>
        <v>20</v>
      </c>
      <c r="U18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80" s="1113"/>
      <c r="W180" s="1112"/>
      <c r="X180" s="1115"/>
      <c r="Y180" s="1112"/>
      <c r="Z180" s="1120"/>
      <c r="AA180" s="1112" t="e">
        <v>#N/A</v>
      </c>
      <c r="AB180" s="1112"/>
      <c r="AC180" s="1112"/>
    </row>
    <row r="181" spans="1:29">
      <c r="A181" s="919" t="str">
        <f>IFERROR(VLOOKUP($C181,Table2[#All],3,0),0)</f>
        <v>BWID HAI PHONG</v>
      </c>
      <c r="B181" s="1260" t="str">
        <f>_xlfn.XLOOKUP(Table1218[[#This Row],[ACCOUNT NUMBER]],Table2[Account No.],Table2[BRANCH],"recheck",0)</f>
        <v>VIETINBANK - TIEN SON</v>
      </c>
      <c r="C181" s="1261" t="s">
        <v>1428</v>
      </c>
      <c r="D181" s="1262" t="str">
        <f>_xlfn.XLOOKUP(Table1218[[#This Row],[ACCOUNT NUMBER]],Table2[Account No.],Table2[ACCOUNT TYPE],"recheck",0)</f>
        <v>Saving Account</v>
      </c>
      <c r="E181" s="1267" t="s">
        <v>80</v>
      </c>
      <c r="F181" s="926">
        <f>SUMIFS(Table11[CLOSING BALANCE (VND)2],Table11[ACCOUNT NUMBER],Table1218[[#This Row],[ACCOUNT NUMBER]],Table11[CURRENCY],Table1218[[#This Row],[CURRENCY]])</f>
        <v>3000000000</v>
      </c>
      <c r="G181" s="1263"/>
      <c r="H181" s="1267" t="s">
        <v>220</v>
      </c>
      <c r="I181" s="1267"/>
      <c r="J181" s="1267"/>
      <c r="K181" s="1268">
        <v>46048</v>
      </c>
      <c r="L181" s="1259">
        <v>4.7500000000000001E-2</v>
      </c>
      <c r="M181" s="1262" t="str">
        <f>VLOOKUP($A181,Table1[[#All],[Entities]:[Name]],MATCH(M$3,Table1[[#Headers],[Entities]:[Name]],0),0)</f>
        <v>Subsidiaries</v>
      </c>
      <c r="N181" s="1262" t="str">
        <f>IFERROR(VLOOKUP(IFERROR(MID($O181,1,FIND("-",$O181)-2),O181),Table3[#All],2,0),0)</f>
        <v>VTB</v>
      </c>
      <c r="O181" s="1264" t="str">
        <f t="shared" si="10"/>
        <v>VIETINBANK - TIEN SON</v>
      </c>
      <c r="P181" s="1259"/>
      <c r="Q181" s="1262"/>
      <c r="R181" s="1262"/>
      <c r="S181" s="1265" t="str">
        <f>IF(ISBLANK(Table1218[[#This Row],[Maturity date]]),"","W"&amp;MIN(WEEKNUM($K181+1,2)-WEEKNUM(EOMONTH($K181+1,-1)),4)&amp;TEXT($K181+1,"mmmyy"))</f>
        <v>W-48Jan26</v>
      </c>
      <c r="T181" s="1266">
        <f>Table1218[[#This Row],[CLOSING BALANCE 
(VND)]]/1000000000</f>
        <v>3</v>
      </c>
      <c r="U18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81" s="1113"/>
      <c r="W181" s="1112"/>
      <c r="X181" s="1115"/>
      <c r="Y181" s="1112"/>
      <c r="Z181" s="1120"/>
      <c r="AA181" s="1112" t="e">
        <v>#N/A</v>
      </c>
      <c r="AB181" s="1112"/>
      <c r="AC181" s="1112"/>
    </row>
    <row r="182" spans="1:29">
      <c r="A182" s="919" t="str">
        <f>IFERROR(VLOOKUP($C182,Table2[#All],3,0),0)</f>
        <v>XENIA 1</v>
      </c>
      <c r="B182" s="1260" t="str">
        <f>_xlfn.XLOOKUP(Table1218[[#This Row],[ACCOUNT NUMBER]],Table2[Account No.],Table2[BRANCH],"recheck",0)</f>
        <v>VIETINBANK - TIEN SON</v>
      </c>
      <c r="C182" s="1261" t="s">
        <v>1427</v>
      </c>
      <c r="D182" s="1262" t="str">
        <f>_xlfn.XLOOKUP(Table1218[[#This Row],[ACCOUNT NUMBER]],Table2[Account No.],Table2[ACCOUNT TYPE],"recheck",0)</f>
        <v>Saving Account</v>
      </c>
      <c r="E182" s="1267" t="s">
        <v>80</v>
      </c>
      <c r="F182" s="926">
        <f>SUMIFS(Table11[CLOSING BALANCE (VND)2],Table11[ACCOUNT NUMBER],Table1218[[#This Row],[ACCOUNT NUMBER]],Table11[CURRENCY],Table1218[[#This Row],[CURRENCY]])</f>
        <v>22000000000</v>
      </c>
      <c r="G182" s="1263"/>
      <c r="H182" s="1267" t="s">
        <v>219</v>
      </c>
      <c r="I182" s="1267"/>
      <c r="J182" s="1267"/>
      <c r="K182" s="1268">
        <v>46046</v>
      </c>
      <c r="L182" s="1259">
        <v>4.7500000000000001E-2</v>
      </c>
      <c r="M182" s="1262" t="str">
        <f>VLOOKUP($A182,Table1[[#All],[Entities]:[Name]],MATCH(M$3,Table1[[#Headers],[Entities]:[Name]],0),0)</f>
        <v>Subsidiaries</v>
      </c>
      <c r="N182" s="1262" t="str">
        <f>IFERROR(VLOOKUP(IFERROR(MID($O182,1,FIND("-",$O182)-2),O182),Table3[#All],2,0),0)</f>
        <v>VTB</v>
      </c>
      <c r="O182" s="1264" t="str">
        <f t="shared" si="10"/>
        <v>VIETINBANK - TIEN SON</v>
      </c>
      <c r="P182" s="1259"/>
      <c r="Q182" s="1262"/>
      <c r="R182" s="1262"/>
      <c r="S182" s="1265" t="str">
        <f>IF(ISBLANK(Table1218[[#This Row],[Maturity date]]),"","W"&amp;MIN(WEEKNUM($K182+1,2)-WEEKNUM(EOMONTH($K182+1,-1)),4)&amp;TEXT($K182+1,"mmmyy"))</f>
        <v>W-49Jan26</v>
      </c>
      <c r="T182" s="1266">
        <f>Table1218[[#This Row],[CLOSING BALANCE 
(VND)]]/1000000000</f>
        <v>22</v>
      </c>
      <c r="U18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82" s="1113"/>
      <c r="W182" s="1112"/>
      <c r="X182" s="1115"/>
      <c r="Y182" s="1112"/>
      <c r="Z182" s="1120"/>
      <c r="AA182" s="1112" t="e">
        <v>#N/A</v>
      </c>
      <c r="AB182" s="1112"/>
      <c r="AC182" s="1112"/>
    </row>
    <row r="183" spans="1:29">
      <c r="A183" s="919" t="str">
        <f>IFERROR(VLOOKUP($C183,Table2[#All],3,0),0)</f>
        <v>BWID HAI DUONG 2</v>
      </c>
      <c r="B183" s="1260" t="str">
        <f>_xlfn.XLOOKUP(Table1218[[#This Row],[ACCOUNT NUMBER]],Table2[Account No.],Table2[BRANCH],"recheck",0)</f>
        <v>VIETINBANK - TIEN SON</v>
      </c>
      <c r="C183" s="1261" t="s">
        <v>1426</v>
      </c>
      <c r="D183" s="1262" t="str">
        <f>_xlfn.XLOOKUP(Table1218[[#This Row],[ACCOUNT NUMBER]],Table2[Account No.],Table2[ACCOUNT TYPE],"recheck",0)</f>
        <v>Saving Account</v>
      </c>
      <c r="E183" s="1267" t="s">
        <v>80</v>
      </c>
      <c r="F183" s="926">
        <f>SUMIFS(Table11[CLOSING BALANCE (VND)2],Table11[ACCOUNT NUMBER],Table1218[[#This Row],[ACCOUNT NUMBER]],Table11[CURRENCY],Table1218[[#This Row],[CURRENCY]])</f>
        <v>5000000000</v>
      </c>
      <c r="G183" s="1263"/>
      <c r="H183" s="1267" t="s">
        <v>221</v>
      </c>
      <c r="I183" s="1267"/>
      <c r="J183" s="1267"/>
      <c r="K183" s="1268">
        <v>46048</v>
      </c>
      <c r="L183" s="1259">
        <v>4.4999999999999998E-2</v>
      </c>
      <c r="M183" s="1262" t="str">
        <f>VLOOKUP($A183,Table1[[#All],[Entities]:[Name]],MATCH(M$3,Table1[[#Headers],[Entities]:[Name]],0),0)</f>
        <v>Subsidiaries</v>
      </c>
      <c r="N183" s="1262" t="str">
        <f>IFERROR(VLOOKUP(IFERROR(MID($O183,1,FIND("-",$O183)-2),O183),Table3[#All],2,0),0)</f>
        <v>VTB</v>
      </c>
      <c r="O183" s="1264" t="str">
        <f t="shared" si="10"/>
        <v>VIETINBANK - TIEN SON</v>
      </c>
      <c r="P183" s="1259"/>
      <c r="Q183" s="1262"/>
      <c r="R183" s="1262"/>
      <c r="S183" s="1265" t="str">
        <f>IF(ISBLANK(Table1218[[#This Row],[Maturity date]]),"","W"&amp;MIN(WEEKNUM($K183+1,2)-WEEKNUM(EOMONTH($K183+1,-1)),4)&amp;TEXT($K183+1,"mmmyy"))</f>
        <v>W-48Jan26</v>
      </c>
      <c r="T183" s="1266">
        <f>Table1218[[#This Row],[CLOSING BALANCE 
(VND)]]/1000000000</f>
        <v>5</v>
      </c>
      <c r="U18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83" s="1113"/>
      <c r="W183" s="1112"/>
      <c r="X183" s="1115"/>
      <c r="Y183" s="1112"/>
      <c r="Z183" s="1120"/>
      <c r="AA183" s="1112" t="e">
        <v>#N/A</v>
      </c>
      <c r="AB183" s="1112"/>
      <c r="AC183" s="1112"/>
    </row>
    <row r="184" spans="1:29">
      <c r="A184" s="919" t="str">
        <f>IFERROR(VLOOKUP($C184,Table2[#All],3,0),0)</f>
        <v>BWID HAI DUONG 2</v>
      </c>
      <c r="B184" s="1260" t="str">
        <f>_xlfn.XLOOKUP(Table1218[[#This Row],[ACCOUNT NUMBER]],Table2[Account No.],Table2[BRANCH],"recheck",0)</f>
        <v>VIETINBANK - TIEN SON</v>
      </c>
      <c r="C184" s="1261" t="s">
        <v>1423</v>
      </c>
      <c r="D184" s="1262" t="str">
        <f>_xlfn.XLOOKUP(Table1218[[#This Row],[ACCOUNT NUMBER]],Table2[Account No.],Table2[ACCOUNT TYPE],"recheck",0)</f>
        <v>Saving Account</v>
      </c>
      <c r="E184" s="1267" t="s">
        <v>80</v>
      </c>
      <c r="F184" s="926">
        <f>SUMIFS(Table11[CLOSING BALANCE (VND)2],Table11[ACCOUNT NUMBER],Table1218[[#This Row],[ACCOUNT NUMBER]],Table11[CURRENCY],Table1218[[#This Row],[CURRENCY]])</f>
        <v>4000000000</v>
      </c>
      <c r="G184" s="1263"/>
      <c r="H184" s="1267" t="s">
        <v>220</v>
      </c>
      <c r="I184" s="1267"/>
      <c r="J184" s="1267"/>
      <c r="K184" s="1268">
        <v>46048</v>
      </c>
      <c r="L184" s="1259">
        <v>4.7500000000000001E-2</v>
      </c>
      <c r="M184" s="1262" t="str">
        <f>VLOOKUP($A184,Table1[[#All],[Entities]:[Name]],MATCH(M$3,Table1[[#Headers],[Entities]:[Name]],0),0)</f>
        <v>Subsidiaries</v>
      </c>
      <c r="N184" s="1262" t="str">
        <f>IFERROR(VLOOKUP(IFERROR(MID($O184,1,FIND("-",$O184)-2),O184),Table3[#All],2,0),0)</f>
        <v>VTB</v>
      </c>
      <c r="O184" s="1264" t="str">
        <f t="shared" si="10"/>
        <v>VIETINBANK - TIEN SON</v>
      </c>
      <c r="P184" s="1259"/>
      <c r="Q184" s="1262"/>
      <c r="R184" s="1262"/>
      <c r="S184" s="1265" t="str">
        <f>IF(ISBLANK(Table1218[[#This Row],[Maturity date]]),"","W"&amp;MIN(WEEKNUM($K184+1,2)-WEEKNUM(EOMONTH($K184+1,-1)),4)&amp;TEXT($K184+1,"mmmyy"))</f>
        <v>W-48Jan26</v>
      </c>
      <c r="T184" s="1266">
        <f>Table1218[[#This Row],[CLOSING BALANCE 
(VND)]]/1000000000</f>
        <v>4</v>
      </c>
      <c r="U18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84" s="1113"/>
      <c r="W184" s="1112"/>
      <c r="X184" s="1115"/>
      <c r="Y184" s="1112"/>
      <c r="Z184" s="1120"/>
      <c r="AA184" s="1112" t="e">
        <v>#N/A</v>
      </c>
      <c r="AB184" s="1112"/>
      <c r="AC184" s="1112"/>
    </row>
    <row r="185" spans="1:29">
      <c r="A185" s="919" t="str">
        <f>IFERROR(VLOOKUP($C185,Table2[#All],3,0),0)</f>
        <v>LONG BINH</v>
      </c>
      <c r="B185" s="1260" t="str">
        <f>_xlfn.XLOOKUP(Table1218[[#This Row],[ACCOUNT NUMBER]],Table2[Account No.],Table2[BRANCH],"recheck",0)</f>
        <v>VIETCOMBANK - HCM</v>
      </c>
      <c r="C185" s="1261" t="s">
        <v>5395</v>
      </c>
      <c r="D185" s="1262" t="str">
        <f>_xlfn.XLOOKUP(Table1218[[#This Row],[ACCOUNT NUMBER]],Table2[Account No.],Table2[ACCOUNT TYPE],"recheck",0)</f>
        <v>Saving Account</v>
      </c>
      <c r="E185" s="1267" t="s">
        <v>80</v>
      </c>
      <c r="F185" s="926">
        <f>SUMIFS(Table11[CLOSING BALANCE (VND)2],Table11[ACCOUNT NUMBER],Table1218[[#This Row],[ACCOUNT NUMBER]],Table11[CURRENCY],Table1218[[#This Row],[CURRENCY]])</f>
        <v>7000000000</v>
      </c>
      <c r="G185" s="1263"/>
      <c r="H185" s="1267" t="s">
        <v>219</v>
      </c>
      <c r="I185" s="1267"/>
      <c r="J185" s="1267"/>
      <c r="K185" s="1268">
        <v>46055</v>
      </c>
      <c r="L185" s="1259">
        <v>4.7500000000000001E-2</v>
      </c>
      <c r="M185" s="1262" t="str">
        <f>VLOOKUP($A185,Table1[[#All],[Entities]:[Name]],MATCH(M$3,Table1[[#Headers],[Entities]:[Name]],0),0)</f>
        <v>Subsidiaries</v>
      </c>
      <c r="N185" s="1262" t="str">
        <f>IFERROR(VLOOKUP(IFERROR(MID($O185,1,FIND("-",$O185)-2),O185),Table3[#All],2,0),0)</f>
        <v>VCB</v>
      </c>
      <c r="O185" s="1264" t="str">
        <f t="shared" si="10"/>
        <v>VIETCOMBANK - HCM</v>
      </c>
      <c r="P185" s="1259"/>
      <c r="Q185" s="1262"/>
      <c r="R185" s="1262"/>
      <c r="S185" s="1265" t="str">
        <f>IF(ISBLANK(Table1218[[#This Row],[Maturity date]]),"","W"&amp;MIN(WEEKNUM($K185+1,2)-WEEKNUM(EOMONTH($K185+1,-1)),4)&amp;TEXT($K185+1,"mmmyy"))</f>
        <v>W1Feb26</v>
      </c>
      <c r="T185" s="1266">
        <f>Table1218[[#This Row],[CLOSING BALANCE 
(VND)]]/1000000000</f>
        <v>7</v>
      </c>
      <c r="U18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85" s="1113"/>
      <c r="W185" s="1112"/>
      <c r="X185" s="1115"/>
      <c r="Y185" s="1112"/>
      <c r="Z185" s="1120"/>
      <c r="AA185" s="1112" t="e">
        <v>#N/A</v>
      </c>
      <c r="AB185" s="1112"/>
      <c r="AC185" s="1112"/>
    </row>
    <row r="186" spans="1:29">
      <c r="A186" s="1360" t="str">
        <f>IFERROR(VLOOKUP($C186,Table2[#All],3,0),0)</f>
        <v>BW NAM DINH VU</v>
      </c>
      <c r="B186" s="1361" t="str">
        <f>_xlfn.XLOOKUP(Table1218[[#This Row],[ACCOUNT NUMBER]],Table2[Account No.],Table2[BRANCH],"recheck",0)</f>
        <v>VIETINBANK - BINH DUONG</v>
      </c>
      <c r="C186" s="1362" t="s">
        <v>1433</v>
      </c>
      <c r="D186" s="1363" t="str">
        <f>_xlfn.XLOOKUP(Table1218[[#This Row],[ACCOUNT NUMBER]],Table2[Account No.],Table2[ACCOUNT TYPE],"recheck",0)</f>
        <v>Saving Account</v>
      </c>
      <c r="E186" s="1295" t="s">
        <v>80</v>
      </c>
      <c r="F186" s="1296">
        <f>SUMIFS(Table11[CLOSING BALANCE (VND)2],Table11[ACCOUNT NUMBER],Table1218[[#This Row],[ACCOUNT NUMBER]],Table11[CURRENCY],Table1218[[#This Row],[CURRENCY]])</f>
        <v>9000000000</v>
      </c>
      <c r="G186" s="1263"/>
      <c r="H186" s="1295" t="s">
        <v>220</v>
      </c>
      <c r="I186" s="1267"/>
      <c r="J186" s="1267"/>
      <c r="K186" s="1297">
        <v>46048</v>
      </c>
      <c r="L186" s="1364">
        <v>4.7500000000000001E-2</v>
      </c>
      <c r="M186" s="1363" t="str">
        <f>VLOOKUP($A186,Table1[[#All],[Entities]:[Name]],MATCH(M$3,Table1[[#Headers],[Entities]:[Name]],0),0)</f>
        <v>Subsidiaries</v>
      </c>
      <c r="N186" s="1363" t="str">
        <f>IFERROR(VLOOKUP(IFERROR(MID($O186,1,FIND("-",$O186)-2),O186),Table3[#All],2,0),0)</f>
        <v>VTB</v>
      </c>
      <c r="O186" s="1365" t="str">
        <f t="shared" si="10"/>
        <v>VIETINBANK - BINH DUONG</v>
      </c>
      <c r="P186" s="1259"/>
      <c r="Q186" s="1262"/>
      <c r="R186" s="1262"/>
      <c r="S186" s="1366" t="str">
        <f>IF(ISBLANK(Table1218[[#This Row],[Maturity date]]),"","W"&amp;MIN(WEEKNUM($K186+1,2)-WEEKNUM(EOMONTH($K186+1,-1)),4)&amp;TEXT($K186+1,"mmmyy"))</f>
        <v>W-48Jan26</v>
      </c>
      <c r="T186" s="1367">
        <f>Table1218[[#This Row],[CLOSING BALANCE 
(VND)]]/1000000000</f>
        <v>9</v>
      </c>
      <c r="U186" s="1301"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86" s="1113"/>
      <c r="W186" s="1112"/>
      <c r="X186" s="1115"/>
      <c r="Y186" s="1112"/>
      <c r="Z186" s="1120"/>
      <c r="AA186" s="1112" t="e">
        <v>#N/A</v>
      </c>
      <c r="AB186" s="1112"/>
      <c r="AC186" s="1112"/>
    </row>
    <row r="187" spans="1:29">
      <c r="A187" s="919" t="str">
        <f>IFERROR(VLOOKUP($C187,Table2[#All],3,0),0)</f>
        <v>BWID BINH DUONG</v>
      </c>
      <c r="B187" s="1260" t="str">
        <f>_xlfn.XLOOKUP(Table1218[[#This Row],[ACCOUNT NUMBER]],Table2[Account No.],Table2[BRANCH],"recheck",0)</f>
        <v>VIETINBANK - BINH DUONG</v>
      </c>
      <c r="C187" s="1261" t="s">
        <v>480</v>
      </c>
      <c r="D187" s="1262" t="str">
        <f>_xlfn.XLOOKUP(Table1218[[#This Row],[ACCOUNT NUMBER]],Table2[Account No.],Table2[ACCOUNT TYPE],"recheck",0)</f>
        <v>Saving Account</v>
      </c>
      <c r="E187" s="1267" t="s">
        <v>80</v>
      </c>
      <c r="F187" s="1140">
        <f>SUMIFS(Table11[CLOSING BALANCE (VND)2],Table11[ACCOUNT NUMBER],Table1218[[#This Row],[ACCOUNT NUMBER]],Table11[CURRENCY],Table1218[[#This Row],[CURRENCY]])</f>
        <v>6000000000</v>
      </c>
      <c r="G187" s="1263"/>
      <c r="H187" s="1267" t="s">
        <v>219</v>
      </c>
      <c r="I187" s="1267"/>
      <c r="J187" s="1267"/>
      <c r="K187" s="1268">
        <v>46052</v>
      </c>
      <c r="L187" s="1290">
        <v>4.7500000000000001E-2</v>
      </c>
      <c r="M187" s="1262" t="str">
        <f>VLOOKUP($A187,Table1[[#All],[Entities]:[Name]],MATCH(M$3,Table1[[#Headers],[Entities]:[Name]],0),0)</f>
        <v>BWID JSC</v>
      </c>
      <c r="N187" s="1262" t="str">
        <f>IFERROR(VLOOKUP(IFERROR(MID($O187,1,FIND("-",$O187)-2),O187),Table3[#All],2,0),0)</f>
        <v>VTB</v>
      </c>
      <c r="O187" s="1264" t="str">
        <f t="shared" ref="O187:O202" si="11">B187</f>
        <v>VIETINBANK - BINH DUONG</v>
      </c>
      <c r="P187" s="1259"/>
      <c r="Q187" s="1262"/>
      <c r="R187" s="1262"/>
      <c r="S187" s="1265" t="str">
        <f>IF(ISBLANK(Table1218[[#This Row],[Maturity date]]),"","W"&amp;MIN(WEEKNUM($K187+1,2)-WEEKNUM(EOMONTH($K187+1,-1)),4)&amp;TEXT($K187+1,"mmmyy"))</f>
        <v>W-48Jan26</v>
      </c>
      <c r="T187" s="1266">
        <f>Table1218[[#This Row],[CLOSING BALANCE 
(VND)]]/1000000000</f>
        <v>6</v>
      </c>
      <c r="U18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87" s="1113"/>
      <c r="W187" s="1112"/>
      <c r="X187" s="1115"/>
      <c r="Y187" s="1112"/>
      <c r="Z187" s="1120"/>
      <c r="AA187" s="1112" t="e">
        <v>#N/A</v>
      </c>
      <c r="AB187" s="1112"/>
      <c r="AC187" s="1112"/>
    </row>
    <row r="188" spans="1:29">
      <c r="A188" s="920" t="str">
        <f>IFERROR(VLOOKUP($C188,Table2[#All],3,0),0)</f>
        <v>KIM TRUC DN</v>
      </c>
      <c r="B188" s="921" t="str">
        <f>_xlfn.XLOOKUP(Table1218[[#This Row],[ACCOUNT NUMBER]],Table2[Account No.],Table2[BRANCH],"recheck",0)</f>
        <v>BIDV - NAM SAI GON</v>
      </c>
      <c r="C188" s="1141" t="s">
        <v>1444</v>
      </c>
      <c r="D188" s="922" t="str">
        <f>_xlfn.XLOOKUP(Table1218[[#This Row],[ACCOUNT NUMBER]],Table2[Account No.],Table2[ACCOUNT TYPE],"recheck",0)</f>
        <v>Saving Account</v>
      </c>
      <c r="E188" s="1267" t="s">
        <v>80</v>
      </c>
      <c r="F188" s="926">
        <f>SUMIFS(Table11[CLOSING BALANCE (VND)2],Table11[ACCOUNT NUMBER],Table1218[[#This Row],[ACCOUNT NUMBER]],Table11[CURRENCY],Table1218[[#This Row],[CURRENCY]])</f>
        <v>5000000000</v>
      </c>
      <c r="G188" s="926"/>
      <c r="H188" s="1129" t="s">
        <v>1551</v>
      </c>
      <c r="I188" s="1267"/>
      <c r="J188" s="1267"/>
      <c r="K188" s="1130">
        <v>46067</v>
      </c>
      <c r="L188" s="1244">
        <v>4.7500000000000001E-2</v>
      </c>
      <c r="M188" s="922" t="str">
        <f>VLOOKUP($A188,Table1[[#All],[Entities]:[Name]],MATCH(M$3,Table1[[#Headers],[Entities]:[Name]],0),0)</f>
        <v>Subsidiaries</v>
      </c>
      <c r="N188" s="922" t="str">
        <f>IFERROR(VLOOKUP(IFERROR(MID($O188,1,FIND("-",$O188)-2),O188),Table3[#All],2,0),0)</f>
        <v>BIDV</v>
      </c>
      <c r="O188" s="923" t="str">
        <f t="shared" si="11"/>
        <v>BIDV - NAM SAI GON</v>
      </c>
      <c r="P188" s="927"/>
      <c r="Q188" s="922"/>
      <c r="R188" s="922"/>
      <c r="S188" s="924" t="str">
        <f>IF(ISBLANK(Table1218[[#This Row],[Maturity date]]),"","W"&amp;MIN(WEEKNUM($K188+1,2)-WEEKNUM(EOMONTH($K188+1,-1)),4)&amp;TEXT($K188+1,"mmmyy"))</f>
        <v>W2Feb26</v>
      </c>
      <c r="T188" s="1214">
        <f>Table1218[[#This Row],[CLOSING BALANCE 
(VND)]]/1000000000</f>
        <v>5</v>
      </c>
      <c r="U188"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88" s="1215"/>
      <c r="W188" s="1112"/>
      <c r="X188" s="1115"/>
      <c r="Y188" s="1112"/>
      <c r="Z188" s="1216"/>
      <c r="AA188" s="1112" t="e">
        <v>#N/A</v>
      </c>
      <c r="AB188" s="1112"/>
      <c r="AC188" s="1112"/>
    </row>
    <row r="189" spans="1:29">
      <c r="A189" s="920" t="str">
        <f>IFERROR(VLOOKUP($C189,Table2[#All],3,0),0)</f>
        <v>HOLDCO4N</v>
      </c>
      <c r="B189" s="921" t="str">
        <f>_xlfn.XLOOKUP(Table1218[[#This Row],[ACCOUNT NUMBER]],Table2[Account No.],Table2[BRANCH],"recheck",0)</f>
        <v>BIDV - BEN NGHE</v>
      </c>
      <c r="C189" s="1141" t="s">
        <v>1446</v>
      </c>
      <c r="D189" s="922" t="str">
        <f>_xlfn.XLOOKUP(Table1218[[#This Row],[ACCOUNT NUMBER]],Table2[Account No.],Table2[ACCOUNT TYPE],"recheck",0)</f>
        <v>Saving Account</v>
      </c>
      <c r="E189" s="1267" t="s">
        <v>80</v>
      </c>
      <c r="F189" s="1140">
        <f>SUMIFS(Table11[CLOSING BALANCE (VND)2],Table11[ACCOUNT NUMBER],Table1218[[#This Row],[ACCOUNT NUMBER]],Table11[CURRENCY],Table1218[[#This Row],[CURRENCY]])</f>
        <v>900000000</v>
      </c>
      <c r="G189" s="926"/>
      <c r="H189" s="1129" t="s">
        <v>224</v>
      </c>
      <c r="I189" s="1267"/>
      <c r="J189" s="1267"/>
      <c r="K189" s="1268">
        <v>46152</v>
      </c>
      <c r="L189" s="927">
        <v>5.2999999999999999E-2</v>
      </c>
      <c r="M189" s="922" t="str">
        <f>VLOOKUP($A189,Table1[[#All],[Entities]:[Name]],MATCH(M$3,Table1[[#Headers],[Entities]:[Name]],0),0)</f>
        <v>Subsidiaries</v>
      </c>
      <c r="N189" s="922" t="str">
        <f>IFERROR(VLOOKUP(IFERROR(MID($O189,1,FIND("-",$O189)-2),O189),Table3[#All],2,0),0)</f>
        <v>BIDV</v>
      </c>
      <c r="O189" s="923" t="str">
        <f t="shared" si="11"/>
        <v>BIDV - BEN NGHE</v>
      </c>
      <c r="P189" s="927"/>
      <c r="Q189" s="922"/>
      <c r="R189" s="922"/>
      <c r="S189" s="924" t="str">
        <f>IF(ISBLANK(Table1218[[#This Row],[Maturity date]]),"","W"&amp;MIN(WEEKNUM($K189+1,2)-WEEKNUM(EOMONTH($K189+1,-1)),4)&amp;TEXT($K189+1,"mmmyy"))</f>
        <v>W2May26</v>
      </c>
      <c r="T189" s="925">
        <f>Table1218[[#This Row],[CLOSING BALANCE 
(VND)]]/1000000000</f>
        <v>0.9</v>
      </c>
      <c r="U18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4 months</v>
      </c>
      <c r="V189" s="1113"/>
      <c r="W189" s="1112"/>
      <c r="X189" s="1115"/>
      <c r="Y189" s="1112"/>
      <c r="Z189" s="1120"/>
      <c r="AA189" s="1112" t="e">
        <v>#N/A</v>
      </c>
      <c r="AB189" s="1112"/>
      <c r="AC189" s="1112"/>
    </row>
    <row r="190" spans="1:29">
      <c r="A190" s="920" t="str">
        <f>IFERROR(VLOOKUP($C190,Table2[#All],3,0),0)</f>
        <v>HOLDCO4O</v>
      </c>
      <c r="B190" s="921" t="str">
        <f>_xlfn.XLOOKUP(Table1218[[#This Row],[ACCOUNT NUMBER]],Table2[Account No.],Table2[BRANCH],"recheck",0)</f>
        <v>BIDV - BEN NGHE</v>
      </c>
      <c r="C190" s="1141" t="s">
        <v>1447</v>
      </c>
      <c r="D190" s="922" t="str">
        <f>_xlfn.XLOOKUP(Table1218[[#This Row],[ACCOUNT NUMBER]],Table2[Account No.],Table2[ACCOUNT TYPE],"recheck",0)</f>
        <v>Saving Account</v>
      </c>
      <c r="E190" s="1267" t="s">
        <v>80</v>
      </c>
      <c r="F190" s="1140">
        <f>SUMIFS(Table11[CLOSING BALANCE (VND)2],Table11[ACCOUNT NUMBER],Table1218[[#This Row],[ACCOUNT NUMBER]],Table11[CURRENCY],Table1218[[#This Row],[CURRENCY]])</f>
        <v>900000000</v>
      </c>
      <c r="G190" s="926"/>
      <c r="H190" s="1129" t="s">
        <v>224</v>
      </c>
      <c r="I190" s="1267"/>
      <c r="J190" s="1267"/>
      <c r="K190" s="1268">
        <v>46152</v>
      </c>
      <c r="L190" s="927">
        <v>5.2999999999999999E-2</v>
      </c>
      <c r="M190" s="922" t="str">
        <f>VLOOKUP($A190,Table1[[#All],[Entities]:[Name]],MATCH(M$3,Table1[[#Headers],[Entities]:[Name]],0),0)</f>
        <v>Subsidiaries</v>
      </c>
      <c r="N190" s="922" t="str">
        <f>IFERROR(VLOOKUP(IFERROR(MID($O190,1,FIND("-",$O190)-2),O190),Table3[#All],2,0),0)</f>
        <v>BIDV</v>
      </c>
      <c r="O190" s="923" t="str">
        <f t="shared" si="11"/>
        <v>BIDV - BEN NGHE</v>
      </c>
      <c r="P190" s="927"/>
      <c r="Q190" s="922"/>
      <c r="R190" s="922"/>
      <c r="S190" s="924" t="str">
        <f>IF(ISBLANK(Table1218[[#This Row],[Maturity date]]),"","W"&amp;MIN(WEEKNUM($K190+1,2)-WEEKNUM(EOMONTH($K190+1,-1)),4)&amp;TEXT($K190+1,"mmmyy"))</f>
        <v>W2May26</v>
      </c>
      <c r="T190" s="925">
        <f>Table1218[[#This Row],[CLOSING BALANCE 
(VND)]]/1000000000</f>
        <v>0.9</v>
      </c>
      <c r="U19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4 months</v>
      </c>
      <c r="V190" s="1113"/>
      <c r="W190" s="1112"/>
      <c r="X190" s="1115"/>
      <c r="Y190" s="1112"/>
      <c r="Z190" s="1120"/>
      <c r="AA190" s="1112" t="e">
        <v>#N/A</v>
      </c>
      <c r="AB190" s="1112"/>
      <c r="AC190" s="1112"/>
    </row>
    <row r="191" spans="1:29">
      <c r="A191" s="920" t="str">
        <f>IFERROR(VLOOKUP($C191,Table2[#All],3,0),0)</f>
        <v>HOLDCO4P</v>
      </c>
      <c r="B191" s="921" t="str">
        <f>_xlfn.XLOOKUP(Table1218[[#This Row],[ACCOUNT NUMBER]],Table2[Account No.],Table2[BRANCH],"recheck",0)</f>
        <v>BIDV - BEN NGHE</v>
      </c>
      <c r="C191" s="1141" t="s">
        <v>1448</v>
      </c>
      <c r="D191" s="922" t="str">
        <f>_xlfn.XLOOKUP(Table1218[[#This Row],[ACCOUNT NUMBER]],Table2[Account No.],Table2[ACCOUNT TYPE],"recheck",0)</f>
        <v>Saving Account</v>
      </c>
      <c r="E191" s="1267" t="s">
        <v>80</v>
      </c>
      <c r="F191" s="1140">
        <f>SUMIFS(Table11[CLOSING BALANCE (VND)2],Table11[ACCOUNT NUMBER],Table1218[[#This Row],[ACCOUNT NUMBER]],Table11[CURRENCY],Table1218[[#This Row],[CURRENCY]])</f>
        <v>900000000</v>
      </c>
      <c r="G191" s="926"/>
      <c r="H191" s="1129" t="s">
        <v>224</v>
      </c>
      <c r="I191" s="1267"/>
      <c r="J191" s="1267"/>
      <c r="K191" s="1268">
        <v>46152</v>
      </c>
      <c r="L191" s="927">
        <v>5.2999999999999999E-2</v>
      </c>
      <c r="M191" s="922" t="str">
        <f>VLOOKUP($A191,Table1[[#All],[Entities]:[Name]],MATCH(M$3,Table1[[#Headers],[Entities]:[Name]],0),0)</f>
        <v>Subsidiaries</v>
      </c>
      <c r="N191" s="922" t="str">
        <f>IFERROR(VLOOKUP(IFERROR(MID($O191,1,FIND("-",$O191)-2),O191),Table3[#All],2,0),0)</f>
        <v>BIDV</v>
      </c>
      <c r="O191" s="923" t="str">
        <f t="shared" si="11"/>
        <v>BIDV - BEN NGHE</v>
      </c>
      <c r="P191" s="927"/>
      <c r="Q191" s="922"/>
      <c r="R191" s="922"/>
      <c r="S191" s="924" t="str">
        <f>IF(ISBLANK(Table1218[[#This Row],[Maturity date]]),"","W"&amp;MIN(WEEKNUM($K191+1,2)-WEEKNUM(EOMONTH($K191+1,-1)),4)&amp;TEXT($K191+1,"mmmyy"))</f>
        <v>W2May26</v>
      </c>
      <c r="T191" s="925">
        <f>Table1218[[#This Row],[CLOSING BALANCE 
(VND)]]/1000000000</f>
        <v>0.9</v>
      </c>
      <c r="U19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4 months</v>
      </c>
      <c r="V191" s="1113"/>
      <c r="W191" s="1112"/>
      <c r="X191" s="1115"/>
      <c r="Y191" s="1112"/>
      <c r="Z191" s="1120"/>
      <c r="AA191" s="1112" t="e">
        <v>#N/A</v>
      </c>
      <c r="AB191" s="1112"/>
      <c r="AC191" s="1112"/>
    </row>
    <row r="192" spans="1:29">
      <c r="A192" s="920" t="str">
        <f>IFERROR(VLOOKUP($C192,Table2[#All],3,0),0)</f>
        <v>BWID LOGISTICS TAN UYEN</v>
      </c>
      <c r="B192" s="921" t="str">
        <f>_xlfn.XLOOKUP(Table1218[[#This Row],[ACCOUNT NUMBER]],Table2[Account No.],Table2[BRANCH],"recheck",0)</f>
        <v>VIETCOMBANK - BA DINH</v>
      </c>
      <c r="C192" s="1141" t="s">
        <v>1450</v>
      </c>
      <c r="D192" s="922" t="str">
        <f>_xlfn.XLOOKUP(Table1218[[#This Row],[ACCOUNT NUMBER]],Table2[Account No.],Table2[ACCOUNT TYPE],"recheck",0)</f>
        <v>Saving Account</v>
      </c>
      <c r="E192" s="1267" t="s">
        <v>80</v>
      </c>
      <c r="F192" s="1140">
        <f>SUMIFS(Table11[CLOSING BALANCE (VND)2],Table11[ACCOUNT NUMBER],Table1218[[#This Row],[ACCOUNT NUMBER]],Table11[CURRENCY],Table1218[[#This Row],[CURRENCY]])</f>
        <v>6000000000</v>
      </c>
      <c r="G192" s="926"/>
      <c r="H192" s="1129" t="s">
        <v>220</v>
      </c>
      <c r="I192" s="1267"/>
      <c r="J192" s="1267"/>
      <c r="K192" s="1268">
        <v>46041</v>
      </c>
      <c r="L192" s="927">
        <v>4.7500000000000001E-2</v>
      </c>
      <c r="M192" s="922" t="str">
        <f>VLOOKUP($A192,Table1[[#All],[Entities]:[Name]],MATCH(M$3,Table1[[#Headers],[Entities]:[Name]],0),0)</f>
        <v>Subsidiaries</v>
      </c>
      <c r="N192" s="922" t="str">
        <f>IFERROR(VLOOKUP(IFERROR(MID($O192,1,FIND("-",$O192)-2),O192),Table3[#All],2,0),0)</f>
        <v>VCB</v>
      </c>
      <c r="O192" s="923" t="str">
        <f t="shared" si="11"/>
        <v>VIETCOMBANK - BA DINH</v>
      </c>
      <c r="P192" s="927"/>
      <c r="Q192" s="922"/>
      <c r="R192" s="922"/>
      <c r="S192" s="924" t="str">
        <f>IF(ISBLANK(Table1218[[#This Row],[Maturity date]]),"","W"&amp;MIN(WEEKNUM($K192+1,2)-WEEKNUM(EOMONTH($K192+1,-1)),4)&amp;TEXT($K192+1,"mmmyy"))</f>
        <v>W-49Jan26</v>
      </c>
      <c r="T192" s="925">
        <f>Table1218[[#This Row],[CLOSING BALANCE 
(VND)]]/1000000000</f>
        <v>6</v>
      </c>
      <c r="U19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92" s="1113"/>
      <c r="W192" s="1112"/>
      <c r="X192" s="1115"/>
      <c r="Y192" s="1112"/>
      <c r="Z192" s="1120"/>
      <c r="AA192" s="1112" t="e">
        <v>#N/A</v>
      </c>
      <c r="AB192" s="1112"/>
      <c r="AC192" s="1112"/>
    </row>
    <row r="193" spans="1:29">
      <c r="A193" s="920" t="str">
        <f>IFERROR(VLOOKUP($C193,Table2[#All],3,0),0)</f>
        <v>BW BAU BANG 01</v>
      </c>
      <c r="B193" s="921" t="str">
        <f>_xlfn.XLOOKUP(Table1218[[#This Row],[ACCOUNT NUMBER]],Table2[Account No.],Table2[BRANCH],"recheck",0)</f>
        <v>VIETINBANK - BINH DUONG</v>
      </c>
      <c r="C193" s="1141" t="s">
        <v>1449</v>
      </c>
      <c r="D193" s="922" t="str">
        <f>_xlfn.XLOOKUP(Table1218[[#This Row],[ACCOUNT NUMBER]],Table2[Account No.],Table2[ACCOUNT TYPE],"recheck",0)</f>
        <v>Saving Account</v>
      </c>
      <c r="E193" s="1267" t="s">
        <v>80</v>
      </c>
      <c r="F193" s="1140">
        <f>SUMIFS(Table11[CLOSING BALANCE (VND)2],Table11[ACCOUNT NUMBER],Table1218[[#This Row],[ACCOUNT NUMBER]],Table11[CURRENCY],Table1218[[#This Row],[CURRENCY]])</f>
        <v>15000000000</v>
      </c>
      <c r="G193" s="1140"/>
      <c r="H193" s="1267" t="s">
        <v>219</v>
      </c>
      <c r="I193" s="1267"/>
      <c r="J193" s="1267"/>
      <c r="K193" s="1268">
        <v>46060</v>
      </c>
      <c r="L193" s="927">
        <v>4.7500000000000001E-2</v>
      </c>
      <c r="M193" s="922" t="str">
        <f>VLOOKUP($A193,Table1[[#All],[Entities]:[Name]],MATCH(M$3,Table1[[#Headers],[Entities]:[Name]],0),0)</f>
        <v>Subsidiaries</v>
      </c>
      <c r="N193" s="922" t="str">
        <f>IFERROR(VLOOKUP(IFERROR(MID($O193,1,FIND("-",$O193)-2),O193),Table3[#All],2,0),0)</f>
        <v>VTB</v>
      </c>
      <c r="O193" s="923" t="str">
        <f t="shared" si="11"/>
        <v>VIETINBANK - BINH DUONG</v>
      </c>
      <c r="P193" s="927"/>
      <c r="Q193" s="922"/>
      <c r="R193" s="922"/>
      <c r="S193" s="924" t="str">
        <f>IF(ISBLANK(Table1218[[#This Row],[Maturity date]]),"","W"&amp;MIN(WEEKNUM($K193+1,2)-WEEKNUM(EOMONTH($K193+1,-1)),4)&amp;TEXT($K193+1,"mmmyy"))</f>
        <v>W1Feb26</v>
      </c>
      <c r="T193" s="925">
        <f>Table1218[[#This Row],[CLOSING BALANCE 
(VND)]]/1000000000</f>
        <v>15</v>
      </c>
      <c r="U19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93" s="1114"/>
      <c r="W193" s="1112"/>
      <c r="X193" s="1115"/>
      <c r="Y193" s="1112"/>
      <c r="Z193" s="1118"/>
      <c r="AA193" s="1112" t="e">
        <v>#N/A</v>
      </c>
      <c r="AB193" s="1112"/>
      <c r="AC193" s="1112"/>
    </row>
    <row r="194" spans="1:29">
      <c r="A194" s="919" t="str">
        <f>IFERROR(VLOOKUP($C194,Table2[#All],3,0),0)</f>
        <v>WPJV 2A</v>
      </c>
      <c r="B194" s="1260" t="str">
        <f>_xlfn.XLOOKUP(Table1218[[#This Row],[ACCOUNT NUMBER]],Table2[Account No.],Table2[BRANCH],"recheck",0)</f>
        <v>VIETINBANK - TPHCM</v>
      </c>
      <c r="C194" s="1261" t="s">
        <v>1451</v>
      </c>
      <c r="D194" s="1262" t="str">
        <f>_xlfn.XLOOKUP(Table1218[[#This Row],[ACCOUNT NUMBER]],Table2[Account No.],Table2[ACCOUNT TYPE],"recheck",0)</f>
        <v>Saving Account</v>
      </c>
      <c r="E194" s="1267" t="s">
        <v>80</v>
      </c>
      <c r="F194" s="1140">
        <f>SUMIFS(Table11[CLOSING BALANCE (VND)2],Table11[ACCOUNT NUMBER],Table1218[[#This Row],[ACCOUNT NUMBER]],Table11[CURRENCY],Table1218[[#This Row],[CURRENCY]])</f>
        <v>450000000</v>
      </c>
      <c r="G194" s="1272"/>
      <c r="H194" s="1267" t="s">
        <v>219</v>
      </c>
      <c r="I194" s="1267"/>
      <c r="J194" s="1267"/>
      <c r="K194" s="1268">
        <v>46060</v>
      </c>
      <c r="L194" s="927">
        <v>4.7500000000000001E-2</v>
      </c>
      <c r="M194" s="1262" t="str">
        <f>VLOOKUP($A194,Table1[[#All],[Entities]:[Name]],MATCH(M$3,Table1[[#Headers],[Entities]:[Name]],0),0)</f>
        <v>Subsidiaries</v>
      </c>
      <c r="N194" s="1262" t="str">
        <f>IFERROR(VLOOKUP(IFERROR(MID($O194,1,FIND("-",$O194)-2),O194),Table3[#All],2,0),0)</f>
        <v>VTB</v>
      </c>
      <c r="O194" s="1264" t="str">
        <f t="shared" si="11"/>
        <v>VIETINBANK - TPHCM</v>
      </c>
      <c r="P194" s="1259"/>
      <c r="Q194" s="1262"/>
      <c r="R194" s="1262"/>
      <c r="S194" s="1265" t="str">
        <f>IF(ISBLANK(Table1218[[#This Row],[Maturity date]]),"","W"&amp;MIN(WEEKNUM($K194+1,2)-WEEKNUM(EOMONTH($K194+1,-1)),4)&amp;TEXT($K194+1,"mmmyy"))</f>
        <v>W1Feb26</v>
      </c>
      <c r="T194" s="1266">
        <f>Table1218[[#This Row],[CLOSING BALANCE 
(VND)]]/1000000000</f>
        <v>0.45</v>
      </c>
      <c r="U19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94" s="1114"/>
      <c r="W194" s="1112"/>
      <c r="X194" s="1115"/>
      <c r="Y194" s="1112"/>
      <c r="Z194" s="1118"/>
      <c r="AA194" s="1112" t="e">
        <v>#N/A</v>
      </c>
      <c r="AB194" s="1112"/>
      <c r="AC194" s="1112"/>
    </row>
    <row r="195" spans="1:29">
      <c r="A195" s="919" t="str">
        <f>IFERROR(VLOOKUP($C195,Table2[#All],3,0),0)</f>
        <v>WPJV 2B</v>
      </c>
      <c r="B195" s="1260" t="str">
        <f>_xlfn.XLOOKUP(Table1218[[#This Row],[ACCOUNT NUMBER]],Table2[Account No.],Table2[BRANCH],"recheck",0)</f>
        <v>VIETINBANK - TPHCM</v>
      </c>
      <c r="C195" s="1261" t="s">
        <v>1453</v>
      </c>
      <c r="D195" s="1262" t="str">
        <f>_xlfn.XLOOKUP(Table1218[[#This Row],[ACCOUNT NUMBER]],Table2[Account No.],Table2[ACCOUNT TYPE],"recheck",0)</f>
        <v>Saving Account</v>
      </c>
      <c r="E195" s="1267" t="s">
        <v>80</v>
      </c>
      <c r="F195" s="1140">
        <f>SUMIFS(Table11[CLOSING BALANCE (VND)2],Table11[ACCOUNT NUMBER],Table1218[[#This Row],[ACCOUNT NUMBER]],Table11[CURRENCY],Table1218[[#This Row],[CURRENCY]])</f>
        <v>450000000</v>
      </c>
      <c r="G195" s="1272"/>
      <c r="H195" s="1267" t="s">
        <v>219</v>
      </c>
      <c r="I195" s="1267"/>
      <c r="J195" s="1267"/>
      <c r="K195" s="1268">
        <v>46060</v>
      </c>
      <c r="L195" s="927">
        <v>4.7500000000000001E-2</v>
      </c>
      <c r="M195" s="1262" t="str">
        <f>VLOOKUP($A195,Table1[[#All],[Entities]:[Name]],MATCH(M$3,Table1[[#Headers],[Entities]:[Name]],0),0)</f>
        <v>Subsidiaries</v>
      </c>
      <c r="N195" s="1262" t="str">
        <f>IFERROR(VLOOKUP(IFERROR(MID($O195,1,FIND("-",$O195)-2),O195),Table3[#All],2,0),0)</f>
        <v>VTB</v>
      </c>
      <c r="O195" s="1264" t="str">
        <f t="shared" si="11"/>
        <v>VIETINBANK - TPHCM</v>
      </c>
      <c r="P195" s="1259"/>
      <c r="Q195" s="1262"/>
      <c r="R195" s="1262"/>
      <c r="S195" s="1265" t="str">
        <f>IF(ISBLANK(Table1218[[#This Row],[Maturity date]]),"","W"&amp;MIN(WEEKNUM($K195+1,2)-WEEKNUM(EOMONTH($K195+1,-1)),4)&amp;TEXT($K195+1,"mmmyy"))</f>
        <v>W1Feb26</v>
      </c>
      <c r="T195" s="1266">
        <f>Table1218[[#This Row],[CLOSING BALANCE 
(VND)]]/1000000000</f>
        <v>0.45</v>
      </c>
      <c r="U19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95" s="1114"/>
      <c r="W195" s="1112"/>
      <c r="X195" s="1115"/>
      <c r="Y195" s="1112"/>
      <c r="Z195" s="1118"/>
      <c r="AA195" s="1112" t="e">
        <v>#N/A</v>
      </c>
      <c r="AB195" s="1112"/>
      <c r="AC195" s="1112"/>
    </row>
    <row r="196" spans="1:29">
      <c r="A196" s="920" t="str">
        <f>IFERROR(VLOOKUP($C196,Table2[#All],3,0),0)</f>
        <v>BWID TAN DONG HIEP</v>
      </c>
      <c r="B196" s="921" t="str">
        <f>_xlfn.XLOOKUP(Table1218[[#This Row],[ACCOUNT NUMBER]],Table2[Account No.],Table2[BRANCH],"recheck",0)</f>
        <v>SINOPAC</v>
      </c>
      <c r="C196" s="1141" t="s">
        <v>1452</v>
      </c>
      <c r="D196" s="922" t="str">
        <f>_xlfn.XLOOKUP(Table1218[[#This Row],[ACCOUNT NUMBER]],Table2[Account No.],Table2[ACCOUNT TYPE],"recheck",0)</f>
        <v>Saving Account</v>
      </c>
      <c r="E196" s="1267" t="s">
        <v>80</v>
      </c>
      <c r="F196" s="1140">
        <f>SUMIFS(Table11[CLOSING BALANCE (VND)2],Table11[ACCOUNT NUMBER],Table1218[[#This Row],[ACCOUNT NUMBER]],Table11[CURRENCY],Table1218[[#This Row],[CURRENCY]])</f>
        <v>20000000000</v>
      </c>
      <c r="G196" s="926"/>
      <c r="H196" s="1267" t="s">
        <v>220</v>
      </c>
      <c r="I196" s="1267"/>
      <c r="J196" s="1267"/>
      <c r="K196" s="1268">
        <v>46052</v>
      </c>
      <c r="L196" s="927">
        <v>4.7500000000000001E-2</v>
      </c>
      <c r="M196" s="922" t="str">
        <f>VLOOKUP($A196,Table1[[#All],[Entities]:[Name]],MATCH(M$3,Table1[[#Headers],[Entities]:[Name]],0),0)</f>
        <v>Subsidiaries</v>
      </c>
      <c r="N196" s="922" t="str">
        <f>IFERROR(VLOOKUP(IFERROR(MID($O196,1,FIND("-",$O196)-2),O196),Table3[#All],2,0),0)</f>
        <v>SNP</v>
      </c>
      <c r="O196" s="923" t="str">
        <f t="shared" si="11"/>
        <v>SINOPAC</v>
      </c>
      <c r="P196" s="927"/>
      <c r="Q196" s="922"/>
      <c r="R196" s="922"/>
      <c r="S196" s="924" t="str">
        <f>IF(ISBLANK(Table1218[[#This Row],[Maturity date]]),"","W"&amp;MIN(WEEKNUM($K196+1,2)-WEEKNUM(EOMONTH($K196+1,-1)),4)&amp;TEXT($K196+1,"mmmyy"))</f>
        <v>W-48Jan26</v>
      </c>
      <c r="T196" s="925">
        <f>Table1218[[#This Row],[CLOSING BALANCE 
(VND)]]/1000000000</f>
        <v>20</v>
      </c>
      <c r="U19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96" s="1114"/>
      <c r="W196" s="1112"/>
      <c r="X196" s="1115"/>
      <c r="Y196" s="1112"/>
      <c r="Z196" s="1118"/>
      <c r="AA196" s="1112" t="e">
        <v>#N/A</v>
      </c>
      <c r="AB196" s="1112"/>
      <c r="AC196" s="1112"/>
    </row>
    <row r="197" spans="1:29">
      <c r="A197" s="919" t="str">
        <f>IFERROR(VLOOKUP($C197,Table2[#All],3,0),0)</f>
        <v>BCI JSC</v>
      </c>
      <c r="B197" s="1260" t="str">
        <f>_xlfn.XLOOKUP(Table1218[[#This Row],[ACCOUNT NUMBER]],Table2[Account No.],Table2[BRANCH],"recheck",0)</f>
        <v>VIETINBANK - TIEN SON</v>
      </c>
      <c r="C197" s="1261" t="s">
        <v>1454</v>
      </c>
      <c r="D197" s="1262" t="str">
        <f>_xlfn.XLOOKUP(Table1218[[#This Row],[ACCOUNT NUMBER]],Table2[Account No.],Table2[ACCOUNT TYPE],"recheck",0)</f>
        <v>Saving Account</v>
      </c>
      <c r="E197" s="1267" t="s">
        <v>80</v>
      </c>
      <c r="F197" s="1140">
        <f>SUMIFS(Table11[CLOSING BALANCE (VND)2],Table11[ACCOUNT NUMBER],Table1218[[#This Row],[ACCOUNT NUMBER]],Table11[CURRENCY],Table1218[[#This Row],[CURRENCY]])</f>
        <v>3000000000</v>
      </c>
      <c r="G197" s="1272"/>
      <c r="H197" s="1267" t="s">
        <v>220</v>
      </c>
      <c r="I197" s="1267"/>
      <c r="J197" s="1267"/>
      <c r="K197" s="1268">
        <v>46048</v>
      </c>
      <c r="L197" s="927">
        <v>4.7500000000000001E-2</v>
      </c>
      <c r="M197" s="1262" t="str">
        <f>VLOOKUP($A197,Table1[[#All],[Entities]:[Name]],MATCH(M$3,Table1[[#Headers],[Entities]:[Name]],0),0)</f>
        <v>Subsidiaries</v>
      </c>
      <c r="N197" s="1262" t="str">
        <f>IFERROR(VLOOKUP(IFERROR(MID($O197,1,FIND("-",$O197)-2),O197),Table3[#All],2,0),0)</f>
        <v>VTB</v>
      </c>
      <c r="O197" s="1264" t="str">
        <f t="shared" si="11"/>
        <v>VIETINBANK - TIEN SON</v>
      </c>
      <c r="P197" s="1259"/>
      <c r="Q197" s="1262"/>
      <c r="R197" s="1262"/>
      <c r="S197" s="1265" t="str">
        <f>IF(ISBLANK(Table1218[[#This Row],[Maturity date]]),"","W"&amp;MIN(WEEKNUM($K197+1,2)-WEEKNUM(EOMONTH($K197+1,-1)),4)&amp;TEXT($K197+1,"mmmyy"))</f>
        <v>W-48Jan26</v>
      </c>
      <c r="T197" s="1266">
        <f>Table1218[[#This Row],[CLOSING BALANCE 
(VND)]]/1000000000</f>
        <v>3</v>
      </c>
      <c r="U19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97" s="1114"/>
      <c r="W197" s="1112"/>
      <c r="X197" s="1115"/>
      <c r="Y197" s="1112"/>
      <c r="Z197" s="1118"/>
      <c r="AA197" s="1112" t="e">
        <v>#N/A</v>
      </c>
      <c r="AB197" s="1112"/>
      <c r="AC197" s="1112"/>
    </row>
    <row r="198" spans="1:29">
      <c r="A198" s="919" t="str">
        <f>IFERROR(VLOOKUP($C198,Table2[#All],3,0),0)</f>
        <v>BWID HAI PHONG</v>
      </c>
      <c r="B198" s="1260" t="str">
        <f>_xlfn.XLOOKUP(Table1218[[#This Row],[ACCOUNT NUMBER]],Table2[Account No.],Table2[BRANCH],"recheck",0)</f>
        <v>VIETINBANK - TIEN SON</v>
      </c>
      <c r="C198" s="1261" t="s">
        <v>1455</v>
      </c>
      <c r="D198" s="1262" t="str">
        <f>_xlfn.XLOOKUP(Table1218[[#This Row],[ACCOUNT NUMBER]],Table2[Account No.],Table2[ACCOUNT TYPE],"recheck",0)</f>
        <v>Saving Account</v>
      </c>
      <c r="E198" s="1267" t="s">
        <v>80</v>
      </c>
      <c r="F198" s="1140">
        <f>SUMIFS(Table11[CLOSING BALANCE (VND)2],Table11[ACCOUNT NUMBER],Table1218[[#This Row],[ACCOUNT NUMBER]],Table11[CURRENCY],Table1218[[#This Row],[CURRENCY]])</f>
        <v>3000000000</v>
      </c>
      <c r="G198" s="1272"/>
      <c r="H198" s="1267" t="s">
        <v>220</v>
      </c>
      <c r="I198" s="1267"/>
      <c r="J198" s="1267"/>
      <c r="K198" s="1268">
        <v>46048</v>
      </c>
      <c r="L198" s="927">
        <v>4.7500000000000001E-2</v>
      </c>
      <c r="M198" s="1262" t="str">
        <f>VLOOKUP($A198,Table1[[#All],[Entities]:[Name]],MATCH(M$3,Table1[[#Headers],[Entities]:[Name]],0),0)</f>
        <v>Subsidiaries</v>
      </c>
      <c r="N198" s="1262" t="str">
        <f>IFERROR(VLOOKUP(IFERROR(MID($O198,1,FIND("-",$O198)-2),O198),Table3[#All],2,0),0)</f>
        <v>VTB</v>
      </c>
      <c r="O198" s="1264" t="str">
        <f t="shared" si="11"/>
        <v>VIETINBANK - TIEN SON</v>
      </c>
      <c r="P198" s="1259"/>
      <c r="Q198" s="1262"/>
      <c r="R198" s="1262"/>
      <c r="S198" s="1265" t="str">
        <f>IF(ISBLANK(Table1218[[#This Row],[Maturity date]]),"","W"&amp;MIN(WEEKNUM($K198+1,2)-WEEKNUM(EOMONTH($K198+1,-1)),4)&amp;TEXT($K198+1,"mmmyy"))</f>
        <v>W-48Jan26</v>
      </c>
      <c r="T198" s="1266">
        <f>Table1218[[#This Row],[CLOSING BALANCE 
(VND)]]/1000000000</f>
        <v>3</v>
      </c>
      <c r="U198"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198" s="1114"/>
      <c r="W198" s="1112"/>
      <c r="X198" s="1115"/>
      <c r="Y198" s="1112"/>
      <c r="Z198" s="1118"/>
      <c r="AA198" s="1112" t="e">
        <v>#N/A</v>
      </c>
      <c r="AB198" s="1112"/>
      <c r="AC198" s="1112"/>
    </row>
    <row r="199" spans="1:29">
      <c r="A199" s="920" t="str">
        <f>IFERROR(VLOOKUP($C199,Table2[#All],3,0),0)</f>
        <v>BW BAU BANG 01</v>
      </c>
      <c r="B199" s="921" t="str">
        <f>_xlfn.XLOOKUP(Table1218[[#This Row],[ACCOUNT NUMBER]],Table2[Account No.],Table2[BRANCH],"recheck",0)</f>
        <v>VIETINBANK - BINH DUONG</v>
      </c>
      <c r="C199" s="1141" t="s">
        <v>1460</v>
      </c>
      <c r="D199" s="922" t="str">
        <f>_xlfn.XLOOKUP(Table1218[[#This Row],[ACCOUNT NUMBER]],Table2[Account No.],Table2[ACCOUNT TYPE],"recheck",0)</f>
        <v>Saving Account</v>
      </c>
      <c r="E199" s="1267" t="s">
        <v>80</v>
      </c>
      <c r="F199" s="1140">
        <f>SUMIFS(Table11[CLOSING BALANCE (VND)2],Table11[ACCOUNT NUMBER],Table1218[[#This Row],[ACCOUNT NUMBER]],Table11[CURRENCY],Table1218[[#This Row],[CURRENCY]])</f>
        <v>10000000000</v>
      </c>
      <c r="G199" s="926"/>
      <c r="H199" s="1129" t="s">
        <v>221</v>
      </c>
      <c r="I199" s="1267"/>
      <c r="J199" s="1267"/>
      <c r="K199" s="1130">
        <v>46062</v>
      </c>
      <c r="L199" s="927">
        <v>4.7500000000000001E-2</v>
      </c>
      <c r="M199" s="922" t="str">
        <f>VLOOKUP($A199,Table1[[#All],[Entities]:[Name]],MATCH(M$3,Table1[[#Headers],[Entities]:[Name]],0),0)</f>
        <v>Subsidiaries</v>
      </c>
      <c r="N199" s="922" t="str">
        <f>IFERROR(VLOOKUP(IFERROR(MID($O199,1,FIND("-",$O199)-2),O199),Table3[#All],2,0),0)</f>
        <v>VTB</v>
      </c>
      <c r="O199" s="923" t="str">
        <f>B199</f>
        <v>VIETINBANK - BINH DUONG</v>
      </c>
      <c r="P199" s="927"/>
      <c r="Q199" s="922"/>
      <c r="R199" s="922"/>
      <c r="S199" s="924" t="str">
        <f>IF(ISBLANK(Table1218[[#This Row],[Maturity date]]),"","W"&amp;MIN(WEEKNUM($K199+1,2)-WEEKNUM(EOMONTH($K199+1,-1)),4)&amp;TEXT($K199+1,"mmmyy"))</f>
        <v>W2Feb26</v>
      </c>
      <c r="T199" s="925">
        <f>Table1218[[#This Row],[CLOSING BALANCE 
(VND)]]/1000000000</f>
        <v>10</v>
      </c>
      <c r="U19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199" s="1114"/>
      <c r="W199" s="1112"/>
      <c r="X199" s="1115"/>
      <c r="Y199" s="1112"/>
      <c r="Z199" s="1118"/>
      <c r="AA199" s="1112" t="e">
        <v>#N/A</v>
      </c>
      <c r="AB199" s="1112"/>
      <c r="AC199" s="1112"/>
    </row>
    <row r="200" spans="1:29">
      <c r="A200" s="920" t="str">
        <f>IFERROR(VLOOKUP($C200,Table2[#All],3,0),0)</f>
        <v>GREAT KINGDOM NT 2</v>
      </c>
      <c r="B200" s="921" t="str">
        <f>_xlfn.XLOOKUP(Table1218[[#This Row],[ACCOUNT NUMBER]],Table2[Account No.],Table2[BRANCH],"recheck",0)</f>
        <v>VIETINBANK - CN1</v>
      </c>
      <c r="C200" s="1141" t="s">
        <v>1463</v>
      </c>
      <c r="D200" s="922" t="str">
        <f>_xlfn.XLOOKUP(Table1218[[#This Row],[ACCOUNT NUMBER]],Table2[Account No.],Table2[ACCOUNT TYPE],"recheck",0)</f>
        <v>Saving Account</v>
      </c>
      <c r="E200" s="1267" t="s">
        <v>80</v>
      </c>
      <c r="F200" s="1140">
        <f>SUMIFS(Table11[CLOSING BALANCE (VND)2],Table11[ACCOUNT NUMBER],Table1218[[#This Row],[ACCOUNT NUMBER]],Table11[CURRENCY],Table1218[[#This Row],[CURRENCY]])</f>
        <v>14000000000</v>
      </c>
      <c r="G200" s="926"/>
      <c r="H200" s="1129" t="s">
        <v>220</v>
      </c>
      <c r="I200" s="1267"/>
      <c r="J200" s="1267"/>
      <c r="K200" s="1130">
        <v>46048</v>
      </c>
      <c r="L200" s="927">
        <v>4.7500000000000001E-2</v>
      </c>
      <c r="M200" s="922" t="str">
        <f>VLOOKUP($A200,Table1[[#All],[Entities]:[Name]],MATCH(M$3,Table1[[#Headers],[Entities]:[Name]],0),0)</f>
        <v>Subsidiaries</v>
      </c>
      <c r="N200" s="922" t="str">
        <f>IFERROR(VLOOKUP(IFERROR(MID($O200,1,FIND("-",$O200)-2),O200),Table3[#All],2,0),0)</f>
        <v>VTB</v>
      </c>
      <c r="O200" s="923" t="str">
        <f>B200</f>
        <v>VIETINBANK - CN1</v>
      </c>
      <c r="P200" s="927"/>
      <c r="Q200" s="922"/>
      <c r="R200" s="922"/>
      <c r="S200" s="924" t="str">
        <f>IF(ISBLANK(Table1218[[#This Row],[Maturity date]]),"","W"&amp;MIN(WEEKNUM($K200+1,2)-WEEKNUM(EOMONTH($K200+1,-1)),4)&amp;TEXT($K200+1,"mmmyy"))</f>
        <v>W-48Jan26</v>
      </c>
      <c r="T200" s="925">
        <f>Table1218[[#This Row],[CLOSING BALANCE 
(VND)]]/1000000000</f>
        <v>14</v>
      </c>
      <c r="U20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00" s="1114"/>
      <c r="W200" s="1112"/>
      <c r="X200" s="1115"/>
      <c r="Y200" s="1112"/>
      <c r="Z200" s="1118"/>
      <c r="AA200" s="1112" t="e">
        <v>#N/A</v>
      </c>
      <c r="AB200" s="1112"/>
      <c r="AC200" s="1112"/>
    </row>
    <row r="201" spans="1:29">
      <c r="A201" s="920" t="str">
        <f>IFERROR(VLOOKUP($C201,Table2[#All],3,0),0)</f>
        <v>TAN DONG HIEP B ELECTRON</v>
      </c>
      <c r="B201" s="921" t="str">
        <f>_xlfn.XLOOKUP(Table1218[[#This Row],[ACCOUNT NUMBER]],Table2[Account No.],Table2[BRANCH],"recheck",0)</f>
        <v>VIETINBANK - TPHCM</v>
      </c>
      <c r="C201" s="1141" t="s">
        <v>1461</v>
      </c>
      <c r="D201" s="922" t="str">
        <f>_xlfn.XLOOKUP(Table1218[[#This Row],[ACCOUNT NUMBER]],Table2[Account No.],Table2[ACCOUNT TYPE],"recheck",0)</f>
        <v>Saving Account</v>
      </c>
      <c r="E201" s="1267" t="s">
        <v>80</v>
      </c>
      <c r="F201" s="1140">
        <f>SUMIFS(Table11[CLOSING BALANCE (VND)2],Table11[ACCOUNT NUMBER],Table1218[[#This Row],[ACCOUNT NUMBER]],Table11[CURRENCY],Table1218[[#This Row],[CURRENCY]])</f>
        <v>10000000000</v>
      </c>
      <c r="G201" s="926"/>
      <c r="H201" s="1129" t="s">
        <v>220</v>
      </c>
      <c r="I201" s="1267"/>
      <c r="J201" s="1267"/>
      <c r="K201" s="1130">
        <v>46048</v>
      </c>
      <c r="L201" s="927">
        <v>4.7500000000000001E-2</v>
      </c>
      <c r="M201" s="922" t="str">
        <f>VLOOKUP($A201,Table1[[#All],[Entities]:[Name]],MATCH(M$3,Table1[[#Headers],[Entities]:[Name]],0),0)</f>
        <v>Subsidiaries</v>
      </c>
      <c r="N201" s="922" t="str">
        <f>IFERROR(VLOOKUP(IFERROR(MID($O201,1,FIND("-",$O201)-2),O201),Table3[#All],2,0),0)</f>
        <v>VTB</v>
      </c>
      <c r="O201" s="923" t="str">
        <f>B201</f>
        <v>VIETINBANK - TPHCM</v>
      </c>
      <c r="P201" s="927"/>
      <c r="Q201" s="922"/>
      <c r="R201" s="922"/>
      <c r="S201" s="924" t="str">
        <f>IF(ISBLANK(Table1218[[#This Row],[Maturity date]]),"","W"&amp;MIN(WEEKNUM($K201+1,2)-WEEKNUM(EOMONTH($K201+1,-1)),4)&amp;TEXT($K201+1,"mmmyy"))</f>
        <v>W-48Jan26</v>
      </c>
      <c r="T201" s="925">
        <f>Table1218[[#This Row],[CLOSING BALANCE 
(VND)]]/1000000000</f>
        <v>10</v>
      </c>
      <c r="U20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01" s="1114"/>
      <c r="W201" s="1112"/>
      <c r="X201" s="1115"/>
      <c r="Y201" s="1112"/>
      <c r="Z201" s="1118"/>
      <c r="AA201" s="1112" t="e">
        <v>#N/A</v>
      </c>
      <c r="AB201" s="1112"/>
      <c r="AC201" s="1112"/>
    </row>
    <row r="202" spans="1:29">
      <c r="A202" s="919" t="str">
        <f>IFERROR(VLOOKUP($C202,Table2[#All],3,0),0)</f>
        <v>BWID HAI DUONG 2</v>
      </c>
      <c r="B202" s="1260" t="str">
        <f>_xlfn.XLOOKUP(Table1218[[#This Row],[ACCOUNT NUMBER]],Table2[Account No.],Table2[BRANCH],"recheck",0)</f>
        <v>VIETINBANK - TIEN SON</v>
      </c>
      <c r="C202" s="1261" t="s">
        <v>1464</v>
      </c>
      <c r="D202" s="1262" t="str">
        <f>_xlfn.XLOOKUP(Table1218[[#This Row],[ACCOUNT NUMBER]],Table2[Account No.],Table2[ACCOUNT TYPE],"recheck",0)</f>
        <v>Saving Account</v>
      </c>
      <c r="E202" s="1267" t="s">
        <v>80</v>
      </c>
      <c r="F202" s="1140">
        <f>SUMIFS(Table11[CLOSING BALANCE (VND)2],Table11[ACCOUNT NUMBER],Table1218[[#This Row],[ACCOUNT NUMBER]],Table11[CURRENCY],Table1218[[#This Row],[CURRENCY]])</f>
        <v>3000000000</v>
      </c>
      <c r="G202" s="1263"/>
      <c r="H202" s="1267" t="s">
        <v>220</v>
      </c>
      <c r="I202" s="1267"/>
      <c r="J202" s="1267"/>
      <c r="K202" s="1268">
        <v>46048</v>
      </c>
      <c r="L202" s="927">
        <v>4.7500000000000001E-2</v>
      </c>
      <c r="M202" s="1262" t="str">
        <f>VLOOKUP($A202,Table1[[#All],[Entities]:[Name]],MATCH(M$3,Table1[[#Headers],[Entities]:[Name]],0),0)</f>
        <v>Subsidiaries</v>
      </c>
      <c r="N202" s="1262" t="str">
        <f>IFERROR(VLOOKUP(IFERROR(MID($O202,1,FIND("-",$O202)-2),O202),Table3[#All],2,0),0)</f>
        <v>VTB</v>
      </c>
      <c r="O202" s="1264" t="str">
        <f t="shared" si="11"/>
        <v>VIETINBANK - TIEN SON</v>
      </c>
      <c r="P202" s="1259"/>
      <c r="Q202" s="1262"/>
      <c r="R202" s="1262"/>
      <c r="S202" s="1265" t="str">
        <f>IF(ISBLANK(Table1218[[#This Row],[Maturity date]]),"","W"&amp;MIN(WEEKNUM($K202+1,2)-WEEKNUM(EOMONTH($K202+1,-1)),4)&amp;TEXT($K202+1,"mmmyy"))</f>
        <v>W-48Jan26</v>
      </c>
      <c r="T202" s="1266">
        <f>Table1218[[#This Row],[CLOSING BALANCE 
(VND)]]/1000000000</f>
        <v>3</v>
      </c>
      <c r="U20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02" s="1114"/>
      <c r="W202" s="1112"/>
      <c r="X202" s="1115"/>
      <c r="Y202" s="1112"/>
      <c r="Z202" s="1118"/>
      <c r="AA202" s="1112" t="e">
        <v>#N/A</v>
      </c>
      <c r="AB202" s="1112"/>
      <c r="AC202" s="1112"/>
    </row>
    <row r="203" spans="1:29">
      <c r="A203" s="920" t="str">
        <f>IFERROR(VLOOKUP($C203,Table2[#All],3,0),0)</f>
        <v>VINA PARTNERS INVESTMENT</v>
      </c>
      <c r="B203" s="921" t="str">
        <f>_xlfn.XLOOKUP(Table1218[[#This Row],[ACCOUNT NUMBER]],Table2[Account No.],Table2[BRANCH],"recheck",0)</f>
        <v>VIETINBANK - CN1</v>
      </c>
      <c r="C203" s="1141" t="s">
        <v>1466</v>
      </c>
      <c r="D203" s="922" t="str">
        <f>_xlfn.XLOOKUP(Table1218[[#This Row],[ACCOUNT NUMBER]],Table2[Account No.],Table2[ACCOUNT TYPE],"recheck",0)</f>
        <v>Saving Account</v>
      </c>
      <c r="E203" s="1267" t="s">
        <v>80</v>
      </c>
      <c r="F203" s="1140">
        <f>SUMIFS(Table11[CLOSING BALANCE (VND)2],Table11[ACCOUNT NUMBER],Table1218[[#This Row],[ACCOUNT NUMBER]],Table11[CURRENCY],Table1218[[#This Row],[CURRENCY]])</f>
        <v>5000000000</v>
      </c>
      <c r="G203" s="926"/>
      <c r="H203" s="1129" t="s">
        <v>219</v>
      </c>
      <c r="I203" s="1267"/>
      <c r="J203" s="1267"/>
      <c r="K203" s="1268">
        <v>46048</v>
      </c>
      <c r="L203" s="927">
        <v>4.7500000000000001E-2</v>
      </c>
      <c r="M203" s="922" t="str">
        <f>VLOOKUP($A203,Table1[[#All],[Entities]:[Name]],MATCH(M$3,Table1[[#Headers],[Entities]:[Name]],0),0)</f>
        <v>Subsidiaries</v>
      </c>
      <c r="N203" s="922" t="str">
        <f>IFERROR(VLOOKUP(IFERROR(MID($O203,1,FIND("-",$O203)-2),O203),Table3[#All],2,0),0)</f>
        <v>VTB</v>
      </c>
      <c r="O203" s="923" t="str">
        <f t="shared" ref="O203:O213" si="12">B203</f>
        <v>VIETINBANK - CN1</v>
      </c>
      <c r="P203" s="927"/>
      <c r="Q203" s="922"/>
      <c r="R203" s="922"/>
      <c r="S203" s="924" t="str">
        <f>IF(ISBLANK(Table1218[[#This Row],[Maturity date]]),"","W"&amp;MIN(WEEKNUM($K203+1,2)-WEEKNUM(EOMONTH($K203+1,-1)),4)&amp;TEXT($K203+1,"mmmyy"))</f>
        <v>W-48Jan26</v>
      </c>
      <c r="T203" s="925">
        <f>Table1218[[#This Row],[CLOSING BALANCE 
(VND)]]/1000000000</f>
        <v>5</v>
      </c>
      <c r="U20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03" s="1114"/>
      <c r="W203" s="1112"/>
      <c r="X203" s="1115"/>
      <c r="Y203" s="1112"/>
      <c r="Z203" s="1118"/>
      <c r="AA203" s="1112" t="e">
        <v>#N/A</v>
      </c>
      <c r="AB203" s="1112"/>
      <c r="AC203" s="1112"/>
    </row>
    <row r="204" spans="1:29">
      <c r="A204" s="920" t="str">
        <f>IFERROR(VLOOKUP($C204,Table2[#All],3,0),0)</f>
        <v>BWID HAI DUONG</v>
      </c>
      <c r="B204" s="921" t="str">
        <f>_xlfn.XLOOKUP(Table1218[[#This Row],[ACCOUNT NUMBER]],Table2[Account No.],Table2[BRANCH],"recheck",0)</f>
        <v>VIETINBANK - TIEN SON</v>
      </c>
      <c r="C204" s="1141" t="s">
        <v>1467</v>
      </c>
      <c r="D204" s="922" t="str">
        <f>_xlfn.XLOOKUP(Table1218[[#This Row],[ACCOUNT NUMBER]],Table2[Account No.],Table2[ACCOUNT TYPE],"recheck",0)</f>
        <v>Saving Account</v>
      </c>
      <c r="E204" s="1267" t="s">
        <v>80</v>
      </c>
      <c r="F204" s="1140">
        <f>SUMIFS(Table11[CLOSING BALANCE (VND)2],Table11[ACCOUNT NUMBER],Table1218[[#This Row],[ACCOUNT NUMBER]],Table11[CURRENCY],Table1218[[#This Row],[CURRENCY]])</f>
        <v>4000000000</v>
      </c>
      <c r="G204" s="926"/>
      <c r="H204" s="1267" t="s">
        <v>220</v>
      </c>
      <c r="I204" s="1267"/>
      <c r="J204" s="1267"/>
      <c r="K204" s="1268">
        <v>46048</v>
      </c>
      <c r="L204" s="927">
        <v>4.7500000000000001E-2</v>
      </c>
      <c r="M204" s="922" t="str">
        <f>VLOOKUP($A204,Table1[[#All],[Entities]:[Name]],MATCH(M$3,Table1[[#Headers],[Entities]:[Name]],0),0)</f>
        <v>Subsidiaries</v>
      </c>
      <c r="N204" s="922" t="str">
        <f>IFERROR(VLOOKUP(IFERROR(MID($O204,1,FIND("-",$O204)-2),O204),Table3[#All],2,0),0)</f>
        <v>VTB</v>
      </c>
      <c r="O204" s="923" t="str">
        <f t="shared" si="12"/>
        <v>VIETINBANK - TIEN SON</v>
      </c>
      <c r="P204" s="927"/>
      <c r="Q204" s="922"/>
      <c r="R204" s="922"/>
      <c r="S204" s="924" t="str">
        <f>IF(ISBLANK(Table1218[[#This Row],[Maturity date]]),"","W"&amp;MIN(WEEKNUM($K204+1,2)-WEEKNUM(EOMONTH($K204+1,-1)),4)&amp;TEXT($K204+1,"mmmyy"))</f>
        <v>W-48Jan26</v>
      </c>
      <c r="T204" s="925">
        <f>Table1218[[#This Row],[CLOSING BALANCE 
(VND)]]/1000000000</f>
        <v>4</v>
      </c>
      <c r="U204"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04" s="1114"/>
      <c r="W204" s="1112"/>
      <c r="X204" s="1115"/>
      <c r="Y204" s="1112"/>
      <c r="Z204" s="1118"/>
      <c r="AA204" s="1112" t="e">
        <v>#N/A</v>
      </c>
      <c r="AB204" s="1112"/>
      <c r="AC204" s="1112"/>
    </row>
    <row r="205" spans="1:29">
      <c r="A205" s="920" t="str">
        <f>IFERROR(VLOOKUP($C205,Table2[#All],3,0),0)</f>
        <v>WINLOCK 2A</v>
      </c>
      <c r="B205" s="921" t="str">
        <f>_xlfn.XLOOKUP(Table1218[[#This Row],[ACCOUNT NUMBER]],Table2[Account No.],Table2[BRANCH],"recheck",0)</f>
        <v>VIETINBANK - TIEN SON</v>
      </c>
      <c r="C205" s="1141" t="s">
        <v>1468</v>
      </c>
      <c r="D205" s="922" t="str">
        <f>_xlfn.XLOOKUP(Table1218[[#This Row],[ACCOUNT NUMBER]],Table2[Account No.],Table2[ACCOUNT TYPE],"recheck",0)</f>
        <v>Saving Account</v>
      </c>
      <c r="E205" s="1267" t="s">
        <v>80</v>
      </c>
      <c r="F205" s="1140">
        <f>SUMIFS(Table11[CLOSING BALANCE (VND)2],Table11[ACCOUNT NUMBER],Table1218[[#This Row],[ACCOUNT NUMBER]],Table11[CURRENCY],Table1218[[#This Row],[CURRENCY]])</f>
        <v>4000000000</v>
      </c>
      <c r="G205" s="926"/>
      <c r="H205" s="1129" t="s">
        <v>219</v>
      </c>
      <c r="I205" s="1267"/>
      <c r="J205" s="1267"/>
      <c r="K205" s="1268">
        <v>46039</v>
      </c>
      <c r="L205" s="927">
        <v>4.7500000000000001E-2</v>
      </c>
      <c r="M205" s="922" t="str">
        <f>VLOOKUP($A205,Table1[[#All],[Entities]:[Name]],MATCH(M$3,Table1[[#Headers],[Entities]:[Name]],0),0)</f>
        <v>Subsidiaries</v>
      </c>
      <c r="N205" s="922" t="str">
        <f>IFERROR(VLOOKUP(IFERROR(MID($O205,1,FIND("-",$O205)-2),O205),Table3[#All],2,0),0)</f>
        <v>VTB</v>
      </c>
      <c r="O205" s="923" t="str">
        <f t="shared" si="12"/>
        <v>VIETINBANK - TIEN SON</v>
      </c>
      <c r="P205" s="927"/>
      <c r="Q205" s="922"/>
      <c r="R205" s="922"/>
      <c r="S205" s="924" t="str">
        <f>IF(ISBLANK(Table1218[[#This Row],[Maturity date]]),"","W"&amp;MIN(WEEKNUM($K205+1,2)-WEEKNUM(EOMONTH($K205+1,-1)),4)&amp;TEXT($K205+1,"mmmyy"))</f>
        <v>W-50Jan26</v>
      </c>
      <c r="T205" s="925">
        <f>Table1218[[#This Row],[CLOSING BALANCE 
(VND)]]/1000000000</f>
        <v>4</v>
      </c>
      <c r="U205"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05" s="1114"/>
      <c r="W205" s="1112"/>
      <c r="X205" s="1115"/>
      <c r="Y205" s="1112"/>
      <c r="Z205" s="1118"/>
      <c r="AA205" s="1112" t="e">
        <v>#N/A</v>
      </c>
      <c r="AB205" s="1112"/>
      <c r="AC205" s="1112"/>
    </row>
    <row r="206" spans="1:29">
      <c r="A206" s="920" t="str">
        <f>IFERROR(VLOOKUP($C206,Table2[#All],3,0),0)</f>
        <v>LONG BINH</v>
      </c>
      <c r="B206" s="921" t="str">
        <f>_xlfn.XLOOKUP(Table1218[[#This Row],[ACCOUNT NUMBER]],Table2[Account No.],Table2[BRANCH],"recheck",0)</f>
        <v>VIETCOMBANK - HCM</v>
      </c>
      <c r="C206" s="1141" t="s">
        <v>1469</v>
      </c>
      <c r="D206" s="922" t="str">
        <f>_xlfn.XLOOKUP(Table1218[[#This Row],[ACCOUNT NUMBER]],Table2[Account No.],Table2[ACCOUNT TYPE],"recheck",0)</f>
        <v>Saving Account</v>
      </c>
      <c r="E206" s="1267" t="s">
        <v>80</v>
      </c>
      <c r="F206" s="1140">
        <f>SUMIFS(Table11[CLOSING BALANCE (VND)2],Table11[ACCOUNT NUMBER],Table1218[[#This Row],[ACCOUNT NUMBER]],Table11[CURRENCY],Table1218[[#This Row],[CURRENCY]])</f>
        <v>3000000000</v>
      </c>
      <c r="G206" s="926"/>
      <c r="H206" s="1129" t="s">
        <v>219</v>
      </c>
      <c r="I206" s="1267"/>
      <c r="J206" s="1267"/>
      <c r="K206" s="1268">
        <v>46041</v>
      </c>
      <c r="L206" s="927">
        <v>4.7500000000000001E-2</v>
      </c>
      <c r="M206" s="922" t="str">
        <f>VLOOKUP($A206,Table1[[#All],[Entities]:[Name]],MATCH(M$3,Table1[[#Headers],[Entities]:[Name]],0),0)</f>
        <v>Subsidiaries</v>
      </c>
      <c r="N206" s="922" t="str">
        <f>IFERROR(VLOOKUP(IFERROR(MID($O206,1,FIND("-",$O206)-2),O206),Table3[#All],2,0),0)</f>
        <v>VCB</v>
      </c>
      <c r="O206" s="923" t="str">
        <f t="shared" si="12"/>
        <v>VIETCOMBANK - HCM</v>
      </c>
      <c r="P206" s="927"/>
      <c r="Q206" s="922"/>
      <c r="R206" s="922"/>
      <c r="S206" s="924" t="str">
        <f>IF(ISBLANK(Table1218[[#This Row],[Maturity date]]),"","W"&amp;MIN(WEEKNUM($K206+1,2)-WEEKNUM(EOMONTH($K206+1,-1)),4)&amp;TEXT($K206+1,"mmmyy"))</f>
        <v>W-49Jan26</v>
      </c>
      <c r="T206" s="925">
        <f>Table1218[[#This Row],[CLOSING BALANCE 
(VND)]]/1000000000</f>
        <v>3</v>
      </c>
      <c r="U206"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06" s="1114"/>
      <c r="W206" s="1112"/>
      <c r="X206" s="1115"/>
      <c r="Y206" s="1112"/>
      <c r="Z206" s="1118"/>
      <c r="AA206" s="1112" t="e">
        <v>#N/A</v>
      </c>
      <c r="AB206" s="1112"/>
      <c r="AC206" s="1112"/>
    </row>
    <row r="207" spans="1:29">
      <c r="A207" s="920" t="str">
        <f>IFERROR(VLOOKUP($C207,Table2[#All],3,0),0)</f>
        <v>THUAN THANH 3B</v>
      </c>
      <c r="B207" s="921" t="str">
        <f>_xlfn.XLOOKUP(Table1218[[#This Row],[ACCOUNT NUMBER]],Table2[Account No.],Table2[BRANCH],"recheck",0)</f>
        <v>VIETCOMBANK - BA DINH</v>
      </c>
      <c r="C207" s="1141" t="s">
        <v>1470</v>
      </c>
      <c r="D207" s="922" t="str">
        <f>_xlfn.XLOOKUP(Table1218[[#This Row],[ACCOUNT NUMBER]],Table2[Account No.],Table2[ACCOUNT TYPE],"recheck",0)</f>
        <v>Saving Account</v>
      </c>
      <c r="E207" s="1267" t="s">
        <v>80</v>
      </c>
      <c r="F207" s="1140">
        <f>SUMIFS(Table11[CLOSING BALANCE (VND)2],Table11[ACCOUNT NUMBER],Table1218[[#This Row],[ACCOUNT NUMBER]],Table11[CURRENCY],Table1218[[#This Row],[CURRENCY]])</f>
        <v>2000000000</v>
      </c>
      <c r="G207" s="926"/>
      <c r="H207" s="1129" t="s">
        <v>223</v>
      </c>
      <c r="I207" s="1267"/>
      <c r="J207" s="1267"/>
      <c r="K207" s="1268">
        <v>46146</v>
      </c>
      <c r="L207" s="927">
        <v>4.7500000000000001E-2</v>
      </c>
      <c r="M207" s="922" t="str">
        <f>VLOOKUP($A207,Table1[[#All],[Entities]:[Name]],MATCH(M$3,Table1[[#Headers],[Entities]:[Name]],0),0)</f>
        <v>Subsidiaries</v>
      </c>
      <c r="N207" s="922" t="str">
        <f>IFERROR(VLOOKUP(IFERROR(MID($O207,1,FIND("-",$O207)-2),O207),Table3[#All],2,0),0)</f>
        <v>VCB</v>
      </c>
      <c r="O207" s="923" t="str">
        <f t="shared" si="12"/>
        <v>VIETCOMBANK - BA DINH</v>
      </c>
      <c r="P207" s="927"/>
      <c r="Q207" s="922"/>
      <c r="R207" s="922"/>
      <c r="S207" s="924" t="str">
        <f>IF(ISBLANK(Table1218[[#This Row],[Maturity date]]),"","W"&amp;MIN(WEEKNUM($K207+1,2)-WEEKNUM(EOMONTH($K207+1,-1)),4)&amp;TEXT($K207+1,"mmmyy"))</f>
        <v>W1May26</v>
      </c>
      <c r="T207" s="925">
        <f>Table1218[[#This Row],[CLOSING BALANCE 
(VND)]]/1000000000</f>
        <v>2</v>
      </c>
      <c r="U207"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4 months</v>
      </c>
      <c r="V207" s="1114"/>
      <c r="W207" s="1112"/>
      <c r="X207" s="1115"/>
      <c r="Y207" s="1112"/>
      <c r="Z207" s="1118"/>
      <c r="AA207" s="1112" t="e">
        <v>#N/A</v>
      </c>
      <c r="AB207" s="1112"/>
      <c r="AC207" s="1112"/>
    </row>
    <row r="208" spans="1:29" s="1306" customFormat="1">
      <c r="A208" s="1291" t="str">
        <f>IFERROR(VLOOKUP($C208,Table2[#All],3,0),0)</f>
        <v>BW NAM DINH VU</v>
      </c>
      <c r="B208" s="1292" t="str">
        <f>_xlfn.XLOOKUP(Table1218[[#This Row],[ACCOUNT NUMBER]],Table2[Account No.],Table2[BRANCH],"recheck",0)</f>
        <v>VIETINBANK - BINH DUONG</v>
      </c>
      <c r="C208" s="1293" t="s">
        <v>1473</v>
      </c>
      <c r="D208" s="1294" t="str">
        <f>_xlfn.XLOOKUP(Table1218[[#This Row],[ACCOUNT NUMBER]],Table2[Account No.],Table2[ACCOUNT TYPE],"recheck",0)</f>
        <v>Saving Account</v>
      </c>
      <c r="E208" s="1295" t="s">
        <v>80</v>
      </c>
      <c r="F208" s="1296">
        <f>SUMIFS(Table11[CLOSING BALANCE (VND)2],Table11[ACCOUNT NUMBER],Table1218[[#This Row],[ACCOUNT NUMBER]],Table11[CURRENCY],Table1218[[#This Row],[CURRENCY]])</f>
        <v>4000000000</v>
      </c>
      <c r="G208" s="1296"/>
      <c r="H208" s="1295" t="s">
        <v>220</v>
      </c>
      <c r="I208" s="1295"/>
      <c r="J208" s="1295"/>
      <c r="K208" s="1297">
        <v>46072</v>
      </c>
      <c r="L208" s="1298">
        <v>4.7500000000000001E-2</v>
      </c>
      <c r="M208" s="1294" t="str">
        <f>VLOOKUP($A208,Table1[[#All],[Entities]:[Name]],MATCH(M$3,Table1[[#Headers],[Entities]:[Name]],0),0)</f>
        <v>Subsidiaries</v>
      </c>
      <c r="N208" s="1294" t="str">
        <f>IFERROR(VLOOKUP(IFERROR(MID($O208,1,FIND("-",$O208)-2),O208),Table3[#All],2,0),0)</f>
        <v>VTB</v>
      </c>
      <c r="O208" s="1299" t="str">
        <f t="shared" si="12"/>
        <v>VIETINBANK - BINH DUONG</v>
      </c>
      <c r="P208" s="1298"/>
      <c r="Q208" s="1294"/>
      <c r="R208" s="1294"/>
      <c r="S208" s="1300" t="str">
        <f>IF(ISBLANK(Table1218[[#This Row],[Maturity date]]),"","W"&amp;MIN(WEEKNUM($K210+1,2)-WEEKNUM(EOMONTH($K210+1,-1)),4)&amp;TEXT($K210+1,"mmmyy"))</f>
        <v>W-49Jan26</v>
      </c>
      <c r="T208" s="1301">
        <f>Table1218[[#This Row],[CLOSING BALANCE 
(VND)]]/1000000000</f>
        <v>4</v>
      </c>
      <c r="U208" s="1301"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08" s="1302"/>
      <c r="W208" s="1303"/>
      <c r="X208" s="1304"/>
      <c r="Y208" s="1303"/>
      <c r="Z208" s="1305"/>
      <c r="AA208" s="1303" t="e">
        <v>#N/A</v>
      </c>
      <c r="AB208" s="1303"/>
      <c r="AC208" s="1303"/>
    </row>
    <row r="209" spans="1:29">
      <c r="A209" s="920" t="str">
        <f>IFERROR(VLOOKUP($C209,Table2[#All],3,0),0)</f>
        <v>THUAN THANH 3B</v>
      </c>
      <c r="B209" s="921" t="str">
        <f>_xlfn.XLOOKUP(Table1218[[#This Row],[ACCOUNT NUMBER]],Table2[Account No.],Table2[BRANCH],"recheck",0)</f>
        <v>VIETCOMBANK - BA DINH</v>
      </c>
      <c r="C209" s="1141" t="s">
        <v>1471</v>
      </c>
      <c r="D209" s="922" t="str">
        <f>_xlfn.XLOOKUP(Table1218[[#This Row],[ACCOUNT NUMBER]],Table2[Account No.],Table2[ACCOUNT TYPE],"recheck",0)</f>
        <v>Saving Account</v>
      </c>
      <c r="E209" s="1267" t="s">
        <v>80</v>
      </c>
      <c r="F209" s="1140">
        <f>SUMIFS(Table11[CLOSING BALANCE (VND)2],Table11[ACCOUNT NUMBER],Table1218[[#This Row],[ACCOUNT NUMBER]],Table11[CURRENCY],Table1218[[#This Row],[CURRENCY]])</f>
        <v>5000000000</v>
      </c>
      <c r="G209" s="926"/>
      <c r="H209" s="1129" t="s">
        <v>222</v>
      </c>
      <c r="I209" s="1267"/>
      <c r="J209" s="1267"/>
      <c r="K209" s="1130">
        <v>46136</v>
      </c>
      <c r="L209" s="927">
        <v>4.7500000000000001E-2</v>
      </c>
      <c r="M209" s="922" t="str">
        <f>VLOOKUP($A209,Table1[[#All],[Entities]:[Name]],MATCH(M$3,Table1[[#Headers],[Entities]:[Name]],0),0)</f>
        <v>Subsidiaries</v>
      </c>
      <c r="N209" s="922" t="str">
        <f>IFERROR(VLOOKUP(IFERROR(MID($O209,1,FIND("-",$O209)-2),O209),Table3[#All],2,0),0)</f>
        <v>VCB</v>
      </c>
      <c r="O209" s="923" t="str">
        <f t="shared" si="12"/>
        <v>VIETCOMBANK - BA DINH</v>
      </c>
      <c r="P209" s="927"/>
      <c r="Q209" s="922"/>
      <c r="R209" s="922"/>
      <c r="S209" s="924" t="str">
        <f>IF(ISBLANK(Table1218[[#This Row],[Maturity date]]),"","W"&amp;MIN(WEEKNUM($K209+1,2)-WEEKNUM(EOMONTH($K209+1,-1)),4)&amp;TEXT($K209+1,"mmmyy"))</f>
        <v>W3Apr26</v>
      </c>
      <c r="T209" s="925">
        <f>Table1218[[#This Row],[CLOSING BALANCE 
(VND)]]/1000000000</f>
        <v>5</v>
      </c>
      <c r="U209"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3 months</v>
      </c>
      <c r="V209" s="1114"/>
      <c r="W209" s="1112"/>
      <c r="X209" s="1115"/>
      <c r="Y209" s="1112"/>
      <c r="Z209" s="1118"/>
      <c r="AA209" s="1112" t="e">
        <v>#N/A</v>
      </c>
      <c r="AB209" s="1112"/>
      <c r="AC209" s="1112"/>
    </row>
    <row r="210" spans="1:29">
      <c r="A210" s="920" t="str">
        <f>IFERROR(VLOOKUP($C210,Table2[#All],3,0),0)</f>
        <v>XENIA 1</v>
      </c>
      <c r="B210" s="921" t="str">
        <f>_xlfn.XLOOKUP(Table1218[[#This Row],[ACCOUNT NUMBER]],Table2[Account No.],Table2[BRANCH],"recheck",0)</f>
        <v>VIETINBANK - TIEN SON</v>
      </c>
      <c r="C210" s="1141" t="s">
        <v>1474</v>
      </c>
      <c r="D210" s="922" t="str">
        <f>_xlfn.XLOOKUP(Table1218[[#This Row],[ACCOUNT NUMBER]],Table2[Account No.],Table2[ACCOUNT TYPE],"recheck",0)</f>
        <v>Saving Account</v>
      </c>
      <c r="E210" s="1267" t="s">
        <v>80</v>
      </c>
      <c r="F210" s="1140">
        <f>SUMIFS(Table11[CLOSING BALANCE (VND)2],Table11[ACCOUNT NUMBER],Table1218[[#This Row],[ACCOUNT NUMBER]],Table11[CURRENCY],Table1218[[#This Row],[CURRENCY]])</f>
        <v>22000000000</v>
      </c>
      <c r="G210" s="926"/>
      <c r="H210" s="1129" t="s">
        <v>219</v>
      </c>
      <c r="I210" s="1267"/>
      <c r="J210" s="1267"/>
      <c r="K210" s="1268">
        <v>46046</v>
      </c>
      <c r="L210" s="927">
        <v>4.7500000000000001E-2</v>
      </c>
      <c r="M210" s="922" t="str">
        <f>VLOOKUP($A210,Table1[[#All],[Entities]:[Name]],MATCH(M$3,Table1[[#Headers],[Entities]:[Name]],0),0)</f>
        <v>Subsidiaries</v>
      </c>
      <c r="N210" s="922" t="str">
        <f>IFERROR(VLOOKUP(IFERROR(MID($O210,1,FIND("-",$O210)-2),O210),Table3[#All],2,0),0)</f>
        <v>VTB</v>
      </c>
      <c r="O210" s="923" t="str">
        <f t="shared" si="12"/>
        <v>VIETINBANK - TIEN SON</v>
      </c>
      <c r="P210" s="927"/>
      <c r="Q210" s="922"/>
      <c r="R210" s="922"/>
      <c r="S210" s="924" t="str">
        <f>IF(ISBLANK(Table1218[[#This Row],[Maturity date]]),"","W"&amp;MIN(WEEKNUM($K210+1,2)-WEEKNUM(EOMONTH($K210+1,-1)),4)&amp;TEXT($K210+1,"mmmyy"))</f>
        <v>W-49Jan26</v>
      </c>
      <c r="T210" s="925">
        <f>Table1218[[#This Row],[CLOSING BALANCE 
(VND)]]/1000000000</f>
        <v>22</v>
      </c>
      <c r="U210"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10" s="1114"/>
      <c r="W210" s="1112"/>
      <c r="X210" s="1115"/>
      <c r="Y210" s="1112"/>
      <c r="Z210" s="1118"/>
      <c r="AA210" s="1112" t="e">
        <v>#N/A</v>
      </c>
      <c r="AB210" s="1112"/>
      <c r="AC210" s="1112"/>
    </row>
    <row r="211" spans="1:29">
      <c r="A211" s="919" t="str">
        <f>IFERROR(VLOOKUP($C211,Table2[#All],3,0),0)</f>
        <v>BWID LOGISTICS TAN UYEN</v>
      </c>
      <c r="B211" s="1260" t="str">
        <f>_xlfn.XLOOKUP(Table1218[[#This Row],[ACCOUNT NUMBER]],Table2[Account No.],Table2[BRANCH],"recheck",0)</f>
        <v>VIETCOMBANK - BA DINH</v>
      </c>
      <c r="C211" s="1261" t="s">
        <v>1472</v>
      </c>
      <c r="D211" s="1262" t="str">
        <f>_xlfn.XLOOKUP(Table1218[[#This Row],[ACCOUNT NUMBER]],Table2[Account No.],Table2[ACCOUNT TYPE],"recheck",0)</f>
        <v>Saving Account</v>
      </c>
      <c r="E211" s="1267" t="s">
        <v>80</v>
      </c>
      <c r="F211" s="1140">
        <f>SUMIFS(Table11[CLOSING BALANCE (VND)2],Table11[ACCOUNT NUMBER],Table1218[[#This Row],[ACCOUNT NUMBER]],Table11[CURRENCY],Table1218[[#This Row],[CURRENCY]])</f>
        <v>8000000000</v>
      </c>
      <c r="G211" s="1263"/>
      <c r="H211" s="1267" t="s">
        <v>220</v>
      </c>
      <c r="I211" s="1267"/>
      <c r="J211" s="1267"/>
      <c r="K211" s="1268">
        <v>46062</v>
      </c>
      <c r="L211" s="927">
        <v>4.7500000000000001E-2</v>
      </c>
      <c r="M211" s="1262" t="str">
        <f>VLOOKUP($A211,Table1[[#All],[Entities]:[Name]],MATCH(M$3,Table1[[#Headers],[Entities]:[Name]],0),0)</f>
        <v>Subsidiaries</v>
      </c>
      <c r="N211" s="1262" t="str">
        <f>IFERROR(VLOOKUP(IFERROR(MID($O211,1,FIND("-",$O211)-2),O211),Table3[#All],2,0),0)</f>
        <v>VCB</v>
      </c>
      <c r="O211" s="1264" t="str">
        <f t="shared" si="12"/>
        <v>VIETCOMBANK - BA DINH</v>
      </c>
      <c r="P211" s="1259"/>
      <c r="Q211" s="1262"/>
      <c r="R211" s="1262"/>
      <c r="S211" s="1265" t="str">
        <f>IF(ISBLANK(Table1218[[#This Row],[Maturity date]]),"","W"&amp;MIN(WEEKNUM($K211+1,2)-WEEKNUM(EOMONTH($K211+1,-1)),4)&amp;TEXT($K211+1,"mmmyy"))</f>
        <v>W2Feb26</v>
      </c>
      <c r="T211" s="1266">
        <f>Table1218[[#This Row],[CLOSING BALANCE 
(VND)]]/1000000000</f>
        <v>8</v>
      </c>
      <c r="U211"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11" s="1114"/>
      <c r="W211" s="1112"/>
      <c r="X211" s="1115"/>
      <c r="Y211" s="1112"/>
      <c r="Z211" s="1118"/>
      <c r="AA211" s="1112" t="e">
        <v>#N/A</v>
      </c>
      <c r="AB211" s="1112"/>
      <c r="AC211" s="1112"/>
    </row>
    <row r="212" spans="1:29">
      <c r="A212" s="920" t="str">
        <f>IFERROR(VLOOKUP($C212,Table2[#All],3,0),0)</f>
        <v>BWID Tan Phu Trung</v>
      </c>
      <c r="B212" s="921" t="str">
        <f>_xlfn.XLOOKUP(Table1218[[#This Row],[ACCOUNT NUMBER]],Table2[Account No.],Table2[BRANCH],"recheck",0)</f>
        <v>VIETINBANK - TIEN SON</v>
      </c>
      <c r="C212" s="1141" t="s">
        <v>1475</v>
      </c>
      <c r="D212" s="922" t="str">
        <f>_xlfn.XLOOKUP(Table1218[[#This Row],[ACCOUNT NUMBER]],Table2[Account No.],Table2[ACCOUNT TYPE],"recheck",0)</f>
        <v>Saving Account</v>
      </c>
      <c r="E212" s="1267" t="s">
        <v>80</v>
      </c>
      <c r="F212" s="1140">
        <f>SUMIFS(Table11[CLOSING BALANCE (VND)2],Table11[ACCOUNT NUMBER],Table1218[[#This Row],[ACCOUNT NUMBER]],Table11[CURRENCY],Table1218[[#This Row],[CURRENCY]])</f>
        <v>8000000000</v>
      </c>
      <c r="G212" s="926"/>
      <c r="H212" s="1267" t="s">
        <v>219</v>
      </c>
      <c r="I212" s="1267"/>
      <c r="J212" s="1267"/>
      <c r="K212" s="1268">
        <v>46039</v>
      </c>
      <c r="L212" s="927">
        <v>4.7500000000000001E-2</v>
      </c>
      <c r="M212" s="922" t="str">
        <f>VLOOKUP($A212,Table1[[#All],[Entities]:[Name]],MATCH(M$3,Table1[[#Headers],[Entities]:[Name]],0),0)</f>
        <v>Subsidiaries</v>
      </c>
      <c r="N212" s="922" t="str">
        <f>IFERROR(VLOOKUP(IFERROR(MID($O212,1,FIND("-",$O212)-2),O212),Table3[#All],2,0),0)</f>
        <v>VTB</v>
      </c>
      <c r="O212" s="923" t="str">
        <f t="shared" si="12"/>
        <v>VIETINBANK - TIEN SON</v>
      </c>
      <c r="P212" s="927"/>
      <c r="Q212" s="922"/>
      <c r="R212" s="922"/>
      <c r="S212" s="924" t="str">
        <f>IF(ISBLANK(Table1218[[#This Row],[Maturity date]]),"","W"&amp;MIN(WEEKNUM($K212+1,2)-WEEKNUM(EOMONTH($K212+1,-1)),4)&amp;TEXT($K212+1,"mmmyy"))</f>
        <v>W-50Jan26</v>
      </c>
      <c r="T212" s="925">
        <f>Table1218[[#This Row],[CLOSING BALANCE 
(VND)]]/1000000000</f>
        <v>8</v>
      </c>
      <c r="U212"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12" s="1114"/>
      <c r="W212" s="1112"/>
      <c r="X212" s="1115"/>
      <c r="Y212" s="1112"/>
      <c r="Z212" s="1118"/>
      <c r="AA212" s="1112" t="e">
        <v>#N/A</v>
      </c>
      <c r="AB212" s="1112"/>
      <c r="AC212" s="1112"/>
    </row>
    <row r="213" spans="1:29">
      <c r="A213" s="920" t="str">
        <f>IFERROR(VLOOKUP($C213,Table2[#All],3,0),0)</f>
        <v>LE MINH XUAN 3</v>
      </c>
      <c r="B213" s="921" t="str">
        <f>_xlfn.XLOOKUP(Table1218[[#This Row],[ACCOUNT NUMBER]],Table2[Account No.],Table2[BRANCH],"recheck",0)</f>
        <v>VIETINBANK - TPHCM</v>
      </c>
      <c r="C213" s="1141" t="s">
        <v>1477</v>
      </c>
      <c r="D213" s="922" t="str">
        <f>_xlfn.XLOOKUP(Table1218[[#This Row],[ACCOUNT NUMBER]],Table2[Account No.],Table2[ACCOUNT TYPE],"recheck",0)</f>
        <v>Saving Account</v>
      </c>
      <c r="E213" s="1267" t="s">
        <v>80</v>
      </c>
      <c r="F213" s="1140">
        <f>SUMIFS(Table11[CLOSING BALANCE (VND)2],Table11[ACCOUNT NUMBER],Table1218[[#This Row],[ACCOUNT NUMBER]],Table11[CURRENCY],Table1218[[#This Row],[CURRENCY]])</f>
        <v>8000000000</v>
      </c>
      <c r="G213" s="926"/>
      <c r="H213" s="1267" t="s">
        <v>220</v>
      </c>
      <c r="I213" s="1267"/>
      <c r="J213" s="1267"/>
      <c r="K213" s="1268">
        <v>46048</v>
      </c>
      <c r="L213" s="927">
        <v>4.7500000000000001E-2</v>
      </c>
      <c r="M213" s="922" t="str">
        <f>VLOOKUP($A213,Table1[[#All],[Entities]:[Name]],MATCH(M$3,Table1[[#Headers],[Entities]:[Name]],0),0)</f>
        <v>Subsidiaries</v>
      </c>
      <c r="N213" s="922" t="str">
        <f>IFERROR(VLOOKUP(IFERROR(MID($O213,1,FIND("-",$O213)-2),O213),Table3[#All],2,0),0)</f>
        <v>VTB</v>
      </c>
      <c r="O213" s="923" t="str">
        <f t="shared" si="12"/>
        <v>VIETINBANK - TPHCM</v>
      </c>
      <c r="P213" s="927"/>
      <c r="Q213" s="922"/>
      <c r="R213" s="922"/>
      <c r="S213" s="924" t="str">
        <f>IF(ISBLANK(Table1218[[#This Row],[Maturity date]]),"","W"&amp;MIN(WEEKNUM($K213+1,2)-WEEKNUM(EOMONTH($K213+1,-1)),4)&amp;TEXT($K213+1,"mmmyy"))</f>
        <v>W-48Jan26</v>
      </c>
      <c r="T213" s="925">
        <f>Table1218[[#This Row],[CLOSING BALANCE 
(VND)]]/1000000000</f>
        <v>8</v>
      </c>
      <c r="U213" s="925"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13" s="1114"/>
      <c r="W213" s="1112"/>
      <c r="X213" s="1115"/>
      <c r="Y213" s="1112"/>
      <c r="Z213" s="1118"/>
      <c r="AA213" s="1112" t="e">
        <v>#N/A</v>
      </c>
      <c r="AB213" s="1112"/>
      <c r="AC213" s="1112"/>
    </row>
    <row r="214" spans="1:29">
      <c r="A214" s="919" t="str">
        <f>IFERROR(VLOOKUP($C214,Table2[#All],3,0),0)</f>
        <v>KIM TRUC DN</v>
      </c>
      <c r="B214" s="1260" t="str">
        <f>_xlfn.XLOOKUP(Table1218[[#This Row],[ACCOUNT NUMBER]],Table2[Account No.],Table2[BRANCH],"recheck",0)</f>
        <v>BIDV - NAM SAI GON</v>
      </c>
      <c r="C214" s="1261" t="s">
        <v>1479</v>
      </c>
      <c r="D214" s="1262" t="str">
        <f>_xlfn.XLOOKUP(Table1218[[#This Row],[ACCOUNT NUMBER]],Table2[Account No.],Table2[ACCOUNT TYPE],"recheck",0)</f>
        <v>Saving Account</v>
      </c>
      <c r="E214" s="1267" t="s">
        <v>80</v>
      </c>
      <c r="F214" s="926">
        <f>SUMIFS(Table11[CLOSING BALANCE (VND)2],Table11[ACCOUNT NUMBER],Table1218[[#This Row],[ACCOUNT NUMBER]],Table11[CURRENCY],Table1218[[#This Row],[CURRENCY]])</f>
        <v>11000000000</v>
      </c>
      <c r="G214" s="1263"/>
      <c r="H214" s="1267" t="s">
        <v>219</v>
      </c>
      <c r="I214" s="1267"/>
      <c r="J214" s="1267"/>
      <c r="K214" s="1268">
        <v>46047</v>
      </c>
      <c r="L214" s="927">
        <v>4.7500000000000001E-2</v>
      </c>
      <c r="M214" s="1262" t="str">
        <f>VLOOKUP($A214,Table1[[#All],[Entities]:[Name]],MATCH(M$3,Table1[[#Headers],[Entities]:[Name]],0),0)</f>
        <v>Subsidiaries</v>
      </c>
      <c r="N214" s="1262" t="str">
        <f>IFERROR(VLOOKUP(IFERROR(MID($O214,1,FIND("-",$O214)-2),O214),Table3[#All],2,0),0)</f>
        <v>BIDV</v>
      </c>
      <c r="O214" s="1264" t="str">
        <f t="shared" ref="O214" si="13">B214</f>
        <v>BIDV - NAM SAI GON</v>
      </c>
      <c r="P214" s="1259"/>
      <c r="Q214" s="1262"/>
      <c r="R214" s="1262"/>
      <c r="S214" s="1265" t="str">
        <f>IF(ISBLANK(Table1218[[#This Row],[Maturity date]]),"","W"&amp;MIN(WEEKNUM($K214+1,2)-WEEKNUM(EOMONTH($K214+1,-1)),4)&amp;TEXT($K214+1,"mmmyy"))</f>
        <v>W-48Jan26</v>
      </c>
      <c r="T214" s="1270">
        <f>Table1218[[#This Row],[CLOSING BALANCE 
(VND)]]/1000000000</f>
        <v>11</v>
      </c>
      <c r="U214"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14" s="1220"/>
      <c r="W214" s="1112"/>
      <c r="X214" s="1115"/>
      <c r="Y214" s="1112"/>
      <c r="Z214" s="1221"/>
      <c r="AA214" s="1112" t="e">
        <v>#N/A</v>
      </c>
      <c r="AB214" s="1112"/>
      <c r="AC214" s="1112"/>
    </row>
    <row r="215" spans="1:29">
      <c r="A215" s="919" t="str">
        <f>IFERROR(VLOOKUP($C215,Table2[#All],3,0),0)</f>
        <v>BW SUPLLY CHAIN CITY</v>
      </c>
      <c r="B215" s="1260" t="str">
        <f>_xlfn.XLOOKUP(Table1218[[#This Row],[ACCOUNT NUMBER]],Table2[Account No.],Table2[BRANCH],"recheck",0)</f>
        <v>TECHCOMBANK</v>
      </c>
      <c r="C215" s="1261" t="s">
        <v>1117</v>
      </c>
      <c r="D215" s="1262" t="str">
        <f>_xlfn.XLOOKUP(Table1218[[#This Row],[ACCOUNT NUMBER]],Table2[Account No.],Table2[ACCOUNT TYPE],"recheck",0)</f>
        <v>Saving Account</v>
      </c>
      <c r="E215" s="1267" t="s">
        <v>80</v>
      </c>
      <c r="F215" s="926">
        <f>SUMIFS(Table11[CLOSING BALANCE (VND)2],Table11[ACCOUNT NUMBER],Table1218[[#This Row],[ACCOUNT NUMBER]],Table11[CURRENCY],Table1218[[#This Row],[CURRENCY]])</f>
        <v>20000000000</v>
      </c>
      <c r="G215" s="1272"/>
      <c r="H215" s="1267" t="s">
        <v>219</v>
      </c>
      <c r="I215" s="1267"/>
      <c r="J215" s="1267"/>
      <c r="K215" s="1268">
        <v>46047</v>
      </c>
      <c r="L215" s="927">
        <v>4.7500000000000001E-2</v>
      </c>
      <c r="M215" s="1262" t="str">
        <f>VLOOKUP($A215,Table1[[#All],[Entities]:[Name]],MATCH(M$3,Table1[[#Headers],[Entities]:[Name]],0),0)</f>
        <v>Subsidiaries</v>
      </c>
      <c r="N215" s="1262" t="str">
        <f>IFERROR(VLOOKUP(IFERROR(MID($O215,1,FIND("-",$O215)-2),O215),Table3[#All],2,0),0)</f>
        <v>TCB</v>
      </c>
      <c r="O215" s="1264" t="str">
        <f>B215</f>
        <v>TECHCOMBANK</v>
      </c>
      <c r="P215" s="1259"/>
      <c r="Q215" s="1262"/>
      <c r="R215" s="1262"/>
      <c r="S215" s="1265" t="str">
        <f>IF(ISBLANK(Table1218[[#This Row],[Maturity date]]),"","W"&amp;MIN(WEEKNUM($K215+1,2)-WEEKNUM(EOMONTH($K215+1,-1)),4)&amp;TEXT($K215+1,"mmmyy"))</f>
        <v>W-48Jan26</v>
      </c>
      <c r="T215" s="1270">
        <f>Table1218[[#This Row],[CLOSING BALANCE 
(VND)]]/1000000000</f>
        <v>20</v>
      </c>
      <c r="U215"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15" s="1220"/>
      <c r="W215" s="1112"/>
      <c r="X215" s="1115"/>
      <c r="Y215" s="1112"/>
      <c r="Z215" s="1221"/>
      <c r="AA215" s="1112" t="e">
        <v>#N/A</v>
      </c>
      <c r="AB215" s="1112"/>
      <c r="AC215" s="1112"/>
    </row>
    <row r="216" spans="1:29">
      <c r="A216" s="920" t="str">
        <f>IFERROR(VLOOKUP($C216,Table2[#All],3,0),0)</f>
        <v>BW DINH VU</v>
      </c>
      <c r="B216" s="921" t="str">
        <f>_xlfn.XLOOKUP(Table1218[[#This Row],[ACCOUNT NUMBER]],Table2[Account No.],Table2[BRANCH],"recheck",0)</f>
        <v>BIDV - THANH XUAN</v>
      </c>
      <c r="C216" s="1141" t="s">
        <v>1480</v>
      </c>
      <c r="D216" s="922" t="str">
        <f>_xlfn.XLOOKUP(Table1218[[#This Row],[ACCOUNT NUMBER]],Table2[Account No.],Table2[ACCOUNT TYPE],"recheck",0)</f>
        <v>Saving Account</v>
      </c>
      <c r="E216" s="1267" t="s">
        <v>80</v>
      </c>
      <c r="F216" s="926">
        <f>SUMIFS(Table11[CLOSING BALANCE (VND)2],Table11[ACCOUNT NUMBER],Table1218[[#This Row],[ACCOUNT NUMBER]],Table11[CURRENCY],Table1218[[#This Row],[CURRENCY]])</f>
        <v>10000000000</v>
      </c>
      <c r="G216" s="926"/>
      <c r="H216" s="1129" t="s">
        <v>220</v>
      </c>
      <c r="I216" s="1267"/>
      <c r="J216" s="1267"/>
      <c r="K216" s="1130">
        <v>46048</v>
      </c>
      <c r="L216" s="927">
        <v>4.7500000000000001E-2</v>
      </c>
      <c r="M216" s="922" t="str">
        <f>VLOOKUP($A216,Table1[[#All],[Entities]:[Name]],MATCH(M$3,Table1[[#Headers],[Entities]:[Name]],0),0)</f>
        <v>Subsidiaries</v>
      </c>
      <c r="N216" s="922" t="str">
        <f>IFERROR(VLOOKUP(IFERROR(MID($O216,1,FIND("-",$O216)-2),O216),Table3[#All],2,0),0)</f>
        <v>BIDV</v>
      </c>
      <c r="O216" s="923" t="str">
        <f t="shared" ref="O216:O222" si="14">B216</f>
        <v>BIDV - THANH XUAN</v>
      </c>
      <c r="P216" s="927"/>
      <c r="Q216" s="922"/>
      <c r="R216" s="922"/>
      <c r="S216" s="924" t="str">
        <f>IF(ISBLANK(Table1218[[#This Row],[Maturity date]]),"","W"&amp;MIN(WEEKNUM($K216+1,2)-WEEKNUM(EOMONTH($K216+1,-1)),4)&amp;TEXT($K216+1,"mmmyy"))</f>
        <v>W-48Jan26</v>
      </c>
      <c r="T216" s="1214">
        <f>Table1218[[#This Row],[CLOSING BALANCE 
(VND)]]/1000000000</f>
        <v>10</v>
      </c>
      <c r="U216"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16" s="1220"/>
      <c r="W216" s="1112"/>
      <c r="X216" s="1115"/>
      <c r="Y216" s="1112"/>
      <c r="Z216" s="1221"/>
      <c r="AA216" s="1112" t="e">
        <v>#N/A</v>
      </c>
      <c r="AB216" s="1112"/>
      <c r="AC216" s="1112"/>
    </row>
    <row r="217" spans="1:29">
      <c r="A217" s="920" t="str">
        <f>IFERROR(VLOOKUP($C217,Table2[#All],3,0),0)</f>
        <v>BWID HAI DUONG 3</v>
      </c>
      <c r="B217" s="921" t="str">
        <f>_xlfn.XLOOKUP(Table1218[[#This Row],[ACCOUNT NUMBER]],Table2[Account No.],Table2[BRANCH],"recheck",0)</f>
        <v>BIDV - THANH XUAN</v>
      </c>
      <c r="C217" s="1141" t="s">
        <v>1481</v>
      </c>
      <c r="D217" s="922" t="str">
        <f>_xlfn.XLOOKUP(Table1218[[#This Row],[ACCOUNT NUMBER]],Table2[Account No.],Table2[ACCOUNT TYPE],"recheck",0)</f>
        <v>Saving Account</v>
      </c>
      <c r="E217" s="1267" t="s">
        <v>80</v>
      </c>
      <c r="F217" s="926">
        <f>SUMIFS(Table11[CLOSING BALANCE (VND)2],Table11[ACCOUNT NUMBER],Table1218[[#This Row],[ACCOUNT NUMBER]],Table11[CURRENCY],Table1218[[#This Row],[CURRENCY]])</f>
        <v>29000000000</v>
      </c>
      <c r="G217" s="926"/>
      <c r="H217" s="1129" t="s">
        <v>219</v>
      </c>
      <c r="I217" s="1267"/>
      <c r="J217" s="1267"/>
      <c r="K217" s="1130">
        <v>46041</v>
      </c>
      <c r="L217" s="927">
        <v>4.7500000000000001E-2</v>
      </c>
      <c r="M217" s="922" t="str">
        <f>VLOOKUP($A217,Table1[[#All],[Entities]:[Name]],MATCH(M$3,Table1[[#Headers],[Entities]:[Name]],0),0)</f>
        <v>Subsidiaries</v>
      </c>
      <c r="N217" s="922" t="str">
        <f>IFERROR(VLOOKUP(IFERROR(MID($O217,1,FIND("-",$O217)-2),O217),Table3[#All],2,0),0)</f>
        <v>BIDV</v>
      </c>
      <c r="O217" s="923" t="str">
        <f t="shared" si="14"/>
        <v>BIDV - THANH XUAN</v>
      </c>
      <c r="P217" s="927"/>
      <c r="Q217" s="922"/>
      <c r="R217" s="922"/>
      <c r="S217" s="924" t="str">
        <f>IF(ISBLANK(Table1218[[#This Row],[Maturity date]]),"","W"&amp;MIN(WEEKNUM($K217+1,2)-WEEKNUM(EOMONTH($K217+1,-1)),4)&amp;TEXT($K217+1,"mmmyy"))</f>
        <v>W-49Jan26</v>
      </c>
      <c r="T217" s="1214">
        <f>Table1218[[#This Row],[CLOSING BALANCE 
(VND)]]/1000000000</f>
        <v>29</v>
      </c>
      <c r="U217"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17" s="1220"/>
      <c r="W217" s="1112"/>
      <c r="X217" s="1115"/>
      <c r="Y217" s="1112"/>
      <c r="Z217" s="1221"/>
      <c r="AA217" s="1112" t="e">
        <v>#N/A</v>
      </c>
      <c r="AB217" s="1112"/>
      <c r="AC217" s="1112"/>
    </row>
    <row r="218" spans="1:29">
      <c r="A218" s="920" t="str">
        <f>IFERROR(VLOOKUP($C218,Table2[#All],3,0),0)</f>
        <v>BWID NHON TRACH</v>
      </c>
      <c r="B218" s="921" t="str">
        <f>_xlfn.XLOOKUP(Table1218[[#This Row],[ACCOUNT NUMBER]],Table2[Account No.],Table2[BRANCH],"recheck",0)</f>
        <v>VIETCOMBANK - HCM</v>
      </c>
      <c r="C218" s="1143" t="s">
        <v>1485</v>
      </c>
      <c r="D218" s="922" t="str">
        <f>_xlfn.XLOOKUP(Table1218[[#This Row],[ACCOUNT NUMBER]],Table2[Account No.],Table2[ACCOUNT TYPE],"recheck",0)</f>
        <v>Saving Account</v>
      </c>
      <c r="E218" s="1267" t="s">
        <v>80</v>
      </c>
      <c r="F218" s="926">
        <f>SUMIFS(Table11[CLOSING BALANCE (VND)2],Table11[ACCOUNT NUMBER],Table1218[[#This Row],[ACCOUNT NUMBER]],Table11[CURRENCY],Table1218[[#This Row],[CURRENCY]])</f>
        <v>12000000000</v>
      </c>
      <c r="G218" s="926"/>
      <c r="H218" s="1129" t="s">
        <v>219</v>
      </c>
      <c r="I218" s="1267"/>
      <c r="J218" s="1267"/>
      <c r="K218" s="1130">
        <v>46055</v>
      </c>
      <c r="L218" s="927">
        <v>4.7500000000000001E-2</v>
      </c>
      <c r="M218" s="922" t="str">
        <f>VLOOKUP($A218,Table1[[#All],[Entities]:[Name]],MATCH(M$3,Table1[[#Headers],[Entities]:[Name]],0),0)</f>
        <v>Subsidiaries</v>
      </c>
      <c r="N218" s="922" t="str">
        <f>IFERROR(VLOOKUP(IFERROR(MID($O218,1,FIND("-",$O218)-2),O218),Table3[#All],2,0),0)</f>
        <v>VCB</v>
      </c>
      <c r="O218" s="923" t="str">
        <f t="shared" si="14"/>
        <v>VIETCOMBANK - HCM</v>
      </c>
      <c r="P218" s="927"/>
      <c r="Q218" s="922"/>
      <c r="R218" s="922"/>
      <c r="S218" s="924" t="str">
        <f>IF(ISBLANK(Table1218[[#This Row],[Maturity date]]),"","W"&amp;MIN(WEEKNUM($K218+1,2)-WEEKNUM(EOMONTH($K218+1,-1)),4)&amp;TEXT($K218+1,"mmmyy"))</f>
        <v>W1Feb26</v>
      </c>
      <c r="T218" s="1214">
        <f>Table1218[[#This Row],[CLOSING BALANCE 
(VND)]]/1000000000</f>
        <v>12</v>
      </c>
      <c r="U218"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18" s="1220"/>
      <c r="W218" s="1112"/>
      <c r="X218" s="1115"/>
      <c r="Y218" s="1112"/>
      <c r="Z218" s="1221"/>
      <c r="AA218" s="1112" t="e">
        <v>#N/A</v>
      </c>
      <c r="AB218" s="1112"/>
      <c r="AC218" s="1112"/>
    </row>
    <row r="219" spans="1:29">
      <c r="A219" s="920" t="str">
        <f>IFERROR(VLOOKUP($C219,Table2[#All],3,0),0)</f>
        <v>LE MINH XUAN 3</v>
      </c>
      <c r="B219" s="921" t="str">
        <f>_xlfn.XLOOKUP(Table1218[[#This Row],[ACCOUNT NUMBER]],Table2[Account No.],Table2[BRANCH],"recheck",0)</f>
        <v>VIETINBANK - TPHCM</v>
      </c>
      <c r="C219" s="1141" t="s">
        <v>1483</v>
      </c>
      <c r="D219" s="922" t="str">
        <f>_xlfn.XLOOKUP(Table1218[[#This Row],[ACCOUNT NUMBER]],Table2[Account No.],Table2[ACCOUNT TYPE],"recheck",0)</f>
        <v>Saving Account</v>
      </c>
      <c r="E219" s="1267" t="s">
        <v>80</v>
      </c>
      <c r="F219" s="926">
        <f>SUMIFS(Table11[CLOSING BALANCE (VND)2],Table11[ACCOUNT NUMBER],Table1218[[#This Row],[ACCOUNT NUMBER]],Table11[CURRENCY],Table1218[[#This Row],[CURRENCY]])</f>
        <v>8000000000</v>
      </c>
      <c r="G219" s="926"/>
      <c r="H219" s="1129" t="s">
        <v>219</v>
      </c>
      <c r="I219" s="1267"/>
      <c r="J219" s="1267"/>
      <c r="K219" s="1130">
        <v>46048</v>
      </c>
      <c r="L219" s="927">
        <v>4.7500000000000001E-2</v>
      </c>
      <c r="M219" s="922" t="str">
        <f>VLOOKUP($A219,Table1[[#All],[Entities]:[Name]],MATCH(M$3,Table1[[#Headers],[Entities]:[Name]],0),0)</f>
        <v>Subsidiaries</v>
      </c>
      <c r="N219" s="922" t="str">
        <f>IFERROR(VLOOKUP(IFERROR(MID($O219,1,FIND("-",$O219)-2),O219),Table3[#All],2,0),0)</f>
        <v>VTB</v>
      </c>
      <c r="O219" s="923" t="str">
        <f t="shared" si="14"/>
        <v>VIETINBANK - TPHCM</v>
      </c>
      <c r="P219" s="927"/>
      <c r="Q219" s="922"/>
      <c r="R219" s="922"/>
      <c r="S219" s="924" t="str">
        <f>IF(ISBLANK(Table1218[[#This Row],[Maturity date]]),"","W"&amp;MIN(WEEKNUM($K219+1,2)-WEEKNUM(EOMONTH($K219+1,-1)),4)&amp;TEXT($K219+1,"mmmyy"))</f>
        <v>W-48Jan26</v>
      </c>
      <c r="T219" s="1214">
        <f>Table1218[[#This Row],[CLOSING BALANCE 
(VND)]]/1000000000</f>
        <v>8</v>
      </c>
      <c r="U219"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19" s="1220"/>
      <c r="W219" s="1112"/>
      <c r="X219" s="1115"/>
      <c r="Y219" s="1112"/>
      <c r="Z219" s="1221"/>
      <c r="AA219" s="1112" t="e">
        <v>#N/A</v>
      </c>
      <c r="AB219" s="1112"/>
      <c r="AC219" s="1112"/>
    </row>
    <row r="220" spans="1:29">
      <c r="A220" s="920" t="str">
        <f>IFERROR(VLOOKUP($C220,Table2[#All],3,0),0)</f>
        <v>NSHL LLC</v>
      </c>
      <c r="B220" s="921" t="str">
        <f>_xlfn.XLOOKUP(Table1218[[#This Row],[ACCOUNT NUMBER]],Table2[Account No.],Table2[BRANCH],"recheck",0)</f>
        <v>BIDV - THANH XUAN</v>
      </c>
      <c r="C220" s="1141" t="s">
        <v>1487</v>
      </c>
      <c r="D220" s="922" t="str">
        <f>_xlfn.XLOOKUP(Table1218[[#This Row],[ACCOUNT NUMBER]],Table2[Account No.],Table2[ACCOUNT TYPE],"recheck",0)</f>
        <v>Saving Account</v>
      </c>
      <c r="E220" s="1267" t="s">
        <v>80</v>
      </c>
      <c r="F220" s="926">
        <f>SUMIFS(Table11[CLOSING BALANCE (VND)2],Table11[ACCOUNT NUMBER],Table1218[[#This Row],[ACCOUNT NUMBER]],Table11[CURRENCY],Table1218[[#This Row],[CURRENCY]])</f>
        <v>4000000000</v>
      </c>
      <c r="G220" s="926"/>
      <c r="H220" s="1129" t="s">
        <v>221</v>
      </c>
      <c r="I220" s="1267"/>
      <c r="J220" s="1267"/>
      <c r="K220" s="1130">
        <v>46106</v>
      </c>
      <c r="L220" s="927">
        <v>4.7500000000000001E-2</v>
      </c>
      <c r="M220" s="922" t="str">
        <f>VLOOKUP($A220,Table1[[#All],[Entities]:[Name]],MATCH(M$3,Table1[[#Headers],[Entities]:[Name]],0),0)</f>
        <v>Subsidiaries</v>
      </c>
      <c r="N220" s="922" t="str">
        <f>IFERROR(VLOOKUP(IFERROR(MID($O220,1,FIND("-",$O220)-2),O220),Table3[#All],2,0),0)</f>
        <v>BIDV</v>
      </c>
      <c r="O220" s="923" t="str">
        <f t="shared" si="14"/>
        <v>BIDV - THANH XUAN</v>
      </c>
      <c r="P220" s="927"/>
      <c r="Q220" s="922"/>
      <c r="R220" s="922"/>
      <c r="S220" s="924" t="str">
        <f>IF(ISBLANK(Table1218[[#This Row],[Maturity date]]),"","W"&amp;MIN(WEEKNUM($K220+1,2)-WEEKNUM(EOMONTH($K220+1,-1)),4)&amp;TEXT($K220+1,"mmmyy"))</f>
        <v>W4Mar26</v>
      </c>
      <c r="T220" s="1214">
        <f>Table1218[[#This Row],[CLOSING BALANCE 
(VND)]]/1000000000</f>
        <v>4</v>
      </c>
      <c r="U220"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2 months</v>
      </c>
      <c r="V220" s="1220"/>
      <c r="W220" s="1112"/>
      <c r="X220" s="1115"/>
      <c r="Y220" s="1112"/>
      <c r="Z220" s="1221"/>
      <c r="AA220" s="1112" t="e">
        <v>#N/A</v>
      </c>
      <c r="AB220" s="1112"/>
      <c r="AC220" s="1112"/>
    </row>
    <row r="221" spans="1:29">
      <c r="A221" s="920" t="str">
        <f>IFERROR(VLOOKUP($C221,Table2[#All],3,0),0)</f>
        <v>BWID THOI HOA 2</v>
      </c>
      <c r="B221" s="921" t="str">
        <f>_xlfn.XLOOKUP(Table1218[[#This Row],[ACCOUNT NUMBER]],Table2[Account No.],Table2[BRANCH],"recheck",0)</f>
        <v>KBank - HCM</v>
      </c>
      <c r="C221" s="1141" t="s">
        <v>1488</v>
      </c>
      <c r="D221" s="922" t="str">
        <f>_xlfn.XLOOKUP(Table1218[[#This Row],[ACCOUNT NUMBER]],Table2[Account No.],Table2[ACCOUNT TYPE],"recheck",0)</f>
        <v>Saving Account</v>
      </c>
      <c r="E221" s="1267" t="s">
        <v>80</v>
      </c>
      <c r="F221" s="926">
        <f>SUMIFS(Table11[CLOSING BALANCE (VND)2],Table11[ACCOUNT NUMBER],Table1218[[#This Row],[ACCOUNT NUMBER]],Table11[CURRENCY],Table1218[[#This Row],[CURRENCY]])</f>
        <v>41000000000</v>
      </c>
      <c r="G221" s="926"/>
      <c r="H221" s="1129" t="s">
        <v>219</v>
      </c>
      <c r="I221" s="1267"/>
      <c r="J221" s="1267"/>
      <c r="K221" s="1130">
        <v>46071</v>
      </c>
      <c r="L221" s="927">
        <v>4.7500000000000001E-2</v>
      </c>
      <c r="M221" s="922" t="str">
        <f>VLOOKUP($A221,Table1[[#All],[Entities]:[Name]],MATCH(M$3,Table1[[#Headers],[Entities]:[Name]],0),0)</f>
        <v>Subsidiaries</v>
      </c>
      <c r="N221" s="922" t="str">
        <f>IFERROR(VLOOKUP(IFERROR(MID($O221,1,FIND("-",$O221)-2),O221),Table3[#All],2,0),0)</f>
        <v>KBANK</v>
      </c>
      <c r="O221" s="923" t="str">
        <f>B221</f>
        <v>KBank - HCM</v>
      </c>
      <c r="P221" s="927"/>
      <c r="Q221" s="922"/>
      <c r="R221" s="922"/>
      <c r="S221" s="924" t="str">
        <f>IF(ISBLANK(Table1218[[#This Row],[Maturity date]]),"","W"&amp;MIN(WEEKNUM($K221+1,2)-WEEKNUM(EOMONTH($K221+1,-1)),4)&amp;TEXT($K221+1,"mmmyy"))</f>
        <v>W3Feb26</v>
      </c>
      <c r="T221" s="1214">
        <f>Table1218[[#This Row],[CLOSING BALANCE 
(VND)]]/1000000000</f>
        <v>41</v>
      </c>
      <c r="U221"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21" s="1220"/>
      <c r="W221" s="1112"/>
      <c r="X221" s="1115"/>
      <c r="Y221" s="1112"/>
      <c r="Z221" s="1221"/>
      <c r="AA221" s="1112" t="e">
        <v>#N/A</v>
      </c>
      <c r="AB221" s="1112"/>
      <c r="AC221" s="1112"/>
    </row>
    <row r="222" spans="1:29">
      <c r="A222" s="920" t="str">
        <f>IFERROR(VLOOKUP($C222,Table2[#All],3,0),0)</f>
        <v>BIEN HOA</v>
      </c>
      <c r="B222" s="921" t="str">
        <f>_xlfn.XLOOKUP(Table1218[[#This Row],[ACCOUNT NUMBER]],Table2[Account No.],Table2[BRANCH],"recheck",0)</f>
        <v>KBank - HCM</v>
      </c>
      <c r="C222" s="1143" t="s">
        <v>1514</v>
      </c>
      <c r="D222" s="922" t="str">
        <f>_xlfn.XLOOKUP(Table1218[[#This Row],[ACCOUNT NUMBER]],Table2[Account No.],Table2[ACCOUNT TYPE],"recheck",0)</f>
        <v>Saving Account</v>
      </c>
      <c r="E222" s="1267" t="s">
        <v>80</v>
      </c>
      <c r="F222" s="926">
        <f>SUMIFS(Table11[CLOSING BALANCE (VND)2],Table11[ACCOUNT NUMBER],Table1218[[#This Row],[ACCOUNT NUMBER]],Table11[CURRENCY],Table1218[[#This Row],[CURRENCY]])</f>
        <v>13000000000</v>
      </c>
      <c r="G222" s="926"/>
      <c r="H222" s="1129" t="s">
        <v>219</v>
      </c>
      <c r="I222" s="1267"/>
      <c r="J222" s="1267"/>
      <c r="K222" s="1130">
        <v>46056</v>
      </c>
      <c r="L222" s="927">
        <v>4.7500000000000001E-2</v>
      </c>
      <c r="M222" s="922" t="str">
        <f>VLOOKUP($A222,Table1[[#All],[Entities]:[Name]],MATCH(M$3,Table1[[#Headers],[Entities]:[Name]],0),0)</f>
        <v>Subsidiaries</v>
      </c>
      <c r="N222" s="922" t="str">
        <f>IFERROR(VLOOKUP(IFERROR(MID($O222,1,FIND("-",$O222)-2),O222),Table3[#All],2,0),0)</f>
        <v>KBANK</v>
      </c>
      <c r="O222" s="923" t="str">
        <f t="shared" si="14"/>
        <v>KBank - HCM</v>
      </c>
      <c r="P222" s="927"/>
      <c r="Q222" s="922"/>
      <c r="R222" s="922"/>
      <c r="S222" s="924" t="str">
        <f>IF(ISBLANK(Table1218[[#This Row],[Maturity date]]),"","W"&amp;MIN(WEEKNUM($K222+1,2)-WEEKNUM(EOMONTH($K222+1,-1)),4)&amp;TEXT($K222+1,"mmmyy"))</f>
        <v>W1Feb26</v>
      </c>
      <c r="T222" s="1214">
        <f>Table1218[[#This Row],[CLOSING BALANCE 
(VND)]]/1000000000</f>
        <v>13</v>
      </c>
      <c r="U222"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22" s="1220"/>
      <c r="W222" s="1112"/>
      <c r="X222" s="1115"/>
      <c r="Y222" s="1112"/>
      <c r="Z222" s="1221"/>
      <c r="AA222" s="1112" t="e">
        <v>#N/A</v>
      </c>
      <c r="AB222" s="1112"/>
      <c r="AC222" s="1112"/>
    </row>
    <row r="223" spans="1:29">
      <c r="A223" s="920" t="str">
        <f>IFERROR(VLOOKUP($C223,Table2[#All],3,0),0)</f>
        <v>BIEN HOA</v>
      </c>
      <c r="B223" s="921" t="str">
        <f>_xlfn.XLOOKUP(Table1218[[#This Row],[ACCOUNT NUMBER]],Table2[Account No.],Table2[BRANCH],"recheck",0)</f>
        <v>KBank - HCM</v>
      </c>
      <c r="C223" s="1143" t="s">
        <v>1512</v>
      </c>
      <c r="D223" s="922" t="str">
        <f>_xlfn.XLOOKUP(Table1218[[#This Row],[ACCOUNT NUMBER]],Table2[Account No.],Table2[ACCOUNT TYPE],"recheck",0)</f>
        <v>Saving Account</v>
      </c>
      <c r="E223" s="1267" t="s">
        <v>80</v>
      </c>
      <c r="F223" s="926">
        <f>SUMIFS(Table11[CLOSING BALANCE (VND)2],Table11[ACCOUNT NUMBER],Table1218[[#This Row],[ACCOUNT NUMBER]],Table11[CURRENCY],Table1218[[#This Row],[CURRENCY]])</f>
        <v>15000000000</v>
      </c>
      <c r="G223" s="926"/>
      <c r="H223" s="1129" t="s">
        <v>219</v>
      </c>
      <c r="I223" s="1267"/>
      <c r="J223" s="1267"/>
      <c r="K223" s="1130">
        <v>46041</v>
      </c>
      <c r="L223" s="927">
        <v>4.7500000000000001E-2</v>
      </c>
      <c r="M223" s="922" t="str">
        <f>VLOOKUP($A223,Table1[[#All],[Entities]:[Name]],MATCH(M$3,Table1[[#Headers],[Entities]:[Name]],0),0)</f>
        <v>Subsidiaries</v>
      </c>
      <c r="N223" s="922" t="str">
        <f>IFERROR(VLOOKUP(IFERROR(MID($O223,1,FIND("-",$O223)-2),O223),Table3[#All],2,0),0)</f>
        <v>KBANK</v>
      </c>
      <c r="O223" s="923" t="str">
        <f>B223</f>
        <v>KBank - HCM</v>
      </c>
      <c r="P223" s="927"/>
      <c r="Q223" s="922"/>
      <c r="R223" s="922"/>
      <c r="S223" s="924" t="str">
        <f>IF(ISBLANK(Table1218[[#This Row],[Maturity date]]),"","W"&amp;MIN(WEEKNUM($K223+1,2)-WEEKNUM(EOMONTH($K223+1,-1)),4)&amp;TEXT($K223+1,"mmmyy"))</f>
        <v>W-49Jan26</v>
      </c>
      <c r="T223" s="1214">
        <f>Table1218[[#This Row],[CLOSING BALANCE 
(VND)]]/1000000000</f>
        <v>15</v>
      </c>
      <c r="U223"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23" s="1220"/>
      <c r="W223" s="1112"/>
      <c r="X223" s="1115"/>
      <c r="Y223" s="1112"/>
      <c r="Z223" s="1221"/>
      <c r="AA223" s="1112" t="e">
        <v>#N/A</v>
      </c>
      <c r="AB223" s="1112"/>
      <c r="AC223" s="1112"/>
    </row>
    <row r="224" spans="1:29">
      <c r="A224" s="920" t="str">
        <f>IFERROR(VLOOKUP($C224,Table2[#All],3,0),0)</f>
        <v>LE MINH XUAN 3</v>
      </c>
      <c r="B224" s="921" t="str">
        <f>_xlfn.XLOOKUP(Table1218[[#This Row],[ACCOUNT NUMBER]],Table2[Account No.],Table2[BRANCH],"recheck",0)</f>
        <v>VIETINBANK - TPHCM</v>
      </c>
      <c r="C224" s="1143" t="s">
        <v>1490</v>
      </c>
      <c r="D224" s="922" t="str">
        <f>_xlfn.XLOOKUP(Table1218[[#This Row],[ACCOUNT NUMBER]],Table2[Account No.],Table2[ACCOUNT TYPE],"recheck",0)</f>
        <v>Saving Account</v>
      </c>
      <c r="E224" s="1267" t="s">
        <v>80</v>
      </c>
      <c r="F224" s="926">
        <f>SUMIFS(Table11[CLOSING BALANCE (VND)2],Table11[ACCOUNT NUMBER],Table1218[[#This Row],[ACCOUNT NUMBER]],Table11[CURRENCY],Table1218[[#This Row],[CURRENCY]])</f>
        <v>5000000000</v>
      </c>
      <c r="G224" s="926"/>
      <c r="H224" s="1129" t="s">
        <v>219</v>
      </c>
      <c r="I224" s="1267"/>
      <c r="J224" s="1267"/>
      <c r="K224" s="1130">
        <v>46045</v>
      </c>
      <c r="L224" s="927">
        <v>4.7500000000000001E-2</v>
      </c>
      <c r="M224" s="922" t="str">
        <f>VLOOKUP($A224,Table1[[#All],[Entities]:[Name]],MATCH(M$3,Table1[[#Headers],[Entities]:[Name]],0),0)</f>
        <v>Subsidiaries</v>
      </c>
      <c r="N224" s="922" t="str">
        <f>IFERROR(VLOOKUP(IFERROR(MID($O224,1,FIND("-",$O224)-2),O224),Table3[#All],2,0),0)</f>
        <v>VTB</v>
      </c>
      <c r="O224" s="923" t="str">
        <f t="shared" ref="O224:O258" si="15">B224</f>
        <v>VIETINBANK - TPHCM</v>
      </c>
      <c r="P224" s="927"/>
      <c r="Q224" s="922"/>
      <c r="R224" s="922"/>
      <c r="S224" s="924" t="str">
        <f>IF(ISBLANK(Table1218[[#This Row],[Maturity date]]),"","W"&amp;MIN(WEEKNUM($K224+1,2)-WEEKNUM(EOMONTH($K224+1,-1)),4)&amp;TEXT($K224+1,"mmmyy"))</f>
        <v>W-49Jan26</v>
      </c>
      <c r="T224" s="1214">
        <f>Table1218[[#This Row],[CLOSING BALANCE 
(VND)]]/1000000000</f>
        <v>5</v>
      </c>
      <c r="U224"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24" s="1220"/>
      <c r="W224" s="1112"/>
      <c r="X224" s="1115"/>
      <c r="Y224" s="1112"/>
      <c r="Z224" s="1221"/>
      <c r="AA224" s="1112" t="e">
        <v>#N/A</v>
      </c>
      <c r="AB224" s="1112"/>
      <c r="AC224" s="1112"/>
    </row>
    <row r="225" spans="1:29">
      <c r="A225" s="920" t="str">
        <f>IFERROR(VLOOKUP($C225,Table2[#All],3,0),0)</f>
        <v>BWID HAI DUONG 2</v>
      </c>
      <c r="B225" s="921" t="str">
        <f>_xlfn.XLOOKUP(Table1218[[#This Row],[ACCOUNT NUMBER]],Table2[Account No.],Table2[BRANCH],"recheck",0)</f>
        <v>VIETINBANK - TIEN SON</v>
      </c>
      <c r="C225" s="1143" t="s">
        <v>1491</v>
      </c>
      <c r="D225" s="922" t="str">
        <f>_xlfn.XLOOKUP(Table1218[[#This Row],[ACCOUNT NUMBER]],Table2[Account No.],Table2[ACCOUNT TYPE],"recheck",0)</f>
        <v>Saving Account</v>
      </c>
      <c r="E225" s="1267" t="s">
        <v>80</v>
      </c>
      <c r="F225" s="926">
        <f>SUMIFS(Table11[CLOSING BALANCE (VND)2],Table11[ACCOUNT NUMBER],Table1218[[#This Row],[ACCOUNT NUMBER]],Table11[CURRENCY],Table1218[[#This Row],[CURRENCY]])</f>
        <v>14000000000</v>
      </c>
      <c r="G225" s="926"/>
      <c r="H225" s="1129" t="s">
        <v>219</v>
      </c>
      <c r="I225" s="1267"/>
      <c r="J225" s="1267"/>
      <c r="K225" s="1130">
        <v>46040</v>
      </c>
      <c r="L225" s="927">
        <v>4.7500000000000001E-2</v>
      </c>
      <c r="M225" s="922" t="str">
        <f>VLOOKUP($A225,Table1[[#All],[Entities]:[Name]],MATCH(M$3,Table1[[#Headers],[Entities]:[Name]],0),0)</f>
        <v>Subsidiaries</v>
      </c>
      <c r="N225" s="922" t="str">
        <f>IFERROR(VLOOKUP(IFERROR(MID($O225,1,FIND("-",$O225)-2),O225),Table3[#All],2,0),0)</f>
        <v>VTB</v>
      </c>
      <c r="O225" s="923" t="str">
        <f t="shared" si="15"/>
        <v>VIETINBANK - TIEN SON</v>
      </c>
      <c r="P225" s="927"/>
      <c r="Q225" s="922"/>
      <c r="R225" s="922"/>
      <c r="S225" s="924" t="str">
        <f>IF(ISBLANK(Table1218[[#This Row],[Maturity date]]),"","W"&amp;MIN(WEEKNUM($K225+1,2)-WEEKNUM(EOMONTH($K225+1,-1)),4)&amp;TEXT($K225+1,"mmmyy"))</f>
        <v>W-49Jan26</v>
      </c>
      <c r="T225" s="1214">
        <f>Table1218[[#This Row],[CLOSING BALANCE 
(VND)]]/1000000000</f>
        <v>14</v>
      </c>
      <c r="U225"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25" s="1220"/>
      <c r="W225" s="1112"/>
      <c r="X225" s="1115"/>
      <c r="Y225" s="1112"/>
      <c r="Z225" s="1221"/>
      <c r="AA225" s="1112" t="e">
        <v>#N/A</v>
      </c>
      <c r="AB225" s="1112"/>
      <c r="AC225" s="1112"/>
    </row>
    <row r="226" spans="1:29">
      <c r="A226" s="920" t="str">
        <f>IFERROR(VLOOKUP($C226,Table2[#All],3,0),0)</f>
        <v>BWID HAI DUONG 2</v>
      </c>
      <c r="B226" s="921" t="str">
        <f>_xlfn.XLOOKUP(Table1218[[#This Row],[ACCOUNT NUMBER]],Table2[Account No.],Table2[BRANCH],"recheck",0)</f>
        <v>VIETINBANK - TIEN SON</v>
      </c>
      <c r="C226" s="1143" t="s">
        <v>1492</v>
      </c>
      <c r="D226" s="922" t="str">
        <f>_xlfn.XLOOKUP(Table1218[[#This Row],[ACCOUNT NUMBER]],Table2[Account No.],Table2[ACCOUNT TYPE],"recheck",0)</f>
        <v>Saving Account</v>
      </c>
      <c r="E226" s="1267" t="s">
        <v>80</v>
      </c>
      <c r="F226" s="926">
        <f>SUMIFS(Table11[CLOSING BALANCE (VND)2],Table11[ACCOUNT NUMBER],Table1218[[#This Row],[ACCOUNT NUMBER]],Table11[CURRENCY],Table1218[[#This Row],[CURRENCY]])</f>
        <v>5000000000</v>
      </c>
      <c r="G226" s="926"/>
      <c r="H226" s="1129" t="s">
        <v>219</v>
      </c>
      <c r="I226" s="1267"/>
      <c r="J226" s="1267"/>
      <c r="K226" s="1130">
        <v>46048</v>
      </c>
      <c r="L226" s="927">
        <v>4.7500000000000001E-2</v>
      </c>
      <c r="M226" s="922" t="str">
        <f>VLOOKUP($A226,Table1[[#All],[Entities]:[Name]],MATCH(M$3,Table1[[#Headers],[Entities]:[Name]],0),0)</f>
        <v>Subsidiaries</v>
      </c>
      <c r="N226" s="922" t="str">
        <f>IFERROR(VLOOKUP(IFERROR(MID($O226,1,FIND("-",$O226)-2),O226),Table3[#All],2,0),0)</f>
        <v>VTB</v>
      </c>
      <c r="O226" s="923" t="str">
        <f t="shared" si="15"/>
        <v>VIETINBANK - TIEN SON</v>
      </c>
      <c r="P226" s="927"/>
      <c r="Q226" s="922"/>
      <c r="R226" s="922"/>
      <c r="S226" s="924" t="str">
        <f>IF(ISBLANK(Table1218[[#This Row],[Maturity date]]),"","W"&amp;MIN(WEEKNUM($K226+1,2)-WEEKNUM(EOMONTH($K226+1,-1)),4)&amp;TEXT($K226+1,"mmmyy"))</f>
        <v>W-48Jan26</v>
      </c>
      <c r="T226" s="1214">
        <f>Table1218[[#This Row],[CLOSING BALANCE 
(VND)]]/1000000000</f>
        <v>5</v>
      </c>
      <c r="U226"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26" s="1220"/>
      <c r="W226" s="1112"/>
      <c r="X226" s="1115"/>
      <c r="Y226" s="1112"/>
      <c r="Z226" s="1221"/>
      <c r="AA226" s="1112" t="e">
        <v>#N/A</v>
      </c>
      <c r="AB226" s="1112"/>
      <c r="AC226" s="1112"/>
    </row>
    <row r="227" spans="1:29">
      <c r="A227" s="920" t="str">
        <f>IFERROR(VLOOKUP($C227,Table2[#All],3,0),0)</f>
        <v>DELIWAY</v>
      </c>
      <c r="B227" s="921" t="str">
        <f>_xlfn.XLOOKUP(Table1218[[#This Row],[ACCOUNT NUMBER]],Table2[Account No.],Table2[BRANCH],"recheck",0)</f>
        <v>VIETINBANK - TPHCM</v>
      </c>
      <c r="C227" s="1143" t="s">
        <v>1494</v>
      </c>
      <c r="D227" s="922" t="str">
        <f>_xlfn.XLOOKUP(Table1218[[#This Row],[ACCOUNT NUMBER]],Table2[Account No.],Table2[ACCOUNT TYPE],"recheck",0)</f>
        <v>Saving Account</v>
      </c>
      <c r="E227" s="1267" t="s">
        <v>80</v>
      </c>
      <c r="F227" s="926">
        <f>SUMIFS(Table11[CLOSING BALANCE (VND)2],Table11[ACCOUNT NUMBER],Table1218[[#This Row],[ACCOUNT NUMBER]],Table11[CURRENCY],Table1218[[#This Row],[CURRENCY]])</f>
        <v>25000000000</v>
      </c>
      <c r="G227" s="926"/>
      <c r="H227" s="1129" t="s">
        <v>219</v>
      </c>
      <c r="I227" s="1267"/>
      <c r="J227" s="1267"/>
      <c r="K227" s="1130">
        <v>46040</v>
      </c>
      <c r="L227" s="927">
        <v>4.7500000000000001E-2</v>
      </c>
      <c r="M227" s="922" t="str">
        <f>VLOOKUP($A227,Table1[[#All],[Entities]:[Name]],MATCH(M$3,Table1[[#Headers],[Entities]:[Name]],0),0)</f>
        <v>Subsidiaries</v>
      </c>
      <c r="N227" s="922" t="str">
        <f>IFERROR(VLOOKUP(IFERROR(MID($O227,1,FIND("-",$O227)-2),O227),Table3[#All],2,0),0)</f>
        <v>VTB</v>
      </c>
      <c r="O227" s="923" t="str">
        <f t="shared" si="15"/>
        <v>VIETINBANK - TPHCM</v>
      </c>
      <c r="P227" s="927"/>
      <c r="Q227" s="922"/>
      <c r="R227" s="922"/>
      <c r="S227" s="924" t="str">
        <f>IF(ISBLANK(Table1218[[#This Row],[Maturity date]]),"","W"&amp;MIN(WEEKNUM($K227+1,2)-WEEKNUM(EOMONTH($K227+1,-1)),4)&amp;TEXT($K227+1,"mmmyy"))</f>
        <v>W-49Jan26</v>
      </c>
      <c r="T227" s="1214">
        <f>Table1218[[#This Row],[CLOSING BALANCE 
(VND)]]/1000000000</f>
        <v>25</v>
      </c>
      <c r="U227"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27" s="1220"/>
      <c r="W227" s="1112"/>
      <c r="X227" s="1115"/>
      <c r="Y227" s="1112"/>
      <c r="Z227" s="1221"/>
      <c r="AA227" s="1112" t="e">
        <v>#N/A</v>
      </c>
      <c r="AB227" s="1112"/>
      <c r="AC227" s="1112"/>
    </row>
    <row r="228" spans="1:29">
      <c r="A228" s="920" t="str">
        <f>IFERROR(VLOOKUP($C228,Table2[#All],3,0),0)</f>
        <v>BWID Tan Phu Trung</v>
      </c>
      <c r="B228" s="921" t="str">
        <f>_xlfn.XLOOKUP(Table1218[[#This Row],[ACCOUNT NUMBER]],Table2[Account No.],Table2[BRANCH],"recheck",0)</f>
        <v>VIETINBANK - TIEN SON</v>
      </c>
      <c r="C228" s="1143" t="s">
        <v>1493</v>
      </c>
      <c r="D228" s="922" t="str">
        <f>_xlfn.XLOOKUP(Table1218[[#This Row],[ACCOUNT NUMBER]],Table2[Account No.],Table2[ACCOUNT TYPE],"recheck",0)</f>
        <v>Saving Account</v>
      </c>
      <c r="E228" s="1267" t="s">
        <v>80</v>
      </c>
      <c r="F228" s="926">
        <f>SUMIFS(Table11[CLOSING BALANCE (VND)2],Table11[ACCOUNT NUMBER],Table1218[[#This Row],[ACCOUNT NUMBER]],Table11[CURRENCY],Table1218[[#This Row],[CURRENCY]])</f>
        <v>3500000000</v>
      </c>
      <c r="G228" s="926"/>
      <c r="H228" s="1129" t="s">
        <v>219</v>
      </c>
      <c r="I228" s="1267"/>
      <c r="J228" s="1267"/>
      <c r="K228" s="1130">
        <v>46048</v>
      </c>
      <c r="L228" s="927">
        <v>4.7500000000000001E-2</v>
      </c>
      <c r="M228" s="922" t="str">
        <f>VLOOKUP($A228,Table1[[#All],[Entities]:[Name]],MATCH(M$3,Table1[[#Headers],[Entities]:[Name]],0),0)</f>
        <v>Subsidiaries</v>
      </c>
      <c r="N228" s="922" t="str">
        <f>IFERROR(VLOOKUP(IFERROR(MID($O228,1,FIND("-",$O228)-2),O228),Table3[#All],2,0),0)</f>
        <v>VTB</v>
      </c>
      <c r="O228" s="923" t="str">
        <f t="shared" si="15"/>
        <v>VIETINBANK - TIEN SON</v>
      </c>
      <c r="P228" s="927"/>
      <c r="Q228" s="922"/>
      <c r="R228" s="922"/>
      <c r="S228" s="924" t="str">
        <f>IF(ISBLANK(Table1218[[#This Row],[Maturity date]]),"","W"&amp;MIN(WEEKNUM($K228+1,2)-WEEKNUM(EOMONTH($K228+1,-1)),4)&amp;TEXT($K228+1,"mmmyy"))</f>
        <v>W-48Jan26</v>
      </c>
      <c r="T228" s="1214">
        <f>Table1218[[#This Row],[CLOSING BALANCE 
(VND)]]/1000000000</f>
        <v>3.5</v>
      </c>
      <c r="U228"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28" s="1220"/>
      <c r="W228" s="1112"/>
      <c r="X228" s="1115"/>
      <c r="Y228" s="1112"/>
      <c r="Z228" s="1221"/>
      <c r="AA228" s="1112" t="e">
        <v>#N/A</v>
      </c>
      <c r="AB228" s="1112"/>
      <c r="AC228" s="1112"/>
    </row>
    <row r="229" spans="1:29">
      <c r="A229" s="920" t="str">
        <f>IFERROR(VLOOKUP($C229,Table2[#All],3,0),0)</f>
        <v>BAU BANG 6</v>
      </c>
      <c r="B229" s="921" t="str">
        <f>_xlfn.XLOOKUP(Table1218[[#This Row],[ACCOUNT NUMBER]],Table2[Account No.],Table2[BRANCH],"recheck",0)</f>
        <v>VIETINBANK - BINH DUONG</v>
      </c>
      <c r="C229" s="1143" t="s">
        <v>1495</v>
      </c>
      <c r="D229" s="922" t="str">
        <f>_xlfn.XLOOKUP(Table1218[[#This Row],[ACCOUNT NUMBER]],Table2[Account No.],Table2[ACCOUNT TYPE],"recheck",0)</f>
        <v>Saving Account</v>
      </c>
      <c r="E229" s="1129" t="s">
        <v>80</v>
      </c>
      <c r="F229" s="926">
        <f>SUMIFS(Table11[CLOSING BALANCE (VND)2],Table11[ACCOUNT NUMBER],Table1218[[#This Row],[ACCOUNT NUMBER]],Table11[CURRENCY],Table1218[[#This Row],[CURRENCY]])</f>
        <v>20000000000</v>
      </c>
      <c r="G229" s="926"/>
      <c r="H229" s="1129" t="s">
        <v>219</v>
      </c>
      <c r="I229" s="1267"/>
      <c r="J229" s="1267"/>
      <c r="K229" s="1130">
        <v>46051</v>
      </c>
      <c r="L229" s="927">
        <v>4.7500000000000001E-2</v>
      </c>
      <c r="M229" s="922" t="str">
        <f>VLOOKUP($A229,Table1[[#All],[Entities]:[Name]],MATCH(M$3,Table1[[#Headers],[Entities]:[Name]],0),0)</f>
        <v>Subsidiaries</v>
      </c>
      <c r="N229" s="922" t="str">
        <f>IFERROR(VLOOKUP(IFERROR(MID($O229,1,FIND("-",$O229)-2),O229),Table3[#All],2,0),0)</f>
        <v>VTB</v>
      </c>
      <c r="O229" s="923" t="str">
        <f t="shared" si="15"/>
        <v>VIETINBANK - BINH DUONG</v>
      </c>
      <c r="P229" s="927"/>
      <c r="Q229" s="922"/>
      <c r="R229" s="922"/>
      <c r="S229" s="924" t="str">
        <f>IF(ISBLANK(Table1218[[#This Row],[Maturity date]]),"","W"&amp;MIN(WEEKNUM($K229+1,2)-WEEKNUM(EOMONTH($K229+1,-1)),4)&amp;TEXT($K229+1,"mmmyy"))</f>
        <v>W-48Jan26</v>
      </c>
      <c r="T229" s="1214">
        <f>Table1218[[#This Row],[CLOSING BALANCE 
(VND)]]/1000000000</f>
        <v>20</v>
      </c>
      <c r="U229"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29" s="1220"/>
      <c r="W229" s="1112"/>
      <c r="X229" s="1115"/>
      <c r="Y229" s="1112"/>
      <c r="Z229" s="1221"/>
      <c r="AA229" s="1112" t="e">
        <v>#N/A</v>
      </c>
      <c r="AB229" s="1112"/>
      <c r="AC229" s="1112"/>
    </row>
    <row r="230" spans="1:29">
      <c r="A230" s="920" t="str">
        <f>IFERROR(VLOOKUP($C230,Table2[#All],3,0),0)</f>
        <v>BAU BANG 6</v>
      </c>
      <c r="B230" s="921" t="str">
        <f>_xlfn.XLOOKUP(Table1218[[#This Row],[ACCOUNT NUMBER]],Table2[Account No.],Table2[BRANCH],"recheck",0)</f>
        <v>VIETINBANK - BINH DUONG</v>
      </c>
      <c r="C230" s="1143" t="s">
        <v>1496</v>
      </c>
      <c r="D230" s="922" t="str">
        <f>_xlfn.XLOOKUP(Table1218[[#This Row],[ACCOUNT NUMBER]],Table2[Account No.],Table2[ACCOUNT TYPE],"recheck",0)</f>
        <v>Saving Account</v>
      </c>
      <c r="E230" s="1267" t="s">
        <v>80</v>
      </c>
      <c r="F230" s="926">
        <f>SUMIFS(Table11[CLOSING BALANCE (VND)2],Table11[ACCOUNT NUMBER],Table1218[[#This Row],[ACCOUNT NUMBER]],Table11[CURRENCY],Table1218[[#This Row],[CURRENCY]])</f>
        <v>20000000000</v>
      </c>
      <c r="G230" s="926"/>
      <c r="H230" s="1129" t="s">
        <v>219</v>
      </c>
      <c r="I230" s="1267"/>
      <c r="J230" s="1267"/>
      <c r="K230" s="1130">
        <v>46040</v>
      </c>
      <c r="L230" s="927">
        <v>4.7500000000000001E-2</v>
      </c>
      <c r="M230" s="922" t="str">
        <f>VLOOKUP($A230,Table1[[#All],[Entities]:[Name]],MATCH(M$3,Table1[[#Headers],[Entities]:[Name]],0),0)</f>
        <v>Subsidiaries</v>
      </c>
      <c r="N230" s="922" t="str">
        <f>IFERROR(VLOOKUP(IFERROR(MID($O230,1,FIND("-",$O230)-2),O230),Table3[#All],2,0),0)</f>
        <v>VTB</v>
      </c>
      <c r="O230" s="923" t="str">
        <f t="shared" si="15"/>
        <v>VIETINBANK - BINH DUONG</v>
      </c>
      <c r="P230" s="927"/>
      <c r="Q230" s="922"/>
      <c r="R230" s="922"/>
      <c r="S230" s="924" t="str">
        <f>IF(ISBLANK(Table1218[[#This Row],[Maturity date]]),"","W"&amp;MIN(WEEKNUM($K230+1,2)-WEEKNUM(EOMONTH($K230+1,-1)),4)&amp;TEXT($K230+1,"mmmyy"))</f>
        <v>W-49Jan26</v>
      </c>
      <c r="T230" s="1214">
        <f>Table1218[[#This Row],[CLOSING BALANCE 
(VND)]]/1000000000</f>
        <v>20</v>
      </c>
      <c r="U230"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30" s="1220"/>
      <c r="W230" s="1112"/>
      <c r="X230" s="1115"/>
      <c r="Y230" s="1112"/>
      <c r="Z230" s="1221"/>
      <c r="AA230" s="1112" t="e">
        <v>#N/A</v>
      </c>
      <c r="AB230" s="1112"/>
      <c r="AC230" s="1112"/>
    </row>
    <row r="231" spans="1:29">
      <c r="A231" s="920" t="str">
        <f>IFERROR(VLOOKUP($C231,Table2[#All],3,0),0)</f>
        <v>BWID DONG AN LID</v>
      </c>
      <c r="B231" s="921" t="str">
        <f>_xlfn.XLOOKUP(Table1218[[#This Row],[ACCOUNT NUMBER]],Table2[Account No.],Table2[BRANCH],"recheck",0)</f>
        <v>VIETINBANK - DONG SAI GON</v>
      </c>
      <c r="C231" s="1143" t="s">
        <v>1497</v>
      </c>
      <c r="D231" s="922" t="str">
        <f>_xlfn.XLOOKUP(Table1218[[#This Row],[ACCOUNT NUMBER]],Table2[Account No.],Table2[ACCOUNT TYPE],"recheck",0)</f>
        <v>Saving Account</v>
      </c>
      <c r="E231" s="1129" t="s">
        <v>80</v>
      </c>
      <c r="F231" s="926">
        <f>SUMIFS(Table11[CLOSING BALANCE (VND)2],Table11[ACCOUNT NUMBER],Table1218[[#This Row],[ACCOUNT NUMBER]],Table11[CURRENCY],Table1218[[#This Row],[CURRENCY]])</f>
        <v>52000000000</v>
      </c>
      <c r="G231" s="926"/>
      <c r="H231" s="1129" t="s">
        <v>219</v>
      </c>
      <c r="I231" s="1267"/>
      <c r="J231" s="1267"/>
      <c r="K231" s="1130">
        <v>46041</v>
      </c>
      <c r="L231" s="927">
        <v>4.7500000000000001E-2</v>
      </c>
      <c r="M231" s="922" t="str">
        <f>VLOOKUP($A231,Table1[[#All],[Entities]:[Name]],MATCH(M$3,Table1[[#Headers],[Entities]:[Name]],0),0)</f>
        <v>Subsidiaries</v>
      </c>
      <c r="N231" s="922" t="str">
        <f>IFERROR(VLOOKUP(IFERROR(MID($O231,1,FIND("-",$O231)-2),O231),Table3[#All],2,0),0)</f>
        <v>VTB</v>
      </c>
      <c r="O231" s="923" t="str">
        <f t="shared" si="15"/>
        <v>VIETINBANK - DONG SAI GON</v>
      </c>
      <c r="P231" s="927"/>
      <c r="Q231" s="922"/>
      <c r="R231" s="922"/>
      <c r="S231" s="924" t="str">
        <f>IF(ISBLANK(Table1218[[#This Row],[Maturity date]]),"","W"&amp;MIN(WEEKNUM($K231+1,2)-WEEKNUM(EOMONTH($K231+1,-1)),4)&amp;TEXT($K231+1,"mmmyy"))</f>
        <v>W-49Jan26</v>
      </c>
      <c r="T231" s="1214">
        <f>Table1218[[#This Row],[CLOSING BALANCE 
(VND)]]/1000000000</f>
        <v>52</v>
      </c>
      <c r="U231"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31" s="1220"/>
      <c r="W231" s="1112"/>
      <c r="X231" s="1115"/>
      <c r="Y231" s="1112"/>
      <c r="Z231" s="1221"/>
      <c r="AA231" s="1112" t="e">
        <v>#N/A</v>
      </c>
      <c r="AB231" s="1112"/>
      <c r="AC231" s="1112"/>
    </row>
    <row r="232" spans="1:29">
      <c r="A232" s="920" t="str">
        <f>IFERROR(VLOOKUP($C232,Table2[#All],3,0),0)</f>
        <v>SONGTHAN LID</v>
      </c>
      <c r="B232" s="921" t="str">
        <f>_xlfn.XLOOKUP(Table1218[[#This Row],[ACCOUNT NUMBER]],Table2[Account No.],Table2[BRANCH],"recheck",0)</f>
        <v>VIETINBANK - DONG SAI GON</v>
      </c>
      <c r="C232" s="1143" t="s">
        <v>1498</v>
      </c>
      <c r="D232" s="922" t="str">
        <f>_xlfn.XLOOKUP(Table1218[[#This Row],[ACCOUNT NUMBER]],Table2[Account No.],Table2[ACCOUNT TYPE],"recheck",0)</f>
        <v>Saving Account</v>
      </c>
      <c r="E232" s="1267" t="s">
        <v>80</v>
      </c>
      <c r="F232" s="926">
        <f>SUMIFS(Table11[CLOSING BALANCE (VND)2],Table11[ACCOUNT NUMBER],Table1218[[#This Row],[ACCOUNT NUMBER]],Table11[CURRENCY],Table1218[[#This Row],[CURRENCY]])</f>
        <v>31000000000</v>
      </c>
      <c r="G232" s="926"/>
      <c r="H232" s="1129" t="s">
        <v>219</v>
      </c>
      <c r="I232" s="1267"/>
      <c r="J232" s="1267"/>
      <c r="K232" s="1130">
        <v>46041</v>
      </c>
      <c r="L232" s="927">
        <v>4.7500000000000001E-2</v>
      </c>
      <c r="M232" s="922" t="str">
        <f>VLOOKUP($A232,Table1[[#All],[Entities]:[Name]],MATCH(M$3,Table1[[#Headers],[Entities]:[Name]],0),0)</f>
        <v>Subsidiaries</v>
      </c>
      <c r="N232" s="922" t="str">
        <f>IFERROR(VLOOKUP(IFERROR(MID($O232,1,FIND("-",$O232)-2),O232),Table3[#All],2,0),0)</f>
        <v>VTB</v>
      </c>
      <c r="O232" s="923" t="str">
        <f t="shared" si="15"/>
        <v>VIETINBANK - DONG SAI GON</v>
      </c>
      <c r="P232" s="927"/>
      <c r="Q232" s="922"/>
      <c r="R232" s="922"/>
      <c r="S232" s="924" t="str">
        <f>IF(ISBLANK(Table1218[[#This Row],[Maturity date]]),"","W"&amp;MIN(WEEKNUM($K232+1,2)-WEEKNUM(EOMONTH($K232+1,-1)),4)&amp;TEXT($K232+1,"mmmyy"))</f>
        <v>W-49Jan26</v>
      </c>
      <c r="T232" s="1214">
        <f>Table1218[[#This Row],[CLOSING BALANCE 
(VND)]]/1000000000</f>
        <v>31</v>
      </c>
      <c r="U232"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32" s="1220"/>
      <c r="W232" s="1112"/>
      <c r="X232" s="1115"/>
      <c r="Y232" s="1112"/>
      <c r="Z232" s="1221"/>
      <c r="AA232" s="1112" t="e">
        <v>#N/A</v>
      </c>
      <c r="AB232" s="1112"/>
      <c r="AC232" s="1112"/>
    </row>
    <row r="233" spans="1:29">
      <c r="A233" s="920" t="str">
        <f>IFERROR(VLOOKUP($C233,Table2[#All],3,0),0)</f>
        <v>BWID HAI DUONG</v>
      </c>
      <c r="B233" s="921" t="str">
        <f>_xlfn.XLOOKUP(Table1218[[#This Row],[ACCOUNT NUMBER]],Table2[Account No.],Table2[BRANCH],"recheck",0)</f>
        <v>VIETINBANK - TIEN SON</v>
      </c>
      <c r="C233" s="1143" t="s">
        <v>1499</v>
      </c>
      <c r="D233" s="922" t="str">
        <f>_xlfn.XLOOKUP(Table1218[[#This Row],[ACCOUNT NUMBER]],Table2[Account No.],Table2[ACCOUNT TYPE],"recheck",0)</f>
        <v>Saving Account</v>
      </c>
      <c r="E233" s="1129" t="s">
        <v>80</v>
      </c>
      <c r="F233" s="926">
        <f>SUMIFS(Table11[CLOSING BALANCE (VND)2],Table11[ACCOUNT NUMBER],Table1218[[#This Row],[ACCOUNT NUMBER]],Table11[CURRENCY],Table1218[[#This Row],[CURRENCY]])</f>
        <v>15000000000</v>
      </c>
      <c r="G233" s="926"/>
      <c r="H233" s="1129" t="s">
        <v>219</v>
      </c>
      <c r="I233" s="1267"/>
      <c r="J233" s="1267"/>
      <c r="K233" s="1130">
        <v>46041</v>
      </c>
      <c r="L233" s="927">
        <v>4.7500000000000001E-2</v>
      </c>
      <c r="M233" s="922" t="str">
        <f>VLOOKUP($A233,Table1[[#All],[Entities]:[Name]],MATCH(M$3,Table1[[#Headers],[Entities]:[Name]],0),0)</f>
        <v>Subsidiaries</v>
      </c>
      <c r="N233" s="922" t="str">
        <f>IFERROR(VLOOKUP(IFERROR(MID($O233,1,FIND("-",$O233)-2),O233),Table3[#All],2,0),0)</f>
        <v>VTB</v>
      </c>
      <c r="O233" s="923" t="str">
        <f t="shared" si="15"/>
        <v>VIETINBANK - TIEN SON</v>
      </c>
      <c r="P233" s="927"/>
      <c r="Q233" s="922"/>
      <c r="R233" s="922"/>
      <c r="S233" s="924" t="str">
        <f>IF(ISBLANK(Table1218[[#This Row],[Maturity date]]),"","W"&amp;MIN(WEEKNUM($K233+1,2)-WEEKNUM(EOMONTH($K233+1,-1)),4)&amp;TEXT($K233+1,"mmmyy"))</f>
        <v>W-49Jan26</v>
      </c>
      <c r="T233" s="1214">
        <f>Table1218[[#This Row],[CLOSING BALANCE 
(VND)]]/1000000000</f>
        <v>15</v>
      </c>
      <c r="U233"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33" s="1220"/>
      <c r="W233" s="1112"/>
      <c r="X233" s="1115"/>
      <c r="Y233" s="1112"/>
      <c r="Z233" s="1221"/>
      <c r="AA233" s="1112" t="e">
        <v>#N/A</v>
      </c>
      <c r="AB233" s="1112"/>
      <c r="AC233" s="1112"/>
    </row>
    <row r="234" spans="1:29">
      <c r="A234" s="920" t="str">
        <f>IFERROR(VLOOKUP($C234,Table2[#All],3,0),0)</f>
        <v>TAN DONG HIEP B ELECTRON</v>
      </c>
      <c r="B234" s="921" t="str">
        <f>_xlfn.XLOOKUP(Table1218[[#This Row],[ACCOUNT NUMBER]],Table2[Account No.],Table2[BRANCH],"recheck",0)</f>
        <v>VIETINBANK - TPHCM</v>
      </c>
      <c r="C234" s="1143" t="s">
        <v>1500</v>
      </c>
      <c r="D234" s="922" t="str">
        <f>_xlfn.XLOOKUP(Table1218[[#This Row],[ACCOUNT NUMBER]],Table2[Account No.],Table2[ACCOUNT TYPE],"recheck",0)</f>
        <v>Saving Account</v>
      </c>
      <c r="E234" s="1129" t="s">
        <v>80</v>
      </c>
      <c r="F234" s="926">
        <f>SUMIFS(Table11[CLOSING BALANCE (VND)2],Table11[ACCOUNT NUMBER],Table1218[[#This Row],[ACCOUNT NUMBER]],Table11[CURRENCY],Table1218[[#This Row],[CURRENCY]])</f>
        <v>5000000000</v>
      </c>
      <c r="G234" s="926"/>
      <c r="H234" s="1129" t="s">
        <v>219</v>
      </c>
      <c r="I234" s="1267"/>
      <c r="J234" s="1267"/>
      <c r="K234" s="1130">
        <v>46041</v>
      </c>
      <c r="L234" s="927">
        <v>4.7500000000000001E-2</v>
      </c>
      <c r="M234" s="922" t="str">
        <f>VLOOKUP($A234,Table1[[#All],[Entities]:[Name]],MATCH(M$3,Table1[[#Headers],[Entities]:[Name]],0),0)</f>
        <v>Subsidiaries</v>
      </c>
      <c r="N234" s="922" t="str">
        <f>IFERROR(VLOOKUP(IFERROR(MID($O234,1,FIND("-",$O234)-2),O234),Table3[#All],2,0),0)</f>
        <v>VTB</v>
      </c>
      <c r="O234" s="923" t="str">
        <f t="shared" si="15"/>
        <v>VIETINBANK - TPHCM</v>
      </c>
      <c r="P234" s="927"/>
      <c r="Q234" s="922"/>
      <c r="R234" s="922"/>
      <c r="S234" s="924" t="str">
        <f>IF(ISBLANK(Table1218[[#This Row],[Maturity date]]),"","W"&amp;MIN(WEEKNUM($K234+1,2)-WEEKNUM(EOMONTH($K234+1,-1)),4)&amp;TEXT($K234+1,"mmmyy"))</f>
        <v>W-49Jan26</v>
      </c>
      <c r="T234" s="1214">
        <f>Table1218[[#This Row],[CLOSING BALANCE 
(VND)]]/1000000000</f>
        <v>5</v>
      </c>
      <c r="U234"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34" s="1220"/>
      <c r="W234" s="1112"/>
      <c r="X234" s="1115"/>
      <c r="Y234" s="1112"/>
      <c r="Z234" s="1221"/>
      <c r="AA234" s="1112" t="e">
        <v>#N/A</v>
      </c>
      <c r="AB234" s="1112"/>
      <c r="AC234" s="1112"/>
    </row>
    <row r="235" spans="1:29">
      <c r="A235" s="920" t="str">
        <f>IFERROR(VLOOKUP($C235,Table2[#All],3,0),0)</f>
        <v>TAY HAI</v>
      </c>
      <c r="B235" s="921" t="str">
        <f>_xlfn.XLOOKUP(Table1218[[#This Row],[ACCOUNT NUMBER]],Table2[Account No.],Table2[BRANCH],"recheck",0)</f>
        <v>VIETINBANK - QUANG MINH</v>
      </c>
      <c r="C235" s="1143" t="s">
        <v>1501</v>
      </c>
      <c r="D235" s="922" t="str">
        <f>_xlfn.XLOOKUP(Table1218[[#This Row],[ACCOUNT NUMBER]],Table2[Account No.],Table2[ACCOUNT TYPE],"recheck",0)</f>
        <v>Saving Account</v>
      </c>
      <c r="E235" s="1267" t="s">
        <v>80</v>
      </c>
      <c r="F235" s="926">
        <f>SUMIFS(Table11[CLOSING BALANCE (VND)2],Table11[ACCOUNT NUMBER],Table1218[[#This Row],[ACCOUNT NUMBER]],Table11[CURRENCY],Table1218[[#This Row],[CURRENCY]])</f>
        <v>30000000000</v>
      </c>
      <c r="G235" s="926"/>
      <c r="H235" s="1129" t="s">
        <v>219</v>
      </c>
      <c r="I235" s="1267"/>
      <c r="J235" s="1267"/>
      <c r="K235" s="1130">
        <v>46041</v>
      </c>
      <c r="L235" s="927">
        <v>4.7500000000000001E-2</v>
      </c>
      <c r="M235" s="922" t="str">
        <f>VLOOKUP($A235,Table1[[#All],[Entities]:[Name]],MATCH(M$3,Table1[[#Headers],[Entities]:[Name]],0),0)</f>
        <v>Subsidiaries</v>
      </c>
      <c r="N235" s="922" t="str">
        <f>IFERROR(VLOOKUP(IFERROR(MID($O235,1,FIND("-",$O235)-2),O235),Table3[#All],2,0),0)</f>
        <v>VTB</v>
      </c>
      <c r="O235" s="923" t="str">
        <f t="shared" si="15"/>
        <v>VIETINBANK - QUANG MINH</v>
      </c>
      <c r="P235" s="927"/>
      <c r="Q235" s="922"/>
      <c r="R235" s="922"/>
      <c r="S235" s="924" t="str">
        <f>IF(ISBLANK(Table1218[[#This Row],[Maturity date]]),"","W"&amp;MIN(WEEKNUM($K235+1,2)-WEEKNUM(EOMONTH($K235+1,-1)),4)&amp;TEXT($K235+1,"mmmyy"))</f>
        <v>W-49Jan26</v>
      </c>
      <c r="T235" s="1214">
        <f>Table1218[[#This Row],[CLOSING BALANCE 
(VND)]]/1000000000</f>
        <v>30</v>
      </c>
      <c r="U235"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35" s="1220"/>
      <c r="W235" s="1112"/>
      <c r="X235" s="1115"/>
      <c r="Y235" s="1112"/>
      <c r="Z235" s="1221"/>
      <c r="AA235" s="1112" t="e">
        <v>#N/A</v>
      </c>
      <c r="AB235" s="1112"/>
      <c r="AC235" s="1112"/>
    </row>
    <row r="236" spans="1:29">
      <c r="A236" s="920" t="str">
        <f>IFERROR(VLOOKUP($C236,Table2[#All],3,0),0)</f>
        <v>TAY HAI</v>
      </c>
      <c r="B236" s="921" t="str">
        <f>_xlfn.XLOOKUP(Table1218[[#This Row],[ACCOUNT NUMBER]],Table2[Account No.],Table2[BRANCH],"recheck",0)</f>
        <v>VIETINBANK - QUANG MINH</v>
      </c>
      <c r="C236" s="1143" t="s">
        <v>1502</v>
      </c>
      <c r="D236" s="922" t="str">
        <f>_xlfn.XLOOKUP(Table1218[[#This Row],[ACCOUNT NUMBER]],Table2[Account No.],Table2[ACCOUNT TYPE],"recheck",0)</f>
        <v>Saving Account</v>
      </c>
      <c r="E236" s="1129" t="s">
        <v>80</v>
      </c>
      <c r="F236" s="926">
        <f>SUMIFS(Table11[CLOSING BALANCE (VND)2],Table11[ACCOUNT NUMBER],Table1218[[#This Row],[ACCOUNT NUMBER]],Table11[CURRENCY],Table1218[[#This Row],[CURRENCY]])</f>
        <v>31000000000</v>
      </c>
      <c r="G236" s="926"/>
      <c r="H236" s="1129" t="s">
        <v>219</v>
      </c>
      <c r="I236" s="1267"/>
      <c r="J236" s="1267"/>
      <c r="K236" s="1130">
        <v>46041</v>
      </c>
      <c r="L236" s="927">
        <v>4.7500000000000001E-2</v>
      </c>
      <c r="M236" s="922" t="str">
        <f>VLOOKUP($A236,Table1[[#All],[Entities]:[Name]],MATCH(M$3,Table1[[#Headers],[Entities]:[Name]],0),0)</f>
        <v>Subsidiaries</v>
      </c>
      <c r="N236" s="922" t="str">
        <f>IFERROR(VLOOKUP(IFERROR(MID($O236,1,FIND("-",$O236)-2),O236),Table3[#All],2,0),0)</f>
        <v>VTB</v>
      </c>
      <c r="O236" s="923" t="str">
        <f t="shared" si="15"/>
        <v>VIETINBANK - QUANG MINH</v>
      </c>
      <c r="P236" s="927"/>
      <c r="Q236" s="922"/>
      <c r="R236" s="922"/>
      <c r="S236" s="924" t="str">
        <f>IF(ISBLANK(Table1218[[#This Row],[Maturity date]]),"","W"&amp;MIN(WEEKNUM($K236+1,2)-WEEKNUM(EOMONTH($K236+1,-1)),4)&amp;TEXT($K236+1,"mmmyy"))</f>
        <v>W-49Jan26</v>
      </c>
      <c r="T236" s="1214">
        <f>Table1218[[#This Row],[CLOSING BALANCE 
(VND)]]/1000000000</f>
        <v>31</v>
      </c>
      <c r="U236"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36" s="1220"/>
      <c r="W236" s="1112"/>
      <c r="X236" s="1115"/>
      <c r="Y236" s="1112"/>
      <c r="Z236" s="1221"/>
      <c r="AA236" s="1112" t="e">
        <v>#N/A</v>
      </c>
      <c r="AB236" s="1112"/>
      <c r="AC236" s="1112"/>
    </row>
    <row r="237" spans="1:29">
      <c r="A237" s="920" t="str">
        <f>IFERROR(VLOOKUP($C237,Table2[#All],3,0),0)</f>
        <v>BW BAU BANG 01</v>
      </c>
      <c r="B237" s="921" t="str">
        <f>_xlfn.XLOOKUP(Table1218[[#This Row],[ACCOUNT NUMBER]],Table2[Account No.],Table2[BRANCH],"recheck",0)</f>
        <v>VIETINBANK - BINH DUONG</v>
      </c>
      <c r="C237" s="1143" t="s">
        <v>1504</v>
      </c>
      <c r="D237" s="922" t="str">
        <f>_xlfn.XLOOKUP(Table1218[[#This Row],[ACCOUNT NUMBER]],Table2[Account No.],Table2[ACCOUNT TYPE],"recheck",0)</f>
        <v>Saving Account</v>
      </c>
      <c r="E237" s="1267" t="s">
        <v>80</v>
      </c>
      <c r="F237" s="926">
        <f>SUMIFS(Table11[CLOSING BALANCE (VND)2],Table11[ACCOUNT NUMBER],Table1218[[#This Row],[ACCOUNT NUMBER]],Table11[CURRENCY],Table1218[[#This Row],[CURRENCY]])</f>
        <v>145000000000</v>
      </c>
      <c r="G237" s="926"/>
      <c r="H237" s="1129" t="s">
        <v>219</v>
      </c>
      <c r="I237" s="1267"/>
      <c r="J237" s="1267"/>
      <c r="K237" s="1130">
        <v>46040</v>
      </c>
      <c r="L237" s="927">
        <v>4.7500000000000001E-2</v>
      </c>
      <c r="M237" s="922" t="str">
        <f>VLOOKUP($A237,Table1[[#All],[Entities]:[Name]],MATCH(M$3,Table1[[#Headers],[Entities]:[Name]],0),0)</f>
        <v>Subsidiaries</v>
      </c>
      <c r="N237" s="922" t="str">
        <f>IFERROR(VLOOKUP(IFERROR(MID($O237,1,FIND("-",$O237)-2),O237),Table3[#All],2,0),0)</f>
        <v>VTB</v>
      </c>
      <c r="O237" s="923" t="str">
        <f t="shared" si="15"/>
        <v>VIETINBANK - BINH DUONG</v>
      </c>
      <c r="P237" s="927"/>
      <c r="Q237" s="922"/>
      <c r="R237" s="922"/>
      <c r="S237" s="924" t="str">
        <f>IF(ISBLANK(Table1218[[#This Row],[Maturity date]]),"","W"&amp;MIN(WEEKNUM($K237+1,2)-WEEKNUM(EOMONTH($K237+1,-1)),4)&amp;TEXT($K237+1,"mmmyy"))</f>
        <v>W-49Jan26</v>
      </c>
      <c r="T237" s="1214">
        <f>Table1218[[#This Row],[CLOSING BALANCE 
(VND)]]/1000000000</f>
        <v>145</v>
      </c>
      <c r="U237"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37" s="1220"/>
      <c r="W237" s="1112"/>
      <c r="X237" s="1115"/>
      <c r="Y237" s="1112"/>
      <c r="Z237" s="1221"/>
      <c r="AA237" s="1112" t="e">
        <v>#N/A</v>
      </c>
      <c r="AB237" s="1112"/>
      <c r="AC237" s="1112"/>
    </row>
    <row r="238" spans="1:29">
      <c r="A238" s="920" t="str">
        <f>IFERROR(VLOOKUP($C238,Table2[#All],3,0),0)</f>
        <v>BW SAIGON LOGISTICS</v>
      </c>
      <c r="B238" s="921" t="str">
        <f>_xlfn.XLOOKUP(Table1218[[#This Row],[ACCOUNT NUMBER]],Table2[Account No.],Table2[BRANCH],"recheck",0)</f>
        <v>VIETCOMBANK - HCM</v>
      </c>
      <c r="C238" s="1141" t="s">
        <v>5397</v>
      </c>
      <c r="D238" s="922" t="str">
        <f>_xlfn.XLOOKUP(Table1218[[#This Row],[ACCOUNT NUMBER]],Table2[Account No.],Table2[ACCOUNT TYPE],"recheck",0)</f>
        <v>Saving Account</v>
      </c>
      <c r="E238" s="1267" t="s">
        <v>80</v>
      </c>
      <c r="F238" s="926">
        <f>SUMIFS(Table11[CLOSING BALANCE (VND)2],Table11[ACCOUNT NUMBER],Table1218[[#This Row],[ACCOUNT NUMBER]],Table11[CURRENCY],Table1218[[#This Row],[CURRENCY]])</f>
        <v>6000000000</v>
      </c>
      <c r="G238" s="926"/>
      <c r="H238" s="1129" t="s">
        <v>219</v>
      </c>
      <c r="I238" s="1267"/>
      <c r="J238" s="1267"/>
      <c r="K238" s="1130">
        <v>46062</v>
      </c>
      <c r="L238" s="927">
        <v>4.7500000000000001E-2</v>
      </c>
      <c r="M238" s="922" t="str">
        <f>VLOOKUP($A238,Table1[[#All],[Entities]:[Name]],MATCH(M$3,Table1[[#Headers],[Entities]:[Name]],0),0)</f>
        <v>Subsidiaries</v>
      </c>
      <c r="N238" s="922" t="str">
        <f>IFERROR(VLOOKUP(IFERROR(MID($O238,1,FIND("-",$O238)-2),O238),Table3[#All],2,0),0)</f>
        <v>VCB</v>
      </c>
      <c r="O238" s="923" t="str">
        <f t="shared" si="15"/>
        <v>VIETCOMBANK - HCM</v>
      </c>
      <c r="P238" s="927"/>
      <c r="Q238" s="922"/>
      <c r="R238" s="922"/>
      <c r="S238" s="924" t="str">
        <f>IF(ISBLANK(Table1218[[#This Row],[Maturity date]]),"","W"&amp;MIN(WEEKNUM($K238+1,2)-WEEKNUM(EOMONTH($K238+1,-1)),4)&amp;TEXT($K238+1,"mmmyy"))</f>
        <v>W2Feb26</v>
      </c>
      <c r="T238" s="1214">
        <f>Table1218[[#This Row],[CLOSING BALANCE 
(VND)]]/1000000000</f>
        <v>6</v>
      </c>
      <c r="U238"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38" s="1220"/>
      <c r="W238" s="1112"/>
      <c r="X238" s="1115"/>
      <c r="Y238" s="1112"/>
      <c r="Z238" s="1221"/>
      <c r="AA238" s="1112" t="e">
        <v>#N/A</v>
      </c>
      <c r="AB238" s="1112"/>
      <c r="AC238" s="1112"/>
    </row>
    <row r="239" spans="1:29">
      <c r="A239" s="920" t="str">
        <f>IFERROR(VLOOKUP($C239,Table2[#All],3,0),0)</f>
        <v>BWID THOI HOA</v>
      </c>
      <c r="B239" s="921" t="str">
        <f>_xlfn.XLOOKUP(Table1218[[#This Row],[ACCOUNT NUMBER]],Table2[Account No.],Table2[BRANCH],"recheck",0)</f>
        <v>VIETCOMBANK - HCM</v>
      </c>
      <c r="C239" s="1141" t="s">
        <v>5396</v>
      </c>
      <c r="D239" s="922" t="str">
        <f>_xlfn.XLOOKUP(Table1218[[#This Row],[ACCOUNT NUMBER]],Table2[Account No.],Table2[ACCOUNT TYPE],"recheck",0)</f>
        <v>Saving Account</v>
      </c>
      <c r="E239" s="1267" t="s">
        <v>80</v>
      </c>
      <c r="F239" s="926">
        <f>SUMIFS(Table11[CLOSING BALANCE (VND)2],Table11[ACCOUNT NUMBER],Table1218[[#This Row],[ACCOUNT NUMBER]],Table11[CURRENCY],Table1218[[#This Row],[CURRENCY]])</f>
        <v>20000000000</v>
      </c>
      <c r="G239" s="926"/>
      <c r="H239" s="1129" t="s">
        <v>220</v>
      </c>
      <c r="I239" s="1267"/>
      <c r="J239" s="1267"/>
      <c r="K239" s="1130">
        <v>46091</v>
      </c>
      <c r="L239" s="927">
        <v>4.7500000000000001E-2</v>
      </c>
      <c r="M239" s="922" t="str">
        <f>VLOOKUP($A239,Table1[[#All],[Entities]:[Name]],MATCH(M$3,Table1[[#Headers],[Entities]:[Name]],0),0)</f>
        <v>Subsidiaries</v>
      </c>
      <c r="N239" s="922" t="str">
        <f>IFERROR(VLOOKUP(IFERROR(MID($O239,1,FIND("-",$O239)-2),O239),Table3[#All],2,0),0)</f>
        <v>VCB</v>
      </c>
      <c r="O239" s="923" t="str">
        <f t="shared" si="15"/>
        <v>VIETCOMBANK - HCM</v>
      </c>
      <c r="P239" s="927"/>
      <c r="Q239" s="922"/>
      <c r="R239" s="922"/>
      <c r="S239" s="924" t="str">
        <f>IF(ISBLANK(Table1218[[#This Row],[Maturity date]]),"","W"&amp;MIN(WEEKNUM($K239+1,2)-WEEKNUM(EOMONTH($K239+1,-1)),4)&amp;TEXT($K239+1,"mmmyy"))</f>
        <v>W2Mar26</v>
      </c>
      <c r="T239" s="1214">
        <f>Table1218[[#This Row],[CLOSING BALANCE 
(VND)]]/1000000000</f>
        <v>20</v>
      </c>
      <c r="U239"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2 months</v>
      </c>
      <c r="V239" s="1220"/>
      <c r="W239" s="1112"/>
      <c r="X239" s="1115"/>
      <c r="Y239" s="1112"/>
      <c r="Z239" s="1221"/>
      <c r="AA239" s="1112" t="e">
        <v>#N/A</v>
      </c>
      <c r="AB239" s="1112"/>
      <c r="AC239" s="1112"/>
    </row>
    <row r="240" spans="1:29">
      <c r="A240" s="920" t="str">
        <f>IFERROR(VLOOKUP($C240,Table2[#All],3,0),0)</f>
        <v>SAO HOA</v>
      </c>
      <c r="B240" s="921" t="str">
        <f>_xlfn.XLOOKUP(Table1218[[#This Row],[ACCOUNT NUMBER]],Table2[Account No.],Table2[BRANCH],"recheck",0)</f>
        <v>VIETCOMBANK - HCM</v>
      </c>
      <c r="C240" s="1141" t="s">
        <v>5398</v>
      </c>
      <c r="D240" s="922" t="str">
        <f>_xlfn.XLOOKUP(Table1218[[#This Row],[ACCOUNT NUMBER]],Table2[Account No.],Table2[ACCOUNT TYPE],"recheck",0)</f>
        <v>Saving Account</v>
      </c>
      <c r="E240" s="1267" t="s">
        <v>80</v>
      </c>
      <c r="F240" s="926">
        <f>SUMIFS(Table11[CLOSING BALANCE (VND)2],Table11[ACCOUNT NUMBER],Table1218[[#This Row],[ACCOUNT NUMBER]],Table11[CURRENCY],Table1218[[#This Row],[CURRENCY]])</f>
        <v>400000000000</v>
      </c>
      <c r="G240" s="926"/>
      <c r="H240" s="1129" t="s">
        <v>219</v>
      </c>
      <c r="I240" s="1267"/>
      <c r="J240" s="1267"/>
      <c r="K240" s="1130">
        <v>46041</v>
      </c>
      <c r="L240" s="927">
        <v>4.7500000000000001E-2</v>
      </c>
      <c r="M240" s="922" t="str">
        <f>VLOOKUP($A240,Table1[[#All],[Entities]:[Name]],MATCH(M$3,Table1[[#Headers],[Entities]:[Name]],0),0)</f>
        <v>VC3</v>
      </c>
      <c r="N240" s="922" t="str">
        <f>IFERROR(VLOOKUP(IFERROR(MID($O240,1,FIND("-",$O240)-2),O240),Table3[#All],2,0),0)</f>
        <v>VCB</v>
      </c>
      <c r="O240" s="923" t="str">
        <f t="shared" si="15"/>
        <v>VIETCOMBANK - HCM</v>
      </c>
      <c r="P240" s="927"/>
      <c r="Q240" s="922"/>
      <c r="R240" s="922"/>
      <c r="S240" s="924" t="str">
        <f>IF(ISBLANK(Table1218[[#This Row],[Maturity date]]),"","W"&amp;MIN(WEEKNUM($K240+1,2)-WEEKNUM(EOMONTH($K240+1,-1)),4)&amp;TEXT($K240+1,"mmmyy"))</f>
        <v>W-49Jan26</v>
      </c>
      <c r="T240" s="1214">
        <f>Table1218[[#This Row],[CLOSING BALANCE 
(VND)]]/1000000000</f>
        <v>400</v>
      </c>
      <c r="U240"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40" s="1220"/>
      <c r="W240" s="1112"/>
      <c r="X240" s="1115"/>
      <c r="Y240" s="1112"/>
      <c r="Z240" s="1221"/>
      <c r="AA240" s="1112" t="e">
        <v>#N/A</v>
      </c>
      <c r="AB240" s="1112"/>
      <c r="AC240" s="1112"/>
    </row>
    <row r="241" spans="1:30">
      <c r="A241" s="920" t="str">
        <f>IFERROR(VLOOKUP($C241,Table2[#All],3,0),0)</f>
        <v>LONG BINH</v>
      </c>
      <c r="B241" s="921" t="str">
        <f>_xlfn.XLOOKUP(Table1218[[#This Row],[ACCOUNT NUMBER]],Table2[Account No.],Table2[BRANCH],"recheck",0)</f>
        <v>VIETCOMBANK - HCM</v>
      </c>
      <c r="C241" s="1141" t="s">
        <v>5399</v>
      </c>
      <c r="D241" s="922" t="str">
        <f>_xlfn.XLOOKUP(Table1218[[#This Row],[ACCOUNT NUMBER]],Table2[Account No.],Table2[ACCOUNT TYPE],"recheck",0)</f>
        <v>Saving Account</v>
      </c>
      <c r="E241" s="1267" t="s">
        <v>80</v>
      </c>
      <c r="F241" s="926">
        <f>SUMIFS(Table11[CLOSING BALANCE (VND)2],Table11[ACCOUNT NUMBER],Table1218[[#This Row],[ACCOUNT NUMBER]],Table11[CURRENCY],Table1218[[#This Row],[CURRENCY]])</f>
        <v>25000000000</v>
      </c>
      <c r="G241" s="926"/>
      <c r="H241" s="1129" t="s">
        <v>221</v>
      </c>
      <c r="I241" s="1267"/>
      <c r="J241" s="1267"/>
      <c r="K241" s="1130">
        <v>46107</v>
      </c>
      <c r="L241" s="927">
        <v>4.7500000000000001E-2</v>
      </c>
      <c r="M241" s="922" t="str">
        <f>VLOOKUP($A241,Table1[[#All],[Entities]:[Name]],MATCH(M$3,Table1[[#Headers],[Entities]:[Name]],0),0)</f>
        <v>Subsidiaries</v>
      </c>
      <c r="N241" s="922" t="str">
        <f>IFERROR(VLOOKUP(IFERROR(MID($O241,1,FIND("-",$O241)-2),O241),Table3[#All],2,0),0)</f>
        <v>VCB</v>
      </c>
      <c r="O241" s="923" t="str">
        <f t="shared" si="15"/>
        <v>VIETCOMBANK - HCM</v>
      </c>
      <c r="P241" s="927"/>
      <c r="Q241" s="922"/>
      <c r="R241" s="922"/>
      <c r="S241" s="924" t="str">
        <f>IF(ISBLANK(Table1218[[#This Row],[Maturity date]]),"","W"&amp;MIN(WEEKNUM($K241+1,2)-WEEKNUM(EOMONTH($K241+1,-1)),4)&amp;TEXT($K241+1,"mmmyy"))</f>
        <v>W4Mar26</v>
      </c>
      <c r="T241" s="1214">
        <f>Table1218[[#This Row],[CLOSING BALANCE 
(VND)]]/1000000000</f>
        <v>25</v>
      </c>
      <c r="U241"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2 months</v>
      </c>
      <c r="V241" s="1220"/>
      <c r="W241" s="1112"/>
      <c r="X241" s="1115"/>
      <c r="Y241" s="1112"/>
      <c r="Z241" s="1221"/>
      <c r="AA241" s="1112" t="e">
        <v>#N/A</v>
      </c>
      <c r="AB241" s="1112"/>
      <c r="AC241" s="1112"/>
    </row>
    <row r="242" spans="1:30">
      <c r="A242" s="920" t="str">
        <f>IFERROR(VLOOKUP($C242,Table2[#All],3,0),0)</f>
        <v>LONG BINH</v>
      </c>
      <c r="B242" s="921" t="str">
        <f>_xlfn.XLOOKUP(Table1218[[#This Row],[ACCOUNT NUMBER]],Table2[Account No.],Table2[BRANCH],"recheck",0)</f>
        <v>VIETCOMBANK - HCM</v>
      </c>
      <c r="C242" s="1141" t="s">
        <v>5400</v>
      </c>
      <c r="D242" s="922" t="str">
        <f>_xlfn.XLOOKUP(Table1218[[#This Row],[ACCOUNT NUMBER]],Table2[Account No.],Table2[ACCOUNT TYPE],"recheck",0)</f>
        <v>Saving Account</v>
      </c>
      <c r="E242" s="1267" t="s">
        <v>80</v>
      </c>
      <c r="F242" s="926">
        <f>SUMIFS(Table11[CLOSING BALANCE (VND)2],Table11[ACCOUNT NUMBER],Table1218[[#This Row],[ACCOUNT NUMBER]],Table11[CURRENCY],Table1218[[#This Row],[CURRENCY]])</f>
        <v>8000000000</v>
      </c>
      <c r="G242" s="926"/>
      <c r="H242" s="1129" t="s">
        <v>221</v>
      </c>
      <c r="I242" s="1267"/>
      <c r="J242" s="1267"/>
      <c r="K242" s="1130">
        <v>46104</v>
      </c>
      <c r="L242" s="927">
        <v>4.7500000000000001E-2</v>
      </c>
      <c r="M242" s="922" t="str">
        <f>VLOOKUP($A242,Table1[[#All],[Entities]:[Name]],MATCH(M$3,Table1[[#Headers],[Entities]:[Name]],0),0)</f>
        <v>Subsidiaries</v>
      </c>
      <c r="N242" s="922" t="str">
        <f>IFERROR(VLOOKUP(IFERROR(MID($O242,1,FIND("-",$O242)-2),O242),Table3[#All],2,0),0)</f>
        <v>VCB</v>
      </c>
      <c r="O242" s="923" t="str">
        <f t="shared" si="15"/>
        <v>VIETCOMBANK - HCM</v>
      </c>
      <c r="P242" s="927"/>
      <c r="Q242" s="922"/>
      <c r="R242" s="922"/>
      <c r="S242" s="924" t="str">
        <f>IF(ISBLANK(Table1218[[#This Row],[Maturity date]]),"","W"&amp;MIN(WEEKNUM($K242+1,2)-WEEKNUM(EOMONTH($K242+1,-1)),4)&amp;TEXT($K242+1,"mmmyy"))</f>
        <v>W4Mar26</v>
      </c>
      <c r="T242" s="1214">
        <f>Table1218[[#This Row],[CLOSING BALANCE 
(VND)]]/1000000000</f>
        <v>8</v>
      </c>
      <c r="U242"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2 months</v>
      </c>
      <c r="V242" s="1220"/>
      <c r="W242" s="1112"/>
      <c r="X242" s="1115"/>
      <c r="Y242" s="1112"/>
      <c r="Z242" s="1221"/>
      <c r="AA242" s="1112" t="e">
        <v>#N/A</v>
      </c>
      <c r="AB242" s="1112"/>
      <c r="AC242" s="1112"/>
    </row>
    <row r="243" spans="1:30">
      <c r="A243" s="920" t="str">
        <f>IFERROR(VLOOKUP($C243,Table2[#All],3,0),0)</f>
        <v>NSHL LLC</v>
      </c>
      <c r="B243" s="921" t="str">
        <f>_xlfn.XLOOKUP(Table1218[[#This Row],[ACCOUNT NUMBER]],Table2[Account No.],Table2[BRANCH],"recheck",0)</f>
        <v>BIDV - THANH XUAN</v>
      </c>
      <c r="C243" s="1143" t="s">
        <v>1505</v>
      </c>
      <c r="D243" s="922" t="str">
        <f>_xlfn.XLOOKUP(Table1218[[#This Row],[ACCOUNT NUMBER]],Table2[Account No.],Table2[ACCOUNT TYPE],"recheck",0)</f>
        <v>Saving Account</v>
      </c>
      <c r="E243" s="1267" t="s">
        <v>80</v>
      </c>
      <c r="F243" s="926">
        <f>SUMIFS(Table11[CLOSING BALANCE (VND)2],Table11[ACCOUNT NUMBER],Table1218[[#This Row],[ACCOUNT NUMBER]],Table11[CURRENCY],Table1218[[#This Row],[CURRENCY]])</f>
        <v>2500000000</v>
      </c>
      <c r="G243" s="926"/>
      <c r="H243" s="1129" t="s">
        <v>220</v>
      </c>
      <c r="I243" s="1267"/>
      <c r="J243" s="1267"/>
      <c r="K243" s="1130">
        <v>46106</v>
      </c>
      <c r="L243" s="927">
        <v>4.7500000000000001E-2</v>
      </c>
      <c r="M243" s="922" t="str">
        <f>VLOOKUP($A243,Table1[[#All],[Entities]:[Name]],MATCH(M$3,Table1[[#Headers],[Entities]:[Name]],0),0)</f>
        <v>Subsidiaries</v>
      </c>
      <c r="N243" s="922" t="str">
        <f>IFERROR(VLOOKUP(IFERROR(MID($O243,1,FIND("-",$O243)-2),O243),Table3[#All],2,0),0)</f>
        <v>BIDV</v>
      </c>
      <c r="O243" s="923" t="str">
        <f t="shared" si="15"/>
        <v>BIDV - THANH XUAN</v>
      </c>
      <c r="P243" s="927"/>
      <c r="Q243" s="922"/>
      <c r="R243" s="922"/>
      <c r="S243" s="924" t="str">
        <f>IF(ISBLANK(Table1218[[#This Row],[Maturity date]]),"","W"&amp;MIN(WEEKNUM($K243+1,2)-WEEKNUM(EOMONTH($K243+1,-1)),4)&amp;TEXT($K243+1,"mmmyy"))</f>
        <v>W4Mar26</v>
      </c>
      <c r="T243" s="1214">
        <f>Table1218[[#This Row],[CLOSING BALANCE 
(VND)]]/1000000000</f>
        <v>2.5</v>
      </c>
      <c r="U243"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2 months</v>
      </c>
      <c r="V243" s="1220"/>
      <c r="W243" s="1112"/>
      <c r="X243" s="1115"/>
      <c r="Y243" s="1112"/>
      <c r="Z243" s="1221"/>
      <c r="AA243" s="1112" t="e">
        <v>#N/A</v>
      </c>
      <c r="AB243" s="1112"/>
      <c r="AC243" s="1112"/>
    </row>
    <row r="244" spans="1:30">
      <c r="A244" s="920" t="str">
        <f>IFERROR(VLOOKUP($C244,Table2[#All],3,0),0)</f>
        <v>YEN PHONG PROJECT CO</v>
      </c>
      <c r="B244" s="921" t="str">
        <f>_xlfn.XLOOKUP(Table1218[[#This Row],[ACCOUNT NUMBER]],Table2[Account No.],Table2[BRANCH],"recheck",0)</f>
        <v>BIDV - THANH XUAN</v>
      </c>
      <c r="C244" s="1143" t="s">
        <v>1506</v>
      </c>
      <c r="D244" s="922" t="str">
        <f>_xlfn.XLOOKUP(Table1218[[#This Row],[ACCOUNT NUMBER]],Table2[Account No.],Table2[ACCOUNT TYPE],"recheck",0)</f>
        <v>Saving Account</v>
      </c>
      <c r="E244" s="1267" t="s">
        <v>80</v>
      </c>
      <c r="F244" s="926">
        <f>SUMIFS(Table11[CLOSING BALANCE (VND)2],Table11[ACCOUNT NUMBER],Table1218[[#This Row],[ACCOUNT NUMBER]],Table11[CURRENCY],Table1218[[#This Row],[CURRENCY]])</f>
        <v>7000000000</v>
      </c>
      <c r="G244" s="926"/>
      <c r="H244" s="1129" t="s">
        <v>220</v>
      </c>
      <c r="I244" s="1267"/>
      <c r="J244" s="1267"/>
      <c r="K244" s="1130">
        <v>46106</v>
      </c>
      <c r="L244" s="927">
        <v>4.7500000000000001E-2</v>
      </c>
      <c r="M244" s="922" t="str">
        <f>VLOOKUP($A244,Table1[[#All],[Entities]:[Name]],MATCH(M$3,Table1[[#Headers],[Entities]:[Name]],0),0)</f>
        <v>Subsidiaries</v>
      </c>
      <c r="N244" s="922" t="str">
        <f>IFERROR(VLOOKUP(IFERROR(MID($O244,1,FIND("-",$O244)-2),O244),Table3[#All],2,0),0)</f>
        <v>BIDV</v>
      </c>
      <c r="O244" s="923" t="str">
        <f t="shared" si="15"/>
        <v>BIDV - THANH XUAN</v>
      </c>
      <c r="P244" s="927"/>
      <c r="Q244" s="922"/>
      <c r="R244" s="922"/>
      <c r="S244" s="924" t="str">
        <f>IF(ISBLANK(Table1218[[#This Row],[Maturity date]]),"","W"&amp;MIN(WEEKNUM($K244+1,2)-WEEKNUM(EOMONTH($K244+1,-1)),4)&amp;TEXT($K244+1,"mmmyy"))</f>
        <v>W4Mar26</v>
      </c>
      <c r="T244" s="1214">
        <f>Table1218[[#This Row],[CLOSING BALANCE 
(VND)]]/1000000000</f>
        <v>7</v>
      </c>
      <c r="U244"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2 months</v>
      </c>
      <c r="V244" s="1220"/>
      <c r="W244" s="1112"/>
      <c r="X244" s="1115"/>
      <c r="Y244" s="1112"/>
      <c r="Z244" s="1221"/>
      <c r="AA244" s="1112" t="e">
        <v>#N/A</v>
      </c>
      <c r="AB244" s="1112"/>
      <c r="AC244" s="1112"/>
    </row>
    <row r="245" spans="1:30">
      <c r="A245" s="920" t="str">
        <f>IFERROR(VLOOKUP($C245,Table2[#All],3,0),0)</f>
        <v>BW SAI GON</v>
      </c>
      <c r="B245" s="921" t="str">
        <f>_xlfn.XLOOKUP(Table1218[[#This Row],[ACCOUNT NUMBER]],Table2[Account No.],Table2[BRANCH],"recheck",0)</f>
        <v>SINOPAC</v>
      </c>
      <c r="C245" s="1143" t="s">
        <v>1507</v>
      </c>
      <c r="D245" s="922" t="str">
        <f>_xlfn.XLOOKUP(Table1218[[#This Row],[ACCOUNT NUMBER]],Table2[Account No.],Table2[ACCOUNT TYPE],"recheck",0)</f>
        <v>Saving Account</v>
      </c>
      <c r="E245" s="1267" t="s">
        <v>80</v>
      </c>
      <c r="F245" s="926">
        <f>SUMIFS(Table11[CLOSING BALANCE (VND)2],Table11[ACCOUNT NUMBER],Table1218[[#This Row],[ACCOUNT NUMBER]],Table11[CURRENCY],Table1218[[#This Row],[CURRENCY]])</f>
        <v>4000000000</v>
      </c>
      <c r="G245" s="926"/>
      <c r="H245" s="1129" t="s">
        <v>220</v>
      </c>
      <c r="I245" s="1267"/>
      <c r="J245" s="1267"/>
      <c r="K245" s="1130">
        <v>46048</v>
      </c>
      <c r="L245" s="927">
        <v>3.9E-2</v>
      </c>
      <c r="M245" s="922" t="str">
        <f>VLOOKUP($A245,Table1[[#All],[Entities]:[Name]],MATCH(M$3,Table1[[#Headers],[Entities]:[Name]],0),0)</f>
        <v>Subsidiaries</v>
      </c>
      <c r="N245" s="922" t="str">
        <f>IFERROR(VLOOKUP(IFERROR(MID($O245,1,FIND("-",$O245)-2),O245),Table3[#All],2,0),0)</f>
        <v>SNP</v>
      </c>
      <c r="O245" s="923" t="str">
        <f t="shared" si="15"/>
        <v>SINOPAC</v>
      </c>
      <c r="P245" s="927"/>
      <c r="Q245" s="922"/>
      <c r="R245" s="922"/>
      <c r="S245" s="924" t="str">
        <f>IF(ISBLANK(Table1218[[#This Row],[Maturity date]]),"","W"&amp;MIN(WEEKNUM($K245+1,2)-WEEKNUM(EOMONTH($K245+1,-1)),4)&amp;TEXT($K245+1,"mmmyy"))</f>
        <v>W-48Jan26</v>
      </c>
      <c r="T245" s="1214">
        <f>Table1218[[#This Row],[CLOSING BALANCE 
(VND)]]/1000000000</f>
        <v>4</v>
      </c>
      <c r="U245"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45" s="1220"/>
      <c r="W245" s="1112"/>
      <c r="X245" s="1115"/>
      <c r="Y245" s="1112"/>
      <c r="Z245" s="1221"/>
      <c r="AA245" s="1112" t="e">
        <v>#N/A</v>
      </c>
      <c r="AB245" s="1112"/>
      <c r="AC245" s="1112"/>
    </row>
    <row r="246" spans="1:30">
      <c r="A246" s="920" t="str">
        <f>IFERROR(VLOOKUP($C246,Table2[#All],3,0),0)</f>
        <v>SAO HOA</v>
      </c>
      <c r="B246" s="921" t="str">
        <f>_xlfn.XLOOKUP(Table1218[[#This Row],[ACCOUNT NUMBER]],Table2[Account No.],Table2[BRANCH],"recheck",0)</f>
        <v>SINOPAC</v>
      </c>
      <c r="C246" s="1143" t="s">
        <v>1508</v>
      </c>
      <c r="D246" s="922" t="str">
        <f>_xlfn.XLOOKUP(Table1218[[#This Row],[ACCOUNT NUMBER]],Table2[Account No.],Table2[ACCOUNT TYPE],"recheck",0)</f>
        <v>Saving Account</v>
      </c>
      <c r="E246" s="1267" t="s">
        <v>80</v>
      </c>
      <c r="F246" s="926">
        <f>SUMIFS(Table11[CLOSING BALANCE (VND)2],Table11[ACCOUNT NUMBER],Table1218[[#This Row],[ACCOUNT NUMBER]],Table11[CURRENCY],Table1218[[#This Row],[CURRENCY]])</f>
        <v>40000000000</v>
      </c>
      <c r="G246" s="926"/>
      <c r="H246" s="1129" t="s">
        <v>219</v>
      </c>
      <c r="I246" s="1267"/>
      <c r="J246" s="1267"/>
      <c r="K246" s="1130">
        <v>46052</v>
      </c>
      <c r="L246" s="927">
        <v>4.7500000000000001E-2</v>
      </c>
      <c r="M246" s="922" t="str">
        <f>VLOOKUP($A246,Table1[[#All],[Entities]:[Name]],MATCH(M$3,Table1[[#Headers],[Entities]:[Name]],0),0)</f>
        <v>VC3</v>
      </c>
      <c r="N246" s="922" t="str">
        <f>IFERROR(VLOOKUP(IFERROR(MID($O246,1,FIND("-",$O246)-2),O246),Table3[#All],2,0),0)</f>
        <v>SNP</v>
      </c>
      <c r="O246" s="923" t="str">
        <f t="shared" ref="O246:O252" si="16">B246</f>
        <v>SINOPAC</v>
      </c>
      <c r="P246" s="927"/>
      <c r="Q246" s="922"/>
      <c r="R246" s="922"/>
      <c r="S246" s="924" t="str">
        <f>IF(ISBLANK(Table1218[[#This Row],[Maturity date]]),"","W"&amp;MIN(WEEKNUM($K246+1,2)-WEEKNUM(EOMONTH($K246+1,-1)),4)&amp;TEXT($K246+1,"mmmyy"))</f>
        <v>W-48Jan26</v>
      </c>
      <c r="T246" s="1214">
        <f>Table1218[[#This Row],[CLOSING BALANCE 
(VND)]]/1000000000</f>
        <v>40</v>
      </c>
      <c r="U246"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46" s="1220"/>
      <c r="W246" s="1112"/>
      <c r="X246" s="1115"/>
      <c r="Y246" s="1112"/>
      <c r="Z246" s="1221"/>
      <c r="AA246" s="1112" t="e">
        <v>#N/A</v>
      </c>
      <c r="AB246" s="1112"/>
      <c r="AC246" s="1112"/>
    </row>
    <row r="247" spans="1:30">
      <c r="A247" s="920" t="str">
        <f>IFERROR(VLOOKUP($C247,Table2[#All],3,0),0)</f>
        <v>BW MY PHUOC 3</v>
      </c>
      <c r="B247" s="921" t="str">
        <f>_xlfn.XLOOKUP(Table1218[[#This Row],[ACCOUNT NUMBER]],Table2[Account No.],Table2[BRANCH],"recheck",0)</f>
        <v>Woori Bank</v>
      </c>
      <c r="C247" s="1143" t="s">
        <v>1510</v>
      </c>
      <c r="D247" s="922" t="str">
        <f>_xlfn.XLOOKUP(Table1218[[#This Row],[ACCOUNT NUMBER]],Table2[Account No.],Table2[ACCOUNT TYPE],"recheck",0)</f>
        <v>Saving Account</v>
      </c>
      <c r="E247" s="1267" t="s">
        <v>80</v>
      </c>
      <c r="F247" s="926">
        <f>SUMIFS(Table11[CLOSING BALANCE (VND)2],Table11[ACCOUNT NUMBER],Table1218[[#This Row],[ACCOUNT NUMBER]],Table11[CURRENCY],Table1218[[#This Row],[CURRENCY]])</f>
        <v>45000000000</v>
      </c>
      <c r="G247" s="926"/>
      <c r="H247" s="1129" t="s">
        <v>219</v>
      </c>
      <c r="I247" s="1267"/>
      <c r="J247" s="1267"/>
      <c r="K247" s="1130">
        <v>46048</v>
      </c>
      <c r="L247" s="927">
        <v>4.7500000000000001E-2</v>
      </c>
      <c r="M247" s="922" t="str">
        <f>VLOOKUP($A247,Table1[[#All],[Entities]:[Name]],MATCH(M$3,Table1[[#Headers],[Entities]:[Name]],0),0)</f>
        <v>Subsidiaries</v>
      </c>
      <c r="N247" s="922" t="str">
        <f>IFERROR(VLOOKUP(IFERROR(MID($O247,1,FIND("-",$O247)-2),O247),Table3[#All],2,0),0)</f>
        <v>Woori Bank</v>
      </c>
      <c r="O247" s="923" t="str">
        <f t="shared" si="16"/>
        <v>Woori Bank</v>
      </c>
      <c r="P247" s="927"/>
      <c r="Q247" s="922"/>
      <c r="R247" s="922"/>
      <c r="S247" s="924" t="str">
        <f>IF(ISBLANK(Table1218[[#This Row],[Maturity date]]),"","W"&amp;MIN(WEEKNUM($K247+1,2)-WEEKNUM(EOMONTH($K247+1,-1)),4)&amp;TEXT($K247+1,"mmmyy"))</f>
        <v>W-48Jan26</v>
      </c>
      <c r="T247" s="1214">
        <f>Table1218[[#This Row],[CLOSING BALANCE 
(VND)]]/1000000000</f>
        <v>45</v>
      </c>
      <c r="U247"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47" s="1220"/>
      <c r="W247" s="1112"/>
      <c r="X247" s="1115"/>
      <c r="Y247" s="1112"/>
      <c r="Z247" s="1221"/>
      <c r="AA247" s="1112" t="e">
        <v>#N/A</v>
      </c>
      <c r="AB247" s="1112"/>
      <c r="AC247" s="1112"/>
    </row>
    <row r="248" spans="1:30">
      <c r="A248" s="920" t="str">
        <f>IFERROR(VLOOKUP($C248,Table2[#All],3,0),0)</f>
        <v>KIM TRUC DN</v>
      </c>
      <c r="B248" s="921" t="str">
        <f>_xlfn.XLOOKUP(Table1218[[#This Row],[ACCOUNT NUMBER]],Table2[Account No.],Table2[BRANCH],"recheck",0)</f>
        <v>BIDV - NAM SAI GON</v>
      </c>
      <c r="C248" s="1143" t="s">
        <v>1509</v>
      </c>
      <c r="D248" s="922" t="str">
        <f>_xlfn.XLOOKUP(Table1218[[#This Row],[ACCOUNT NUMBER]],Table2[Account No.],Table2[ACCOUNT TYPE],"recheck",0)</f>
        <v>Saving Account</v>
      </c>
      <c r="E248" s="1267" t="s">
        <v>80</v>
      </c>
      <c r="F248" s="926">
        <f>SUMIFS(Table11[CLOSING BALANCE (VND)2],Table11[ACCOUNT NUMBER],Table1218[[#This Row],[ACCOUNT NUMBER]],Table11[CURRENCY],Table1218[[#This Row],[CURRENCY]])</f>
        <v>10000000000</v>
      </c>
      <c r="G248" s="926"/>
      <c r="H248" s="1129" t="s">
        <v>219</v>
      </c>
      <c r="I248" s="1267"/>
      <c r="J248" s="1267"/>
      <c r="K248" s="1130">
        <v>46041</v>
      </c>
      <c r="L248" s="927">
        <v>4.7500000000000001E-2</v>
      </c>
      <c r="M248" s="922" t="str">
        <f>VLOOKUP($A248,Table1[[#All],[Entities]:[Name]],MATCH(M$3,Table1[[#Headers],[Entities]:[Name]],0),0)</f>
        <v>Subsidiaries</v>
      </c>
      <c r="N248" s="922" t="str">
        <f>IFERROR(VLOOKUP(IFERROR(MID($O248,1,FIND("-",$O248)-2),O248),Table3[#All],2,0),0)</f>
        <v>BIDV</v>
      </c>
      <c r="O248" s="923" t="str">
        <f t="shared" si="16"/>
        <v>BIDV - NAM SAI GON</v>
      </c>
      <c r="P248" s="927"/>
      <c r="Q248" s="922"/>
      <c r="R248" s="922"/>
      <c r="S248" s="924" t="str">
        <f>IF(ISBLANK(Table1218[[#This Row],[Maturity date]]),"","W"&amp;MIN(WEEKNUM($K248+1,2)-WEEKNUM(EOMONTH($K248+1,-1)),4)&amp;TEXT($K248+1,"mmmyy"))</f>
        <v>W-49Jan26</v>
      </c>
      <c r="T248" s="1214">
        <f>Table1218[[#This Row],[CLOSING BALANCE 
(VND)]]/1000000000</f>
        <v>10</v>
      </c>
      <c r="U248"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48" s="1220"/>
      <c r="W248" s="1112"/>
      <c r="X248" s="1115"/>
      <c r="Y248" s="1112"/>
      <c r="Z248" s="1221"/>
      <c r="AA248" s="1112" t="e">
        <v>#N/A</v>
      </c>
      <c r="AB248" s="1112"/>
      <c r="AC248" s="1112"/>
    </row>
    <row r="249" spans="1:30">
      <c r="A249" s="920" t="str">
        <f>IFERROR(VLOOKUP($C249,Table2[#All],3,0),0)</f>
        <v>BW MY PHUOC 3</v>
      </c>
      <c r="B249" s="921" t="str">
        <f>_xlfn.XLOOKUP(Table1218[[#This Row],[ACCOUNT NUMBER]],Table2[Account No.],Table2[BRANCH],"recheck",0)</f>
        <v>Woori Bank</v>
      </c>
      <c r="C249" s="1143" t="s">
        <v>1511</v>
      </c>
      <c r="D249" s="922" t="str">
        <f>_xlfn.XLOOKUP(Table1218[[#This Row],[ACCOUNT NUMBER]],Table2[Account No.],Table2[ACCOUNT TYPE],"recheck",0)</f>
        <v>Saving Account</v>
      </c>
      <c r="E249" s="1267" t="s">
        <v>80</v>
      </c>
      <c r="F249" s="926">
        <f>SUMIFS(Table11[CLOSING BALANCE (VND)2],Table11[ACCOUNT NUMBER],Table1218[[#This Row],[ACCOUNT NUMBER]],Table11[CURRENCY],Table1218[[#This Row],[CURRENCY]])</f>
        <v>10000000000</v>
      </c>
      <c r="G249" s="926"/>
      <c r="H249" s="1267" t="s">
        <v>219</v>
      </c>
      <c r="I249" s="1267"/>
      <c r="J249" s="1267"/>
      <c r="K249" s="1268">
        <v>46050</v>
      </c>
      <c r="L249" s="927">
        <v>4.7500000000000001E-2</v>
      </c>
      <c r="M249" s="922" t="str">
        <f>VLOOKUP($A249,Table1[[#All],[Entities]:[Name]],MATCH(M$3,Table1[[#Headers],[Entities]:[Name]],0),0)</f>
        <v>Subsidiaries</v>
      </c>
      <c r="N249" s="922" t="str">
        <f>IFERROR(VLOOKUP(IFERROR(MID($O249,1,FIND("-",$O249)-2),O249),Table3[#All],2,0),0)</f>
        <v>Woori Bank</v>
      </c>
      <c r="O249" s="923" t="str">
        <f t="shared" si="16"/>
        <v>Woori Bank</v>
      </c>
      <c r="P249" s="927"/>
      <c r="Q249" s="922"/>
      <c r="R249" s="922"/>
      <c r="S249" s="924" t="str">
        <f>IF(ISBLANK(Table1218[[#This Row],[Maturity date]]),"","W"&amp;MIN(WEEKNUM($K249+1,2)-WEEKNUM(EOMONTH($K249+1,-1)),4)&amp;TEXT($K249+1,"mmmyy"))</f>
        <v>W-48Jan26</v>
      </c>
      <c r="T249" s="1214">
        <f>Table1218[[#This Row],[CLOSING BALANCE 
(VND)]]/1000000000</f>
        <v>10</v>
      </c>
      <c r="U249"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49" s="1220"/>
      <c r="W249" s="1112"/>
      <c r="X249" s="1115"/>
      <c r="Y249" s="1112"/>
      <c r="Z249" s="1221"/>
      <c r="AA249" s="1112" t="e">
        <v>#N/A</v>
      </c>
      <c r="AB249" s="1112"/>
      <c r="AC249" s="1112"/>
    </row>
    <row r="250" spans="1:30">
      <c r="A250" s="920" t="str">
        <f>IFERROR(VLOOKUP($C250,Table2[#All],3,0),0)</f>
        <v>BWID BINH DUONG</v>
      </c>
      <c r="B250" s="921" t="str">
        <f>_xlfn.XLOOKUP(Table1218[[#This Row],[ACCOUNT NUMBER]],Table2[Account No.],Table2[BRANCH],"recheck",0)</f>
        <v>SINOPAC</v>
      </c>
      <c r="C250" s="1143" t="s">
        <v>1523</v>
      </c>
      <c r="D250" s="922" t="str">
        <f>_xlfn.XLOOKUP(Table1218[[#This Row],[ACCOUNT NUMBER]],Table2[Account No.],Table2[ACCOUNT TYPE],"recheck",0)</f>
        <v>Saving Account</v>
      </c>
      <c r="E250" s="1129" t="s">
        <v>80</v>
      </c>
      <c r="F250" s="926">
        <f>SUMIFS(Table11[CLOSING BALANCE (VND)2],Table11[ACCOUNT NUMBER],Table1218[[#This Row],[ACCOUNT NUMBER]],Table11[CURRENCY],Table1218[[#This Row],[CURRENCY]])</f>
        <v>30000000000</v>
      </c>
      <c r="G250" s="926"/>
      <c r="H250" s="1129" t="s">
        <v>219</v>
      </c>
      <c r="I250" s="1267"/>
      <c r="J250" s="1267"/>
      <c r="K250" s="1130">
        <v>46059</v>
      </c>
      <c r="L250" s="927">
        <v>4.7500000000000001E-2</v>
      </c>
      <c r="M250" s="922" t="str">
        <f>VLOOKUP($A250,Table1[[#All],[Entities]:[Name]],MATCH(M$3,Table1[[#Headers],[Entities]:[Name]],0),0)</f>
        <v>BWID JSC</v>
      </c>
      <c r="N250" s="922" t="str">
        <f>IFERROR(VLOOKUP(IFERROR(MID($O250,1,FIND("-",$O250)-2),O250),Table3[#All],2,0),0)</f>
        <v>SNP</v>
      </c>
      <c r="O250" s="923" t="str">
        <f t="shared" si="16"/>
        <v>SINOPAC</v>
      </c>
      <c r="P250" s="927"/>
      <c r="Q250" s="922"/>
      <c r="R250" s="922"/>
      <c r="S250" s="924" t="str">
        <f>IF(ISBLANK(Table1218[[#This Row],[Maturity date]]),"","W"&amp;MIN(WEEKNUM($K250+1,2)-WEEKNUM(EOMONTH($K250+1,-1)),4)&amp;TEXT($K250+1,"mmmyy"))</f>
        <v>W1Feb26</v>
      </c>
      <c r="T250" s="1214">
        <f>Table1218[[#This Row],[CLOSING BALANCE 
(VND)]]/1000000000</f>
        <v>30</v>
      </c>
      <c r="U250"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50" s="1220"/>
      <c r="W250" s="1112"/>
      <c r="X250" s="1115"/>
      <c r="Y250" s="1112"/>
      <c r="Z250" s="1221"/>
      <c r="AA250" s="1112" t="e">
        <v>#N/A</v>
      </c>
      <c r="AB250" s="1112"/>
      <c r="AC250" s="1112"/>
    </row>
    <row r="251" spans="1:30">
      <c r="A251" s="920" t="str">
        <f>IFERROR(VLOOKUP($C251,Table2[#All],3,0),0)</f>
        <v>SAO HOA</v>
      </c>
      <c r="B251" s="921" t="str">
        <f>_xlfn.XLOOKUP(Table1218[[#This Row],[ACCOUNT NUMBER]],Table2[Account No.],Table2[BRANCH],"recheck",0)</f>
        <v>VIETCOMBANK - HCM</v>
      </c>
      <c r="C251" s="1143" t="s">
        <v>1522</v>
      </c>
      <c r="D251" s="922" t="str">
        <f>_xlfn.XLOOKUP(Table1218[[#This Row],[ACCOUNT NUMBER]],Table2[Account No.],Table2[ACCOUNT TYPE],"recheck",0)</f>
        <v>Saving Account</v>
      </c>
      <c r="E251" s="1129" t="s">
        <v>80</v>
      </c>
      <c r="F251" s="926">
        <f>SUMIFS(Table11[CLOSING BALANCE (VND)2],Table11[ACCOUNT NUMBER],Table1218[[#This Row],[ACCOUNT NUMBER]],Table11[CURRENCY],Table1218[[#This Row],[CURRENCY]])</f>
        <v>260000000000</v>
      </c>
      <c r="G251" s="926"/>
      <c r="H251" s="1129" t="s">
        <v>219</v>
      </c>
      <c r="I251" s="1267"/>
      <c r="J251" s="1267"/>
      <c r="K251" s="1130">
        <v>46062</v>
      </c>
      <c r="L251" s="927">
        <v>4.7500000000000001E-2</v>
      </c>
      <c r="M251" s="922" t="str">
        <f>VLOOKUP($A251,Table1[[#All],[Entities]:[Name]],MATCH(M$3,Table1[[#Headers],[Entities]:[Name]],0),0)</f>
        <v>VC3</v>
      </c>
      <c r="N251" s="922" t="str">
        <f>IFERROR(VLOOKUP(IFERROR(MID($O251,1,FIND("-",$O251)-2),O251),Table3[#All],2,0),0)</f>
        <v>VCB</v>
      </c>
      <c r="O251" s="923" t="str">
        <f t="shared" si="16"/>
        <v>VIETCOMBANK - HCM</v>
      </c>
      <c r="P251" s="927"/>
      <c r="Q251" s="922"/>
      <c r="R251" s="922"/>
      <c r="S251" s="924" t="str">
        <f>IF(ISBLANK(Table1218[[#This Row],[Maturity date]]),"","W"&amp;MIN(WEEKNUM($K251+1,2)-WEEKNUM(EOMONTH($K251+1,-1)),4)&amp;TEXT($K251+1,"mmmyy"))</f>
        <v>W2Feb26</v>
      </c>
      <c r="T251" s="1214">
        <f>Table1218[[#This Row],[CLOSING BALANCE 
(VND)]]/1000000000</f>
        <v>260</v>
      </c>
      <c r="U251"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51" s="1220"/>
      <c r="W251" s="1112"/>
      <c r="X251" s="1115"/>
      <c r="Y251" s="1112"/>
      <c r="Z251" s="1221"/>
      <c r="AA251" s="1112" t="e">
        <v>#N/A</v>
      </c>
      <c r="AB251" s="1112"/>
      <c r="AC251" s="1112"/>
    </row>
    <row r="252" spans="1:30">
      <c r="A252" s="920" t="str">
        <f>IFERROR(VLOOKUP($C252,Table2[#All],3,0),0)</f>
        <v>SAO HOA</v>
      </c>
      <c r="B252" s="921" t="str">
        <f>_xlfn.XLOOKUP(Table1218[[#This Row],[ACCOUNT NUMBER]],Table2[Account No.],Table2[BRANCH],"recheck",0)</f>
        <v>VIETINBANK - TIEN SON</v>
      </c>
      <c r="C252" s="1143" t="s">
        <v>1524</v>
      </c>
      <c r="D252" s="922" t="str">
        <f>_xlfn.XLOOKUP(Table1218[[#This Row],[ACCOUNT NUMBER]],Table2[Account No.],Table2[ACCOUNT TYPE],"recheck",0)</f>
        <v>Saving Account</v>
      </c>
      <c r="E252" s="1129" t="s">
        <v>80</v>
      </c>
      <c r="F252" s="926">
        <f>SUMIFS(Table11[CLOSING BALANCE (VND)2],Table11[ACCOUNT NUMBER],Table1218[[#This Row],[ACCOUNT NUMBER]],Table11[CURRENCY],Table1218[[#This Row],[CURRENCY]])</f>
        <v>50000000000</v>
      </c>
      <c r="G252" s="926"/>
      <c r="H252" s="1129" t="s">
        <v>219</v>
      </c>
      <c r="I252" s="1267"/>
      <c r="J252" s="1267"/>
      <c r="K252" s="1268">
        <v>46065</v>
      </c>
      <c r="L252" s="927">
        <v>4.7500000000000001E-2</v>
      </c>
      <c r="M252" s="922" t="str">
        <f>VLOOKUP($A252,Table1[[#All],[Entities]:[Name]],MATCH(M$3,Table1[[#Headers],[Entities]:[Name]],0),0)</f>
        <v>VC3</v>
      </c>
      <c r="N252" s="922" t="str">
        <f>IFERROR(VLOOKUP(IFERROR(MID($O252,1,FIND("-",$O252)-2),O252),Table3[#All],2,0),0)</f>
        <v>VTB</v>
      </c>
      <c r="O252" s="923" t="str">
        <f t="shared" si="16"/>
        <v>VIETINBANK - TIEN SON</v>
      </c>
      <c r="P252" s="927"/>
      <c r="Q252" s="922"/>
      <c r="R252" s="922"/>
      <c r="S252" s="924" t="str">
        <f>IF(ISBLANK(Table1218[[#This Row],[Maturity date]]),"","W"&amp;MIN(WEEKNUM($K252+1,2)-WEEKNUM(EOMONTH($K252+1,-1)),4)&amp;TEXT($K252+1,"mmmyy"))</f>
        <v>W2Feb26</v>
      </c>
      <c r="T252" s="1214">
        <f>Table1218[[#This Row],[CLOSING BALANCE 
(VND)]]/1000000000</f>
        <v>50</v>
      </c>
      <c r="U252"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 month</v>
      </c>
      <c r="V252" s="1220"/>
      <c r="W252" s="1112"/>
      <c r="X252" s="1115"/>
      <c r="Y252" s="1112"/>
      <c r="Z252" s="1221"/>
      <c r="AA252" s="1112" t="e">
        <v>#N/A</v>
      </c>
      <c r="AB252" s="1112"/>
      <c r="AC252" s="1112"/>
    </row>
    <row r="253" spans="1:30">
      <c r="A253" s="920" t="str">
        <f>IFERROR(VLOOKUP($C253,Table2[#All],3,0),0)</f>
        <v>BW BAU BANG 01</v>
      </c>
      <c r="B253" s="921" t="str">
        <f>_xlfn.XLOOKUP(Table1218[[#This Row],[ACCOUNT NUMBER]],Table2[Account No.],Table2[BRANCH],"recheck",0)</f>
        <v>VIETINBANK - BINH DUONG</v>
      </c>
      <c r="C253" s="1143" t="s">
        <v>1503</v>
      </c>
      <c r="D253" s="922" t="str">
        <f>_xlfn.XLOOKUP(Table1218[[#This Row],[ACCOUNT NUMBER]],Table2[Account No.],Table2[ACCOUNT TYPE],"recheck",0)</f>
        <v>Saving Account</v>
      </c>
      <c r="E253" s="1129" t="s">
        <v>80</v>
      </c>
      <c r="F253" s="926">
        <f>SUMIFS(Table11[CLOSING BALANCE (VND)2],Table11[ACCOUNT NUMBER],Table1218[[#This Row],[ACCOUNT NUMBER]],Table11[CURRENCY],Table1218[[#This Row],[CURRENCY]])</f>
        <v>10000000000</v>
      </c>
      <c r="G253" s="926"/>
      <c r="H253" s="1129" t="s">
        <v>221</v>
      </c>
      <c r="I253" s="1267"/>
      <c r="J253" s="1267"/>
      <c r="K253" s="1268">
        <v>46099</v>
      </c>
      <c r="L253" s="927">
        <v>4.7500000000000001E-2</v>
      </c>
      <c r="M253" s="922" t="str">
        <f>VLOOKUP($A253,Table1[[#All],[Entities]:[Name]],MATCH(M$3,Table1[[#Headers],[Entities]:[Name]],0),0)</f>
        <v>Subsidiaries</v>
      </c>
      <c r="N253" s="922" t="str">
        <f>IFERROR(VLOOKUP(IFERROR(MID($O253,1,FIND("-",$O253)-2),O253),Table3[#All],2,0),0)</f>
        <v>VTB</v>
      </c>
      <c r="O253" s="923" t="str">
        <f t="shared" ref="O253:O254" si="17">B253</f>
        <v>VIETINBANK - BINH DUONG</v>
      </c>
      <c r="P253" s="927"/>
      <c r="Q253" s="922"/>
      <c r="R253" s="922"/>
      <c r="S253" s="924" t="str">
        <f>IF(ISBLANK(Table1218[[#This Row],[Maturity date]]),"","W"&amp;MIN(WEEKNUM($K253+1,2)-WEEKNUM(EOMONTH($K253+1,-1)),4)&amp;TEXT($K253+1,"mmmyy"))</f>
        <v>W3Mar26</v>
      </c>
      <c r="T253" s="1214">
        <f>Table1218[[#This Row],[CLOSING BALANCE 
(VND)]]/1000000000</f>
        <v>10</v>
      </c>
      <c r="U253"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2 months</v>
      </c>
      <c r="V253" s="1220"/>
      <c r="W253" s="1112"/>
      <c r="X253" s="1115"/>
      <c r="Y253" s="1112"/>
      <c r="Z253" s="1221"/>
      <c r="AA253" s="1112" t="e">
        <v>#N/A</v>
      </c>
      <c r="AB253" s="1112"/>
      <c r="AC253" s="1112"/>
    </row>
    <row r="254" spans="1:30">
      <c r="A254" s="920" t="str">
        <f>IFERROR(VLOOKUP($C254,Table2[#All],3,0),0)</f>
        <v>BWID TAN DONG HIEP</v>
      </c>
      <c r="B254" s="921" t="str">
        <f>_xlfn.XLOOKUP(Table1218[[#This Row],[ACCOUNT NUMBER]],Table2[Account No.],Table2[BRANCH],"recheck",0)</f>
        <v>SINOPAC</v>
      </c>
      <c r="C254" s="1143" t="s">
        <v>1513</v>
      </c>
      <c r="D254" s="922" t="str">
        <f>_xlfn.XLOOKUP(Table1218[[#This Row],[ACCOUNT NUMBER]],Table2[Account No.],Table2[ACCOUNT TYPE],"recheck",0)</f>
        <v>Saving Account</v>
      </c>
      <c r="E254" s="1129" t="s">
        <v>80</v>
      </c>
      <c r="F254" s="926">
        <f>SUMIFS(Table11[CLOSING BALANCE (VND)2],Table11[ACCOUNT NUMBER],Table1218[[#This Row],[ACCOUNT NUMBER]],Table11[CURRENCY],Table1218[[#This Row],[CURRENCY]])</f>
        <v>5000000000</v>
      </c>
      <c r="G254" s="926"/>
      <c r="H254" s="1129" t="s">
        <v>219</v>
      </c>
      <c r="I254" s="1267"/>
      <c r="J254" s="1267"/>
      <c r="K254" s="1268">
        <v>46052</v>
      </c>
      <c r="L254" s="927">
        <v>3.9E-2</v>
      </c>
      <c r="M254" s="922" t="str">
        <f>VLOOKUP($A254,Table1[[#All],[Entities]:[Name]],MATCH(M$3,Table1[[#Headers],[Entities]:[Name]],0),0)</f>
        <v>Subsidiaries</v>
      </c>
      <c r="N254" s="922" t="str">
        <f>IFERROR(VLOOKUP(IFERROR(MID($O254,1,FIND("-",$O254)-2),O254),Table3[#All],2,0),0)</f>
        <v>SNP</v>
      </c>
      <c r="O254" s="923" t="str">
        <f t="shared" si="17"/>
        <v>SINOPAC</v>
      </c>
      <c r="P254" s="927"/>
      <c r="Q254" s="922"/>
      <c r="R254" s="922"/>
      <c r="S254" s="924" t="str">
        <f>IF(ISBLANK(Table1218[[#This Row],[Maturity date]]),"","W"&amp;MIN(WEEKNUM($K254+1,2)-WEEKNUM(EOMONTH($K254+1,-1)),4)&amp;TEXT($K254+1,"mmmyy"))</f>
        <v>W-48Jan26</v>
      </c>
      <c r="T254" s="1214">
        <f>Table1218[[#This Row],[CLOSING BALANCE 
(VND)]]/1000000000</f>
        <v>5</v>
      </c>
      <c r="U254"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Due in Jan</v>
      </c>
      <c r="V254" s="1220"/>
      <c r="W254" s="1112"/>
      <c r="X254" s="1115"/>
      <c r="Y254" s="1112"/>
      <c r="Z254" s="1221"/>
      <c r="AA254" s="1112" t="e">
        <v>#N/A</v>
      </c>
      <c r="AB254" s="1112"/>
      <c r="AC254" s="1112"/>
      <c r="AD254" s="1408" t="s">
        <v>1521</v>
      </c>
    </row>
    <row r="255" spans="1:30">
      <c r="A255" s="920">
        <f>IFERROR(VLOOKUP($C255,Table2[#All],3,0),0)</f>
        <v>0</v>
      </c>
      <c r="B255" s="921">
        <f>_xlfn.XLOOKUP(Table1218[[#This Row],[ACCOUNT NUMBER]],Table2[Account No.],Table2[BRANCH],"recheck",0)</f>
        <v>0</v>
      </c>
      <c r="C255" s="1143"/>
      <c r="E255" s="1129" t="s">
        <v>80</v>
      </c>
      <c r="F255" s="926"/>
      <c r="G255" s="926"/>
      <c r="H255" s="1129"/>
      <c r="I255" s="1267"/>
      <c r="J255" s="1267"/>
      <c r="K255" s="1130"/>
      <c r="L255" s="927"/>
      <c r="M255" s="922" t="e">
        <f>VLOOKUP($A255,Table1[[#All],[Entities]:[Name]],MATCH(M$3,Table1[[#Headers],[Entities]:[Name]],0),0)</f>
        <v>#N/A</v>
      </c>
      <c r="N255" s="922">
        <f>IFERROR(VLOOKUP(IFERROR(MID($O255,1,FIND("-",$O255)-2),O255),Table3[#All],2,0),0)</f>
        <v>0</v>
      </c>
      <c r="O255" s="923">
        <f>B255</f>
        <v>0</v>
      </c>
      <c r="P255" s="927"/>
      <c r="Q255" s="922"/>
      <c r="R255" s="922"/>
      <c r="S255" s="924" t="str">
        <f>IF(ISBLANK(Table1218[[#This Row],[Maturity date]]),"","W"&amp;MIN(WEEKNUM($K255+1,2)-WEEKNUM(EOMONTH($K255+1,-1)),4)&amp;TEXT($K255+1,"mmmyy"))</f>
        <v/>
      </c>
      <c r="T255" s="1214">
        <f>Table1218[[#This Row],[CLOSING BALANCE 
(VND)]]/1000000000</f>
        <v>0</v>
      </c>
      <c r="U255"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-1512 months</v>
      </c>
      <c r="V255" s="1220"/>
      <c r="W255" s="1112"/>
      <c r="X255" s="1115"/>
      <c r="Y255" s="1112"/>
      <c r="Z255" s="1221"/>
      <c r="AA255" s="1112" t="e">
        <v>#N/A</v>
      </c>
      <c r="AB255" s="1112"/>
      <c r="AC255" s="1112"/>
    </row>
    <row r="256" spans="1:30">
      <c r="A256" s="920">
        <f>IFERROR(VLOOKUP($C256,Table2[#All],3,0),0)</f>
        <v>0</v>
      </c>
      <c r="B256" s="921">
        <f>_xlfn.XLOOKUP(Table1218[[#This Row],[ACCOUNT NUMBER]],Table2[Account No.],Table2[BRANCH],"recheck",0)</f>
        <v>0</v>
      </c>
      <c r="C256" s="1143"/>
      <c r="E256" s="1129" t="s">
        <v>80</v>
      </c>
      <c r="F256" s="926"/>
      <c r="G256" s="926"/>
      <c r="H256" s="1129"/>
      <c r="I256" s="1267"/>
      <c r="J256" s="1267"/>
      <c r="K256" s="1130"/>
      <c r="L256" s="927"/>
      <c r="M256" s="922" t="e">
        <f>VLOOKUP($A256,Table1[[#All],[Entities]:[Name]],MATCH(M$3,Table1[[#Headers],[Entities]:[Name]],0),0)</f>
        <v>#N/A</v>
      </c>
      <c r="N256" s="922">
        <f>IFERROR(VLOOKUP(IFERROR(MID($O256,1,FIND("-",$O256)-2),O256),Table3[#All],2,0),0)</f>
        <v>0</v>
      </c>
      <c r="O256" s="923">
        <f>B256</f>
        <v>0</v>
      </c>
      <c r="P256" s="927"/>
      <c r="Q256" s="922"/>
      <c r="R256" s="922"/>
      <c r="S256" s="924" t="str">
        <f>IF(ISBLANK(Table1218[[#This Row],[Maturity date]]),"","W"&amp;MIN(WEEKNUM($K256+1,2)-WEEKNUM(EOMONTH($K256+1,-1)),4)&amp;TEXT($K256+1,"mmmyy"))</f>
        <v/>
      </c>
      <c r="T256" s="1214">
        <f>Table1218[[#This Row],[CLOSING BALANCE 
(VND)]]/1000000000</f>
        <v>0</v>
      </c>
      <c r="U256"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-1512 months</v>
      </c>
      <c r="V256" s="1220"/>
      <c r="W256" s="1112"/>
      <c r="X256" s="1115"/>
      <c r="Y256" s="1112"/>
      <c r="Z256" s="1221"/>
      <c r="AA256" s="1112" t="e">
        <v>#N/A</v>
      </c>
      <c r="AB256" s="1112"/>
      <c r="AC256" s="1112"/>
    </row>
    <row r="257" spans="1:29">
      <c r="A257" s="920">
        <f>IFERROR(VLOOKUP($C257,Table2[#All],3,0),0)</f>
        <v>0</v>
      </c>
      <c r="B257" s="921">
        <f>_xlfn.XLOOKUP(Table1218[[#This Row],[ACCOUNT NUMBER]],Table2[Account No.],Table2[BRANCH],"recheck",0)</f>
        <v>0</v>
      </c>
      <c r="C257" s="1143"/>
      <c r="E257" s="1129" t="s">
        <v>80</v>
      </c>
      <c r="F257" s="926"/>
      <c r="G257" s="926"/>
      <c r="H257" s="1129"/>
      <c r="I257" s="1267"/>
      <c r="J257" s="1267"/>
      <c r="K257" s="1130"/>
      <c r="L257" s="927"/>
      <c r="M257" s="922" t="e">
        <f>VLOOKUP($A257,Table1[[#All],[Entities]:[Name]],MATCH(M$3,Table1[[#Headers],[Entities]:[Name]],0),0)</f>
        <v>#N/A</v>
      </c>
      <c r="N257" s="922">
        <f>IFERROR(VLOOKUP(IFERROR(MID($O257,1,FIND("-",$O257)-2),O257),Table3[#All],2,0),0)</f>
        <v>0</v>
      </c>
      <c r="O257" s="923">
        <f>B257</f>
        <v>0</v>
      </c>
      <c r="P257" s="927"/>
      <c r="Q257" s="922"/>
      <c r="R257" s="922"/>
      <c r="S257" s="924" t="str">
        <f>IF(ISBLANK(Table1218[[#This Row],[Maturity date]]),"","W"&amp;MIN(WEEKNUM($K257+1,2)-WEEKNUM(EOMONTH($K257+1,-1)),4)&amp;TEXT($K257+1,"mmmyy"))</f>
        <v/>
      </c>
      <c r="T257" s="1214">
        <f>Table1218[[#This Row],[CLOSING BALANCE 
(VND)]]/1000000000</f>
        <v>0</v>
      </c>
      <c r="U257"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-1512 months</v>
      </c>
      <c r="V257" s="1220"/>
      <c r="W257" s="1112"/>
      <c r="X257" s="1115"/>
      <c r="Y257" s="1112"/>
      <c r="Z257" s="1221"/>
      <c r="AA257" s="1112" t="e">
        <v>#N/A</v>
      </c>
      <c r="AB257" s="1112"/>
      <c r="AC257" s="1112"/>
    </row>
    <row r="258" spans="1:29">
      <c r="A258" s="920">
        <f>IFERROR(VLOOKUP($C258,Table2[#All],3,0),0)</f>
        <v>0</v>
      </c>
      <c r="B258" s="921">
        <f>_xlfn.XLOOKUP(Table1218[[#This Row],[ACCOUNT NUMBER]],Table2[Account No.],Table2[BRANCH],"recheck",0)</f>
        <v>0</v>
      </c>
      <c r="C258" s="1143"/>
      <c r="E258" s="1267" t="s">
        <v>80</v>
      </c>
      <c r="F258" s="926">
        <f>SUMIFS(Table11[CLOSING BALANCE (VND)2],Table11[ACCOUNT NUMBER],Table1218[[#This Row],[ACCOUNT NUMBER]],Table11[CURRENCY],Table1218[[#This Row],[CURRENCY]])</f>
        <v>0</v>
      </c>
      <c r="G258" s="926"/>
      <c r="H258" s="1129"/>
      <c r="I258" s="1267"/>
      <c r="J258" s="1267"/>
      <c r="K258" s="1130"/>
      <c r="L258" s="927"/>
      <c r="M258" s="922" t="e">
        <f>VLOOKUP($A258,Table1[[#All],[Entities]:[Name]],MATCH(M$3,Table1[[#Headers],[Entities]:[Name]],0),0)</f>
        <v>#N/A</v>
      </c>
      <c r="N258" s="922">
        <f>IFERROR(VLOOKUP(IFERROR(MID($O258,1,FIND("-",$O258)-2),O258),Table3[#All],2,0),0)</f>
        <v>0</v>
      </c>
      <c r="O258" s="923">
        <f t="shared" si="15"/>
        <v>0</v>
      </c>
      <c r="P258" s="927"/>
      <c r="Q258" s="922"/>
      <c r="R258" s="922"/>
      <c r="S258" s="924" t="str">
        <f>IF(ISBLANK(Table1218[[#This Row],[Maturity date]]),"","W"&amp;MIN(WEEKNUM($K258+1,2)-WEEKNUM(EOMONTH($K258+1,-1)),4)&amp;TEXT($K258+1,"mmmyy"))</f>
        <v/>
      </c>
      <c r="T258" s="1214">
        <f>Table1218[[#This Row],[CLOSING BALANCE 
(VND)]]/1000000000</f>
        <v>0</v>
      </c>
      <c r="U258"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-1512 months</v>
      </c>
      <c r="V258" s="1220"/>
      <c r="W258" s="1112"/>
      <c r="X258" s="1115"/>
      <c r="Y258" s="1112"/>
      <c r="Z258" s="1221"/>
      <c r="AA258" s="1112" t="e">
        <v>#N/A</v>
      </c>
      <c r="AB258" s="1112"/>
      <c r="AC258" s="1112"/>
    </row>
    <row r="259" spans="1:29">
      <c r="A259" s="920">
        <f>IFERROR(VLOOKUP($C259,Table2[#All],3,0),0)</f>
        <v>0</v>
      </c>
      <c r="B259" s="921">
        <f>_xlfn.XLOOKUP(Table1218[[#This Row],[ACCOUNT NUMBER]],Table2[Account No.],Table2[BRANCH],"recheck",0)</f>
        <v>0</v>
      </c>
      <c r="C259" s="1332"/>
      <c r="E259" s="1267" t="s">
        <v>80</v>
      </c>
      <c r="F259" s="926">
        <f>SUMIFS(Table11[CLOSING BALANCE (VND)2],Table11[ACCOUNT NUMBER],Table1218[[#This Row],[ACCOUNT NUMBER]],Table11[CURRENCY],Table1218[[#This Row],[CURRENCY]])</f>
        <v>0</v>
      </c>
      <c r="G259" s="926"/>
      <c r="H259" s="1129"/>
      <c r="I259" s="1267"/>
      <c r="J259" s="1267"/>
      <c r="K259" s="1130"/>
      <c r="L259" s="927"/>
      <c r="M259" s="922" t="e">
        <f>VLOOKUP($A259,Table1[[#All],[Entities]:[Name]],MATCH(M$3,Table1[[#Headers],[Entities]:[Name]],0),0)</f>
        <v>#N/A</v>
      </c>
      <c r="N259" s="922">
        <f>IFERROR(VLOOKUP(IFERROR(MID($O259,1,FIND("-",$O259)-2),O259),Table3[#All],2,0),0)</f>
        <v>0</v>
      </c>
      <c r="O259" s="923">
        <f>B259</f>
        <v>0</v>
      </c>
      <c r="P259" s="927"/>
      <c r="Q259" s="922"/>
      <c r="R259" s="922"/>
      <c r="S259" s="924" t="str">
        <f>IF(ISBLANK(Table1218[[#This Row],[Maturity date]]),"","W"&amp;MIN(WEEKNUM($K259+1,2)-WEEKNUM(EOMONTH($K259+1,-1)),4)&amp;TEXT($K259+1,"mmmyy"))</f>
        <v/>
      </c>
      <c r="T259" s="1214">
        <f>Table1218[[#This Row],[CLOSING BALANCE 
(VND)]]/1000000000</f>
        <v>0</v>
      </c>
      <c r="U259" s="1214" t="str">
        <f>IF((MONTH(Table1218[[#This Row],[Maturity date]])-MONTH(Summary!$B$6))+(YEAR(Table1218[[#This Row],[Maturity date]])-YEAR(Summary!$B$6))*12=0,"Due in "&amp;TEXT(Summary!$B$6,"mmm"),TEXT("Next "&amp;(MONTH(Table1218[[#This Row],[Maturity date]])-MONTH(Summary!$B$6))+(YEAR(Table1218[[#This Row],[Maturity date]])-YEAR(Summary!$B$6))*12,"#0")&amp;IF((MONTH(Table1218[[#This Row],[Maturity date]])-MONTH(Summary!$B$6))+(YEAR(Table1218[[#This Row],[Maturity date]])-YEAR(Summary!$B$6))*12=1," month"," months"))</f>
        <v>Next -1512 months</v>
      </c>
      <c r="V259" s="1220"/>
      <c r="W259" s="1112"/>
      <c r="X259" s="1115"/>
      <c r="Y259" s="1112"/>
      <c r="Z259" s="1221"/>
      <c r="AA259" s="1112" t="e">
        <v>#N/A</v>
      </c>
      <c r="AB259" s="1112"/>
      <c r="AC259" s="1112"/>
    </row>
    <row r="261" spans="1:29">
      <c r="F261" s="759"/>
    </row>
    <row r="262" spans="1:29">
      <c r="F262" s="759"/>
    </row>
  </sheetData>
  <sortState xmlns:xlrd2="http://schemas.microsoft.com/office/spreadsheetml/2017/richdata2" ref="A4:P9">
    <sortCondition ref="H4:H9"/>
    <sortCondition descending="1" ref="F4:F9"/>
    <sortCondition descending="1" ref="L4:L9"/>
  </sortState>
  <phoneticPr fontId="132" type="noConversion"/>
  <conditionalFormatting sqref="C1:C1048576">
    <cfRule type="duplicateValues" dxfId="10" priority="5"/>
  </conditionalFormatting>
  <conditionalFormatting sqref="C4:C167">
    <cfRule type="duplicateValues" dxfId="9" priority="3575"/>
  </conditionalFormatting>
  <conditionalFormatting sqref="C250:C257">
    <cfRule type="duplicateValues" dxfId="8" priority="1"/>
  </conditionalFormatting>
  <conditionalFormatting sqref="L4:L259">
    <cfRule type="expression" dxfId="7" priority="11">
      <formula>L4&lt;P4</formula>
    </cfRule>
  </conditionalFormatting>
  <pageMargins left="0.7" right="0.7" top="0.75" bottom="0.75" header="0.3" footer="0.3"/>
  <pageSetup orientation="portrait" r:id="rId1"/>
  <legacyDrawing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4F1D-18D4-4C8E-B2F2-5C5639D65F9B}">
  <sheetPr codeName="Sheet2">
    <tabColor theme="9" tint="0.39997558519241921"/>
  </sheetPr>
  <dimension ref="A1:V2999"/>
  <sheetViews>
    <sheetView showGridLines="0" topLeftCell="E1" zoomScale="80" zoomScaleNormal="80" workbookViewId="0">
      <pane ySplit="3" topLeftCell="A917" activePane="bottomLeft" state="frozen"/>
      <selection pane="bottomLeft" activeCell="E943" sqref="E943"/>
    </sheetView>
  </sheetViews>
  <sheetFormatPr defaultColWidth="8.5546875" defaultRowHeight="14.4" zeroHeight="1"/>
  <cols>
    <col min="1" max="1" width="12.5546875" style="1018" bestFit="1" customWidth="1"/>
    <col min="2" max="2" width="11" style="1019" bestFit="1" customWidth="1"/>
    <col min="3" max="3" width="19.21875" style="1076" customWidth="1"/>
    <col min="4" max="4" width="18.5546875" style="1387" bestFit="1" customWidth="1"/>
    <col min="5" max="5" width="91" style="1018" customWidth="1"/>
    <col min="6" max="6" width="20.5546875" style="1308" bestFit="1" customWidth="1"/>
    <col min="7" max="7" width="20.5546875" style="1312" bestFit="1" customWidth="1"/>
    <col min="8" max="8" width="21.21875" style="1082" bestFit="1" customWidth="1"/>
    <col min="9" max="9" width="27.44140625" style="1018" customWidth="1"/>
    <col min="10" max="10" width="32.44140625" style="1018" bestFit="1" customWidth="1"/>
    <col min="11" max="11" width="14.77734375" style="1018" bestFit="1" customWidth="1"/>
    <col min="12" max="12" width="32.44140625" style="1018" customWidth="1"/>
    <col min="13" max="13" width="15.44140625" style="1019" bestFit="1" customWidth="1"/>
    <col min="14" max="14" width="18.21875" style="1019" bestFit="1" customWidth="1"/>
    <col min="15" max="15" width="12.5546875" style="1019" bestFit="1" customWidth="1"/>
    <col min="16" max="16" width="17.44140625" style="1018" bestFit="1" customWidth="1"/>
    <col min="17" max="17" width="16" style="1018" customWidth="1"/>
    <col min="18" max="16384" width="8.5546875" style="1018"/>
  </cols>
  <sheetData>
    <row r="1" spans="1:16">
      <c r="C1" s="1242" t="s">
        <v>1552</v>
      </c>
      <c r="E1" s="1111"/>
      <c r="F1" s="1308" t="s">
        <v>1553</v>
      </c>
      <c r="G1" s="1308" t="s">
        <v>1554</v>
      </c>
      <c r="H1" s="1017"/>
    </row>
    <row r="2" spans="1:16" s="103" customFormat="1">
      <c r="B2" s="460"/>
      <c r="C2" s="1243" t="s">
        <v>1555</v>
      </c>
      <c r="D2" s="1388"/>
      <c r="E2" s="1219">
        <f>F2-G2</f>
        <v>123745304410.75024</v>
      </c>
      <c r="F2" s="1309">
        <f>SUBTOTAL(9,F4:F2136)</f>
        <v>1904087445910.95</v>
      </c>
      <c r="G2" s="1309">
        <f>SUBTOTAL(9,G4:G2136)</f>
        <v>1780342141500.1997</v>
      </c>
      <c r="H2" s="1020">
        <f>F2-G2</f>
        <v>123745304410.75024</v>
      </c>
      <c r="I2" s="1021">
        <f>H2/Fx</f>
        <v>4727614.3041356346</v>
      </c>
      <c r="J2" s="1022"/>
      <c r="K2" s="1023"/>
      <c r="L2" s="1024"/>
    </row>
    <row r="3" spans="1:16" s="103" customFormat="1">
      <c r="A3" s="42" t="s">
        <v>372</v>
      </c>
      <c r="B3" s="918" t="s">
        <v>69</v>
      </c>
      <c r="C3" s="918" t="s">
        <v>1556</v>
      </c>
      <c r="D3" s="918" t="s">
        <v>178</v>
      </c>
      <c r="E3" s="918" t="s">
        <v>1557</v>
      </c>
      <c r="F3" s="1310" t="s">
        <v>1558</v>
      </c>
      <c r="G3" s="1310" t="s">
        <v>1559</v>
      </c>
      <c r="H3" s="917" t="s">
        <v>1560</v>
      </c>
      <c r="I3" s="917" t="s">
        <v>1561</v>
      </c>
      <c r="J3" s="917" t="s">
        <v>128</v>
      </c>
      <c r="K3" s="917" t="s">
        <v>175</v>
      </c>
      <c r="L3" s="917" t="s">
        <v>1562</v>
      </c>
      <c r="M3" s="917" t="s">
        <v>1563</v>
      </c>
      <c r="N3" s="917" t="s">
        <v>1564</v>
      </c>
      <c r="O3" s="917" t="s">
        <v>1565</v>
      </c>
      <c r="P3" s="917" t="s">
        <v>1566</v>
      </c>
    </row>
    <row r="4" spans="1:16">
      <c r="A4" s="1018" t="s">
        <v>1567</v>
      </c>
      <c r="B4" s="460" t="s">
        <v>112</v>
      </c>
      <c r="C4" s="1092" t="s">
        <v>575</v>
      </c>
      <c r="D4" s="1389">
        <v>46027</v>
      </c>
      <c r="E4" t="s">
        <v>1568</v>
      </c>
      <c r="F4" s="1311">
        <v>6705.95</v>
      </c>
      <c r="G4" s="1311">
        <v>0</v>
      </c>
      <c r="H4" s="1082">
        <f t="shared" ref="H4:H67" si="0">F4-G4</f>
        <v>6705.95</v>
      </c>
      <c r="I4" s="1333" t="s">
        <v>44</v>
      </c>
      <c r="J4" s="1334" t="str">
        <f>VLOOKUP(C4,Acc_Char!B:K,3,)</f>
        <v>BW SUPLLY CHAIN CITY</v>
      </c>
      <c r="K4" s="1334" t="str">
        <f>VLOOKUP(C4,Acc_Char!B:K,7,)</f>
        <v>Subsidiaries</v>
      </c>
      <c r="L4" s="1334" t="str">
        <f t="shared" ref="L4" si="1">I4</f>
        <v>Other receipts</v>
      </c>
      <c r="M4" s="1335" t="str">
        <f>VLOOKUP(C4,Acc_Char!B:K,5,)</f>
        <v>USD</v>
      </c>
      <c r="N4" s="1335" t="str">
        <f>VLOOKUP(C4,Acc_Char!B:K,6,)</f>
        <v>Current Account</v>
      </c>
      <c r="O4" s="1336" t="str">
        <f>Summary!$B$4</f>
        <v>W1-2Jan26</v>
      </c>
      <c r="P4" s="1334" t="str">
        <f t="shared" ref="P4" si="2">TEXT(C4,"0")</f>
        <v>1018291778</v>
      </c>
    </row>
    <row r="5" spans="1:16">
      <c r="A5" s="1018" t="s">
        <v>1567</v>
      </c>
      <c r="B5" s="460" t="s">
        <v>112</v>
      </c>
      <c r="C5" s="1092" t="s">
        <v>574</v>
      </c>
      <c r="D5" s="1389">
        <v>46027</v>
      </c>
      <c r="E5" t="s">
        <v>1568</v>
      </c>
      <c r="F5" s="1311">
        <v>0</v>
      </c>
      <c r="G5" s="1311">
        <v>176902920</v>
      </c>
      <c r="H5" s="1082">
        <f t="shared" si="0"/>
        <v>-176902920</v>
      </c>
      <c r="I5" s="1333" t="s">
        <v>53</v>
      </c>
      <c r="J5" s="1334" t="str">
        <f>VLOOKUP(C5,Acc_Char!B:K,3,)</f>
        <v>BW SUPLLY CHAIN CITY</v>
      </c>
      <c r="K5" s="1334" t="str">
        <f>VLOOKUP(C5,Acc_Char!B:K,7,)</f>
        <v>Subsidiaries</v>
      </c>
      <c r="L5" s="1334" t="str">
        <f t="shared" ref="L5:L68" si="3">I5</f>
        <v>Operating expense</v>
      </c>
      <c r="M5" s="1335" t="str">
        <f>VLOOKUP(C5,Acc_Char!B:K,5,)</f>
        <v>VND</v>
      </c>
      <c r="N5" s="1335" t="str">
        <f>VLOOKUP(C5,Acc_Char!B:K,6,)</f>
        <v>Current Account</v>
      </c>
      <c r="O5" s="1336" t="str">
        <f>Summary!$B$4</f>
        <v>W1-2Jan26</v>
      </c>
      <c r="P5" s="1334" t="str">
        <f t="shared" ref="P5:P68" si="4">TEXT(C5,"0")</f>
        <v>1018291733</v>
      </c>
    </row>
    <row r="6" spans="1:16" ht="28.8">
      <c r="A6" s="1018" t="s">
        <v>1567</v>
      </c>
      <c r="B6" s="460" t="s">
        <v>112</v>
      </c>
      <c r="C6" s="1092" t="s">
        <v>1408</v>
      </c>
      <c r="D6" s="1389">
        <v>46035</v>
      </c>
      <c r="E6" s="1337" t="s">
        <v>1569</v>
      </c>
      <c r="F6" s="1311">
        <v>12003200</v>
      </c>
      <c r="G6" s="1311">
        <v>0</v>
      </c>
      <c r="H6" s="1082">
        <f t="shared" si="0"/>
        <v>12003200</v>
      </c>
      <c r="I6" s="1333" t="s">
        <v>39</v>
      </c>
      <c r="J6" s="1334" t="str">
        <f>VLOOKUP(C6,Acc_Char!B:K,3,)</f>
        <v>LONG BINH</v>
      </c>
      <c r="K6" s="1334" t="str">
        <f>VLOOKUP(C6,Acc_Char!B:K,7,)</f>
        <v>Subsidiaries</v>
      </c>
      <c r="L6" s="1334" t="str">
        <f t="shared" si="3"/>
        <v>Receipt from tenants</v>
      </c>
      <c r="M6" s="1335" t="str">
        <f>VLOOKUP(C6,Acc_Char!B:K,5,)</f>
        <v>VND</v>
      </c>
      <c r="N6" s="1335" t="str">
        <f>VLOOKUP(C6,Acc_Char!B:K,6,)</f>
        <v>Current Account</v>
      </c>
      <c r="O6" s="1336" t="str">
        <f>Summary!$B$4</f>
        <v>W1-2Jan26</v>
      </c>
      <c r="P6" s="1334" t="str">
        <f t="shared" si="4"/>
        <v>1060629524</v>
      </c>
    </row>
    <row r="7" spans="1:16" ht="26.4">
      <c r="A7" s="1018" t="s">
        <v>1567</v>
      </c>
      <c r="B7" s="1335" t="s">
        <v>112</v>
      </c>
      <c r="C7" s="1092" t="s">
        <v>762</v>
      </c>
      <c r="D7" s="1389">
        <v>46030</v>
      </c>
      <c r="E7" s="1338" t="s">
        <v>1570</v>
      </c>
      <c r="F7" s="1312">
        <v>1183202343</v>
      </c>
      <c r="G7" s="1312">
        <v>0</v>
      </c>
      <c r="H7" s="1082">
        <f t="shared" si="0"/>
        <v>1183202343</v>
      </c>
      <c r="I7" s="1333" t="s">
        <v>39</v>
      </c>
      <c r="J7" s="1334" t="str">
        <f>VLOOKUP(C7,Acc_Char!B:K,3,)</f>
        <v>THUAN THANH 3B</v>
      </c>
      <c r="K7" s="1334" t="str">
        <f>VLOOKUP(C7,Acc_Char!B:K,7,)</f>
        <v>Subsidiaries</v>
      </c>
      <c r="L7" s="1334" t="str">
        <f t="shared" si="3"/>
        <v>Receipt from tenants</v>
      </c>
      <c r="M7" s="1335" t="str">
        <f>VLOOKUP(C7,Acc_Char!B:K,5,)</f>
        <v>VND</v>
      </c>
      <c r="N7" s="1335" t="str">
        <f>VLOOKUP(C7,Acc_Char!B:K,6,)</f>
        <v>Current Account</v>
      </c>
      <c r="O7" s="1336" t="str">
        <f>Summary!$B$4</f>
        <v>W1-2Jan26</v>
      </c>
      <c r="P7" s="1334" t="str">
        <f t="shared" si="4"/>
        <v>9020128888</v>
      </c>
    </row>
    <row r="8" spans="1:16" ht="26.4">
      <c r="A8" s="1018" t="s">
        <v>1567</v>
      </c>
      <c r="B8" s="1335" t="s">
        <v>112</v>
      </c>
      <c r="C8" s="1092" t="s">
        <v>1408</v>
      </c>
      <c r="D8" s="1389">
        <v>46027</v>
      </c>
      <c r="E8" s="1338" t="s">
        <v>1571</v>
      </c>
      <c r="F8" s="1312">
        <v>4452800</v>
      </c>
      <c r="G8" s="1312">
        <v>0</v>
      </c>
      <c r="H8" s="1082">
        <f t="shared" si="0"/>
        <v>4452800</v>
      </c>
      <c r="I8" s="1333" t="s">
        <v>39</v>
      </c>
      <c r="J8" s="1334" t="str">
        <f>VLOOKUP(C8,Acc_Char!B:K,3,)</f>
        <v>LONG BINH</v>
      </c>
      <c r="K8" s="1334" t="str">
        <f>VLOOKUP(C8,Acc_Char!B:K,7,)</f>
        <v>Subsidiaries</v>
      </c>
      <c r="L8" s="1334" t="str">
        <f t="shared" si="3"/>
        <v>Receipt from tenants</v>
      </c>
      <c r="M8" s="1335" t="str">
        <f>VLOOKUP(C8,Acc_Char!B:K,5,)</f>
        <v>VND</v>
      </c>
      <c r="N8" s="1335" t="str">
        <f>VLOOKUP(C8,Acc_Char!B:K,6,)</f>
        <v>Current Account</v>
      </c>
      <c r="O8" s="1336" t="str">
        <f>Summary!$B$4</f>
        <v>W1-2Jan26</v>
      </c>
      <c r="P8" s="1334" t="str">
        <f t="shared" si="4"/>
        <v>1060629524</v>
      </c>
    </row>
    <row r="9" spans="1:16" ht="28.8">
      <c r="A9" s="1018" t="s">
        <v>1567</v>
      </c>
      <c r="B9" s="460" t="s">
        <v>112</v>
      </c>
      <c r="C9" s="1092" t="s">
        <v>1252</v>
      </c>
      <c r="D9" s="1389">
        <v>46031</v>
      </c>
      <c r="E9" s="1339" t="s">
        <v>1572</v>
      </c>
      <c r="F9" s="1311">
        <v>20802679416</v>
      </c>
      <c r="G9" s="1311">
        <v>0</v>
      </c>
      <c r="H9" s="1082">
        <f t="shared" si="0"/>
        <v>20802679416</v>
      </c>
      <c r="I9" s="1333" t="s">
        <v>39</v>
      </c>
      <c r="J9" s="1334" t="str">
        <f>VLOOKUP(C9,Acc_Char!B:K,3,)</f>
        <v>BWID THOI HOA</v>
      </c>
      <c r="K9" s="1334" t="str">
        <f>VLOOKUP(C9,Acc_Char!B:K,7,)</f>
        <v>Subsidiaries</v>
      </c>
      <c r="L9" s="1334" t="str">
        <f t="shared" si="3"/>
        <v>Receipt from tenants</v>
      </c>
      <c r="M9" s="1335" t="str">
        <f>VLOOKUP(C9,Acc_Char!B:K,5,)</f>
        <v>VND</v>
      </c>
      <c r="N9" s="1335" t="str">
        <f>VLOOKUP(C9,Acc_Char!B:K,6,)</f>
        <v>Current Account</v>
      </c>
      <c r="O9" s="1336" t="str">
        <f>Summary!$B$4</f>
        <v>W1-2Jan26</v>
      </c>
      <c r="P9" s="1334" t="str">
        <f t="shared" si="4"/>
        <v>1057270760</v>
      </c>
    </row>
    <row r="10" spans="1:16" ht="28.8">
      <c r="A10" s="1018" t="s">
        <v>1567</v>
      </c>
      <c r="B10" s="460" t="s">
        <v>112</v>
      </c>
      <c r="C10" s="1092" t="s">
        <v>1252</v>
      </c>
      <c r="D10" s="1389">
        <v>46031</v>
      </c>
      <c r="E10" s="1339" t="s">
        <v>1573</v>
      </c>
      <c r="F10" s="1311">
        <v>422188960</v>
      </c>
      <c r="G10" s="1311">
        <v>0</v>
      </c>
      <c r="H10" s="1082">
        <f t="shared" si="0"/>
        <v>422188960</v>
      </c>
      <c r="I10" s="1333" t="s">
        <v>39</v>
      </c>
      <c r="J10" s="1334" t="str">
        <f>VLOOKUP(C10,Acc_Char!B:K,3,)</f>
        <v>BWID THOI HOA</v>
      </c>
      <c r="K10" s="1334" t="str">
        <f>VLOOKUP(C10,Acc_Char!B:K,7,)</f>
        <v>Subsidiaries</v>
      </c>
      <c r="L10" s="1334" t="str">
        <f t="shared" si="3"/>
        <v>Receipt from tenants</v>
      </c>
      <c r="M10" s="1335" t="str">
        <f>VLOOKUP(C10,Acc_Char!B:K,5,)</f>
        <v>VND</v>
      </c>
      <c r="N10" s="1335" t="str">
        <f>VLOOKUP(C10,Acc_Char!B:K,6,)</f>
        <v>Current Account</v>
      </c>
      <c r="O10" s="1336" t="str">
        <f>Summary!$B$4</f>
        <v>W1-2Jan26</v>
      </c>
      <c r="P10" s="1334" t="str">
        <f t="shared" si="4"/>
        <v>1057270760</v>
      </c>
    </row>
    <row r="11" spans="1:16" ht="28.8">
      <c r="A11" s="1018" t="s">
        <v>1567</v>
      </c>
      <c r="B11" s="460" t="s">
        <v>112</v>
      </c>
      <c r="C11" s="1092" t="s">
        <v>574</v>
      </c>
      <c r="D11" s="1389">
        <v>46029</v>
      </c>
      <c r="E11" s="1339" t="s">
        <v>1574</v>
      </c>
      <c r="F11" s="1311">
        <v>1150400160</v>
      </c>
      <c r="G11" s="1311">
        <v>0</v>
      </c>
      <c r="H11" s="1082">
        <f t="shared" si="0"/>
        <v>1150400160</v>
      </c>
      <c r="I11" s="1333" t="s">
        <v>39</v>
      </c>
      <c r="J11" s="1334" t="str">
        <f>VLOOKUP(C11,Acc_Char!B:K,3,)</f>
        <v>BW SUPLLY CHAIN CITY</v>
      </c>
      <c r="K11" s="1334" t="str">
        <f>VLOOKUP(C11,Acc_Char!B:K,7,)</f>
        <v>Subsidiaries</v>
      </c>
      <c r="L11" s="1334" t="str">
        <f t="shared" si="3"/>
        <v>Receipt from tenants</v>
      </c>
      <c r="M11" s="1335" t="str">
        <f>VLOOKUP(C11,Acc_Char!B:K,5,)</f>
        <v>VND</v>
      </c>
      <c r="N11" s="1335" t="str">
        <f>VLOOKUP(C11,Acc_Char!B:K,6,)</f>
        <v>Current Account</v>
      </c>
      <c r="O11" s="1336" t="str">
        <f>Summary!$B$4</f>
        <v>W1-2Jan26</v>
      </c>
      <c r="P11" s="1334" t="str">
        <f t="shared" si="4"/>
        <v>1018291733</v>
      </c>
    </row>
    <row r="12" spans="1:16" ht="28.8">
      <c r="A12" s="1018" t="s">
        <v>1567</v>
      </c>
      <c r="B12" s="460" t="s">
        <v>112</v>
      </c>
      <c r="C12" s="1092" t="s">
        <v>529</v>
      </c>
      <c r="D12" s="1389">
        <v>46030</v>
      </c>
      <c r="E12" s="1339" t="s">
        <v>1575</v>
      </c>
      <c r="F12" s="1311">
        <v>9963006</v>
      </c>
      <c r="G12" s="1311">
        <v>0</v>
      </c>
      <c r="H12" s="1082">
        <f t="shared" si="0"/>
        <v>9963006</v>
      </c>
      <c r="I12" s="1333" t="s">
        <v>39</v>
      </c>
      <c r="J12" s="1334" t="str">
        <f>VLOOKUP(C12,Acc_Char!B:K,3,)</f>
        <v>BWID LOGISTICS TAN UYEN</v>
      </c>
      <c r="K12" s="1334" t="str">
        <f>VLOOKUP(C12,Acc_Char!B:K,7,)</f>
        <v>Subsidiaries</v>
      </c>
      <c r="L12" s="1334" t="str">
        <f t="shared" si="3"/>
        <v>Receipt from tenants</v>
      </c>
      <c r="M12" s="1335" t="str">
        <f>VLOOKUP(C12,Acc_Char!B:K,5,)</f>
        <v>VND</v>
      </c>
      <c r="N12" s="1335" t="str">
        <f>VLOOKUP(C12,Acc_Char!B:K,6,)</f>
        <v>Current Account</v>
      </c>
      <c r="O12" s="1336" t="str">
        <f>Summary!$B$4</f>
        <v>W1-2Jan26</v>
      </c>
      <c r="P12" s="1334" t="str">
        <f t="shared" si="4"/>
        <v>1018776868</v>
      </c>
    </row>
    <row r="13" spans="1:16" ht="28.8">
      <c r="A13" s="1018" t="s">
        <v>1567</v>
      </c>
      <c r="B13" s="460" t="s">
        <v>112</v>
      </c>
      <c r="C13" s="1092" t="s">
        <v>809</v>
      </c>
      <c r="D13" s="1389">
        <v>46031</v>
      </c>
      <c r="E13" s="1339" t="s">
        <v>1576</v>
      </c>
      <c r="F13" s="1311">
        <v>1810259084</v>
      </c>
      <c r="G13" s="1311">
        <v>0</v>
      </c>
      <c r="H13" s="1082">
        <f t="shared" si="0"/>
        <v>1810259084</v>
      </c>
      <c r="I13" s="1333" t="s">
        <v>39</v>
      </c>
      <c r="J13" s="1334" t="str">
        <f>VLOOKUP(C13,Acc_Char!B:K,3,)</f>
        <v>BW SAIGON LOGISTICS</v>
      </c>
      <c r="K13" s="1334" t="str">
        <f>VLOOKUP(C13,Acc_Char!B:K,7,)</f>
        <v>Subsidiaries</v>
      </c>
      <c r="L13" s="1334" t="str">
        <f t="shared" si="3"/>
        <v>Receipt from tenants</v>
      </c>
      <c r="M13" s="1335" t="str">
        <f>VLOOKUP(C13,Acc_Char!B:K,5,)</f>
        <v>VND</v>
      </c>
      <c r="N13" s="1335" t="str">
        <f>VLOOKUP(C13,Acc_Char!B:K,6,)</f>
        <v>Current Account</v>
      </c>
      <c r="O13" s="1336" t="str">
        <f>Summary!$B$4</f>
        <v>W1-2Jan26</v>
      </c>
      <c r="P13" s="1334" t="str">
        <f t="shared" si="4"/>
        <v>1038935148</v>
      </c>
    </row>
    <row r="14" spans="1:16" ht="28.8">
      <c r="A14" s="1018" t="s">
        <v>1567</v>
      </c>
      <c r="B14" s="460" t="s">
        <v>112</v>
      </c>
      <c r="C14" s="1092" t="s">
        <v>574</v>
      </c>
      <c r="D14" s="1389">
        <v>46037</v>
      </c>
      <c r="E14" s="1339" t="s">
        <v>1577</v>
      </c>
      <c r="F14" s="1311">
        <v>157840202</v>
      </c>
      <c r="G14" s="1311">
        <v>0</v>
      </c>
      <c r="H14" s="1082">
        <f t="shared" si="0"/>
        <v>157840202</v>
      </c>
      <c r="I14" s="1333" t="s">
        <v>39</v>
      </c>
      <c r="J14" s="1334" t="str">
        <f>VLOOKUP(C14,Acc_Char!B:K,3,)</f>
        <v>BW SUPLLY CHAIN CITY</v>
      </c>
      <c r="K14" s="1334" t="str">
        <f>VLOOKUP(C14,Acc_Char!B:K,7,)</f>
        <v>Subsidiaries</v>
      </c>
      <c r="L14" s="1334" t="str">
        <f t="shared" si="3"/>
        <v>Receipt from tenants</v>
      </c>
      <c r="M14" s="1335" t="str">
        <f>VLOOKUP(C14,Acc_Char!B:K,5,)</f>
        <v>VND</v>
      </c>
      <c r="N14" s="1335" t="str">
        <f>VLOOKUP(C14,Acc_Char!B:K,6,)</f>
        <v>Current Account</v>
      </c>
      <c r="O14" s="1336" t="str">
        <f>Summary!$B$4</f>
        <v>W1-2Jan26</v>
      </c>
      <c r="P14" s="1334" t="str">
        <f t="shared" si="4"/>
        <v>1018291733</v>
      </c>
    </row>
    <row r="15" spans="1:16" ht="28.8">
      <c r="A15" s="1018" t="s">
        <v>1567</v>
      </c>
      <c r="B15" s="460" t="s">
        <v>112</v>
      </c>
      <c r="C15" s="1092" t="s">
        <v>1408</v>
      </c>
      <c r="D15" s="1389">
        <v>46037</v>
      </c>
      <c r="E15" s="1339" t="s">
        <v>1578</v>
      </c>
      <c r="F15" s="1311">
        <v>599623362</v>
      </c>
      <c r="G15" s="1313">
        <v>0</v>
      </c>
      <c r="H15" s="1082">
        <f t="shared" si="0"/>
        <v>599623362</v>
      </c>
      <c r="I15" s="1333" t="s">
        <v>39</v>
      </c>
      <c r="J15" s="1334" t="str">
        <f>VLOOKUP(C15,Acc_Char!B:K,3,)</f>
        <v>LONG BINH</v>
      </c>
      <c r="K15" s="1334" t="str">
        <f>VLOOKUP(C15,Acc_Char!B:K,7,)</f>
        <v>Subsidiaries</v>
      </c>
      <c r="L15" s="1334" t="str">
        <f t="shared" si="3"/>
        <v>Receipt from tenants</v>
      </c>
      <c r="M15" s="1335" t="str">
        <f>VLOOKUP(C15,Acc_Char!B:K,5,)</f>
        <v>VND</v>
      </c>
      <c r="N15" s="1335" t="str">
        <f>VLOOKUP(C15,Acc_Char!B:K,6,)</f>
        <v>Current Account</v>
      </c>
      <c r="O15" s="1336" t="str">
        <f>Summary!$B$4</f>
        <v>W1-2Jan26</v>
      </c>
      <c r="P15" s="1334" t="str">
        <f t="shared" si="4"/>
        <v>1060629524</v>
      </c>
    </row>
    <row r="16" spans="1:16">
      <c r="A16" s="1018" t="s">
        <v>1567</v>
      </c>
      <c r="B16" s="460" t="s">
        <v>112</v>
      </c>
      <c r="C16" s="1092" t="s">
        <v>514</v>
      </c>
      <c r="D16" s="1389">
        <v>46035</v>
      </c>
      <c r="E16" s="1339" t="s">
        <v>1579</v>
      </c>
      <c r="F16" s="1311">
        <v>18221534</v>
      </c>
      <c r="G16" s="1311">
        <v>0</v>
      </c>
      <c r="H16" s="1082">
        <f t="shared" si="0"/>
        <v>18221534</v>
      </c>
      <c r="I16" s="1333" t="s">
        <v>39</v>
      </c>
      <c r="J16" s="1334" t="str">
        <f>VLOOKUP(C16,Acc_Char!B:K,3,)</f>
        <v>BWID NHON TRACH</v>
      </c>
      <c r="K16" s="1334" t="str">
        <f>VLOOKUP(C16,Acc_Char!B:K,7,)</f>
        <v>Subsidiaries</v>
      </c>
      <c r="L16" s="1334" t="str">
        <f t="shared" si="3"/>
        <v>Receipt from tenants</v>
      </c>
      <c r="M16" s="1335" t="str">
        <f>VLOOKUP(C16,Acc_Char!B:K,5,)</f>
        <v>VND</v>
      </c>
      <c r="N16" s="1335" t="str">
        <f>VLOOKUP(C16,Acc_Char!B:K,6,)</f>
        <v>Current Account</v>
      </c>
      <c r="O16" s="1336" t="str">
        <f>Summary!$B$4</f>
        <v>W1-2Jan26</v>
      </c>
      <c r="P16" s="1334" t="str">
        <f t="shared" si="4"/>
        <v>71001286959</v>
      </c>
    </row>
    <row r="17" spans="1:16" ht="28.8">
      <c r="A17" s="1018" t="s">
        <v>1567</v>
      </c>
      <c r="B17" s="460" t="s">
        <v>112</v>
      </c>
      <c r="C17" s="1092" t="s">
        <v>1076</v>
      </c>
      <c r="D17" s="1389">
        <v>46027</v>
      </c>
      <c r="E17" s="1339" t="s">
        <v>1580</v>
      </c>
      <c r="F17" s="1311">
        <v>3343360470</v>
      </c>
      <c r="G17" s="1311">
        <v>0</v>
      </c>
      <c r="H17" s="1082">
        <f t="shared" si="0"/>
        <v>3343360470</v>
      </c>
      <c r="I17" s="1333" t="s">
        <v>39</v>
      </c>
      <c r="J17" s="1334" t="str">
        <f>VLOOKUP(C17,Acc_Char!B:K,3,)</f>
        <v>BW NAM HAI</v>
      </c>
      <c r="K17" s="1334" t="str">
        <f>VLOOKUP(C17,Acc_Char!B:K,7,)</f>
        <v>Subsidiaries</v>
      </c>
      <c r="L17" s="1334" t="str">
        <f t="shared" si="3"/>
        <v>Receipt from tenants</v>
      </c>
      <c r="M17" s="1335" t="str">
        <f>VLOOKUP(C17,Acc_Char!B:K,5,)</f>
        <v>VND</v>
      </c>
      <c r="N17" s="1335" t="str">
        <f>VLOOKUP(C17,Acc_Char!B:K,6,)</f>
        <v>Current Account</v>
      </c>
      <c r="O17" s="1336" t="str">
        <f>Summary!$B$4</f>
        <v>W1-2Jan26</v>
      </c>
      <c r="P17" s="1334" t="str">
        <f t="shared" si="4"/>
        <v>1048666263</v>
      </c>
    </row>
    <row r="18" spans="1:16" ht="28.8">
      <c r="A18" s="1018" t="s">
        <v>1567</v>
      </c>
      <c r="B18" s="460" t="s">
        <v>112</v>
      </c>
      <c r="C18" s="1092" t="s">
        <v>762</v>
      </c>
      <c r="D18" s="1389">
        <v>46027</v>
      </c>
      <c r="E18" s="1339" t="s">
        <v>1581</v>
      </c>
      <c r="F18" s="1311">
        <v>4115199</v>
      </c>
      <c r="G18" s="1311">
        <v>0</v>
      </c>
      <c r="H18" s="1082">
        <f t="shared" si="0"/>
        <v>4115199</v>
      </c>
      <c r="I18" s="1333" t="s">
        <v>39</v>
      </c>
      <c r="J18" s="1334" t="str">
        <f>VLOOKUP(C18,Acc_Char!B:K,3,)</f>
        <v>THUAN THANH 3B</v>
      </c>
      <c r="K18" s="1334" t="str">
        <f>VLOOKUP(C18,Acc_Char!B:K,7,)</f>
        <v>Subsidiaries</v>
      </c>
      <c r="L18" s="1334" t="str">
        <f t="shared" si="3"/>
        <v>Receipt from tenants</v>
      </c>
      <c r="M18" s="1335" t="str">
        <f>VLOOKUP(C18,Acc_Char!B:K,5,)</f>
        <v>VND</v>
      </c>
      <c r="N18" s="1335" t="str">
        <f>VLOOKUP(C18,Acc_Char!B:K,6,)</f>
        <v>Current Account</v>
      </c>
      <c r="O18" s="1336" t="str">
        <f>Summary!$B$4</f>
        <v>W1-2Jan26</v>
      </c>
      <c r="P18" s="1334" t="str">
        <f t="shared" si="4"/>
        <v>9020128888</v>
      </c>
    </row>
    <row r="19" spans="1:16" ht="28.8">
      <c r="A19" s="1018" t="s">
        <v>1567</v>
      </c>
      <c r="B19" s="460" t="s">
        <v>112</v>
      </c>
      <c r="C19" s="1092" t="s">
        <v>1408</v>
      </c>
      <c r="D19" s="1389">
        <v>46031</v>
      </c>
      <c r="E19" s="1339" t="s">
        <v>1582</v>
      </c>
      <c r="F19" s="1311">
        <v>219177116</v>
      </c>
      <c r="G19" s="1311">
        <v>0</v>
      </c>
      <c r="H19" s="1082">
        <f t="shared" si="0"/>
        <v>219177116</v>
      </c>
      <c r="I19" s="1333" t="s">
        <v>39</v>
      </c>
      <c r="J19" s="1334" t="str">
        <f>VLOOKUP(C19,Acc_Char!B:K,3,)</f>
        <v>LONG BINH</v>
      </c>
      <c r="K19" s="1334" t="str">
        <f>VLOOKUP(C19,Acc_Char!B:K,7,)</f>
        <v>Subsidiaries</v>
      </c>
      <c r="L19" s="1334" t="str">
        <f t="shared" si="3"/>
        <v>Receipt from tenants</v>
      </c>
      <c r="M19" s="1335" t="str">
        <f>VLOOKUP(C19,Acc_Char!B:K,5,)</f>
        <v>VND</v>
      </c>
      <c r="N19" s="1335" t="str">
        <f>VLOOKUP(C19,Acc_Char!B:K,6,)</f>
        <v>Current Account</v>
      </c>
      <c r="O19" s="1336" t="str">
        <f>Summary!$B$4</f>
        <v>W1-2Jan26</v>
      </c>
      <c r="P19" s="1334" t="str">
        <f t="shared" si="4"/>
        <v>1060629524</v>
      </c>
    </row>
    <row r="20" spans="1:16" ht="28.8">
      <c r="A20" s="1018" t="s">
        <v>1567</v>
      </c>
      <c r="B20" s="460" t="s">
        <v>112</v>
      </c>
      <c r="C20" s="1092" t="s">
        <v>762</v>
      </c>
      <c r="D20" s="1389">
        <v>46032</v>
      </c>
      <c r="E20" s="1339" t="s">
        <v>1583</v>
      </c>
      <c r="F20" s="1311">
        <v>1230703854</v>
      </c>
      <c r="G20" s="1311">
        <v>0</v>
      </c>
      <c r="H20" s="1082">
        <f t="shared" si="0"/>
        <v>1230703854</v>
      </c>
      <c r="I20" s="1333" t="s">
        <v>39</v>
      </c>
      <c r="J20" s="1334" t="str">
        <f>VLOOKUP(C20,Acc_Char!B:K,3,)</f>
        <v>THUAN THANH 3B</v>
      </c>
      <c r="K20" s="1334" t="str">
        <f>VLOOKUP(C20,Acc_Char!B:K,7,)</f>
        <v>Subsidiaries</v>
      </c>
      <c r="L20" s="1334" t="str">
        <f t="shared" si="3"/>
        <v>Receipt from tenants</v>
      </c>
      <c r="M20" s="1335" t="str">
        <f>VLOOKUP(C20,Acc_Char!B:K,5,)</f>
        <v>VND</v>
      </c>
      <c r="N20" s="1335" t="str">
        <f>VLOOKUP(C20,Acc_Char!B:K,6,)</f>
        <v>Current Account</v>
      </c>
      <c r="O20" s="1336" t="str">
        <f>Summary!$B$4</f>
        <v>W1-2Jan26</v>
      </c>
      <c r="P20" s="1334" t="str">
        <f t="shared" si="4"/>
        <v>9020128888</v>
      </c>
    </row>
    <row r="21" spans="1:16" ht="28.8">
      <c r="A21" s="1018" t="s">
        <v>1567</v>
      </c>
      <c r="B21" s="460" t="s">
        <v>112</v>
      </c>
      <c r="C21" s="1092" t="s">
        <v>1000</v>
      </c>
      <c r="D21" s="1389">
        <v>46035</v>
      </c>
      <c r="E21" s="1339" t="s">
        <v>1584</v>
      </c>
      <c r="F21" s="1311">
        <v>9834162</v>
      </c>
      <c r="G21" s="1311">
        <v>0</v>
      </c>
      <c r="H21" s="1082">
        <f t="shared" si="0"/>
        <v>9834162</v>
      </c>
      <c r="I21" s="1333" t="s">
        <v>39</v>
      </c>
      <c r="J21" s="1334" t="str">
        <f>VLOOKUP(C21,Acc_Char!B:K,3,)</f>
        <v>THUAN THANH 3B</v>
      </c>
      <c r="K21" s="1334" t="str">
        <f>VLOOKUP(C21,Acc_Char!B:K,7,)</f>
        <v>Subsidiaries</v>
      </c>
      <c r="L21" s="1334" t="str">
        <f t="shared" si="3"/>
        <v>Receipt from tenants</v>
      </c>
      <c r="M21" s="1335" t="str">
        <f>VLOOKUP(C21,Acc_Char!B:K,5,)</f>
        <v>VND</v>
      </c>
      <c r="N21" s="1335" t="str">
        <f>VLOOKUP(C21,Acc_Char!B:K,6,)</f>
        <v>Current Account</v>
      </c>
      <c r="O21" s="1336" t="str">
        <f>Summary!$B$4</f>
        <v>W1-2Jan26</v>
      </c>
      <c r="P21" s="1334" t="str">
        <f t="shared" si="4"/>
        <v>3243126666</v>
      </c>
    </row>
    <row r="22" spans="1:16">
      <c r="A22" s="1018" t="s">
        <v>1567</v>
      </c>
      <c r="B22" s="460" t="s">
        <v>112</v>
      </c>
      <c r="C22" s="1092" t="s">
        <v>809</v>
      </c>
      <c r="D22" s="1389">
        <v>46035</v>
      </c>
      <c r="E22" s="1339" t="s">
        <v>1585</v>
      </c>
      <c r="F22" s="1311">
        <v>25354024</v>
      </c>
      <c r="G22" s="1311">
        <v>0</v>
      </c>
      <c r="H22" s="1082">
        <f t="shared" si="0"/>
        <v>25354024</v>
      </c>
      <c r="I22" s="1333" t="s">
        <v>44</v>
      </c>
      <c r="J22" s="1334" t="str">
        <f>VLOOKUP(C22,Acc_Char!B:K,3,)</f>
        <v>BW SAIGON LOGISTICS</v>
      </c>
      <c r="K22" s="1334" t="str">
        <f>VLOOKUP(C22,Acc_Char!B:K,7,)</f>
        <v>Subsidiaries</v>
      </c>
      <c r="L22" s="1334" t="str">
        <f t="shared" si="3"/>
        <v>Other receipts</v>
      </c>
      <c r="M22" s="1335" t="str">
        <f>VLOOKUP(C22,Acc_Char!B:K,5,)</f>
        <v>VND</v>
      </c>
      <c r="N22" s="1335" t="str">
        <f>VLOOKUP(C22,Acc_Char!B:K,6,)</f>
        <v>Current Account</v>
      </c>
      <c r="O22" s="1336" t="str">
        <f>Summary!$B$4</f>
        <v>W1-2Jan26</v>
      </c>
      <c r="P22" s="1334" t="str">
        <f t="shared" si="4"/>
        <v>1038935148</v>
      </c>
    </row>
    <row r="23" spans="1:16">
      <c r="A23" s="1018" t="s">
        <v>1567</v>
      </c>
      <c r="B23" s="460" t="s">
        <v>198</v>
      </c>
      <c r="C23" s="1092" t="s">
        <v>498</v>
      </c>
      <c r="D23" s="1389">
        <v>46143</v>
      </c>
      <c r="E23" s="1339" t="s">
        <v>1456</v>
      </c>
      <c r="F23" s="1311">
        <v>238150685</v>
      </c>
      <c r="G23" s="1311">
        <v>0</v>
      </c>
      <c r="H23" s="1082">
        <f t="shared" si="0"/>
        <v>238150685</v>
      </c>
      <c r="I23" s="1333" t="s">
        <v>44</v>
      </c>
      <c r="J23" s="1334" t="str">
        <f>VLOOKUP(C23,Acc_Char!B:K,3,)</f>
        <v>BWID BINH DUONG</v>
      </c>
      <c r="K23" s="1334" t="str">
        <f>VLOOKUP(C23,Acc_Char!B:K,7,)</f>
        <v>BWID JSC</v>
      </c>
      <c r="L23" s="1334" t="str">
        <f t="shared" si="3"/>
        <v>Other receipts</v>
      </c>
      <c r="M23" s="1335" t="str">
        <f>VLOOKUP(C23,Acc_Char!B:K,5,)</f>
        <v>VND</v>
      </c>
      <c r="N23" s="1335" t="str">
        <f>VLOOKUP(C23,Acc_Char!B:K,6,)</f>
        <v>Current Account</v>
      </c>
      <c r="O23" s="1336" t="str">
        <f>Summary!$B$4</f>
        <v>W1-2Jan26</v>
      </c>
      <c r="P23" s="1334" t="str">
        <f t="shared" si="4"/>
        <v>7000800107577</v>
      </c>
    </row>
    <row r="24" spans="1:16">
      <c r="A24" s="1018" t="s">
        <v>1567</v>
      </c>
      <c r="B24" s="460" t="s">
        <v>198</v>
      </c>
      <c r="C24" s="1092" t="s">
        <v>498</v>
      </c>
      <c r="D24" s="1389">
        <v>46143</v>
      </c>
      <c r="E24" s="1339" t="s">
        <v>1456</v>
      </c>
      <c r="F24" s="1311">
        <v>30000000000</v>
      </c>
      <c r="G24" s="1311">
        <v>0</v>
      </c>
      <c r="H24" s="1082">
        <f t="shared" si="0"/>
        <v>30000000000</v>
      </c>
      <c r="I24" s="1333" t="s">
        <v>41</v>
      </c>
      <c r="J24" s="1334" t="str">
        <f>VLOOKUP(C24,Acc_Char!B:K,3,)</f>
        <v>BWID BINH DUONG</v>
      </c>
      <c r="K24" s="1334" t="str">
        <f>VLOOKUP(C24,Acc_Char!B:K,7,)</f>
        <v>BWID JSC</v>
      </c>
      <c r="L24" s="1334" t="str">
        <f t="shared" si="3"/>
        <v>Internal transfer in</v>
      </c>
      <c r="M24" s="1335" t="str">
        <f>VLOOKUP(C24,Acc_Char!B:K,5,)</f>
        <v>VND</v>
      </c>
      <c r="N24" s="1335" t="str">
        <f>VLOOKUP(C24,Acc_Char!B:K,6,)</f>
        <v>Current Account</v>
      </c>
      <c r="O24" s="1336" t="str">
        <f>Summary!$B$4</f>
        <v>W1-2Jan26</v>
      </c>
      <c r="P24" s="1334" t="str">
        <f t="shared" si="4"/>
        <v>7000800107577</v>
      </c>
    </row>
    <row r="25" spans="1:16">
      <c r="A25" s="1018" t="s">
        <v>1567</v>
      </c>
      <c r="B25" s="460" t="s">
        <v>198</v>
      </c>
      <c r="C25" s="1092" t="s">
        <v>498</v>
      </c>
      <c r="D25" s="1389">
        <v>46174</v>
      </c>
      <c r="E25" s="1339" t="s">
        <v>1523</v>
      </c>
      <c r="F25" s="1311">
        <v>0</v>
      </c>
      <c r="G25" s="1311">
        <v>30000000000</v>
      </c>
      <c r="H25" s="1082">
        <f t="shared" si="0"/>
        <v>-30000000000</v>
      </c>
      <c r="I25" s="1333" t="s">
        <v>59</v>
      </c>
      <c r="J25" s="1334" t="str">
        <f>VLOOKUP(C25,Acc_Char!B:K,3,)</f>
        <v>BWID BINH DUONG</v>
      </c>
      <c r="K25" s="1334" t="str">
        <f>VLOOKUP(C25,Acc_Char!B:K,7,)</f>
        <v>BWID JSC</v>
      </c>
      <c r="L25" s="1334" t="str">
        <f t="shared" si="3"/>
        <v>Internal transfer out</v>
      </c>
      <c r="M25" s="1335" t="str">
        <f>VLOOKUP(C25,Acc_Char!B:K,5,)</f>
        <v>VND</v>
      </c>
      <c r="N25" s="1335" t="str">
        <f>VLOOKUP(C25,Acc_Char!B:K,6,)</f>
        <v>Current Account</v>
      </c>
      <c r="O25" s="1336" t="str">
        <f>Summary!$B$4</f>
        <v>W1-2Jan26</v>
      </c>
      <c r="P25" s="1334" t="str">
        <f t="shared" si="4"/>
        <v>7000800107577</v>
      </c>
    </row>
    <row r="26" spans="1:16" ht="13.2" customHeight="1">
      <c r="A26" s="1018" t="s">
        <v>1567</v>
      </c>
      <c r="B26" s="460" t="s">
        <v>1586</v>
      </c>
      <c r="C26" s="1092" t="s">
        <v>1364</v>
      </c>
      <c r="D26" s="1389">
        <v>46266</v>
      </c>
      <c r="E26" s="1339" t="s">
        <v>1587</v>
      </c>
      <c r="F26" s="1311">
        <v>349637590</v>
      </c>
      <c r="G26" s="1311">
        <v>0</v>
      </c>
      <c r="H26" s="1082">
        <f t="shared" si="0"/>
        <v>349637590</v>
      </c>
      <c r="I26" s="1333" t="s">
        <v>39</v>
      </c>
      <c r="J26" s="1334" t="str">
        <f>VLOOKUP(C26,Acc_Char!B:K,3,)</f>
        <v>BW MY PHUOC 3</v>
      </c>
      <c r="K26" s="1334" t="str">
        <f>VLOOKUP(C26,Acc_Char!B:K,7,)</f>
        <v>Subsidiaries</v>
      </c>
      <c r="L26" s="1334" t="str">
        <f t="shared" si="3"/>
        <v>Receipt from tenants</v>
      </c>
      <c r="M26" s="1335" t="str">
        <f>VLOOKUP(C26,Acc_Char!B:K,5,)</f>
        <v>VND</v>
      </c>
      <c r="N26" s="1335" t="str">
        <f>VLOOKUP(C26,Acc_Char!B:K,6,)</f>
        <v>Current Account</v>
      </c>
      <c r="O26" s="1336" t="str">
        <f>Summary!$B$4</f>
        <v>W1-2Jan26</v>
      </c>
      <c r="P26" s="1334" t="str">
        <f t="shared" si="4"/>
        <v>100700488679</v>
      </c>
    </row>
    <row r="27" spans="1:16">
      <c r="A27" s="1018" t="s">
        <v>1567</v>
      </c>
      <c r="B27" s="460" t="s">
        <v>1586</v>
      </c>
      <c r="C27" s="1092" t="s">
        <v>1364</v>
      </c>
      <c r="D27" s="1389">
        <v>46235</v>
      </c>
      <c r="E27" s="1339" t="s">
        <v>1588</v>
      </c>
      <c r="F27" s="1311">
        <v>129527222</v>
      </c>
      <c r="G27" s="1311">
        <v>0</v>
      </c>
      <c r="H27" s="1082">
        <f t="shared" si="0"/>
        <v>129527222</v>
      </c>
      <c r="I27" s="1333" t="s">
        <v>39</v>
      </c>
      <c r="J27" s="1334" t="str">
        <f>VLOOKUP(C27,Acc_Char!B:K,3,)</f>
        <v>BW MY PHUOC 3</v>
      </c>
      <c r="K27" s="1334" t="str">
        <f>VLOOKUP(C27,Acc_Char!B:K,7,)</f>
        <v>Subsidiaries</v>
      </c>
      <c r="L27" s="1334" t="str">
        <f t="shared" si="3"/>
        <v>Receipt from tenants</v>
      </c>
      <c r="M27" s="1335" t="str">
        <f>VLOOKUP(C27,Acc_Char!B:K,5,)</f>
        <v>VND</v>
      </c>
      <c r="N27" s="1335" t="str">
        <f>VLOOKUP(C27,Acc_Char!B:K,6,)</f>
        <v>Current Account</v>
      </c>
      <c r="O27" s="1336" t="str">
        <f>Summary!$B$4</f>
        <v>W1-2Jan26</v>
      </c>
      <c r="P27" s="1334" t="str">
        <f t="shared" si="4"/>
        <v>100700488679</v>
      </c>
    </row>
    <row r="28" spans="1:16">
      <c r="A28" s="1018" t="s">
        <v>1567</v>
      </c>
      <c r="B28" s="460" t="s">
        <v>1586</v>
      </c>
      <c r="C28" s="1092" t="s">
        <v>1364</v>
      </c>
      <c r="D28" s="1389">
        <v>46235</v>
      </c>
      <c r="E28" s="1339" t="s">
        <v>1589</v>
      </c>
      <c r="F28" s="1311">
        <v>490000000</v>
      </c>
      <c r="G28" s="1311">
        <v>0</v>
      </c>
      <c r="H28" s="1082">
        <f t="shared" si="0"/>
        <v>490000000</v>
      </c>
      <c r="I28" s="1333" t="s">
        <v>39</v>
      </c>
      <c r="J28" s="1334" t="str">
        <f>VLOOKUP(C28,Acc_Char!B:K,3,)</f>
        <v>BW MY PHUOC 3</v>
      </c>
      <c r="K28" s="1334" t="str">
        <f>VLOOKUP(C28,Acc_Char!B:K,7,)</f>
        <v>Subsidiaries</v>
      </c>
      <c r="L28" s="1334" t="str">
        <f t="shared" si="3"/>
        <v>Receipt from tenants</v>
      </c>
      <c r="M28" s="1335" t="str">
        <f>VLOOKUP(C28,Acc_Char!B:K,5,)</f>
        <v>VND</v>
      </c>
      <c r="N28" s="1335" t="str">
        <f>VLOOKUP(C28,Acc_Char!B:K,6,)</f>
        <v>Current Account</v>
      </c>
      <c r="O28" s="1336" t="str">
        <f>Summary!$B$4</f>
        <v>W1-2Jan26</v>
      </c>
      <c r="P28" s="1334" t="str">
        <f t="shared" si="4"/>
        <v>100700488679</v>
      </c>
    </row>
    <row r="29" spans="1:16">
      <c r="A29" s="1018" t="s">
        <v>1567</v>
      </c>
      <c r="B29" s="460" t="s">
        <v>1586</v>
      </c>
      <c r="C29" s="1092" t="s">
        <v>1364</v>
      </c>
      <c r="D29" s="1389">
        <v>46037</v>
      </c>
      <c r="E29" s="1339" t="s">
        <v>1590</v>
      </c>
      <c r="F29" s="1311">
        <v>33123194</v>
      </c>
      <c r="G29" s="1311">
        <v>0</v>
      </c>
      <c r="H29" s="1082">
        <f t="shared" si="0"/>
        <v>33123194</v>
      </c>
      <c r="I29" s="1333" t="s">
        <v>39</v>
      </c>
      <c r="J29" s="1334" t="str">
        <f>VLOOKUP(C29,Acc_Char!B:K,3,)</f>
        <v>BW MY PHUOC 3</v>
      </c>
      <c r="K29" s="1334" t="str">
        <f>VLOOKUP(C29,Acc_Char!B:K,7,)</f>
        <v>Subsidiaries</v>
      </c>
      <c r="L29" s="1334" t="str">
        <f t="shared" si="3"/>
        <v>Receipt from tenants</v>
      </c>
      <c r="M29" s="1335" t="str">
        <f>VLOOKUP(C29,Acc_Char!B:K,5,)</f>
        <v>VND</v>
      </c>
      <c r="N29" s="1335" t="str">
        <f>VLOOKUP(C29,Acc_Char!B:K,6,)</f>
        <v>Current Account</v>
      </c>
      <c r="O29" s="1336" t="str">
        <f>Summary!$B$4</f>
        <v>W1-2Jan26</v>
      </c>
      <c r="P29" s="1334" t="str">
        <f t="shared" si="4"/>
        <v>100700488679</v>
      </c>
    </row>
    <row r="30" spans="1:16" ht="28.8">
      <c r="A30" s="1018" t="s">
        <v>1591</v>
      </c>
      <c r="B30" s="460" t="s">
        <v>110</v>
      </c>
      <c r="C30" s="1092" t="s">
        <v>698</v>
      </c>
      <c r="D30" s="1389" t="s">
        <v>1592</v>
      </c>
      <c r="E30" s="1339" t="s">
        <v>1593</v>
      </c>
      <c r="F30" s="1311">
        <v>618378831</v>
      </c>
      <c r="G30" s="1311">
        <v>0</v>
      </c>
      <c r="H30" s="1082">
        <f t="shared" si="0"/>
        <v>618378831</v>
      </c>
      <c r="I30" s="1333" t="s">
        <v>39</v>
      </c>
      <c r="J30" s="1334" t="str">
        <f>VLOOKUP(C30,Acc_Char!B:K,3,)</f>
        <v>YEN PHONG</v>
      </c>
      <c r="K30" s="1334" t="str">
        <f>VLOOKUP(C30,Acc_Char!B:K,7,)</f>
        <v>Subsidiaries</v>
      </c>
      <c r="L30" s="1334" t="str">
        <f t="shared" si="3"/>
        <v>Receipt from tenants</v>
      </c>
      <c r="M30" s="1335" t="str">
        <f>VLOOKUP(C30,Acc_Char!B:K,5,)</f>
        <v>VND</v>
      </c>
      <c r="N30" s="1335" t="str">
        <f>VLOOKUP(C30,Acc_Char!B:K,6,)</f>
        <v>Current Account</v>
      </c>
      <c r="O30" s="1336" t="str">
        <f>Summary!$B$4</f>
        <v>W1-2Jan26</v>
      </c>
      <c r="P30" s="1334" t="str">
        <f t="shared" si="4"/>
        <v>114638028888</v>
      </c>
    </row>
    <row r="31" spans="1:16" ht="28.8">
      <c r="A31" s="1018" t="s">
        <v>1591</v>
      </c>
      <c r="B31" s="460" t="s">
        <v>110</v>
      </c>
      <c r="C31" s="1092" t="s">
        <v>587</v>
      </c>
      <c r="D31" s="1389" t="s">
        <v>1594</v>
      </c>
      <c r="E31" s="1339" t="s">
        <v>1595</v>
      </c>
      <c r="F31" s="1311">
        <v>3688338933</v>
      </c>
      <c r="G31" s="1311">
        <v>0</v>
      </c>
      <c r="H31" s="1082">
        <f t="shared" si="0"/>
        <v>3688338933</v>
      </c>
      <c r="I31" s="1333" t="s">
        <v>39</v>
      </c>
      <c r="J31" s="1334" t="str">
        <f>VLOOKUP(C31,Acc_Char!B:K,3,)</f>
        <v>SAO HOA</v>
      </c>
      <c r="K31" s="1334" t="str">
        <f>VLOOKUP(C31,Acc_Char!B:K,7,)</f>
        <v>VC3</v>
      </c>
      <c r="L31" s="1334" t="str">
        <f t="shared" si="3"/>
        <v>Receipt from tenants</v>
      </c>
      <c r="M31" s="1335" t="str">
        <f>VLOOKUP(C31,Acc_Char!B:K,5,)</f>
        <v>VND</v>
      </c>
      <c r="N31" s="1335" t="str">
        <f>VLOOKUP(C31,Acc_Char!B:K,6,)</f>
        <v>Current Account</v>
      </c>
      <c r="O31" s="1336" t="str">
        <f>Summary!$B$4</f>
        <v>W1-2Jan26</v>
      </c>
      <c r="P31" s="1334" t="str">
        <f t="shared" si="4"/>
        <v>114002874189</v>
      </c>
    </row>
    <row r="32" spans="1:16">
      <c r="A32" s="1018" t="s">
        <v>1591</v>
      </c>
      <c r="B32" s="460" t="s">
        <v>110</v>
      </c>
      <c r="C32" s="1092" t="s">
        <v>587</v>
      </c>
      <c r="D32" s="1389" t="s">
        <v>1596</v>
      </c>
      <c r="E32" s="1339" t="s">
        <v>1597</v>
      </c>
      <c r="F32" s="1311">
        <v>0</v>
      </c>
      <c r="G32" s="1311">
        <v>312351638</v>
      </c>
      <c r="H32" s="1283">
        <f t="shared" si="0"/>
        <v>-312351638</v>
      </c>
      <c r="I32" s="1333" t="s">
        <v>53</v>
      </c>
      <c r="J32" s="1334" t="str">
        <f>VLOOKUP(C32,Acc_Char!B:K,3,)</f>
        <v>SAO HOA</v>
      </c>
      <c r="K32" s="1334" t="str">
        <f>VLOOKUP(C32,Acc_Char!B:K,7,)</f>
        <v>VC3</v>
      </c>
      <c r="L32" s="1334" t="str">
        <f t="shared" si="3"/>
        <v>Operating expense</v>
      </c>
      <c r="M32" s="1335" t="str">
        <f>VLOOKUP(C32,Acc_Char!B:K,5,)</f>
        <v>VND</v>
      </c>
      <c r="N32" s="1335" t="str">
        <f>VLOOKUP(C32,Acc_Char!B:K,6,)</f>
        <v>Current Account</v>
      </c>
      <c r="O32" s="1336" t="str">
        <f>Summary!$B$4</f>
        <v>W1-2Jan26</v>
      </c>
      <c r="P32" s="1334" t="str">
        <f t="shared" si="4"/>
        <v>114002874189</v>
      </c>
    </row>
    <row r="33" spans="1:17" ht="28.8">
      <c r="A33" s="1018" t="s">
        <v>1591</v>
      </c>
      <c r="B33" s="460" t="s">
        <v>110</v>
      </c>
      <c r="C33" s="1092" t="s">
        <v>700</v>
      </c>
      <c r="D33" s="1389" t="s">
        <v>1598</v>
      </c>
      <c r="E33" s="1339" t="s">
        <v>1599</v>
      </c>
      <c r="F33" s="1311">
        <v>0</v>
      </c>
      <c r="G33" s="1313">
        <v>85000000</v>
      </c>
      <c r="H33" s="1082">
        <f t="shared" si="0"/>
        <v>-85000000</v>
      </c>
      <c r="I33" s="1333" t="s">
        <v>53</v>
      </c>
      <c r="J33" s="1334" t="str">
        <f>VLOOKUP(C33,Acc_Char!B:K,3,)</f>
        <v>BAU BANG 5</v>
      </c>
      <c r="K33" s="1334" t="str">
        <f>VLOOKUP(C33,Acc_Char!B:K,7,)</f>
        <v>Subsidiaries</v>
      </c>
      <c r="L33" s="1334" t="str">
        <f t="shared" si="3"/>
        <v>Operating expense</v>
      </c>
      <c r="M33" s="1335" t="str">
        <f>VLOOKUP(C33,Acc_Char!B:K,5,)</f>
        <v>VND</v>
      </c>
      <c r="N33" s="1335" t="str">
        <f>VLOOKUP(C33,Acc_Char!B:K,6,)</f>
        <v>Current Account</v>
      </c>
      <c r="O33" s="1336" t="str">
        <f>Summary!$B$4</f>
        <v>W1-2Jan26</v>
      </c>
      <c r="P33" s="1334" t="str">
        <f t="shared" si="4"/>
        <v>112604409888</v>
      </c>
    </row>
    <row r="34" spans="1:17">
      <c r="A34" s="1018" t="s">
        <v>1567</v>
      </c>
      <c r="B34" s="460" t="s">
        <v>1586</v>
      </c>
      <c r="C34" s="1092" t="s">
        <v>1364</v>
      </c>
      <c r="D34" s="1389">
        <v>46235</v>
      </c>
      <c r="E34" s="1339" t="s">
        <v>1600</v>
      </c>
      <c r="F34" s="1311">
        <v>303825</v>
      </c>
      <c r="G34" s="1313">
        <v>0</v>
      </c>
      <c r="H34" s="1082">
        <f t="shared" si="0"/>
        <v>303825</v>
      </c>
      <c r="I34" s="1333" t="s">
        <v>39</v>
      </c>
      <c r="J34" s="1334" t="str">
        <f>VLOOKUP(C34,Acc_Char!B:K,3,)</f>
        <v>BW MY PHUOC 3</v>
      </c>
      <c r="K34" s="1334" t="str">
        <f>VLOOKUP(C34,Acc_Char!B:K,7,)</f>
        <v>Subsidiaries</v>
      </c>
      <c r="L34" s="1334" t="str">
        <f t="shared" si="3"/>
        <v>Receipt from tenants</v>
      </c>
      <c r="M34" s="1335" t="str">
        <f>VLOOKUP(C34,Acc_Char!B:K,5,)</f>
        <v>VND</v>
      </c>
      <c r="N34" s="1335" t="str">
        <f>VLOOKUP(C34,Acc_Char!B:K,6,)</f>
        <v>Current Account</v>
      </c>
      <c r="O34" s="1336" t="str">
        <f>Summary!$B$4</f>
        <v>W1-2Jan26</v>
      </c>
      <c r="P34" s="1334" t="str">
        <f t="shared" si="4"/>
        <v>100700488679</v>
      </c>
    </row>
    <row r="35" spans="1:17" ht="28.8">
      <c r="A35" s="1018" t="s">
        <v>1567</v>
      </c>
      <c r="B35" s="460" t="s">
        <v>112</v>
      </c>
      <c r="C35" s="1092" t="s">
        <v>1408</v>
      </c>
      <c r="D35" s="1389">
        <v>46029</v>
      </c>
      <c r="E35" s="1339" t="s">
        <v>1601</v>
      </c>
      <c r="F35" s="1311">
        <v>278014529</v>
      </c>
      <c r="G35" s="1311">
        <v>0</v>
      </c>
      <c r="H35" s="1082">
        <f t="shared" si="0"/>
        <v>278014529</v>
      </c>
      <c r="I35" s="1333" t="s">
        <v>39</v>
      </c>
      <c r="J35" s="1334" t="str">
        <f>VLOOKUP(C35,Acc_Char!B:K,3,)</f>
        <v>LONG BINH</v>
      </c>
      <c r="K35" s="1334" t="str">
        <f>VLOOKUP(C35,Acc_Char!B:K,7,)</f>
        <v>Subsidiaries</v>
      </c>
      <c r="L35" s="1334" t="str">
        <f t="shared" si="3"/>
        <v>Receipt from tenants</v>
      </c>
      <c r="M35" s="1335" t="str">
        <f>VLOOKUP(C35,Acc_Char!B:K,5,)</f>
        <v>VND</v>
      </c>
      <c r="N35" s="1335" t="str">
        <f>VLOOKUP(C35,Acc_Char!B:K,6,)</f>
        <v>Current Account</v>
      </c>
      <c r="O35" s="1336" t="str">
        <f>Summary!$B$4</f>
        <v>W1-2Jan26</v>
      </c>
      <c r="P35" s="1334" t="str">
        <f t="shared" si="4"/>
        <v>1060629524</v>
      </c>
    </row>
    <row r="36" spans="1:17" ht="28.8">
      <c r="A36" s="1018" t="s">
        <v>1567</v>
      </c>
      <c r="B36" s="460" t="s">
        <v>112</v>
      </c>
      <c r="C36" s="1092" t="s">
        <v>574</v>
      </c>
      <c r="D36" s="1389">
        <v>46030</v>
      </c>
      <c r="E36" s="1339" t="s">
        <v>1602</v>
      </c>
      <c r="F36" s="1311">
        <v>193887115</v>
      </c>
      <c r="G36" s="1311">
        <v>0</v>
      </c>
      <c r="H36" s="1082">
        <f t="shared" si="0"/>
        <v>193887115</v>
      </c>
      <c r="I36" s="1333" t="s">
        <v>39</v>
      </c>
      <c r="J36" s="1334" t="str">
        <f>VLOOKUP(C36,Acc_Char!B:K,3,)</f>
        <v>BW SUPLLY CHAIN CITY</v>
      </c>
      <c r="K36" s="1334" t="str">
        <f>VLOOKUP(C36,Acc_Char!B:K,7,)</f>
        <v>Subsidiaries</v>
      </c>
      <c r="L36" s="1334" t="str">
        <f t="shared" si="3"/>
        <v>Receipt from tenants</v>
      </c>
      <c r="M36" s="1335" t="str">
        <f>VLOOKUP(C36,Acc_Char!B:K,5,)</f>
        <v>VND</v>
      </c>
      <c r="N36" s="1335" t="str">
        <f>VLOOKUP(C36,Acc_Char!B:K,6,)</f>
        <v>Current Account</v>
      </c>
      <c r="O36" s="1336" t="str">
        <f>Summary!$B$4</f>
        <v>W1-2Jan26</v>
      </c>
      <c r="P36" s="1334" t="str">
        <f t="shared" si="4"/>
        <v>1018291733</v>
      </c>
      <c r="Q36" s="1024"/>
    </row>
    <row r="37" spans="1:17" ht="28.8">
      <c r="A37" s="1018" t="s">
        <v>1567</v>
      </c>
      <c r="B37" s="460" t="s">
        <v>112</v>
      </c>
      <c r="C37" s="1092" t="s">
        <v>574</v>
      </c>
      <c r="D37" s="1389">
        <v>46034</v>
      </c>
      <c r="E37" s="1392" t="s">
        <v>1603</v>
      </c>
      <c r="F37" s="1311">
        <v>450427686</v>
      </c>
      <c r="G37" s="1311">
        <v>0</v>
      </c>
      <c r="H37" s="1082">
        <f t="shared" si="0"/>
        <v>450427686</v>
      </c>
      <c r="I37" s="1333" t="s">
        <v>39</v>
      </c>
      <c r="J37" s="1334" t="str">
        <f>VLOOKUP(C37,Acc_Char!B:K,3,)</f>
        <v>BW SUPLLY CHAIN CITY</v>
      </c>
      <c r="K37" s="1334" t="str">
        <f>VLOOKUP(C37,Acc_Char!B:K,7,)</f>
        <v>Subsidiaries</v>
      </c>
      <c r="L37" s="1334" t="str">
        <f t="shared" si="3"/>
        <v>Receipt from tenants</v>
      </c>
      <c r="M37" s="1335" t="str">
        <f>VLOOKUP(C37,Acc_Char!B:K,5,)</f>
        <v>VND</v>
      </c>
      <c r="N37" s="1335" t="str">
        <f>VLOOKUP(C37,Acc_Char!B:K,6,)</f>
        <v>Current Account</v>
      </c>
      <c r="O37" s="1336" t="str">
        <f>Summary!$B$4</f>
        <v>W1-2Jan26</v>
      </c>
      <c r="P37" s="1334" t="str">
        <f t="shared" si="4"/>
        <v>1018291733</v>
      </c>
    </row>
    <row r="38" spans="1:17" ht="28.8">
      <c r="A38" s="1018" t="s">
        <v>1567</v>
      </c>
      <c r="B38" s="460" t="s">
        <v>112</v>
      </c>
      <c r="C38" s="1092" t="s">
        <v>809</v>
      </c>
      <c r="D38" s="1389">
        <v>46035</v>
      </c>
      <c r="E38" s="1339" t="s">
        <v>1604</v>
      </c>
      <c r="F38" s="1311">
        <v>17362559</v>
      </c>
      <c r="G38" s="1313">
        <v>0</v>
      </c>
      <c r="H38" s="1082">
        <f t="shared" si="0"/>
        <v>17362559</v>
      </c>
      <c r="I38" s="1333" t="s">
        <v>39</v>
      </c>
      <c r="J38" s="1334" t="str">
        <f>VLOOKUP(C38,Acc_Char!B:K,3,)</f>
        <v>BW SAIGON LOGISTICS</v>
      </c>
      <c r="K38" s="1334" t="str">
        <f>VLOOKUP(C38,Acc_Char!B:K,7,)</f>
        <v>Subsidiaries</v>
      </c>
      <c r="L38" s="1334" t="str">
        <f t="shared" si="3"/>
        <v>Receipt from tenants</v>
      </c>
      <c r="M38" s="1335" t="str">
        <f>VLOOKUP(C38,Acc_Char!B:K,5,)</f>
        <v>VND</v>
      </c>
      <c r="N38" s="1335" t="str">
        <f>VLOOKUP(C38,Acc_Char!B:K,6,)</f>
        <v>Current Account</v>
      </c>
      <c r="O38" s="1336" t="str">
        <f>Summary!$B$4</f>
        <v>W1-2Jan26</v>
      </c>
      <c r="P38" s="1334" t="str">
        <f t="shared" si="4"/>
        <v>1038935148</v>
      </c>
    </row>
    <row r="39" spans="1:17" ht="28.8">
      <c r="A39" s="1018" t="s">
        <v>1567</v>
      </c>
      <c r="B39" s="460" t="s">
        <v>112</v>
      </c>
      <c r="C39" s="1092" t="s">
        <v>1000</v>
      </c>
      <c r="D39" s="1389">
        <v>46036</v>
      </c>
      <c r="E39" s="1339" t="s">
        <v>1605</v>
      </c>
      <c r="F39" s="1311">
        <v>3795454</v>
      </c>
      <c r="G39" s="1313">
        <v>0</v>
      </c>
      <c r="H39" s="1082">
        <f t="shared" si="0"/>
        <v>3795454</v>
      </c>
      <c r="I39" s="1333" t="s">
        <v>39</v>
      </c>
      <c r="J39" s="1334" t="str">
        <f>VLOOKUP(C39,Acc_Char!B:K,3,)</f>
        <v>THUAN THANH 3B</v>
      </c>
      <c r="K39" s="1334" t="str">
        <f>VLOOKUP(C39,Acc_Char!B:K,7,)</f>
        <v>Subsidiaries</v>
      </c>
      <c r="L39" s="1334" t="str">
        <f t="shared" si="3"/>
        <v>Receipt from tenants</v>
      </c>
      <c r="M39" s="1335" t="str">
        <f>VLOOKUP(C39,Acc_Char!B:K,5,)</f>
        <v>VND</v>
      </c>
      <c r="N39" s="1335" t="str">
        <f>VLOOKUP(C39,Acc_Char!B:K,6,)</f>
        <v>Current Account</v>
      </c>
      <c r="O39" s="1336" t="str">
        <f>Summary!$B$4</f>
        <v>W1-2Jan26</v>
      </c>
      <c r="P39" s="1334" t="str">
        <f t="shared" si="4"/>
        <v>3243126666</v>
      </c>
    </row>
    <row r="40" spans="1:17" ht="28.8">
      <c r="A40" s="1018" t="s">
        <v>1567</v>
      </c>
      <c r="B40" s="460" t="s">
        <v>112</v>
      </c>
      <c r="C40" s="1092" t="s">
        <v>1252</v>
      </c>
      <c r="D40" s="1389">
        <v>46029</v>
      </c>
      <c r="E40" s="1339" t="s">
        <v>1606</v>
      </c>
      <c r="F40" s="1311">
        <v>0</v>
      </c>
      <c r="G40" s="1313">
        <v>299609730</v>
      </c>
      <c r="H40" s="1082">
        <f t="shared" si="0"/>
        <v>-299609730</v>
      </c>
      <c r="I40" s="1333" t="s">
        <v>53</v>
      </c>
      <c r="J40" s="1334" t="str">
        <f>VLOOKUP(C40,Acc_Char!B:K,3,)</f>
        <v>BWID THOI HOA</v>
      </c>
      <c r="K40" s="1334" t="str">
        <f>VLOOKUP(C40,Acc_Char!B:K,7,)</f>
        <v>Subsidiaries</v>
      </c>
      <c r="L40" s="1334" t="str">
        <f t="shared" si="3"/>
        <v>Operating expense</v>
      </c>
      <c r="M40" s="1335" t="str">
        <f>VLOOKUP(C40,Acc_Char!B:K,5,)</f>
        <v>VND</v>
      </c>
      <c r="N40" s="1335" t="str">
        <f>VLOOKUP(C40,Acc_Char!B:K,6,)</f>
        <v>Current Account</v>
      </c>
      <c r="O40" s="1336" t="str">
        <f>Summary!$B$4</f>
        <v>W1-2Jan26</v>
      </c>
      <c r="P40" s="1334" t="str">
        <f t="shared" si="4"/>
        <v>1057270760</v>
      </c>
    </row>
    <row r="41" spans="1:17" ht="28.8">
      <c r="A41" s="1018" t="s">
        <v>1567</v>
      </c>
      <c r="B41" s="460" t="s">
        <v>112</v>
      </c>
      <c r="C41" s="1092" t="s">
        <v>574</v>
      </c>
      <c r="D41" s="1389">
        <v>46036</v>
      </c>
      <c r="E41" s="1339" t="s">
        <v>1607</v>
      </c>
      <c r="F41" s="1311">
        <v>0</v>
      </c>
      <c r="G41" s="1313">
        <v>1793310</v>
      </c>
      <c r="H41" s="1082">
        <f t="shared" si="0"/>
        <v>-1793310</v>
      </c>
      <c r="I41" s="1333" t="s">
        <v>53</v>
      </c>
      <c r="J41" s="1334" t="str">
        <f>VLOOKUP(C41,Acc_Char!B:K,3,)</f>
        <v>BW SUPLLY CHAIN CITY</v>
      </c>
      <c r="K41" s="1334" t="str">
        <f>VLOOKUP(C41,Acc_Char!B:K,7,)</f>
        <v>Subsidiaries</v>
      </c>
      <c r="L41" s="1334" t="str">
        <f t="shared" si="3"/>
        <v>Operating expense</v>
      </c>
      <c r="M41" s="1335" t="str">
        <f>VLOOKUP(C41,Acc_Char!B:K,5,)</f>
        <v>VND</v>
      </c>
      <c r="N41" s="1335" t="str">
        <f>VLOOKUP(C41,Acc_Char!B:K,6,)</f>
        <v>Current Account</v>
      </c>
      <c r="O41" s="1336" t="str">
        <f>Summary!$B$4</f>
        <v>W1-2Jan26</v>
      </c>
      <c r="P41" s="1334" t="str">
        <f t="shared" si="4"/>
        <v>1018291733</v>
      </c>
    </row>
    <row r="42" spans="1:17" ht="28.8">
      <c r="A42" s="1018" t="s">
        <v>1567</v>
      </c>
      <c r="B42" s="460" t="s">
        <v>112</v>
      </c>
      <c r="C42" s="1092" t="s">
        <v>574</v>
      </c>
      <c r="D42" s="1389">
        <v>46036</v>
      </c>
      <c r="E42" s="1339" t="s">
        <v>1608</v>
      </c>
      <c r="F42" s="1311">
        <v>0</v>
      </c>
      <c r="G42" s="1313">
        <v>1936140</v>
      </c>
      <c r="H42" s="1082">
        <f t="shared" si="0"/>
        <v>-1936140</v>
      </c>
      <c r="I42" s="1333" t="s">
        <v>53</v>
      </c>
      <c r="J42" s="1334" t="str">
        <f>VLOOKUP(C42,Acc_Char!B:K,3,)</f>
        <v>BW SUPLLY CHAIN CITY</v>
      </c>
      <c r="K42" s="1334" t="str">
        <f>VLOOKUP(C42,Acc_Char!B:K,7,)</f>
        <v>Subsidiaries</v>
      </c>
      <c r="L42" s="1334" t="str">
        <f t="shared" si="3"/>
        <v>Operating expense</v>
      </c>
      <c r="M42" s="1335" t="str">
        <f>VLOOKUP(C42,Acc_Char!B:K,5,)</f>
        <v>VND</v>
      </c>
      <c r="N42" s="1335" t="str">
        <f>VLOOKUP(C42,Acc_Char!B:K,6,)</f>
        <v>Current Account</v>
      </c>
      <c r="O42" s="1336" t="str">
        <f>Summary!$B$4</f>
        <v>W1-2Jan26</v>
      </c>
      <c r="P42" s="1334" t="str">
        <f t="shared" si="4"/>
        <v>1018291733</v>
      </c>
    </row>
    <row r="43" spans="1:17" ht="28.8">
      <c r="A43" s="1018" t="s">
        <v>1567</v>
      </c>
      <c r="B43" s="460" t="s">
        <v>112</v>
      </c>
      <c r="C43" s="1092" t="s">
        <v>574</v>
      </c>
      <c r="D43" s="1389">
        <v>46036</v>
      </c>
      <c r="E43" s="1339" t="s">
        <v>1609</v>
      </c>
      <c r="F43" s="1311">
        <v>0</v>
      </c>
      <c r="G43" s="1313">
        <v>15870</v>
      </c>
      <c r="H43" s="1082">
        <f t="shared" si="0"/>
        <v>-15870</v>
      </c>
      <c r="I43" s="1333" t="s">
        <v>53</v>
      </c>
      <c r="J43" s="1334" t="str">
        <f>VLOOKUP(C43,Acc_Char!B:K,3,)</f>
        <v>BW SUPLLY CHAIN CITY</v>
      </c>
      <c r="K43" s="1334" t="str">
        <f>VLOOKUP(C43,Acc_Char!B:K,7,)</f>
        <v>Subsidiaries</v>
      </c>
      <c r="L43" s="1334" t="str">
        <f t="shared" si="3"/>
        <v>Operating expense</v>
      </c>
      <c r="M43" s="1335" t="str">
        <f>VLOOKUP(C43,Acc_Char!B:K,5,)</f>
        <v>VND</v>
      </c>
      <c r="N43" s="1335" t="str">
        <f>VLOOKUP(C43,Acc_Char!B:K,6,)</f>
        <v>Current Account</v>
      </c>
      <c r="O43" s="1336" t="str">
        <f>Summary!$B$4</f>
        <v>W1-2Jan26</v>
      </c>
      <c r="P43" s="1334" t="str">
        <f t="shared" si="4"/>
        <v>1018291733</v>
      </c>
    </row>
    <row r="44" spans="1:17" ht="28.8">
      <c r="A44" s="1018" t="s">
        <v>1567</v>
      </c>
      <c r="B44" s="460" t="s">
        <v>112</v>
      </c>
      <c r="C44" s="1092" t="s">
        <v>574</v>
      </c>
      <c r="D44" s="1389">
        <v>46036</v>
      </c>
      <c r="E44" s="1339" t="s">
        <v>1610</v>
      </c>
      <c r="F44" s="1311">
        <v>0</v>
      </c>
      <c r="G44" s="1313">
        <v>14490</v>
      </c>
      <c r="H44" s="1082">
        <f t="shared" si="0"/>
        <v>-14490</v>
      </c>
      <c r="I44" s="1333" t="s">
        <v>53</v>
      </c>
      <c r="J44" s="1334" t="str">
        <f>VLOOKUP(C44,Acc_Char!B:K,3,)</f>
        <v>BW SUPLLY CHAIN CITY</v>
      </c>
      <c r="K44" s="1334" t="str">
        <f>VLOOKUP(C44,Acc_Char!B:K,7,)</f>
        <v>Subsidiaries</v>
      </c>
      <c r="L44" s="1334" t="str">
        <f t="shared" si="3"/>
        <v>Operating expense</v>
      </c>
      <c r="M44" s="1335" t="str">
        <f>VLOOKUP(C44,Acc_Char!B:K,5,)</f>
        <v>VND</v>
      </c>
      <c r="N44" s="1335" t="str">
        <f>VLOOKUP(C44,Acc_Char!B:K,6,)</f>
        <v>Current Account</v>
      </c>
      <c r="O44" s="1336" t="str">
        <f>Summary!$B$4</f>
        <v>W1-2Jan26</v>
      </c>
      <c r="P44" s="1334" t="str">
        <f t="shared" si="4"/>
        <v>1018291733</v>
      </c>
    </row>
    <row r="45" spans="1:17" ht="28.8">
      <c r="A45" s="1018" t="s">
        <v>1567</v>
      </c>
      <c r="B45" s="460" t="s">
        <v>112</v>
      </c>
      <c r="C45" s="1092" t="s">
        <v>574</v>
      </c>
      <c r="D45" s="1389">
        <v>46036</v>
      </c>
      <c r="E45" s="1339" t="s">
        <v>1611</v>
      </c>
      <c r="F45" s="1311">
        <v>0</v>
      </c>
      <c r="G45" s="1313">
        <v>43470</v>
      </c>
      <c r="H45" s="1082">
        <f t="shared" si="0"/>
        <v>-43470</v>
      </c>
      <c r="I45" s="1333" t="s">
        <v>53</v>
      </c>
      <c r="J45" s="1334" t="str">
        <f>VLOOKUP(C45,Acc_Char!B:K,3,)</f>
        <v>BW SUPLLY CHAIN CITY</v>
      </c>
      <c r="K45" s="1334" t="str">
        <f>VLOOKUP(C45,Acc_Char!B:K,7,)</f>
        <v>Subsidiaries</v>
      </c>
      <c r="L45" s="1334" t="str">
        <f t="shared" si="3"/>
        <v>Operating expense</v>
      </c>
      <c r="M45" s="1335" t="str">
        <f>VLOOKUP(C45,Acc_Char!B:K,5,)</f>
        <v>VND</v>
      </c>
      <c r="N45" s="1335" t="str">
        <f>VLOOKUP(C45,Acc_Char!B:K,6,)</f>
        <v>Current Account</v>
      </c>
      <c r="O45" s="1336" t="str">
        <f>Summary!$B$4</f>
        <v>W1-2Jan26</v>
      </c>
      <c r="P45" s="1334" t="str">
        <f t="shared" si="4"/>
        <v>1018291733</v>
      </c>
    </row>
    <row r="46" spans="1:17" ht="28.8">
      <c r="A46" s="1018" t="s">
        <v>1567</v>
      </c>
      <c r="B46" s="460" t="s">
        <v>112</v>
      </c>
      <c r="C46" s="1092" t="s">
        <v>574</v>
      </c>
      <c r="D46" s="1389">
        <v>46036</v>
      </c>
      <c r="E46" s="1339" t="s">
        <v>1612</v>
      </c>
      <c r="F46" s="1311">
        <v>0</v>
      </c>
      <c r="G46" s="1313">
        <v>15870</v>
      </c>
      <c r="H46" s="1082">
        <f t="shared" si="0"/>
        <v>-15870</v>
      </c>
      <c r="I46" s="1333" t="s">
        <v>53</v>
      </c>
      <c r="J46" s="1334" t="str">
        <f>VLOOKUP(C46,Acc_Char!B:K,3,)</f>
        <v>BW SUPLLY CHAIN CITY</v>
      </c>
      <c r="K46" s="1334" t="str">
        <f>VLOOKUP(C46,Acc_Char!B:K,7,)</f>
        <v>Subsidiaries</v>
      </c>
      <c r="L46" s="1334" t="str">
        <f t="shared" si="3"/>
        <v>Operating expense</v>
      </c>
      <c r="M46" s="1335" t="str">
        <f>VLOOKUP(C46,Acc_Char!B:K,5,)</f>
        <v>VND</v>
      </c>
      <c r="N46" s="1335" t="str">
        <f>VLOOKUP(C46,Acc_Char!B:K,6,)</f>
        <v>Current Account</v>
      </c>
      <c r="O46" s="1336" t="str">
        <f>Summary!$B$4</f>
        <v>W1-2Jan26</v>
      </c>
      <c r="P46" s="1334" t="str">
        <f t="shared" si="4"/>
        <v>1018291733</v>
      </c>
    </row>
    <row r="47" spans="1:17" ht="28.8">
      <c r="A47" s="1018" t="s">
        <v>1567</v>
      </c>
      <c r="B47" s="460" t="s">
        <v>112</v>
      </c>
      <c r="C47" s="1092" t="s">
        <v>574</v>
      </c>
      <c r="D47" s="1389">
        <v>46036</v>
      </c>
      <c r="E47" s="1339" t="s">
        <v>1613</v>
      </c>
      <c r="F47" s="1311">
        <v>0</v>
      </c>
      <c r="G47" s="1313">
        <v>79350</v>
      </c>
      <c r="H47" s="1082">
        <f t="shared" si="0"/>
        <v>-79350</v>
      </c>
      <c r="I47" s="1333" t="s">
        <v>53</v>
      </c>
      <c r="J47" s="1334" t="str">
        <f>VLOOKUP(C47,Acc_Char!B:K,3,)</f>
        <v>BW SUPLLY CHAIN CITY</v>
      </c>
      <c r="K47" s="1334" t="str">
        <f>VLOOKUP(C47,Acc_Char!B:K,7,)</f>
        <v>Subsidiaries</v>
      </c>
      <c r="L47" s="1334" t="str">
        <f t="shared" si="3"/>
        <v>Operating expense</v>
      </c>
      <c r="M47" s="1335" t="str">
        <f>VLOOKUP(C47,Acc_Char!B:K,5,)</f>
        <v>VND</v>
      </c>
      <c r="N47" s="1335" t="str">
        <f>VLOOKUP(C47,Acc_Char!B:K,6,)</f>
        <v>Current Account</v>
      </c>
      <c r="O47" s="1336" t="str">
        <f>Summary!$B$4</f>
        <v>W1-2Jan26</v>
      </c>
      <c r="P47" s="1334" t="str">
        <f t="shared" si="4"/>
        <v>1018291733</v>
      </c>
    </row>
    <row r="48" spans="1:17" ht="28.8">
      <c r="A48" s="1018" t="s">
        <v>1567</v>
      </c>
      <c r="B48" s="460" t="s">
        <v>112</v>
      </c>
      <c r="C48" s="1393" t="s">
        <v>574</v>
      </c>
      <c r="D48" s="1389">
        <v>46036</v>
      </c>
      <c r="E48" s="1339" t="s">
        <v>1614</v>
      </c>
      <c r="F48" s="1311">
        <v>0</v>
      </c>
      <c r="G48" s="1313">
        <v>269790</v>
      </c>
      <c r="H48" s="1082">
        <f t="shared" si="0"/>
        <v>-269790</v>
      </c>
      <c r="I48" s="1333" t="s">
        <v>53</v>
      </c>
      <c r="J48" s="1334" t="str">
        <f>VLOOKUP(C48,Acc_Char!B:K,3,)</f>
        <v>BW SUPLLY CHAIN CITY</v>
      </c>
      <c r="K48" s="1334" t="str">
        <f>VLOOKUP(C48,Acc_Char!B:K,7,)</f>
        <v>Subsidiaries</v>
      </c>
      <c r="L48" s="1334" t="str">
        <f t="shared" si="3"/>
        <v>Operating expense</v>
      </c>
      <c r="M48" s="1335" t="str">
        <f>VLOOKUP(C48,Acc_Char!B:K,5,)</f>
        <v>VND</v>
      </c>
      <c r="N48" s="1335" t="str">
        <f>VLOOKUP(C48,Acc_Char!B:K,6,)</f>
        <v>Current Account</v>
      </c>
      <c r="O48" s="1336" t="str">
        <f>Summary!$B$4</f>
        <v>W1-2Jan26</v>
      </c>
      <c r="P48" s="1334" t="str">
        <f t="shared" si="4"/>
        <v>1018291733</v>
      </c>
    </row>
    <row r="49" spans="1:17" ht="28.8">
      <c r="A49" s="1018" t="s">
        <v>1567</v>
      </c>
      <c r="B49" s="460" t="s">
        <v>112</v>
      </c>
      <c r="C49" s="1092" t="s">
        <v>574</v>
      </c>
      <c r="D49" s="1389">
        <v>46036</v>
      </c>
      <c r="E49" s="1339" t="s">
        <v>1615</v>
      </c>
      <c r="F49" s="1311">
        <v>0</v>
      </c>
      <c r="G49" s="1313">
        <v>380880</v>
      </c>
      <c r="H49" s="1082">
        <f t="shared" si="0"/>
        <v>-380880</v>
      </c>
      <c r="I49" s="1333" t="s">
        <v>53</v>
      </c>
      <c r="J49" s="1334" t="str">
        <f>VLOOKUP(C49,Acc_Char!B:K,3,)</f>
        <v>BW SUPLLY CHAIN CITY</v>
      </c>
      <c r="K49" s="1334" t="str">
        <f>VLOOKUP(C49,Acc_Char!B:K,7,)</f>
        <v>Subsidiaries</v>
      </c>
      <c r="L49" s="1334" t="str">
        <f t="shared" si="3"/>
        <v>Operating expense</v>
      </c>
      <c r="M49" s="1335" t="str">
        <f>VLOOKUP(C49,Acc_Char!B:K,5,)</f>
        <v>VND</v>
      </c>
      <c r="N49" s="1335" t="str">
        <f>VLOOKUP(C49,Acc_Char!B:K,6,)</f>
        <v>Current Account</v>
      </c>
      <c r="O49" s="1336" t="str">
        <f>Summary!$B$4</f>
        <v>W1-2Jan26</v>
      </c>
      <c r="P49" s="1334" t="str">
        <f t="shared" si="4"/>
        <v>1018291733</v>
      </c>
    </row>
    <row r="50" spans="1:17" ht="28.8">
      <c r="A50" s="1018" t="s">
        <v>1567</v>
      </c>
      <c r="B50" s="460" t="s">
        <v>112</v>
      </c>
      <c r="C50" s="1092" t="s">
        <v>574</v>
      </c>
      <c r="D50" s="1389">
        <v>46036</v>
      </c>
      <c r="E50" s="1339" t="s">
        <v>1616</v>
      </c>
      <c r="F50" s="1311">
        <v>0</v>
      </c>
      <c r="G50" s="1313">
        <v>28980</v>
      </c>
      <c r="H50" s="1082">
        <f t="shared" si="0"/>
        <v>-28980</v>
      </c>
      <c r="I50" s="103" t="s">
        <v>53</v>
      </c>
      <c r="J50" s="1334" t="str">
        <f>VLOOKUP(C50,Acc_Char!B:K,3,)</f>
        <v>BW SUPLLY CHAIN CITY</v>
      </c>
      <c r="K50" s="1334" t="str">
        <f>VLOOKUP(C50,Acc_Char!B:K,7,)</f>
        <v>Subsidiaries</v>
      </c>
      <c r="L50" s="1334" t="str">
        <f t="shared" si="3"/>
        <v>Operating expense</v>
      </c>
      <c r="M50" s="1335" t="str">
        <f>VLOOKUP(C50,Acc_Char!B:K,5,)</f>
        <v>VND</v>
      </c>
      <c r="N50" s="1335" t="str">
        <f>VLOOKUP(C50,Acc_Char!B:K,6,)</f>
        <v>Current Account</v>
      </c>
      <c r="O50" s="1336" t="str">
        <f>Summary!$B$4</f>
        <v>W1-2Jan26</v>
      </c>
      <c r="P50" s="1334" t="str">
        <f t="shared" si="4"/>
        <v>1018291733</v>
      </c>
    </row>
    <row r="51" spans="1:17" ht="28.8">
      <c r="A51" s="1018" t="s">
        <v>1567</v>
      </c>
      <c r="B51" s="460" t="s">
        <v>112</v>
      </c>
      <c r="C51" s="1092" t="s">
        <v>574</v>
      </c>
      <c r="D51" s="1389">
        <v>46036</v>
      </c>
      <c r="E51" s="1339" t="s">
        <v>1617</v>
      </c>
      <c r="F51" s="1311">
        <v>0</v>
      </c>
      <c r="G51" s="1313">
        <v>761760</v>
      </c>
      <c r="H51" s="1082">
        <f t="shared" si="0"/>
        <v>-761760</v>
      </c>
      <c r="I51" s="1333" t="s">
        <v>53</v>
      </c>
      <c r="J51" s="1334" t="str">
        <f>VLOOKUP(C51,Acc_Char!B:K,3,)</f>
        <v>BW SUPLLY CHAIN CITY</v>
      </c>
      <c r="K51" s="1334" t="str">
        <f>VLOOKUP(C51,Acc_Char!B:K,7,)</f>
        <v>Subsidiaries</v>
      </c>
      <c r="L51" s="1334" t="str">
        <f t="shared" si="3"/>
        <v>Operating expense</v>
      </c>
      <c r="M51" s="1335" t="str">
        <f>VLOOKUP(C51,Acc_Char!B:K,5,)</f>
        <v>VND</v>
      </c>
      <c r="N51" s="1335" t="str">
        <f>VLOOKUP(C51,Acc_Char!B:K,6,)</f>
        <v>Current Account</v>
      </c>
      <c r="O51" s="1336" t="str">
        <f>Summary!$B$4</f>
        <v>W1-2Jan26</v>
      </c>
      <c r="P51" s="1334" t="str">
        <f t="shared" si="4"/>
        <v>1018291733</v>
      </c>
    </row>
    <row r="52" spans="1:17" ht="28.8">
      <c r="A52" s="1018" t="s">
        <v>1567</v>
      </c>
      <c r="B52" s="460" t="s">
        <v>112</v>
      </c>
      <c r="C52" s="1092" t="s">
        <v>574</v>
      </c>
      <c r="D52" s="1389">
        <v>46036</v>
      </c>
      <c r="E52" s="1339" t="s">
        <v>1618</v>
      </c>
      <c r="F52" s="1311">
        <v>0</v>
      </c>
      <c r="G52" s="1313">
        <v>333270</v>
      </c>
      <c r="H52" s="1082">
        <f t="shared" si="0"/>
        <v>-333270</v>
      </c>
      <c r="I52" s="1333" t="s">
        <v>53</v>
      </c>
      <c r="J52" s="1334" t="str">
        <f>VLOOKUP(C52,Acc_Char!B:K,3,)</f>
        <v>BW SUPLLY CHAIN CITY</v>
      </c>
      <c r="K52" s="1334" t="str">
        <f>VLOOKUP(C52,Acc_Char!B:K,7,)</f>
        <v>Subsidiaries</v>
      </c>
      <c r="L52" s="1334" t="str">
        <f t="shared" si="3"/>
        <v>Operating expense</v>
      </c>
      <c r="M52" s="1335" t="str">
        <f>VLOOKUP(C52,Acc_Char!B:K,5,)</f>
        <v>VND</v>
      </c>
      <c r="N52" s="1335" t="str">
        <f>VLOOKUP(C52,Acc_Char!B:K,6,)</f>
        <v>Current Account</v>
      </c>
      <c r="O52" s="1336" t="str">
        <f>Summary!$B$4</f>
        <v>W1-2Jan26</v>
      </c>
      <c r="P52" s="1334" t="str">
        <f t="shared" si="4"/>
        <v>1018291733</v>
      </c>
    </row>
    <row r="53" spans="1:17" ht="28.8">
      <c r="A53" s="1018" t="s">
        <v>1567</v>
      </c>
      <c r="B53" s="460" t="s">
        <v>112</v>
      </c>
      <c r="C53" s="1092" t="s">
        <v>574</v>
      </c>
      <c r="D53" s="1389">
        <v>46036</v>
      </c>
      <c r="E53" s="1339" t="s">
        <v>1619</v>
      </c>
      <c r="F53" s="1311">
        <v>0</v>
      </c>
      <c r="G53" s="1313">
        <v>28980</v>
      </c>
      <c r="H53" s="1082">
        <f t="shared" si="0"/>
        <v>-28980</v>
      </c>
      <c r="I53" s="1333" t="s">
        <v>53</v>
      </c>
      <c r="J53" s="1334" t="str">
        <f>VLOOKUP(C53,Acc_Char!B:K,3,)</f>
        <v>BW SUPLLY CHAIN CITY</v>
      </c>
      <c r="K53" s="1334" t="str">
        <f>VLOOKUP(C53,Acc_Char!B:K,7,)</f>
        <v>Subsidiaries</v>
      </c>
      <c r="L53" s="1334" t="str">
        <f t="shared" si="3"/>
        <v>Operating expense</v>
      </c>
      <c r="M53" s="1335" t="str">
        <f>VLOOKUP(C53,Acc_Char!B:K,5,)</f>
        <v>VND</v>
      </c>
      <c r="N53" s="1335" t="str">
        <f>VLOOKUP(C53,Acc_Char!B:K,6,)</f>
        <v>Current Account</v>
      </c>
      <c r="O53" s="1336" t="str">
        <f>Summary!$B$4</f>
        <v>W1-2Jan26</v>
      </c>
      <c r="P53" s="1334" t="str">
        <f t="shared" si="4"/>
        <v>1018291733</v>
      </c>
    </row>
    <row r="54" spans="1:17" ht="28.8">
      <c r="A54" s="1018" t="s">
        <v>1567</v>
      </c>
      <c r="B54" s="460" t="s">
        <v>112</v>
      </c>
      <c r="C54" s="1092" t="s">
        <v>1252</v>
      </c>
      <c r="D54" s="1389">
        <v>46034</v>
      </c>
      <c r="E54" s="1339" t="s">
        <v>1620</v>
      </c>
      <c r="F54" s="1311">
        <v>0</v>
      </c>
      <c r="G54" s="1313">
        <v>123113246</v>
      </c>
      <c r="H54" s="1082">
        <f t="shared" si="0"/>
        <v>-123113246</v>
      </c>
      <c r="I54" s="1333" t="s">
        <v>53</v>
      </c>
      <c r="J54" s="1334" t="str">
        <f>VLOOKUP(C54,Acc_Char!B:K,3,)</f>
        <v>BWID THOI HOA</v>
      </c>
      <c r="K54" s="1334" t="str">
        <f>VLOOKUP(C54,Acc_Char!B:K,7,)</f>
        <v>Subsidiaries</v>
      </c>
      <c r="L54" s="1334" t="str">
        <f t="shared" si="3"/>
        <v>Operating expense</v>
      </c>
      <c r="M54" s="1335" t="str">
        <f>VLOOKUP(C54,Acc_Char!B:K,5,)</f>
        <v>VND</v>
      </c>
      <c r="N54" s="1335" t="str">
        <f>VLOOKUP(C54,Acc_Char!B:K,6,)</f>
        <v>Current Account</v>
      </c>
      <c r="O54" s="1336" t="str">
        <f>Summary!$B$4</f>
        <v>W1-2Jan26</v>
      </c>
      <c r="P54" s="1334" t="str">
        <f t="shared" si="4"/>
        <v>1057270760</v>
      </c>
    </row>
    <row r="55" spans="1:17" ht="28.8">
      <c r="A55" s="1018" t="s">
        <v>1567</v>
      </c>
      <c r="B55" s="460" t="s">
        <v>112</v>
      </c>
      <c r="C55" s="1092" t="s">
        <v>1252</v>
      </c>
      <c r="D55" s="1389">
        <v>46027</v>
      </c>
      <c r="E55" s="1339" t="s">
        <v>1621</v>
      </c>
      <c r="F55" s="1311">
        <v>0</v>
      </c>
      <c r="G55" s="1313">
        <v>177962910</v>
      </c>
      <c r="H55" s="1082">
        <f t="shared" si="0"/>
        <v>-177962910</v>
      </c>
      <c r="I55" s="1333" t="s">
        <v>53</v>
      </c>
      <c r="J55" s="1334" t="str">
        <f>VLOOKUP(C55,Acc_Char!B:K,3,)</f>
        <v>BWID THOI HOA</v>
      </c>
      <c r="K55" s="1334" t="str">
        <f>VLOOKUP(C55,Acc_Char!B:K,7,)</f>
        <v>Subsidiaries</v>
      </c>
      <c r="L55" s="1334" t="str">
        <f t="shared" si="3"/>
        <v>Operating expense</v>
      </c>
      <c r="M55" s="1335" t="str">
        <f>VLOOKUP(C55,Acc_Char!B:K,5,)</f>
        <v>VND</v>
      </c>
      <c r="N55" s="1335" t="str">
        <f>VLOOKUP(C55,Acc_Char!B:K,6,)</f>
        <v>Current Account</v>
      </c>
      <c r="O55" s="1336" t="str">
        <f>Summary!$B$4</f>
        <v>W1-2Jan26</v>
      </c>
      <c r="P55" s="1334" t="str">
        <f t="shared" si="4"/>
        <v>1057270760</v>
      </c>
    </row>
    <row r="56" spans="1:17" ht="28.8">
      <c r="A56" s="1018" t="s">
        <v>1567</v>
      </c>
      <c r="B56" s="460" t="s">
        <v>112</v>
      </c>
      <c r="C56" s="1092" t="s">
        <v>1252</v>
      </c>
      <c r="D56" s="1389">
        <v>46034</v>
      </c>
      <c r="E56" s="1339" t="s">
        <v>1622</v>
      </c>
      <c r="F56" s="1311">
        <v>0</v>
      </c>
      <c r="G56" s="1313">
        <v>126484176</v>
      </c>
      <c r="H56" s="1082">
        <f t="shared" si="0"/>
        <v>-126484176</v>
      </c>
      <c r="I56" s="1333" t="s">
        <v>53</v>
      </c>
      <c r="J56" s="1334" t="str">
        <f>VLOOKUP(C56,Acc_Char!B:K,3,)</f>
        <v>BWID THOI HOA</v>
      </c>
      <c r="K56" s="1334" t="str">
        <f>VLOOKUP(C56,Acc_Char!B:K,7,)</f>
        <v>Subsidiaries</v>
      </c>
      <c r="L56" s="1334" t="str">
        <f t="shared" si="3"/>
        <v>Operating expense</v>
      </c>
      <c r="M56" s="1335" t="str">
        <f>VLOOKUP(C56,Acc_Char!B:K,5,)</f>
        <v>VND</v>
      </c>
      <c r="N56" s="1335" t="str">
        <f>VLOOKUP(C56,Acc_Char!B:K,6,)</f>
        <v>Current Account</v>
      </c>
      <c r="O56" s="1336" t="str">
        <f>Summary!$B$4</f>
        <v>W1-2Jan26</v>
      </c>
      <c r="P56" s="1334" t="str">
        <f t="shared" si="4"/>
        <v>1057270760</v>
      </c>
    </row>
    <row r="57" spans="1:17" ht="28.8">
      <c r="A57" s="1018" t="s">
        <v>1567</v>
      </c>
      <c r="B57" s="460" t="s">
        <v>112</v>
      </c>
      <c r="C57" s="1092" t="s">
        <v>1252</v>
      </c>
      <c r="D57" s="1389">
        <v>46027</v>
      </c>
      <c r="E57" s="1339" t="s">
        <v>1623</v>
      </c>
      <c r="F57" s="1311">
        <v>0</v>
      </c>
      <c r="G57" s="1313">
        <v>142494468</v>
      </c>
      <c r="H57" s="1082">
        <f t="shared" si="0"/>
        <v>-142494468</v>
      </c>
      <c r="I57" s="1333" t="s">
        <v>53</v>
      </c>
      <c r="J57" s="1334" t="str">
        <f>VLOOKUP(C57,Acc_Char!B:K,3,)</f>
        <v>BWID THOI HOA</v>
      </c>
      <c r="K57" s="1334" t="str">
        <f>VLOOKUP(C57,Acc_Char!B:K,7,)</f>
        <v>Subsidiaries</v>
      </c>
      <c r="L57" s="1334" t="str">
        <f t="shared" si="3"/>
        <v>Operating expense</v>
      </c>
      <c r="M57" s="1335" t="str">
        <f>VLOOKUP(C57,Acc_Char!B:K,5,)</f>
        <v>VND</v>
      </c>
      <c r="N57" s="1335" t="str">
        <f>VLOOKUP(C57,Acc_Char!B:K,6,)</f>
        <v>Current Account</v>
      </c>
      <c r="O57" s="1336" t="str">
        <f>Summary!$B$4</f>
        <v>W1-2Jan26</v>
      </c>
      <c r="P57" s="1334" t="str">
        <f t="shared" si="4"/>
        <v>1057270760</v>
      </c>
    </row>
    <row r="58" spans="1:17" ht="28.8">
      <c r="A58" s="1018" t="s">
        <v>1567</v>
      </c>
      <c r="B58" s="460" t="s">
        <v>112</v>
      </c>
      <c r="C58" s="1092" t="s">
        <v>1252</v>
      </c>
      <c r="D58" s="1389">
        <v>46027</v>
      </c>
      <c r="E58" s="1339" t="s">
        <v>1624</v>
      </c>
      <c r="F58" s="1311">
        <v>0</v>
      </c>
      <c r="G58" s="1313">
        <v>118891539</v>
      </c>
      <c r="H58" s="1082">
        <f t="shared" si="0"/>
        <v>-118891539</v>
      </c>
      <c r="I58" s="1333" t="s">
        <v>53</v>
      </c>
      <c r="J58" s="1334" t="str">
        <f>VLOOKUP(C58,Acc_Char!B:K,3,)</f>
        <v>BWID THOI HOA</v>
      </c>
      <c r="K58" s="1334" t="str">
        <f>VLOOKUP(C58,Acc_Char!B:K,7,)</f>
        <v>Subsidiaries</v>
      </c>
      <c r="L58" s="1334" t="str">
        <f t="shared" si="3"/>
        <v>Operating expense</v>
      </c>
      <c r="M58" s="1335" t="str">
        <f>VLOOKUP(C58,Acc_Char!B:K,5,)</f>
        <v>VND</v>
      </c>
      <c r="N58" s="1335" t="str">
        <f>VLOOKUP(C58,Acc_Char!B:K,6,)</f>
        <v>Current Account</v>
      </c>
      <c r="O58" s="1336" t="str">
        <f>Summary!$B$4</f>
        <v>W1-2Jan26</v>
      </c>
      <c r="P58" s="1334" t="str">
        <f t="shared" si="4"/>
        <v>1057270760</v>
      </c>
    </row>
    <row r="59" spans="1:17" ht="28.8">
      <c r="A59" s="1018" t="s">
        <v>1567</v>
      </c>
      <c r="B59" s="460" t="s">
        <v>112</v>
      </c>
      <c r="C59" s="1092" t="s">
        <v>1252</v>
      </c>
      <c r="D59" s="1389">
        <v>46027</v>
      </c>
      <c r="E59" s="1339" t="s">
        <v>1625</v>
      </c>
      <c r="F59" s="1311">
        <v>0</v>
      </c>
      <c r="G59" s="1313">
        <v>144421134</v>
      </c>
      <c r="H59" s="1082">
        <f t="shared" si="0"/>
        <v>-144421134</v>
      </c>
      <c r="I59" s="1333" t="s">
        <v>53</v>
      </c>
      <c r="J59" s="1334" t="str">
        <f>VLOOKUP(C59,Acc_Char!B:K,3,)</f>
        <v>BWID THOI HOA</v>
      </c>
      <c r="K59" s="1334" t="str">
        <f>VLOOKUP(C59,Acc_Char!B:K,7,)</f>
        <v>Subsidiaries</v>
      </c>
      <c r="L59" s="1334" t="str">
        <f t="shared" si="3"/>
        <v>Operating expense</v>
      </c>
      <c r="M59" s="1335" t="str">
        <f>VLOOKUP(C59,Acc_Char!B:K,5,)</f>
        <v>VND</v>
      </c>
      <c r="N59" s="1335" t="str">
        <f>VLOOKUP(C59,Acc_Char!B:K,6,)</f>
        <v>Current Account</v>
      </c>
      <c r="O59" s="1336" t="str">
        <f>Summary!$B$4</f>
        <v>W1-2Jan26</v>
      </c>
      <c r="P59" s="1334" t="str">
        <f t="shared" si="4"/>
        <v>1057270760</v>
      </c>
    </row>
    <row r="60" spans="1:17" ht="28.8">
      <c r="A60" s="1018" t="s">
        <v>1567</v>
      </c>
      <c r="B60" s="460" t="s">
        <v>112</v>
      </c>
      <c r="C60" s="1092" t="s">
        <v>574</v>
      </c>
      <c r="D60" s="1389">
        <v>46024</v>
      </c>
      <c r="E60" s="1339" t="s">
        <v>1626</v>
      </c>
      <c r="F60" s="1311">
        <v>0</v>
      </c>
      <c r="G60" s="1313">
        <v>20646239</v>
      </c>
      <c r="H60" s="1082">
        <f t="shared" si="0"/>
        <v>-20646239</v>
      </c>
      <c r="I60" s="1333" t="s">
        <v>53</v>
      </c>
      <c r="J60" s="1334" t="str">
        <f>VLOOKUP(C60,Acc_Char!B:K,3,)</f>
        <v>BW SUPLLY CHAIN CITY</v>
      </c>
      <c r="K60" s="1334" t="str">
        <f>VLOOKUP(C60,Acc_Char!B:K,7,)</f>
        <v>Subsidiaries</v>
      </c>
      <c r="L60" s="1334" t="str">
        <f t="shared" si="3"/>
        <v>Operating expense</v>
      </c>
      <c r="M60" s="1335" t="str">
        <f>VLOOKUP(C60,Acc_Char!B:K,5,)</f>
        <v>VND</v>
      </c>
      <c r="N60" s="1335" t="str">
        <f>VLOOKUP(C60,Acc_Char!B:K,6,)</f>
        <v>Current Account</v>
      </c>
      <c r="O60" s="1336" t="str">
        <f>Summary!$B$4</f>
        <v>W1-2Jan26</v>
      </c>
      <c r="P60" s="1334" t="str">
        <f t="shared" si="4"/>
        <v>1018291733</v>
      </c>
      <c r="Q60" s="1024"/>
    </row>
    <row r="61" spans="1:17" ht="28.8">
      <c r="A61" s="1018" t="s">
        <v>1567</v>
      </c>
      <c r="B61" s="460" t="s">
        <v>112</v>
      </c>
      <c r="C61" s="1092" t="s">
        <v>574</v>
      </c>
      <c r="D61" s="1389">
        <v>46024</v>
      </c>
      <c r="E61" s="1339" t="s">
        <v>1627</v>
      </c>
      <c r="F61" s="1311">
        <v>0</v>
      </c>
      <c r="G61" s="1313">
        <v>12660051</v>
      </c>
      <c r="H61" s="1082">
        <f t="shared" si="0"/>
        <v>-12660051</v>
      </c>
      <c r="I61" s="1333" t="s">
        <v>53</v>
      </c>
      <c r="J61" s="1334" t="str">
        <f>VLOOKUP(C61,Acc_Char!B:K,3,)</f>
        <v>BW SUPLLY CHAIN CITY</v>
      </c>
      <c r="K61" s="1334" t="str">
        <f>VLOOKUP(C61,Acc_Char!B:K,7,)</f>
        <v>Subsidiaries</v>
      </c>
      <c r="L61" s="1334" t="str">
        <f t="shared" si="3"/>
        <v>Operating expense</v>
      </c>
      <c r="M61" s="1335" t="str">
        <f>VLOOKUP(C61,Acc_Char!B:K,5,)</f>
        <v>VND</v>
      </c>
      <c r="N61" s="1335" t="str">
        <f>VLOOKUP(C61,Acc_Char!B:K,6,)</f>
        <v>Current Account</v>
      </c>
      <c r="O61" s="1336" t="str">
        <f>Summary!$B$4</f>
        <v>W1-2Jan26</v>
      </c>
      <c r="P61" s="1334" t="str">
        <f t="shared" si="4"/>
        <v>1018291733</v>
      </c>
    </row>
    <row r="62" spans="1:17" ht="28.8">
      <c r="A62" s="1018" t="s">
        <v>1567</v>
      </c>
      <c r="B62" s="460" t="s">
        <v>112</v>
      </c>
      <c r="C62" s="1092" t="s">
        <v>574</v>
      </c>
      <c r="D62" s="1389">
        <v>46024</v>
      </c>
      <c r="E62" s="1339" t="s">
        <v>1628</v>
      </c>
      <c r="F62" s="1311">
        <v>0</v>
      </c>
      <c r="G62" s="1313">
        <v>147983594</v>
      </c>
      <c r="H62" s="1082">
        <f t="shared" si="0"/>
        <v>-147983594</v>
      </c>
      <c r="I62" s="1333" t="s">
        <v>53</v>
      </c>
      <c r="J62" s="1334" t="str">
        <f>VLOOKUP(C62,Acc_Char!B:K,3,)</f>
        <v>BW SUPLLY CHAIN CITY</v>
      </c>
      <c r="K62" s="1334" t="str">
        <f>VLOOKUP(C62,Acc_Char!B:K,7,)</f>
        <v>Subsidiaries</v>
      </c>
      <c r="L62" s="1334" t="str">
        <f t="shared" si="3"/>
        <v>Operating expense</v>
      </c>
      <c r="M62" s="1335" t="str">
        <f>VLOOKUP(C62,Acc_Char!B:K,5,)</f>
        <v>VND</v>
      </c>
      <c r="N62" s="1335" t="str">
        <f>VLOOKUP(C62,Acc_Char!B:K,6,)</f>
        <v>Current Account</v>
      </c>
      <c r="O62" s="1336" t="str">
        <f>Summary!$B$4</f>
        <v>W1-2Jan26</v>
      </c>
      <c r="P62" s="1334" t="str">
        <f t="shared" si="4"/>
        <v>1018291733</v>
      </c>
    </row>
    <row r="63" spans="1:17" ht="28.8">
      <c r="A63" s="1018" t="s">
        <v>1567</v>
      </c>
      <c r="B63" s="460" t="s">
        <v>112</v>
      </c>
      <c r="C63" s="1092" t="s">
        <v>574</v>
      </c>
      <c r="D63" s="1389">
        <v>46024</v>
      </c>
      <c r="E63" s="1339" t="s">
        <v>1629</v>
      </c>
      <c r="F63" s="1311">
        <v>0</v>
      </c>
      <c r="G63" s="1313">
        <v>336518</v>
      </c>
      <c r="H63" s="1082">
        <f t="shared" si="0"/>
        <v>-336518</v>
      </c>
      <c r="I63" s="1333" t="s">
        <v>53</v>
      </c>
      <c r="J63" s="1334" t="str">
        <f>VLOOKUP(C63,Acc_Char!B:K,3,)</f>
        <v>BW SUPLLY CHAIN CITY</v>
      </c>
      <c r="K63" s="1334" t="str">
        <f>VLOOKUP(C63,Acc_Char!B:K,7,)</f>
        <v>Subsidiaries</v>
      </c>
      <c r="L63" s="1334" t="str">
        <f t="shared" si="3"/>
        <v>Operating expense</v>
      </c>
      <c r="M63" s="1335" t="str">
        <f>VLOOKUP(C63,Acc_Char!B:K,5,)</f>
        <v>VND</v>
      </c>
      <c r="N63" s="1335" t="str">
        <f>VLOOKUP(C63,Acc_Char!B:K,6,)</f>
        <v>Current Account</v>
      </c>
      <c r="O63" s="1336" t="str">
        <f>Summary!$B$4</f>
        <v>W1-2Jan26</v>
      </c>
      <c r="P63" s="1334" t="str">
        <f t="shared" si="4"/>
        <v>1018291733</v>
      </c>
    </row>
    <row r="64" spans="1:17" ht="28.8">
      <c r="A64" s="1018" t="s">
        <v>1567</v>
      </c>
      <c r="B64" s="460" t="s">
        <v>112</v>
      </c>
      <c r="C64" s="1393" t="s">
        <v>574</v>
      </c>
      <c r="D64" s="1389">
        <v>46024</v>
      </c>
      <c r="E64" s="1339" t="s">
        <v>1630</v>
      </c>
      <c r="F64" s="1311">
        <v>0</v>
      </c>
      <c r="G64" s="1313">
        <v>730832</v>
      </c>
      <c r="H64" s="1082">
        <f t="shared" si="0"/>
        <v>-730832</v>
      </c>
      <c r="I64" s="1333" t="s">
        <v>53</v>
      </c>
      <c r="J64" s="1334" t="str">
        <f>VLOOKUP(C64,Acc_Char!B:K,3,)</f>
        <v>BW SUPLLY CHAIN CITY</v>
      </c>
      <c r="K64" s="1334" t="str">
        <f>VLOOKUP(C64,Acc_Char!B:K,7,)</f>
        <v>Subsidiaries</v>
      </c>
      <c r="L64" s="1334" t="str">
        <f t="shared" si="3"/>
        <v>Operating expense</v>
      </c>
      <c r="M64" s="1335" t="str">
        <f>VLOOKUP(C64,Acc_Char!B:K,5,)</f>
        <v>VND</v>
      </c>
      <c r="N64" s="1335" t="str">
        <f>VLOOKUP(C64,Acc_Char!B:K,6,)</f>
        <v>Current Account</v>
      </c>
      <c r="O64" s="1336" t="str">
        <f>Summary!$B$4</f>
        <v>W1-2Jan26</v>
      </c>
      <c r="P64" s="1334" t="str">
        <f t="shared" si="4"/>
        <v>1018291733</v>
      </c>
    </row>
    <row r="65" spans="1:17" ht="28.8">
      <c r="A65" s="1018" t="s">
        <v>1567</v>
      </c>
      <c r="B65" s="460" t="s">
        <v>112</v>
      </c>
      <c r="C65" s="1393" t="s">
        <v>574</v>
      </c>
      <c r="D65" s="1389">
        <v>46024</v>
      </c>
      <c r="E65" s="1339" t="s">
        <v>1631</v>
      </c>
      <c r="F65" s="1311">
        <v>0</v>
      </c>
      <c r="G65" s="1313">
        <v>323490</v>
      </c>
      <c r="H65" s="1082">
        <f t="shared" si="0"/>
        <v>-323490</v>
      </c>
      <c r="I65" s="1333" t="s">
        <v>53</v>
      </c>
      <c r="J65" s="1334" t="str">
        <f>VLOOKUP(C65,Acc_Char!B:K,3,)</f>
        <v>BW SUPLLY CHAIN CITY</v>
      </c>
      <c r="K65" s="1334" t="str">
        <f>VLOOKUP(C65,Acc_Char!B:K,7,)</f>
        <v>Subsidiaries</v>
      </c>
      <c r="L65" s="1334" t="str">
        <f t="shared" si="3"/>
        <v>Operating expense</v>
      </c>
      <c r="M65" s="1335" t="str">
        <f>VLOOKUP(C65,Acc_Char!B:K,5,)</f>
        <v>VND</v>
      </c>
      <c r="N65" s="1335" t="str">
        <f>VLOOKUP(C65,Acc_Char!B:K,6,)</f>
        <v>Current Account</v>
      </c>
      <c r="O65" s="1336" t="str">
        <f>Summary!$B$4</f>
        <v>W1-2Jan26</v>
      </c>
      <c r="P65" s="1334" t="str">
        <f t="shared" si="4"/>
        <v>1018291733</v>
      </c>
    </row>
    <row r="66" spans="1:17" ht="28.8">
      <c r="A66" s="1018" t="s">
        <v>1567</v>
      </c>
      <c r="B66" s="460" t="s">
        <v>112</v>
      </c>
      <c r="C66" s="1393" t="s">
        <v>574</v>
      </c>
      <c r="D66" s="1389">
        <v>46024</v>
      </c>
      <c r="E66" s="1339" t="s">
        <v>1632</v>
      </c>
      <c r="F66" s="1311">
        <v>0</v>
      </c>
      <c r="G66" s="1313">
        <v>2382231</v>
      </c>
      <c r="H66" s="1082">
        <f t="shared" si="0"/>
        <v>-2382231</v>
      </c>
      <c r="I66" s="1333" t="s">
        <v>53</v>
      </c>
      <c r="J66" s="1334" t="str">
        <f>VLOOKUP(C66,Acc_Char!B:K,3,)</f>
        <v>BW SUPLLY CHAIN CITY</v>
      </c>
      <c r="K66" s="1334" t="str">
        <f>VLOOKUP(C66,Acc_Char!B:K,7,)</f>
        <v>Subsidiaries</v>
      </c>
      <c r="L66" s="1334" t="str">
        <f t="shared" si="3"/>
        <v>Operating expense</v>
      </c>
      <c r="M66" s="1335" t="str">
        <f>VLOOKUP(C66,Acc_Char!B:K,5,)</f>
        <v>VND</v>
      </c>
      <c r="N66" s="1335" t="str">
        <f>VLOOKUP(C66,Acc_Char!B:K,6,)</f>
        <v>Current Account</v>
      </c>
      <c r="O66" s="1336" t="str">
        <f>Summary!$B$4</f>
        <v>W1-2Jan26</v>
      </c>
      <c r="P66" s="1334" t="str">
        <f t="shared" si="4"/>
        <v>1018291733</v>
      </c>
    </row>
    <row r="67" spans="1:17" ht="28.8">
      <c r="A67" s="1018" t="s">
        <v>1567</v>
      </c>
      <c r="B67" s="460" t="s">
        <v>112</v>
      </c>
      <c r="C67" s="1393" t="s">
        <v>574</v>
      </c>
      <c r="D67" s="1389">
        <v>46024</v>
      </c>
      <c r="E67" s="1339" t="s">
        <v>1633</v>
      </c>
      <c r="F67" s="1311">
        <v>0</v>
      </c>
      <c r="G67" s="1313">
        <v>2865981</v>
      </c>
      <c r="H67" s="1082">
        <f t="shared" si="0"/>
        <v>-2865981</v>
      </c>
      <c r="I67" s="1333" t="s">
        <v>53</v>
      </c>
      <c r="J67" s="1334" t="str">
        <f>VLOOKUP(C67,Acc_Char!B:K,3,)</f>
        <v>BW SUPLLY CHAIN CITY</v>
      </c>
      <c r="K67" s="1334" t="str">
        <f>VLOOKUP(C67,Acc_Char!B:K,7,)</f>
        <v>Subsidiaries</v>
      </c>
      <c r="L67" s="1334" t="str">
        <f t="shared" si="3"/>
        <v>Operating expense</v>
      </c>
      <c r="M67" s="1335" t="str">
        <f>VLOOKUP(C67,Acc_Char!B:K,5,)</f>
        <v>VND</v>
      </c>
      <c r="N67" s="1335" t="str">
        <f>VLOOKUP(C67,Acc_Char!B:K,6,)</f>
        <v>Current Account</v>
      </c>
      <c r="O67" s="1336" t="str">
        <f>Summary!$B$4</f>
        <v>W1-2Jan26</v>
      </c>
      <c r="P67" s="1334" t="str">
        <f t="shared" si="4"/>
        <v>1018291733</v>
      </c>
    </row>
    <row r="68" spans="1:17" ht="28.8">
      <c r="A68" s="1018" t="s">
        <v>1567</v>
      </c>
      <c r="B68" s="460" t="s">
        <v>112</v>
      </c>
      <c r="C68" s="1393" t="s">
        <v>574</v>
      </c>
      <c r="D68" s="1389">
        <v>46024</v>
      </c>
      <c r="E68" s="1339" t="s">
        <v>1634</v>
      </c>
      <c r="F68" s="1311">
        <v>0</v>
      </c>
      <c r="G68" s="1313">
        <v>596697</v>
      </c>
      <c r="H68" s="1082">
        <f t="shared" ref="H68:H124" si="5">F68-G68</f>
        <v>-596697</v>
      </c>
      <c r="I68" s="1333" t="s">
        <v>53</v>
      </c>
      <c r="J68" s="1334" t="str">
        <f>VLOOKUP(C68,Acc_Char!B:K,3,)</f>
        <v>BW SUPLLY CHAIN CITY</v>
      </c>
      <c r="K68" s="1334" t="str">
        <f>VLOOKUP(C68,Acc_Char!B:K,7,)</f>
        <v>Subsidiaries</v>
      </c>
      <c r="L68" s="1334" t="str">
        <f t="shared" si="3"/>
        <v>Operating expense</v>
      </c>
      <c r="M68" s="1335" t="str">
        <f>VLOOKUP(C68,Acc_Char!B:K,5,)</f>
        <v>VND</v>
      </c>
      <c r="N68" s="1335" t="str">
        <f>VLOOKUP(C68,Acc_Char!B:K,6,)</f>
        <v>Current Account</v>
      </c>
      <c r="O68" s="1336" t="str">
        <f>Summary!$B$4</f>
        <v>W1-2Jan26</v>
      </c>
      <c r="P68" s="1334" t="str">
        <f t="shared" si="4"/>
        <v>1018291733</v>
      </c>
    </row>
    <row r="69" spans="1:17" ht="28.8">
      <c r="A69" s="1018" t="s">
        <v>1567</v>
      </c>
      <c r="B69" s="460" t="s">
        <v>112</v>
      </c>
      <c r="C69" s="1092" t="s">
        <v>574</v>
      </c>
      <c r="D69" s="1389">
        <v>46024</v>
      </c>
      <c r="E69" s="1339" t="s">
        <v>1635</v>
      </c>
      <c r="F69" s="1311">
        <v>0</v>
      </c>
      <c r="G69" s="1313">
        <v>23606</v>
      </c>
      <c r="H69" s="1082">
        <f t="shared" si="5"/>
        <v>-23606</v>
      </c>
      <c r="I69" s="1333" t="s">
        <v>53</v>
      </c>
      <c r="J69" s="1334" t="str">
        <f>VLOOKUP(C69,Acc_Char!B:K,3,)</f>
        <v>BW SUPLLY CHAIN CITY</v>
      </c>
      <c r="K69" s="1334" t="str">
        <f>VLOOKUP(C69,Acc_Char!B:K,7,)</f>
        <v>Subsidiaries</v>
      </c>
      <c r="L69" s="1334" t="str">
        <f t="shared" ref="L69:L132" si="6">I69</f>
        <v>Operating expense</v>
      </c>
      <c r="M69" s="1335" t="str">
        <f>VLOOKUP(C69,Acc_Char!B:K,5,)</f>
        <v>VND</v>
      </c>
      <c r="N69" s="1335" t="str">
        <f>VLOOKUP(C69,Acc_Char!B:K,6,)</f>
        <v>Current Account</v>
      </c>
      <c r="O69" s="1336" t="str">
        <f>Summary!$B$4</f>
        <v>W1-2Jan26</v>
      </c>
      <c r="P69" s="1334" t="str">
        <f t="shared" ref="P69:P132" si="7">TEXT(C69,"0")</f>
        <v>1018291733</v>
      </c>
    </row>
    <row r="70" spans="1:17" ht="28.8">
      <c r="A70" s="1018" t="s">
        <v>1567</v>
      </c>
      <c r="B70" s="460" t="s">
        <v>112</v>
      </c>
      <c r="C70" s="1092" t="s">
        <v>574</v>
      </c>
      <c r="D70" s="1389">
        <v>46030</v>
      </c>
      <c r="E70" s="1339" t="s">
        <v>1636</v>
      </c>
      <c r="F70" s="1311">
        <v>0</v>
      </c>
      <c r="G70" s="1313">
        <v>384813</v>
      </c>
      <c r="H70" s="1082">
        <f t="shared" ref="H70" si="8">F70-G70</f>
        <v>-384813</v>
      </c>
      <c r="I70" s="1333" t="s">
        <v>53</v>
      </c>
      <c r="J70" s="1334" t="str">
        <f>VLOOKUP(C70,Acc_Char!B:K,3,)</f>
        <v>BW SUPLLY CHAIN CITY</v>
      </c>
      <c r="K70" s="1334" t="str">
        <f>VLOOKUP(C70,Acc_Char!B:K,7,)</f>
        <v>Subsidiaries</v>
      </c>
      <c r="L70" s="1334" t="str">
        <f t="shared" si="6"/>
        <v>Operating expense</v>
      </c>
      <c r="M70" s="1335" t="str">
        <f>VLOOKUP(C70,Acc_Char!B:K,5,)</f>
        <v>VND</v>
      </c>
      <c r="N70" s="1335" t="str">
        <f>VLOOKUP(C70,Acc_Char!B:K,6,)</f>
        <v>Current Account</v>
      </c>
      <c r="O70" s="1336" t="str">
        <f>Summary!$B$4</f>
        <v>W1-2Jan26</v>
      </c>
      <c r="P70" s="1334" t="str">
        <f t="shared" si="7"/>
        <v>1018291733</v>
      </c>
    </row>
    <row r="71" spans="1:17" ht="28.8">
      <c r="A71" s="1018" t="s">
        <v>1567</v>
      </c>
      <c r="B71" s="460" t="s">
        <v>112</v>
      </c>
      <c r="C71" s="1092" t="s">
        <v>574</v>
      </c>
      <c r="D71" s="1389">
        <v>46024</v>
      </c>
      <c r="E71" s="1394" t="s">
        <v>1637</v>
      </c>
      <c r="F71" s="1311">
        <v>0</v>
      </c>
      <c r="G71" s="1311">
        <v>415923</v>
      </c>
      <c r="H71" s="1082">
        <f t="shared" si="5"/>
        <v>-415923</v>
      </c>
      <c r="I71" s="1333" t="s">
        <v>53</v>
      </c>
      <c r="J71" s="1334" t="str">
        <f>VLOOKUP(C71,Acc_Char!B:K,3,)</f>
        <v>BW SUPLLY CHAIN CITY</v>
      </c>
      <c r="K71" s="1334" t="str">
        <f>VLOOKUP(C71,Acc_Char!B:K,7,)</f>
        <v>Subsidiaries</v>
      </c>
      <c r="L71" s="1334" t="str">
        <f t="shared" si="6"/>
        <v>Operating expense</v>
      </c>
      <c r="M71" s="1335" t="str">
        <f>VLOOKUP(C71,Acc_Char!B:K,5,)</f>
        <v>VND</v>
      </c>
      <c r="N71" s="1335" t="str">
        <f>VLOOKUP(C71,Acc_Char!B:K,6,)</f>
        <v>Current Account</v>
      </c>
      <c r="O71" s="1336" t="str">
        <f>Summary!$B$4</f>
        <v>W1-2Jan26</v>
      </c>
      <c r="P71" s="1334" t="str">
        <f t="shared" si="7"/>
        <v>1018291733</v>
      </c>
    </row>
    <row r="72" spans="1:17" ht="28.8">
      <c r="A72" s="1018" t="s">
        <v>1567</v>
      </c>
      <c r="B72" s="460" t="s">
        <v>112</v>
      </c>
      <c r="C72" s="1092" t="s">
        <v>574</v>
      </c>
      <c r="D72" s="1389">
        <v>46024</v>
      </c>
      <c r="E72" s="1339" t="s">
        <v>1638</v>
      </c>
      <c r="F72" s="1311">
        <v>0</v>
      </c>
      <c r="G72" s="1311">
        <v>108838</v>
      </c>
      <c r="H72" s="1082">
        <f t="shared" si="5"/>
        <v>-108838</v>
      </c>
      <c r="I72" s="1333" t="s">
        <v>53</v>
      </c>
      <c r="J72" s="1334" t="str">
        <f>VLOOKUP(C72,Acc_Char!B:K,3,)</f>
        <v>BW SUPLLY CHAIN CITY</v>
      </c>
      <c r="K72" s="1334" t="str">
        <f>VLOOKUP(C72,Acc_Char!B:K,7,)</f>
        <v>Subsidiaries</v>
      </c>
      <c r="L72" s="1334" t="str">
        <f t="shared" si="6"/>
        <v>Operating expense</v>
      </c>
      <c r="M72" s="1335" t="str">
        <f>VLOOKUP(C72,Acc_Char!B:K,5,)</f>
        <v>VND</v>
      </c>
      <c r="N72" s="1335" t="str">
        <f>VLOOKUP(C72,Acc_Char!B:K,6,)</f>
        <v>Current Account</v>
      </c>
      <c r="O72" s="1336" t="str">
        <f>Summary!$B$4</f>
        <v>W1-2Jan26</v>
      </c>
      <c r="P72" s="1334" t="str">
        <f t="shared" si="7"/>
        <v>1018291733</v>
      </c>
    </row>
    <row r="73" spans="1:17" ht="28.8">
      <c r="A73" s="1018" t="s">
        <v>1567</v>
      </c>
      <c r="B73" s="460" t="s">
        <v>112</v>
      </c>
      <c r="C73" s="1092" t="s">
        <v>574</v>
      </c>
      <c r="D73" s="1389">
        <v>46024</v>
      </c>
      <c r="E73" s="1339" t="s">
        <v>1639</v>
      </c>
      <c r="F73" s="1311">
        <v>0</v>
      </c>
      <c r="G73" s="1311">
        <v>1353497</v>
      </c>
      <c r="H73" s="1082">
        <f t="shared" si="5"/>
        <v>-1353497</v>
      </c>
      <c r="I73" s="1333" t="s">
        <v>53</v>
      </c>
      <c r="J73" s="1334" t="str">
        <f>VLOOKUP(C73,Acc_Char!B:K,3,)</f>
        <v>BW SUPLLY CHAIN CITY</v>
      </c>
      <c r="K73" s="1334" t="str">
        <f>VLOOKUP(C73,Acc_Char!B:K,7,)</f>
        <v>Subsidiaries</v>
      </c>
      <c r="L73" s="1334" t="str">
        <f t="shared" si="6"/>
        <v>Operating expense</v>
      </c>
      <c r="M73" s="1335" t="str">
        <f>VLOOKUP(C73,Acc_Char!B:K,5,)</f>
        <v>VND</v>
      </c>
      <c r="N73" s="1335" t="str">
        <f>VLOOKUP(C73,Acc_Char!B:K,6,)</f>
        <v>Current Account</v>
      </c>
      <c r="O73" s="1336" t="str">
        <f>Summary!$B$4</f>
        <v>W1-2Jan26</v>
      </c>
      <c r="P73" s="1334" t="str">
        <f t="shared" si="7"/>
        <v>1018291733</v>
      </c>
    </row>
    <row r="74" spans="1:17" ht="28.8">
      <c r="A74" s="1018" t="s">
        <v>1567</v>
      </c>
      <c r="B74" s="460" t="s">
        <v>112</v>
      </c>
      <c r="C74" s="1092" t="s">
        <v>574</v>
      </c>
      <c r="D74" s="1389">
        <v>46024</v>
      </c>
      <c r="E74" s="1339" t="s">
        <v>1640</v>
      </c>
      <c r="F74" s="1311">
        <v>0</v>
      </c>
      <c r="G74" s="1311">
        <v>1408791</v>
      </c>
      <c r="H74" s="1082">
        <f t="shared" si="5"/>
        <v>-1408791</v>
      </c>
      <c r="I74" s="1333" t="s">
        <v>53</v>
      </c>
      <c r="J74" s="1334" t="str">
        <f>VLOOKUP(C74,Acc_Char!B:K,3,)</f>
        <v>BW SUPLLY CHAIN CITY</v>
      </c>
      <c r="K74" s="1334" t="str">
        <f>VLOOKUP(C74,Acc_Char!B:K,7,)</f>
        <v>Subsidiaries</v>
      </c>
      <c r="L74" s="1334" t="str">
        <f t="shared" si="6"/>
        <v>Operating expense</v>
      </c>
      <c r="M74" s="1335" t="str">
        <f>VLOOKUP(C74,Acc_Char!B:K,5,)</f>
        <v>VND</v>
      </c>
      <c r="N74" s="1335" t="str">
        <f>VLOOKUP(C74,Acc_Char!B:K,6,)</f>
        <v>Current Account</v>
      </c>
      <c r="O74" s="1336" t="str">
        <f>Summary!$B$4</f>
        <v>W1-2Jan26</v>
      </c>
      <c r="P74" s="1334" t="str">
        <f t="shared" si="7"/>
        <v>1018291733</v>
      </c>
    </row>
    <row r="75" spans="1:17" ht="28.8">
      <c r="A75" s="1018" t="s">
        <v>1567</v>
      </c>
      <c r="B75" s="460" t="s">
        <v>112</v>
      </c>
      <c r="C75" s="1092" t="s">
        <v>574</v>
      </c>
      <c r="D75" s="1389">
        <v>46024</v>
      </c>
      <c r="E75" s="1339" t="s">
        <v>1641</v>
      </c>
      <c r="F75" s="1311">
        <v>0</v>
      </c>
      <c r="G75" s="1311">
        <v>805367</v>
      </c>
      <c r="H75" s="1082">
        <f t="shared" si="5"/>
        <v>-805367</v>
      </c>
      <c r="I75" s="1333" t="s">
        <v>53</v>
      </c>
      <c r="J75" s="1334" t="str">
        <f>VLOOKUP(C75,Acc_Char!B:K,3,)</f>
        <v>BW SUPLLY CHAIN CITY</v>
      </c>
      <c r="K75" s="1334" t="str">
        <f>VLOOKUP(C75,Acc_Char!B:K,7,)</f>
        <v>Subsidiaries</v>
      </c>
      <c r="L75" s="1334" t="str">
        <f t="shared" si="6"/>
        <v>Operating expense</v>
      </c>
      <c r="M75" s="1335" t="str">
        <f>VLOOKUP(C75,Acc_Char!B:K,5,)</f>
        <v>VND</v>
      </c>
      <c r="N75" s="1335" t="str">
        <f>VLOOKUP(C75,Acc_Char!B:K,6,)</f>
        <v>Current Account</v>
      </c>
      <c r="O75" s="1336" t="str">
        <f>Summary!$B$4</f>
        <v>W1-2Jan26</v>
      </c>
      <c r="P75" s="1334" t="str">
        <f t="shared" si="7"/>
        <v>1018291733</v>
      </c>
      <c r="Q75" s="1024"/>
    </row>
    <row r="76" spans="1:17" ht="28.8">
      <c r="A76" s="1018" t="s">
        <v>1567</v>
      </c>
      <c r="B76" s="460" t="s">
        <v>112</v>
      </c>
      <c r="C76" s="1092" t="s">
        <v>574</v>
      </c>
      <c r="D76" s="1389">
        <v>46024</v>
      </c>
      <c r="E76" s="1339" t="s">
        <v>1642</v>
      </c>
      <c r="F76" s="1311">
        <v>0</v>
      </c>
      <c r="G76" s="1311">
        <v>33657</v>
      </c>
      <c r="H76" s="1082">
        <f t="shared" si="5"/>
        <v>-33657</v>
      </c>
      <c r="I76" s="1333" t="s">
        <v>53</v>
      </c>
      <c r="J76" s="1334" t="str">
        <f>VLOOKUP(C76,Acc_Char!B:K,3,)</f>
        <v>BW SUPLLY CHAIN CITY</v>
      </c>
      <c r="K76" s="1334" t="str">
        <f>VLOOKUP(C76,Acc_Char!B:K,7,)</f>
        <v>Subsidiaries</v>
      </c>
      <c r="L76" s="1334" t="str">
        <f t="shared" si="6"/>
        <v>Operating expense</v>
      </c>
      <c r="M76" s="1335" t="str">
        <f>VLOOKUP(C76,Acc_Char!B:K,5,)</f>
        <v>VND</v>
      </c>
      <c r="N76" s="1335" t="str">
        <f>VLOOKUP(C76,Acc_Char!B:K,6,)</f>
        <v>Current Account</v>
      </c>
      <c r="O76" s="1336" t="str">
        <f>Summary!$B$4</f>
        <v>W1-2Jan26</v>
      </c>
      <c r="P76" s="1334" t="str">
        <f t="shared" si="7"/>
        <v>1018291733</v>
      </c>
    </row>
    <row r="77" spans="1:17" ht="28.8">
      <c r="A77" s="1018" t="s">
        <v>1567</v>
      </c>
      <c r="B77" s="460" t="s">
        <v>112</v>
      </c>
      <c r="C77" s="1092" t="s">
        <v>574</v>
      </c>
      <c r="D77" s="1389">
        <v>46024</v>
      </c>
      <c r="E77" s="1339" t="s">
        <v>1643</v>
      </c>
      <c r="F77" s="1311">
        <v>0</v>
      </c>
      <c r="G77" s="1311">
        <v>23810</v>
      </c>
      <c r="H77" s="1082">
        <f t="shared" si="5"/>
        <v>-23810</v>
      </c>
      <c r="I77" s="1333" t="s">
        <v>53</v>
      </c>
      <c r="J77" s="1334" t="str">
        <f>VLOOKUP(C77,Acc_Char!B:K,3,)</f>
        <v>BW SUPLLY CHAIN CITY</v>
      </c>
      <c r="K77" s="1334" t="str">
        <f>VLOOKUP(C77,Acc_Char!B:K,7,)</f>
        <v>Subsidiaries</v>
      </c>
      <c r="L77" s="1334" t="str">
        <f t="shared" si="6"/>
        <v>Operating expense</v>
      </c>
      <c r="M77" s="1335" t="str">
        <f>VLOOKUP(C77,Acc_Char!B:K,5,)</f>
        <v>VND</v>
      </c>
      <c r="N77" s="1335" t="str">
        <f>VLOOKUP(C77,Acc_Char!B:K,6,)</f>
        <v>Current Account</v>
      </c>
      <c r="O77" s="1336" t="str">
        <f>Summary!$B$4</f>
        <v>W1-2Jan26</v>
      </c>
      <c r="P77" s="1334" t="str">
        <f t="shared" si="7"/>
        <v>1018291733</v>
      </c>
    </row>
    <row r="78" spans="1:17" ht="28.8">
      <c r="A78" s="1018" t="s">
        <v>1567</v>
      </c>
      <c r="B78" s="460" t="s">
        <v>112</v>
      </c>
      <c r="C78" s="1092" t="s">
        <v>574</v>
      </c>
      <c r="D78" s="1389">
        <v>46024</v>
      </c>
      <c r="E78" s="1339" t="s">
        <v>1644</v>
      </c>
      <c r="F78" s="1311">
        <v>0</v>
      </c>
      <c r="G78" s="1311">
        <v>2112741</v>
      </c>
      <c r="H78" s="1082">
        <f t="shared" si="5"/>
        <v>-2112741</v>
      </c>
      <c r="I78" s="1333" t="s">
        <v>53</v>
      </c>
      <c r="J78" s="1334" t="str">
        <f>VLOOKUP(C78,Acc_Char!B:K,3,)</f>
        <v>BW SUPLLY CHAIN CITY</v>
      </c>
      <c r="K78" s="1334" t="str">
        <f>VLOOKUP(C78,Acc_Char!B:K,7,)</f>
        <v>Subsidiaries</v>
      </c>
      <c r="L78" s="1334" t="str">
        <f t="shared" si="6"/>
        <v>Operating expense</v>
      </c>
      <c r="M78" s="1335" t="str">
        <f>VLOOKUP(C78,Acc_Char!B:K,5,)</f>
        <v>VND</v>
      </c>
      <c r="N78" s="1335" t="str">
        <f>VLOOKUP(C78,Acc_Char!B:K,6,)</f>
        <v>Current Account</v>
      </c>
      <c r="O78" s="1336" t="str">
        <f>Summary!$B$4</f>
        <v>W1-2Jan26</v>
      </c>
      <c r="P78" s="1334" t="str">
        <f t="shared" si="7"/>
        <v>1018291733</v>
      </c>
    </row>
    <row r="79" spans="1:17" ht="28.8">
      <c r="A79" s="1018" t="s">
        <v>1567</v>
      </c>
      <c r="B79" s="460" t="s">
        <v>112</v>
      </c>
      <c r="C79" s="1092" t="s">
        <v>574</v>
      </c>
      <c r="D79" s="1389">
        <v>46024</v>
      </c>
      <c r="E79" s="1339" t="s">
        <v>1645</v>
      </c>
      <c r="F79" s="1311">
        <v>0</v>
      </c>
      <c r="G79" s="1311">
        <v>32997</v>
      </c>
      <c r="H79" s="1283">
        <f t="shared" si="5"/>
        <v>-32997</v>
      </c>
      <c r="I79" s="1333" t="s">
        <v>53</v>
      </c>
      <c r="J79" s="1334" t="str">
        <f>VLOOKUP(C79,Acc_Char!B:K,3,)</f>
        <v>BW SUPLLY CHAIN CITY</v>
      </c>
      <c r="K79" s="1334" t="str">
        <f>VLOOKUP(C79,Acc_Char!B:K,7,)</f>
        <v>Subsidiaries</v>
      </c>
      <c r="L79" s="1334" t="str">
        <f t="shared" si="6"/>
        <v>Operating expense</v>
      </c>
      <c r="M79" s="1335" t="str">
        <f>VLOOKUP(C79,Acc_Char!B:K,5,)</f>
        <v>VND</v>
      </c>
      <c r="N79" s="1335" t="str">
        <f>VLOOKUP(C79,Acc_Char!B:K,6,)</f>
        <v>Current Account</v>
      </c>
      <c r="O79" s="1336" t="str">
        <f>Summary!$B$4</f>
        <v>W1-2Jan26</v>
      </c>
      <c r="P79" s="1334" t="str">
        <f t="shared" si="7"/>
        <v>1018291733</v>
      </c>
    </row>
    <row r="80" spans="1:17" ht="28.8">
      <c r="A80" s="1018" t="s">
        <v>1567</v>
      </c>
      <c r="B80" s="460" t="s">
        <v>112</v>
      </c>
      <c r="C80" s="1092" t="s">
        <v>574</v>
      </c>
      <c r="D80" s="1389">
        <v>46024</v>
      </c>
      <c r="E80" s="1339" t="s">
        <v>1646</v>
      </c>
      <c r="F80" s="1311">
        <v>0</v>
      </c>
      <c r="G80" s="1311">
        <v>20357</v>
      </c>
      <c r="H80" s="1082">
        <f t="shared" si="5"/>
        <v>-20357</v>
      </c>
      <c r="I80" s="1333" t="s">
        <v>53</v>
      </c>
      <c r="J80" s="1334" t="str">
        <f>VLOOKUP(C80,Acc_Char!B:K,3,)</f>
        <v>BW SUPLLY CHAIN CITY</v>
      </c>
      <c r="K80" s="1334" t="str">
        <f>VLOOKUP(C80,Acc_Char!B:K,7,)</f>
        <v>Subsidiaries</v>
      </c>
      <c r="L80" s="1334" t="str">
        <f t="shared" si="6"/>
        <v>Operating expense</v>
      </c>
      <c r="M80" s="1335" t="str">
        <f>VLOOKUP(C80,Acc_Char!B:K,5,)</f>
        <v>VND</v>
      </c>
      <c r="N80" s="1335" t="str">
        <f>VLOOKUP(C80,Acc_Char!B:K,6,)</f>
        <v>Current Account</v>
      </c>
      <c r="O80" s="1336" t="str">
        <f>Summary!$B$4</f>
        <v>W1-2Jan26</v>
      </c>
      <c r="P80" s="1334" t="str">
        <f t="shared" si="7"/>
        <v>1018291733</v>
      </c>
    </row>
    <row r="81" spans="1:17" ht="28.8">
      <c r="A81" s="1018" t="s">
        <v>1567</v>
      </c>
      <c r="B81" s="460" t="s">
        <v>112</v>
      </c>
      <c r="C81" s="1092" t="s">
        <v>529</v>
      </c>
      <c r="D81" s="1389">
        <v>46024</v>
      </c>
      <c r="E81" s="1339" t="s">
        <v>1647</v>
      </c>
      <c r="F81" s="1311">
        <v>0</v>
      </c>
      <c r="G81" s="1311">
        <v>30114292</v>
      </c>
      <c r="H81" s="1082">
        <f t="shared" si="5"/>
        <v>-30114292</v>
      </c>
      <c r="I81" s="1333" t="s">
        <v>53</v>
      </c>
      <c r="J81" s="1334" t="str">
        <f>VLOOKUP(C81,Acc_Char!B:K,3,)</f>
        <v>BWID LOGISTICS TAN UYEN</v>
      </c>
      <c r="K81" s="1334" t="str">
        <f>VLOOKUP(C81,Acc_Char!B:K,7,)</f>
        <v>Subsidiaries</v>
      </c>
      <c r="L81" s="1334" t="str">
        <f t="shared" si="6"/>
        <v>Operating expense</v>
      </c>
      <c r="M81" s="1335" t="str">
        <f>VLOOKUP(C81,Acc_Char!B:K,5,)</f>
        <v>VND</v>
      </c>
      <c r="N81" s="1335" t="str">
        <f>VLOOKUP(C81,Acc_Char!B:K,6,)</f>
        <v>Current Account</v>
      </c>
      <c r="O81" s="1336" t="str">
        <f>Summary!$B$4</f>
        <v>W1-2Jan26</v>
      </c>
      <c r="P81" s="1334" t="str">
        <f t="shared" si="7"/>
        <v>1018776868</v>
      </c>
      <c r="Q81" s="1024"/>
    </row>
    <row r="82" spans="1:17" ht="28.8">
      <c r="A82" s="1018" t="s">
        <v>1567</v>
      </c>
      <c r="B82" s="460" t="s">
        <v>112</v>
      </c>
      <c r="C82" s="1092" t="s">
        <v>529</v>
      </c>
      <c r="D82" s="1389">
        <v>46024</v>
      </c>
      <c r="E82" s="1339" t="s">
        <v>1648</v>
      </c>
      <c r="F82" s="1311">
        <v>0</v>
      </c>
      <c r="G82" s="1311">
        <v>100894516</v>
      </c>
      <c r="H82" s="1082">
        <f t="shared" si="5"/>
        <v>-100894516</v>
      </c>
      <c r="I82" s="1333" t="s">
        <v>53</v>
      </c>
      <c r="J82" s="1334" t="str">
        <f>VLOOKUP(C82,Acc_Char!B:K,3,)</f>
        <v>BWID LOGISTICS TAN UYEN</v>
      </c>
      <c r="K82" s="1334" t="str">
        <f>VLOOKUP(C82,Acc_Char!B:K,7,)</f>
        <v>Subsidiaries</v>
      </c>
      <c r="L82" s="1334" t="str">
        <f t="shared" si="6"/>
        <v>Operating expense</v>
      </c>
      <c r="M82" s="1335" t="str">
        <f>VLOOKUP(C82,Acc_Char!B:K,5,)</f>
        <v>VND</v>
      </c>
      <c r="N82" s="1335" t="str">
        <f>VLOOKUP(C82,Acc_Char!B:K,6,)</f>
        <v>Current Account</v>
      </c>
      <c r="O82" s="1336" t="str">
        <f>Summary!$B$4</f>
        <v>W1-2Jan26</v>
      </c>
      <c r="P82" s="1334" t="str">
        <f t="shared" si="7"/>
        <v>1018776868</v>
      </c>
      <c r="Q82" s="1024"/>
    </row>
    <row r="83" spans="1:17" ht="28.8">
      <c r="A83" s="1018" t="s">
        <v>1567</v>
      </c>
      <c r="B83" s="460" t="s">
        <v>112</v>
      </c>
      <c r="C83" s="1092" t="s">
        <v>574</v>
      </c>
      <c r="D83" s="1389">
        <v>46024</v>
      </c>
      <c r="E83" s="1339" t="s">
        <v>1649</v>
      </c>
      <c r="F83" s="1311">
        <v>0</v>
      </c>
      <c r="G83" s="1313">
        <v>94164</v>
      </c>
      <c r="H83" s="1082">
        <f t="shared" si="5"/>
        <v>-94164</v>
      </c>
      <c r="I83" s="1333" t="s">
        <v>53</v>
      </c>
      <c r="J83" s="1334" t="str">
        <f>VLOOKUP(C83,Acc_Char!B:K,3,)</f>
        <v>BW SUPLLY CHAIN CITY</v>
      </c>
      <c r="K83" s="1334" t="str">
        <f>VLOOKUP(C83,Acc_Char!B:K,7,)</f>
        <v>Subsidiaries</v>
      </c>
      <c r="L83" s="1334" t="str">
        <f t="shared" si="6"/>
        <v>Operating expense</v>
      </c>
      <c r="M83" s="1335" t="str">
        <f>VLOOKUP(C83,Acc_Char!B:K,5,)</f>
        <v>VND</v>
      </c>
      <c r="N83" s="1335" t="str">
        <f>VLOOKUP(C83,Acc_Char!B:K,6,)</f>
        <v>Current Account</v>
      </c>
      <c r="O83" s="1336" t="str">
        <f>Summary!$B$4</f>
        <v>W1-2Jan26</v>
      </c>
      <c r="P83" s="1334" t="str">
        <f t="shared" si="7"/>
        <v>1018291733</v>
      </c>
      <c r="Q83" s="1024"/>
    </row>
    <row r="84" spans="1:17" ht="28.8">
      <c r="A84" s="1018" t="s">
        <v>1567</v>
      </c>
      <c r="B84" s="460" t="s">
        <v>112</v>
      </c>
      <c r="C84" s="1092" t="s">
        <v>809</v>
      </c>
      <c r="D84" s="1395">
        <v>46034</v>
      </c>
      <c r="E84" s="1339" t="s">
        <v>1650</v>
      </c>
      <c r="F84" s="1311">
        <v>0</v>
      </c>
      <c r="G84" s="1313">
        <v>92133248</v>
      </c>
      <c r="H84" s="1082">
        <f t="shared" si="5"/>
        <v>-92133248</v>
      </c>
      <c r="I84" s="1333" t="s">
        <v>53</v>
      </c>
      <c r="J84" s="1334" t="str">
        <f>VLOOKUP(C84,Acc_Char!B:K,3,)</f>
        <v>BW SAIGON LOGISTICS</v>
      </c>
      <c r="K84" s="1334" t="str">
        <f>VLOOKUP(C84,Acc_Char!B:K,7,)</f>
        <v>Subsidiaries</v>
      </c>
      <c r="L84" s="1334" t="str">
        <f t="shared" si="6"/>
        <v>Operating expense</v>
      </c>
      <c r="M84" s="1335" t="str">
        <f>VLOOKUP(C84,Acc_Char!B:K,5,)</f>
        <v>VND</v>
      </c>
      <c r="N84" s="1335" t="str">
        <f>VLOOKUP(C84,Acc_Char!B:K,6,)</f>
        <v>Current Account</v>
      </c>
      <c r="O84" s="1336" t="str">
        <f>Summary!$B$4</f>
        <v>W1-2Jan26</v>
      </c>
      <c r="P84" s="1334" t="str">
        <f t="shared" si="7"/>
        <v>1038935148</v>
      </c>
    </row>
    <row r="85" spans="1:17" ht="28.8">
      <c r="A85" s="1018" t="s">
        <v>1567</v>
      </c>
      <c r="B85" s="460" t="s">
        <v>112</v>
      </c>
      <c r="C85" s="1092" t="s">
        <v>809</v>
      </c>
      <c r="D85" s="1389">
        <v>46024</v>
      </c>
      <c r="E85" s="1339" t="s">
        <v>1651</v>
      </c>
      <c r="F85" s="1311">
        <v>0</v>
      </c>
      <c r="G85" s="1313">
        <v>83397159</v>
      </c>
      <c r="H85" s="1082">
        <f t="shared" si="5"/>
        <v>-83397159</v>
      </c>
      <c r="I85" s="1333" t="s">
        <v>53</v>
      </c>
      <c r="J85" s="1334" t="str">
        <f>VLOOKUP(C85,Acc_Char!B:K,3,)</f>
        <v>BW SAIGON LOGISTICS</v>
      </c>
      <c r="K85" s="1334" t="str">
        <f>VLOOKUP(C85,Acc_Char!B:K,7,)</f>
        <v>Subsidiaries</v>
      </c>
      <c r="L85" s="1334" t="str">
        <f t="shared" si="6"/>
        <v>Operating expense</v>
      </c>
      <c r="M85" s="1335" t="str">
        <f>VLOOKUP(C85,Acc_Char!B:K,5,)</f>
        <v>VND</v>
      </c>
      <c r="N85" s="1335" t="str">
        <f>VLOOKUP(C85,Acc_Char!B:K,6,)</f>
        <v>Current Account</v>
      </c>
      <c r="O85" s="1336" t="str">
        <f>Summary!$B$4</f>
        <v>W1-2Jan26</v>
      </c>
      <c r="P85" s="1334" t="str">
        <f t="shared" si="7"/>
        <v>1038935148</v>
      </c>
    </row>
    <row r="86" spans="1:17" ht="28.8">
      <c r="A86" s="1018" t="s">
        <v>1567</v>
      </c>
      <c r="B86" s="460" t="s">
        <v>112</v>
      </c>
      <c r="C86" s="1092" t="s">
        <v>809</v>
      </c>
      <c r="D86" s="1389">
        <v>46023</v>
      </c>
      <c r="E86" s="1339" t="s">
        <v>1652</v>
      </c>
      <c r="F86" s="1311">
        <v>0</v>
      </c>
      <c r="G86" s="1313">
        <v>84672708</v>
      </c>
      <c r="H86" s="1082">
        <f t="shared" si="5"/>
        <v>-84672708</v>
      </c>
      <c r="I86" s="1333" t="s">
        <v>53</v>
      </c>
      <c r="J86" s="1334" t="str">
        <f>VLOOKUP(C86,Acc_Char!B:K,3,)</f>
        <v>BW SAIGON LOGISTICS</v>
      </c>
      <c r="K86" s="1334" t="str">
        <f>VLOOKUP(C86,Acc_Char!B:K,7,)</f>
        <v>Subsidiaries</v>
      </c>
      <c r="L86" s="1334" t="str">
        <f t="shared" si="6"/>
        <v>Operating expense</v>
      </c>
      <c r="M86" s="1335" t="str">
        <f>VLOOKUP(C86,Acc_Char!B:K,5,)</f>
        <v>VND</v>
      </c>
      <c r="N86" s="1335" t="str">
        <f>VLOOKUP(C86,Acc_Char!B:K,6,)</f>
        <v>Current Account</v>
      </c>
      <c r="O86" s="1336" t="str">
        <f>Summary!$B$4</f>
        <v>W1-2Jan26</v>
      </c>
      <c r="P86" s="1334" t="str">
        <f t="shared" si="7"/>
        <v>1038935148</v>
      </c>
    </row>
    <row r="87" spans="1:17" ht="28.8">
      <c r="A87" s="1018" t="s">
        <v>1591</v>
      </c>
      <c r="B87" s="460" t="s">
        <v>110</v>
      </c>
      <c r="C87" s="1092" t="s">
        <v>504</v>
      </c>
      <c r="D87" s="1395" t="s">
        <v>1653</v>
      </c>
      <c r="E87" s="1339" t="s">
        <v>1654</v>
      </c>
      <c r="F87" s="1311">
        <v>0</v>
      </c>
      <c r="G87" s="1313">
        <v>18871583</v>
      </c>
      <c r="H87" s="1082">
        <f t="shared" si="5"/>
        <v>-18871583</v>
      </c>
      <c r="I87" s="1333" t="s">
        <v>53</v>
      </c>
      <c r="J87" s="1334" t="str">
        <f>VLOOKUP(C87,Acc_Char!B:K,3,)</f>
        <v>BWID BAC NINH</v>
      </c>
      <c r="K87" s="1334" t="str">
        <f>VLOOKUP(C87,Acc_Char!B:K,7,)</f>
        <v>Subsidiaries</v>
      </c>
      <c r="L87" s="1334" t="str">
        <f t="shared" si="6"/>
        <v>Operating expense</v>
      </c>
      <c r="M87" s="1335" t="str">
        <f>VLOOKUP(C87,Acc_Char!B:K,5,)</f>
        <v>VND</v>
      </c>
      <c r="N87" s="1335" t="str">
        <f>VLOOKUP(C87,Acc_Char!B:K,6,)</f>
        <v>Current Account</v>
      </c>
      <c r="O87" s="1336" t="str">
        <f>Summary!$B$4</f>
        <v>W1-2Jan26</v>
      </c>
      <c r="P87" s="1334" t="str">
        <f t="shared" si="7"/>
        <v>118008108888</v>
      </c>
    </row>
    <row r="88" spans="1:17">
      <c r="A88" s="1018" t="s">
        <v>1591</v>
      </c>
      <c r="B88" s="460" t="s">
        <v>110</v>
      </c>
      <c r="C88" s="1092" t="s">
        <v>669</v>
      </c>
      <c r="D88" s="1389" t="s">
        <v>1655</v>
      </c>
      <c r="E88" s="1339" t="s">
        <v>1656</v>
      </c>
      <c r="F88" s="1311">
        <v>0</v>
      </c>
      <c r="G88" s="1313">
        <v>65000000</v>
      </c>
      <c r="H88" s="1082">
        <f t="shared" si="5"/>
        <v>-65000000</v>
      </c>
      <c r="I88" s="1333" t="s">
        <v>53</v>
      </c>
      <c r="J88" s="1334" t="str">
        <f>VLOOKUP(C88,Acc_Char!B:K,3,)</f>
        <v>VINA PARTNERS INVESTMENT</v>
      </c>
      <c r="K88" s="1334" t="str">
        <f>VLOOKUP(C88,Acc_Char!B:K,7,)</f>
        <v>Subsidiaries</v>
      </c>
      <c r="L88" s="1334" t="str">
        <f t="shared" si="6"/>
        <v>Operating expense</v>
      </c>
      <c r="M88" s="1335" t="str">
        <f>VLOOKUP(C88,Acc_Char!B:K,5,)</f>
        <v>VND</v>
      </c>
      <c r="N88" s="1335" t="str">
        <f>VLOOKUP(C88,Acc_Char!B:K,6,)</f>
        <v>Current Account</v>
      </c>
      <c r="O88" s="1336" t="str">
        <f>Summary!$B$4</f>
        <v>W1-2Jan26</v>
      </c>
      <c r="P88" s="1334" t="str">
        <f t="shared" si="7"/>
        <v>111002902772</v>
      </c>
    </row>
    <row r="89" spans="1:17" ht="28.8">
      <c r="A89" s="1018" t="s">
        <v>1591</v>
      </c>
      <c r="B89" s="460" t="s">
        <v>114</v>
      </c>
      <c r="C89" s="1092" t="s">
        <v>747</v>
      </c>
      <c r="D89" s="1389" t="s">
        <v>1657</v>
      </c>
      <c r="E89" s="1339" t="s">
        <v>1658</v>
      </c>
      <c r="F89" s="1311">
        <v>0</v>
      </c>
      <c r="G89" s="1313">
        <v>13015080</v>
      </c>
      <c r="H89" s="1082">
        <f t="shared" si="5"/>
        <v>-13015080</v>
      </c>
      <c r="I89" s="1333" t="s">
        <v>53</v>
      </c>
      <c r="J89" s="1334" t="str">
        <f>VLOOKUP(C89,Acc_Char!B:K,3,)</f>
        <v>BW DONG HAI</v>
      </c>
      <c r="K89" s="1334" t="str">
        <f>VLOOKUP(C89,Acc_Char!B:K,7,)</f>
        <v>Subsidiaries</v>
      </c>
      <c r="L89" s="1334" t="str">
        <f t="shared" si="6"/>
        <v>Operating expense</v>
      </c>
      <c r="M89" s="1335" t="str">
        <f>VLOOKUP(C89,Acc_Char!B:K,5,)</f>
        <v>VND</v>
      </c>
      <c r="N89" s="1335" t="str">
        <f>VLOOKUP(C89,Acc_Char!B:K,6,)</f>
        <v>Current Account</v>
      </c>
      <c r="O89" s="1336" t="str">
        <f>Summary!$B$4</f>
        <v>W1-2Jan26</v>
      </c>
      <c r="P89" s="1334" t="str">
        <f t="shared" si="7"/>
        <v>2220987979</v>
      </c>
    </row>
    <row r="90" spans="1:17" ht="28.8">
      <c r="A90" s="1018" t="s">
        <v>1591</v>
      </c>
      <c r="B90" s="460" t="s">
        <v>114</v>
      </c>
      <c r="C90" s="1092" t="s">
        <v>618</v>
      </c>
      <c r="D90" s="1389" t="s">
        <v>1659</v>
      </c>
      <c r="E90" s="1339" t="s">
        <v>1660</v>
      </c>
      <c r="F90" s="1311">
        <v>0</v>
      </c>
      <c r="G90" s="1313">
        <v>106660823</v>
      </c>
      <c r="H90" s="1082">
        <f t="shared" si="5"/>
        <v>-106660823</v>
      </c>
      <c r="I90" s="1333" t="s">
        <v>53</v>
      </c>
      <c r="J90" s="1334" t="str">
        <f>VLOOKUP(C90,Acc_Char!B:K,3,)</f>
        <v>BW HAI AN</v>
      </c>
      <c r="K90" s="1334" t="str">
        <f>VLOOKUP(C90,Acc_Char!B:K,7,)</f>
        <v>Subsidiaries</v>
      </c>
      <c r="L90" s="1334" t="str">
        <f t="shared" si="6"/>
        <v>Operating expense</v>
      </c>
      <c r="M90" s="1335" t="str">
        <f>VLOOKUP(C90,Acc_Char!B:K,5,)</f>
        <v>VND</v>
      </c>
      <c r="N90" s="1335" t="str">
        <f>VLOOKUP(C90,Acc_Char!B:K,6,)</f>
        <v>Current Account</v>
      </c>
      <c r="O90" s="1336" t="str">
        <f>Summary!$B$4</f>
        <v>W1-2Jan26</v>
      </c>
      <c r="P90" s="1334" t="str">
        <f t="shared" si="7"/>
        <v>2220131688</v>
      </c>
    </row>
    <row r="91" spans="1:17" ht="28.8">
      <c r="A91" s="1018" t="s">
        <v>1591</v>
      </c>
      <c r="B91" s="460" t="s">
        <v>110</v>
      </c>
      <c r="C91" s="1092" t="s">
        <v>511</v>
      </c>
      <c r="D91" s="1389" t="s">
        <v>1661</v>
      </c>
      <c r="E91" s="1339" t="s">
        <v>1662</v>
      </c>
      <c r="F91" s="1311">
        <v>0</v>
      </c>
      <c r="G91" s="1313">
        <v>714928930</v>
      </c>
      <c r="H91" s="1082">
        <f t="shared" si="5"/>
        <v>-714928930</v>
      </c>
      <c r="I91" s="1333" t="s">
        <v>53</v>
      </c>
      <c r="J91" s="1334" t="str">
        <f>VLOOKUP(C91,Acc_Char!B:K,3,)</f>
        <v>BWID HAI PHONG</v>
      </c>
      <c r="K91" s="1334" t="str">
        <f>VLOOKUP(C91,Acc_Char!B:K,7,)</f>
        <v>Subsidiaries</v>
      </c>
      <c r="L91" s="1334" t="str">
        <f t="shared" si="6"/>
        <v>Operating expense</v>
      </c>
      <c r="M91" s="1335" t="str">
        <f>VLOOKUP(C91,Acc_Char!B:K,5,)</f>
        <v>VND</v>
      </c>
      <c r="N91" s="1335" t="str">
        <f>VLOOKUP(C91,Acc_Char!B:K,6,)</f>
        <v>Current Account</v>
      </c>
      <c r="O91" s="1336" t="str">
        <f>Summary!$B$4</f>
        <v>W1-2Jan26</v>
      </c>
      <c r="P91" s="1334" t="str">
        <f t="shared" si="7"/>
        <v>116002681740</v>
      </c>
    </row>
    <row r="92" spans="1:17" ht="28.8">
      <c r="A92" s="1018" t="s">
        <v>1591</v>
      </c>
      <c r="B92" s="460" t="s">
        <v>110</v>
      </c>
      <c r="C92" s="1092" t="s">
        <v>666</v>
      </c>
      <c r="D92" s="1389" t="s">
        <v>1663</v>
      </c>
      <c r="E92" s="1339" t="s">
        <v>1664</v>
      </c>
      <c r="F92" s="1313">
        <v>0</v>
      </c>
      <c r="G92" s="1313">
        <v>50604480</v>
      </c>
      <c r="H92" s="1082">
        <f t="shared" si="5"/>
        <v>-50604480</v>
      </c>
      <c r="I92" s="1333" t="s">
        <v>53</v>
      </c>
      <c r="J92" s="1334" t="str">
        <f>VLOOKUP(C92,Acc_Char!B:K,3,)</f>
        <v>BCI JSC</v>
      </c>
      <c r="K92" s="1334" t="str">
        <f>VLOOKUP(C92,Acc_Char!B:K,7,)</f>
        <v>Subsidiaries</v>
      </c>
      <c r="L92" s="1334" t="str">
        <f t="shared" si="6"/>
        <v>Operating expense</v>
      </c>
      <c r="M92" s="1335" t="str">
        <f>VLOOKUP(C92,Acc_Char!B:K,5,)</f>
        <v>VND</v>
      </c>
      <c r="N92" s="1335" t="str">
        <f>VLOOKUP(C92,Acc_Char!B:K,6,)</f>
        <v>Current Account</v>
      </c>
      <c r="O92" s="1336" t="str">
        <f>Summary!$B$4</f>
        <v>W1-2Jan26</v>
      </c>
      <c r="P92" s="1334" t="str">
        <f t="shared" si="7"/>
        <v>114622278888</v>
      </c>
    </row>
    <row r="93" spans="1:17">
      <c r="A93" s="1018" t="s">
        <v>1591</v>
      </c>
      <c r="B93" s="460" t="s">
        <v>110</v>
      </c>
      <c r="C93" s="1092" t="s">
        <v>858</v>
      </c>
      <c r="D93" s="1389" t="s">
        <v>1665</v>
      </c>
      <c r="E93" s="1339" t="s">
        <v>1666</v>
      </c>
      <c r="F93" s="1311">
        <v>0</v>
      </c>
      <c r="G93" s="1313">
        <v>306990000</v>
      </c>
      <c r="H93" s="1082">
        <f t="shared" si="5"/>
        <v>-306990000</v>
      </c>
      <c r="I93" s="1333" t="s">
        <v>22</v>
      </c>
      <c r="J93" s="1334" t="str">
        <f>VLOOKUP(C93,Acc_Char!B:K,3,)</f>
        <v>THUAN DAO</v>
      </c>
      <c r="K93" s="1334" t="str">
        <f>VLOOKUP(C93,Acc_Char!B:K,7,)</f>
        <v>Subsidiaries</v>
      </c>
      <c r="L93" s="1334" t="str">
        <f t="shared" si="6"/>
        <v>Construction expense</v>
      </c>
      <c r="M93" s="1335" t="str">
        <f>VLOOKUP(C93,Acc_Char!B:K,5,)</f>
        <v>VND</v>
      </c>
      <c r="N93" s="1335" t="str">
        <f>VLOOKUP(C93,Acc_Char!B:K,6,)</f>
        <v>Current Account</v>
      </c>
      <c r="O93" s="1336" t="str">
        <f>Summary!$B$4</f>
        <v>W1-2Jan26</v>
      </c>
      <c r="P93" s="1334" t="str">
        <f t="shared" si="7"/>
        <v>116002949864</v>
      </c>
      <c r="Q93" s="1024"/>
    </row>
    <row r="94" spans="1:17">
      <c r="A94" s="1018" t="s">
        <v>1591</v>
      </c>
      <c r="B94" s="460" t="s">
        <v>110</v>
      </c>
      <c r="C94" s="1092" t="s">
        <v>500</v>
      </c>
      <c r="D94" s="1389" t="s">
        <v>1667</v>
      </c>
      <c r="E94" s="1339" t="s">
        <v>1668</v>
      </c>
      <c r="F94" s="1311">
        <v>4469980</v>
      </c>
      <c r="G94" s="1313">
        <v>0</v>
      </c>
      <c r="H94" s="1082">
        <f t="shared" si="5"/>
        <v>4469980</v>
      </c>
      <c r="I94" s="1333" t="s">
        <v>39</v>
      </c>
      <c r="J94" s="1334" t="str">
        <f>VLOOKUP(C94,Acc_Char!B:K,3,)</f>
        <v>BWID HAI DUONG</v>
      </c>
      <c r="K94" s="1334" t="str">
        <f>VLOOKUP(C94,Acc_Char!B:K,7,)</f>
        <v>Subsidiaries</v>
      </c>
      <c r="L94" s="1334" t="str">
        <f t="shared" si="6"/>
        <v>Receipt from tenants</v>
      </c>
      <c r="M94" s="1335" t="str">
        <f>VLOOKUP(C94,Acc_Char!B:K,5,)</f>
        <v>VND</v>
      </c>
      <c r="N94" s="1335" t="str">
        <f>VLOOKUP(C94,Acc_Char!B:K,6,)</f>
        <v>Current Account</v>
      </c>
      <c r="O94" s="1336" t="str">
        <f>Summary!$B$4</f>
        <v>W1-2Jan26</v>
      </c>
      <c r="P94" s="1334" t="str">
        <f t="shared" si="7"/>
        <v>111007158888</v>
      </c>
    </row>
    <row r="95" spans="1:17">
      <c r="A95" s="1018" t="s">
        <v>1591</v>
      </c>
      <c r="B95" s="460" t="s">
        <v>110</v>
      </c>
      <c r="C95" s="1092" t="s">
        <v>500</v>
      </c>
      <c r="D95" s="1389" t="s">
        <v>1669</v>
      </c>
      <c r="E95" s="1339" t="s">
        <v>1670</v>
      </c>
      <c r="F95" s="1311">
        <v>656406648</v>
      </c>
      <c r="G95" s="1313">
        <v>0</v>
      </c>
      <c r="H95" s="1082">
        <f t="shared" si="5"/>
        <v>656406648</v>
      </c>
      <c r="I95" s="1333" t="s">
        <v>39</v>
      </c>
      <c r="J95" s="1334" t="str">
        <f>VLOOKUP(C95,Acc_Char!B:K,3,)</f>
        <v>BWID HAI DUONG</v>
      </c>
      <c r="K95" s="1334" t="str">
        <f>VLOOKUP(C95,Acc_Char!B:K,7,)</f>
        <v>Subsidiaries</v>
      </c>
      <c r="L95" s="1334" t="str">
        <f t="shared" si="6"/>
        <v>Receipt from tenants</v>
      </c>
      <c r="M95" s="1335" t="str">
        <f>VLOOKUP(C95,Acc_Char!B:K,5,)</f>
        <v>VND</v>
      </c>
      <c r="N95" s="1335" t="str">
        <f>VLOOKUP(C95,Acc_Char!B:K,6,)</f>
        <v>Current Account</v>
      </c>
      <c r="O95" s="1336" t="str">
        <f>Summary!$B$4</f>
        <v>W1-2Jan26</v>
      </c>
      <c r="P95" s="1334" t="str">
        <f t="shared" si="7"/>
        <v>111007158888</v>
      </c>
    </row>
    <row r="96" spans="1:17">
      <c r="A96" s="1018" t="s">
        <v>1591</v>
      </c>
      <c r="B96" s="460" t="s">
        <v>114</v>
      </c>
      <c r="C96" s="1092" t="s">
        <v>747</v>
      </c>
      <c r="D96" s="1389" t="s">
        <v>1657</v>
      </c>
      <c r="E96" s="1339" t="s">
        <v>1671</v>
      </c>
      <c r="F96" s="1311">
        <v>0</v>
      </c>
      <c r="G96" s="1313">
        <v>51192212</v>
      </c>
      <c r="H96" s="1082">
        <f t="shared" si="5"/>
        <v>-51192212</v>
      </c>
      <c r="I96" s="1333" t="s">
        <v>53</v>
      </c>
      <c r="J96" s="1334" t="str">
        <f>VLOOKUP(C96,Acc_Char!B:K,3,)</f>
        <v>BW DONG HAI</v>
      </c>
      <c r="K96" s="1334" t="str">
        <f>VLOOKUP(C96,Acc_Char!B:K,7,)</f>
        <v>Subsidiaries</v>
      </c>
      <c r="L96" s="1334" t="str">
        <f t="shared" si="6"/>
        <v>Operating expense</v>
      </c>
      <c r="M96" s="1335" t="str">
        <f>VLOOKUP(C96,Acc_Char!B:K,5,)</f>
        <v>VND</v>
      </c>
      <c r="N96" s="1335" t="str">
        <f>VLOOKUP(C96,Acc_Char!B:K,6,)</f>
        <v>Current Account</v>
      </c>
      <c r="O96" s="1336" t="str">
        <f>Summary!$B$4</f>
        <v>W1-2Jan26</v>
      </c>
      <c r="P96" s="1334" t="str">
        <f t="shared" si="7"/>
        <v>2220987979</v>
      </c>
    </row>
    <row r="97" spans="1:16">
      <c r="A97" s="1018" t="s">
        <v>1591</v>
      </c>
      <c r="B97" s="460" t="s">
        <v>114</v>
      </c>
      <c r="C97" s="1092" t="s">
        <v>547</v>
      </c>
      <c r="D97" s="1389" t="s">
        <v>1672</v>
      </c>
      <c r="E97" s="1339" t="s">
        <v>1673</v>
      </c>
      <c r="F97" s="1311">
        <v>0</v>
      </c>
      <c r="G97" s="1313">
        <v>68940672</v>
      </c>
      <c r="H97" s="1082">
        <f t="shared" si="5"/>
        <v>-68940672</v>
      </c>
      <c r="I97" s="1333" t="s">
        <v>53</v>
      </c>
      <c r="J97" s="1334" t="str">
        <f>VLOOKUP(C97,Acc_Char!B:K,3,)</f>
        <v>BW PHU NGHIA</v>
      </c>
      <c r="K97" s="1334" t="str">
        <f>VLOOKUP(C97,Acc_Char!B:K,7,)</f>
        <v>Subsidiaries</v>
      </c>
      <c r="L97" s="1334" t="str">
        <f t="shared" si="6"/>
        <v>Operating expense</v>
      </c>
      <c r="M97" s="1335" t="str">
        <f>VLOOKUP(C97,Acc_Char!B:K,5,)</f>
        <v>VND</v>
      </c>
      <c r="N97" s="1335" t="str">
        <f>VLOOKUP(C97,Acc_Char!B:K,6,)</f>
        <v>Current Account</v>
      </c>
      <c r="O97" s="1336" t="str">
        <f>Summary!$B$4</f>
        <v>W1-2Jan26</v>
      </c>
      <c r="P97" s="1334" t="str">
        <f t="shared" si="7"/>
        <v>2220830888</v>
      </c>
    </row>
    <row r="98" spans="1:16">
      <c r="A98" s="1018" t="s">
        <v>1591</v>
      </c>
      <c r="B98" s="460" t="s">
        <v>110</v>
      </c>
      <c r="C98" s="1092" t="s">
        <v>698</v>
      </c>
      <c r="D98" s="1389" t="s">
        <v>1674</v>
      </c>
      <c r="E98" s="1339" t="s">
        <v>1675</v>
      </c>
      <c r="F98" s="1311">
        <v>0</v>
      </c>
      <c r="G98" s="1313">
        <v>12462720</v>
      </c>
      <c r="H98" s="1082">
        <f t="shared" si="5"/>
        <v>-12462720</v>
      </c>
      <c r="I98" s="1333" t="s">
        <v>53</v>
      </c>
      <c r="J98" s="1334" t="str">
        <f>VLOOKUP(C98,Acc_Char!B:K,3,)</f>
        <v>YEN PHONG</v>
      </c>
      <c r="K98" s="1334" t="str">
        <f>VLOOKUP(C98,Acc_Char!B:K,7,)</f>
        <v>Subsidiaries</v>
      </c>
      <c r="L98" s="1334" t="str">
        <f t="shared" si="6"/>
        <v>Operating expense</v>
      </c>
      <c r="M98" s="1335" t="str">
        <f>VLOOKUP(C98,Acc_Char!B:K,5,)</f>
        <v>VND</v>
      </c>
      <c r="N98" s="1335" t="str">
        <f>VLOOKUP(C98,Acc_Char!B:K,6,)</f>
        <v>Current Account</v>
      </c>
      <c r="O98" s="1336" t="str">
        <f>Summary!$B$4</f>
        <v>W1-2Jan26</v>
      </c>
      <c r="P98" s="1334" t="str">
        <f t="shared" si="7"/>
        <v>114638028888</v>
      </c>
    </row>
    <row r="99" spans="1:16">
      <c r="A99" s="1018" t="s">
        <v>1591</v>
      </c>
      <c r="B99" s="460" t="s">
        <v>110</v>
      </c>
      <c r="C99" s="1092" t="s">
        <v>698</v>
      </c>
      <c r="D99" s="1389" t="s">
        <v>1676</v>
      </c>
      <c r="E99" s="1339" t="s">
        <v>1677</v>
      </c>
      <c r="F99" s="1311">
        <v>0</v>
      </c>
      <c r="G99" s="1313">
        <v>14646792</v>
      </c>
      <c r="H99" s="1082">
        <f t="shared" si="5"/>
        <v>-14646792</v>
      </c>
      <c r="I99" s="1333" t="s">
        <v>53</v>
      </c>
      <c r="J99" s="1334" t="str">
        <f>VLOOKUP(C99,Acc_Char!B:K,3,)</f>
        <v>YEN PHONG</v>
      </c>
      <c r="K99" s="1334" t="str">
        <f>VLOOKUP(C99,Acc_Char!B:K,7,)</f>
        <v>Subsidiaries</v>
      </c>
      <c r="L99" s="1334" t="str">
        <f t="shared" si="6"/>
        <v>Operating expense</v>
      </c>
      <c r="M99" s="1335" t="str">
        <f>VLOOKUP(C99,Acc_Char!B:K,5,)</f>
        <v>VND</v>
      </c>
      <c r="N99" s="1335" t="str">
        <f>VLOOKUP(C99,Acc_Char!B:K,6,)</f>
        <v>Current Account</v>
      </c>
      <c r="O99" s="1336" t="str">
        <f>Summary!$B$4</f>
        <v>W1-2Jan26</v>
      </c>
      <c r="P99" s="1334" t="str">
        <f t="shared" si="7"/>
        <v>114638028888</v>
      </c>
    </row>
    <row r="100" spans="1:16" ht="28.8">
      <c r="A100" s="1018" t="s">
        <v>1591</v>
      </c>
      <c r="B100" s="460" t="s">
        <v>110</v>
      </c>
      <c r="C100" s="1092" t="s">
        <v>717</v>
      </c>
      <c r="D100" s="1389" t="s">
        <v>1678</v>
      </c>
      <c r="E100" s="1339" t="s">
        <v>1679</v>
      </c>
      <c r="F100" s="1311">
        <v>361163880</v>
      </c>
      <c r="G100" s="1313">
        <v>0</v>
      </c>
      <c r="H100" s="1082">
        <f t="shared" si="5"/>
        <v>361163880</v>
      </c>
      <c r="I100" s="1333" t="s">
        <v>39</v>
      </c>
      <c r="J100" s="1334" t="str">
        <f>VLOOKUP(C100,Acc_Char!B:K,3,)</f>
        <v>BW BAU BANG 01</v>
      </c>
      <c r="K100" s="1334" t="str">
        <f>VLOOKUP(C100,Acc_Char!B:K,7,)</f>
        <v>Subsidiaries</v>
      </c>
      <c r="L100" s="1334" t="str">
        <f t="shared" si="6"/>
        <v>Receipt from tenants</v>
      </c>
      <c r="M100" s="1335" t="str">
        <f>VLOOKUP(C100,Acc_Char!B:K,5,)</f>
        <v>VND</v>
      </c>
      <c r="N100" s="1335" t="str">
        <f>VLOOKUP(C100,Acc_Char!B:K,6,)</f>
        <v>Current Account</v>
      </c>
      <c r="O100" s="1336" t="str">
        <f>Summary!$B$4</f>
        <v>W1-2Jan26</v>
      </c>
      <c r="P100" s="1334" t="str">
        <f t="shared" si="7"/>
        <v>110002915294</v>
      </c>
    </row>
    <row r="101" spans="1:16">
      <c r="A101" s="1018" t="s">
        <v>1567</v>
      </c>
      <c r="B101" s="460" t="s">
        <v>112</v>
      </c>
      <c r="C101" s="1092" t="s">
        <v>477</v>
      </c>
      <c r="D101" s="1389">
        <v>46032</v>
      </c>
      <c r="E101" s="1339" t="s">
        <v>1680</v>
      </c>
      <c r="F101" s="1311">
        <v>127397</v>
      </c>
      <c r="G101" s="1313">
        <v>0</v>
      </c>
      <c r="H101" s="1082">
        <f t="shared" si="5"/>
        <v>127397</v>
      </c>
      <c r="I101" s="1333" t="s">
        <v>44</v>
      </c>
      <c r="J101" s="1334" t="str">
        <f>VLOOKUP(C101,Acc_Char!B:K,3,)</f>
        <v>BWID BINH DUONG</v>
      </c>
      <c r="K101" s="1334" t="str">
        <f>VLOOKUP(C101,Acc_Char!B:K,7,)</f>
        <v>BWID JSC</v>
      </c>
      <c r="L101" s="1334" t="str">
        <f t="shared" si="6"/>
        <v>Other receipts</v>
      </c>
      <c r="M101" s="1335" t="str">
        <f>VLOOKUP(C101,Acc_Char!B:K,5,)</f>
        <v>VND</v>
      </c>
      <c r="N101" s="1335" t="str">
        <f>VLOOKUP(C101,Acc_Char!B:K,6,)</f>
        <v>Current Account</v>
      </c>
      <c r="O101" s="1336" t="str">
        <f>Summary!$B$4</f>
        <v>W1-2Jan26</v>
      </c>
      <c r="P101" s="1334" t="str">
        <f t="shared" si="7"/>
        <v>71002826868</v>
      </c>
    </row>
    <row r="102" spans="1:16">
      <c r="A102" s="1018" t="s">
        <v>1567</v>
      </c>
      <c r="B102" s="460" t="s">
        <v>112</v>
      </c>
      <c r="C102" s="1092" t="s">
        <v>591</v>
      </c>
      <c r="D102" s="1389">
        <v>46030</v>
      </c>
      <c r="E102" s="1339" t="s">
        <v>1680</v>
      </c>
      <c r="F102" s="1311">
        <v>600000000000</v>
      </c>
      <c r="G102" s="1313">
        <v>0</v>
      </c>
      <c r="H102" s="1082">
        <f t="shared" si="5"/>
        <v>600000000000</v>
      </c>
      <c r="I102" s="1333" t="s">
        <v>41</v>
      </c>
      <c r="J102" s="1334" t="str">
        <f>VLOOKUP(C102,Acc_Char!B:K,3,)</f>
        <v>SAO HOA</v>
      </c>
      <c r="K102" s="1334" t="str">
        <f>VLOOKUP(C102,Acc_Char!B:K,7,)</f>
        <v>VC3</v>
      </c>
      <c r="L102" s="1334" t="str">
        <f t="shared" si="6"/>
        <v>Internal transfer in</v>
      </c>
      <c r="M102" s="1335" t="str">
        <f>VLOOKUP(C102,Acc_Char!B:K,5,)</f>
        <v>VND</v>
      </c>
      <c r="N102" s="1335" t="str">
        <f>VLOOKUP(C102,Acc_Char!B:K,6,)</f>
        <v>Current Account</v>
      </c>
      <c r="O102" s="1336" t="str">
        <f>Summary!$B$4</f>
        <v>W1-2Jan26</v>
      </c>
      <c r="P102" s="1334" t="str">
        <f t="shared" si="7"/>
        <v>1019667606</v>
      </c>
    </row>
    <row r="103" spans="1:16">
      <c r="A103" s="1018" t="s">
        <v>1567</v>
      </c>
      <c r="B103" s="460" t="s">
        <v>112</v>
      </c>
      <c r="C103" s="1092" t="s">
        <v>591</v>
      </c>
      <c r="D103" s="1389">
        <v>46030</v>
      </c>
      <c r="E103" s="1339" t="s">
        <v>1680</v>
      </c>
      <c r="F103" s="1311">
        <v>2420547945</v>
      </c>
      <c r="G103" s="1313">
        <v>0</v>
      </c>
      <c r="H103" s="1082">
        <f t="shared" si="5"/>
        <v>2420547945</v>
      </c>
      <c r="I103" s="1333" t="s">
        <v>39</v>
      </c>
      <c r="J103" s="1334" t="str">
        <f>VLOOKUP(C103,Acc_Char!B:K,3,)</f>
        <v>SAO HOA</v>
      </c>
      <c r="K103" s="1334" t="str">
        <f>VLOOKUP(C103,Acc_Char!B:K,7,)</f>
        <v>VC3</v>
      </c>
      <c r="L103" s="1334" t="str">
        <f t="shared" si="6"/>
        <v>Receipt from tenants</v>
      </c>
      <c r="M103" s="1335" t="str">
        <f>VLOOKUP(C103,Acc_Char!B:K,5,)</f>
        <v>VND</v>
      </c>
      <c r="N103" s="1335" t="str">
        <f>VLOOKUP(C103,Acc_Char!B:K,6,)</f>
        <v>Current Account</v>
      </c>
      <c r="O103" s="1336" t="str">
        <f>Summary!$B$4</f>
        <v>W1-2Jan26</v>
      </c>
      <c r="P103" s="1334" t="str">
        <f t="shared" si="7"/>
        <v>1019667606</v>
      </c>
    </row>
    <row r="104" spans="1:16">
      <c r="A104" s="1018" t="s">
        <v>1567</v>
      </c>
      <c r="B104" s="460" t="s">
        <v>112</v>
      </c>
      <c r="C104" s="1092" t="s">
        <v>514</v>
      </c>
      <c r="D104" s="1389">
        <v>46027</v>
      </c>
      <c r="E104" s="1339" t="s">
        <v>1680</v>
      </c>
      <c r="F104" s="1311">
        <v>53095890</v>
      </c>
      <c r="G104" s="1313">
        <v>0</v>
      </c>
      <c r="H104" s="1082">
        <f t="shared" si="5"/>
        <v>53095890</v>
      </c>
      <c r="I104" s="1333" t="s">
        <v>39</v>
      </c>
      <c r="J104" s="1334" t="str">
        <f>VLOOKUP(C104,Acc_Char!B:K,3,)</f>
        <v>BWID NHON TRACH</v>
      </c>
      <c r="K104" s="1334" t="str">
        <f>VLOOKUP(C104,Acc_Char!B:K,7,)</f>
        <v>Subsidiaries</v>
      </c>
      <c r="L104" s="1334" t="str">
        <f t="shared" si="6"/>
        <v>Receipt from tenants</v>
      </c>
      <c r="M104" s="1335" t="str">
        <f>VLOOKUP(C104,Acc_Char!B:K,5,)</f>
        <v>VND</v>
      </c>
      <c r="N104" s="1335" t="str">
        <f>VLOOKUP(C104,Acc_Char!B:K,6,)</f>
        <v>Current Account</v>
      </c>
      <c r="O104" s="1336" t="str">
        <f>Summary!$B$4</f>
        <v>W1-2Jan26</v>
      </c>
      <c r="P104" s="1334" t="str">
        <f t="shared" si="7"/>
        <v>71001286959</v>
      </c>
    </row>
    <row r="105" spans="1:16">
      <c r="A105" s="1018" t="s">
        <v>1567</v>
      </c>
      <c r="B105" s="460" t="s">
        <v>112</v>
      </c>
      <c r="C105" s="1092" t="s">
        <v>802</v>
      </c>
      <c r="D105" s="1389">
        <v>46036</v>
      </c>
      <c r="E105" s="1339" t="s">
        <v>1680</v>
      </c>
      <c r="F105" s="1311">
        <v>11712329</v>
      </c>
      <c r="G105" s="1313">
        <v>0</v>
      </c>
      <c r="H105" s="1082">
        <f t="shared" si="5"/>
        <v>11712329</v>
      </c>
      <c r="I105" s="1333" t="s">
        <v>44</v>
      </c>
      <c r="J105" s="1334" t="str">
        <f>VLOOKUP(C105,Acc_Char!B:K,3,)</f>
        <v>BW NAM HAI</v>
      </c>
      <c r="K105" s="1334" t="str">
        <f>VLOOKUP(C105,Acc_Char!B:K,7,)</f>
        <v>Subsidiaries</v>
      </c>
      <c r="L105" s="1334" t="str">
        <f t="shared" si="6"/>
        <v>Other receipts</v>
      </c>
      <c r="M105" s="1335" t="str">
        <f>VLOOKUP(C105,Acc_Char!B:K,5,)</f>
        <v>VND</v>
      </c>
      <c r="N105" s="1335" t="str">
        <f>VLOOKUP(C105,Acc_Char!B:K,6,)</f>
        <v>Current Account</v>
      </c>
      <c r="O105" s="1336" t="str">
        <f>Summary!$B$4</f>
        <v>W1-2Jan26</v>
      </c>
      <c r="P105" s="1334" t="str">
        <f t="shared" si="7"/>
        <v>9020108888</v>
      </c>
    </row>
    <row r="106" spans="1:16">
      <c r="A106" s="1018" t="s">
        <v>1567</v>
      </c>
      <c r="B106" s="460" t="s">
        <v>112</v>
      </c>
      <c r="C106" s="1092" t="s">
        <v>802</v>
      </c>
      <c r="D106" s="1389">
        <v>46027</v>
      </c>
      <c r="E106" s="1339" t="s">
        <v>1680</v>
      </c>
      <c r="F106" s="1311">
        <v>22123287</v>
      </c>
      <c r="G106" s="1313">
        <v>0</v>
      </c>
      <c r="H106" s="1082">
        <f t="shared" si="5"/>
        <v>22123287</v>
      </c>
      <c r="I106" s="1333" t="s">
        <v>44</v>
      </c>
      <c r="J106" s="1334" t="str">
        <f>VLOOKUP(C106,Acc_Char!B:K,3,)</f>
        <v>BW NAM HAI</v>
      </c>
      <c r="K106" s="1334" t="str">
        <f>VLOOKUP(C106,Acc_Char!B:K,7,)</f>
        <v>Subsidiaries</v>
      </c>
      <c r="L106" s="1334" t="str">
        <f t="shared" si="6"/>
        <v>Other receipts</v>
      </c>
      <c r="M106" s="1335" t="str">
        <f>VLOOKUP(C106,Acc_Char!B:K,5,)</f>
        <v>VND</v>
      </c>
      <c r="N106" s="1335" t="str">
        <f>VLOOKUP(C106,Acc_Char!B:K,6,)</f>
        <v>Current Account</v>
      </c>
      <c r="O106" s="1336" t="str">
        <f>Summary!$B$4</f>
        <v>W1-2Jan26</v>
      </c>
      <c r="P106" s="1334" t="str">
        <f t="shared" si="7"/>
        <v>9020108888</v>
      </c>
    </row>
    <row r="107" spans="1:16">
      <c r="A107" s="1018" t="s">
        <v>1567</v>
      </c>
      <c r="B107" s="460" t="s">
        <v>112</v>
      </c>
      <c r="C107" s="1092" t="s">
        <v>1000</v>
      </c>
      <c r="D107" s="1389">
        <v>46027</v>
      </c>
      <c r="E107" s="1339" t="s">
        <v>1680</v>
      </c>
      <c r="F107" s="1311">
        <v>58301370</v>
      </c>
      <c r="G107" s="1313">
        <v>0</v>
      </c>
      <c r="H107" s="1082">
        <f t="shared" si="5"/>
        <v>58301370</v>
      </c>
      <c r="I107" s="1333" t="s">
        <v>44</v>
      </c>
      <c r="J107" s="1334" t="str">
        <f>VLOOKUP(C107,Acc_Char!B:K,3,)</f>
        <v>THUAN THANH 3B</v>
      </c>
      <c r="K107" s="1334" t="str">
        <f>VLOOKUP(C107,Acc_Char!B:K,7,)</f>
        <v>Subsidiaries</v>
      </c>
      <c r="L107" s="1334" t="str">
        <f t="shared" si="6"/>
        <v>Other receipts</v>
      </c>
      <c r="M107" s="1335" t="str">
        <f>VLOOKUP(C107,Acc_Char!B:K,5,)</f>
        <v>VND</v>
      </c>
      <c r="N107" s="1335" t="str">
        <f>VLOOKUP(C107,Acc_Char!B:K,6,)</f>
        <v>Current Account</v>
      </c>
      <c r="O107" s="1336" t="str">
        <f>Summary!$B$4</f>
        <v>W1-2Jan26</v>
      </c>
      <c r="P107" s="1334" t="str">
        <f t="shared" si="7"/>
        <v>3243126666</v>
      </c>
    </row>
    <row r="108" spans="1:16" ht="28.8">
      <c r="A108" s="1018" t="s">
        <v>1567</v>
      </c>
      <c r="B108" s="460" t="s">
        <v>198</v>
      </c>
      <c r="C108" s="1092" t="s">
        <v>1078</v>
      </c>
      <c r="D108" s="1389">
        <v>46235</v>
      </c>
      <c r="E108" s="1339" t="s">
        <v>1681</v>
      </c>
      <c r="F108" s="1311">
        <v>47429867</v>
      </c>
      <c r="G108" s="1313">
        <v>0</v>
      </c>
      <c r="H108" s="1082">
        <f t="shared" si="5"/>
        <v>47429867</v>
      </c>
      <c r="I108" s="1333" t="s">
        <v>39</v>
      </c>
      <c r="J108" s="1334" t="str">
        <f>VLOOKUP(C108,Acc_Char!B:K,3,)</f>
        <v>BWID TAN DONG HIEP</v>
      </c>
      <c r="K108" s="1334" t="str">
        <f>VLOOKUP(C108,Acc_Char!B:K,7,)</f>
        <v>Subsidiaries</v>
      </c>
      <c r="L108" s="1334" t="str">
        <f t="shared" si="6"/>
        <v>Receipt from tenants</v>
      </c>
      <c r="M108" s="1335" t="str">
        <f>VLOOKUP(C108,Acc_Char!B:K,5,)</f>
        <v>VND</v>
      </c>
      <c r="N108" s="1335" t="str">
        <f>VLOOKUP(C108,Acc_Char!B:K,6,)</f>
        <v>Current Account</v>
      </c>
      <c r="O108" s="1336" t="str">
        <f>Summary!$B$4</f>
        <v>W1-2Jan26</v>
      </c>
      <c r="P108" s="1334" t="str">
        <f t="shared" si="7"/>
        <v>7000800109999</v>
      </c>
    </row>
    <row r="109" spans="1:16" ht="28.8">
      <c r="A109" s="1018" t="s">
        <v>1567</v>
      </c>
      <c r="B109" s="460" t="s">
        <v>112</v>
      </c>
      <c r="C109" s="1092" t="s">
        <v>575</v>
      </c>
      <c r="D109" s="1389">
        <v>46028</v>
      </c>
      <c r="E109" s="1339" t="s">
        <v>1682</v>
      </c>
      <c r="F109" s="1311">
        <v>0</v>
      </c>
      <c r="G109" s="1313">
        <v>53.25</v>
      </c>
      <c r="H109" s="1082">
        <f t="shared" si="5"/>
        <v>-53.25</v>
      </c>
      <c r="I109" s="1333" t="s">
        <v>53</v>
      </c>
      <c r="J109" s="1334" t="str">
        <f>VLOOKUP(C109,Acc_Char!B:K,3,)</f>
        <v>BW SUPLLY CHAIN CITY</v>
      </c>
      <c r="K109" s="1334" t="str">
        <f>VLOOKUP(C109,Acc_Char!B:K,7,)</f>
        <v>Subsidiaries</v>
      </c>
      <c r="L109" s="1334" t="str">
        <f t="shared" si="6"/>
        <v>Operating expense</v>
      </c>
      <c r="M109" s="1335" t="str">
        <f>VLOOKUP(C109,Acc_Char!B:K,5,)</f>
        <v>USD</v>
      </c>
      <c r="N109" s="1335" t="str">
        <f>VLOOKUP(C109,Acc_Char!B:K,6,)</f>
        <v>Current Account</v>
      </c>
      <c r="O109" s="1336" t="str">
        <f>Summary!$B$4</f>
        <v>W1-2Jan26</v>
      </c>
      <c r="P109" s="1334" t="str">
        <f t="shared" si="7"/>
        <v>1018291778</v>
      </c>
    </row>
    <row r="110" spans="1:16" ht="28.8">
      <c r="A110" s="1018" t="s">
        <v>1567</v>
      </c>
      <c r="B110" s="460" t="s">
        <v>112</v>
      </c>
      <c r="C110" s="1092" t="s">
        <v>575</v>
      </c>
      <c r="D110" s="1389">
        <v>46028</v>
      </c>
      <c r="E110" s="1339" t="s">
        <v>1682</v>
      </c>
      <c r="F110" s="1311">
        <v>0</v>
      </c>
      <c r="G110" s="1313">
        <v>6705.95</v>
      </c>
      <c r="H110" s="1082">
        <f t="shared" si="5"/>
        <v>-6705.95</v>
      </c>
      <c r="I110" s="1333" t="s">
        <v>53</v>
      </c>
      <c r="J110" s="1334" t="str">
        <f>VLOOKUP(C110,Acc_Char!B:K,3,)</f>
        <v>BW SUPLLY CHAIN CITY</v>
      </c>
      <c r="K110" s="1334" t="str">
        <f>VLOOKUP(C110,Acc_Char!B:K,7,)</f>
        <v>Subsidiaries</v>
      </c>
      <c r="L110" s="1334" t="str">
        <f t="shared" si="6"/>
        <v>Operating expense</v>
      </c>
      <c r="M110" s="1335" t="str">
        <f>VLOOKUP(C110,Acc_Char!B:K,5,)</f>
        <v>USD</v>
      </c>
      <c r="N110" s="1335" t="str">
        <f>VLOOKUP(C110,Acc_Char!B:K,6,)</f>
        <v>Current Account</v>
      </c>
      <c r="O110" s="1336" t="str">
        <f>Summary!$B$4</f>
        <v>W1-2Jan26</v>
      </c>
      <c r="P110" s="1334" t="str">
        <f t="shared" si="7"/>
        <v>1018291778</v>
      </c>
    </row>
    <row r="111" spans="1:16">
      <c r="A111" s="1018" t="s">
        <v>1567</v>
      </c>
      <c r="B111" s="460" t="s">
        <v>112</v>
      </c>
      <c r="C111" s="1092" t="s">
        <v>591</v>
      </c>
      <c r="D111" s="1389">
        <v>46034</v>
      </c>
      <c r="E111" s="1339" t="s">
        <v>1683</v>
      </c>
      <c r="F111" s="1311">
        <v>0</v>
      </c>
      <c r="G111" s="1313">
        <v>200000000000</v>
      </c>
      <c r="H111" s="1082">
        <f t="shared" si="5"/>
        <v>-200000000000</v>
      </c>
      <c r="I111" s="1333" t="s">
        <v>59</v>
      </c>
      <c r="J111" s="1334" t="str">
        <f>VLOOKUP(C111,Acc_Char!B:K,3,)</f>
        <v>SAO HOA</v>
      </c>
      <c r="K111" s="1334" t="str">
        <f>VLOOKUP(C111,Acc_Char!B:K,7,)</f>
        <v>VC3</v>
      </c>
      <c r="L111" s="1334" t="str">
        <f t="shared" si="6"/>
        <v>Internal transfer out</v>
      </c>
      <c r="M111" s="1335" t="str">
        <f>VLOOKUP(C111,Acc_Char!B:K,5,)</f>
        <v>VND</v>
      </c>
      <c r="N111" s="1335" t="str">
        <f>VLOOKUP(C111,Acc_Char!B:K,6,)</f>
        <v>Current Account</v>
      </c>
      <c r="O111" s="1336" t="str">
        <f>Summary!$B$4</f>
        <v>W1-2Jan26</v>
      </c>
      <c r="P111" s="1334" t="str">
        <f t="shared" si="7"/>
        <v>1019667606</v>
      </c>
    </row>
    <row r="112" spans="1:16">
      <c r="A112" s="1018" t="s">
        <v>1567</v>
      </c>
      <c r="B112" s="460" t="s">
        <v>112</v>
      </c>
      <c r="C112" s="1092" t="s">
        <v>591</v>
      </c>
      <c r="D112" s="1389">
        <v>46037</v>
      </c>
      <c r="E112" s="1339" t="s">
        <v>1684</v>
      </c>
      <c r="F112" s="1311">
        <v>0</v>
      </c>
      <c r="G112" s="1313">
        <v>140000000000</v>
      </c>
      <c r="H112" s="1082">
        <f t="shared" si="5"/>
        <v>-140000000000</v>
      </c>
      <c r="I112" s="1333" t="s">
        <v>59</v>
      </c>
      <c r="J112" s="1334" t="str">
        <f>VLOOKUP(C112,Acc_Char!B:K,3,)</f>
        <v>SAO HOA</v>
      </c>
      <c r="K112" s="1334" t="str">
        <f>VLOOKUP(C112,Acc_Char!B:K,7,)</f>
        <v>VC3</v>
      </c>
      <c r="L112" s="1334" t="str">
        <f t="shared" si="6"/>
        <v>Internal transfer out</v>
      </c>
      <c r="M112" s="1335" t="str">
        <f>VLOOKUP(C112,Acc_Char!B:K,5,)</f>
        <v>VND</v>
      </c>
      <c r="N112" s="1335" t="str">
        <f>VLOOKUP(C112,Acc_Char!B:K,6,)</f>
        <v>Current Account</v>
      </c>
      <c r="O112" s="1336" t="str">
        <f>Summary!$B$4</f>
        <v>W1-2Jan26</v>
      </c>
      <c r="P112" s="1334" t="str">
        <f t="shared" si="7"/>
        <v>1019667606</v>
      </c>
    </row>
    <row r="113" spans="1:16">
      <c r="A113" s="1018" t="s">
        <v>1567</v>
      </c>
      <c r="B113" s="460" t="s">
        <v>112</v>
      </c>
      <c r="C113" s="1092" t="s">
        <v>762</v>
      </c>
      <c r="D113" s="1389">
        <v>46031</v>
      </c>
      <c r="E113" s="1396" t="s">
        <v>1685</v>
      </c>
      <c r="F113" s="1311">
        <v>0</v>
      </c>
      <c r="G113" s="1313">
        <v>36195207</v>
      </c>
      <c r="H113" s="1082">
        <f t="shared" si="5"/>
        <v>-36195207</v>
      </c>
      <c r="I113" s="1333" t="s">
        <v>53</v>
      </c>
      <c r="J113" s="1334" t="str">
        <f>VLOOKUP(C113,Acc_Char!B:K,3,)</f>
        <v>THUAN THANH 3B</v>
      </c>
      <c r="K113" s="1334" t="str">
        <f>VLOOKUP(C113,Acc_Char!B:K,7,)</f>
        <v>Subsidiaries</v>
      </c>
      <c r="L113" s="1334" t="str">
        <f t="shared" si="6"/>
        <v>Operating expense</v>
      </c>
      <c r="M113" s="1335" t="str">
        <f>VLOOKUP(C113,Acc_Char!B:K,5,)</f>
        <v>VND</v>
      </c>
      <c r="N113" s="1335" t="str">
        <f>VLOOKUP(C113,Acc_Char!B:K,6,)</f>
        <v>Current Account</v>
      </c>
      <c r="O113" s="1336" t="str">
        <f>Summary!$B$4</f>
        <v>W1-2Jan26</v>
      </c>
      <c r="P113" s="1334" t="str">
        <f t="shared" si="7"/>
        <v>9020128888</v>
      </c>
    </row>
    <row r="114" spans="1:16" ht="28.8">
      <c r="A114" s="1018" t="s">
        <v>1567</v>
      </c>
      <c r="B114" s="460" t="s">
        <v>112</v>
      </c>
      <c r="C114" s="1092" t="s">
        <v>591</v>
      </c>
      <c r="D114" s="1389">
        <v>46030</v>
      </c>
      <c r="E114" s="1396" t="s">
        <v>1686</v>
      </c>
      <c r="F114" s="1311">
        <v>0</v>
      </c>
      <c r="G114" s="1313">
        <v>260000000000</v>
      </c>
      <c r="H114" s="1082">
        <f t="shared" si="5"/>
        <v>-260000000000</v>
      </c>
      <c r="I114" s="1333" t="s">
        <v>59</v>
      </c>
      <c r="J114" s="1334" t="str">
        <f>VLOOKUP(C114,Acc_Char!B:K,3,)</f>
        <v>SAO HOA</v>
      </c>
      <c r="K114" s="1334" t="str">
        <f>VLOOKUP(C114,Acc_Char!B:K,7,)</f>
        <v>VC3</v>
      </c>
      <c r="L114" s="1334" t="str">
        <f t="shared" si="6"/>
        <v>Internal transfer out</v>
      </c>
      <c r="M114" s="1335" t="str">
        <f>VLOOKUP(C114,Acc_Char!B:K,5,)</f>
        <v>VND</v>
      </c>
      <c r="N114" s="1335" t="str">
        <f>VLOOKUP(C114,Acc_Char!B:K,6,)</f>
        <v>Current Account</v>
      </c>
      <c r="O114" s="1336" t="str">
        <f>Summary!$B$4</f>
        <v>W1-2Jan26</v>
      </c>
      <c r="P114" s="1334" t="str">
        <f t="shared" si="7"/>
        <v>1019667606</v>
      </c>
    </row>
    <row r="115" spans="1:16">
      <c r="A115" s="1018" t="s">
        <v>1567</v>
      </c>
      <c r="B115" s="460" t="s">
        <v>198</v>
      </c>
      <c r="C115" s="1092" t="s">
        <v>1078</v>
      </c>
      <c r="D115" s="1389">
        <v>46035</v>
      </c>
      <c r="E115" s="1340" t="s">
        <v>1687</v>
      </c>
      <c r="F115" s="1313">
        <v>0</v>
      </c>
      <c r="G115" s="1313">
        <v>87719841</v>
      </c>
      <c r="H115" s="1082">
        <f t="shared" si="5"/>
        <v>-87719841</v>
      </c>
      <c r="I115" s="1333" t="s">
        <v>53</v>
      </c>
      <c r="J115" s="1334" t="str">
        <f>VLOOKUP(C115,Acc_Char!B:K,3,)</f>
        <v>BWID TAN DONG HIEP</v>
      </c>
      <c r="K115" s="1334" t="str">
        <f>VLOOKUP(C115,Acc_Char!B:K,7,)</f>
        <v>Subsidiaries</v>
      </c>
      <c r="L115" s="1334" t="str">
        <f t="shared" si="6"/>
        <v>Operating expense</v>
      </c>
      <c r="M115" s="1335" t="str">
        <f>VLOOKUP(C115,Acc_Char!B:K,5,)</f>
        <v>VND</v>
      </c>
      <c r="N115" s="1335" t="str">
        <f>VLOOKUP(C115,Acc_Char!B:K,6,)</f>
        <v>Current Account</v>
      </c>
      <c r="O115" s="1336" t="str">
        <f>Summary!$B$4</f>
        <v>W1-2Jan26</v>
      </c>
      <c r="P115" s="1334" t="str">
        <f t="shared" si="7"/>
        <v>7000800109999</v>
      </c>
    </row>
    <row r="116" spans="1:16">
      <c r="A116" s="1018" t="s">
        <v>1591</v>
      </c>
      <c r="B116" s="460" t="s">
        <v>110</v>
      </c>
      <c r="C116" s="1092" t="s">
        <v>511</v>
      </c>
      <c r="D116" s="1389" t="s">
        <v>1688</v>
      </c>
      <c r="E116" s="1340" t="s">
        <v>1689</v>
      </c>
      <c r="F116" s="1313">
        <v>267939203</v>
      </c>
      <c r="G116" s="1313">
        <v>0</v>
      </c>
      <c r="H116" s="1082">
        <f t="shared" si="5"/>
        <v>267939203</v>
      </c>
      <c r="I116" s="1333" t="s">
        <v>39</v>
      </c>
      <c r="J116" s="1334" t="str">
        <f>VLOOKUP(C116,Acc_Char!B:K,3,)</f>
        <v>BWID HAI PHONG</v>
      </c>
      <c r="K116" s="1334" t="str">
        <f>VLOOKUP(C116,Acc_Char!B:K,7,)</f>
        <v>Subsidiaries</v>
      </c>
      <c r="L116" s="1334" t="str">
        <f t="shared" si="6"/>
        <v>Receipt from tenants</v>
      </c>
      <c r="M116" s="1335" t="str">
        <f>VLOOKUP(C116,Acc_Char!B:K,5,)</f>
        <v>VND</v>
      </c>
      <c r="N116" s="1335" t="str">
        <f>VLOOKUP(C116,Acc_Char!B:K,6,)</f>
        <v>Current Account</v>
      </c>
      <c r="O116" s="1336" t="str">
        <f>Summary!$B$4</f>
        <v>W1-2Jan26</v>
      </c>
      <c r="P116" s="1334" t="str">
        <f t="shared" si="7"/>
        <v>116002681740</v>
      </c>
    </row>
    <row r="117" spans="1:16">
      <c r="A117" s="1018" t="s">
        <v>1591</v>
      </c>
      <c r="B117" s="460" t="s">
        <v>110</v>
      </c>
      <c r="C117" s="1092" t="s">
        <v>717</v>
      </c>
      <c r="D117" s="1389" t="s">
        <v>1690</v>
      </c>
      <c r="E117" s="1340" t="s">
        <v>1691</v>
      </c>
      <c r="F117" s="1313">
        <v>605397744</v>
      </c>
      <c r="G117" s="1313">
        <v>0</v>
      </c>
      <c r="H117" s="1082">
        <f t="shared" si="5"/>
        <v>605397744</v>
      </c>
      <c r="I117" s="1333" t="s">
        <v>39</v>
      </c>
      <c r="J117" s="1334" t="str">
        <f>VLOOKUP(C117,Acc_Char!B:K,3,)</f>
        <v>BW BAU BANG 01</v>
      </c>
      <c r="K117" s="1334" t="str">
        <f>VLOOKUP(C117,Acc_Char!B:K,7,)</f>
        <v>Subsidiaries</v>
      </c>
      <c r="L117" s="1334" t="str">
        <f t="shared" si="6"/>
        <v>Receipt from tenants</v>
      </c>
      <c r="M117" s="1335" t="str">
        <f>VLOOKUP(C117,Acc_Char!B:K,5,)</f>
        <v>VND</v>
      </c>
      <c r="N117" s="1335" t="str">
        <f>VLOOKUP(C117,Acc_Char!B:K,6,)</f>
        <v>Current Account</v>
      </c>
      <c r="O117" s="1336" t="str">
        <f>Summary!$B$4</f>
        <v>W1-2Jan26</v>
      </c>
      <c r="P117" s="1334" t="str">
        <f t="shared" si="7"/>
        <v>110002915294</v>
      </c>
    </row>
    <row r="118" spans="1:16">
      <c r="A118" s="1018" t="s">
        <v>1591</v>
      </c>
      <c r="B118" s="460" t="s">
        <v>110</v>
      </c>
      <c r="C118" s="1092" t="s">
        <v>511</v>
      </c>
      <c r="D118" s="1389" t="s">
        <v>1692</v>
      </c>
      <c r="E118" s="1339" t="s">
        <v>1693</v>
      </c>
      <c r="F118" s="1311">
        <v>19537952</v>
      </c>
      <c r="G118" s="1313">
        <v>0</v>
      </c>
      <c r="H118" s="1082">
        <f t="shared" si="5"/>
        <v>19537952</v>
      </c>
      <c r="I118" s="1333" t="s">
        <v>39</v>
      </c>
      <c r="J118" s="1334" t="str">
        <f>VLOOKUP(C118,Acc_Char!B:K,3,)</f>
        <v>BWID HAI PHONG</v>
      </c>
      <c r="K118" s="1334" t="str">
        <f>VLOOKUP(C118,Acc_Char!B:K,7,)</f>
        <v>Subsidiaries</v>
      </c>
      <c r="L118" s="1334" t="str">
        <f t="shared" si="6"/>
        <v>Receipt from tenants</v>
      </c>
      <c r="M118" s="1335" t="str">
        <f>VLOOKUP(C118,Acc_Char!B:K,5,)</f>
        <v>VND</v>
      </c>
      <c r="N118" s="1335" t="str">
        <f>VLOOKUP(C118,Acc_Char!B:K,6,)</f>
        <v>Current Account</v>
      </c>
      <c r="O118" s="1336" t="str">
        <f>Summary!$B$4</f>
        <v>W1-2Jan26</v>
      </c>
      <c r="P118" s="1334" t="str">
        <f t="shared" si="7"/>
        <v>116002681740</v>
      </c>
    </row>
    <row r="119" spans="1:16">
      <c r="A119" s="1018" t="s">
        <v>1591</v>
      </c>
      <c r="B119" s="460" t="s">
        <v>110</v>
      </c>
      <c r="C119" s="1092" t="s">
        <v>511</v>
      </c>
      <c r="D119" s="1389" t="s">
        <v>1694</v>
      </c>
      <c r="E119" s="1339" t="s">
        <v>1695</v>
      </c>
      <c r="F119" s="1311">
        <v>85360000</v>
      </c>
      <c r="G119" s="1313">
        <v>0</v>
      </c>
      <c r="H119" s="1082">
        <f t="shared" si="5"/>
        <v>85360000</v>
      </c>
      <c r="I119" s="1333" t="s">
        <v>39</v>
      </c>
      <c r="J119" s="1334" t="str">
        <f>VLOOKUP(C119,Acc_Char!B:K,3,)</f>
        <v>BWID HAI PHONG</v>
      </c>
      <c r="K119" s="1334" t="str">
        <f>VLOOKUP(C119,Acc_Char!B:K,7,)</f>
        <v>Subsidiaries</v>
      </c>
      <c r="L119" s="1334" t="str">
        <f t="shared" si="6"/>
        <v>Receipt from tenants</v>
      </c>
      <c r="M119" s="1335" t="str">
        <f>VLOOKUP(C119,Acc_Char!B:K,5,)</f>
        <v>VND</v>
      </c>
      <c r="N119" s="1335" t="str">
        <f>VLOOKUP(C119,Acc_Char!B:K,6,)</f>
        <v>Current Account</v>
      </c>
      <c r="O119" s="1336" t="str">
        <f>Summary!$B$4</f>
        <v>W1-2Jan26</v>
      </c>
      <c r="P119" s="1334" t="str">
        <f t="shared" si="7"/>
        <v>116002681740</v>
      </c>
    </row>
    <row r="120" spans="1:16" ht="28.8">
      <c r="A120" s="1018" t="s">
        <v>1567</v>
      </c>
      <c r="B120" s="460" t="s">
        <v>1586</v>
      </c>
      <c r="C120" s="1092" t="s">
        <v>1364</v>
      </c>
      <c r="D120" s="1389">
        <v>46204</v>
      </c>
      <c r="E120" s="1339" t="s">
        <v>1696</v>
      </c>
      <c r="F120" s="1311">
        <v>41372473</v>
      </c>
      <c r="G120" s="1313">
        <v>0</v>
      </c>
      <c r="H120" s="1082">
        <f t="shared" si="5"/>
        <v>41372473</v>
      </c>
      <c r="I120" s="1333" t="s">
        <v>39</v>
      </c>
      <c r="J120" s="1334" t="str">
        <f>VLOOKUP(C120,Acc_Char!B:K,3,)</f>
        <v>BW MY PHUOC 3</v>
      </c>
      <c r="K120" s="1334" t="str">
        <f>VLOOKUP(C120,Acc_Char!B:K,7,)</f>
        <v>Subsidiaries</v>
      </c>
      <c r="L120" s="1334" t="str">
        <f t="shared" si="6"/>
        <v>Receipt from tenants</v>
      </c>
      <c r="M120" s="1335" t="str">
        <f>VLOOKUP(C120,Acc_Char!B:K,5,)</f>
        <v>VND</v>
      </c>
      <c r="N120" s="1335" t="str">
        <f>VLOOKUP(C120,Acc_Char!B:K,6,)</f>
        <v>Current Account</v>
      </c>
      <c r="O120" s="1336" t="str">
        <f>Summary!$B$4</f>
        <v>W1-2Jan26</v>
      </c>
      <c r="P120" s="1334" t="str">
        <f t="shared" si="7"/>
        <v>100700488679</v>
      </c>
    </row>
    <row r="121" spans="1:16" ht="28.8">
      <c r="A121" s="1018" t="s">
        <v>1567</v>
      </c>
      <c r="B121" s="460" t="s">
        <v>1586</v>
      </c>
      <c r="C121" s="1092" t="s">
        <v>1364</v>
      </c>
      <c r="D121" s="1389">
        <v>46204</v>
      </c>
      <c r="E121" s="1339" t="s">
        <v>1697</v>
      </c>
      <c r="F121" s="1311">
        <v>27080515</v>
      </c>
      <c r="G121" s="1313">
        <v>0</v>
      </c>
      <c r="H121" s="1082">
        <f t="shared" si="5"/>
        <v>27080515</v>
      </c>
      <c r="I121" s="1333" t="s">
        <v>39</v>
      </c>
      <c r="J121" s="1334" t="str">
        <f>VLOOKUP(C121,Acc_Char!B:K,3,)</f>
        <v>BW MY PHUOC 3</v>
      </c>
      <c r="K121" s="1334" t="str">
        <f>VLOOKUP(C121,Acc_Char!B:K,7,)</f>
        <v>Subsidiaries</v>
      </c>
      <c r="L121" s="1334" t="str">
        <f t="shared" si="6"/>
        <v>Receipt from tenants</v>
      </c>
      <c r="M121" s="1335" t="str">
        <f>VLOOKUP(C121,Acc_Char!B:K,5,)</f>
        <v>VND</v>
      </c>
      <c r="N121" s="1335" t="str">
        <f>VLOOKUP(C121,Acc_Char!B:K,6,)</f>
        <v>Current Account</v>
      </c>
      <c r="O121" s="1336" t="str">
        <f>Summary!$B$4</f>
        <v>W1-2Jan26</v>
      </c>
      <c r="P121" s="1334" t="str">
        <f t="shared" si="7"/>
        <v>100700488679</v>
      </c>
    </row>
    <row r="122" spans="1:16" ht="28.8">
      <c r="A122" s="1018" t="s">
        <v>1591</v>
      </c>
      <c r="B122" s="460" t="s">
        <v>110</v>
      </c>
      <c r="C122" s="1092" t="s">
        <v>504</v>
      </c>
      <c r="D122" s="1389" t="s">
        <v>1698</v>
      </c>
      <c r="E122" s="1339" t="s">
        <v>1699</v>
      </c>
      <c r="F122" s="1311">
        <v>883003878</v>
      </c>
      <c r="G122" s="1313">
        <v>0</v>
      </c>
      <c r="H122" s="1082">
        <f t="shared" si="5"/>
        <v>883003878</v>
      </c>
      <c r="I122" s="1333" t="s">
        <v>39</v>
      </c>
      <c r="J122" s="1334" t="str">
        <f>VLOOKUP(C122,Acc_Char!B:K,3,)</f>
        <v>BWID BAC NINH</v>
      </c>
      <c r="K122" s="1334" t="str">
        <f>VLOOKUP(C122,Acc_Char!B:K,7,)</f>
        <v>Subsidiaries</v>
      </c>
      <c r="L122" s="1334" t="str">
        <f t="shared" si="6"/>
        <v>Receipt from tenants</v>
      </c>
      <c r="M122" s="1335" t="str">
        <f>VLOOKUP(C122,Acc_Char!B:K,5,)</f>
        <v>VND</v>
      </c>
      <c r="N122" s="1335" t="str">
        <f>VLOOKUP(C122,Acc_Char!B:K,6,)</f>
        <v>Current Account</v>
      </c>
      <c r="O122" s="1336" t="str">
        <f>Summary!$B$4</f>
        <v>W1-2Jan26</v>
      </c>
      <c r="P122" s="1334" t="str">
        <f t="shared" si="7"/>
        <v>118008108888</v>
      </c>
    </row>
    <row r="123" spans="1:16">
      <c r="A123" s="1018" t="s">
        <v>1591</v>
      </c>
      <c r="B123" s="460" t="s">
        <v>110</v>
      </c>
      <c r="C123" s="1092" t="s">
        <v>666</v>
      </c>
      <c r="D123" s="1389" t="s">
        <v>1700</v>
      </c>
      <c r="E123" t="s">
        <v>1701</v>
      </c>
      <c r="F123" s="1311">
        <v>38782712</v>
      </c>
      <c r="G123" s="1313">
        <v>0</v>
      </c>
      <c r="H123" s="1082">
        <f t="shared" si="5"/>
        <v>38782712</v>
      </c>
      <c r="I123" s="1333" t="s">
        <v>39</v>
      </c>
      <c r="J123" s="1334" t="str">
        <f>VLOOKUP(C123,Acc_Char!B:K,3,)</f>
        <v>BCI JSC</v>
      </c>
      <c r="K123" s="1334" t="str">
        <f>VLOOKUP(C123,Acc_Char!B:K,7,)</f>
        <v>Subsidiaries</v>
      </c>
      <c r="L123" s="1334" t="str">
        <f t="shared" si="6"/>
        <v>Receipt from tenants</v>
      </c>
      <c r="M123" s="1335" t="str">
        <f>VLOOKUP(C123,Acc_Char!B:K,5,)</f>
        <v>VND</v>
      </c>
      <c r="N123" s="1335" t="str">
        <f>VLOOKUP(C123,Acc_Char!B:K,6,)</f>
        <v>Current Account</v>
      </c>
      <c r="O123" s="1336" t="str">
        <f>Summary!$B$4</f>
        <v>W1-2Jan26</v>
      </c>
      <c r="P123" s="1334" t="str">
        <f t="shared" si="7"/>
        <v>114622278888</v>
      </c>
    </row>
    <row r="124" spans="1:16">
      <c r="A124" s="1018" t="s">
        <v>1567</v>
      </c>
      <c r="B124" s="460" t="s">
        <v>1586</v>
      </c>
      <c r="C124" s="1092" t="s">
        <v>1364</v>
      </c>
      <c r="D124" s="1389">
        <v>46296</v>
      </c>
      <c r="E124" t="s">
        <v>1702</v>
      </c>
      <c r="F124" s="1311">
        <v>2180689782</v>
      </c>
      <c r="G124" s="1313">
        <v>0</v>
      </c>
      <c r="H124" s="1082">
        <f t="shared" si="5"/>
        <v>2180689782</v>
      </c>
      <c r="I124" s="1333" t="s">
        <v>39</v>
      </c>
      <c r="J124" s="1334" t="str">
        <f>VLOOKUP(C124,Acc_Char!B:K,3,)</f>
        <v>BW MY PHUOC 3</v>
      </c>
      <c r="K124" s="1334" t="str">
        <f>VLOOKUP(C124,Acc_Char!B:K,7,)</f>
        <v>Subsidiaries</v>
      </c>
      <c r="L124" s="1334" t="str">
        <f t="shared" si="6"/>
        <v>Receipt from tenants</v>
      </c>
      <c r="M124" s="1335" t="str">
        <f>VLOOKUP(C124,Acc_Char!B:K,5,)</f>
        <v>VND</v>
      </c>
      <c r="N124" s="1335" t="str">
        <f>VLOOKUP(C124,Acc_Char!B:K,6,)</f>
        <v>Current Account</v>
      </c>
      <c r="O124" s="1336" t="str">
        <f>Summary!$B$4</f>
        <v>W1-2Jan26</v>
      </c>
      <c r="P124" s="1334" t="str">
        <f t="shared" si="7"/>
        <v>100700488679</v>
      </c>
    </row>
    <row r="125" spans="1:16">
      <c r="A125" s="1018" t="s">
        <v>1567</v>
      </c>
      <c r="B125" s="460" t="s">
        <v>1586</v>
      </c>
      <c r="C125" s="1092" t="s">
        <v>1364</v>
      </c>
      <c r="D125" s="1389">
        <v>46296</v>
      </c>
      <c r="E125" t="s">
        <v>1703</v>
      </c>
      <c r="F125" s="1311">
        <v>4581895032</v>
      </c>
      <c r="G125" s="1313">
        <v>0</v>
      </c>
      <c r="H125" s="1082">
        <f t="shared" ref="H125:H188" si="9">F125-G125</f>
        <v>4581895032</v>
      </c>
      <c r="I125" s="1333" t="s">
        <v>39</v>
      </c>
      <c r="J125" s="1334" t="str">
        <f>VLOOKUP(C125,Acc_Char!B:K,3,)</f>
        <v>BW MY PHUOC 3</v>
      </c>
      <c r="K125" s="1334" t="str">
        <f>VLOOKUP(C125,Acc_Char!B:K,7,)</f>
        <v>Subsidiaries</v>
      </c>
      <c r="L125" s="1334" t="str">
        <f t="shared" si="6"/>
        <v>Receipt from tenants</v>
      </c>
      <c r="M125" s="1335" t="str">
        <f>VLOOKUP(C125,Acc_Char!B:K,5,)</f>
        <v>VND</v>
      </c>
      <c r="N125" s="1335" t="str">
        <f>VLOOKUP(C125,Acc_Char!B:K,6,)</f>
        <v>Current Account</v>
      </c>
      <c r="O125" s="1336" t="str">
        <f>Summary!$B$4</f>
        <v>W1-2Jan26</v>
      </c>
      <c r="P125" s="1334" t="str">
        <f t="shared" si="7"/>
        <v>100700488679</v>
      </c>
    </row>
    <row r="126" spans="1:16">
      <c r="A126" s="1018" t="s">
        <v>1567</v>
      </c>
      <c r="B126" s="460" t="s">
        <v>1586</v>
      </c>
      <c r="C126" s="1092" t="s">
        <v>1364</v>
      </c>
      <c r="D126" s="1389">
        <v>46266</v>
      </c>
      <c r="E126" t="s">
        <v>1704</v>
      </c>
      <c r="F126" s="1311">
        <v>990576348</v>
      </c>
      <c r="G126" s="1313">
        <v>0</v>
      </c>
      <c r="H126" s="1082">
        <f t="shared" si="9"/>
        <v>990576348</v>
      </c>
      <c r="I126" s="1333" t="s">
        <v>39</v>
      </c>
      <c r="J126" s="1334" t="str">
        <f>VLOOKUP(C126,Acc_Char!B:K,3,)</f>
        <v>BW MY PHUOC 3</v>
      </c>
      <c r="K126" s="1334" t="str">
        <f>VLOOKUP(C126,Acc_Char!B:K,7,)</f>
        <v>Subsidiaries</v>
      </c>
      <c r="L126" s="1334" t="str">
        <f t="shared" si="6"/>
        <v>Receipt from tenants</v>
      </c>
      <c r="M126" s="1335" t="str">
        <f>VLOOKUP(C126,Acc_Char!B:K,5,)</f>
        <v>VND</v>
      </c>
      <c r="N126" s="1335" t="str">
        <f>VLOOKUP(C126,Acc_Char!B:K,6,)</f>
        <v>Current Account</v>
      </c>
      <c r="O126" s="1336" t="str">
        <f>Summary!$B$4</f>
        <v>W1-2Jan26</v>
      </c>
      <c r="P126" s="1334" t="str">
        <f t="shared" si="7"/>
        <v>100700488679</v>
      </c>
    </row>
    <row r="127" spans="1:16">
      <c r="A127" s="1018" t="s">
        <v>1567</v>
      </c>
      <c r="B127" s="460" t="s">
        <v>1586</v>
      </c>
      <c r="C127" s="1092" t="s">
        <v>1364</v>
      </c>
      <c r="D127" s="1389">
        <v>46036</v>
      </c>
      <c r="E127" t="s">
        <v>1705</v>
      </c>
      <c r="F127" s="1311">
        <v>463830646</v>
      </c>
      <c r="G127" s="1313">
        <v>0</v>
      </c>
      <c r="H127" s="1082">
        <f t="shared" si="9"/>
        <v>463830646</v>
      </c>
      <c r="I127" s="1333" t="s">
        <v>39</v>
      </c>
      <c r="J127" s="1334" t="str">
        <f>VLOOKUP(C127,Acc_Char!B:K,3,)</f>
        <v>BW MY PHUOC 3</v>
      </c>
      <c r="K127" s="1334" t="str">
        <f>VLOOKUP(C127,Acc_Char!B:K,7,)</f>
        <v>Subsidiaries</v>
      </c>
      <c r="L127" s="1334" t="str">
        <f t="shared" si="6"/>
        <v>Receipt from tenants</v>
      </c>
      <c r="M127" s="1335" t="str">
        <f>VLOOKUP(C127,Acc_Char!B:K,5,)</f>
        <v>VND</v>
      </c>
      <c r="N127" s="1335" t="str">
        <f>VLOOKUP(C127,Acc_Char!B:K,6,)</f>
        <v>Current Account</v>
      </c>
      <c r="O127" s="1336" t="str">
        <f>Summary!$B$4</f>
        <v>W1-2Jan26</v>
      </c>
      <c r="P127" s="1334" t="str">
        <f t="shared" si="7"/>
        <v>100700488679</v>
      </c>
    </row>
    <row r="128" spans="1:16">
      <c r="A128" s="1018" t="s">
        <v>1591</v>
      </c>
      <c r="B128" s="460" t="s">
        <v>110</v>
      </c>
      <c r="C128" s="1092" t="s">
        <v>507</v>
      </c>
      <c r="D128" s="1389" t="s">
        <v>1706</v>
      </c>
      <c r="E128" t="s">
        <v>1707</v>
      </c>
      <c r="F128" s="1311">
        <v>4246168</v>
      </c>
      <c r="G128" s="1311">
        <v>0</v>
      </c>
      <c r="H128" s="1082">
        <f t="shared" si="9"/>
        <v>4246168</v>
      </c>
      <c r="I128" s="1333" t="s">
        <v>39</v>
      </c>
      <c r="J128" s="1334" t="str">
        <f>VLOOKUP(C128,Acc_Char!B:K,3,)</f>
        <v>BWID HAI DUONG 2</v>
      </c>
      <c r="K128" s="1334" t="str">
        <f>VLOOKUP(C128,Acc_Char!B:K,7,)</f>
        <v>Subsidiaries</v>
      </c>
      <c r="L128" s="1334" t="str">
        <f t="shared" si="6"/>
        <v>Receipt from tenants</v>
      </c>
      <c r="M128" s="1335" t="str">
        <f>VLOOKUP(C128,Acc_Char!B:K,5,)</f>
        <v>VND</v>
      </c>
      <c r="N128" s="1335" t="str">
        <f>VLOOKUP(C128,Acc_Char!B:K,6,)</f>
        <v>Current Account</v>
      </c>
      <c r="O128" s="1336" t="str">
        <f>Summary!$B$4</f>
        <v>W1-2Jan26</v>
      </c>
      <c r="P128" s="1334" t="str">
        <f t="shared" si="7"/>
        <v>118006028888</v>
      </c>
    </row>
    <row r="129" spans="1:16">
      <c r="A129" s="1018" t="s">
        <v>1591</v>
      </c>
      <c r="B129" s="460" t="s">
        <v>110</v>
      </c>
      <c r="C129" s="1092" t="s">
        <v>507</v>
      </c>
      <c r="D129" s="1389" t="s">
        <v>1708</v>
      </c>
      <c r="E129" t="s">
        <v>1709</v>
      </c>
      <c r="F129" s="1311">
        <v>4067919</v>
      </c>
      <c r="G129" s="1311">
        <v>0</v>
      </c>
      <c r="H129" s="1082">
        <f t="shared" si="9"/>
        <v>4067919</v>
      </c>
      <c r="I129" s="1333" t="s">
        <v>39</v>
      </c>
      <c r="J129" s="1334" t="str">
        <f>VLOOKUP(C129,Acc_Char!B:K,3,)</f>
        <v>BWID HAI DUONG 2</v>
      </c>
      <c r="K129" s="1334" t="str">
        <f>VLOOKUP(C129,Acc_Char!B:K,7,)</f>
        <v>Subsidiaries</v>
      </c>
      <c r="L129" s="1334" t="str">
        <f t="shared" si="6"/>
        <v>Receipt from tenants</v>
      </c>
      <c r="M129" s="1335" t="str">
        <f>VLOOKUP(C129,Acc_Char!B:K,5,)</f>
        <v>VND</v>
      </c>
      <c r="N129" s="1335" t="str">
        <f>VLOOKUP(C129,Acc_Char!B:K,6,)</f>
        <v>Current Account</v>
      </c>
      <c r="O129" s="1336" t="str">
        <f>Summary!$B$4</f>
        <v>W1-2Jan26</v>
      </c>
      <c r="P129" s="1334" t="str">
        <f t="shared" si="7"/>
        <v>118006028888</v>
      </c>
    </row>
    <row r="130" spans="1:16">
      <c r="A130" s="1018" t="s">
        <v>1591</v>
      </c>
      <c r="B130" s="460" t="s">
        <v>110</v>
      </c>
      <c r="C130" s="1092" t="s">
        <v>562</v>
      </c>
      <c r="D130" s="1389" t="s">
        <v>1710</v>
      </c>
      <c r="E130" t="s">
        <v>1711</v>
      </c>
      <c r="F130" s="1311">
        <v>8212686</v>
      </c>
      <c r="G130" s="1311">
        <v>0</v>
      </c>
      <c r="H130" s="1082">
        <f t="shared" si="9"/>
        <v>8212686</v>
      </c>
      <c r="I130" s="1333" t="s">
        <v>39</v>
      </c>
      <c r="J130" s="1334" t="str">
        <f>VLOOKUP(C130,Acc_Char!B:K,3,)</f>
        <v>HANOI MANAGEMENT SERVICES</v>
      </c>
      <c r="K130" s="1334" t="str">
        <f>VLOOKUP(C130,Acc_Char!B:K,7,)</f>
        <v>Subsidiaries</v>
      </c>
      <c r="L130" s="1334" t="str">
        <f t="shared" si="6"/>
        <v>Receipt from tenants</v>
      </c>
      <c r="M130" s="1335" t="str">
        <f>VLOOKUP(C130,Acc_Char!B:K,5,)</f>
        <v>VND</v>
      </c>
      <c r="N130" s="1335" t="str">
        <f>VLOOKUP(C130,Acc_Char!B:K,6,)</f>
        <v>Current Account</v>
      </c>
      <c r="O130" s="1336" t="str">
        <f>Summary!$B$4</f>
        <v>W1-2Jan26</v>
      </c>
      <c r="P130" s="1334" t="str">
        <f t="shared" si="7"/>
        <v>110002855448</v>
      </c>
    </row>
    <row r="131" spans="1:16">
      <c r="A131" s="1018" t="s">
        <v>1591</v>
      </c>
      <c r="B131" s="460" t="s">
        <v>110</v>
      </c>
      <c r="C131" s="1092" t="s">
        <v>500</v>
      </c>
      <c r="D131" s="1389" t="s">
        <v>1712</v>
      </c>
      <c r="E131" t="s">
        <v>1713</v>
      </c>
      <c r="F131" s="1311">
        <v>3572228</v>
      </c>
      <c r="G131" s="1311">
        <v>0</v>
      </c>
      <c r="H131" s="1283">
        <f t="shared" si="9"/>
        <v>3572228</v>
      </c>
      <c r="I131" s="1333" t="s">
        <v>39</v>
      </c>
      <c r="J131" s="1334" t="str">
        <f>VLOOKUP(C131,Acc_Char!B:K,3,)</f>
        <v>BWID HAI DUONG</v>
      </c>
      <c r="K131" s="1334" t="str">
        <f>VLOOKUP(C131,Acc_Char!B:K,7,)</f>
        <v>Subsidiaries</v>
      </c>
      <c r="L131" s="1334" t="str">
        <f t="shared" si="6"/>
        <v>Receipt from tenants</v>
      </c>
      <c r="M131" s="1335" t="str">
        <f>VLOOKUP(C131,Acc_Char!B:K,5,)</f>
        <v>VND</v>
      </c>
      <c r="N131" s="1335" t="str">
        <f>VLOOKUP(C131,Acc_Char!B:K,6,)</f>
        <v>Current Account</v>
      </c>
      <c r="O131" s="1336" t="str">
        <f>Summary!$B$4</f>
        <v>W1-2Jan26</v>
      </c>
      <c r="P131" s="1334" t="str">
        <f t="shared" si="7"/>
        <v>111007158888</v>
      </c>
    </row>
    <row r="132" spans="1:16">
      <c r="A132" s="1018" t="s">
        <v>1591</v>
      </c>
      <c r="B132" s="460" t="s">
        <v>110</v>
      </c>
      <c r="C132" s="1092" t="s">
        <v>507</v>
      </c>
      <c r="D132" s="1389" t="s">
        <v>1714</v>
      </c>
      <c r="E132" t="s">
        <v>1715</v>
      </c>
      <c r="F132" s="1311">
        <v>1771924</v>
      </c>
      <c r="G132" s="1311">
        <v>0</v>
      </c>
      <c r="H132" s="1082">
        <f t="shared" si="9"/>
        <v>1771924</v>
      </c>
      <c r="I132" s="1333" t="s">
        <v>39</v>
      </c>
      <c r="J132" s="1334" t="str">
        <f>VLOOKUP(C132,Acc_Char!B:K,3,)</f>
        <v>BWID HAI DUONG 2</v>
      </c>
      <c r="K132" s="1334" t="str">
        <f>VLOOKUP(C132,Acc_Char!B:K,7,)</f>
        <v>Subsidiaries</v>
      </c>
      <c r="L132" s="1334" t="str">
        <f t="shared" si="6"/>
        <v>Receipt from tenants</v>
      </c>
      <c r="M132" s="1335" t="str">
        <f>VLOOKUP(C132,Acc_Char!B:K,5,)</f>
        <v>VND</v>
      </c>
      <c r="N132" s="1335" t="str">
        <f>VLOOKUP(C132,Acc_Char!B:K,6,)</f>
        <v>Current Account</v>
      </c>
      <c r="O132" s="1336" t="str">
        <f>Summary!$B$4</f>
        <v>W1-2Jan26</v>
      </c>
      <c r="P132" s="1334" t="str">
        <f t="shared" si="7"/>
        <v>118006028888</v>
      </c>
    </row>
    <row r="133" spans="1:16">
      <c r="A133" s="1018" t="s">
        <v>1591</v>
      </c>
      <c r="B133" s="460" t="s">
        <v>110</v>
      </c>
      <c r="C133" s="1092" t="s">
        <v>562</v>
      </c>
      <c r="D133" s="1389" t="s">
        <v>1716</v>
      </c>
      <c r="E133" t="s">
        <v>1717</v>
      </c>
      <c r="F133" s="1311">
        <v>2335642</v>
      </c>
      <c r="G133" s="1311">
        <v>0</v>
      </c>
      <c r="H133" s="1082">
        <f t="shared" si="9"/>
        <v>2335642</v>
      </c>
      <c r="I133" s="1333" t="s">
        <v>39</v>
      </c>
      <c r="J133" s="1334" t="str">
        <f>VLOOKUP(C133,Acc_Char!B:K,3,)</f>
        <v>HANOI MANAGEMENT SERVICES</v>
      </c>
      <c r="K133" s="1334" t="str">
        <f>VLOOKUP(C133,Acc_Char!B:K,7,)</f>
        <v>Subsidiaries</v>
      </c>
      <c r="L133" s="1334" t="str">
        <f t="shared" ref="L133:L196" si="10">I133</f>
        <v>Receipt from tenants</v>
      </c>
      <c r="M133" s="1335" t="str">
        <f>VLOOKUP(C133,Acc_Char!B:K,5,)</f>
        <v>VND</v>
      </c>
      <c r="N133" s="1335" t="str">
        <f>VLOOKUP(C133,Acc_Char!B:K,6,)</f>
        <v>Current Account</v>
      </c>
      <c r="O133" s="1336" t="str">
        <f>Summary!$B$4</f>
        <v>W1-2Jan26</v>
      </c>
      <c r="P133" s="1334" t="str">
        <f t="shared" ref="P133:P196" si="11">TEXT(C133,"0")</f>
        <v>110002855448</v>
      </c>
    </row>
    <row r="134" spans="1:16">
      <c r="A134" s="1018" t="s">
        <v>1591</v>
      </c>
      <c r="B134" s="460" t="s">
        <v>110</v>
      </c>
      <c r="C134" s="1092" t="s">
        <v>500</v>
      </c>
      <c r="D134" s="1389" t="s">
        <v>1718</v>
      </c>
      <c r="E134" s="1397" t="s">
        <v>1719</v>
      </c>
      <c r="F134" s="1311">
        <v>2956070</v>
      </c>
      <c r="G134" s="1311">
        <v>0</v>
      </c>
      <c r="H134" s="1082">
        <f t="shared" si="9"/>
        <v>2956070</v>
      </c>
      <c r="I134" s="1333" t="s">
        <v>39</v>
      </c>
      <c r="J134" s="1334" t="str">
        <f>VLOOKUP(C134,Acc_Char!B:K,3,)</f>
        <v>BWID HAI DUONG</v>
      </c>
      <c r="K134" s="1334" t="str">
        <f>VLOOKUP(C134,Acc_Char!B:K,7,)</f>
        <v>Subsidiaries</v>
      </c>
      <c r="L134" s="1334" t="str">
        <f t="shared" si="10"/>
        <v>Receipt from tenants</v>
      </c>
      <c r="M134" s="1335" t="str">
        <f>VLOOKUP(C134,Acc_Char!B:K,5,)</f>
        <v>VND</v>
      </c>
      <c r="N134" s="1335" t="str">
        <f>VLOOKUP(C134,Acc_Char!B:K,6,)</f>
        <v>Current Account</v>
      </c>
      <c r="O134" s="1336" t="str">
        <f>Summary!$B$4</f>
        <v>W1-2Jan26</v>
      </c>
      <c r="P134" s="1334" t="str">
        <f t="shared" si="11"/>
        <v>111007158888</v>
      </c>
    </row>
    <row r="135" spans="1:16">
      <c r="A135" s="1018" t="s">
        <v>1591</v>
      </c>
      <c r="B135" s="460" t="s">
        <v>110</v>
      </c>
      <c r="C135" s="1092" t="s">
        <v>666</v>
      </c>
      <c r="D135" s="1389" t="s">
        <v>1720</v>
      </c>
      <c r="E135" t="s">
        <v>1721</v>
      </c>
      <c r="F135" s="1311">
        <v>7909098</v>
      </c>
      <c r="G135" s="1311">
        <v>0</v>
      </c>
      <c r="H135" s="1082">
        <f t="shared" si="9"/>
        <v>7909098</v>
      </c>
      <c r="I135" s="1333" t="s">
        <v>39</v>
      </c>
      <c r="J135" s="1334" t="str">
        <f>VLOOKUP(C135,Acc_Char!B:K,3,)</f>
        <v>BCI JSC</v>
      </c>
      <c r="K135" s="1334" t="str">
        <f>VLOOKUP(C135,Acc_Char!B:K,7,)</f>
        <v>Subsidiaries</v>
      </c>
      <c r="L135" s="1334" t="str">
        <f t="shared" si="10"/>
        <v>Receipt from tenants</v>
      </c>
      <c r="M135" s="1335" t="str">
        <f>VLOOKUP(C135,Acc_Char!B:K,5,)</f>
        <v>VND</v>
      </c>
      <c r="N135" s="1335" t="str">
        <f>VLOOKUP(C135,Acc_Char!B:K,6,)</f>
        <v>Current Account</v>
      </c>
      <c r="O135" s="1336" t="str">
        <f>Summary!$B$4</f>
        <v>W1-2Jan26</v>
      </c>
      <c r="P135" s="1334" t="str">
        <f t="shared" si="11"/>
        <v>114622278888</v>
      </c>
    </row>
    <row r="136" spans="1:16">
      <c r="A136" s="1018" t="s">
        <v>1591</v>
      </c>
      <c r="B136" s="460" t="s">
        <v>110</v>
      </c>
      <c r="C136" s="1092" t="s">
        <v>507</v>
      </c>
      <c r="D136" s="1389" t="s">
        <v>1722</v>
      </c>
      <c r="E136" t="s">
        <v>1723</v>
      </c>
      <c r="F136" s="1311">
        <v>3283267</v>
      </c>
      <c r="G136" s="1311">
        <v>0</v>
      </c>
      <c r="H136" s="1082">
        <f t="shared" si="9"/>
        <v>3283267</v>
      </c>
      <c r="I136" s="1333" t="s">
        <v>39</v>
      </c>
      <c r="J136" s="1334" t="str">
        <f>VLOOKUP(C136,Acc_Char!B:K,3,)</f>
        <v>BWID HAI DUONG 2</v>
      </c>
      <c r="K136" s="1334" t="str">
        <f>VLOOKUP(C136,Acc_Char!B:K,7,)</f>
        <v>Subsidiaries</v>
      </c>
      <c r="L136" s="1334" t="str">
        <f t="shared" si="10"/>
        <v>Receipt from tenants</v>
      </c>
      <c r="M136" s="1335" t="str">
        <f>VLOOKUP(C136,Acc_Char!B:K,5,)</f>
        <v>VND</v>
      </c>
      <c r="N136" s="1335" t="str">
        <f>VLOOKUP(C136,Acc_Char!B:K,6,)</f>
        <v>Current Account</v>
      </c>
      <c r="O136" s="1336" t="str">
        <f>Summary!$B$4</f>
        <v>W1-2Jan26</v>
      </c>
      <c r="P136" s="1334" t="str">
        <f t="shared" si="11"/>
        <v>118006028888</v>
      </c>
    </row>
    <row r="137" spans="1:16">
      <c r="A137" s="1018" t="s">
        <v>1591</v>
      </c>
      <c r="B137" s="460" t="s">
        <v>110</v>
      </c>
      <c r="C137" s="1092" t="s">
        <v>511</v>
      </c>
      <c r="D137" s="1389" t="s">
        <v>1724</v>
      </c>
      <c r="E137" t="s">
        <v>1725</v>
      </c>
      <c r="F137" s="1311">
        <v>82283816</v>
      </c>
      <c r="G137" s="1311">
        <v>0</v>
      </c>
      <c r="H137" s="1082">
        <f t="shared" si="9"/>
        <v>82283816</v>
      </c>
      <c r="I137" s="1333" t="s">
        <v>39</v>
      </c>
      <c r="J137" s="1334" t="str">
        <f>VLOOKUP(C137,Acc_Char!B:K,3,)</f>
        <v>BWID HAI PHONG</v>
      </c>
      <c r="K137" s="1334" t="str">
        <f>VLOOKUP(C137,Acc_Char!B:K,7,)</f>
        <v>Subsidiaries</v>
      </c>
      <c r="L137" s="1334" t="str">
        <f t="shared" si="10"/>
        <v>Receipt from tenants</v>
      </c>
      <c r="M137" s="1335" t="str">
        <f>VLOOKUP(C137,Acc_Char!B:K,5,)</f>
        <v>VND</v>
      </c>
      <c r="N137" s="1335" t="str">
        <f>VLOOKUP(C137,Acc_Char!B:K,6,)</f>
        <v>Current Account</v>
      </c>
      <c r="O137" s="1336" t="str">
        <f>Summary!$B$4</f>
        <v>W1-2Jan26</v>
      </c>
      <c r="P137" s="1334" t="str">
        <f t="shared" si="11"/>
        <v>116002681740</v>
      </c>
    </row>
    <row r="138" spans="1:16">
      <c r="A138" s="1018" t="s">
        <v>1591</v>
      </c>
      <c r="B138" s="460" t="s">
        <v>110</v>
      </c>
      <c r="C138" s="1092" t="s">
        <v>507</v>
      </c>
      <c r="D138" s="1389" t="s">
        <v>1726</v>
      </c>
      <c r="E138" t="s">
        <v>1727</v>
      </c>
      <c r="F138" s="1311">
        <v>3537818</v>
      </c>
      <c r="G138" s="1311">
        <v>0</v>
      </c>
      <c r="H138" s="1082">
        <f t="shared" si="9"/>
        <v>3537818</v>
      </c>
      <c r="I138" s="1333" t="s">
        <v>39</v>
      </c>
      <c r="J138" s="1334" t="str">
        <f>VLOOKUP(C138,Acc_Char!B:K,3,)</f>
        <v>BWID HAI DUONG 2</v>
      </c>
      <c r="K138" s="1334" t="str">
        <f>VLOOKUP(C138,Acc_Char!B:K,7,)</f>
        <v>Subsidiaries</v>
      </c>
      <c r="L138" s="1334" t="str">
        <f t="shared" si="10"/>
        <v>Receipt from tenants</v>
      </c>
      <c r="M138" s="1335" t="str">
        <f>VLOOKUP(C138,Acc_Char!B:K,5,)</f>
        <v>VND</v>
      </c>
      <c r="N138" s="1335" t="str">
        <f>VLOOKUP(C138,Acc_Char!B:K,6,)</f>
        <v>Current Account</v>
      </c>
      <c r="O138" s="1336" t="str">
        <f>Summary!$B$4</f>
        <v>W1-2Jan26</v>
      </c>
      <c r="P138" s="1334" t="str">
        <f t="shared" si="11"/>
        <v>118006028888</v>
      </c>
    </row>
    <row r="139" spans="1:16">
      <c r="A139" s="1018" t="s">
        <v>1591</v>
      </c>
      <c r="B139" s="460" t="s">
        <v>110</v>
      </c>
      <c r="C139" s="1092" t="s">
        <v>507</v>
      </c>
      <c r="D139" s="1389" t="s">
        <v>1728</v>
      </c>
      <c r="E139" t="s">
        <v>1729</v>
      </c>
      <c r="F139" s="1311">
        <v>747882222</v>
      </c>
      <c r="G139" s="1311">
        <v>0</v>
      </c>
      <c r="H139" s="1082">
        <f t="shared" si="9"/>
        <v>747882222</v>
      </c>
      <c r="I139" s="1333" t="s">
        <v>39</v>
      </c>
      <c r="J139" s="1334" t="str">
        <f>VLOOKUP(C139,Acc_Char!B:K,3,)</f>
        <v>BWID HAI DUONG 2</v>
      </c>
      <c r="K139" s="1334" t="str">
        <f>VLOOKUP(C139,Acc_Char!B:K,7,)</f>
        <v>Subsidiaries</v>
      </c>
      <c r="L139" s="1334" t="str">
        <f t="shared" si="10"/>
        <v>Receipt from tenants</v>
      </c>
      <c r="M139" s="1335" t="str">
        <f>VLOOKUP(C139,Acc_Char!B:K,5,)</f>
        <v>VND</v>
      </c>
      <c r="N139" s="1335" t="str">
        <f>VLOOKUP(C139,Acc_Char!B:K,6,)</f>
        <v>Current Account</v>
      </c>
      <c r="O139" s="1336" t="str">
        <f>Summary!$B$4</f>
        <v>W1-2Jan26</v>
      </c>
      <c r="P139" s="1334" t="str">
        <f t="shared" si="11"/>
        <v>118006028888</v>
      </c>
    </row>
    <row r="140" spans="1:16">
      <c r="A140" s="1018" t="s">
        <v>1591</v>
      </c>
      <c r="B140" s="460" t="s">
        <v>110</v>
      </c>
      <c r="C140" s="1092" t="s">
        <v>507</v>
      </c>
      <c r="D140" s="1389" t="s">
        <v>1730</v>
      </c>
      <c r="E140" t="s">
        <v>1731</v>
      </c>
      <c r="F140" s="1311">
        <v>13042186</v>
      </c>
      <c r="G140" s="1311">
        <v>0</v>
      </c>
      <c r="H140" s="1082">
        <f t="shared" si="9"/>
        <v>13042186</v>
      </c>
      <c r="I140" s="1333" t="s">
        <v>39</v>
      </c>
      <c r="J140" s="1334" t="str">
        <f>VLOOKUP(C140,Acc_Char!B:K,3,)</f>
        <v>BWID HAI DUONG 2</v>
      </c>
      <c r="K140" s="1334" t="str">
        <f>VLOOKUP(C140,Acc_Char!B:K,7,)</f>
        <v>Subsidiaries</v>
      </c>
      <c r="L140" s="1334" t="str">
        <f t="shared" si="10"/>
        <v>Receipt from tenants</v>
      </c>
      <c r="M140" s="1335" t="str">
        <f>VLOOKUP(C140,Acc_Char!B:K,5,)</f>
        <v>VND</v>
      </c>
      <c r="N140" s="1335" t="str">
        <f>VLOOKUP(C140,Acc_Char!B:K,6,)</f>
        <v>Current Account</v>
      </c>
      <c r="O140" s="1336" t="str">
        <f>Summary!$B$4</f>
        <v>W1-2Jan26</v>
      </c>
      <c r="P140" s="1334" t="str">
        <f t="shared" si="11"/>
        <v>118006028888</v>
      </c>
    </row>
    <row r="141" spans="1:16">
      <c r="A141" s="1018" t="s">
        <v>1591</v>
      </c>
      <c r="B141" s="460" t="s">
        <v>110</v>
      </c>
      <c r="C141" s="1092" t="s">
        <v>709</v>
      </c>
      <c r="D141" s="1389" t="s">
        <v>1732</v>
      </c>
      <c r="E141" t="s">
        <v>1733</v>
      </c>
      <c r="F141" s="1311">
        <v>18165361</v>
      </c>
      <c r="G141" s="1311">
        <v>0</v>
      </c>
      <c r="H141" s="1082">
        <f t="shared" si="9"/>
        <v>18165361</v>
      </c>
      <c r="I141" s="1333" t="s">
        <v>39</v>
      </c>
      <c r="J141" s="1334" t="str">
        <f>VLOOKUP(C141,Acc_Char!B:K,3,)</f>
        <v>XENIA 2</v>
      </c>
      <c r="K141" s="1334" t="str">
        <f>VLOOKUP(C141,Acc_Char!B:K,7,)</f>
        <v>Subsidiaries</v>
      </c>
      <c r="L141" s="1334" t="str">
        <f t="shared" si="10"/>
        <v>Receipt from tenants</v>
      </c>
      <c r="M141" s="1335" t="str">
        <f>VLOOKUP(C141,Acc_Char!B:K,5,)</f>
        <v>VND</v>
      </c>
      <c r="N141" s="1335" t="str">
        <f>VLOOKUP(C141,Acc_Char!B:K,6,)</f>
        <v>Current Account</v>
      </c>
      <c r="O141" s="1336" t="str">
        <f>Summary!$B$4</f>
        <v>W1-2Jan26</v>
      </c>
      <c r="P141" s="1334" t="str">
        <f t="shared" si="11"/>
        <v>118625469999</v>
      </c>
    </row>
    <row r="142" spans="1:16">
      <c r="A142" s="1018" t="s">
        <v>1591</v>
      </c>
      <c r="B142" s="460" t="s">
        <v>110</v>
      </c>
      <c r="C142" s="1092" t="s">
        <v>666</v>
      </c>
      <c r="D142" s="1389" t="s">
        <v>1734</v>
      </c>
      <c r="E142" t="s">
        <v>1735</v>
      </c>
      <c r="F142" s="1311">
        <v>450000000</v>
      </c>
      <c r="G142" s="1311">
        <v>0</v>
      </c>
      <c r="H142" s="1082">
        <f t="shared" si="9"/>
        <v>450000000</v>
      </c>
      <c r="I142" s="1333" t="s">
        <v>39</v>
      </c>
      <c r="J142" s="1334" t="str">
        <f>VLOOKUP(C142,Acc_Char!B:K,3,)</f>
        <v>BCI JSC</v>
      </c>
      <c r="K142" s="1334" t="str">
        <f>VLOOKUP(C142,Acc_Char!B:K,7,)</f>
        <v>Subsidiaries</v>
      </c>
      <c r="L142" s="1334" t="str">
        <f t="shared" si="10"/>
        <v>Receipt from tenants</v>
      </c>
      <c r="M142" s="1335" t="str">
        <f>VLOOKUP(C142,Acc_Char!B:K,5,)</f>
        <v>VND</v>
      </c>
      <c r="N142" s="1335" t="str">
        <f>VLOOKUP(C142,Acc_Char!B:K,6,)</f>
        <v>Current Account</v>
      </c>
      <c r="O142" s="1336" t="str">
        <f>Summary!$B$4</f>
        <v>W1-2Jan26</v>
      </c>
      <c r="P142" s="1334" t="str">
        <f t="shared" si="11"/>
        <v>114622278888</v>
      </c>
    </row>
    <row r="143" spans="1:16">
      <c r="A143" s="1018" t="s">
        <v>1591</v>
      </c>
      <c r="B143" s="460" t="s">
        <v>110</v>
      </c>
      <c r="C143" s="1092" t="s">
        <v>666</v>
      </c>
      <c r="D143" s="1389" t="s">
        <v>1736</v>
      </c>
      <c r="E143" t="s">
        <v>1737</v>
      </c>
      <c r="F143" s="1311">
        <v>450000000</v>
      </c>
      <c r="G143" s="1311">
        <v>0</v>
      </c>
      <c r="H143" s="1082">
        <f t="shared" si="9"/>
        <v>450000000</v>
      </c>
      <c r="I143" s="1333" t="s">
        <v>39</v>
      </c>
      <c r="J143" s="1334" t="str">
        <f>VLOOKUP(C143,Acc_Char!B:K,3,)</f>
        <v>BCI JSC</v>
      </c>
      <c r="K143" s="1334" t="str">
        <f>VLOOKUP(C143,Acc_Char!B:K,7,)</f>
        <v>Subsidiaries</v>
      </c>
      <c r="L143" s="1334" t="str">
        <f t="shared" si="10"/>
        <v>Receipt from tenants</v>
      </c>
      <c r="M143" s="1335" t="str">
        <f>VLOOKUP(C143,Acc_Char!B:K,5,)</f>
        <v>VND</v>
      </c>
      <c r="N143" s="1335" t="str">
        <f>VLOOKUP(C143,Acc_Char!B:K,6,)</f>
        <v>Current Account</v>
      </c>
      <c r="O143" s="1336" t="str">
        <f>Summary!$B$4</f>
        <v>W1-2Jan26</v>
      </c>
      <c r="P143" s="1334" t="str">
        <f t="shared" si="11"/>
        <v>114622278888</v>
      </c>
    </row>
    <row r="144" spans="1:16">
      <c r="A144" s="1018" t="s">
        <v>1591</v>
      </c>
      <c r="B144" s="460" t="s">
        <v>110</v>
      </c>
      <c r="C144" s="1092" t="s">
        <v>666</v>
      </c>
      <c r="D144" s="1389" t="s">
        <v>1738</v>
      </c>
      <c r="E144" t="s">
        <v>1739</v>
      </c>
      <c r="F144" s="1311">
        <v>130188774</v>
      </c>
      <c r="G144" s="1311">
        <v>0</v>
      </c>
      <c r="H144" s="1283">
        <f t="shared" si="9"/>
        <v>130188774</v>
      </c>
      <c r="I144" s="1333" t="s">
        <v>39</v>
      </c>
      <c r="J144" s="1334" t="str">
        <f>VLOOKUP(C144,Acc_Char!B:K,3,)</f>
        <v>BCI JSC</v>
      </c>
      <c r="K144" s="1334" t="str">
        <f>VLOOKUP(C144,Acc_Char!B:K,7,)</f>
        <v>Subsidiaries</v>
      </c>
      <c r="L144" s="1334" t="str">
        <f t="shared" si="10"/>
        <v>Receipt from tenants</v>
      </c>
      <c r="M144" s="1335" t="str">
        <f>VLOOKUP(C144,Acc_Char!B:K,5,)</f>
        <v>VND</v>
      </c>
      <c r="N144" s="1335" t="str">
        <f>VLOOKUP(C144,Acc_Char!B:K,6,)</f>
        <v>Current Account</v>
      </c>
      <c r="O144" s="1336" t="str">
        <f>Summary!$B$4</f>
        <v>W1-2Jan26</v>
      </c>
      <c r="P144" s="1334" t="str">
        <f t="shared" si="11"/>
        <v>114622278888</v>
      </c>
    </row>
    <row r="145" spans="1:16">
      <c r="A145" s="1018" t="s">
        <v>1591</v>
      </c>
      <c r="B145" s="460" t="s">
        <v>110</v>
      </c>
      <c r="C145" s="1092" t="s">
        <v>543</v>
      </c>
      <c r="D145" s="1389" t="s">
        <v>1740</v>
      </c>
      <c r="E145" t="s">
        <v>1741</v>
      </c>
      <c r="F145" s="1311">
        <v>785054</v>
      </c>
      <c r="G145" s="1311">
        <v>0</v>
      </c>
      <c r="H145" s="1082">
        <f t="shared" si="9"/>
        <v>785054</v>
      </c>
      <c r="I145" s="1333" t="s">
        <v>39</v>
      </c>
      <c r="J145" s="1334" t="str">
        <f>VLOOKUP(C145,Acc_Char!B:K,3,)</f>
        <v>GREAT KINGDOM NT 2</v>
      </c>
      <c r="K145" s="1334" t="str">
        <f>VLOOKUP(C145,Acc_Char!B:K,7,)</f>
        <v>Subsidiaries</v>
      </c>
      <c r="L145" s="1334" t="str">
        <f t="shared" si="10"/>
        <v>Receipt from tenants</v>
      </c>
      <c r="M145" s="1335" t="str">
        <f>VLOOKUP(C145,Acc_Char!B:K,5,)</f>
        <v>VND</v>
      </c>
      <c r="N145" s="1335" t="str">
        <f>VLOOKUP(C145,Acc_Char!B:K,6,)</f>
        <v>Current Account</v>
      </c>
      <c r="O145" s="1336" t="str">
        <f>Summary!$B$4</f>
        <v>W1-2Jan26</v>
      </c>
      <c r="P145" s="1334" t="str">
        <f t="shared" si="11"/>
        <v>110609187777</v>
      </c>
    </row>
    <row r="146" spans="1:16">
      <c r="A146" s="1018" t="s">
        <v>1591</v>
      </c>
      <c r="B146" s="460" t="s">
        <v>110</v>
      </c>
      <c r="C146" s="1092" t="s">
        <v>543</v>
      </c>
      <c r="D146" s="1389" t="s">
        <v>1742</v>
      </c>
      <c r="E146" t="s">
        <v>1743</v>
      </c>
      <c r="F146" s="1311">
        <v>450000000</v>
      </c>
      <c r="G146" s="1311">
        <v>0</v>
      </c>
      <c r="H146" s="1082">
        <f t="shared" si="9"/>
        <v>450000000</v>
      </c>
      <c r="I146" s="1333" t="s">
        <v>39</v>
      </c>
      <c r="J146" s="1334" t="str">
        <f>VLOOKUP(C146,Acc_Char!B:K,3,)</f>
        <v>GREAT KINGDOM NT 2</v>
      </c>
      <c r="K146" s="1334" t="str">
        <f>VLOOKUP(C146,Acc_Char!B:K,7,)</f>
        <v>Subsidiaries</v>
      </c>
      <c r="L146" s="1334" t="str">
        <f t="shared" si="10"/>
        <v>Receipt from tenants</v>
      </c>
      <c r="M146" s="1335" t="str">
        <f>VLOOKUP(C146,Acc_Char!B:K,5,)</f>
        <v>VND</v>
      </c>
      <c r="N146" s="1335" t="str">
        <f>VLOOKUP(C146,Acc_Char!B:K,6,)</f>
        <v>Current Account</v>
      </c>
      <c r="O146" s="1336" t="str">
        <f>Summary!$B$4</f>
        <v>W1-2Jan26</v>
      </c>
      <c r="P146" s="1334" t="str">
        <f t="shared" si="11"/>
        <v>110609187777</v>
      </c>
    </row>
    <row r="147" spans="1:16">
      <c r="A147" s="1018" t="s">
        <v>1591</v>
      </c>
      <c r="B147" s="1335" t="s">
        <v>110</v>
      </c>
      <c r="C147" s="1092" t="s">
        <v>666</v>
      </c>
      <c r="D147" s="1389" t="s">
        <v>1744</v>
      </c>
      <c r="E147" s="1338" t="s">
        <v>1745</v>
      </c>
      <c r="F147" s="1312">
        <v>22105318</v>
      </c>
      <c r="G147" s="1312">
        <v>0</v>
      </c>
      <c r="H147" s="1082">
        <f t="shared" si="9"/>
        <v>22105318</v>
      </c>
      <c r="I147" s="1333" t="s">
        <v>39</v>
      </c>
      <c r="J147" s="1334" t="str">
        <f>VLOOKUP(C147,Acc_Char!B:K,3,)</f>
        <v>BCI JSC</v>
      </c>
      <c r="K147" s="1334" t="str">
        <f>VLOOKUP(C147,Acc_Char!B:K,7,)</f>
        <v>Subsidiaries</v>
      </c>
      <c r="L147" s="1334" t="str">
        <f t="shared" si="10"/>
        <v>Receipt from tenants</v>
      </c>
      <c r="M147" s="1335" t="str">
        <f>VLOOKUP(C147,Acc_Char!B:K,5,)</f>
        <v>VND</v>
      </c>
      <c r="N147" s="1335" t="str">
        <f>VLOOKUP(C147,Acc_Char!B:K,6,)</f>
        <v>Current Account</v>
      </c>
      <c r="O147" s="1336" t="str">
        <f>Summary!$B$4</f>
        <v>W1-2Jan26</v>
      </c>
      <c r="P147" s="1334" t="str">
        <f t="shared" si="11"/>
        <v>114622278888</v>
      </c>
    </row>
    <row r="148" spans="1:16">
      <c r="A148" s="1018" t="s">
        <v>1591</v>
      </c>
      <c r="B148" s="1335" t="s">
        <v>110</v>
      </c>
      <c r="C148" s="1092" t="s">
        <v>543</v>
      </c>
      <c r="D148" s="1389" t="s">
        <v>1746</v>
      </c>
      <c r="E148" s="1338" t="s">
        <v>1747</v>
      </c>
      <c r="F148" s="1312">
        <v>450000000</v>
      </c>
      <c r="G148" s="1312">
        <v>0</v>
      </c>
      <c r="H148" s="1082">
        <f t="shared" si="9"/>
        <v>450000000</v>
      </c>
      <c r="I148" s="1333" t="s">
        <v>39</v>
      </c>
      <c r="J148" s="1334" t="str">
        <f>VLOOKUP(C148,Acc_Char!B:K,3,)</f>
        <v>GREAT KINGDOM NT 2</v>
      </c>
      <c r="K148" s="1334" t="str">
        <f>VLOOKUP(C148,Acc_Char!B:K,7,)</f>
        <v>Subsidiaries</v>
      </c>
      <c r="L148" s="1334" t="str">
        <f t="shared" si="10"/>
        <v>Receipt from tenants</v>
      </c>
      <c r="M148" s="1335" t="str">
        <f>VLOOKUP(C148,Acc_Char!B:K,5,)</f>
        <v>VND</v>
      </c>
      <c r="N148" s="1335" t="str">
        <f>VLOOKUP(C148,Acc_Char!B:K,6,)</f>
        <v>Current Account</v>
      </c>
      <c r="O148" s="1336" t="str">
        <f>Summary!$B$4</f>
        <v>W1-2Jan26</v>
      </c>
      <c r="P148" s="1334" t="str">
        <f t="shared" si="11"/>
        <v>110609187777</v>
      </c>
    </row>
    <row r="149" spans="1:16">
      <c r="A149" s="1018" t="s">
        <v>1591</v>
      </c>
      <c r="B149" s="460" t="s">
        <v>110</v>
      </c>
      <c r="C149" s="1092" t="s">
        <v>543</v>
      </c>
      <c r="D149" s="1389" t="s">
        <v>1748</v>
      </c>
      <c r="E149" t="s">
        <v>1749</v>
      </c>
      <c r="F149" s="1311">
        <v>450000000</v>
      </c>
      <c r="G149" s="1311">
        <v>0</v>
      </c>
      <c r="H149" s="1082">
        <f t="shared" si="9"/>
        <v>450000000</v>
      </c>
      <c r="I149" s="1333" t="s">
        <v>39</v>
      </c>
      <c r="J149" s="1334" t="str">
        <f>VLOOKUP(C149,Acc_Char!B:K,3,)</f>
        <v>GREAT KINGDOM NT 2</v>
      </c>
      <c r="K149" s="1334" t="str">
        <f>VLOOKUP(C149,Acc_Char!B:K,7,)</f>
        <v>Subsidiaries</v>
      </c>
      <c r="L149" s="1334" t="str">
        <f t="shared" si="10"/>
        <v>Receipt from tenants</v>
      </c>
      <c r="M149" s="1335" t="str">
        <f>VLOOKUP(C149,Acc_Char!B:K,5,)</f>
        <v>VND</v>
      </c>
      <c r="N149" s="1335" t="str">
        <f>VLOOKUP(C149,Acc_Char!B:K,6,)</f>
        <v>Current Account</v>
      </c>
      <c r="O149" s="1336" t="str">
        <f>Summary!$B$4</f>
        <v>W1-2Jan26</v>
      </c>
      <c r="P149" s="1334" t="str">
        <f t="shared" si="11"/>
        <v>110609187777</v>
      </c>
    </row>
    <row r="150" spans="1:16">
      <c r="A150" s="1018" t="s">
        <v>1591</v>
      </c>
      <c r="B150" s="460" t="s">
        <v>110</v>
      </c>
      <c r="C150" s="1092" t="s">
        <v>543</v>
      </c>
      <c r="D150" s="1389" t="s">
        <v>1750</v>
      </c>
      <c r="E150" t="s">
        <v>1751</v>
      </c>
      <c r="F150" s="1311">
        <v>450000000</v>
      </c>
      <c r="G150" s="1311">
        <v>0</v>
      </c>
      <c r="H150" s="1082">
        <f t="shared" si="9"/>
        <v>450000000</v>
      </c>
      <c r="I150" s="1333" t="s">
        <v>39</v>
      </c>
      <c r="J150" s="1334" t="str">
        <f>VLOOKUP(C150,Acc_Char!B:K,3,)</f>
        <v>GREAT KINGDOM NT 2</v>
      </c>
      <c r="K150" s="1334" t="str">
        <f>VLOOKUP(C150,Acc_Char!B:K,7,)</f>
        <v>Subsidiaries</v>
      </c>
      <c r="L150" s="1334" t="str">
        <f t="shared" si="10"/>
        <v>Receipt from tenants</v>
      </c>
      <c r="M150" s="1335" t="str">
        <f>VLOOKUP(C150,Acc_Char!B:K,5,)</f>
        <v>VND</v>
      </c>
      <c r="N150" s="1335" t="str">
        <f>VLOOKUP(C150,Acc_Char!B:K,6,)</f>
        <v>Current Account</v>
      </c>
      <c r="O150" s="1336" t="str">
        <f>Summary!$B$4</f>
        <v>W1-2Jan26</v>
      </c>
      <c r="P150" s="1334" t="str">
        <f t="shared" si="11"/>
        <v>110609187777</v>
      </c>
    </row>
    <row r="151" spans="1:16">
      <c r="A151" s="1018" t="s">
        <v>1591</v>
      </c>
      <c r="B151" s="460" t="s">
        <v>110</v>
      </c>
      <c r="C151" s="1092" t="s">
        <v>543</v>
      </c>
      <c r="D151" s="1389" t="s">
        <v>1752</v>
      </c>
      <c r="E151" t="s">
        <v>1753</v>
      </c>
      <c r="F151" s="1311">
        <v>286829943</v>
      </c>
      <c r="G151" s="1311">
        <v>0</v>
      </c>
      <c r="H151" s="1082">
        <f t="shared" si="9"/>
        <v>286829943</v>
      </c>
      <c r="I151" s="1333" t="s">
        <v>39</v>
      </c>
      <c r="J151" s="1334" t="str">
        <f>VLOOKUP(C151,Acc_Char!B:K,3,)</f>
        <v>GREAT KINGDOM NT 2</v>
      </c>
      <c r="K151" s="1334" t="str">
        <f>VLOOKUP(C151,Acc_Char!B:K,7,)</f>
        <v>Subsidiaries</v>
      </c>
      <c r="L151" s="1334" t="str">
        <f t="shared" si="10"/>
        <v>Receipt from tenants</v>
      </c>
      <c r="M151" s="1335" t="str">
        <f>VLOOKUP(C151,Acc_Char!B:K,5,)</f>
        <v>VND</v>
      </c>
      <c r="N151" s="1335" t="str">
        <f>VLOOKUP(C151,Acc_Char!B:K,6,)</f>
        <v>Current Account</v>
      </c>
      <c r="O151" s="1336" t="str">
        <f>Summary!$B$4</f>
        <v>W1-2Jan26</v>
      </c>
      <c r="P151" s="1334" t="str">
        <f t="shared" si="11"/>
        <v>110609187777</v>
      </c>
    </row>
    <row r="152" spans="1:16">
      <c r="A152" s="1018" t="s">
        <v>1591</v>
      </c>
      <c r="B152" s="460" t="s">
        <v>110</v>
      </c>
      <c r="C152" s="1092" t="s">
        <v>669</v>
      </c>
      <c r="D152" s="1389" t="s">
        <v>1754</v>
      </c>
      <c r="E152" t="s">
        <v>1755</v>
      </c>
      <c r="F152" s="1311">
        <v>1390439</v>
      </c>
      <c r="G152" s="1311">
        <v>0</v>
      </c>
      <c r="H152" s="1082">
        <f t="shared" si="9"/>
        <v>1390439</v>
      </c>
      <c r="I152" s="1333" t="s">
        <v>39</v>
      </c>
      <c r="J152" s="1334" t="str">
        <f>VLOOKUP(C152,Acc_Char!B:K,3,)</f>
        <v>VINA PARTNERS INVESTMENT</v>
      </c>
      <c r="K152" s="1334" t="str">
        <f>VLOOKUP(C152,Acc_Char!B:K,7,)</f>
        <v>Subsidiaries</v>
      </c>
      <c r="L152" s="1334" t="str">
        <f t="shared" si="10"/>
        <v>Receipt from tenants</v>
      </c>
      <c r="M152" s="1335" t="str">
        <f>VLOOKUP(C152,Acc_Char!B:K,5,)</f>
        <v>VND</v>
      </c>
      <c r="N152" s="1335" t="str">
        <f>VLOOKUP(C152,Acc_Char!B:K,6,)</f>
        <v>Current Account</v>
      </c>
      <c r="O152" s="1336" t="str">
        <f>Summary!$B$4</f>
        <v>W1-2Jan26</v>
      </c>
      <c r="P152" s="1334" t="str">
        <f t="shared" si="11"/>
        <v>111002902772</v>
      </c>
    </row>
    <row r="153" spans="1:16">
      <c r="A153" s="1018" t="s">
        <v>1591</v>
      </c>
      <c r="B153" s="460" t="s">
        <v>110</v>
      </c>
      <c r="C153" s="1092" t="s">
        <v>717</v>
      </c>
      <c r="D153" s="1389" t="s">
        <v>1756</v>
      </c>
      <c r="E153" t="s">
        <v>1757</v>
      </c>
      <c r="F153" s="1311">
        <v>275547360</v>
      </c>
      <c r="G153" s="1311">
        <v>0</v>
      </c>
      <c r="H153" s="1082">
        <f t="shared" si="9"/>
        <v>275547360</v>
      </c>
      <c r="I153" s="1333" t="s">
        <v>39</v>
      </c>
      <c r="J153" s="1334" t="str">
        <f>VLOOKUP(C153,Acc_Char!B:K,3,)</f>
        <v>BW BAU BANG 01</v>
      </c>
      <c r="K153" s="1334" t="str">
        <f>VLOOKUP(C153,Acc_Char!B:K,7,)</f>
        <v>Subsidiaries</v>
      </c>
      <c r="L153" s="1334" t="str">
        <f t="shared" si="10"/>
        <v>Receipt from tenants</v>
      </c>
      <c r="M153" s="1335" t="str">
        <f>VLOOKUP(C153,Acc_Char!B:K,5,)</f>
        <v>VND</v>
      </c>
      <c r="N153" s="1335" t="str">
        <f>VLOOKUP(C153,Acc_Char!B:K,6,)</f>
        <v>Current Account</v>
      </c>
      <c r="O153" s="1336" t="str">
        <f>Summary!$B$4</f>
        <v>W1-2Jan26</v>
      </c>
      <c r="P153" s="1334" t="str">
        <f t="shared" si="11"/>
        <v>110002915294</v>
      </c>
    </row>
    <row r="154" spans="1:16">
      <c r="A154" s="1018" t="s">
        <v>1591</v>
      </c>
      <c r="B154" s="460" t="s">
        <v>110</v>
      </c>
      <c r="C154" s="1092" t="s">
        <v>717</v>
      </c>
      <c r="D154" s="1389" t="s">
        <v>1758</v>
      </c>
      <c r="E154" t="s">
        <v>1759</v>
      </c>
      <c r="F154" s="1311">
        <v>63066666</v>
      </c>
      <c r="G154" s="1311">
        <v>0</v>
      </c>
      <c r="H154" s="1082">
        <f t="shared" si="9"/>
        <v>63066666</v>
      </c>
      <c r="I154" s="1333" t="s">
        <v>39</v>
      </c>
      <c r="J154" s="1334" t="str">
        <f>VLOOKUP(C154,Acc_Char!B:K,3,)</f>
        <v>BW BAU BANG 01</v>
      </c>
      <c r="K154" s="1334" t="str">
        <f>VLOOKUP(C154,Acc_Char!B:K,7,)</f>
        <v>Subsidiaries</v>
      </c>
      <c r="L154" s="1334" t="str">
        <f t="shared" si="10"/>
        <v>Receipt from tenants</v>
      </c>
      <c r="M154" s="1335" t="str">
        <f>VLOOKUP(C154,Acc_Char!B:K,5,)</f>
        <v>VND</v>
      </c>
      <c r="N154" s="1335" t="str">
        <f>VLOOKUP(C154,Acc_Char!B:K,6,)</f>
        <v>Current Account</v>
      </c>
      <c r="O154" s="1336" t="str">
        <f>Summary!$B$4</f>
        <v>W1-2Jan26</v>
      </c>
      <c r="P154" s="1334" t="str">
        <f t="shared" si="11"/>
        <v>110002915294</v>
      </c>
    </row>
    <row r="155" spans="1:16">
      <c r="A155" s="1018" t="s">
        <v>1591</v>
      </c>
      <c r="B155" s="460" t="s">
        <v>110</v>
      </c>
      <c r="C155" s="1092" t="s">
        <v>702</v>
      </c>
      <c r="D155" s="1389" t="s">
        <v>1758</v>
      </c>
      <c r="E155" t="s">
        <v>1760</v>
      </c>
      <c r="F155" s="1311">
        <v>8066666</v>
      </c>
      <c r="G155" s="1311">
        <v>0</v>
      </c>
      <c r="H155" s="1082">
        <f t="shared" si="9"/>
        <v>8066666</v>
      </c>
      <c r="I155" s="1333" t="s">
        <v>39</v>
      </c>
      <c r="J155" s="1334" t="str">
        <f>VLOOKUP(C155,Acc_Char!B:K,3,)</f>
        <v>BAU BANG 6</v>
      </c>
      <c r="K155" s="1334" t="str">
        <f>VLOOKUP(C155,Acc_Char!B:K,7,)</f>
        <v>Subsidiaries</v>
      </c>
      <c r="L155" s="1334" t="str">
        <f t="shared" si="10"/>
        <v>Receipt from tenants</v>
      </c>
      <c r="M155" s="1335" t="str">
        <f>VLOOKUP(C155,Acc_Char!B:K,5,)</f>
        <v>VND</v>
      </c>
      <c r="N155" s="1335" t="str">
        <f>VLOOKUP(C155,Acc_Char!B:K,6,)</f>
        <v>Current Account</v>
      </c>
      <c r="O155" s="1336" t="str">
        <f>Summary!$B$4</f>
        <v>W1-2Jan26</v>
      </c>
      <c r="P155" s="1334" t="str">
        <f t="shared" si="11"/>
        <v>115624079999</v>
      </c>
    </row>
    <row r="156" spans="1:16">
      <c r="A156" s="1018" t="s">
        <v>1591</v>
      </c>
      <c r="B156" s="460" t="s">
        <v>110</v>
      </c>
      <c r="C156" s="1092" t="s">
        <v>709</v>
      </c>
      <c r="D156" s="1389" t="s">
        <v>1761</v>
      </c>
      <c r="E156" t="s">
        <v>1762</v>
      </c>
      <c r="F156" s="1311">
        <v>100000000</v>
      </c>
      <c r="G156" s="1311">
        <v>0</v>
      </c>
      <c r="H156" s="1082">
        <f t="shared" si="9"/>
        <v>100000000</v>
      </c>
      <c r="I156" s="1333" t="s">
        <v>39</v>
      </c>
      <c r="J156" s="1334" t="str">
        <f>VLOOKUP(C156,Acc_Char!B:K,3,)</f>
        <v>XENIA 2</v>
      </c>
      <c r="K156" s="1334" t="str">
        <f>VLOOKUP(C156,Acc_Char!B:K,7,)</f>
        <v>Subsidiaries</v>
      </c>
      <c r="L156" s="1334" t="str">
        <f t="shared" si="10"/>
        <v>Receipt from tenants</v>
      </c>
      <c r="M156" s="1335" t="str">
        <f>VLOOKUP(C156,Acc_Char!B:K,5,)</f>
        <v>VND</v>
      </c>
      <c r="N156" s="1335" t="str">
        <f>VLOOKUP(C156,Acc_Char!B:K,6,)</f>
        <v>Current Account</v>
      </c>
      <c r="O156" s="1336" t="str">
        <f>Summary!$B$4</f>
        <v>W1-2Jan26</v>
      </c>
      <c r="P156" s="1334" t="str">
        <f t="shared" si="11"/>
        <v>118625469999</v>
      </c>
    </row>
    <row r="157" spans="1:16">
      <c r="A157" s="1018" t="s">
        <v>1591</v>
      </c>
      <c r="B157" s="460" t="s">
        <v>110</v>
      </c>
      <c r="C157" s="1092" t="s">
        <v>709</v>
      </c>
      <c r="D157" s="1389" t="s">
        <v>1761</v>
      </c>
      <c r="E157" t="s">
        <v>1763</v>
      </c>
      <c r="F157" s="1311">
        <v>474441560</v>
      </c>
      <c r="G157" s="1311">
        <v>0</v>
      </c>
      <c r="H157" s="1082">
        <f t="shared" si="9"/>
        <v>474441560</v>
      </c>
      <c r="I157" s="1333" t="s">
        <v>39</v>
      </c>
      <c r="J157" s="1334" t="str">
        <f>VLOOKUP(C157,Acc_Char!B:K,3,)</f>
        <v>XENIA 2</v>
      </c>
      <c r="K157" s="1334" t="str">
        <f>VLOOKUP(C157,Acc_Char!B:K,7,)</f>
        <v>Subsidiaries</v>
      </c>
      <c r="L157" s="1334" t="str">
        <f t="shared" si="10"/>
        <v>Receipt from tenants</v>
      </c>
      <c r="M157" s="1335" t="str">
        <f>VLOOKUP(C157,Acc_Char!B:K,5,)</f>
        <v>VND</v>
      </c>
      <c r="N157" s="1335" t="str">
        <f>VLOOKUP(C157,Acc_Char!B:K,6,)</f>
        <v>Current Account</v>
      </c>
      <c r="O157" s="1336" t="str">
        <f>Summary!$B$4</f>
        <v>W1-2Jan26</v>
      </c>
      <c r="P157" s="1334" t="str">
        <f t="shared" si="11"/>
        <v>118625469999</v>
      </c>
    </row>
    <row r="158" spans="1:16">
      <c r="A158" s="1018" t="s">
        <v>1591</v>
      </c>
      <c r="B158" s="460" t="s">
        <v>110</v>
      </c>
      <c r="C158" s="1092" t="s">
        <v>504</v>
      </c>
      <c r="D158" s="1389" t="s">
        <v>1764</v>
      </c>
      <c r="E158" t="s">
        <v>1765</v>
      </c>
      <c r="F158" s="1311">
        <v>112616288</v>
      </c>
      <c r="G158" s="1311">
        <v>0</v>
      </c>
      <c r="H158" s="1082">
        <f t="shared" si="9"/>
        <v>112616288</v>
      </c>
      <c r="I158" s="1333" t="s">
        <v>39</v>
      </c>
      <c r="J158" s="1334" t="str">
        <f>VLOOKUP(C158,Acc_Char!B:K,3,)</f>
        <v>BWID BAC NINH</v>
      </c>
      <c r="K158" s="1334" t="str">
        <f>VLOOKUP(C158,Acc_Char!B:K,7,)</f>
        <v>Subsidiaries</v>
      </c>
      <c r="L158" s="1334" t="str">
        <f t="shared" si="10"/>
        <v>Receipt from tenants</v>
      </c>
      <c r="M158" s="1335" t="str">
        <f>VLOOKUP(C158,Acc_Char!B:K,5,)</f>
        <v>VND</v>
      </c>
      <c r="N158" s="1335" t="str">
        <f>VLOOKUP(C158,Acc_Char!B:K,6,)</f>
        <v>Current Account</v>
      </c>
      <c r="O158" s="1336" t="str">
        <f>Summary!$B$4</f>
        <v>W1-2Jan26</v>
      </c>
      <c r="P158" s="1334" t="str">
        <f t="shared" si="11"/>
        <v>118008108888</v>
      </c>
    </row>
    <row r="159" spans="1:16">
      <c r="A159" s="1018" t="s">
        <v>1591</v>
      </c>
      <c r="B159" s="460" t="s">
        <v>110</v>
      </c>
      <c r="C159" s="1092" t="s">
        <v>709</v>
      </c>
      <c r="D159" s="1389" t="s">
        <v>1766</v>
      </c>
      <c r="E159" t="s">
        <v>1767</v>
      </c>
      <c r="F159" s="1311">
        <v>401063200</v>
      </c>
      <c r="G159" s="1311">
        <v>0</v>
      </c>
      <c r="H159" s="1082">
        <f t="shared" si="9"/>
        <v>401063200</v>
      </c>
      <c r="I159" s="1333" t="s">
        <v>39</v>
      </c>
      <c r="J159" s="1334" t="str">
        <f>VLOOKUP(C159,Acc_Char!B:K,3,)</f>
        <v>XENIA 2</v>
      </c>
      <c r="K159" s="1334" t="str">
        <f>VLOOKUP(C159,Acc_Char!B:K,7,)</f>
        <v>Subsidiaries</v>
      </c>
      <c r="L159" s="1334" t="str">
        <f t="shared" si="10"/>
        <v>Receipt from tenants</v>
      </c>
      <c r="M159" s="1335" t="str">
        <f>VLOOKUP(C159,Acc_Char!B:K,5,)</f>
        <v>VND</v>
      </c>
      <c r="N159" s="1335" t="str">
        <f>VLOOKUP(C159,Acc_Char!B:K,6,)</f>
        <v>Current Account</v>
      </c>
      <c r="O159" s="1336" t="str">
        <f>Summary!$B$4</f>
        <v>W1-2Jan26</v>
      </c>
      <c r="P159" s="1334" t="str">
        <f t="shared" si="11"/>
        <v>118625469999</v>
      </c>
    </row>
    <row r="160" spans="1:16">
      <c r="A160" s="1018" t="s">
        <v>1591</v>
      </c>
      <c r="B160" s="460" t="s">
        <v>110</v>
      </c>
      <c r="C160" s="1092" t="s">
        <v>709</v>
      </c>
      <c r="D160" s="1389" t="s">
        <v>1768</v>
      </c>
      <c r="E160" t="s">
        <v>1769</v>
      </c>
      <c r="F160" s="1311">
        <v>400000000</v>
      </c>
      <c r="G160" s="1311">
        <v>0</v>
      </c>
      <c r="H160" s="1082">
        <f t="shared" si="9"/>
        <v>400000000</v>
      </c>
      <c r="I160" s="1333" t="s">
        <v>39</v>
      </c>
      <c r="J160" s="1334" t="str">
        <f>VLOOKUP(C160,Acc_Char!B:K,3,)</f>
        <v>XENIA 2</v>
      </c>
      <c r="K160" s="1334" t="str">
        <f>VLOOKUP(C160,Acc_Char!B:K,7,)</f>
        <v>Subsidiaries</v>
      </c>
      <c r="L160" s="1334" t="str">
        <f t="shared" si="10"/>
        <v>Receipt from tenants</v>
      </c>
      <c r="M160" s="1335" t="str">
        <f>VLOOKUP(C160,Acc_Char!B:K,5,)</f>
        <v>VND</v>
      </c>
      <c r="N160" s="1335" t="str">
        <f>VLOOKUP(C160,Acc_Char!B:K,6,)</f>
        <v>Current Account</v>
      </c>
      <c r="O160" s="1336" t="str">
        <f>Summary!$B$4</f>
        <v>W1-2Jan26</v>
      </c>
      <c r="P160" s="1334" t="str">
        <f t="shared" si="11"/>
        <v>118625469999</v>
      </c>
    </row>
    <row r="161" spans="1:17">
      <c r="A161" s="1018" t="s">
        <v>1591</v>
      </c>
      <c r="B161" s="460" t="s">
        <v>110</v>
      </c>
      <c r="C161" s="1092" t="s">
        <v>717</v>
      </c>
      <c r="D161" s="1389" t="s">
        <v>1770</v>
      </c>
      <c r="E161" t="s">
        <v>1771</v>
      </c>
      <c r="F161" s="1311">
        <v>174044120</v>
      </c>
      <c r="G161" s="1311">
        <v>0</v>
      </c>
      <c r="H161" s="1082">
        <f t="shared" si="9"/>
        <v>174044120</v>
      </c>
      <c r="I161" s="1333" t="s">
        <v>39</v>
      </c>
      <c r="J161" s="1334" t="str">
        <f>VLOOKUP(C161,Acc_Char!B:K,3,)</f>
        <v>BW BAU BANG 01</v>
      </c>
      <c r="K161" s="1334" t="str">
        <f>VLOOKUP(C161,Acc_Char!B:K,7,)</f>
        <v>Subsidiaries</v>
      </c>
      <c r="L161" s="1334" t="str">
        <f t="shared" si="10"/>
        <v>Receipt from tenants</v>
      </c>
      <c r="M161" s="1335" t="str">
        <f>VLOOKUP(C161,Acc_Char!B:K,5,)</f>
        <v>VND</v>
      </c>
      <c r="N161" s="1335" t="str">
        <f>VLOOKUP(C161,Acc_Char!B:K,6,)</f>
        <v>Current Account</v>
      </c>
      <c r="O161" s="1336" t="str">
        <f>Summary!$B$4</f>
        <v>W1-2Jan26</v>
      </c>
      <c r="P161" s="1334" t="str">
        <f t="shared" si="11"/>
        <v>110002915294</v>
      </c>
      <c r="Q161" s="1024"/>
    </row>
    <row r="162" spans="1:17">
      <c r="A162" s="1018" t="s">
        <v>1591</v>
      </c>
      <c r="B162" s="460" t="s">
        <v>110</v>
      </c>
      <c r="C162" s="1092" t="s">
        <v>717</v>
      </c>
      <c r="D162" s="1389" t="s">
        <v>1772</v>
      </c>
      <c r="E162" t="s">
        <v>1773</v>
      </c>
      <c r="F162" s="1311">
        <v>499500000</v>
      </c>
      <c r="G162" s="1311">
        <v>0</v>
      </c>
      <c r="H162" s="1283">
        <f t="shared" si="9"/>
        <v>499500000</v>
      </c>
      <c r="I162" s="1333" t="s">
        <v>39</v>
      </c>
      <c r="J162" s="1334" t="str">
        <f>VLOOKUP(C162,Acc_Char!B:K,3,)</f>
        <v>BW BAU BANG 01</v>
      </c>
      <c r="K162" s="1334" t="str">
        <f>VLOOKUP(C162,Acc_Char!B:K,7,)</f>
        <v>Subsidiaries</v>
      </c>
      <c r="L162" s="1334" t="str">
        <f t="shared" si="10"/>
        <v>Receipt from tenants</v>
      </c>
      <c r="M162" s="1335" t="str">
        <f>VLOOKUP(C162,Acc_Char!B:K,5,)</f>
        <v>VND</v>
      </c>
      <c r="N162" s="1335" t="str">
        <f>VLOOKUP(C162,Acc_Char!B:K,6,)</f>
        <v>Current Account</v>
      </c>
      <c r="O162" s="1336" t="str">
        <f>Summary!$B$4</f>
        <v>W1-2Jan26</v>
      </c>
      <c r="P162" s="1334" t="str">
        <f t="shared" si="11"/>
        <v>110002915294</v>
      </c>
    </row>
    <row r="163" spans="1:17">
      <c r="A163" s="1018" t="s">
        <v>1591</v>
      </c>
      <c r="B163" s="460" t="s">
        <v>110</v>
      </c>
      <c r="C163" s="1092" t="s">
        <v>717</v>
      </c>
      <c r="D163" s="1389" t="s">
        <v>1774</v>
      </c>
      <c r="E163" t="s">
        <v>1775</v>
      </c>
      <c r="F163" s="1311">
        <v>499000000</v>
      </c>
      <c r="G163" s="1311">
        <v>0</v>
      </c>
      <c r="H163" s="1082">
        <f t="shared" si="9"/>
        <v>499000000</v>
      </c>
      <c r="I163" s="1333" t="s">
        <v>39</v>
      </c>
      <c r="J163" s="1334" t="str">
        <f>VLOOKUP(C163,Acc_Char!B:K,3,)</f>
        <v>BW BAU BANG 01</v>
      </c>
      <c r="K163" s="1334" t="str">
        <f>VLOOKUP(C163,Acc_Char!B:K,7,)</f>
        <v>Subsidiaries</v>
      </c>
      <c r="L163" s="1334" t="str">
        <f t="shared" si="10"/>
        <v>Receipt from tenants</v>
      </c>
      <c r="M163" s="1335" t="str">
        <f>VLOOKUP(C163,Acc_Char!B:K,5,)</f>
        <v>VND</v>
      </c>
      <c r="N163" s="1335" t="str">
        <f>VLOOKUP(C163,Acc_Char!B:K,6,)</f>
        <v>Current Account</v>
      </c>
      <c r="O163" s="1336" t="str">
        <f>Summary!$B$4</f>
        <v>W1-2Jan26</v>
      </c>
      <c r="P163" s="1334" t="str">
        <f t="shared" si="11"/>
        <v>110002915294</v>
      </c>
    </row>
    <row r="164" spans="1:17">
      <c r="A164" s="1018" t="s">
        <v>1591</v>
      </c>
      <c r="B164" s="460" t="s">
        <v>110</v>
      </c>
      <c r="C164" s="1092" t="s">
        <v>717</v>
      </c>
      <c r="D164" s="1389" t="s">
        <v>1776</v>
      </c>
      <c r="E164" t="s">
        <v>1777</v>
      </c>
      <c r="F164" s="1311">
        <v>289916550</v>
      </c>
      <c r="G164" s="1311">
        <v>0</v>
      </c>
      <c r="H164" s="1082">
        <f t="shared" si="9"/>
        <v>289916550</v>
      </c>
      <c r="I164" s="1333" t="s">
        <v>39</v>
      </c>
      <c r="J164" s="1334" t="str">
        <f>VLOOKUP(C164,Acc_Char!B:K,3,)</f>
        <v>BW BAU BANG 01</v>
      </c>
      <c r="K164" s="1334" t="str">
        <f>VLOOKUP(C164,Acc_Char!B:K,7,)</f>
        <v>Subsidiaries</v>
      </c>
      <c r="L164" s="1334" t="str">
        <f t="shared" si="10"/>
        <v>Receipt from tenants</v>
      </c>
      <c r="M164" s="1335" t="str">
        <f>VLOOKUP(C164,Acc_Char!B:K,5,)</f>
        <v>VND</v>
      </c>
      <c r="N164" s="1335" t="str">
        <f>VLOOKUP(C164,Acc_Char!B:K,6,)</f>
        <v>Current Account</v>
      </c>
      <c r="O164" s="1336" t="str">
        <f>Summary!$B$4</f>
        <v>W1-2Jan26</v>
      </c>
      <c r="P164" s="1334" t="str">
        <f t="shared" si="11"/>
        <v>110002915294</v>
      </c>
      <c r="Q164" s="1024"/>
    </row>
    <row r="165" spans="1:17">
      <c r="A165" s="1018" t="s">
        <v>1591</v>
      </c>
      <c r="B165" s="460" t="s">
        <v>110</v>
      </c>
      <c r="C165" s="1092" t="s">
        <v>702</v>
      </c>
      <c r="D165" s="1389" t="s">
        <v>1778</v>
      </c>
      <c r="E165" t="s">
        <v>1779</v>
      </c>
      <c r="F165" s="1311">
        <v>237367577</v>
      </c>
      <c r="G165" s="1311">
        <v>0</v>
      </c>
      <c r="H165" s="1082">
        <f t="shared" si="9"/>
        <v>237367577</v>
      </c>
      <c r="I165" s="1333" t="s">
        <v>39</v>
      </c>
      <c r="J165" s="1334" t="str">
        <f>VLOOKUP(C165,Acc_Char!B:K,3,)</f>
        <v>BAU BANG 6</v>
      </c>
      <c r="K165" s="1334" t="str">
        <f>VLOOKUP(C165,Acc_Char!B:K,7,)</f>
        <v>Subsidiaries</v>
      </c>
      <c r="L165" s="1334" t="str">
        <f t="shared" si="10"/>
        <v>Receipt from tenants</v>
      </c>
      <c r="M165" s="1335" t="str">
        <f>VLOOKUP(C165,Acc_Char!B:K,5,)</f>
        <v>VND</v>
      </c>
      <c r="N165" s="1335" t="str">
        <f>VLOOKUP(C165,Acc_Char!B:K,6,)</f>
        <v>Current Account</v>
      </c>
      <c r="O165" s="1336" t="str">
        <f>Summary!$B$4</f>
        <v>W1-2Jan26</v>
      </c>
      <c r="P165" s="1334" t="str">
        <f t="shared" si="11"/>
        <v>115624079999</v>
      </c>
      <c r="Q165" s="1024"/>
    </row>
    <row r="166" spans="1:17">
      <c r="A166" s="1018" t="s">
        <v>1591</v>
      </c>
      <c r="B166" s="460" t="s">
        <v>110</v>
      </c>
      <c r="C166" s="1092" t="s">
        <v>717</v>
      </c>
      <c r="D166" s="1389" t="s">
        <v>1780</v>
      </c>
      <c r="E166" t="s">
        <v>1781</v>
      </c>
      <c r="F166" s="1311">
        <v>110358387</v>
      </c>
      <c r="G166" s="1311">
        <v>0</v>
      </c>
      <c r="H166" s="1082">
        <f t="shared" si="9"/>
        <v>110358387</v>
      </c>
      <c r="I166" s="1333" t="s">
        <v>39</v>
      </c>
      <c r="J166" s="1334" t="str">
        <f>VLOOKUP(C166,Acc_Char!B:K,3,)</f>
        <v>BW BAU BANG 01</v>
      </c>
      <c r="K166" s="1334" t="str">
        <f>VLOOKUP(C166,Acc_Char!B:K,7,)</f>
        <v>Subsidiaries</v>
      </c>
      <c r="L166" s="1334" t="str">
        <f t="shared" si="10"/>
        <v>Receipt from tenants</v>
      </c>
      <c r="M166" s="1335" t="str">
        <f>VLOOKUP(C166,Acc_Char!B:K,5,)</f>
        <v>VND</v>
      </c>
      <c r="N166" s="1335" t="str">
        <f>VLOOKUP(C166,Acc_Char!B:K,6,)</f>
        <v>Current Account</v>
      </c>
      <c r="O166" s="1336" t="str">
        <f>Summary!$B$4</f>
        <v>W1-2Jan26</v>
      </c>
      <c r="P166" s="1334" t="str">
        <f t="shared" si="11"/>
        <v>110002915294</v>
      </c>
      <c r="Q166" s="1024"/>
    </row>
    <row r="167" spans="1:17">
      <c r="A167" s="1018" t="s">
        <v>1591</v>
      </c>
      <c r="B167" s="460" t="s">
        <v>110</v>
      </c>
      <c r="C167" s="1092" t="s">
        <v>717</v>
      </c>
      <c r="D167" s="1389" t="s">
        <v>1782</v>
      </c>
      <c r="E167" t="s">
        <v>1783</v>
      </c>
      <c r="F167" s="1311">
        <v>286070400</v>
      </c>
      <c r="G167" s="1311">
        <v>0</v>
      </c>
      <c r="H167" s="1082">
        <f t="shared" si="9"/>
        <v>286070400</v>
      </c>
      <c r="I167" s="1333" t="s">
        <v>39</v>
      </c>
      <c r="J167" s="1334" t="str">
        <f>VLOOKUP(C167,Acc_Char!B:K,3,)</f>
        <v>BW BAU BANG 01</v>
      </c>
      <c r="K167" s="1334" t="str">
        <f>VLOOKUP(C167,Acc_Char!B:K,7,)</f>
        <v>Subsidiaries</v>
      </c>
      <c r="L167" s="1334" t="str">
        <f t="shared" si="10"/>
        <v>Receipt from tenants</v>
      </c>
      <c r="M167" s="1335" t="str">
        <f>VLOOKUP(C167,Acc_Char!B:K,5,)</f>
        <v>VND</v>
      </c>
      <c r="N167" s="1335" t="str">
        <f>VLOOKUP(C167,Acc_Char!B:K,6,)</f>
        <v>Current Account</v>
      </c>
      <c r="O167" s="1336" t="str">
        <f>Summary!$B$4</f>
        <v>W1-2Jan26</v>
      </c>
      <c r="P167" s="1334" t="str">
        <f t="shared" si="11"/>
        <v>110002915294</v>
      </c>
      <c r="Q167" s="1024"/>
    </row>
    <row r="168" spans="1:17">
      <c r="A168" s="1018" t="s">
        <v>1591</v>
      </c>
      <c r="B168" s="460" t="s">
        <v>110</v>
      </c>
      <c r="C168" s="1092" t="s">
        <v>1048</v>
      </c>
      <c r="D168" s="1389" t="s">
        <v>1784</v>
      </c>
      <c r="E168" t="s">
        <v>1785</v>
      </c>
      <c r="F168" s="1311">
        <v>1526674</v>
      </c>
      <c r="G168" s="1311">
        <v>0</v>
      </c>
      <c r="H168" s="1082">
        <f t="shared" si="9"/>
        <v>1526674</v>
      </c>
      <c r="I168" s="1333" t="s">
        <v>39</v>
      </c>
      <c r="J168" s="1334" t="str">
        <f>VLOOKUP(C168,Acc_Char!B:K,3,)</f>
        <v>TAN DONG HIEP B ELECTRON</v>
      </c>
      <c r="K168" s="1334" t="str">
        <f>VLOOKUP(C168,Acc_Char!B:K,7,)</f>
        <v>Subsidiaries</v>
      </c>
      <c r="L168" s="1334" t="str">
        <f t="shared" si="10"/>
        <v>Receipt from tenants</v>
      </c>
      <c r="M168" s="1335" t="str">
        <f>VLOOKUP(C168,Acc_Char!B:K,5,)</f>
        <v>VND</v>
      </c>
      <c r="N168" s="1335" t="str">
        <f>VLOOKUP(C168,Acc_Char!B:K,6,)</f>
        <v>Current Account</v>
      </c>
      <c r="O168" s="1336" t="str">
        <f>Summary!$B$4</f>
        <v>W1-2Jan26</v>
      </c>
      <c r="P168" s="1334" t="str">
        <f t="shared" si="11"/>
        <v>110002974996</v>
      </c>
      <c r="Q168" s="1024"/>
    </row>
    <row r="169" spans="1:17">
      <c r="A169" s="1018" t="s">
        <v>1591</v>
      </c>
      <c r="B169" s="460" t="s">
        <v>110</v>
      </c>
      <c r="C169" s="1092" t="s">
        <v>1048</v>
      </c>
      <c r="D169" s="1389" t="s">
        <v>1786</v>
      </c>
      <c r="E169" t="s">
        <v>1787</v>
      </c>
      <c r="F169" s="1311">
        <v>348527025</v>
      </c>
      <c r="G169" s="1311">
        <v>0</v>
      </c>
      <c r="H169" s="1082">
        <f t="shared" si="9"/>
        <v>348527025</v>
      </c>
      <c r="I169" s="1333" t="s">
        <v>39</v>
      </c>
      <c r="J169" s="1334" t="str">
        <f>VLOOKUP(C169,Acc_Char!B:K,3,)</f>
        <v>TAN DONG HIEP B ELECTRON</v>
      </c>
      <c r="K169" s="1334" t="str">
        <f>VLOOKUP(C169,Acc_Char!B:K,7,)</f>
        <v>Subsidiaries</v>
      </c>
      <c r="L169" s="1334" t="str">
        <f t="shared" si="10"/>
        <v>Receipt from tenants</v>
      </c>
      <c r="M169" s="1335" t="str">
        <f>VLOOKUP(C169,Acc_Char!B:K,5,)</f>
        <v>VND</v>
      </c>
      <c r="N169" s="1335" t="str">
        <f>VLOOKUP(C169,Acc_Char!B:K,6,)</f>
        <v>Current Account</v>
      </c>
      <c r="O169" s="1336" t="str">
        <f>Summary!$B$4</f>
        <v>W1-2Jan26</v>
      </c>
      <c r="P169" s="1334" t="str">
        <f t="shared" si="11"/>
        <v>110002974996</v>
      </c>
      <c r="Q169" s="1024"/>
    </row>
    <row r="170" spans="1:17">
      <c r="A170" s="1018" t="s">
        <v>1591</v>
      </c>
      <c r="B170" s="460" t="s">
        <v>110</v>
      </c>
      <c r="C170" s="1092" t="s">
        <v>1046</v>
      </c>
      <c r="D170" s="1389" t="s">
        <v>1788</v>
      </c>
      <c r="E170" t="s">
        <v>1789</v>
      </c>
      <c r="F170" s="1311">
        <v>357993</v>
      </c>
      <c r="G170" s="1311">
        <v>0</v>
      </c>
      <c r="H170" s="1082">
        <f t="shared" si="9"/>
        <v>357993</v>
      </c>
      <c r="I170" s="1333" t="s">
        <v>39</v>
      </c>
      <c r="J170" s="1334" t="str">
        <f>VLOOKUP(C170,Acc_Char!B:K,3,)</f>
        <v>SONG THAN 2</v>
      </c>
      <c r="K170" s="1334" t="str">
        <f>VLOOKUP(C170,Acc_Char!B:K,7,)</f>
        <v>Subsidiaries</v>
      </c>
      <c r="L170" s="1334" t="str">
        <f t="shared" si="10"/>
        <v>Receipt from tenants</v>
      </c>
      <c r="M170" s="1335" t="str">
        <f>VLOOKUP(C170,Acc_Char!B:K,5,)</f>
        <v>VND</v>
      </c>
      <c r="N170" s="1335" t="str">
        <f>VLOOKUP(C170,Acc_Char!B:K,6,)</f>
        <v>Current Account</v>
      </c>
      <c r="O170" s="1336" t="str">
        <f>Summary!$B$4</f>
        <v>W1-2Jan26</v>
      </c>
      <c r="P170" s="1334" t="str">
        <f t="shared" si="11"/>
        <v>111002975027</v>
      </c>
      <c r="Q170" s="1024"/>
    </row>
    <row r="171" spans="1:17">
      <c r="A171" s="1018" t="s">
        <v>1591</v>
      </c>
      <c r="B171" s="460" t="s">
        <v>110</v>
      </c>
      <c r="C171" s="1092" t="s">
        <v>543</v>
      </c>
      <c r="D171" s="1389" t="s">
        <v>1790</v>
      </c>
      <c r="E171" t="s">
        <v>1791</v>
      </c>
      <c r="F171" s="1311">
        <v>1256086</v>
      </c>
      <c r="G171" s="1311">
        <v>0</v>
      </c>
      <c r="H171" s="1082">
        <f t="shared" si="9"/>
        <v>1256086</v>
      </c>
      <c r="I171" s="1333" t="s">
        <v>39</v>
      </c>
      <c r="J171" s="1334" t="str">
        <f>VLOOKUP(C171,Acc_Char!B:K,3,)</f>
        <v>GREAT KINGDOM NT 2</v>
      </c>
      <c r="K171" s="1334" t="str">
        <f>VLOOKUP(C171,Acc_Char!B:K,7,)</f>
        <v>Subsidiaries</v>
      </c>
      <c r="L171" s="1334" t="str">
        <f t="shared" si="10"/>
        <v>Receipt from tenants</v>
      </c>
      <c r="M171" s="1335" t="str">
        <f>VLOOKUP(C171,Acc_Char!B:K,5,)</f>
        <v>VND</v>
      </c>
      <c r="N171" s="1335" t="str">
        <f>VLOOKUP(C171,Acc_Char!B:K,6,)</f>
        <v>Current Account</v>
      </c>
      <c r="O171" s="1336" t="str">
        <f>Summary!$B$4</f>
        <v>W1-2Jan26</v>
      </c>
      <c r="P171" s="1334" t="str">
        <f t="shared" si="11"/>
        <v>110609187777</v>
      </c>
      <c r="Q171" s="1024"/>
    </row>
    <row r="172" spans="1:17">
      <c r="A172" s="1018" t="s">
        <v>1591</v>
      </c>
      <c r="B172" s="460" t="s">
        <v>110</v>
      </c>
      <c r="C172" s="1092" t="s">
        <v>543</v>
      </c>
      <c r="D172" s="1389" t="s">
        <v>1792</v>
      </c>
      <c r="E172" t="s">
        <v>1793</v>
      </c>
      <c r="F172" s="1311">
        <v>6056128</v>
      </c>
      <c r="G172" s="1311">
        <v>0</v>
      </c>
      <c r="H172" s="1082">
        <f t="shared" si="9"/>
        <v>6056128</v>
      </c>
      <c r="I172" s="1333" t="s">
        <v>39</v>
      </c>
      <c r="J172" s="1334" t="str">
        <f>VLOOKUP(C172,Acc_Char!B:K,3,)</f>
        <v>GREAT KINGDOM NT 2</v>
      </c>
      <c r="K172" s="1334" t="str">
        <f>VLOOKUP(C172,Acc_Char!B:K,7,)</f>
        <v>Subsidiaries</v>
      </c>
      <c r="L172" s="1334" t="str">
        <f t="shared" si="10"/>
        <v>Receipt from tenants</v>
      </c>
      <c r="M172" s="1335" t="str">
        <f>VLOOKUP(C172,Acc_Char!B:K,5,)</f>
        <v>VND</v>
      </c>
      <c r="N172" s="1335" t="str">
        <f>VLOOKUP(C172,Acc_Char!B:K,6,)</f>
        <v>Current Account</v>
      </c>
      <c r="O172" s="1336" t="str">
        <f>Summary!$B$4</f>
        <v>W1-2Jan26</v>
      </c>
      <c r="P172" s="1334" t="str">
        <f t="shared" si="11"/>
        <v>110609187777</v>
      </c>
    </row>
    <row r="173" spans="1:17">
      <c r="A173" s="1018" t="s">
        <v>1591</v>
      </c>
      <c r="B173" s="460" t="s">
        <v>110</v>
      </c>
      <c r="C173" s="1092" t="s">
        <v>555</v>
      </c>
      <c r="D173" s="1389" t="s">
        <v>1794</v>
      </c>
      <c r="E173" t="s">
        <v>1795</v>
      </c>
      <c r="F173" s="1311">
        <v>176455752</v>
      </c>
      <c r="G173" s="1311">
        <v>0</v>
      </c>
      <c r="H173" s="1082">
        <f t="shared" si="9"/>
        <v>176455752</v>
      </c>
      <c r="I173" s="1333" t="s">
        <v>39</v>
      </c>
      <c r="J173" s="1334" t="str">
        <f>VLOOKUP(C173,Acc_Char!B:K,3,)</f>
        <v>BWID DONG AN LID</v>
      </c>
      <c r="K173" s="1334" t="str">
        <f>VLOOKUP(C173,Acc_Char!B:K,7,)</f>
        <v>Subsidiaries</v>
      </c>
      <c r="L173" s="1334" t="str">
        <f t="shared" si="10"/>
        <v>Receipt from tenants</v>
      </c>
      <c r="M173" s="1335" t="str">
        <f>VLOOKUP(C173,Acc_Char!B:K,5,)</f>
        <v>VND</v>
      </c>
      <c r="N173" s="1335" t="str">
        <f>VLOOKUP(C173,Acc_Char!B:K,6,)</f>
        <v>Current Account</v>
      </c>
      <c r="O173" s="1336" t="str">
        <f>Summary!$B$4</f>
        <v>W1-2Jan26</v>
      </c>
      <c r="P173" s="1334" t="str">
        <f t="shared" si="11"/>
        <v>114002807847</v>
      </c>
    </row>
    <row r="174" spans="1:17">
      <c r="A174" s="1018" t="s">
        <v>1567</v>
      </c>
      <c r="B174" s="460" t="s">
        <v>1586</v>
      </c>
      <c r="C174" s="1092" t="s">
        <v>1364</v>
      </c>
      <c r="D174" s="1389">
        <v>46357</v>
      </c>
      <c r="E174" t="s">
        <v>1796</v>
      </c>
      <c r="F174" s="1311">
        <v>1179342058</v>
      </c>
      <c r="G174" s="1311">
        <v>0</v>
      </c>
      <c r="H174" s="1082">
        <f t="shared" si="9"/>
        <v>1179342058</v>
      </c>
      <c r="I174" s="1333" t="s">
        <v>39</v>
      </c>
      <c r="J174" s="1334" t="str">
        <f>VLOOKUP(C174,Acc_Char!B:K,3,)</f>
        <v>BW MY PHUOC 3</v>
      </c>
      <c r="K174" s="1334" t="str">
        <f>VLOOKUP(C174,Acc_Char!B:K,7,)</f>
        <v>Subsidiaries</v>
      </c>
      <c r="L174" s="1334" t="str">
        <f t="shared" si="10"/>
        <v>Receipt from tenants</v>
      </c>
      <c r="M174" s="1335" t="str">
        <f>VLOOKUP(C174,Acc_Char!B:K,5,)</f>
        <v>VND</v>
      </c>
      <c r="N174" s="1335" t="str">
        <f>VLOOKUP(C174,Acc_Char!B:K,6,)</f>
        <v>Current Account</v>
      </c>
      <c r="O174" s="1336" t="str">
        <f>Summary!$B$4</f>
        <v>W1-2Jan26</v>
      </c>
      <c r="P174" s="1334" t="str">
        <f t="shared" si="11"/>
        <v>100700488679</v>
      </c>
    </row>
    <row r="175" spans="1:17">
      <c r="A175" s="1018" t="s">
        <v>1567</v>
      </c>
      <c r="B175" s="460" t="s">
        <v>114</v>
      </c>
      <c r="C175" s="1092" t="s">
        <v>906</v>
      </c>
      <c r="D175" s="1389">
        <v>46027</v>
      </c>
      <c r="E175" t="s">
        <v>1797</v>
      </c>
      <c r="F175" s="1311">
        <v>65000000</v>
      </c>
      <c r="G175" s="1311">
        <v>0</v>
      </c>
      <c r="H175" s="1082">
        <f t="shared" si="9"/>
        <v>65000000</v>
      </c>
      <c r="I175" s="1333" t="s">
        <v>39</v>
      </c>
      <c r="J175" s="1334" t="str">
        <f>VLOOKUP(C175,Acc_Char!B:K,3,)</f>
        <v>NDV PROJECT CO</v>
      </c>
      <c r="K175" s="1334" t="str">
        <f>VLOOKUP(C175,Acc_Char!B:K,7,)</f>
        <v>Subsidiaries</v>
      </c>
      <c r="L175" s="1334" t="str">
        <f t="shared" si="10"/>
        <v>Receipt from tenants</v>
      </c>
      <c r="M175" s="1335" t="str">
        <f>VLOOKUP(C175,Acc_Char!B:K,5,)</f>
        <v>VND</v>
      </c>
      <c r="N175" s="1335" t="str">
        <f>VLOOKUP(C175,Acc_Char!B:K,6,)</f>
        <v>Current Account</v>
      </c>
      <c r="O175" s="1336" t="str">
        <f>Summary!$B$4</f>
        <v>W1-2Jan26</v>
      </c>
      <c r="P175" s="1334" t="str">
        <f t="shared" si="11"/>
        <v>8620004064</v>
      </c>
    </row>
    <row r="176" spans="1:17">
      <c r="A176" s="1018" t="s">
        <v>1567</v>
      </c>
      <c r="B176" s="460" t="s">
        <v>112</v>
      </c>
      <c r="C176" s="1092" t="s">
        <v>529</v>
      </c>
      <c r="D176" s="1389">
        <v>46036</v>
      </c>
      <c r="E176" t="s">
        <v>1798</v>
      </c>
      <c r="F176" s="1311">
        <v>1329714738</v>
      </c>
      <c r="G176" s="1311">
        <v>0</v>
      </c>
      <c r="H176" s="1082">
        <f t="shared" si="9"/>
        <v>1329714738</v>
      </c>
      <c r="I176" s="1333" t="s">
        <v>39</v>
      </c>
      <c r="J176" s="1334" t="str">
        <f>VLOOKUP(C176,Acc_Char!B:K,3,)</f>
        <v>BWID LOGISTICS TAN UYEN</v>
      </c>
      <c r="K176" s="1334" t="str">
        <f>VLOOKUP(C176,Acc_Char!B:K,7,)</f>
        <v>Subsidiaries</v>
      </c>
      <c r="L176" s="1334" t="str">
        <f t="shared" si="10"/>
        <v>Receipt from tenants</v>
      </c>
      <c r="M176" s="1335" t="str">
        <f>VLOOKUP(C176,Acc_Char!B:K,5,)</f>
        <v>VND</v>
      </c>
      <c r="N176" s="1335" t="str">
        <f>VLOOKUP(C176,Acc_Char!B:K,6,)</f>
        <v>Current Account</v>
      </c>
      <c r="O176" s="1336" t="str">
        <f>Summary!$B$4</f>
        <v>W1-2Jan26</v>
      </c>
      <c r="P176" s="1334" t="str">
        <f t="shared" si="11"/>
        <v>1018776868</v>
      </c>
    </row>
    <row r="177" spans="1:17">
      <c r="A177" s="1018" t="s">
        <v>1567</v>
      </c>
      <c r="B177" s="460" t="s">
        <v>198</v>
      </c>
      <c r="C177" s="1092" t="s">
        <v>1078</v>
      </c>
      <c r="D177" s="1389">
        <v>46143</v>
      </c>
      <c r="E177" t="s">
        <v>1799</v>
      </c>
      <c r="F177" s="1311">
        <v>1047907203</v>
      </c>
      <c r="G177" s="1311">
        <v>0</v>
      </c>
      <c r="H177" s="1082">
        <f t="shared" si="9"/>
        <v>1047907203</v>
      </c>
      <c r="I177" s="1333" t="s">
        <v>39</v>
      </c>
      <c r="J177" s="1334" t="str">
        <f>VLOOKUP(C177,Acc_Char!B:K,3,)</f>
        <v>BWID TAN DONG HIEP</v>
      </c>
      <c r="K177" s="1334" t="str">
        <f>VLOOKUP(C177,Acc_Char!B:K,7,)</f>
        <v>Subsidiaries</v>
      </c>
      <c r="L177" s="1334" t="str">
        <f t="shared" si="10"/>
        <v>Receipt from tenants</v>
      </c>
      <c r="M177" s="1335" t="str">
        <f>VLOOKUP(C177,Acc_Char!B:K,5,)</f>
        <v>VND</v>
      </c>
      <c r="N177" s="1335" t="str">
        <f>VLOOKUP(C177,Acc_Char!B:K,6,)</f>
        <v>Current Account</v>
      </c>
      <c r="O177" s="1336" t="str">
        <f>Summary!$B$4</f>
        <v>W1-2Jan26</v>
      </c>
      <c r="P177" s="1334" t="str">
        <f t="shared" si="11"/>
        <v>7000800109999</v>
      </c>
    </row>
    <row r="178" spans="1:17">
      <c r="A178" s="1018" t="s">
        <v>1567</v>
      </c>
      <c r="B178" s="460" t="s">
        <v>198</v>
      </c>
      <c r="C178" s="1092" t="s">
        <v>1078</v>
      </c>
      <c r="D178" s="1389">
        <v>46143</v>
      </c>
      <c r="E178" t="s">
        <v>1799</v>
      </c>
      <c r="F178" s="1311">
        <v>54838529</v>
      </c>
      <c r="G178" s="1311">
        <v>0</v>
      </c>
      <c r="H178" s="1082">
        <f t="shared" si="9"/>
        <v>54838529</v>
      </c>
      <c r="I178" s="1333" t="s">
        <v>39</v>
      </c>
      <c r="J178" s="1334" t="str">
        <f>VLOOKUP(C178,Acc_Char!B:K,3,)</f>
        <v>BWID TAN DONG HIEP</v>
      </c>
      <c r="K178" s="1334" t="str">
        <f>VLOOKUP(C178,Acc_Char!B:K,7,)</f>
        <v>Subsidiaries</v>
      </c>
      <c r="L178" s="1334" t="str">
        <f t="shared" si="10"/>
        <v>Receipt from tenants</v>
      </c>
      <c r="M178" s="1335" t="str">
        <f>VLOOKUP(C178,Acc_Char!B:K,5,)</f>
        <v>VND</v>
      </c>
      <c r="N178" s="1335" t="str">
        <f>VLOOKUP(C178,Acc_Char!B:K,6,)</f>
        <v>Current Account</v>
      </c>
      <c r="O178" s="1336" t="str">
        <f>Summary!$B$4</f>
        <v>W1-2Jan26</v>
      </c>
      <c r="P178" s="1334" t="str">
        <f t="shared" si="11"/>
        <v>7000800109999</v>
      </c>
    </row>
    <row r="179" spans="1:17">
      <c r="A179" s="1018" t="s">
        <v>1591</v>
      </c>
      <c r="B179" s="460" t="s">
        <v>110</v>
      </c>
      <c r="C179" s="1092" t="s">
        <v>669</v>
      </c>
      <c r="D179" s="1389" t="s">
        <v>1800</v>
      </c>
      <c r="E179" t="s">
        <v>1801</v>
      </c>
      <c r="F179" s="1311">
        <v>4918420</v>
      </c>
      <c r="G179" s="1311">
        <v>0</v>
      </c>
      <c r="H179" s="1082">
        <f t="shared" si="9"/>
        <v>4918420</v>
      </c>
      <c r="I179" s="1333" t="s">
        <v>39</v>
      </c>
      <c r="J179" s="1334" t="str">
        <f>VLOOKUP(C179,Acc_Char!B:K,3,)</f>
        <v>VINA PARTNERS INVESTMENT</v>
      </c>
      <c r="K179" s="1334" t="str">
        <f>VLOOKUP(C179,Acc_Char!B:K,7,)</f>
        <v>Subsidiaries</v>
      </c>
      <c r="L179" s="1334" t="str">
        <f t="shared" si="10"/>
        <v>Receipt from tenants</v>
      </c>
      <c r="M179" s="1335" t="str">
        <f>VLOOKUP(C179,Acc_Char!B:K,5,)</f>
        <v>VND</v>
      </c>
      <c r="N179" s="1335" t="str">
        <f>VLOOKUP(C179,Acc_Char!B:K,6,)</f>
        <v>Current Account</v>
      </c>
      <c r="O179" s="1336" t="str">
        <f>Summary!$B$4</f>
        <v>W1-2Jan26</v>
      </c>
      <c r="P179" s="1334" t="str">
        <f t="shared" si="11"/>
        <v>111002902772</v>
      </c>
    </row>
    <row r="180" spans="1:17">
      <c r="A180" s="1018" t="s">
        <v>1591</v>
      </c>
      <c r="B180" s="460" t="s">
        <v>110</v>
      </c>
      <c r="C180" s="1092" t="s">
        <v>669</v>
      </c>
      <c r="D180" s="1389" t="s">
        <v>1802</v>
      </c>
      <c r="E180" t="s">
        <v>1803</v>
      </c>
      <c r="F180" s="1311">
        <v>2174998698</v>
      </c>
      <c r="G180" s="1311">
        <v>0</v>
      </c>
      <c r="H180" s="1082">
        <f t="shared" si="9"/>
        <v>2174998698</v>
      </c>
      <c r="I180" s="1333" t="s">
        <v>39</v>
      </c>
      <c r="J180" s="1334" t="str">
        <f>VLOOKUP(C180,Acc_Char!B:K,3,)</f>
        <v>VINA PARTNERS INVESTMENT</v>
      </c>
      <c r="K180" s="1334" t="str">
        <f>VLOOKUP(C180,Acc_Char!B:K,7,)</f>
        <v>Subsidiaries</v>
      </c>
      <c r="L180" s="1334" t="str">
        <f t="shared" si="10"/>
        <v>Receipt from tenants</v>
      </c>
      <c r="M180" s="1335" t="str">
        <f>VLOOKUP(C180,Acc_Char!B:K,5,)</f>
        <v>VND</v>
      </c>
      <c r="N180" s="1335" t="str">
        <f>VLOOKUP(C180,Acc_Char!B:K,6,)</f>
        <v>Current Account</v>
      </c>
      <c r="O180" s="1336" t="str">
        <f>Summary!$B$4</f>
        <v>W1-2Jan26</v>
      </c>
      <c r="P180" s="1334" t="str">
        <f t="shared" si="11"/>
        <v>111002902772</v>
      </c>
    </row>
    <row r="181" spans="1:17">
      <c r="A181" s="1018" t="s">
        <v>1591</v>
      </c>
      <c r="B181" s="460" t="s">
        <v>110</v>
      </c>
      <c r="C181" s="1092" t="s">
        <v>507</v>
      </c>
      <c r="D181" s="1389" t="s">
        <v>1804</v>
      </c>
      <c r="E181" t="s">
        <v>1805</v>
      </c>
      <c r="F181" s="1311">
        <v>3178110</v>
      </c>
      <c r="G181" s="1311">
        <v>0</v>
      </c>
      <c r="H181" s="1082">
        <f t="shared" si="9"/>
        <v>3178110</v>
      </c>
      <c r="I181" s="1333" t="s">
        <v>39</v>
      </c>
      <c r="J181" s="1334" t="str">
        <f>VLOOKUP(C181,Acc_Char!B:K,3,)</f>
        <v>BWID HAI DUONG 2</v>
      </c>
      <c r="K181" s="1334" t="str">
        <f>VLOOKUP(C181,Acc_Char!B:K,7,)</f>
        <v>Subsidiaries</v>
      </c>
      <c r="L181" s="1334" t="str">
        <f t="shared" si="10"/>
        <v>Receipt from tenants</v>
      </c>
      <c r="M181" s="1335" t="str">
        <f>VLOOKUP(C181,Acc_Char!B:K,5,)</f>
        <v>VND</v>
      </c>
      <c r="N181" s="1335" t="str">
        <f>VLOOKUP(C181,Acc_Char!B:K,6,)</f>
        <v>Current Account</v>
      </c>
      <c r="O181" s="1336" t="str">
        <f>Summary!$B$4</f>
        <v>W1-2Jan26</v>
      </c>
      <c r="P181" s="1334" t="str">
        <f t="shared" si="11"/>
        <v>118006028888</v>
      </c>
    </row>
    <row r="182" spans="1:17" ht="26.4">
      <c r="A182" s="1018" t="s">
        <v>1567</v>
      </c>
      <c r="B182" s="1335" t="s">
        <v>1586</v>
      </c>
      <c r="C182" s="1092" t="s">
        <v>1364</v>
      </c>
      <c r="D182" s="1389">
        <v>46357</v>
      </c>
      <c r="E182" s="1338" t="s">
        <v>1806</v>
      </c>
      <c r="F182" s="1312">
        <v>567865308</v>
      </c>
      <c r="G182" s="1312">
        <v>0</v>
      </c>
      <c r="H182" s="1082">
        <f t="shared" si="9"/>
        <v>567865308</v>
      </c>
      <c r="I182" s="1333" t="s">
        <v>39</v>
      </c>
      <c r="J182" s="1334" t="str">
        <f>VLOOKUP(C182,Acc_Char!B:K,3,)</f>
        <v>BW MY PHUOC 3</v>
      </c>
      <c r="K182" s="1334" t="str">
        <f>VLOOKUP(C182,Acc_Char!B:K,7,)</f>
        <v>Subsidiaries</v>
      </c>
      <c r="L182" s="1334" t="str">
        <f t="shared" si="10"/>
        <v>Receipt from tenants</v>
      </c>
      <c r="M182" s="1335" t="str">
        <f>VLOOKUP(C182,Acc_Char!B:K,5,)</f>
        <v>VND</v>
      </c>
      <c r="N182" s="1335" t="str">
        <f>VLOOKUP(C182,Acc_Char!B:K,6,)</f>
        <v>Current Account</v>
      </c>
      <c r="O182" s="1336" t="str">
        <f>Summary!$B$4</f>
        <v>W1-2Jan26</v>
      </c>
      <c r="P182" s="1334" t="str">
        <f t="shared" si="11"/>
        <v>100700488679</v>
      </c>
    </row>
    <row r="183" spans="1:17">
      <c r="A183" s="1018" t="s">
        <v>1567</v>
      </c>
      <c r="B183" s="460" t="s">
        <v>1586</v>
      </c>
      <c r="C183" s="1092" t="s">
        <v>1364</v>
      </c>
      <c r="D183" s="1389">
        <v>46266</v>
      </c>
      <c r="E183" t="s">
        <v>1807</v>
      </c>
      <c r="F183" s="1311">
        <v>13827072099</v>
      </c>
      <c r="G183" s="1311">
        <v>0</v>
      </c>
      <c r="H183" s="1082">
        <f t="shared" si="9"/>
        <v>13827072099</v>
      </c>
      <c r="I183" s="1333" t="s">
        <v>39</v>
      </c>
      <c r="J183" s="1334" t="str">
        <f>VLOOKUP(C183,Acc_Char!B:K,3,)</f>
        <v>BW MY PHUOC 3</v>
      </c>
      <c r="K183" s="1334" t="str">
        <f>VLOOKUP(C183,Acc_Char!B:K,7,)</f>
        <v>Subsidiaries</v>
      </c>
      <c r="L183" s="1334" t="str">
        <f t="shared" si="10"/>
        <v>Receipt from tenants</v>
      </c>
      <c r="M183" s="1335" t="str">
        <f>VLOOKUP(C183,Acc_Char!B:K,5,)</f>
        <v>VND</v>
      </c>
      <c r="N183" s="1335" t="str">
        <f>VLOOKUP(C183,Acc_Char!B:K,6,)</f>
        <v>Current Account</v>
      </c>
      <c r="O183" s="1336" t="str">
        <f>Summary!$B$4</f>
        <v>W1-2Jan26</v>
      </c>
      <c r="P183" s="1334" t="str">
        <f t="shared" si="11"/>
        <v>100700488679</v>
      </c>
      <c r="Q183" s="1024"/>
    </row>
    <row r="184" spans="1:17">
      <c r="A184" s="1018" t="s">
        <v>1567</v>
      </c>
      <c r="B184" s="460" t="s">
        <v>1586</v>
      </c>
      <c r="C184" s="1092" t="s">
        <v>1364</v>
      </c>
      <c r="D184" s="1389">
        <v>46235</v>
      </c>
      <c r="E184" t="s">
        <v>1808</v>
      </c>
      <c r="F184" s="1311">
        <v>16009492</v>
      </c>
      <c r="G184" s="1311">
        <v>0</v>
      </c>
      <c r="H184" s="1082">
        <f t="shared" si="9"/>
        <v>16009492</v>
      </c>
      <c r="I184" s="1333" t="s">
        <v>39</v>
      </c>
      <c r="J184" s="1334" t="str">
        <f>VLOOKUP(C184,Acc_Char!B:K,3,)</f>
        <v>BW MY PHUOC 3</v>
      </c>
      <c r="K184" s="1334" t="str">
        <f>VLOOKUP(C184,Acc_Char!B:K,7,)</f>
        <v>Subsidiaries</v>
      </c>
      <c r="L184" s="1334" t="str">
        <f t="shared" si="10"/>
        <v>Receipt from tenants</v>
      </c>
      <c r="M184" s="1335" t="str">
        <f>VLOOKUP(C184,Acc_Char!B:K,5,)</f>
        <v>VND</v>
      </c>
      <c r="N184" s="1335" t="str">
        <f>VLOOKUP(C184,Acc_Char!B:K,6,)</f>
        <v>Current Account</v>
      </c>
      <c r="O184" s="1336" t="str">
        <f>Summary!$B$4</f>
        <v>W1-2Jan26</v>
      </c>
      <c r="P184" s="1334" t="str">
        <f t="shared" si="11"/>
        <v>100700488679</v>
      </c>
      <c r="Q184" s="1024"/>
    </row>
    <row r="185" spans="1:17">
      <c r="A185" s="1018" t="s">
        <v>1567</v>
      </c>
      <c r="B185" s="460" t="s">
        <v>1586</v>
      </c>
      <c r="C185" s="1092" t="s">
        <v>1364</v>
      </c>
      <c r="D185" s="1389">
        <v>46037</v>
      </c>
      <c r="E185" t="s">
        <v>1809</v>
      </c>
      <c r="F185" s="1311">
        <v>18150748</v>
      </c>
      <c r="G185" s="1311">
        <v>0</v>
      </c>
      <c r="H185" s="1082">
        <f t="shared" si="9"/>
        <v>18150748</v>
      </c>
      <c r="I185" s="1333" t="s">
        <v>39</v>
      </c>
      <c r="J185" s="1334" t="str">
        <f>VLOOKUP(C185,Acc_Char!B:K,3,)</f>
        <v>BW MY PHUOC 3</v>
      </c>
      <c r="K185" s="1334" t="str">
        <f>VLOOKUP(C185,Acc_Char!B:K,7,)</f>
        <v>Subsidiaries</v>
      </c>
      <c r="L185" s="1334" t="str">
        <f t="shared" si="10"/>
        <v>Receipt from tenants</v>
      </c>
      <c r="M185" s="1335" t="str">
        <f>VLOOKUP(C185,Acc_Char!B:K,5,)</f>
        <v>VND</v>
      </c>
      <c r="N185" s="1335" t="str">
        <f>VLOOKUP(C185,Acc_Char!B:K,6,)</f>
        <v>Current Account</v>
      </c>
      <c r="O185" s="1336" t="str">
        <f>Summary!$B$4</f>
        <v>W1-2Jan26</v>
      </c>
      <c r="P185" s="1334" t="str">
        <f t="shared" si="11"/>
        <v>100700488679</v>
      </c>
      <c r="Q185" s="1024"/>
    </row>
    <row r="186" spans="1:17">
      <c r="A186" s="1018" t="s">
        <v>1591</v>
      </c>
      <c r="B186" s="460" t="s">
        <v>110</v>
      </c>
      <c r="C186" s="1092" t="s">
        <v>702</v>
      </c>
      <c r="D186" s="1389" t="s">
        <v>1810</v>
      </c>
      <c r="E186" t="s">
        <v>1811</v>
      </c>
      <c r="F186" s="1311">
        <v>1405254036</v>
      </c>
      <c r="G186" s="1311">
        <v>0</v>
      </c>
      <c r="H186" s="1082">
        <f t="shared" si="9"/>
        <v>1405254036</v>
      </c>
      <c r="I186" s="1333" t="s">
        <v>39</v>
      </c>
      <c r="J186" s="1334" t="str">
        <f>VLOOKUP(C186,Acc_Char!B:K,3,)</f>
        <v>BAU BANG 6</v>
      </c>
      <c r="K186" s="1334" t="str">
        <f>VLOOKUP(C186,Acc_Char!B:K,7,)</f>
        <v>Subsidiaries</v>
      </c>
      <c r="L186" s="1334" t="str">
        <f t="shared" si="10"/>
        <v>Receipt from tenants</v>
      </c>
      <c r="M186" s="1335" t="str">
        <f>VLOOKUP(C186,Acc_Char!B:K,5,)</f>
        <v>VND</v>
      </c>
      <c r="N186" s="1335" t="str">
        <f>VLOOKUP(C186,Acc_Char!B:K,6,)</f>
        <v>Current Account</v>
      </c>
      <c r="O186" s="1336" t="str">
        <f>Summary!$B$4</f>
        <v>W1-2Jan26</v>
      </c>
      <c r="P186" s="1334" t="str">
        <f t="shared" si="11"/>
        <v>115624079999</v>
      </c>
      <c r="Q186" s="1024"/>
    </row>
    <row r="187" spans="1:17">
      <c r="A187" s="1018" t="s">
        <v>1567</v>
      </c>
      <c r="B187" s="460" t="s">
        <v>1586</v>
      </c>
      <c r="C187" s="1092" t="s">
        <v>1364</v>
      </c>
      <c r="D187" s="1389">
        <v>46296</v>
      </c>
      <c r="E187" t="s">
        <v>1812</v>
      </c>
      <c r="F187" s="1311">
        <v>585453402</v>
      </c>
      <c r="G187" s="1311">
        <v>0</v>
      </c>
      <c r="H187" s="1082">
        <f t="shared" si="9"/>
        <v>585453402</v>
      </c>
      <c r="I187" s="1333" t="s">
        <v>39</v>
      </c>
      <c r="J187" s="1334" t="str">
        <f>VLOOKUP(C187,Acc_Char!B:K,3,)</f>
        <v>BW MY PHUOC 3</v>
      </c>
      <c r="K187" s="1334" t="str">
        <f>VLOOKUP(C187,Acc_Char!B:K,7,)</f>
        <v>Subsidiaries</v>
      </c>
      <c r="L187" s="1334" t="str">
        <f t="shared" si="10"/>
        <v>Receipt from tenants</v>
      </c>
      <c r="M187" s="1335" t="str">
        <f>VLOOKUP(C187,Acc_Char!B:K,5,)</f>
        <v>VND</v>
      </c>
      <c r="N187" s="1335" t="str">
        <f>VLOOKUP(C187,Acc_Char!B:K,6,)</f>
        <v>Current Account</v>
      </c>
      <c r="O187" s="1336" t="str">
        <f>Summary!$B$4</f>
        <v>W1-2Jan26</v>
      </c>
      <c r="P187" s="1334" t="str">
        <f t="shared" si="11"/>
        <v>100700488679</v>
      </c>
      <c r="Q187" s="1024"/>
    </row>
    <row r="188" spans="1:17">
      <c r="A188" s="1018" t="s">
        <v>1591</v>
      </c>
      <c r="B188" s="460" t="s">
        <v>110</v>
      </c>
      <c r="C188" s="1092" t="s">
        <v>669</v>
      </c>
      <c r="D188" s="1389" t="s">
        <v>1813</v>
      </c>
      <c r="E188" t="s">
        <v>1814</v>
      </c>
      <c r="F188" s="1311">
        <v>1472078757</v>
      </c>
      <c r="G188" s="1311">
        <v>0</v>
      </c>
      <c r="H188" s="1082">
        <f t="shared" si="9"/>
        <v>1472078757</v>
      </c>
      <c r="I188" s="1333" t="s">
        <v>39</v>
      </c>
      <c r="J188" s="1334" t="str">
        <f>VLOOKUP(C188,Acc_Char!B:K,3,)</f>
        <v>VINA PARTNERS INVESTMENT</v>
      </c>
      <c r="K188" s="1334" t="str">
        <f>VLOOKUP(C188,Acc_Char!B:K,7,)</f>
        <v>Subsidiaries</v>
      </c>
      <c r="L188" s="1334" t="str">
        <f t="shared" si="10"/>
        <v>Receipt from tenants</v>
      </c>
      <c r="M188" s="1335" t="str">
        <f>VLOOKUP(C188,Acc_Char!B:K,5,)</f>
        <v>VND</v>
      </c>
      <c r="N188" s="1335" t="str">
        <f>VLOOKUP(C188,Acc_Char!B:K,6,)</f>
        <v>Current Account</v>
      </c>
      <c r="O188" s="1336" t="str">
        <f>Summary!$B$4</f>
        <v>W1-2Jan26</v>
      </c>
      <c r="P188" s="1334" t="str">
        <f t="shared" si="11"/>
        <v>111002902772</v>
      </c>
      <c r="Q188" s="1024"/>
    </row>
    <row r="189" spans="1:17">
      <c r="A189" s="1018" t="s">
        <v>1567</v>
      </c>
      <c r="B189" s="460" t="s">
        <v>292</v>
      </c>
      <c r="C189" s="1092" t="s">
        <v>972</v>
      </c>
      <c r="D189" s="1389">
        <v>46024</v>
      </c>
      <c r="E189" t="s">
        <v>1815</v>
      </c>
      <c r="F189" s="1311">
        <v>54136986</v>
      </c>
      <c r="G189" s="1311">
        <v>0</v>
      </c>
      <c r="H189" s="1082">
        <f t="shared" ref="H189:H252" si="12">F189-G189</f>
        <v>54136986</v>
      </c>
      <c r="I189" s="1333" t="s">
        <v>44</v>
      </c>
      <c r="J189" s="1334" t="str">
        <f>VLOOKUP(C189,Acc_Char!B:K,3,)</f>
        <v>BIEN HOA</v>
      </c>
      <c r="K189" s="1334" t="str">
        <f>VLOOKUP(C189,Acc_Char!B:K,7,)</f>
        <v>Subsidiaries</v>
      </c>
      <c r="L189" s="1334" t="str">
        <f t="shared" si="10"/>
        <v>Other receipts</v>
      </c>
      <c r="M189" s="1335" t="str">
        <f>VLOOKUP(C189,Acc_Char!B:K,5,)</f>
        <v>VND</v>
      </c>
      <c r="N189" s="1335" t="str">
        <f>VLOOKUP(C189,Acc_Char!B:K,6,)</f>
        <v>Current Account</v>
      </c>
      <c r="O189" s="1336" t="str">
        <f>Summary!$B$4</f>
        <v>W1-2Jan26</v>
      </c>
      <c r="P189" s="1334" t="str">
        <f t="shared" si="11"/>
        <v>102001123828</v>
      </c>
      <c r="Q189" s="1024"/>
    </row>
    <row r="190" spans="1:17">
      <c r="A190" s="1018" t="s">
        <v>1591</v>
      </c>
      <c r="B190" s="460" t="s">
        <v>110</v>
      </c>
      <c r="C190" s="1092" t="s">
        <v>702</v>
      </c>
      <c r="D190" s="1389" t="s">
        <v>1816</v>
      </c>
      <c r="E190" t="s">
        <v>1817</v>
      </c>
      <c r="F190" s="1311">
        <v>1330612978</v>
      </c>
      <c r="G190" s="1311">
        <v>0</v>
      </c>
      <c r="H190" s="1082">
        <f t="shared" si="12"/>
        <v>1330612978</v>
      </c>
      <c r="I190" s="1333" t="s">
        <v>39</v>
      </c>
      <c r="J190" s="1334" t="str">
        <f>VLOOKUP(C190,Acc_Char!B:K,3,)</f>
        <v>BAU BANG 6</v>
      </c>
      <c r="K190" s="1334" t="str">
        <f>VLOOKUP(C190,Acc_Char!B:K,7,)</f>
        <v>Subsidiaries</v>
      </c>
      <c r="L190" s="1334" t="str">
        <f t="shared" si="10"/>
        <v>Receipt from tenants</v>
      </c>
      <c r="M190" s="1335" t="str">
        <f>VLOOKUP(C190,Acc_Char!B:K,5,)</f>
        <v>VND</v>
      </c>
      <c r="N190" s="1335" t="str">
        <f>VLOOKUP(C190,Acc_Char!B:K,6,)</f>
        <v>Current Account</v>
      </c>
      <c r="O190" s="1336" t="str">
        <f>Summary!$B$4</f>
        <v>W1-2Jan26</v>
      </c>
      <c r="P190" s="1334" t="str">
        <f t="shared" si="11"/>
        <v>115624079999</v>
      </c>
      <c r="Q190" s="1024"/>
    </row>
    <row r="191" spans="1:17">
      <c r="A191" s="1018" t="s">
        <v>1591</v>
      </c>
      <c r="B191" s="1335" t="s">
        <v>110</v>
      </c>
      <c r="C191" s="1092" t="s">
        <v>858</v>
      </c>
      <c r="D191" s="1389" t="s">
        <v>1818</v>
      </c>
      <c r="E191" s="1334" t="s">
        <v>1819</v>
      </c>
      <c r="F191" s="1312">
        <v>3000000000</v>
      </c>
      <c r="G191" s="1311">
        <v>0</v>
      </c>
      <c r="H191" s="1283">
        <f t="shared" si="12"/>
        <v>3000000000</v>
      </c>
      <c r="I191" s="1333" t="s">
        <v>41</v>
      </c>
      <c r="J191" s="1334" t="str">
        <f>VLOOKUP(C191,Acc_Char!B:K,3,)</f>
        <v>THUAN DAO</v>
      </c>
      <c r="K191" s="1334" t="str">
        <f>VLOOKUP(C191,Acc_Char!B:K,7,)</f>
        <v>Subsidiaries</v>
      </c>
      <c r="L191" s="1334" t="str">
        <f t="shared" si="10"/>
        <v>Internal transfer in</v>
      </c>
      <c r="M191" s="1335" t="str">
        <f>VLOOKUP(C191,Acc_Char!B:K,5,)</f>
        <v>VND</v>
      </c>
      <c r="N191" s="1335" t="str">
        <f>VLOOKUP(C191,Acc_Char!B:K,6,)</f>
        <v>Current Account</v>
      </c>
      <c r="O191" s="1336" t="str">
        <f>Summary!$B$4</f>
        <v>W1-2Jan26</v>
      </c>
      <c r="P191" s="1334" t="str">
        <f t="shared" si="11"/>
        <v>116002949864</v>
      </c>
    </row>
    <row r="192" spans="1:17">
      <c r="A192" s="1018" t="s">
        <v>1567</v>
      </c>
      <c r="B192" s="1335" t="s">
        <v>198</v>
      </c>
      <c r="C192" s="1092" t="s">
        <v>1078</v>
      </c>
      <c r="D192" s="1389">
        <v>46035</v>
      </c>
      <c r="E192" s="1334" t="s">
        <v>1820</v>
      </c>
      <c r="F192" s="1312">
        <v>0</v>
      </c>
      <c r="G192" s="1312">
        <v>5954</v>
      </c>
      <c r="H192" s="1082">
        <f t="shared" si="12"/>
        <v>-5954</v>
      </c>
      <c r="I192" s="1333" t="s">
        <v>53</v>
      </c>
      <c r="J192" s="1334" t="str">
        <f>VLOOKUP(C192,Acc_Char!B:K,3,)</f>
        <v>BWID TAN DONG HIEP</v>
      </c>
      <c r="K192" s="1334" t="str">
        <f>VLOOKUP(C192,Acc_Char!B:K,7,)</f>
        <v>Subsidiaries</v>
      </c>
      <c r="L192" s="1334" t="str">
        <f t="shared" si="10"/>
        <v>Operating expense</v>
      </c>
      <c r="M192" s="1335" t="str">
        <f>VLOOKUP(C192,Acc_Char!B:K,5,)</f>
        <v>VND</v>
      </c>
      <c r="N192" s="1335" t="str">
        <f>VLOOKUP(C192,Acc_Char!B:K,6,)</f>
        <v>Current Account</v>
      </c>
      <c r="O192" s="1336" t="str">
        <f>Summary!$B$4</f>
        <v>W1-2Jan26</v>
      </c>
      <c r="P192" s="1334" t="str">
        <f t="shared" si="11"/>
        <v>7000800109999</v>
      </c>
    </row>
    <row r="193" spans="1:17">
      <c r="A193" s="1018" t="s">
        <v>1567</v>
      </c>
      <c r="B193" s="1335" t="s">
        <v>198</v>
      </c>
      <c r="C193" s="1092" t="s">
        <v>1078</v>
      </c>
      <c r="D193" s="1389">
        <v>46035</v>
      </c>
      <c r="E193" s="1334" t="s">
        <v>1820</v>
      </c>
      <c r="F193" s="1312">
        <v>0</v>
      </c>
      <c r="G193" s="1312">
        <v>59544</v>
      </c>
      <c r="H193" s="1082">
        <f t="shared" si="12"/>
        <v>-59544</v>
      </c>
      <c r="I193" s="1333" t="s">
        <v>53</v>
      </c>
      <c r="J193" s="1334" t="str">
        <f>VLOOKUP(C193,Acc_Char!B:K,3,)</f>
        <v>BWID TAN DONG HIEP</v>
      </c>
      <c r="K193" s="1334" t="str">
        <f>VLOOKUP(C193,Acc_Char!B:K,7,)</f>
        <v>Subsidiaries</v>
      </c>
      <c r="L193" s="1334" t="str">
        <f t="shared" si="10"/>
        <v>Operating expense</v>
      </c>
      <c r="M193" s="1335" t="str">
        <f>VLOOKUP(C193,Acc_Char!B:K,5,)</f>
        <v>VND</v>
      </c>
      <c r="N193" s="1335" t="str">
        <f>VLOOKUP(C193,Acc_Char!B:K,6,)</f>
        <v>Current Account</v>
      </c>
      <c r="O193" s="1336" t="str">
        <f>Summary!$B$4</f>
        <v>W1-2Jan26</v>
      </c>
      <c r="P193" s="1334" t="str">
        <f t="shared" si="11"/>
        <v>7000800109999</v>
      </c>
    </row>
    <row r="194" spans="1:17">
      <c r="A194" s="1018" t="s">
        <v>1591</v>
      </c>
      <c r="B194" s="1335" t="s">
        <v>110</v>
      </c>
      <c r="C194" s="1092" t="s">
        <v>511</v>
      </c>
      <c r="D194" s="1389" t="s">
        <v>1821</v>
      </c>
      <c r="E194" s="1334" t="s">
        <v>1822</v>
      </c>
      <c r="F194" s="1312">
        <v>15418494</v>
      </c>
      <c r="G194" s="1312">
        <v>0</v>
      </c>
      <c r="H194" s="1082">
        <f t="shared" si="12"/>
        <v>15418494</v>
      </c>
      <c r="I194" s="1333" t="s">
        <v>39</v>
      </c>
      <c r="J194" s="1334" t="str">
        <f>VLOOKUP(C194,Acc_Char!B:K,3,)</f>
        <v>BWID HAI PHONG</v>
      </c>
      <c r="K194" s="1334" t="str">
        <f>VLOOKUP(C194,Acc_Char!B:K,7,)</f>
        <v>Subsidiaries</v>
      </c>
      <c r="L194" s="1334" t="str">
        <f t="shared" si="10"/>
        <v>Receipt from tenants</v>
      </c>
      <c r="M194" s="1335" t="str">
        <f>VLOOKUP(C194,Acc_Char!B:K,5,)</f>
        <v>VND</v>
      </c>
      <c r="N194" s="1335" t="str">
        <f>VLOOKUP(C194,Acc_Char!B:K,6,)</f>
        <v>Current Account</v>
      </c>
      <c r="O194" s="1336" t="str">
        <f>Summary!$B$4</f>
        <v>W1-2Jan26</v>
      </c>
      <c r="P194" s="1334" t="str">
        <f t="shared" si="11"/>
        <v>116002681740</v>
      </c>
    </row>
    <row r="195" spans="1:17">
      <c r="A195" s="1018" t="s">
        <v>1591</v>
      </c>
      <c r="B195" s="1335" t="s">
        <v>110</v>
      </c>
      <c r="C195" s="1092" t="s">
        <v>717</v>
      </c>
      <c r="D195" s="1389" t="s">
        <v>1823</v>
      </c>
      <c r="E195" s="1334" t="s">
        <v>1824</v>
      </c>
      <c r="F195" s="1312">
        <v>282543360</v>
      </c>
      <c r="G195" s="1312">
        <v>0</v>
      </c>
      <c r="H195" s="1082">
        <f t="shared" si="12"/>
        <v>282543360</v>
      </c>
      <c r="I195" s="1333" t="s">
        <v>39</v>
      </c>
      <c r="J195" s="1334" t="str">
        <f>VLOOKUP(C195,Acc_Char!B:K,3,)</f>
        <v>BW BAU BANG 01</v>
      </c>
      <c r="K195" s="1334" t="str">
        <f>VLOOKUP(C195,Acc_Char!B:K,7,)</f>
        <v>Subsidiaries</v>
      </c>
      <c r="L195" s="1334" t="str">
        <f t="shared" si="10"/>
        <v>Receipt from tenants</v>
      </c>
      <c r="M195" s="1335" t="str">
        <f>VLOOKUP(C195,Acc_Char!B:K,5,)</f>
        <v>VND</v>
      </c>
      <c r="N195" s="1335" t="str">
        <f>VLOOKUP(C195,Acc_Char!B:K,6,)</f>
        <v>Current Account</v>
      </c>
      <c r="O195" s="1336" t="str">
        <f>Summary!$B$4</f>
        <v>W1-2Jan26</v>
      </c>
      <c r="P195" s="1334" t="str">
        <f t="shared" si="11"/>
        <v>110002915294</v>
      </c>
    </row>
    <row r="196" spans="1:17">
      <c r="A196" s="1018" t="s">
        <v>1591</v>
      </c>
      <c r="B196" s="1335" t="s">
        <v>110</v>
      </c>
      <c r="C196" s="1092" t="s">
        <v>587</v>
      </c>
      <c r="D196" s="1389" t="s">
        <v>1825</v>
      </c>
      <c r="E196" s="1334" t="s">
        <v>1826</v>
      </c>
      <c r="F196" s="1312">
        <v>0</v>
      </c>
      <c r="G196" s="1312">
        <v>290158</v>
      </c>
      <c r="H196" s="1082">
        <f t="shared" si="12"/>
        <v>-290158</v>
      </c>
      <c r="I196" s="1333" t="s">
        <v>53</v>
      </c>
      <c r="J196" s="1334" t="str">
        <f>VLOOKUP(C196,Acc_Char!B:K,3,)</f>
        <v>SAO HOA</v>
      </c>
      <c r="K196" s="1334" t="str">
        <f>VLOOKUP(C196,Acc_Char!B:K,7,)</f>
        <v>VC3</v>
      </c>
      <c r="L196" s="1334" t="str">
        <f t="shared" si="10"/>
        <v>Operating expense</v>
      </c>
      <c r="M196" s="1335" t="str">
        <f>VLOOKUP(C196,Acc_Char!B:K,5,)</f>
        <v>VND</v>
      </c>
      <c r="N196" s="1335" t="str">
        <f>VLOOKUP(C196,Acc_Char!B:K,6,)</f>
        <v>Current Account</v>
      </c>
      <c r="O196" s="1336" t="str">
        <f>Summary!$B$4</f>
        <v>W1-2Jan26</v>
      </c>
      <c r="P196" s="1334" t="str">
        <f t="shared" si="11"/>
        <v>114002874189</v>
      </c>
    </row>
    <row r="197" spans="1:17">
      <c r="A197" s="1018" t="s">
        <v>1591</v>
      </c>
      <c r="B197" s="1335" t="s">
        <v>110</v>
      </c>
      <c r="C197" s="1092" t="s">
        <v>775</v>
      </c>
      <c r="D197" s="1389" t="s">
        <v>1827</v>
      </c>
      <c r="E197" s="1334" t="s">
        <v>1828</v>
      </c>
      <c r="F197" s="1312">
        <v>0</v>
      </c>
      <c r="G197" s="1312">
        <v>2825571</v>
      </c>
      <c r="H197" s="1082">
        <f t="shared" si="12"/>
        <v>-2825571</v>
      </c>
      <c r="I197" s="1333" t="s">
        <v>53</v>
      </c>
      <c r="J197" s="1334" t="str">
        <f>VLOOKUP(C197,Acc_Char!B:K,3,)</f>
        <v>HOLDCO4T</v>
      </c>
      <c r="K197" s="1334" t="str">
        <f>VLOOKUP(C197,Acc_Char!B:K,7,)</f>
        <v>Subsidiaries</v>
      </c>
      <c r="L197" s="1334" t="str">
        <f t="shared" ref="L197:L260" si="13">I197</f>
        <v>Operating expense</v>
      </c>
      <c r="M197" s="1335" t="str">
        <f>VLOOKUP(C197,Acc_Char!B:K,5,)</f>
        <v>VND</v>
      </c>
      <c r="N197" s="1335" t="str">
        <f>VLOOKUP(C197,Acc_Char!B:K,6,)</f>
        <v>Current Account</v>
      </c>
      <c r="O197" s="1336" t="str">
        <f>Summary!$B$4</f>
        <v>W1-2Jan26</v>
      </c>
      <c r="P197" s="1334" t="str">
        <f t="shared" ref="P197:P260" si="14">TEXT(C197,"0")</f>
        <v>115648146666</v>
      </c>
    </row>
    <row r="198" spans="1:17">
      <c r="A198" s="1018" t="s">
        <v>1591</v>
      </c>
      <c r="B198" s="1335" t="s">
        <v>110</v>
      </c>
      <c r="C198" s="1092" t="s">
        <v>500</v>
      </c>
      <c r="D198" s="1389" t="s">
        <v>1829</v>
      </c>
      <c r="E198" s="1334" t="s">
        <v>1830</v>
      </c>
      <c r="F198" s="1312">
        <v>2609900</v>
      </c>
      <c r="G198" s="1312">
        <v>0</v>
      </c>
      <c r="H198" s="1082">
        <f t="shared" si="12"/>
        <v>2609900</v>
      </c>
      <c r="I198" s="1333" t="s">
        <v>39</v>
      </c>
      <c r="J198" s="1334" t="str">
        <f>VLOOKUP(C198,Acc_Char!B:K,3,)</f>
        <v>BWID HAI DUONG</v>
      </c>
      <c r="K198" s="1334" t="str">
        <f>VLOOKUP(C198,Acc_Char!B:K,7,)</f>
        <v>Subsidiaries</v>
      </c>
      <c r="L198" s="1334" t="str">
        <f t="shared" si="13"/>
        <v>Receipt from tenants</v>
      </c>
      <c r="M198" s="1335" t="str">
        <f>VLOOKUP(C198,Acc_Char!B:K,5,)</f>
        <v>VND</v>
      </c>
      <c r="N198" s="1335" t="str">
        <f>VLOOKUP(C198,Acc_Char!B:K,6,)</f>
        <v>Current Account</v>
      </c>
      <c r="O198" s="1336" t="str">
        <f>Summary!$B$4</f>
        <v>W1-2Jan26</v>
      </c>
      <c r="P198" s="1334" t="str">
        <f t="shared" si="14"/>
        <v>111007158888</v>
      </c>
    </row>
    <row r="199" spans="1:17">
      <c r="A199" s="1018" t="s">
        <v>1567</v>
      </c>
      <c r="B199" s="1335" t="s">
        <v>292</v>
      </c>
      <c r="C199" s="1092" t="s">
        <v>1065</v>
      </c>
      <c r="D199" s="1389">
        <v>46031</v>
      </c>
      <c r="E199" s="1334" t="s">
        <v>1831</v>
      </c>
      <c r="F199" s="1312">
        <v>0</v>
      </c>
      <c r="G199" s="1312">
        <v>65000000</v>
      </c>
      <c r="H199" s="1082">
        <f t="shared" si="12"/>
        <v>-65000000</v>
      </c>
      <c r="I199" s="1333" t="s">
        <v>53</v>
      </c>
      <c r="J199" s="1334" t="str">
        <f>VLOOKUP(C199,Acc_Char!B:K,3,)</f>
        <v>BWID THOI HOA 2</v>
      </c>
      <c r="K199" s="1334" t="str">
        <f>VLOOKUP(C199,Acc_Char!B:K,7,)</f>
        <v>Subsidiaries</v>
      </c>
      <c r="L199" s="1334" t="str">
        <f t="shared" si="13"/>
        <v>Operating expense</v>
      </c>
      <c r="M199" s="1335" t="str">
        <f>VLOOKUP(C199,Acc_Char!B:K,5,)</f>
        <v>VND</v>
      </c>
      <c r="N199" s="1335" t="str">
        <f>VLOOKUP(C199,Acc_Char!B:K,6,)</f>
        <v>Current Account</v>
      </c>
      <c r="O199" s="1336" t="str">
        <f>Summary!$B$4</f>
        <v>W1-2Jan26</v>
      </c>
      <c r="P199" s="1334" t="str">
        <f t="shared" si="14"/>
        <v>105001540411</v>
      </c>
      <c r="Q199" s="1024"/>
    </row>
    <row r="200" spans="1:17">
      <c r="A200" s="1018" t="s">
        <v>1567</v>
      </c>
      <c r="B200" s="1335" t="s">
        <v>292</v>
      </c>
      <c r="C200" s="1092" t="s">
        <v>1065</v>
      </c>
      <c r="D200" s="1389">
        <v>46031</v>
      </c>
      <c r="E200" s="1334" t="s">
        <v>1831</v>
      </c>
      <c r="F200" s="1312">
        <v>0</v>
      </c>
      <c r="G200" s="1312">
        <v>13200</v>
      </c>
      <c r="H200" s="1082">
        <f t="shared" si="12"/>
        <v>-13200</v>
      </c>
      <c r="I200" s="1333" t="s">
        <v>53</v>
      </c>
      <c r="J200" s="1334" t="str">
        <f>VLOOKUP(C200,Acc_Char!B:K,3,)</f>
        <v>BWID THOI HOA 2</v>
      </c>
      <c r="K200" s="1334" t="str">
        <f>VLOOKUP(C200,Acc_Char!B:K,7,)</f>
        <v>Subsidiaries</v>
      </c>
      <c r="L200" s="1334" t="str">
        <f t="shared" si="13"/>
        <v>Operating expense</v>
      </c>
      <c r="M200" s="1335" t="str">
        <f>VLOOKUP(C200,Acc_Char!B:K,5,)</f>
        <v>VND</v>
      </c>
      <c r="N200" s="1335" t="str">
        <f>VLOOKUP(C200,Acc_Char!B:K,6,)</f>
        <v>Current Account</v>
      </c>
      <c r="O200" s="1336" t="str">
        <f>Summary!$B$4</f>
        <v>W1-2Jan26</v>
      </c>
      <c r="P200" s="1334" t="str">
        <f t="shared" si="14"/>
        <v>105001540411</v>
      </c>
      <c r="Q200" s="1024"/>
    </row>
    <row r="201" spans="1:17">
      <c r="A201" s="1018" t="s">
        <v>1567</v>
      </c>
      <c r="B201" s="1335" t="s">
        <v>292</v>
      </c>
      <c r="C201" s="1092" t="s">
        <v>1065</v>
      </c>
      <c r="D201" s="1389">
        <v>46031</v>
      </c>
      <c r="E201" s="1334" t="s">
        <v>1832</v>
      </c>
      <c r="F201" s="1312">
        <v>0</v>
      </c>
      <c r="G201" s="1312">
        <v>14575000</v>
      </c>
      <c r="H201" s="1082">
        <f t="shared" si="12"/>
        <v>-14575000</v>
      </c>
      <c r="I201" s="1333" t="s">
        <v>53</v>
      </c>
      <c r="J201" s="1334" t="str">
        <f>VLOOKUP(C201,Acc_Char!B:K,3,)</f>
        <v>BWID THOI HOA 2</v>
      </c>
      <c r="K201" s="1334" t="str">
        <f>VLOOKUP(C201,Acc_Char!B:K,7,)</f>
        <v>Subsidiaries</v>
      </c>
      <c r="L201" s="1334" t="str">
        <f t="shared" si="13"/>
        <v>Operating expense</v>
      </c>
      <c r="M201" s="1335" t="str">
        <f>VLOOKUP(C201,Acc_Char!B:K,5,)</f>
        <v>VND</v>
      </c>
      <c r="N201" s="1335" t="str">
        <f>VLOOKUP(C201,Acc_Char!B:K,6,)</f>
        <v>Current Account</v>
      </c>
      <c r="O201" s="1336" t="str">
        <f>Summary!$B$4</f>
        <v>W1-2Jan26</v>
      </c>
      <c r="P201" s="1334" t="str">
        <f t="shared" si="14"/>
        <v>105001540411</v>
      </c>
    </row>
    <row r="202" spans="1:17">
      <c r="A202" s="1018" t="s">
        <v>1567</v>
      </c>
      <c r="B202" s="1335" t="s">
        <v>292</v>
      </c>
      <c r="C202" s="1092" t="s">
        <v>1065</v>
      </c>
      <c r="D202" s="1389">
        <v>46031</v>
      </c>
      <c r="E202" s="1334" t="s">
        <v>1832</v>
      </c>
      <c r="F202" s="1312">
        <v>0</v>
      </c>
      <c r="G202" s="1312">
        <v>13200</v>
      </c>
      <c r="H202" s="1082">
        <f t="shared" si="12"/>
        <v>-13200</v>
      </c>
      <c r="I202" s="1333" t="s">
        <v>53</v>
      </c>
      <c r="J202" s="1334" t="str">
        <f>VLOOKUP(C202,Acc_Char!B:K,3,)</f>
        <v>BWID THOI HOA 2</v>
      </c>
      <c r="K202" s="1334" t="str">
        <f>VLOOKUP(C202,Acc_Char!B:K,7,)</f>
        <v>Subsidiaries</v>
      </c>
      <c r="L202" s="1334" t="str">
        <f t="shared" si="13"/>
        <v>Operating expense</v>
      </c>
      <c r="M202" s="1335" t="str">
        <f>VLOOKUP(C202,Acc_Char!B:K,5,)</f>
        <v>VND</v>
      </c>
      <c r="N202" s="1335" t="str">
        <f>VLOOKUP(C202,Acc_Char!B:K,6,)</f>
        <v>Current Account</v>
      </c>
      <c r="O202" s="1336" t="str">
        <f>Summary!$B$4</f>
        <v>W1-2Jan26</v>
      </c>
      <c r="P202" s="1334" t="str">
        <f t="shared" si="14"/>
        <v>105001540411</v>
      </c>
    </row>
    <row r="203" spans="1:17">
      <c r="A203" s="1018" t="s">
        <v>1567</v>
      </c>
      <c r="B203" s="1335" t="s">
        <v>292</v>
      </c>
      <c r="C203" s="1092" t="s">
        <v>972</v>
      </c>
      <c r="D203" s="1389">
        <v>46031</v>
      </c>
      <c r="E203" s="1334" t="s">
        <v>1833</v>
      </c>
      <c r="F203" s="1312">
        <v>0</v>
      </c>
      <c r="G203" s="1312">
        <v>8699429</v>
      </c>
      <c r="H203" s="1082">
        <f t="shared" si="12"/>
        <v>-8699429</v>
      </c>
      <c r="I203" s="1333" t="s">
        <v>53</v>
      </c>
      <c r="J203" s="1334" t="str">
        <f>VLOOKUP(C203,Acc_Char!B:K,3,)</f>
        <v>BIEN HOA</v>
      </c>
      <c r="K203" s="1334" t="str">
        <f>VLOOKUP(C203,Acc_Char!B:K,7,)</f>
        <v>Subsidiaries</v>
      </c>
      <c r="L203" s="1334" t="str">
        <f t="shared" si="13"/>
        <v>Operating expense</v>
      </c>
      <c r="M203" s="1335" t="str">
        <f>VLOOKUP(C203,Acc_Char!B:K,5,)</f>
        <v>VND</v>
      </c>
      <c r="N203" s="1335" t="str">
        <f>VLOOKUP(C203,Acc_Char!B:K,6,)</f>
        <v>Current Account</v>
      </c>
      <c r="O203" s="1336" t="str">
        <f>Summary!$B$4</f>
        <v>W1-2Jan26</v>
      </c>
      <c r="P203" s="1334" t="str">
        <f t="shared" si="14"/>
        <v>102001123828</v>
      </c>
    </row>
    <row r="204" spans="1:17">
      <c r="A204" s="1018" t="s">
        <v>1567</v>
      </c>
      <c r="B204" s="1335" t="s">
        <v>292</v>
      </c>
      <c r="C204" s="1092" t="s">
        <v>972</v>
      </c>
      <c r="D204" s="1389">
        <v>46031</v>
      </c>
      <c r="E204" s="1334" t="s">
        <v>1833</v>
      </c>
      <c r="F204" s="1312">
        <v>0</v>
      </c>
      <c r="G204" s="1312">
        <v>13200</v>
      </c>
      <c r="H204" s="1082">
        <f t="shared" si="12"/>
        <v>-13200</v>
      </c>
      <c r="I204" s="1333" t="s">
        <v>53</v>
      </c>
      <c r="J204" s="1334" t="str">
        <f>VLOOKUP(C204,Acc_Char!B:K,3,)</f>
        <v>BIEN HOA</v>
      </c>
      <c r="K204" s="1334" t="str">
        <f>VLOOKUP(C204,Acc_Char!B:K,7,)</f>
        <v>Subsidiaries</v>
      </c>
      <c r="L204" s="1334" t="str">
        <f t="shared" si="13"/>
        <v>Operating expense</v>
      </c>
      <c r="M204" s="1335" t="str">
        <f>VLOOKUP(C204,Acc_Char!B:K,5,)</f>
        <v>VND</v>
      </c>
      <c r="N204" s="1335" t="str">
        <f>VLOOKUP(C204,Acc_Char!B:K,6,)</f>
        <v>Current Account</v>
      </c>
      <c r="O204" s="1336" t="str">
        <f>Summary!$B$4</f>
        <v>W1-2Jan26</v>
      </c>
      <c r="P204" s="1334" t="str">
        <f t="shared" si="14"/>
        <v>102001123828</v>
      </c>
    </row>
    <row r="205" spans="1:17">
      <c r="A205" s="1018" t="s">
        <v>1567</v>
      </c>
      <c r="B205" s="1335" t="s">
        <v>292</v>
      </c>
      <c r="C205" s="1092" t="s">
        <v>1065</v>
      </c>
      <c r="D205" s="1389">
        <v>46036</v>
      </c>
      <c r="E205" s="1334" t="s">
        <v>1834</v>
      </c>
      <c r="F205" s="1312">
        <v>0</v>
      </c>
      <c r="G205" s="1312">
        <v>144356172</v>
      </c>
      <c r="H205" s="1082">
        <f t="shared" si="12"/>
        <v>-144356172</v>
      </c>
      <c r="I205" s="1333" t="s">
        <v>53</v>
      </c>
      <c r="J205" s="1334" t="str">
        <f>VLOOKUP(C205,Acc_Char!B:K,3,)</f>
        <v>BWID THOI HOA 2</v>
      </c>
      <c r="K205" s="1334" t="str">
        <f>VLOOKUP(C205,Acc_Char!B:K,7,)</f>
        <v>Subsidiaries</v>
      </c>
      <c r="L205" s="1334" t="str">
        <f t="shared" si="13"/>
        <v>Operating expense</v>
      </c>
      <c r="M205" s="1335" t="str">
        <f>VLOOKUP(C205,Acc_Char!B:K,5,)</f>
        <v>VND</v>
      </c>
      <c r="N205" s="1335" t="str">
        <f>VLOOKUP(C205,Acc_Char!B:K,6,)</f>
        <v>Current Account</v>
      </c>
      <c r="O205" s="1336" t="str">
        <f>Summary!$B$4</f>
        <v>W1-2Jan26</v>
      </c>
      <c r="P205" s="1334" t="str">
        <f t="shared" si="14"/>
        <v>105001540411</v>
      </c>
    </row>
    <row r="206" spans="1:17">
      <c r="A206" s="1018" t="s">
        <v>1567</v>
      </c>
      <c r="B206" s="1335" t="s">
        <v>292</v>
      </c>
      <c r="C206" s="1092" t="s">
        <v>1065</v>
      </c>
      <c r="D206" s="1389">
        <v>46036</v>
      </c>
      <c r="E206" s="1334" t="s">
        <v>1834</v>
      </c>
      <c r="F206" s="1312">
        <v>0</v>
      </c>
      <c r="G206" s="1312">
        <v>13200</v>
      </c>
      <c r="H206" s="1283">
        <f t="shared" si="12"/>
        <v>-13200</v>
      </c>
      <c r="I206" s="1333" t="s">
        <v>53</v>
      </c>
      <c r="J206" s="1334" t="str">
        <f>VLOOKUP(C206,Acc_Char!B:K,3,)</f>
        <v>BWID THOI HOA 2</v>
      </c>
      <c r="K206" s="1334" t="str">
        <f>VLOOKUP(C206,Acc_Char!B:K,7,)</f>
        <v>Subsidiaries</v>
      </c>
      <c r="L206" s="1334" t="str">
        <f t="shared" si="13"/>
        <v>Operating expense</v>
      </c>
      <c r="M206" s="1335" t="str">
        <f>VLOOKUP(C206,Acc_Char!B:K,5,)</f>
        <v>VND</v>
      </c>
      <c r="N206" s="1335" t="str">
        <f>VLOOKUP(C206,Acc_Char!B:K,6,)</f>
        <v>Current Account</v>
      </c>
      <c r="O206" s="1336" t="str">
        <f>Summary!$B$4</f>
        <v>W1-2Jan26</v>
      </c>
      <c r="P206" s="1334" t="str">
        <f t="shared" si="14"/>
        <v>105001540411</v>
      </c>
    </row>
    <row r="207" spans="1:17">
      <c r="A207" s="1018" t="s">
        <v>1591</v>
      </c>
      <c r="B207" s="1335" t="s">
        <v>110</v>
      </c>
      <c r="C207" s="1092" t="s">
        <v>1407</v>
      </c>
      <c r="D207" s="1389" t="s">
        <v>1835</v>
      </c>
      <c r="E207" s="1334" t="s">
        <v>1836</v>
      </c>
      <c r="F207" s="1312">
        <v>17610572</v>
      </c>
      <c r="G207" s="1312">
        <v>0</v>
      </c>
      <c r="H207" s="1283">
        <f t="shared" si="12"/>
        <v>17610572</v>
      </c>
      <c r="I207" s="1333" t="s">
        <v>39</v>
      </c>
      <c r="J207" s="1334" t="str">
        <f>VLOOKUP(C207,Acc_Char!B:K,3,)</f>
        <v>BW NAM DINH VU</v>
      </c>
      <c r="K207" s="1334" t="str">
        <f>VLOOKUP(C207,Acc_Char!B:K,7,)</f>
        <v>Subsidiaries</v>
      </c>
      <c r="L207" s="1334" t="str">
        <f t="shared" si="13"/>
        <v>Receipt from tenants</v>
      </c>
      <c r="M207" s="1335" t="str">
        <f>VLOOKUP(C207,Acc_Char!B:K,5,)</f>
        <v>VND</v>
      </c>
      <c r="N207" s="1335" t="str">
        <f>VLOOKUP(C207,Acc_Char!B:K,6,)</f>
        <v>Current Account</v>
      </c>
      <c r="O207" s="1336" t="str">
        <f>Summary!$B$4</f>
        <v>W1-2Jan26</v>
      </c>
      <c r="P207" s="1334" t="str">
        <f t="shared" si="14"/>
        <v>116632406789</v>
      </c>
    </row>
    <row r="208" spans="1:17">
      <c r="A208" s="1018" t="s">
        <v>1591</v>
      </c>
      <c r="B208" s="1335" t="s">
        <v>110</v>
      </c>
      <c r="C208" s="1092" t="s">
        <v>1407</v>
      </c>
      <c r="D208" s="1389" t="s">
        <v>1837</v>
      </c>
      <c r="E208" s="1334" t="s">
        <v>1838</v>
      </c>
      <c r="F208" s="1312">
        <v>6970769424</v>
      </c>
      <c r="G208" s="1312">
        <v>0</v>
      </c>
      <c r="H208" s="1082">
        <f t="shared" si="12"/>
        <v>6970769424</v>
      </c>
      <c r="I208" s="1333" t="s">
        <v>39</v>
      </c>
      <c r="J208" s="1334" t="str">
        <f>VLOOKUP(C208,Acc_Char!B:K,3,)</f>
        <v>BW NAM DINH VU</v>
      </c>
      <c r="K208" s="1334" t="str">
        <f>VLOOKUP(C208,Acc_Char!B:K,7,)</f>
        <v>Subsidiaries</v>
      </c>
      <c r="L208" s="1334" t="str">
        <f t="shared" si="13"/>
        <v>Receipt from tenants</v>
      </c>
      <c r="M208" s="1335" t="str">
        <f>VLOOKUP(C208,Acc_Char!B:K,5,)</f>
        <v>VND</v>
      </c>
      <c r="N208" s="1335" t="str">
        <f>VLOOKUP(C208,Acc_Char!B:K,6,)</f>
        <v>Current Account</v>
      </c>
      <c r="O208" s="1336" t="str">
        <f>Summary!$B$4</f>
        <v>W1-2Jan26</v>
      </c>
      <c r="P208" s="1334" t="str">
        <f t="shared" si="14"/>
        <v>116632406789</v>
      </c>
    </row>
    <row r="209" spans="1:17">
      <c r="A209" s="1018" t="s">
        <v>1591</v>
      </c>
      <c r="B209" s="1335" t="s">
        <v>110</v>
      </c>
      <c r="C209" s="1092" t="s">
        <v>587</v>
      </c>
      <c r="D209" s="1389" t="s">
        <v>1839</v>
      </c>
      <c r="E209" s="1334" t="s">
        <v>1840</v>
      </c>
      <c r="F209" s="1312">
        <v>0</v>
      </c>
      <c r="G209" s="1312">
        <v>50000000000</v>
      </c>
      <c r="H209" s="1082">
        <f t="shared" si="12"/>
        <v>-50000000000</v>
      </c>
      <c r="I209" s="1333" t="s">
        <v>59</v>
      </c>
      <c r="J209" s="1334" t="str">
        <f>VLOOKUP(C209,Acc_Char!B:K,3,)</f>
        <v>SAO HOA</v>
      </c>
      <c r="K209" s="1334" t="str">
        <f>VLOOKUP(C209,Acc_Char!B:K,7,)</f>
        <v>VC3</v>
      </c>
      <c r="L209" s="1334" t="str">
        <f t="shared" si="13"/>
        <v>Internal transfer out</v>
      </c>
      <c r="M209" s="1335" t="str">
        <f>VLOOKUP(C209,Acc_Char!B:K,5,)</f>
        <v>VND</v>
      </c>
      <c r="N209" s="1335" t="str">
        <f>VLOOKUP(C209,Acc_Char!B:K,6,)</f>
        <v>Current Account</v>
      </c>
      <c r="O209" s="1336" t="str">
        <f>Summary!$B$4</f>
        <v>W1-2Jan26</v>
      </c>
      <c r="P209" s="1334" t="str">
        <f t="shared" si="14"/>
        <v>114002874189</v>
      </c>
    </row>
    <row r="210" spans="1:17">
      <c r="A210" s="1018" t="s">
        <v>1591</v>
      </c>
      <c r="B210" s="1335" t="s">
        <v>114</v>
      </c>
      <c r="C210" s="1092" t="s">
        <v>517</v>
      </c>
      <c r="D210" s="1389" t="s">
        <v>1672</v>
      </c>
      <c r="E210" s="1334" t="s">
        <v>1841</v>
      </c>
      <c r="F210" s="1312">
        <v>0</v>
      </c>
      <c r="G210" s="1312">
        <v>76837209</v>
      </c>
      <c r="H210" s="1082">
        <f t="shared" si="12"/>
        <v>-76837209</v>
      </c>
      <c r="I210" s="1333" t="s">
        <v>53</v>
      </c>
      <c r="J210" s="1334" t="str">
        <f>VLOOKUP(C210,Acc_Char!B:K,3,)</f>
        <v>BWID HAI DUONG 3</v>
      </c>
      <c r="K210" s="1334" t="str">
        <f>VLOOKUP(C210,Acc_Char!B:K,7,)</f>
        <v>Subsidiaries</v>
      </c>
      <c r="L210" s="1334" t="str">
        <f t="shared" si="13"/>
        <v>Operating expense</v>
      </c>
      <c r="M210" s="1335" t="str">
        <f>VLOOKUP(C210,Acc_Char!B:K,5,)</f>
        <v>VND</v>
      </c>
      <c r="N210" s="1335" t="str">
        <f>VLOOKUP(C210,Acc_Char!B:K,6,)</f>
        <v>Current Account</v>
      </c>
      <c r="O210" s="1336" t="str">
        <f>Summary!$B$4</f>
        <v>W1-2Jan26</v>
      </c>
      <c r="P210" s="1334" t="str">
        <f t="shared" si="14"/>
        <v>2221133456</v>
      </c>
    </row>
    <row r="211" spans="1:17">
      <c r="A211" s="1018" t="s">
        <v>1591</v>
      </c>
      <c r="B211" s="1335" t="s">
        <v>114</v>
      </c>
      <c r="C211" s="1092" t="s">
        <v>517</v>
      </c>
      <c r="D211" s="1389" t="s">
        <v>1672</v>
      </c>
      <c r="E211" s="1334" t="s">
        <v>1842</v>
      </c>
      <c r="F211" s="1312">
        <v>0</v>
      </c>
      <c r="G211" s="1312">
        <v>2909000</v>
      </c>
      <c r="H211" s="1082">
        <f t="shared" si="12"/>
        <v>-2909000</v>
      </c>
      <c r="I211" s="1333" t="s">
        <v>53</v>
      </c>
      <c r="J211" s="1334" t="str">
        <f>VLOOKUP(C211,Acc_Char!B:K,3,)</f>
        <v>BWID HAI DUONG 3</v>
      </c>
      <c r="K211" s="1334" t="str">
        <f>VLOOKUP(C211,Acc_Char!B:K,7,)</f>
        <v>Subsidiaries</v>
      </c>
      <c r="L211" s="1334" t="str">
        <f t="shared" si="13"/>
        <v>Operating expense</v>
      </c>
      <c r="M211" s="1335" t="str">
        <f>VLOOKUP(C211,Acc_Char!B:K,5,)</f>
        <v>VND</v>
      </c>
      <c r="N211" s="1335" t="str">
        <f>VLOOKUP(C211,Acc_Char!B:K,6,)</f>
        <v>Current Account</v>
      </c>
      <c r="O211" s="1336" t="str">
        <f>Summary!$B$4</f>
        <v>W1-2Jan26</v>
      </c>
      <c r="P211" s="1334" t="str">
        <f t="shared" si="14"/>
        <v>2221133456</v>
      </c>
    </row>
    <row r="212" spans="1:17">
      <c r="A212" s="1018" t="s">
        <v>1567</v>
      </c>
      <c r="B212" s="1335" t="s">
        <v>112</v>
      </c>
      <c r="C212" s="1092" t="s">
        <v>809</v>
      </c>
      <c r="D212" s="1389">
        <v>46027</v>
      </c>
      <c r="E212" s="1334" t="s">
        <v>1843</v>
      </c>
      <c r="F212" s="1312">
        <v>6773498</v>
      </c>
      <c r="G212" s="1312">
        <v>0</v>
      </c>
      <c r="H212" s="1082">
        <f t="shared" si="12"/>
        <v>6773498</v>
      </c>
      <c r="I212" s="1333" t="s">
        <v>39</v>
      </c>
      <c r="J212" s="1334" t="str">
        <f>VLOOKUP(C212,Acc_Char!B:K,3,)</f>
        <v>BW SAIGON LOGISTICS</v>
      </c>
      <c r="K212" s="1334" t="str">
        <f>VLOOKUP(C212,Acc_Char!B:K,7,)</f>
        <v>Subsidiaries</v>
      </c>
      <c r="L212" s="1334" t="str">
        <f t="shared" si="13"/>
        <v>Receipt from tenants</v>
      </c>
      <c r="M212" s="1335" t="str">
        <f>VLOOKUP(C212,Acc_Char!B:K,5,)</f>
        <v>VND</v>
      </c>
      <c r="N212" s="1335" t="str">
        <f>VLOOKUP(C212,Acc_Char!B:K,6,)</f>
        <v>Current Account</v>
      </c>
      <c r="O212" s="1336" t="str">
        <f>Summary!$B$4</f>
        <v>W1-2Jan26</v>
      </c>
      <c r="P212" s="1334" t="str">
        <f t="shared" si="14"/>
        <v>1038935148</v>
      </c>
    </row>
    <row r="213" spans="1:17">
      <c r="A213" s="1018" t="s">
        <v>1567</v>
      </c>
      <c r="B213" s="1335" t="s">
        <v>112</v>
      </c>
      <c r="C213" s="1092" t="s">
        <v>514</v>
      </c>
      <c r="D213" s="1389">
        <v>46029</v>
      </c>
      <c r="E213" s="1334" t="s">
        <v>1844</v>
      </c>
      <c r="F213" s="1312">
        <v>14063675</v>
      </c>
      <c r="G213" s="1312">
        <v>0</v>
      </c>
      <c r="H213" s="1082">
        <f t="shared" si="12"/>
        <v>14063675</v>
      </c>
      <c r="I213" s="1333" t="s">
        <v>39</v>
      </c>
      <c r="J213" s="1334" t="str">
        <f>VLOOKUP(C213,Acc_Char!B:K,3,)</f>
        <v>BWID NHON TRACH</v>
      </c>
      <c r="K213" s="1334" t="str">
        <f>VLOOKUP(C213,Acc_Char!B:K,7,)</f>
        <v>Subsidiaries</v>
      </c>
      <c r="L213" s="1334" t="str">
        <f t="shared" si="13"/>
        <v>Receipt from tenants</v>
      </c>
      <c r="M213" s="1335" t="str">
        <f>VLOOKUP(C213,Acc_Char!B:K,5,)</f>
        <v>VND</v>
      </c>
      <c r="N213" s="1335" t="str">
        <f>VLOOKUP(C213,Acc_Char!B:K,6,)</f>
        <v>Current Account</v>
      </c>
      <c r="O213" s="1336" t="str">
        <f>Summary!$B$4</f>
        <v>W1-2Jan26</v>
      </c>
      <c r="P213" s="1334" t="str">
        <f t="shared" si="14"/>
        <v>71001286959</v>
      </c>
    </row>
    <row r="214" spans="1:17">
      <c r="A214" s="1018" t="s">
        <v>1567</v>
      </c>
      <c r="B214" s="1335" t="s">
        <v>112</v>
      </c>
      <c r="C214" s="1092" t="s">
        <v>1408</v>
      </c>
      <c r="D214" s="1389">
        <v>46030</v>
      </c>
      <c r="E214" s="1334" t="s">
        <v>1845</v>
      </c>
      <c r="F214" s="1312">
        <v>1099393035</v>
      </c>
      <c r="G214" s="1312">
        <v>0</v>
      </c>
      <c r="H214" s="1082">
        <f t="shared" si="12"/>
        <v>1099393035</v>
      </c>
      <c r="I214" s="1333" t="s">
        <v>39</v>
      </c>
      <c r="J214" s="1334" t="str">
        <f>VLOOKUP(C214,Acc_Char!B:K,3,)</f>
        <v>LONG BINH</v>
      </c>
      <c r="K214" s="1334" t="str">
        <f>VLOOKUP(C214,Acc_Char!B:K,7,)</f>
        <v>Subsidiaries</v>
      </c>
      <c r="L214" s="1334" t="str">
        <f t="shared" si="13"/>
        <v>Receipt from tenants</v>
      </c>
      <c r="M214" s="1335" t="str">
        <f>VLOOKUP(C214,Acc_Char!B:K,5,)</f>
        <v>VND</v>
      </c>
      <c r="N214" s="1335" t="str">
        <f>VLOOKUP(C214,Acc_Char!B:K,6,)</f>
        <v>Current Account</v>
      </c>
      <c r="O214" s="1336" t="str">
        <f>Summary!$B$4</f>
        <v>W1-2Jan26</v>
      </c>
      <c r="P214" s="1334" t="str">
        <f t="shared" si="14"/>
        <v>1060629524</v>
      </c>
    </row>
    <row r="215" spans="1:17" ht="28.8">
      <c r="A215" s="1018" t="s">
        <v>1567</v>
      </c>
      <c r="B215" s="1335" t="s">
        <v>112</v>
      </c>
      <c r="C215" s="1092" t="s">
        <v>809</v>
      </c>
      <c r="D215" s="1389">
        <v>46031</v>
      </c>
      <c r="E215" s="1339" t="s">
        <v>1846</v>
      </c>
      <c r="F215" s="1312">
        <v>128175135</v>
      </c>
      <c r="G215" s="1312">
        <v>0</v>
      </c>
      <c r="H215" s="1082">
        <f t="shared" si="12"/>
        <v>128175135</v>
      </c>
      <c r="I215" s="1333" t="s">
        <v>39</v>
      </c>
      <c r="J215" s="1334" t="str">
        <f>VLOOKUP(C215,Acc_Char!B:K,3,)</f>
        <v>BW SAIGON LOGISTICS</v>
      </c>
      <c r="K215" s="1334" t="str">
        <f>VLOOKUP(C215,Acc_Char!B:K,7,)</f>
        <v>Subsidiaries</v>
      </c>
      <c r="L215" s="1334" t="str">
        <f t="shared" si="13"/>
        <v>Receipt from tenants</v>
      </c>
      <c r="M215" s="1335" t="str">
        <f>VLOOKUP(C215,Acc_Char!B:K,5,)</f>
        <v>VND</v>
      </c>
      <c r="N215" s="1335" t="str">
        <f>VLOOKUP(C215,Acc_Char!B:K,6,)</f>
        <v>Current Account</v>
      </c>
      <c r="O215" s="1336" t="str">
        <f>Summary!$B$4</f>
        <v>W1-2Jan26</v>
      </c>
      <c r="P215" s="1334" t="str">
        <f t="shared" si="14"/>
        <v>1038935148</v>
      </c>
    </row>
    <row r="216" spans="1:17">
      <c r="A216" s="1018" t="s">
        <v>1567</v>
      </c>
      <c r="B216" s="1335" t="s">
        <v>112</v>
      </c>
      <c r="C216" s="1092" t="s">
        <v>762</v>
      </c>
      <c r="D216" s="1389">
        <v>46027</v>
      </c>
      <c r="E216" s="1340" t="s">
        <v>1847</v>
      </c>
      <c r="F216" s="1312">
        <v>2288118</v>
      </c>
      <c r="G216" s="1312">
        <v>0</v>
      </c>
      <c r="H216" s="1082">
        <f t="shared" si="12"/>
        <v>2288118</v>
      </c>
      <c r="I216" s="1333" t="s">
        <v>39</v>
      </c>
      <c r="J216" s="1334" t="str">
        <f>VLOOKUP(C216,Acc_Char!B:K,3,)</f>
        <v>THUAN THANH 3B</v>
      </c>
      <c r="K216" s="1334" t="str">
        <f>VLOOKUP(C216,Acc_Char!B:K,7,)</f>
        <v>Subsidiaries</v>
      </c>
      <c r="L216" s="1334" t="str">
        <f t="shared" si="13"/>
        <v>Receipt from tenants</v>
      </c>
      <c r="M216" s="1335" t="str">
        <f>VLOOKUP(C216,Acc_Char!B:K,5,)</f>
        <v>VND</v>
      </c>
      <c r="N216" s="1335" t="str">
        <f>VLOOKUP(C216,Acc_Char!B:K,6,)</f>
        <v>Current Account</v>
      </c>
      <c r="O216" s="1336" t="str">
        <f>Summary!$B$4</f>
        <v>W1-2Jan26</v>
      </c>
      <c r="P216" s="1334" t="str">
        <f t="shared" si="14"/>
        <v>9020128888</v>
      </c>
    </row>
    <row r="217" spans="1:17">
      <c r="A217" s="1018" t="s">
        <v>1567</v>
      </c>
      <c r="B217" s="1335" t="s">
        <v>112</v>
      </c>
      <c r="C217" s="1092" t="s">
        <v>1000</v>
      </c>
      <c r="D217" s="1389">
        <v>46029</v>
      </c>
      <c r="E217" s="1334" t="s">
        <v>1848</v>
      </c>
      <c r="F217" s="1312">
        <v>7174400</v>
      </c>
      <c r="G217" s="1312">
        <v>0</v>
      </c>
      <c r="H217" s="1082">
        <f t="shared" si="12"/>
        <v>7174400</v>
      </c>
      <c r="I217" s="1333" t="s">
        <v>39</v>
      </c>
      <c r="J217" s="1334" t="str">
        <f>VLOOKUP(C217,Acc_Char!B:K,3,)</f>
        <v>THUAN THANH 3B</v>
      </c>
      <c r="K217" s="1334" t="str">
        <f>VLOOKUP(C217,Acc_Char!B:K,7,)</f>
        <v>Subsidiaries</v>
      </c>
      <c r="L217" s="1334" t="str">
        <f t="shared" si="13"/>
        <v>Receipt from tenants</v>
      </c>
      <c r="M217" s="1335" t="str">
        <f>VLOOKUP(C217,Acc_Char!B:K,5,)</f>
        <v>VND</v>
      </c>
      <c r="N217" s="1335" t="str">
        <f>VLOOKUP(C217,Acc_Char!B:K,6,)</f>
        <v>Current Account</v>
      </c>
      <c r="O217" s="1336" t="str">
        <f>Summary!$B$4</f>
        <v>W1-2Jan26</v>
      </c>
      <c r="P217" s="1334" t="str">
        <f t="shared" si="14"/>
        <v>3243126666</v>
      </c>
    </row>
    <row r="218" spans="1:17">
      <c r="A218" s="1018" t="s">
        <v>1567</v>
      </c>
      <c r="B218" s="1335" t="s">
        <v>112</v>
      </c>
      <c r="C218" s="1092" t="s">
        <v>1408</v>
      </c>
      <c r="D218" s="1389">
        <v>46029</v>
      </c>
      <c r="E218" s="1334" t="s">
        <v>1849</v>
      </c>
      <c r="F218" s="1312">
        <v>1373714301</v>
      </c>
      <c r="G218" s="1312">
        <v>0</v>
      </c>
      <c r="H218" s="1082">
        <f t="shared" si="12"/>
        <v>1373714301</v>
      </c>
      <c r="I218" s="1333" t="s">
        <v>39</v>
      </c>
      <c r="J218" s="1334" t="str">
        <f>VLOOKUP(C218,Acc_Char!B:K,3,)</f>
        <v>LONG BINH</v>
      </c>
      <c r="K218" s="1334" t="str">
        <f>VLOOKUP(C218,Acc_Char!B:K,7,)</f>
        <v>Subsidiaries</v>
      </c>
      <c r="L218" s="1334" t="str">
        <f t="shared" si="13"/>
        <v>Receipt from tenants</v>
      </c>
      <c r="M218" s="1335" t="str">
        <f>VLOOKUP(C218,Acc_Char!B:K,5,)</f>
        <v>VND</v>
      </c>
      <c r="N218" s="1335" t="str">
        <f>VLOOKUP(C218,Acc_Char!B:K,6,)</f>
        <v>Current Account</v>
      </c>
      <c r="O218" s="1336" t="str">
        <f>Summary!$B$4</f>
        <v>W1-2Jan26</v>
      </c>
      <c r="P218" s="1334" t="str">
        <f t="shared" si="14"/>
        <v>1060629524</v>
      </c>
    </row>
    <row r="219" spans="1:17">
      <c r="A219" s="1018" t="s">
        <v>1567</v>
      </c>
      <c r="B219" s="1335" t="s">
        <v>112</v>
      </c>
      <c r="C219" s="1092" t="s">
        <v>762</v>
      </c>
      <c r="D219" s="1389">
        <v>46029</v>
      </c>
      <c r="E219" s="1334" t="s">
        <v>1850</v>
      </c>
      <c r="F219" s="1312">
        <v>4855226</v>
      </c>
      <c r="G219" s="1312">
        <v>0</v>
      </c>
      <c r="H219" s="1082">
        <f t="shared" si="12"/>
        <v>4855226</v>
      </c>
      <c r="I219" s="1333" t="s">
        <v>39</v>
      </c>
      <c r="J219" s="1334" t="str">
        <f>VLOOKUP(C219,Acc_Char!B:K,3,)</f>
        <v>THUAN THANH 3B</v>
      </c>
      <c r="K219" s="1334" t="str">
        <f>VLOOKUP(C219,Acc_Char!B:K,7,)</f>
        <v>Subsidiaries</v>
      </c>
      <c r="L219" s="1334" t="str">
        <f t="shared" si="13"/>
        <v>Receipt from tenants</v>
      </c>
      <c r="M219" s="1335" t="str">
        <f>VLOOKUP(C219,Acc_Char!B:K,5,)</f>
        <v>VND</v>
      </c>
      <c r="N219" s="1335" t="str">
        <f>VLOOKUP(C219,Acc_Char!B:K,6,)</f>
        <v>Current Account</v>
      </c>
      <c r="O219" s="1336" t="str">
        <f>Summary!$B$4</f>
        <v>W1-2Jan26</v>
      </c>
      <c r="P219" s="1334" t="str">
        <f t="shared" si="14"/>
        <v>9020128888</v>
      </c>
    </row>
    <row r="220" spans="1:17">
      <c r="A220" s="1018" t="s">
        <v>1567</v>
      </c>
      <c r="B220" s="1335" t="s">
        <v>112</v>
      </c>
      <c r="C220" s="1092" t="s">
        <v>762</v>
      </c>
      <c r="D220" s="1389">
        <v>46029</v>
      </c>
      <c r="E220" s="1334" t="s">
        <v>1851</v>
      </c>
      <c r="F220" s="1312">
        <v>2905206</v>
      </c>
      <c r="G220" s="1312">
        <v>0</v>
      </c>
      <c r="H220" s="1082">
        <f t="shared" si="12"/>
        <v>2905206</v>
      </c>
      <c r="I220" s="1333" t="s">
        <v>39</v>
      </c>
      <c r="J220" s="1334" t="str">
        <f>VLOOKUP(C220,Acc_Char!B:K,3,)</f>
        <v>THUAN THANH 3B</v>
      </c>
      <c r="K220" s="1334" t="str">
        <f>VLOOKUP(C220,Acc_Char!B:K,7,)</f>
        <v>Subsidiaries</v>
      </c>
      <c r="L220" s="1334" t="str">
        <f t="shared" si="13"/>
        <v>Receipt from tenants</v>
      </c>
      <c r="M220" s="1335" t="str">
        <f>VLOOKUP(C220,Acc_Char!B:K,5,)</f>
        <v>VND</v>
      </c>
      <c r="N220" s="1335" t="str">
        <f>VLOOKUP(C220,Acc_Char!B:K,6,)</f>
        <v>Current Account</v>
      </c>
      <c r="O220" s="1336" t="str">
        <f>Summary!$B$4</f>
        <v>W1-2Jan26</v>
      </c>
      <c r="P220" s="1334" t="str">
        <f t="shared" si="14"/>
        <v>9020128888</v>
      </c>
    </row>
    <row r="221" spans="1:17">
      <c r="A221" s="1018" t="s">
        <v>1567</v>
      </c>
      <c r="B221" s="1335" t="s">
        <v>112</v>
      </c>
      <c r="C221" s="1092" t="s">
        <v>574</v>
      </c>
      <c r="D221" s="1389">
        <v>46031</v>
      </c>
      <c r="E221" s="1339" t="s">
        <v>1852</v>
      </c>
      <c r="F221" s="1312">
        <v>299174905</v>
      </c>
      <c r="G221" s="1312">
        <v>0</v>
      </c>
      <c r="H221" s="1082">
        <f t="shared" si="12"/>
        <v>299174905</v>
      </c>
      <c r="I221" s="1333" t="s">
        <v>39</v>
      </c>
      <c r="J221" s="1334" t="str">
        <f>VLOOKUP(C221,Acc_Char!B:K,3,)</f>
        <v>BW SUPLLY CHAIN CITY</v>
      </c>
      <c r="K221" s="1334" t="str">
        <f>VLOOKUP(C221,Acc_Char!B:K,7,)</f>
        <v>Subsidiaries</v>
      </c>
      <c r="L221" s="1334" t="str">
        <f t="shared" si="13"/>
        <v>Receipt from tenants</v>
      </c>
      <c r="M221" s="1335" t="str">
        <f>VLOOKUP(C221,Acc_Char!B:K,5,)</f>
        <v>VND</v>
      </c>
      <c r="N221" s="1335" t="str">
        <f>VLOOKUP(C221,Acc_Char!B:K,6,)</f>
        <v>Current Account</v>
      </c>
      <c r="O221" s="1336" t="str">
        <f>Summary!$B$4</f>
        <v>W1-2Jan26</v>
      </c>
      <c r="P221" s="1334" t="str">
        <f t="shared" si="14"/>
        <v>1018291733</v>
      </c>
    </row>
    <row r="222" spans="1:17">
      <c r="A222" s="1018" t="s">
        <v>1567</v>
      </c>
      <c r="B222" s="460" t="s">
        <v>112</v>
      </c>
      <c r="C222" s="1092" t="s">
        <v>574</v>
      </c>
      <c r="D222" s="1389">
        <v>46030</v>
      </c>
      <c r="E222" t="s">
        <v>1853</v>
      </c>
      <c r="F222" s="1311">
        <v>351302688</v>
      </c>
      <c r="G222" s="1311">
        <v>0</v>
      </c>
      <c r="H222" s="1082">
        <f t="shared" si="12"/>
        <v>351302688</v>
      </c>
      <c r="I222" s="1333" t="s">
        <v>39</v>
      </c>
      <c r="J222" s="1334" t="str">
        <f>VLOOKUP(C222,Acc_Char!B:K,3,)</f>
        <v>BW SUPLLY CHAIN CITY</v>
      </c>
      <c r="K222" s="1334" t="str">
        <f>VLOOKUP(C222,Acc_Char!B:K,7,)</f>
        <v>Subsidiaries</v>
      </c>
      <c r="L222" s="1334" t="str">
        <f t="shared" si="13"/>
        <v>Receipt from tenants</v>
      </c>
      <c r="M222" s="1335" t="str">
        <f>VLOOKUP(C222,Acc_Char!B:K,5,)</f>
        <v>VND</v>
      </c>
      <c r="N222" s="1335" t="str">
        <f>VLOOKUP(C222,Acc_Char!B:K,6,)</f>
        <v>Current Account</v>
      </c>
      <c r="O222" s="1336" t="str">
        <f>Summary!$B$4</f>
        <v>W1-2Jan26</v>
      </c>
      <c r="P222" s="1334" t="str">
        <f t="shared" si="14"/>
        <v>1018291733</v>
      </c>
      <c r="Q222" s="1024"/>
    </row>
    <row r="223" spans="1:17">
      <c r="A223" s="1018" t="s">
        <v>1567</v>
      </c>
      <c r="B223" s="460" t="s">
        <v>112</v>
      </c>
      <c r="C223" s="1092" t="s">
        <v>574</v>
      </c>
      <c r="D223" s="1389">
        <v>46031</v>
      </c>
      <c r="E223" t="s">
        <v>1854</v>
      </c>
      <c r="F223" s="1311">
        <v>308859618</v>
      </c>
      <c r="G223" s="1311">
        <v>0</v>
      </c>
      <c r="H223" s="1283">
        <f t="shared" si="12"/>
        <v>308859618</v>
      </c>
      <c r="I223" s="1333" t="s">
        <v>39</v>
      </c>
      <c r="J223" s="1334" t="str">
        <f>VLOOKUP(C223,Acc_Char!B:K,3,)</f>
        <v>BW SUPLLY CHAIN CITY</v>
      </c>
      <c r="K223" s="1334" t="str">
        <f>VLOOKUP(C223,Acc_Char!B:K,7,)</f>
        <v>Subsidiaries</v>
      </c>
      <c r="L223" s="1334" t="str">
        <f t="shared" si="13"/>
        <v>Receipt from tenants</v>
      </c>
      <c r="M223" s="1335" t="str">
        <f>VLOOKUP(C223,Acc_Char!B:K,5,)</f>
        <v>VND</v>
      </c>
      <c r="N223" s="1335" t="str">
        <f>VLOOKUP(C223,Acc_Char!B:K,6,)</f>
        <v>Current Account</v>
      </c>
      <c r="O223" s="1336" t="str">
        <f>Summary!$B$4</f>
        <v>W1-2Jan26</v>
      </c>
      <c r="P223" s="1334" t="str">
        <f t="shared" si="14"/>
        <v>1018291733</v>
      </c>
      <c r="Q223" s="1024"/>
    </row>
    <row r="224" spans="1:17">
      <c r="A224" s="1018" t="s">
        <v>1567</v>
      </c>
      <c r="B224" s="460" t="s">
        <v>112</v>
      </c>
      <c r="C224" s="1092" t="s">
        <v>762</v>
      </c>
      <c r="D224" s="1389">
        <v>46031</v>
      </c>
      <c r="E224" t="s">
        <v>1855</v>
      </c>
      <c r="F224" s="1311">
        <v>1131237477</v>
      </c>
      <c r="G224" s="1311">
        <v>0</v>
      </c>
      <c r="H224" s="1082">
        <f t="shared" si="12"/>
        <v>1131237477</v>
      </c>
      <c r="I224" s="1333" t="s">
        <v>39</v>
      </c>
      <c r="J224" s="1334" t="str">
        <f>VLOOKUP(C224,Acc_Char!B:K,3,)</f>
        <v>THUAN THANH 3B</v>
      </c>
      <c r="K224" s="1334" t="str">
        <f>VLOOKUP(C224,Acc_Char!B:K,7,)</f>
        <v>Subsidiaries</v>
      </c>
      <c r="L224" s="1334" t="str">
        <f t="shared" si="13"/>
        <v>Receipt from tenants</v>
      </c>
      <c r="M224" s="1335" t="str">
        <f>VLOOKUP(C224,Acc_Char!B:K,5,)</f>
        <v>VND</v>
      </c>
      <c r="N224" s="1335" t="str">
        <f>VLOOKUP(C224,Acc_Char!B:K,6,)</f>
        <v>Current Account</v>
      </c>
      <c r="O224" s="1336" t="str">
        <f>Summary!$B$4</f>
        <v>W1-2Jan26</v>
      </c>
      <c r="P224" s="1334" t="str">
        <f t="shared" si="14"/>
        <v>9020128888</v>
      </c>
      <c r="Q224" s="1024"/>
    </row>
    <row r="225" spans="1:17" ht="28.8">
      <c r="A225" s="1018" t="s">
        <v>1567</v>
      </c>
      <c r="B225" s="460" t="s">
        <v>112</v>
      </c>
      <c r="C225" s="1092" t="s">
        <v>762</v>
      </c>
      <c r="D225" s="1389">
        <v>46032</v>
      </c>
      <c r="E225" s="1337" t="s">
        <v>1856</v>
      </c>
      <c r="F225" s="1311">
        <v>2272326908</v>
      </c>
      <c r="G225" s="1311">
        <v>0</v>
      </c>
      <c r="H225" s="1082">
        <f t="shared" si="12"/>
        <v>2272326908</v>
      </c>
      <c r="I225" s="1333" t="s">
        <v>39</v>
      </c>
      <c r="J225" s="1334" t="str">
        <f>VLOOKUP(C225,Acc_Char!B:K,3,)</f>
        <v>THUAN THANH 3B</v>
      </c>
      <c r="K225" s="1334" t="str">
        <f>VLOOKUP(C225,Acc_Char!B:K,7,)</f>
        <v>Subsidiaries</v>
      </c>
      <c r="L225" s="1334" t="str">
        <f t="shared" si="13"/>
        <v>Receipt from tenants</v>
      </c>
      <c r="M225" s="1335" t="str">
        <f>VLOOKUP(C225,Acc_Char!B:K,5,)</f>
        <v>VND</v>
      </c>
      <c r="N225" s="1335" t="str">
        <f>VLOOKUP(C225,Acc_Char!B:K,6,)</f>
        <v>Current Account</v>
      </c>
      <c r="O225" s="1336" t="str">
        <f>Summary!$B$4</f>
        <v>W1-2Jan26</v>
      </c>
      <c r="P225" s="1334" t="str">
        <f t="shared" si="14"/>
        <v>9020128888</v>
      </c>
      <c r="Q225" s="1024"/>
    </row>
    <row r="226" spans="1:17">
      <c r="A226" s="1018" t="s">
        <v>1567</v>
      </c>
      <c r="B226" s="460" t="s">
        <v>112</v>
      </c>
      <c r="C226" s="1092" t="s">
        <v>762</v>
      </c>
      <c r="D226" s="1389">
        <v>46032</v>
      </c>
      <c r="E226" t="s">
        <v>1857</v>
      </c>
      <c r="F226" s="1311">
        <v>23416288</v>
      </c>
      <c r="G226" s="1311">
        <v>0</v>
      </c>
      <c r="H226" s="1082">
        <f t="shared" si="12"/>
        <v>23416288</v>
      </c>
      <c r="I226" s="1333" t="s">
        <v>39</v>
      </c>
      <c r="J226" s="1334" t="str">
        <f>VLOOKUP(C226,Acc_Char!B:K,3,)</f>
        <v>THUAN THANH 3B</v>
      </c>
      <c r="K226" s="1334" t="str">
        <f>VLOOKUP(C226,Acc_Char!B:K,7,)</f>
        <v>Subsidiaries</v>
      </c>
      <c r="L226" s="1334" t="str">
        <f t="shared" si="13"/>
        <v>Receipt from tenants</v>
      </c>
      <c r="M226" s="1335" t="str">
        <f>VLOOKUP(C226,Acc_Char!B:K,5,)</f>
        <v>VND</v>
      </c>
      <c r="N226" s="1335" t="str">
        <f>VLOOKUP(C226,Acc_Char!B:K,6,)</f>
        <v>Current Account</v>
      </c>
      <c r="O226" s="1336" t="str">
        <f>Summary!$B$4</f>
        <v>W1-2Jan26</v>
      </c>
      <c r="P226" s="1334" t="str">
        <f t="shared" si="14"/>
        <v>9020128888</v>
      </c>
      <c r="Q226" s="1024"/>
    </row>
    <row r="227" spans="1:17">
      <c r="A227" s="1018" t="s">
        <v>1567</v>
      </c>
      <c r="B227" s="460" t="s">
        <v>112</v>
      </c>
      <c r="C227" s="1092" t="s">
        <v>1408</v>
      </c>
      <c r="D227" s="1389">
        <v>46034</v>
      </c>
      <c r="E227" t="s">
        <v>1858</v>
      </c>
      <c r="F227" s="1311">
        <v>407640600</v>
      </c>
      <c r="G227" s="1311">
        <v>0</v>
      </c>
      <c r="H227" s="1082">
        <f t="shared" si="12"/>
        <v>407640600</v>
      </c>
      <c r="I227" s="1333" t="s">
        <v>39</v>
      </c>
      <c r="J227" s="1334" t="str">
        <f>VLOOKUP(C227,Acc_Char!B:K,3,)</f>
        <v>LONG BINH</v>
      </c>
      <c r="K227" s="1334" t="str">
        <f>VLOOKUP(C227,Acc_Char!B:K,7,)</f>
        <v>Subsidiaries</v>
      </c>
      <c r="L227" s="1334" t="str">
        <f t="shared" si="13"/>
        <v>Receipt from tenants</v>
      </c>
      <c r="M227" s="1335" t="str">
        <f>VLOOKUP(C227,Acc_Char!B:K,5,)</f>
        <v>VND</v>
      </c>
      <c r="N227" s="1335" t="str">
        <f>VLOOKUP(C227,Acc_Char!B:K,6,)</f>
        <v>Current Account</v>
      </c>
      <c r="O227" s="1336" t="str">
        <f>Summary!$B$4</f>
        <v>W1-2Jan26</v>
      </c>
      <c r="P227" s="1334" t="str">
        <f t="shared" si="14"/>
        <v>1060629524</v>
      </c>
      <c r="Q227" s="1024"/>
    </row>
    <row r="228" spans="1:17">
      <c r="A228" s="1018" t="s">
        <v>1567</v>
      </c>
      <c r="B228" s="460" t="s">
        <v>112</v>
      </c>
      <c r="C228" s="1092" t="s">
        <v>762</v>
      </c>
      <c r="D228" s="1389">
        <v>46034</v>
      </c>
      <c r="E228" t="s">
        <v>1859</v>
      </c>
      <c r="F228" s="1311">
        <v>1225249437</v>
      </c>
      <c r="G228" s="1311">
        <v>0</v>
      </c>
      <c r="H228" s="1082">
        <f t="shared" si="12"/>
        <v>1225249437</v>
      </c>
      <c r="I228" s="1333" t="s">
        <v>39</v>
      </c>
      <c r="J228" s="1334" t="str">
        <f>VLOOKUP(C228,Acc_Char!B:K,3,)</f>
        <v>THUAN THANH 3B</v>
      </c>
      <c r="K228" s="1334" t="str">
        <f>VLOOKUP(C228,Acc_Char!B:K,7,)</f>
        <v>Subsidiaries</v>
      </c>
      <c r="L228" s="1334" t="str">
        <f t="shared" si="13"/>
        <v>Receipt from tenants</v>
      </c>
      <c r="M228" s="1335" t="str">
        <f>VLOOKUP(C228,Acc_Char!B:K,5,)</f>
        <v>VND</v>
      </c>
      <c r="N228" s="1335" t="str">
        <f>VLOOKUP(C228,Acc_Char!B:K,6,)</f>
        <v>Current Account</v>
      </c>
      <c r="O228" s="1336" t="str">
        <f>Summary!$B$4</f>
        <v>W1-2Jan26</v>
      </c>
      <c r="P228" s="1334" t="str">
        <f t="shared" si="14"/>
        <v>9020128888</v>
      </c>
      <c r="Q228" s="1024"/>
    </row>
    <row r="229" spans="1:17">
      <c r="A229" s="1018" t="s">
        <v>1567</v>
      </c>
      <c r="B229" s="460" t="s">
        <v>112</v>
      </c>
      <c r="C229" s="1092" t="s">
        <v>1000</v>
      </c>
      <c r="D229" s="1389">
        <v>46035</v>
      </c>
      <c r="E229" t="s">
        <v>1860</v>
      </c>
      <c r="F229" s="1311">
        <v>1563383892</v>
      </c>
      <c r="G229" s="1311">
        <v>0</v>
      </c>
      <c r="H229" s="1082">
        <f t="shared" si="12"/>
        <v>1563383892</v>
      </c>
      <c r="I229" s="1333" t="s">
        <v>39</v>
      </c>
      <c r="J229" s="1334" t="str">
        <f>VLOOKUP(C229,Acc_Char!B:K,3,)</f>
        <v>THUAN THANH 3B</v>
      </c>
      <c r="K229" s="1334" t="str">
        <f>VLOOKUP(C229,Acc_Char!B:K,7,)</f>
        <v>Subsidiaries</v>
      </c>
      <c r="L229" s="1334" t="str">
        <f t="shared" si="13"/>
        <v>Receipt from tenants</v>
      </c>
      <c r="M229" s="1335" t="str">
        <f>VLOOKUP(C229,Acc_Char!B:K,5,)</f>
        <v>VND</v>
      </c>
      <c r="N229" s="1335" t="str">
        <f>VLOOKUP(C229,Acc_Char!B:K,6,)</f>
        <v>Current Account</v>
      </c>
      <c r="O229" s="1336" t="str">
        <f>Summary!$B$4</f>
        <v>W1-2Jan26</v>
      </c>
      <c r="P229" s="1334" t="str">
        <f t="shared" si="14"/>
        <v>3243126666</v>
      </c>
      <c r="Q229" s="1024"/>
    </row>
    <row r="230" spans="1:17">
      <c r="A230" s="1018" t="s">
        <v>1567</v>
      </c>
      <c r="B230" s="460" t="s">
        <v>112</v>
      </c>
      <c r="C230" s="1092" t="s">
        <v>574</v>
      </c>
      <c r="D230" s="1389">
        <v>46035</v>
      </c>
      <c r="E230" t="s">
        <v>1861</v>
      </c>
      <c r="F230" s="1311">
        <v>37922842</v>
      </c>
      <c r="G230" s="1311">
        <v>0</v>
      </c>
      <c r="H230" s="1082">
        <f t="shared" si="12"/>
        <v>37922842</v>
      </c>
      <c r="I230" s="1333" t="s">
        <v>39</v>
      </c>
      <c r="J230" s="1334" t="str">
        <f>VLOOKUP(C230,Acc_Char!B:K,3,)</f>
        <v>BW SUPLLY CHAIN CITY</v>
      </c>
      <c r="K230" s="1334" t="str">
        <f>VLOOKUP(C230,Acc_Char!B:K,7,)</f>
        <v>Subsidiaries</v>
      </c>
      <c r="L230" s="1334" t="str">
        <f t="shared" si="13"/>
        <v>Receipt from tenants</v>
      </c>
      <c r="M230" s="1335" t="str">
        <f>VLOOKUP(C230,Acc_Char!B:K,5,)</f>
        <v>VND</v>
      </c>
      <c r="N230" s="1335" t="str">
        <f>VLOOKUP(C230,Acc_Char!B:K,6,)</f>
        <v>Current Account</v>
      </c>
      <c r="O230" s="1336" t="str">
        <f>Summary!$B$4</f>
        <v>W1-2Jan26</v>
      </c>
      <c r="P230" s="1334" t="str">
        <f t="shared" si="14"/>
        <v>1018291733</v>
      </c>
      <c r="Q230" s="1024"/>
    </row>
    <row r="231" spans="1:17">
      <c r="A231" s="1018" t="s">
        <v>1567</v>
      </c>
      <c r="B231" s="460" t="s">
        <v>112</v>
      </c>
      <c r="C231" s="1092" t="s">
        <v>1000</v>
      </c>
      <c r="D231" s="1389">
        <v>46036</v>
      </c>
      <c r="E231" t="s">
        <v>1862</v>
      </c>
      <c r="F231" s="1311">
        <v>490000000</v>
      </c>
      <c r="G231" s="1311">
        <v>0</v>
      </c>
      <c r="H231" s="1082">
        <f t="shared" si="12"/>
        <v>490000000</v>
      </c>
      <c r="I231" s="1333" t="s">
        <v>39</v>
      </c>
      <c r="J231" s="1334" t="str">
        <f>VLOOKUP(C231,Acc_Char!B:K,3,)</f>
        <v>THUAN THANH 3B</v>
      </c>
      <c r="K231" s="1334" t="str">
        <f>VLOOKUP(C231,Acc_Char!B:K,7,)</f>
        <v>Subsidiaries</v>
      </c>
      <c r="L231" s="1334" t="str">
        <f t="shared" si="13"/>
        <v>Receipt from tenants</v>
      </c>
      <c r="M231" s="1335" t="str">
        <f>VLOOKUP(C231,Acc_Char!B:K,5,)</f>
        <v>VND</v>
      </c>
      <c r="N231" s="1335" t="str">
        <f>VLOOKUP(C231,Acc_Char!B:K,6,)</f>
        <v>Current Account</v>
      </c>
      <c r="O231" s="1336" t="str">
        <f>Summary!$B$4</f>
        <v>W1-2Jan26</v>
      </c>
      <c r="P231" s="1334" t="str">
        <f t="shared" si="14"/>
        <v>3243126666</v>
      </c>
      <c r="Q231" s="1024"/>
    </row>
    <row r="232" spans="1:17">
      <c r="A232" s="1018" t="s">
        <v>1567</v>
      </c>
      <c r="B232" s="460" t="s">
        <v>112</v>
      </c>
      <c r="C232" s="1092" t="s">
        <v>1408</v>
      </c>
      <c r="D232" s="1389">
        <v>46036</v>
      </c>
      <c r="E232" t="s">
        <v>1863</v>
      </c>
      <c r="F232" s="1311">
        <v>1412419686</v>
      </c>
      <c r="G232" s="1311">
        <v>0</v>
      </c>
      <c r="H232" s="1082">
        <f t="shared" si="12"/>
        <v>1412419686</v>
      </c>
      <c r="I232" s="1333" t="s">
        <v>39</v>
      </c>
      <c r="J232" s="1334" t="str">
        <f>VLOOKUP(C232,Acc_Char!B:K,3,)</f>
        <v>LONG BINH</v>
      </c>
      <c r="K232" s="1334" t="str">
        <f>VLOOKUP(C232,Acc_Char!B:K,7,)</f>
        <v>Subsidiaries</v>
      </c>
      <c r="L232" s="1334" t="str">
        <f t="shared" si="13"/>
        <v>Receipt from tenants</v>
      </c>
      <c r="M232" s="1335" t="str">
        <f>VLOOKUP(C232,Acc_Char!B:K,5,)</f>
        <v>VND</v>
      </c>
      <c r="N232" s="1335" t="str">
        <f>VLOOKUP(C232,Acc_Char!B:K,6,)</f>
        <v>Current Account</v>
      </c>
      <c r="O232" s="1336" t="str">
        <f>Summary!$B$4</f>
        <v>W1-2Jan26</v>
      </c>
      <c r="P232" s="1334" t="str">
        <f t="shared" si="14"/>
        <v>1060629524</v>
      </c>
      <c r="Q232" s="1024"/>
    </row>
    <row r="233" spans="1:17">
      <c r="A233" s="1018" t="s">
        <v>1567</v>
      </c>
      <c r="B233" s="460" t="s">
        <v>112</v>
      </c>
      <c r="C233" s="1092" t="s">
        <v>1000</v>
      </c>
      <c r="D233" s="1389">
        <v>46036</v>
      </c>
      <c r="E233" t="s">
        <v>1864</v>
      </c>
      <c r="F233" s="1311">
        <v>3010200</v>
      </c>
      <c r="G233" s="1311">
        <v>0</v>
      </c>
      <c r="H233" s="1283">
        <f t="shared" si="12"/>
        <v>3010200</v>
      </c>
      <c r="I233" s="1333" t="s">
        <v>39</v>
      </c>
      <c r="J233" s="1334" t="str">
        <f>VLOOKUP(C233,Acc_Char!B:K,3,)</f>
        <v>THUAN THANH 3B</v>
      </c>
      <c r="K233" s="1334" t="str">
        <f>VLOOKUP(C233,Acc_Char!B:K,7,)</f>
        <v>Subsidiaries</v>
      </c>
      <c r="L233" s="1334" t="str">
        <f t="shared" si="13"/>
        <v>Receipt from tenants</v>
      </c>
      <c r="M233" s="1335" t="str">
        <f>VLOOKUP(C233,Acc_Char!B:K,5,)</f>
        <v>VND</v>
      </c>
      <c r="N233" s="1335" t="str">
        <f>VLOOKUP(C233,Acc_Char!B:K,6,)</f>
        <v>Current Account</v>
      </c>
      <c r="O233" s="1336" t="str">
        <f>Summary!$B$4</f>
        <v>W1-2Jan26</v>
      </c>
      <c r="P233" s="1334" t="str">
        <f t="shared" si="14"/>
        <v>3243126666</v>
      </c>
      <c r="Q233" s="1024"/>
    </row>
    <row r="234" spans="1:17">
      <c r="A234" s="1018" t="s">
        <v>1567</v>
      </c>
      <c r="B234" s="460" t="s">
        <v>112</v>
      </c>
      <c r="C234" s="1092" t="s">
        <v>1000</v>
      </c>
      <c r="D234" s="1389">
        <v>46036</v>
      </c>
      <c r="E234" t="s">
        <v>1865</v>
      </c>
      <c r="F234" s="1311">
        <v>289572304</v>
      </c>
      <c r="G234" s="1311">
        <v>0</v>
      </c>
      <c r="H234" s="1082">
        <f t="shared" si="12"/>
        <v>289572304</v>
      </c>
      <c r="I234" s="1333" t="s">
        <v>39</v>
      </c>
      <c r="J234" s="1334" t="str">
        <f>VLOOKUP(C234,Acc_Char!B:K,3,)</f>
        <v>THUAN THANH 3B</v>
      </c>
      <c r="K234" s="1334" t="str">
        <f>VLOOKUP(C234,Acc_Char!B:K,7,)</f>
        <v>Subsidiaries</v>
      </c>
      <c r="L234" s="1334" t="str">
        <f t="shared" si="13"/>
        <v>Receipt from tenants</v>
      </c>
      <c r="M234" s="1335" t="str">
        <f>VLOOKUP(C234,Acc_Char!B:K,5,)</f>
        <v>VND</v>
      </c>
      <c r="N234" s="1335" t="str">
        <f>VLOOKUP(C234,Acc_Char!B:K,6,)</f>
        <v>Current Account</v>
      </c>
      <c r="O234" s="1336" t="str">
        <f>Summary!$B$4</f>
        <v>W1-2Jan26</v>
      </c>
      <c r="P234" s="1334" t="str">
        <f t="shared" si="14"/>
        <v>3243126666</v>
      </c>
      <c r="Q234" s="1024"/>
    </row>
    <row r="235" spans="1:17">
      <c r="A235" s="1018" t="s">
        <v>1567</v>
      </c>
      <c r="B235" s="460" t="s">
        <v>112</v>
      </c>
      <c r="C235" s="1092" t="s">
        <v>1408</v>
      </c>
      <c r="D235" s="1389">
        <v>46037</v>
      </c>
      <c r="E235" t="s">
        <v>1866</v>
      </c>
      <c r="F235" s="1311">
        <v>82263561</v>
      </c>
      <c r="G235" s="1311">
        <v>0</v>
      </c>
      <c r="H235" s="1082">
        <f t="shared" si="12"/>
        <v>82263561</v>
      </c>
      <c r="I235" s="1333" t="s">
        <v>39</v>
      </c>
      <c r="J235" s="1334" t="str">
        <f>VLOOKUP(C235,Acc_Char!B:K,3,)</f>
        <v>LONG BINH</v>
      </c>
      <c r="K235" s="1334" t="str">
        <f>VLOOKUP(C235,Acc_Char!B:K,7,)</f>
        <v>Subsidiaries</v>
      </c>
      <c r="L235" s="1334" t="str">
        <f t="shared" si="13"/>
        <v>Receipt from tenants</v>
      </c>
      <c r="M235" s="1335" t="str">
        <f>VLOOKUP(C235,Acc_Char!B:K,5,)</f>
        <v>VND</v>
      </c>
      <c r="N235" s="1335" t="str">
        <f>VLOOKUP(C235,Acc_Char!B:K,6,)</f>
        <v>Current Account</v>
      </c>
      <c r="O235" s="1336" t="str">
        <f>Summary!$B$4</f>
        <v>W1-2Jan26</v>
      </c>
      <c r="P235" s="1334" t="str">
        <f t="shared" si="14"/>
        <v>1060629524</v>
      </c>
      <c r="Q235" s="1024"/>
    </row>
    <row r="236" spans="1:17">
      <c r="A236" s="1018" t="s">
        <v>1567</v>
      </c>
      <c r="B236" s="460" t="s">
        <v>112</v>
      </c>
      <c r="C236" s="1092" t="s">
        <v>762</v>
      </c>
      <c r="D236" s="1389">
        <v>46037</v>
      </c>
      <c r="E236" t="s">
        <v>1867</v>
      </c>
      <c r="F236" s="1311">
        <v>6289132</v>
      </c>
      <c r="G236" s="1311">
        <v>0</v>
      </c>
      <c r="H236" s="1082">
        <f t="shared" si="12"/>
        <v>6289132</v>
      </c>
      <c r="I236" s="1333" t="s">
        <v>39</v>
      </c>
      <c r="J236" s="1334" t="str">
        <f>VLOOKUP(C236,Acc_Char!B:K,3,)</f>
        <v>THUAN THANH 3B</v>
      </c>
      <c r="K236" s="1334" t="str">
        <f>VLOOKUP(C236,Acc_Char!B:K,7,)</f>
        <v>Subsidiaries</v>
      </c>
      <c r="L236" s="1334" t="str">
        <f t="shared" si="13"/>
        <v>Receipt from tenants</v>
      </c>
      <c r="M236" s="1335" t="str">
        <f>VLOOKUP(C236,Acc_Char!B:K,5,)</f>
        <v>VND</v>
      </c>
      <c r="N236" s="1335" t="str">
        <f>VLOOKUP(C236,Acc_Char!B:K,6,)</f>
        <v>Current Account</v>
      </c>
      <c r="O236" s="1336" t="str">
        <f>Summary!$B$4</f>
        <v>W1-2Jan26</v>
      </c>
      <c r="P236" s="1334" t="str">
        <f t="shared" si="14"/>
        <v>9020128888</v>
      </c>
      <c r="Q236" s="1024"/>
    </row>
    <row r="237" spans="1:17">
      <c r="A237" s="1018" t="s">
        <v>1567</v>
      </c>
      <c r="B237" s="460" t="s">
        <v>114</v>
      </c>
      <c r="C237" s="1092" t="s">
        <v>906</v>
      </c>
      <c r="D237" s="1389">
        <v>46030</v>
      </c>
      <c r="E237" t="s">
        <v>1868</v>
      </c>
      <c r="F237" s="1311">
        <v>0</v>
      </c>
      <c r="G237" s="1311">
        <v>36032140</v>
      </c>
      <c r="H237" s="1082">
        <f t="shared" si="12"/>
        <v>-36032140</v>
      </c>
      <c r="I237" s="1333" t="s">
        <v>53</v>
      </c>
      <c r="J237" s="1334" t="str">
        <f>VLOOKUP(C237,Acc_Char!B:K,3,)</f>
        <v>NDV PROJECT CO</v>
      </c>
      <c r="K237" s="1334" t="str">
        <f>VLOOKUP(C237,Acc_Char!B:K,7,)</f>
        <v>Subsidiaries</v>
      </c>
      <c r="L237" s="1334" t="str">
        <f t="shared" si="13"/>
        <v>Operating expense</v>
      </c>
      <c r="M237" s="1335" t="str">
        <f>VLOOKUP(C237,Acc_Char!B:K,5,)</f>
        <v>VND</v>
      </c>
      <c r="N237" s="1335" t="str">
        <f>VLOOKUP(C237,Acc_Char!B:K,6,)</f>
        <v>Current Account</v>
      </c>
      <c r="O237" s="1336" t="str">
        <f>Summary!$B$4</f>
        <v>W1-2Jan26</v>
      </c>
      <c r="P237" s="1334" t="str">
        <f t="shared" si="14"/>
        <v>8620004064</v>
      </c>
      <c r="Q237" s="1024"/>
    </row>
    <row r="238" spans="1:17">
      <c r="A238" s="1018" t="s">
        <v>1591</v>
      </c>
      <c r="B238" s="460" t="s">
        <v>114</v>
      </c>
      <c r="C238" s="1092" t="s">
        <v>568</v>
      </c>
      <c r="D238" s="1389" t="s">
        <v>1657</v>
      </c>
      <c r="E238" t="s">
        <v>1869</v>
      </c>
      <c r="F238" s="1311">
        <v>0</v>
      </c>
      <c r="G238" s="1311">
        <v>357382211</v>
      </c>
      <c r="H238" s="1082">
        <f t="shared" si="12"/>
        <v>-357382211</v>
      </c>
      <c r="I238" s="1333" t="s">
        <v>53</v>
      </c>
      <c r="J238" s="1334" t="str">
        <f>VLOOKUP(C238,Acc_Char!B:K,3,)</f>
        <v>KIM TRUC DN</v>
      </c>
      <c r="K238" s="1334" t="str">
        <f>VLOOKUP(C238,Acc_Char!B:K,7,)</f>
        <v>Subsidiaries</v>
      </c>
      <c r="L238" s="1334" t="str">
        <f t="shared" si="13"/>
        <v>Operating expense</v>
      </c>
      <c r="M238" s="1335" t="str">
        <f>VLOOKUP(C238,Acc_Char!B:K,5,)</f>
        <v>VND</v>
      </c>
      <c r="N238" s="1335" t="str">
        <f>VLOOKUP(C238,Acc_Char!B:K,6,)</f>
        <v>Current Account</v>
      </c>
      <c r="O238" s="1336" t="str">
        <f>Summary!$B$4</f>
        <v>W1-2Jan26</v>
      </c>
      <c r="P238" s="1334" t="str">
        <f t="shared" si="14"/>
        <v>1329397986</v>
      </c>
      <c r="Q238" s="1024"/>
    </row>
    <row r="239" spans="1:17">
      <c r="A239" s="1018" t="s">
        <v>1591</v>
      </c>
      <c r="B239" s="460" t="s">
        <v>114</v>
      </c>
      <c r="C239" s="1092" t="s">
        <v>568</v>
      </c>
      <c r="D239" s="1389" t="s">
        <v>1870</v>
      </c>
      <c r="E239" t="s">
        <v>1871</v>
      </c>
      <c r="F239" s="1311">
        <v>0</v>
      </c>
      <c r="G239" s="1311">
        <v>3240000</v>
      </c>
      <c r="H239" s="1082">
        <f t="shared" si="12"/>
        <v>-3240000</v>
      </c>
      <c r="I239" s="1333" t="s">
        <v>53</v>
      </c>
      <c r="J239" s="1334" t="str">
        <f>VLOOKUP(C239,Acc_Char!B:K,3,)</f>
        <v>KIM TRUC DN</v>
      </c>
      <c r="K239" s="1334" t="str">
        <f>VLOOKUP(C239,Acc_Char!B:K,7,)</f>
        <v>Subsidiaries</v>
      </c>
      <c r="L239" s="1334" t="str">
        <f t="shared" si="13"/>
        <v>Operating expense</v>
      </c>
      <c r="M239" s="1335" t="str">
        <f>VLOOKUP(C239,Acc_Char!B:K,5,)</f>
        <v>VND</v>
      </c>
      <c r="N239" s="1335" t="str">
        <f>VLOOKUP(C239,Acc_Char!B:K,6,)</f>
        <v>Current Account</v>
      </c>
      <c r="O239" s="1336" t="str">
        <f>Summary!$B$4</f>
        <v>W1-2Jan26</v>
      </c>
      <c r="P239" s="1334" t="str">
        <f t="shared" si="14"/>
        <v>1329397986</v>
      </c>
      <c r="Q239" s="1024"/>
    </row>
    <row r="240" spans="1:17">
      <c r="A240" s="1018" t="s">
        <v>1567</v>
      </c>
      <c r="B240" s="460" t="s">
        <v>1586</v>
      </c>
      <c r="C240" s="1092" t="s">
        <v>1365</v>
      </c>
      <c r="D240" s="1389">
        <v>46204</v>
      </c>
      <c r="E240" t="s">
        <v>1872</v>
      </c>
      <c r="F240" s="1311">
        <v>0</v>
      </c>
      <c r="G240" s="1311">
        <v>1541713485</v>
      </c>
      <c r="H240" s="1082">
        <f t="shared" si="12"/>
        <v>-1541713485</v>
      </c>
      <c r="I240" s="1333" t="s">
        <v>54</v>
      </c>
      <c r="J240" s="1334" t="str">
        <f>VLOOKUP(C240,Acc_Char!B:K,3,)</f>
        <v>BW MY PHUOC 3</v>
      </c>
      <c r="K240" s="1334" t="str">
        <f>VLOOKUP(C240,Acc_Char!B:K,7,)</f>
        <v>Subsidiaries</v>
      </c>
      <c r="L240" s="1334" t="str">
        <f t="shared" si="13"/>
        <v>Loan repayment</v>
      </c>
      <c r="M240" s="1335" t="str">
        <f>VLOOKUP(C240,Acc_Char!B:K,5,)</f>
        <v>VND</v>
      </c>
      <c r="N240" s="1335" t="str">
        <f>VLOOKUP(C240,Acc_Char!B:K,6,)</f>
        <v>Current Account</v>
      </c>
      <c r="O240" s="1336" t="str">
        <f>Summary!$B$4</f>
        <v>W1-2Jan26</v>
      </c>
      <c r="P240" s="1334" t="str">
        <f t="shared" si="14"/>
        <v>100700488689</v>
      </c>
    </row>
    <row r="241" spans="1:17">
      <c r="A241" s="1018" t="s">
        <v>1567</v>
      </c>
      <c r="B241" s="460" t="s">
        <v>1586</v>
      </c>
      <c r="C241" s="1092" t="s">
        <v>1365</v>
      </c>
      <c r="D241" s="1389">
        <v>46204</v>
      </c>
      <c r="E241" t="s">
        <v>1872</v>
      </c>
      <c r="F241" s="1311">
        <v>0</v>
      </c>
      <c r="G241" s="1311">
        <v>358733013</v>
      </c>
      <c r="H241" s="1082">
        <f t="shared" si="12"/>
        <v>-358733013</v>
      </c>
      <c r="I241" s="1333" t="s">
        <v>54</v>
      </c>
      <c r="J241" s="1334" t="str">
        <f>VLOOKUP(C241,Acc_Char!B:K,3,)</f>
        <v>BW MY PHUOC 3</v>
      </c>
      <c r="K241" s="1334" t="str">
        <f>VLOOKUP(C241,Acc_Char!B:K,7,)</f>
        <v>Subsidiaries</v>
      </c>
      <c r="L241" s="1334" t="str">
        <f t="shared" si="13"/>
        <v>Loan repayment</v>
      </c>
      <c r="M241" s="1335" t="str">
        <f>VLOOKUP(C241,Acc_Char!B:K,5,)</f>
        <v>VND</v>
      </c>
      <c r="N241" s="1335" t="str">
        <f>VLOOKUP(C241,Acc_Char!B:K,6,)</f>
        <v>Current Account</v>
      </c>
      <c r="O241" s="1336" t="str">
        <f>Summary!$B$4</f>
        <v>W1-2Jan26</v>
      </c>
      <c r="P241" s="1334" t="str">
        <f t="shared" si="14"/>
        <v>100700488689</v>
      </c>
    </row>
    <row r="242" spans="1:17">
      <c r="A242" s="1018" t="s">
        <v>1591</v>
      </c>
      <c r="B242" s="460" t="s">
        <v>110</v>
      </c>
      <c r="C242" s="1092" t="s">
        <v>1407</v>
      </c>
      <c r="D242" s="1389" t="s">
        <v>1873</v>
      </c>
      <c r="E242" t="s">
        <v>1874</v>
      </c>
      <c r="F242" s="1311">
        <v>535259340</v>
      </c>
      <c r="G242" s="1311">
        <v>0</v>
      </c>
      <c r="H242" s="1283">
        <f t="shared" si="12"/>
        <v>535259340</v>
      </c>
      <c r="I242" s="1333" t="s">
        <v>39</v>
      </c>
      <c r="J242" s="1334" t="str">
        <f>VLOOKUP(C242,Acc_Char!B:K,3,)</f>
        <v>BW NAM DINH VU</v>
      </c>
      <c r="K242" s="1334" t="str">
        <f>VLOOKUP(C242,Acc_Char!B:K,7,)</f>
        <v>Subsidiaries</v>
      </c>
      <c r="L242" s="1334" t="str">
        <f t="shared" si="13"/>
        <v>Receipt from tenants</v>
      </c>
      <c r="M242" s="1335" t="str">
        <f>VLOOKUP(C242,Acc_Char!B:K,5,)</f>
        <v>VND</v>
      </c>
      <c r="N242" s="1335" t="str">
        <f>VLOOKUP(C242,Acc_Char!B:K,6,)</f>
        <v>Current Account</v>
      </c>
      <c r="O242" s="1336" t="str">
        <f>Summary!$B$4</f>
        <v>W1-2Jan26</v>
      </c>
      <c r="P242" s="1334" t="str">
        <f t="shared" si="14"/>
        <v>116632406789</v>
      </c>
    </row>
    <row r="243" spans="1:17">
      <c r="A243" s="1018" t="s">
        <v>1591</v>
      </c>
      <c r="B243" s="460" t="s">
        <v>110</v>
      </c>
      <c r="C243" s="1092" t="s">
        <v>1407</v>
      </c>
      <c r="D243" s="1389" t="s">
        <v>1875</v>
      </c>
      <c r="E243" t="s">
        <v>1876</v>
      </c>
      <c r="F243" s="1311">
        <v>1263662766</v>
      </c>
      <c r="G243" s="1311">
        <v>0</v>
      </c>
      <c r="H243" s="1082">
        <f t="shared" si="12"/>
        <v>1263662766</v>
      </c>
      <c r="I243" s="1333" t="s">
        <v>39</v>
      </c>
      <c r="J243" s="1334" t="str">
        <f>VLOOKUP(C243,Acc_Char!B:K,3,)</f>
        <v>BW NAM DINH VU</v>
      </c>
      <c r="K243" s="1334" t="str">
        <f>VLOOKUP(C243,Acc_Char!B:K,7,)</f>
        <v>Subsidiaries</v>
      </c>
      <c r="L243" s="1334" t="str">
        <f t="shared" si="13"/>
        <v>Receipt from tenants</v>
      </c>
      <c r="M243" s="1335" t="str">
        <f>VLOOKUP(C243,Acc_Char!B:K,5,)</f>
        <v>VND</v>
      </c>
      <c r="N243" s="1335" t="str">
        <f>VLOOKUP(C243,Acc_Char!B:K,6,)</f>
        <v>Current Account</v>
      </c>
      <c r="O243" s="1336" t="str">
        <f>Summary!$B$4</f>
        <v>W1-2Jan26</v>
      </c>
      <c r="P243" s="1334" t="str">
        <f t="shared" si="14"/>
        <v>116632406789</v>
      </c>
    </row>
    <row r="244" spans="1:17">
      <c r="A244" s="1018" t="s">
        <v>1567</v>
      </c>
      <c r="B244" s="460" t="s">
        <v>202</v>
      </c>
      <c r="C244" s="1092" t="s">
        <v>974</v>
      </c>
      <c r="D244" s="1389">
        <v>46204</v>
      </c>
      <c r="E244" t="s">
        <v>1877</v>
      </c>
      <c r="F244" s="1311">
        <v>201965731</v>
      </c>
      <c r="G244" s="1311">
        <v>0</v>
      </c>
      <c r="H244" s="1082">
        <f t="shared" si="12"/>
        <v>201965731</v>
      </c>
      <c r="I244" s="1333" t="s">
        <v>41</v>
      </c>
      <c r="J244" s="1334" t="str">
        <f>VLOOKUP(C244,Acc_Char!B:K,3,)</f>
        <v>SAO HOA</v>
      </c>
      <c r="K244" s="1334" t="str">
        <f>VLOOKUP(C244,Acc_Char!B:K,7,)</f>
        <v>VC3</v>
      </c>
      <c r="L244" s="1334" t="str">
        <f t="shared" si="13"/>
        <v>Internal transfer in</v>
      </c>
      <c r="M244" s="1335" t="str">
        <f>VLOOKUP(C244,Acc_Char!B:K,5,)</f>
        <v>VND</v>
      </c>
      <c r="N244" s="1335" t="str">
        <f>VLOOKUP(C244,Acc_Char!B:K,6,)</f>
        <v>Current Account</v>
      </c>
      <c r="O244" s="1336" t="str">
        <f>Summary!$B$4</f>
        <v>W1-2Jan26</v>
      </c>
      <c r="P244" s="1334" t="str">
        <f t="shared" si="14"/>
        <v>1053037351</v>
      </c>
    </row>
    <row r="245" spans="1:17" ht="52.8">
      <c r="A245" s="1018" t="s">
        <v>1567</v>
      </c>
      <c r="B245" s="1335" t="s">
        <v>202</v>
      </c>
      <c r="C245" s="1092" t="s">
        <v>974</v>
      </c>
      <c r="D245" s="1395" t="s">
        <v>1878</v>
      </c>
      <c r="E245" s="1338" t="s">
        <v>1879</v>
      </c>
      <c r="F245" s="1314">
        <v>1225656987</v>
      </c>
      <c r="G245" s="1314">
        <v>0</v>
      </c>
      <c r="H245" s="1082">
        <f t="shared" si="12"/>
        <v>1225656987</v>
      </c>
      <c r="I245" s="1333" t="s">
        <v>41</v>
      </c>
      <c r="J245" s="1334" t="str">
        <f>VLOOKUP(C245,Acc_Char!B:K,3,)</f>
        <v>SAO HOA</v>
      </c>
      <c r="K245" s="1334" t="str">
        <f>VLOOKUP(C245,Acc_Char!B:K,7,)</f>
        <v>VC3</v>
      </c>
      <c r="L245" s="1334" t="str">
        <f t="shared" si="13"/>
        <v>Internal transfer in</v>
      </c>
      <c r="M245" s="1335" t="str">
        <f>VLOOKUP(C245,Acc_Char!B:K,5,)</f>
        <v>VND</v>
      </c>
      <c r="N245" s="1335" t="str">
        <f>VLOOKUP(C245,Acc_Char!B:K,6,)</f>
        <v>Current Account</v>
      </c>
      <c r="O245" s="1336" t="str">
        <f>Summary!$B$4</f>
        <v>W1-2Jan26</v>
      </c>
      <c r="P245" s="1334" t="str">
        <f t="shared" si="14"/>
        <v>1053037351</v>
      </c>
    </row>
    <row r="246" spans="1:17">
      <c r="A246" s="1018" t="s">
        <v>1591</v>
      </c>
      <c r="B246" s="1335" t="s">
        <v>110</v>
      </c>
      <c r="C246" s="1092" t="s">
        <v>507</v>
      </c>
      <c r="D246" s="1389" t="s">
        <v>1880</v>
      </c>
      <c r="E246" s="1338" t="s">
        <v>1881</v>
      </c>
      <c r="F246" s="1312">
        <v>3421735</v>
      </c>
      <c r="G246" s="1314">
        <v>0</v>
      </c>
      <c r="H246" s="1082">
        <f t="shared" si="12"/>
        <v>3421735</v>
      </c>
      <c r="I246" s="1333" t="s">
        <v>39</v>
      </c>
      <c r="J246" s="1334" t="str">
        <f>VLOOKUP(C246,Acc_Char!B:K,3,)</f>
        <v>BWID HAI DUONG 2</v>
      </c>
      <c r="K246" s="1334" t="str">
        <f>VLOOKUP(C246,Acc_Char!B:K,7,)</f>
        <v>Subsidiaries</v>
      </c>
      <c r="L246" s="1334" t="str">
        <f t="shared" si="13"/>
        <v>Receipt from tenants</v>
      </c>
      <c r="M246" s="1335" t="str">
        <f>VLOOKUP(C246,Acc_Char!B:K,5,)</f>
        <v>VND</v>
      </c>
      <c r="N246" s="1335" t="str">
        <f>VLOOKUP(C246,Acc_Char!B:K,6,)</f>
        <v>Current Account</v>
      </c>
      <c r="O246" s="1336" t="str">
        <f>Summary!$B$4</f>
        <v>W1-2Jan26</v>
      </c>
      <c r="P246" s="1334" t="str">
        <f t="shared" si="14"/>
        <v>118006028888</v>
      </c>
    </row>
    <row r="247" spans="1:17">
      <c r="A247" s="1018" t="s">
        <v>1591</v>
      </c>
      <c r="B247" s="1335" t="s">
        <v>110</v>
      </c>
      <c r="C247" s="1092" t="s">
        <v>507</v>
      </c>
      <c r="D247" s="1389" t="s">
        <v>1882</v>
      </c>
      <c r="E247" s="1338" t="s">
        <v>1883</v>
      </c>
      <c r="F247" s="1312">
        <v>858153281</v>
      </c>
      <c r="G247" s="1314">
        <v>0</v>
      </c>
      <c r="H247" s="1082">
        <f t="shared" si="12"/>
        <v>858153281</v>
      </c>
      <c r="I247" s="1333" t="s">
        <v>39</v>
      </c>
      <c r="J247" s="1334" t="str">
        <f>VLOOKUP(C247,Acc_Char!B:K,3,)</f>
        <v>BWID HAI DUONG 2</v>
      </c>
      <c r="K247" s="1334" t="str">
        <f>VLOOKUP(C247,Acc_Char!B:K,7,)</f>
        <v>Subsidiaries</v>
      </c>
      <c r="L247" s="1334" t="str">
        <f t="shared" si="13"/>
        <v>Receipt from tenants</v>
      </c>
      <c r="M247" s="1335" t="str">
        <f>VLOOKUP(C247,Acc_Char!B:K,5,)</f>
        <v>VND</v>
      </c>
      <c r="N247" s="1335" t="str">
        <f>VLOOKUP(C247,Acc_Char!B:K,6,)</f>
        <v>Current Account</v>
      </c>
      <c r="O247" s="1336" t="str">
        <f>Summary!$B$4</f>
        <v>W1-2Jan26</v>
      </c>
      <c r="P247" s="1334" t="str">
        <f t="shared" si="14"/>
        <v>118006028888</v>
      </c>
    </row>
    <row r="248" spans="1:17">
      <c r="A248" s="1018" t="s">
        <v>1567</v>
      </c>
      <c r="B248" s="1335" t="s">
        <v>1586</v>
      </c>
      <c r="C248" s="1092" t="s">
        <v>1364</v>
      </c>
      <c r="D248" s="1389">
        <v>46143</v>
      </c>
      <c r="E248" s="1398" t="s">
        <v>1884</v>
      </c>
      <c r="F248" s="1314">
        <v>0</v>
      </c>
      <c r="G248" s="1314">
        <v>2734251880</v>
      </c>
      <c r="H248" s="1082">
        <f t="shared" si="12"/>
        <v>-2734251880</v>
      </c>
      <c r="I248" s="1333" t="s">
        <v>53</v>
      </c>
      <c r="J248" s="1334" t="str">
        <f>VLOOKUP(C248,Acc_Char!B:K,3,)</f>
        <v>BW MY PHUOC 3</v>
      </c>
      <c r="K248" s="1334" t="str">
        <f>VLOOKUP(C248,Acc_Char!B:K,7,)</f>
        <v>Subsidiaries</v>
      </c>
      <c r="L248" s="1334" t="str">
        <f t="shared" si="13"/>
        <v>Operating expense</v>
      </c>
      <c r="M248" s="1335" t="str">
        <f>VLOOKUP(C248,Acc_Char!B:K,5,)</f>
        <v>VND</v>
      </c>
      <c r="N248" s="1335" t="str">
        <f>VLOOKUP(C248,Acc_Char!B:K,6,)</f>
        <v>Current Account</v>
      </c>
      <c r="O248" s="1336" t="str">
        <f>Summary!$B$4</f>
        <v>W1-2Jan26</v>
      </c>
      <c r="P248" s="1334" t="str">
        <f t="shared" si="14"/>
        <v>100700488679</v>
      </c>
    </row>
    <row r="249" spans="1:17">
      <c r="A249" s="1018" t="s">
        <v>1567</v>
      </c>
      <c r="B249" s="1335" t="s">
        <v>1586</v>
      </c>
      <c r="C249" s="1092" t="s">
        <v>1364</v>
      </c>
      <c r="D249" s="1389">
        <v>46143</v>
      </c>
      <c r="E249" s="1398" t="s">
        <v>1885</v>
      </c>
      <c r="F249" s="1314">
        <v>0</v>
      </c>
      <c r="G249" s="1314">
        <v>2734251880</v>
      </c>
      <c r="H249" s="1082">
        <f t="shared" si="12"/>
        <v>-2734251880</v>
      </c>
      <c r="I249" s="1333" t="s">
        <v>53</v>
      </c>
      <c r="J249" s="1334" t="str">
        <f>VLOOKUP(C249,Acc_Char!B:K,3,)</f>
        <v>BW MY PHUOC 3</v>
      </c>
      <c r="K249" s="1334" t="str">
        <f>VLOOKUP(C249,Acc_Char!B:K,7,)</f>
        <v>Subsidiaries</v>
      </c>
      <c r="L249" s="1334" t="str">
        <f t="shared" si="13"/>
        <v>Operating expense</v>
      </c>
      <c r="M249" s="1335" t="str">
        <f>VLOOKUP(C249,Acc_Char!B:K,5,)</f>
        <v>VND</v>
      </c>
      <c r="N249" s="1335" t="str">
        <f>VLOOKUP(C249,Acc_Char!B:K,6,)</f>
        <v>Current Account</v>
      </c>
      <c r="O249" s="1336" t="str">
        <f>Summary!$B$4</f>
        <v>W1-2Jan26</v>
      </c>
      <c r="P249" s="1334" t="str">
        <f t="shared" si="14"/>
        <v>100700488679</v>
      </c>
    </row>
    <row r="250" spans="1:17" ht="26.4">
      <c r="A250" s="1018" t="s">
        <v>1567</v>
      </c>
      <c r="B250" s="1335" t="s">
        <v>198</v>
      </c>
      <c r="C250" s="1092" t="s">
        <v>1078</v>
      </c>
      <c r="D250" s="1389">
        <v>46235</v>
      </c>
      <c r="E250" s="1338" t="s">
        <v>1886</v>
      </c>
      <c r="F250" s="1312">
        <v>1071722311</v>
      </c>
      <c r="G250" s="1312">
        <v>0</v>
      </c>
      <c r="H250" s="1082">
        <f t="shared" si="12"/>
        <v>1071722311</v>
      </c>
      <c r="I250" s="1333" t="s">
        <v>39</v>
      </c>
      <c r="J250" s="1334" t="str">
        <f>VLOOKUP(C250,Acc_Char!B:K,3,)</f>
        <v>BWID TAN DONG HIEP</v>
      </c>
      <c r="K250" s="1334" t="str">
        <f>VLOOKUP(C250,Acc_Char!B:K,7,)</f>
        <v>Subsidiaries</v>
      </c>
      <c r="L250" s="1334" t="str">
        <f t="shared" si="13"/>
        <v>Receipt from tenants</v>
      </c>
      <c r="M250" s="1335" t="str">
        <f>VLOOKUP(C250,Acc_Char!B:K,5,)</f>
        <v>VND</v>
      </c>
      <c r="N250" s="1335" t="str">
        <f>VLOOKUP(C250,Acc_Char!B:K,6,)</f>
        <v>Current Account</v>
      </c>
      <c r="O250" s="1336" t="str">
        <f>Summary!$B$4</f>
        <v>W1-2Jan26</v>
      </c>
      <c r="P250" s="1334" t="str">
        <f t="shared" si="14"/>
        <v>7000800109999</v>
      </c>
    </row>
    <row r="251" spans="1:17">
      <c r="A251" s="1018" t="s">
        <v>1567</v>
      </c>
      <c r="B251" s="1335" t="s">
        <v>114</v>
      </c>
      <c r="C251" s="1092" t="s">
        <v>892</v>
      </c>
      <c r="D251" s="1389">
        <v>46030</v>
      </c>
      <c r="E251" s="1338" t="s">
        <v>1887</v>
      </c>
      <c r="F251" s="1312">
        <v>0</v>
      </c>
      <c r="G251" s="1312">
        <v>251913240</v>
      </c>
      <c r="H251" s="1082">
        <f t="shared" si="12"/>
        <v>-251913240</v>
      </c>
      <c r="I251" s="1333" t="s">
        <v>53</v>
      </c>
      <c r="J251" s="1334" t="str">
        <f>VLOOKUP(C251,Acc_Char!B:K,3,)</f>
        <v>NSHL LLC</v>
      </c>
      <c r="K251" s="1334" t="str">
        <f>VLOOKUP(C251,Acc_Char!B:K,7,)</f>
        <v>Subsidiaries</v>
      </c>
      <c r="L251" s="1334" t="str">
        <f t="shared" si="13"/>
        <v>Operating expense</v>
      </c>
      <c r="M251" s="1335" t="str">
        <f>VLOOKUP(C251,Acc_Char!B:K,5,)</f>
        <v>VND</v>
      </c>
      <c r="N251" s="1335" t="str">
        <f>VLOOKUP(C251,Acc_Char!B:K,6,)</f>
        <v>Current Account</v>
      </c>
      <c r="O251" s="1336" t="str">
        <f>Summary!$B$4</f>
        <v>W1-2Jan26</v>
      </c>
      <c r="P251" s="1334" t="str">
        <f t="shared" si="14"/>
        <v>2225179735</v>
      </c>
      <c r="Q251" s="1024"/>
    </row>
    <row r="252" spans="1:17">
      <c r="A252" s="1018" t="s">
        <v>1591</v>
      </c>
      <c r="B252" s="1335" t="s">
        <v>110</v>
      </c>
      <c r="C252" s="1092" t="s">
        <v>500</v>
      </c>
      <c r="D252" s="1389" t="s">
        <v>1888</v>
      </c>
      <c r="E252" s="1338" t="s">
        <v>1889</v>
      </c>
      <c r="F252" s="1312">
        <v>617901477</v>
      </c>
      <c r="G252" s="1312">
        <v>0</v>
      </c>
      <c r="H252" s="1082">
        <f t="shared" si="12"/>
        <v>617901477</v>
      </c>
      <c r="I252" s="1333" t="s">
        <v>39</v>
      </c>
      <c r="J252" s="1334" t="str">
        <f>VLOOKUP(C252,Acc_Char!B:K,3,)</f>
        <v>BWID HAI DUONG</v>
      </c>
      <c r="K252" s="1334" t="str">
        <f>VLOOKUP(C252,Acc_Char!B:K,7,)</f>
        <v>Subsidiaries</v>
      </c>
      <c r="L252" s="1334" t="str">
        <f t="shared" si="13"/>
        <v>Receipt from tenants</v>
      </c>
      <c r="M252" s="1335" t="str">
        <f>VLOOKUP(C252,Acc_Char!B:K,5,)</f>
        <v>VND</v>
      </c>
      <c r="N252" s="1335" t="str">
        <f>VLOOKUP(C252,Acc_Char!B:K,6,)</f>
        <v>Current Account</v>
      </c>
      <c r="O252" s="1336" t="str">
        <f>Summary!$B$4</f>
        <v>W1-2Jan26</v>
      </c>
      <c r="P252" s="1334" t="str">
        <f t="shared" si="14"/>
        <v>111007158888</v>
      </c>
    </row>
    <row r="253" spans="1:17">
      <c r="A253" s="1018" t="s">
        <v>1591</v>
      </c>
      <c r="B253" s="1335" t="s">
        <v>110</v>
      </c>
      <c r="C253" s="1092" t="s">
        <v>500</v>
      </c>
      <c r="D253" s="1389" t="s">
        <v>1890</v>
      </c>
      <c r="E253" s="1338" t="s">
        <v>1891</v>
      </c>
      <c r="F253" s="1312">
        <v>1732936</v>
      </c>
      <c r="G253" s="1312">
        <v>0</v>
      </c>
      <c r="H253" s="1082">
        <f t="shared" ref="H253:H316" si="15">F253-G253</f>
        <v>1732936</v>
      </c>
      <c r="I253" s="1333" t="s">
        <v>39</v>
      </c>
      <c r="J253" s="1334" t="str">
        <f>VLOOKUP(C253,Acc_Char!B:K,3,)</f>
        <v>BWID HAI DUONG</v>
      </c>
      <c r="K253" s="1334" t="str">
        <f>VLOOKUP(C253,Acc_Char!B:K,7,)</f>
        <v>Subsidiaries</v>
      </c>
      <c r="L253" s="1334" t="str">
        <f t="shared" si="13"/>
        <v>Receipt from tenants</v>
      </c>
      <c r="M253" s="1335" t="str">
        <f>VLOOKUP(C253,Acc_Char!B:K,5,)</f>
        <v>VND</v>
      </c>
      <c r="N253" s="1335" t="str">
        <f>VLOOKUP(C253,Acc_Char!B:K,6,)</f>
        <v>Current Account</v>
      </c>
      <c r="O253" s="1336" t="str">
        <f>Summary!$B$4</f>
        <v>W1-2Jan26</v>
      </c>
      <c r="P253" s="1334" t="str">
        <f t="shared" si="14"/>
        <v>111007158888</v>
      </c>
    </row>
    <row r="254" spans="1:17">
      <c r="A254" s="1018" t="s">
        <v>1567</v>
      </c>
      <c r="B254" s="1335" t="s">
        <v>110</v>
      </c>
      <c r="C254" s="1092" t="s">
        <v>1033</v>
      </c>
      <c r="D254" s="1389">
        <v>46204</v>
      </c>
      <c r="E254" s="1338" t="s">
        <v>1892</v>
      </c>
      <c r="F254" s="1312">
        <v>0</v>
      </c>
      <c r="G254" s="1312">
        <v>24735268</v>
      </c>
      <c r="H254" s="1082">
        <f t="shared" si="15"/>
        <v>-24735268</v>
      </c>
      <c r="I254" s="1333" t="s">
        <v>53</v>
      </c>
      <c r="J254" s="1334" t="str">
        <f>VLOOKUP(C254,Acc_Char!B:K,3,)</f>
        <v>PHU AN THANH</v>
      </c>
      <c r="K254" s="1334" t="str">
        <f>VLOOKUP(C254,Acc_Char!B:K,7,)</f>
        <v>Subsidiaries</v>
      </c>
      <c r="L254" s="1334" t="str">
        <f t="shared" si="13"/>
        <v>Operating expense</v>
      </c>
      <c r="M254" s="1335" t="str">
        <f>VLOOKUP(C254,Acc_Char!B:K,5,)</f>
        <v>VND</v>
      </c>
      <c r="N254" s="1335" t="str">
        <f>VLOOKUP(C254,Acc_Char!B:K,6,)</f>
        <v>Current Account</v>
      </c>
      <c r="O254" s="1336" t="str">
        <f>Summary!$B$4</f>
        <v>W1-2Jan26</v>
      </c>
      <c r="P254" s="1334" t="str">
        <f t="shared" si="14"/>
        <v>115002972462</v>
      </c>
    </row>
    <row r="255" spans="1:17">
      <c r="A255" s="1018" t="s">
        <v>1591</v>
      </c>
      <c r="B255" s="1335" t="s">
        <v>114</v>
      </c>
      <c r="C255" s="1092" t="s">
        <v>568</v>
      </c>
      <c r="D255" s="1389" t="s">
        <v>1893</v>
      </c>
      <c r="E255" s="1338" t="s">
        <v>1894</v>
      </c>
      <c r="F255" s="1312">
        <v>0</v>
      </c>
      <c r="G255" s="1312">
        <v>55000</v>
      </c>
      <c r="H255" s="1082">
        <f t="shared" si="15"/>
        <v>-55000</v>
      </c>
      <c r="I255" s="1333" t="s">
        <v>53</v>
      </c>
      <c r="J255" s="1334" t="str">
        <f>VLOOKUP(C255,Acc_Char!B:K,3,)</f>
        <v>KIM TRUC DN</v>
      </c>
      <c r="K255" s="1334" t="str">
        <f>VLOOKUP(C255,Acc_Char!B:K,7,)</f>
        <v>Subsidiaries</v>
      </c>
      <c r="L255" s="1334" t="str">
        <f t="shared" si="13"/>
        <v>Operating expense</v>
      </c>
      <c r="M255" s="1335" t="str">
        <f>VLOOKUP(C255,Acc_Char!B:K,5,)</f>
        <v>VND</v>
      </c>
      <c r="N255" s="1335" t="str">
        <f>VLOOKUP(C255,Acc_Char!B:K,6,)</f>
        <v>Current Account</v>
      </c>
      <c r="O255" s="1336" t="str">
        <f>Summary!$B$4</f>
        <v>W1-2Jan26</v>
      </c>
      <c r="P255" s="1334" t="str">
        <f t="shared" si="14"/>
        <v>1329397986</v>
      </c>
    </row>
    <row r="256" spans="1:17">
      <c r="A256" s="1018" t="s">
        <v>1567</v>
      </c>
      <c r="B256" s="1335" t="s">
        <v>114</v>
      </c>
      <c r="C256" s="1092" t="s">
        <v>727</v>
      </c>
      <c r="D256" s="1389">
        <v>46030</v>
      </c>
      <c r="E256" s="1338" t="s">
        <v>1895</v>
      </c>
      <c r="F256" s="1312">
        <v>0</v>
      </c>
      <c r="G256" s="1312">
        <v>55000</v>
      </c>
      <c r="H256" s="1082">
        <f t="shared" si="15"/>
        <v>-55000</v>
      </c>
      <c r="I256" s="1333" t="s">
        <v>53</v>
      </c>
      <c r="J256" s="1334" t="str">
        <f>VLOOKUP(C256,Acc_Char!B:K,3,)</f>
        <v>HOLDCO4N</v>
      </c>
      <c r="K256" s="1334" t="str">
        <f>VLOOKUP(C256,Acc_Char!B:K,7,)</f>
        <v>Subsidiaries</v>
      </c>
      <c r="L256" s="1334" t="str">
        <f t="shared" si="13"/>
        <v>Operating expense</v>
      </c>
      <c r="M256" s="1335" t="str">
        <f>VLOOKUP(C256,Acc_Char!B:K,5,)</f>
        <v>VND</v>
      </c>
      <c r="N256" s="1335" t="str">
        <f>VLOOKUP(C256,Acc_Char!B:K,6,)</f>
        <v>Current Account</v>
      </c>
      <c r="O256" s="1336" t="str">
        <f>Summary!$B$4</f>
        <v>W1-2Jan26</v>
      </c>
      <c r="P256" s="1334" t="str">
        <f t="shared" si="14"/>
        <v>1380504532</v>
      </c>
    </row>
    <row r="257" spans="1:16">
      <c r="A257" s="1018" t="s">
        <v>1567</v>
      </c>
      <c r="B257" s="1335" t="s">
        <v>114</v>
      </c>
      <c r="C257" s="1092" t="s">
        <v>729</v>
      </c>
      <c r="D257" s="1389">
        <v>46030</v>
      </c>
      <c r="E257" s="1399" t="s">
        <v>1896</v>
      </c>
      <c r="F257" s="1312">
        <v>0</v>
      </c>
      <c r="G257" s="1312">
        <v>55000</v>
      </c>
      <c r="H257" s="1283">
        <f t="shared" si="15"/>
        <v>-55000</v>
      </c>
      <c r="I257" s="1333" t="s">
        <v>53</v>
      </c>
      <c r="J257" s="1334" t="str">
        <f>VLOOKUP(C257,Acc_Char!B:K,3,)</f>
        <v>HOLDCO4O</v>
      </c>
      <c r="K257" s="1334" t="str">
        <f>VLOOKUP(C257,Acc_Char!B:K,7,)</f>
        <v>Subsidiaries</v>
      </c>
      <c r="L257" s="1334" t="str">
        <f t="shared" si="13"/>
        <v>Operating expense</v>
      </c>
      <c r="M257" s="1335" t="str">
        <f>VLOOKUP(C257,Acc_Char!B:K,5,)</f>
        <v>VND</v>
      </c>
      <c r="N257" s="1335" t="str">
        <f>VLOOKUP(C257,Acc_Char!B:K,6,)</f>
        <v>Current Account</v>
      </c>
      <c r="O257" s="1336" t="str">
        <f>Summary!$B$4</f>
        <v>W1-2Jan26</v>
      </c>
      <c r="P257" s="1334" t="str">
        <f t="shared" si="14"/>
        <v>1380504541</v>
      </c>
    </row>
    <row r="258" spans="1:16">
      <c r="A258" s="1018" t="s">
        <v>1567</v>
      </c>
      <c r="B258" s="1335" t="s">
        <v>114</v>
      </c>
      <c r="C258" s="1092" t="s">
        <v>731</v>
      </c>
      <c r="D258" s="1389">
        <v>46030</v>
      </c>
      <c r="E258" s="1338" t="s">
        <v>1897</v>
      </c>
      <c r="F258" s="1312">
        <v>0</v>
      </c>
      <c r="G258" s="1312">
        <v>55000</v>
      </c>
      <c r="H258" s="1082">
        <f t="shared" si="15"/>
        <v>-55000</v>
      </c>
      <c r="I258" s="1333" t="s">
        <v>53</v>
      </c>
      <c r="J258" s="1334" t="str">
        <f>VLOOKUP(C258,Acc_Char!B:K,3,)</f>
        <v>HOLDCO4P</v>
      </c>
      <c r="K258" s="1334" t="str">
        <f>VLOOKUP(C258,Acc_Char!B:K,7,)</f>
        <v>Subsidiaries</v>
      </c>
      <c r="L258" s="1334" t="str">
        <f t="shared" si="13"/>
        <v>Operating expense</v>
      </c>
      <c r="M258" s="1335" t="str">
        <f>VLOOKUP(C258,Acc_Char!B:K,5,)</f>
        <v>VND</v>
      </c>
      <c r="N258" s="1335" t="str">
        <f>VLOOKUP(C258,Acc_Char!B:K,6,)</f>
        <v>Current Account</v>
      </c>
      <c r="O258" s="1336" t="str">
        <f>Summary!$B$4</f>
        <v>W1-2Jan26</v>
      </c>
      <c r="P258" s="1334" t="str">
        <f t="shared" si="14"/>
        <v>1380504550</v>
      </c>
    </row>
    <row r="259" spans="1:16">
      <c r="A259" s="1018" t="s">
        <v>1591</v>
      </c>
      <c r="B259" s="1335" t="s">
        <v>114</v>
      </c>
      <c r="C259" s="1092" t="s">
        <v>336</v>
      </c>
      <c r="D259" s="1389" t="s">
        <v>1898</v>
      </c>
      <c r="E259" s="1338" t="s">
        <v>1899</v>
      </c>
      <c r="F259" s="1312">
        <v>0</v>
      </c>
      <c r="G259" s="1312">
        <v>55000</v>
      </c>
      <c r="H259" s="1082">
        <f t="shared" si="15"/>
        <v>-55000</v>
      </c>
      <c r="I259" s="1333" t="s">
        <v>53</v>
      </c>
      <c r="J259" s="1334" t="str">
        <f>VLOOKUP(C259,Acc_Char!B:K,3,)</f>
        <v>BW NAM DINH VU</v>
      </c>
      <c r="K259" s="1334" t="str">
        <f>VLOOKUP(C259,Acc_Char!B:K,7,)</f>
        <v>Subsidiaries</v>
      </c>
      <c r="L259" s="1334" t="str">
        <f t="shared" si="13"/>
        <v>Operating expense</v>
      </c>
      <c r="M259" s="1335" t="str">
        <f>VLOOKUP(C259,Acc_Char!B:K,5,)</f>
        <v>VND</v>
      </c>
      <c r="N259" s="1335" t="str">
        <f>VLOOKUP(C259,Acc_Char!B:K,6,)</f>
        <v>Current Account</v>
      </c>
      <c r="O259" s="1336" t="str">
        <f>Summary!$B$4</f>
        <v>W1-2Jan26</v>
      </c>
      <c r="P259" s="1334" t="str">
        <f t="shared" si="14"/>
        <v>1500871050</v>
      </c>
    </row>
    <row r="260" spans="1:16">
      <c r="A260" s="1018" t="s">
        <v>1591</v>
      </c>
      <c r="B260" s="1335" t="s">
        <v>114</v>
      </c>
      <c r="C260" s="1092" t="s">
        <v>337</v>
      </c>
      <c r="D260" s="1389" t="s">
        <v>1900</v>
      </c>
      <c r="E260" s="1338" t="s">
        <v>1901</v>
      </c>
      <c r="F260" s="1312">
        <v>0</v>
      </c>
      <c r="G260" s="1312">
        <v>2.2000000000000002</v>
      </c>
      <c r="H260" s="1082">
        <f t="shared" si="15"/>
        <v>-2.2000000000000002</v>
      </c>
      <c r="I260" s="1333" t="s">
        <v>53</v>
      </c>
      <c r="J260" s="1334" t="str">
        <f>VLOOKUP(C260,Acc_Char!B:K,3,)</f>
        <v>BW NAM DINH VU</v>
      </c>
      <c r="K260" s="1334" t="str">
        <f>VLOOKUP(C260,Acc_Char!B:K,7,)</f>
        <v>Subsidiaries</v>
      </c>
      <c r="L260" s="1334" t="str">
        <f t="shared" si="13"/>
        <v>Operating expense</v>
      </c>
      <c r="M260" s="1335" t="str">
        <f>VLOOKUP(C260,Acc_Char!B:K,5,)</f>
        <v>USD</v>
      </c>
      <c r="N260" s="1335" t="str">
        <f>VLOOKUP(C260,Acc_Char!B:K,6,)</f>
        <v>Current Account</v>
      </c>
      <c r="O260" s="1336" t="str">
        <f>Summary!$B$4</f>
        <v>W1-2Jan26</v>
      </c>
      <c r="P260" s="1334" t="str">
        <f t="shared" si="14"/>
        <v>1500019128</v>
      </c>
    </row>
    <row r="261" spans="1:16">
      <c r="A261" s="1018" t="s">
        <v>1567</v>
      </c>
      <c r="B261" s="1335" t="s">
        <v>114</v>
      </c>
      <c r="C261" s="1092" t="s">
        <v>878</v>
      </c>
      <c r="D261" s="1389">
        <v>46030</v>
      </c>
      <c r="E261" s="1338" t="s">
        <v>1902</v>
      </c>
      <c r="F261" s="1312">
        <v>0</v>
      </c>
      <c r="G261" s="1312">
        <v>55000</v>
      </c>
      <c r="H261" s="1082">
        <f t="shared" si="15"/>
        <v>-55000</v>
      </c>
      <c r="I261" s="1333" t="s">
        <v>53</v>
      </c>
      <c r="J261" s="1334" t="str">
        <f>VLOOKUP(C261,Acc_Char!B:K,3,)</f>
        <v>NDV HOLDCO 2</v>
      </c>
      <c r="K261" s="1334" t="str">
        <f>VLOOKUP(C261,Acc_Char!B:K,7,)</f>
        <v>Subsidiaries</v>
      </c>
      <c r="L261" s="1334" t="str">
        <f t="shared" ref="L261:L324" si="16">I261</f>
        <v>Operating expense</v>
      </c>
      <c r="M261" s="1335" t="str">
        <f>VLOOKUP(C261,Acc_Char!B:K,5,)</f>
        <v>VND</v>
      </c>
      <c r="N261" s="1335" t="str">
        <f>VLOOKUP(C261,Acc_Char!B:K,6,)</f>
        <v>Current Account</v>
      </c>
      <c r="O261" s="1336" t="str">
        <f>Summary!$B$4</f>
        <v>W1-2Jan26</v>
      </c>
      <c r="P261" s="1334" t="str">
        <f t="shared" ref="P261:P324" si="17">TEXT(C261,"0")</f>
        <v>2225402343</v>
      </c>
    </row>
    <row r="262" spans="1:16">
      <c r="A262" s="1018" t="s">
        <v>1567</v>
      </c>
      <c r="B262" s="1335" t="s">
        <v>114</v>
      </c>
      <c r="C262" s="1092" t="s">
        <v>876</v>
      </c>
      <c r="D262" s="1389">
        <v>46030</v>
      </c>
      <c r="E262" s="1338" t="s">
        <v>1903</v>
      </c>
      <c r="F262" s="1312">
        <v>0</v>
      </c>
      <c r="G262" s="1312">
        <v>55000</v>
      </c>
      <c r="H262" s="1082">
        <f t="shared" si="15"/>
        <v>-55000</v>
      </c>
      <c r="I262" s="1333" t="s">
        <v>53</v>
      </c>
      <c r="J262" s="1334" t="str">
        <f>VLOOKUP(C262,Acc_Char!B:K,3,)</f>
        <v>NDV HOLDCO 1</v>
      </c>
      <c r="K262" s="1334" t="str">
        <f>VLOOKUP(C262,Acc_Char!B:K,7,)</f>
        <v>Subsidiaries</v>
      </c>
      <c r="L262" s="1334" t="str">
        <f t="shared" si="16"/>
        <v>Operating expense</v>
      </c>
      <c r="M262" s="1335" t="str">
        <f>VLOOKUP(C262,Acc_Char!B:K,5,)</f>
        <v>VND</v>
      </c>
      <c r="N262" s="1335" t="str">
        <f>VLOOKUP(C262,Acc_Char!B:K,6,)</f>
        <v>Current Account</v>
      </c>
      <c r="O262" s="1336" t="str">
        <f>Summary!$B$4</f>
        <v>W1-2Jan26</v>
      </c>
      <c r="P262" s="1334" t="str">
        <f t="shared" si="17"/>
        <v>2225402352</v>
      </c>
    </row>
    <row r="263" spans="1:16">
      <c r="A263" s="1018" t="s">
        <v>1567</v>
      </c>
      <c r="B263" s="1335" t="s">
        <v>114</v>
      </c>
      <c r="C263" s="1092" t="s">
        <v>880</v>
      </c>
      <c r="D263" s="1389">
        <v>46030</v>
      </c>
      <c r="E263" s="1338" t="s">
        <v>1904</v>
      </c>
      <c r="F263" s="1312">
        <v>0</v>
      </c>
      <c r="G263" s="1312">
        <v>55000</v>
      </c>
      <c r="H263" s="1082">
        <f t="shared" si="15"/>
        <v>-55000</v>
      </c>
      <c r="I263" s="1333" t="s">
        <v>53</v>
      </c>
      <c r="J263" s="1334" t="str">
        <f>VLOOKUP(C263,Acc_Char!B:K,3,)</f>
        <v>YEN PHONG HOLDCO</v>
      </c>
      <c r="K263" s="1334" t="str">
        <f>VLOOKUP(C263,Acc_Char!B:K,7,)</f>
        <v>Subsidiaries</v>
      </c>
      <c r="L263" s="1334" t="str">
        <f t="shared" si="16"/>
        <v>Operating expense</v>
      </c>
      <c r="M263" s="1335" t="str">
        <f>VLOOKUP(C263,Acc_Char!B:K,5,)</f>
        <v>VND</v>
      </c>
      <c r="N263" s="1335" t="str">
        <f>VLOOKUP(C263,Acc_Char!B:K,6,)</f>
        <v>Current Account</v>
      </c>
      <c r="O263" s="1336" t="str">
        <f>Summary!$B$4</f>
        <v>W1-2Jan26</v>
      </c>
      <c r="P263" s="1334" t="str">
        <f t="shared" si="17"/>
        <v>2225402361</v>
      </c>
    </row>
    <row r="264" spans="1:16">
      <c r="A264" s="1018" t="s">
        <v>1591</v>
      </c>
      <c r="B264" s="1335" t="s">
        <v>114</v>
      </c>
      <c r="C264" s="1092" t="s">
        <v>517</v>
      </c>
      <c r="D264" s="1389" t="s">
        <v>1905</v>
      </c>
      <c r="E264" s="1338" t="s">
        <v>1906</v>
      </c>
      <c r="F264" s="1312">
        <v>0</v>
      </c>
      <c r="G264" s="1312">
        <v>55000</v>
      </c>
      <c r="H264" s="1082">
        <f t="shared" si="15"/>
        <v>-55000</v>
      </c>
      <c r="I264" s="1333" t="s">
        <v>53</v>
      </c>
      <c r="J264" s="1334" t="str">
        <f>VLOOKUP(C264,Acc_Char!B:K,3,)</f>
        <v>BWID HAI DUONG 3</v>
      </c>
      <c r="K264" s="1334" t="str">
        <f>VLOOKUP(C264,Acc_Char!B:K,7,)</f>
        <v>Subsidiaries</v>
      </c>
      <c r="L264" s="1334" t="str">
        <f t="shared" si="16"/>
        <v>Operating expense</v>
      </c>
      <c r="M264" s="1335" t="str">
        <f>VLOOKUP(C264,Acc_Char!B:K,5,)</f>
        <v>VND</v>
      </c>
      <c r="N264" s="1335" t="str">
        <f>VLOOKUP(C264,Acc_Char!B:K,6,)</f>
        <v>Current Account</v>
      </c>
      <c r="O264" s="1336" t="str">
        <f>Summary!$B$4</f>
        <v>W1-2Jan26</v>
      </c>
      <c r="P264" s="1334" t="str">
        <f t="shared" si="17"/>
        <v>2221133456</v>
      </c>
    </row>
    <row r="265" spans="1:16">
      <c r="A265" s="1018" t="s">
        <v>1567</v>
      </c>
      <c r="B265" s="1335" t="s">
        <v>114</v>
      </c>
      <c r="C265" s="1092" t="s">
        <v>889</v>
      </c>
      <c r="D265" s="1389">
        <v>46030</v>
      </c>
      <c r="E265" s="1338" t="s">
        <v>1907</v>
      </c>
      <c r="F265" s="1312">
        <v>0</v>
      </c>
      <c r="G265" s="1312">
        <v>110000</v>
      </c>
      <c r="H265" s="1082">
        <f t="shared" si="15"/>
        <v>-110000</v>
      </c>
      <c r="I265" s="1333" t="s">
        <v>53</v>
      </c>
      <c r="J265" s="1334" t="str">
        <f>VLOOKUP(C265,Acc_Char!B:K,3,)</f>
        <v>NSHL HOLDCO</v>
      </c>
      <c r="K265" s="1334" t="str">
        <f>VLOOKUP(C265,Acc_Char!B:K,7,)</f>
        <v>Subsidiaries</v>
      </c>
      <c r="L265" s="1334" t="str">
        <f t="shared" si="16"/>
        <v>Operating expense</v>
      </c>
      <c r="M265" s="1335" t="str">
        <f>VLOOKUP(C265,Acc_Char!B:K,5,)</f>
        <v>VND</v>
      </c>
      <c r="N265" s="1335" t="str">
        <f>VLOOKUP(C265,Acc_Char!B:K,6,)</f>
        <v>Capital Account</v>
      </c>
      <c r="O265" s="1336" t="str">
        <f>Summary!$B$4</f>
        <v>W1-2Jan26</v>
      </c>
      <c r="P265" s="1334" t="str">
        <f t="shared" si="17"/>
        <v>2225007614</v>
      </c>
    </row>
    <row r="266" spans="1:16">
      <c r="A266" s="1018" t="s">
        <v>1567</v>
      </c>
      <c r="B266" s="1335" t="s">
        <v>114</v>
      </c>
      <c r="C266" s="1092" t="s">
        <v>733</v>
      </c>
      <c r="D266" s="1389">
        <v>46030</v>
      </c>
      <c r="E266" s="1338" t="s">
        <v>1908</v>
      </c>
      <c r="F266" s="1312">
        <v>0</v>
      </c>
      <c r="G266" s="1312">
        <v>55000</v>
      </c>
      <c r="H266" s="1082">
        <f t="shared" si="15"/>
        <v>-55000</v>
      </c>
      <c r="I266" s="1333" t="s">
        <v>53</v>
      </c>
      <c r="J266" s="1334" t="str">
        <f>VLOOKUP(C266,Acc_Char!B:K,3,)</f>
        <v>HOLDCO5K</v>
      </c>
      <c r="K266" s="1334" t="str">
        <f>VLOOKUP(C266,Acc_Char!B:K,7,)</f>
        <v>Subsidiaries</v>
      </c>
      <c r="L266" s="1334" t="str">
        <f t="shared" si="16"/>
        <v>Operating expense</v>
      </c>
      <c r="M266" s="1335" t="str">
        <f>VLOOKUP(C266,Acc_Char!B:K,5,)</f>
        <v>VND</v>
      </c>
      <c r="N266" s="1335" t="str">
        <f>VLOOKUP(C266,Acc_Char!B:K,6,)</f>
        <v>Current Account</v>
      </c>
      <c r="O266" s="1336" t="str">
        <f>Summary!$B$4</f>
        <v>W1-2Jan26</v>
      </c>
      <c r="P266" s="1334" t="str">
        <f t="shared" si="17"/>
        <v>2223558666</v>
      </c>
    </row>
    <row r="267" spans="1:16">
      <c r="A267" s="1018" t="s">
        <v>1567</v>
      </c>
      <c r="B267" s="1335" t="s">
        <v>114</v>
      </c>
      <c r="C267" s="1092" t="s">
        <v>735</v>
      </c>
      <c r="D267" s="1389">
        <v>46030</v>
      </c>
      <c r="E267" s="1338" t="s">
        <v>1908</v>
      </c>
      <c r="F267" s="1312">
        <v>0</v>
      </c>
      <c r="G267" s="1312">
        <v>55000</v>
      </c>
      <c r="H267" s="1082">
        <f t="shared" si="15"/>
        <v>-55000</v>
      </c>
      <c r="I267" s="1333" t="s">
        <v>53</v>
      </c>
      <c r="J267" s="1334" t="str">
        <f>VLOOKUP(C267,Acc_Char!B:K,3,)</f>
        <v>HOLDCO5L</v>
      </c>
      <c r="K267" s="1334" t="str">
        <f>VLOOKUP(C267,Acc_Char!B:K,7,)</f>
        <v>Subsidiaries</v>
      </c>
      <c r="L267" s="1334" t="str">
        <f t="shared" si="16"/>
        <v>Operating expense</v>
      </c>
      <c r="M267" s="1335" t="str">
        <f>VLOOKUP(C267,Acc_Char!B:K,5,)</f>
        <v>VND</v>
      </c>
      <c r="N267" s="1335" t="str">
        <f>VLOOKUP(C267,Acc_Char!B:K,6,)</f>
        <v>Current Account</v>
      </c>
      <c r="O267" s="1336" t="str">
        <f>Summary!$B$4</f>
        <v>W1-2Jan26</v>
      </c>
      <c r="P267" s="1334" t="str">
        <f t="shared" si="17"/>
        <v>2221808666</v>
      </c>
    </row>
    <row r="268" spans="1:16">
      <c r="A268" s="1018" t="s">
        <v>1567</v>
      </c>
      <c r="B268" s="1335" t="s">
        <v>114</v>
      </c>
      <c r="C268" s="1092" t="s">
        <v>738</v>
      </c>
      <c r="D268" s="1389">
        <v>46030</v>
      </c>
      <c r="E268" s="1338" t="s">
        <v>1908</v>
      </c>
      <c r="F268" s="1312">
        <v>0</v>
      </c>
      <c r="G268" s="1312">
        <v>55000</v>
      </c>
      <c r="H268" s="1341">
        <f t="shared" si="15"/>
        <v>-55000</v>
      </c>
      <c r="I268" s="1333" t="s">
        <v>53</v>
      </c>
      <c r="J268" s="1334" t="str">
        <f>VLOOKUP(C268,Acc_Char!B:K,3,)</f>
        <v>HOLDCO5M</v>
      </c>
      <c r="K268" s="1334" t="str">
        <f>VLOOKUP(C268,Acc_Char!B:K,7,)</f>
        <v>Subsidiaries</v>
      </c>
      <c r="L268" s="1334" t="str">
        <f t="shared" si="16"/>
        <v>Operating expense</v>
      </c>
      <c r="M268" s="1335" t="str">
        <f>VLOOKUP(C268,Acc_Char!B:K,5,)</f>
        <v>VND</v>
      </c>
      <c r="N268" s="1335" t="str">
        <f>VLOOKUP(C268,Acc_Char!B:K,6,)</f>
        <v>Current Account</v>
      </c>
      <c r="O268" s="1336" t="str">
        <f>Summary!$B$4</f>
        <v>W1-2Jan26</v>
      </c>
      <c r="P268" s="1334" t="str">
        <f t="shared" si="17"/>
        <v>2227338666</v>
      </c>
    </row>
    <row r="269" spans="1:16">
      <c r="A269" s="1018" t="s">
        <v>1591</v>
      </c>
      <c r="B269" s="1335" t="s">
        <v>114</v>
      </c>
      <c r="C269" s="1092" t="s">
        <v>549</v>
      </c>
      <c r="D269" s="1389" t="s">
        <v>1909</v>
      </c>
      <c r="E269" s="1338" t="s">
        <v>1910</v>
      </c>
      <c r="F269" s="1312">
        <v>0</v>
      </c>
      <c r="G269" s="1312">
        <v>55000</v>
      </c>
      <c r="H269" s="1283">
        <f t="shared" si="15"/>
        <v>-55000</v>
      </c>
      <c r="I269" s="1333" t="s">
        <v>53</v>
      </c>
      <c r="J269" s="1334" t="str">
        <f>VLOOKUP(C269,Acc_Char!B:K,3,)</f>
        <v>BW DINH VU</v>
      </c>
      <c r="K269" s="1334" t="str">
        <f>VLOOKUP(C269,Acc_Char!B:K,7,)</f>
        <v>Subsidiaries</v>
      </c>
      <c r="L269" s="1334" t="str">
        <f t="shared" si="16"/>
        <v>Operating expense</v>
      </c>
      <c r="M269" s="1335" t="str">
        <f>VLOOKUP(C269,Acc_Char!B:K,5,)</f>
        <v>VND</v>
      </c>
      <c r="N269" s="1335" t="str">
        <f>VLOOKUP(C269,Acc_Char!B:K,6,)</f>
        <v>Current Account</v>
      </c>
      <c r="O269" s="1336" t="str">
        <f>Summary!$B$4</f>
        <v>W1-2Jan26</v>
      </c>
      <c r="P269" s="1334" t="str">
        <f t="shared" si="17"/>
        <v>2220151668</v>
      </c>
    </row>
    <row r="270" spans="1:16">
      <c r="A270" s="1018" t="s">
        <v>1591</v>
      </c>
      <c r="B270" s="1335" t="s">
        <v>114</v>
      </c>
      <c r="C270" s="1092" t="s">
        <v>755</v>
      </c>
      <c r="D270" s="1389" t="s">
        <v>1911</v>
      </c>
      <c r="E270" s="1399" t="s">
        <v>1910</v>
      </c>
      <c r="F270" s="1312">
        <v>0</v>
      </c>
      <c r="G270" s="1312">
        <v>55000</v>
      </c>
      <c r="H270" s="1082">
        <f t="shared" si="15"/>
        <v>-55000</v>
      </c>
      <c r="I270" s="1333" t="s">
        <v>53</v>
      </c>
      <c r="J270" s="1334" t="str">
        <f>VLOOKUP(C270,Acc_Char!B:K,3,)</f>
        <v>BAC TIEN PHONG</v>
      </c>
      <c r="K270" s="1334" t="str">
        <f>VLOOKUP(C270,Acc_Char!B:K,7,)</f>
        <v>Subsidiaries</v>
      </c>
      <c r="L270" s="1334" t="str">
        <f t="shared" si="16"/>
        <v>Operating expense</v>
      </c>
      <c r="M270" s="1335" t="str">
        <f>VLOOKUP(C270,Acc_Char!B:K,5,)</f>
        <v>VND</v>
      </c>
      <c r="N270" s="1335" t="str">
        <f>VLOOKUP(C270,Acc_Char!B:K,6,)</f>
        <v>Current Account</v>
      </c>
      <c r="O270" s="1336" t="str">
        <f>Summary!$B$4</f>
        <v>W1-2Jan26</v>
      </c>
      <c r="P270" s="1334" t="str">
        <f t="shared" si="17"/>
        <v>2220757668</v>
      </c>
    </row>
    <row r="271" spans="1:16">
      <c r="A271" s="1018" t="s">
        <v>1567</v>
      </c>
      <c r="B271" s="1335" t="s">
        <v>114</v>
      </c>
      <c r="C271" s="1092" t="s">
        <v>601</v>
      </c>
      <c r="D271" s="1389">
        <v>46030</v>
      </c>
      <c r="E271" s="1399" t="s">
        <v>1912</v>
      </c>
      <c r="F271" s="1312">
        <v>0</v>
      </c>
      <c r="G271" s="1312">
        <v>55000</v>
      </c>
      <c r="H271" s="1082">
        <f t="shared" si="15"/>
        <v>-55000</v>
      </c>
      <c r="I271" s="1333" t="s">
        <v>53</v>
      </c>
      <c r="J271" s="1334" t="str">
        <f>VLOOKUP(C271,Acc_Char!B:K,3,)</f>
        <v>SAO HOA</v>
      </c>
      <c r="K271" s="1334" t="str">
        <f>VLOOKUP(C271,Acc_Char!B:K,7,)</f>
        <v>VC3</v>
      </c>
      <c r="L271" s="1334" t="str">
        <f t="shared" si="16"/>
        <v>Operating expense</v>
      </c>
      <c r="M271" s="1335" t="str">
        <f>VLOOKUP(C271,Acc_Char!B:K,5,)</f>
        <v>VND</v>
      </c>
      <c r="N271" s="1335" t="str">
        <f>VLOOKUP(C271,Acc_Char!B:K,6,)</f>
        <v>Current Account</v>
      </c>
      <c r="O271" s="1336" t="str">
        <f>Summary!$B$4</f>
        <v>W1-2Jan26</v>
      </c>
      <c r="P271" s="1334" t="str">
        <f t="shared" si="17"/>
        <v>2221578686</v>
      </c>
    </row>
    <row r="272" spans="1:16">
      <c r="A272" s="1018" t="s">
        <v>1567</v>
      </c>
      <c r="B272" s="1335" t="s">
        <v>114</v>
      </c>
      <c r="C272" s="1092" t="s">
        <v>602</v>
      </c>
      <c r="D272" s="1389">
        <v>46030</v>
      </c>
      <c r="E272" s="1399" t="s">
        <v>1913</v>
      </c>
      <c r="F272" s="1312">
        <v>0</v>
      </c>
      <c r="G272" s="1312">
        <v>2.2000000000000002</v>
      </c>
      <c r="H272" s="1082">
        <f t="shared" si="15"/>
        <v>-2.2000000000000002</v>
      </c>
      <c r="I272" s="1333" t="s">
        <v>53</v>
      </c>
      <c r="J272" s="1334" t="str">
        <f>VLOOKUP(C272,Acc_Char!B:K,3,)</f>
        <v>SAO HOA</v>
      </c>
      <c r="K272" s="1334" t="str">
        <f>VLOOKUP(C272,Acc_Char!B:K,7,)</f>
        <v>VC3</v>
      </c>
      <c r="L272" s="1334" t="str">
        <f t="shared" si="16"/>
        <v>Operating expense</v>
      </c>
      <c r="M272" s="1335" t="str">
        <f>VLOOKUP(C272,Acc_Char!B:K,5,)</f>
        <v>USD</v>
      </c>
      <c r="N272" s="1335" t="str">
        <f>VLOOKUP(C272,Acc_Char!B:K,6,)</f>
        <v>Current Account</v>
      </c>
      <c r="O272" s="1336" t="str">
        <f>Summary!$B$4</f>
        <v>W1-2Jan26</v>
      </c>
      <c r="P272" s="1334" t="str">
        <f t="shared" si="17"/>
        <v>2229886688</v>
      </c>
    </row>
    <row r="273" spans="1:16">
      <c r="A273" s="1018" t="s">
        <v>1591</v>
      </c>
      <c r="B273" s="1335" t="s">
        <v>114</v>
      </c>
      <c r="C273" s="1092" t="s">
        <v>618</v>
      </c>
      <c r="D273" s="1389" t="s">
        <v>1914</v>
      </c>
      <c r="E273" s="1399" t="s">
        <v>1913</v>
      </c>
      <c r="F273" s="1312">
        <v>0</v>
      </c>
      <c r="G273" s="1312">
        <v>55000</v>
      </c>
      <c r="H273" s="1082">
        <f t="shared" si="15"/>
        <v>-55000</v>
      </c>
      <c r="I273" s="1333" t="s">
        <v>53</v>
      </c>
      <c r="J273" s="1334" t="str">
        <f>VLOOKUP(C273,Acc_Char!B:K,3,)</f>
        <v>BW HAI AN</v>
      </c>
      <c r="K273" s="1334" t="str">
        <f>VLOOKUP(C273,Acc_Char!B:K,7,)</f>
        <v>Subsidiaries</v>
      </c>
      <c r="L273" s="1334" t="str">
        <f t="shared" si="16"/>
        <v>Operating expense</v>
      </c>
      <c r="M273" s="1335" t="str">
        <f>VLOOKUP(C273,Acc_Char!B:K,5,)</f>
        <v>VND</v>
      </c>
      <c r="N273" s="1335" t="str">
        <f>VLOOKUP(C273,Acc_Char!B:K,6,)</f>
        <v>Current Account</v>
      </c>
      <c r="O273" s="1336" t="str">
        <f>Summary!$B$4</f>
        <v>W1-2Jan26</v>
      </c>
      <c r="P273" s="1334" t="str">
        <f t="shared" si="17"/>
        <v>2220131688</v>
      </c>
    </row>
    <row r="274" spans="1:16">
      <c r="A274" s="1018" t="s">
        <v>1567</v>
      </c>
      <c r="B274" s="1335" t="s">
        <v>114</v>
      </c>
      <c r="C274" s="1092" t="s">
        <v>892</v>
      </c>
      <c r="D274" s="1389">
        <v>46030</v>
      </c>
      <c r="E274" s="1399" t="s">
        <v>1915</v>
      </c>
      <c r="F274" s="1312">
        <v>0</v>
      </c>
      <c r="G274" s="1312">
        <v>55000</v>
      </c>
      <c r="H274" s="1082">
        <f t="shared" si="15"/>
        <v>-55000</v>
      </c>
      <c r="I274" s="1333" t="s">
        <v>53</v>
      </c>
      <c r="J274" s="1334" t="str">
        <f>VLOOKUP(C274,Acc_Char!B:K,3,)</f>
        <v>NSHL LLC</v>
      </c>
      <c r="K274" s="1334" t="str">
        <f>VLOOKUP(C274,Acc_Char!B:K,7,)</f>
        <v>Subsidiaries</v>
      </c>
      <c r="L274" s="1334" t="str">
        <f t="shared" si="16"/>
        <v>Operating expense</v>
      </c>
      <c r="M274" s="1335" t="str">
        <f>VLOOKUP(C274,Acc_Char!B:K,5,)</f>
        <v>VND</v>
      </c>
      <c r="N274" s="1335" t="str">
        <f>VLOOKUP(C274,Acc_Char!B:K,6,)</f>
        <v>Current Account</v>
      </c>
      <c r="O274" s="1336" t="str">
        <f>Summary!$B$4</f>
        <v>W1-2Jan26</v>
      </c>
      <c r="P274" s="1334" t="str">
        <f t="shared" si="17"/>
        <v>2225179735</v>
      </c>
    </row>
    <row r="275" spans="1:16">
      <c r="A275" s="1018" t="s">
        <v>1567</v>
      </c>
      <c r="B275" s="1335" t="s">
        <v>114</v>
      </c>
      <c r="C275" s="1092" t="s">
        <v>540</v>
      </c>
      <c r="D275" s="1389">
        <v>46030</v>
      </c>
      <c r="E275" s="1338" t="s">
        <v>1916</v>
      </c>
      <c r="F275" s="1312">
        <v>0</v>
      </c>
      <c r="G275" s="1312">
        <v>55000</v>
      </c>
      <c r="H275" s="1082">
        <f t="shared" si="15"/>
        <v>-55000</v>
      </c>
      <c r="I275" s="1333" t="s">
        <v>53</v>
      </c>
      <c r="J275" s="1334" t="str">
        <f>VLOOKUP(C275,Acc_Char!B:K,3,)</f>
        <v>BW NEW CITY</v>
      </c>
      <c r="K275" s="1334" t="str">
        <f>VLOOKUP(C275,Acc_Char!B:K,7,)</f>
        <v>Subsidiaries</v>
      </c>
      <c r="L275" s="1334" t="str">
        <f t="shared" si="16"/>
        <v>Operating expense</v>
      </c>
      <c r="M275" s="1335" t="str">
        <f>VLOOKUP(C275,Acc_Char!B:K,5,)</f>
        <v>VND</v>
      </c>
      <c r="N275" s="1335" t="str">
        <f>VLOOKUP(C275,Acc_Char!B:K,6,)</f>
        <v>Current Account</v>
      </c>
      <c r="O275" s="1336" t="str">
        <f>Summary!$B$4</f>
        <v>W1-2Jan26</v>
      </c>
      <c r="P275" s="1334" t="str">
        <f t="shared" si="17"/>
        <v>2224278781</v>
      </c>
    </row>
    <row r="276" spans="1:16">
      <c r="A276" s="1018" t="s">
        <v>1591</v>
      </c>
      <c r="B276" s="1335" t="s">
        <v>114</v>
      </c>
      <c r="C276" s="1092" t="s">
        <v>471</v>
      </c>
      <c r="D276" s="1389" t="s">
        <v>1917</v>
      </c>
      <c r="E276" s="1338" t="s">
        <v>1918</v>
      </c>
      <c r="F276" s="1312">
        <v>0</v>
      </c>
      <c r="G276" s="1312">
        <v>2.2000000000000002</v>
      </c>
      <c r="H276" s="1082">
        <f t="shared" si="15"/>
        <v>-2.2000000000000002</v>
      </c>
      <c r="I276" s="1333" t="s">
        <v>53</v>
      </c>
      <c r="J276" s="1334" t="str">
        <f>VLOOKUP(C276,Acc_Char!B:K,3,)</f>
        <v>BWID BINH DUONG</v>
      </c>
      <c r="K276" s="1334" t="str">
        <f>VLOOKUP(C276,Acc_Char!B:K,7,)</f>
        <v>BWID JSC</v>
      </c>
      <c r="L276" s="1334" t="str">
        <f t="shared" si="16"/>
        <v>Operating expense</v>
      </c>
      <c r="M276" s="1335" t="str">
        <f>VLOOKUP(C276,Acc_Char!B:K,5,)</f>
        <v>USD</v>
      </c>
      <c r="N276" s="1335" t="str">
        <f>VLOOKUP(C276,Acc_Char!B:K,6,)</f>
        <v>Current Account</v>
      </c>
      <c r="O276" s="1336" t="str">
        <f>Summary!$B$4</f>
        <v>W1-2Jan26</v>
      </c>
      <c r="P276" s="1334" t="str">
        <f t="shared" si="17"/>
        <v>2220016789</v>
      </c>
    </row>
    <row r="277" spans="1:16">
      <c r="A277" s="1018" t="s">
        <v>1591</v>
      </c>
      <c r="B277" s="1335" t="s">
        <v>114</v>
      </c>
      <c r="C277" s="1092" t="s">
        <v>470</v>
      </c>
      <c r="D277" s="1389" t="s">
        <v>1919</v>
      </c>
      <c r="E277" s="1338" t="s">
        <v>1918</v>
      </c>
      <c r="F277" s="1312">
        <v>0</v>
      </c>
      <c r="G277" s="1312">
        <v>55000</v>
      </c>
      <c r="H277" s="1082">
        <f t="shared" si="15"/>
        <v>-55000</v>
      </c>
      <c r="I277" s="1333" t="s">
        <v>53</v>
      </c>
      <c r="J277" s="1334" t="str">
        <f>VLOOKUP(C277,Acc_Char!B:K,3,)</f>
        <v>BWID BINH DUONG</v>
      </c>
      <c r="K277" s="1334" t="str">
        <f>VLOOKUP(C277,Acc_Char!B:K,7,)</f>
        <v>BWID JSC</v>
      </c>
      <c r="L277" s="1334" t="str">
        <f t="shared" si="16"/>
        <v>Operating expense</v>
      </c>
      <c r="M277" s="1335" t="str">
        <f>VLOOKUP(C277,Acc_Char!B:K,5,)</f>
        <v>VND</v>
      </c>
      <c r="N277" s="1335" t="str">
        <f>VLOOKUP(C277,Acc_Char!B:K,6,)</f>
        <v>Current Account</v>
      </c>
      <c r="O277" s="1336" t="str">
        <f>Summary!$B$4</f>
        <v>W1-2Jan26</v>
      </c>
      <c r="P277" s="1334" t="str">
        <f t="shared" si="17"/>
        <v>2229596789</v>
      </c>
    </row>
    <row r="278" spans="1:16">
      <c r="A278" s="1018" t="s">
        <v>1567</v>
      </c>
      <c r="B278" s="1335" t="s">
        <v>114</v>
      </c>
      <c r="C278" s="1092" t="s">
        <v>719</v>
      </c>
      <c r="D278" s="1389">
        <v>46030</v>
      </c>
      <c r="E278" s="1399" t="s">
        <v>1920</v>
      </c>
      <c r="F278" s="1312">
        <v>0</v>
      </c>
      <c r="G278" s="1312">
        <v>55000</v>
      </c>
      <c r="H278" s="1082">
        <f t="shared" si="15"/>
        <v>-55000</v>
      </c>
      <c r="I278" s="1333" t="s">
        <v>53</v>
      </c>
      <c r="J278" s="1334" t="str">
        <f>VLOOKUP(C278,Acc_Char!B:K,3,)</f>
        <v>HOLDCO4K</v>
      </c>
      <c r="K278" s="1334" t="str">
        <f>VLOOKUP(C278,Acc_Char!B:K,7,)</f>
        <v>Subsidiaries</v>
      </c>
      <c r="L278" s="1334" t="str">
        <f t="shared" si="16"/>
        <v>Operating expense</v>
      </c>
      <c r="M278" s="1335" t="str">
        <f>VLOOKUP(C278,Acc_Char!B:K,5,)</f>
        <v>VND</v>
      </c>
      <c r="N278" s="1335" t="str">
        <f>VLOOKUP(C278,Acc_Char!B:K,6,)</f>
        <v>Current Account</v>
      </c>
      <c r="O278" s="1336" t="str">
        <f>Summary!$B$4</f>
        <v>W1-2Jan26</v>
      </c>
      <c r="P278" s="1334" t="str">
        <f t="shared" si="17"/>
        <v>2221707888</v>
      </c>
    </row>
    <row r="279" spans="1:16">
      <c r="A279" s="1018" t="s">
        <v>1567</v>
      </c>
      <c r="B279" s="1335" t="s">
        <v>114</v>
      </c>
      <c r="C279" s="1092" t="s">
        <v>721</v>
      </c>
      <c r="D279" s="1389">
        <v>46030</v>
      </c>
      <c r="E279" s="1399" t="s">
        <v>1920</v>
      </c>
      <c r="F279" s="1312">
        <v>0</v>
      </c>
      <c r="G279" s="1312">
        <v>55000</v>
      </c>
      <c r="H279" s="1082">
        <f t="shared" si="15"/>
        <v>-55000</v>
      </c>
      <c r="I279" s="1333" t="s">
        <v>53</v>
      </c>
      <c r="J279" s="1334" t="str">
        <f>VLOOKUP(C279,Acc_Char!B:K,3,)</f>
        <v>HOLDCO4L</v>
      </c>
      <c r="K279" s="1334" t="str">
        <f>VLOOKUP(C279,Acc_Char!B:K,7,)</f>
        <v>Subsidiaries</v>
      </c>
      <c r="L279" s="1334" t="str">
        <f t="shared" si="16"/>
        <v>Operating expense</v>
      </c>
      <c r="M279" s="1335" t="str">
        <f>VLOOKUP(C279,Acc_Char!B:K,5,)</f>
        <v>VND</v>
      </c>
      <c r="N279" s="1335" t="str">
        <f>VLOOKUP(C279,Acc_Char!B:K,6,)</f>
        <v>Current Account</v>
      </c>
      <c r="O279" s="1336" t="str">
        <f>Summary!$B$4</f>
        <v>W1-2Jan26</v>
      </c>
      <c r="P279" s="1334" t="str">
        <f t="shared" si="17"/>
        <v>2221721888</v>
      </c>
    </row>
    <row r="280" spans="1:16">
      <c r="A280" s="1018" t="s">
        <v>1567</v>
      </c>
      <c r="B280" s="1335" t="s">
        <v>114</v>
      </c>
      <c r="C280" s="1092" t="s">
        <v>724</v>
      </c>
      <c r="D280" s="1389">
        <v>46030</v>
      </c>
      <c r="E280" s="1398" t="s">
        <v>1920</v>
      </c>
      <c r="F280" s="1314">
        <v>0</v>
      </c>
      <c r="G280" s="1312">
        <v>55000</v>
      </c>
      <c r="H280" s="1082">
        <f t="shared" si="15"/>
        <v>-55000</v>
      </c>
      <c r="I280" s="1333" t="s">
        <v>53</v>
      </c>
      <c r="J280" s="1334" t="str">
        <f>VLOOKUP(C280,Acc_Char!B:K,3,)</f>
        <v>HOLDCO4M</v>
      </c>
      <c r="K280" s="1334" t="str">
        <f>VLOOKUP(C280,Acc_Char!B:K,7,)</f>
        <v>Subsidiaries</v>
      </c>
      <c r="L280" s="1334" t="str">
        <f t="shared" si="16"/>
        <v>Operating expense</v>
      </c>
      <c r="M280" s="1335" t="str">
        <f>VLOOKUP(C280,Acc_Char!B:K,5,)</f>
        <v>VND</v>
      </c>
      <c r="N280" s="1335" t="str">
        <f>VLOOKUP(C280,Acc_Char!B:K,6,)</f>
        <v>Current Account</v>
      </c>
      <c r="O280" s="1336" t="str">
        <f>Summary!$B$4</f>
        <v>W1-2Jan26</v>
      </c>
      <c r="P280" s="1334" t="str">
        <f t="shared" si="17"/>
        <v>2221714888</v>
      </c>
    </row>
    <row r="281" spans="1:16">
      <c r="A281" s="1018" t="s">
        <v>1567</v>
      </c>
      <c r="B281" s="1335" t="s">
        <v>114</v>
      </c>
      <c r="C281" s="1092" t="s">
        <v>890</v>
      </c>
      <c r="D281" s="1389">
        <v>46030</v>
      </c>
      <c r="E281" s="1398" t="s">
        <v>1920</v>
      </c>
      <c r="F281" s="1312">
        <v>0</v>
      </c>
      <c r="G281" s="1312">
        <v>55000</v>
      </c>
      <c r="H281" s="1082">
        <f t="shared" si="15"/>
        <v>-55000</v>
      </c>
      <c r="I281" s="1333" t="s">
        <v>53</v>
      </c>
      <c r="J281" s="1334" t="str">
        <f>VLOOKUP(C281,Acc_Char!B:K,3,)</f>
        <v>NSHL HOLDCO</v>
      </c>
      <c r="K281" s="1334" t="str">
        <f>VLOOKUP(C281,Acc_Char!B:K,7,)</f>
        <v>Subsidiaries</v>
      </c>
      <c r="L281" s="1334" t="str">
        <f t="shared" si="16"/>
        <v>Operating expense</v>
      </c>
      <c r="M281" s="1335" t="str">
        <f>VLOOKUP(C281,Acc_Char!B:K,5,)</f>
        <v>VND</v>
      </c>
      <c r="N281" s="1335" t="str">
        <f>VLOOKUP(C281,Acc_Char!B:K,6,)</f>
        <v>Current Account</v>
      </c>
      <c r="O281" s="1336" t="str">
        <f>Summary!$B$4</f>
        <v>W1-2Jan26</v>
      </c>
      <c r="P281" s="1334" t="str">
        <f t="shared" si="17"/>
        <v>2222201888</v>
      </c>
    </row>
    <row r="282" spans="1:16">
      <c r="A282" s="1018" t="s">
        <v>1591</v>
      </c>
      <c r="B282" s="1335" t="s">
        <v>114</v>
      </c>
      <c r="C282" s="1092" t="s">
        <v>547</v>
      </c>
      <c r="D282" s="1389" t="s">
        <v>1921</v>
      </c>
      <c r="E282" s="1338" t="s">
        <v>1920</v>
      </c>
      <c r="F282" s="1312">
        <v>0</v>
      </c>
      <c r="G282" s="1312">
        <v>55000</v>
      </c>
      <c r="H282" s="1082">
        <f t="shared" si="15"/>
        <v>-55000</v>
      </c>
      <c r="I282" s="1333" t="s">
        <v>53</v>
      </c>
      <c r="J282" s="1334" t="str">
        <f>VLOOKUP(C282,Acc_Char!B:K,3,)</f>
        <v>BW PHU NGHIA</v>
      </c>
      <c r="K282" s="1334" t="str">
        <f>VLOOKUP(C282,Acc_Char!B:K,7,)</f>
        <v>Subsidiaries</v>
      </c>
      <c r="L282" s="1334" t="str">
        <f t="shared" si="16"/>
        <v>Operating expense</v>
      </c>
      <c r="M282" s="1335" t="str">
        <f>VLOOKUP(C282,Acc_Char!B:K,5,)</f>
        <v>VND</v>
      </c>
      <c r="N282" s="1335" t="str">
        <f>VLOOKUP(C282,Acc_Char!B:K,6,)</f>
        <v>Current Account</v>
      </c>
      <c r="O282" s="1336" t="str">
        <f>Summary!$B$4</f>
        <v>W1-2Jan26</v>
      </c>
      <c r="P282" s="1334" t="str">
        <f t="shared" si="17"/>
        <v>2220830888</v>
      </c>
    </row>
    <row r="283" spans="1:16">
      <c r="A283" s="1018" t="s">
        <v>1591</v>
      </c>
      <c r="B283" s="1335" t="s">
        <v>114</v>
      </c>
      <c r="C283" s="1092" t="s">
        <v>550</v>
      </c>
      <c r="D283" s="1389" t="s">
        <v>1922</v>
      </c>
      <c r="E283" s="1338" t="s">
        <v>1923</v>
      </c>
      <c r="F283" s="1312">
        <v>0</v>
      </c>
      <c r="G283" s="1312">
        <v>2.2000000000000002</v>
      </c>
      <c r="H283" s="1082">
        <f t="shared" si="15"/>
        <v>-2.2000000000000002</v>
      </c>
      <c r="I283" s="1333" t="s">
        <v>53</v>
      </c>
      <c r="J283" s="1334" t="str">
        <f>VLOOKUP(C283,Acc_Char!B:K,3,)</f>
        <v>BW DINH VU</v>
      </c>
      <c r="K283" s="1334" t="str">
        <f>VLOOKUP(C283,Acc_Char!B:K,7,)</f>
        <v>Subsidiaries</v>
      </c>
      <c r="L283" s="1334" t="str">
        <f t="shared" si="16"/>
        <v>Operating expense</v>
      </c>
      <c r="M283" s="1335" t="str">
        <f>VLOOKUP(C283,Acc_Char!B:K,5,)</f>
        <v>USD</v>
      </c>
      <c r="N283" s="1335" t="str">
        <f>VLOOKUP(C283,Acc_Char!B:K,6,)</f>
        <v>Current Account</v>
      </c>
      <c r="O283" s="1336" t="str">
        <f>Summary!$B$4</f>
        <v>W1-2Jan26</v>
      </c>
      <c r="P283" s="1334" t="str">
        <f t="shared" si="17"/>
        <v>2220107911</v>
      </c>
    </row>
    <row r="284" spans="1:16">
      <c r="A284" s="1018" t="s">
        <v>1591</v>
      </c>
      <c r="B284" s="1335" t="s">
        <v>114</v>
      </c>
      <c r="C284" s="1092" t="s">
        <v>747</v>
      </c>
      <c r="D284" s="1389" t="s">
        <v>1924</v>
      </c>
      <c r="E284" s="1334" t="s">
        <v>1925</v>
      </c>
      <c r="F284" s="1312">
        <v>0</v>
      </c>
      <c r="G284" s="1311">
        <v>55000</v>
      </c>
      <c r="H284" s="1082">
        <f t="shared" si="15"/>
        <v>-55000</v>
      </c>
      <c r="I284" s="1333" t="s">
        <v>53</v>
      </c>
      <c r="J284" s="1334" t="str">
        <f>VLOOKUP(C284,Acc_Char!B:K,3,)</f>
        <v>BW DONG HAI</v>
      </c>
      <c r="K284" s="1334" t="str">
        <f>VLOOKUP(C284,Acc_Char!B:K,7,)</f>
        <v>Subsidiaries</v>
      </c>
      <c r="L284" s="1334" t="str">
        <f t="shared" si="16"/>
        <v>Operating expense</v>
      </c>
      <c r="M284" s="1335" t="str">
        <f>VLOOKUP(C284,Acc_Char!B:K,5,)</f>
        <v>VND</v>
      </c>
      <c r="N284" s="1335" t="str">
        <f>VLOOKUP(C284,Acc_Char!B:K,6,)</f>
        <v>Current Account</v>
      </c>
      <c r="O284" s="1336" t="str">
        <f>Summary!$B$4</f>
        <v>W1-2Jan26</v>
      </c>
      <c r="P284" s="1334" t="str">
        <f t="shared" si="17"/>
        <v>2220987979</v>
      </c>
    </row>
    <row r="285" spans="1:16">
      <c r="A285" s="1018" t="s">
        <v>1591</v>
      </c>
      <c r="B285" s="460" t="s">
        <v>114</v>
      </c>
      <c r="C285" s="1092" t="s">
        <v>758</v>
      </c>
      <c r="D285" s="1389" t="s">
        <v>1926</v>
      </c>
      <c r="E285" t="s">
        <v>1927</v>
      </c>
      <c r="F285" s="1311">
        <v>0</v>
      </c>
      <c r="G285" s="1311">
        <v>2.2000000000000002</v>
      </c>
      <c r="H285" s="1082">
        <f t="shared" si="15"/>
        <v>-2.2000000000000002</v>
      </c>
      <c r="I285" s="1333" t="s">
        <v>53</v>
      </c>
      <c r="J285" s="1334" t="str">
        <f>VLOOKUP(C285,Acc_Char!B:K,3,)</f>
        <v>BWID HAI DUONG 3</v>
      </c>
      <c r="K285" s="1334" t="str">
        <f>VLOOKUP(C285,Acc_Char!B:K,7,)</f>
        <v>Subsidiaries</v>
      </c>
      <c r="L285" s="1334" t="str">
        <f t="shared" si="16"/>
        <v>Operating expense</v>
      </c>
      <c r="M285" s="1335" t="str">
        <f>VLOOKUP(C285,Acc_Char!B:K,5,)</f>
        <v>USD</v>
      </c>
      <c r="N285" s="1335" t="str">
        <f>VLOOKUP(C285,Acc_Char!B:K,6,)</f>
        <v>Current Account</v>
      </c>
      <c r="O285" s="1336" t="str">
        <f>Summary!$B$4</f>
        <v>W1-2Jan26</v>
      </c>
      <c r="P285" s="1334" t="str">
        <f t="shared" si="17"/>
        <v>2220558999</v>
      </c>
    </row>
    <row r="286" spans="1:16">
      <c r="A286" s="1018" t="s">
        <v>1567</v>
      </c>
      <c r="B286" s="460" t="s">
        <v>114</v>
      </c>
      <c r="C286" s="1092" t="s">
        <v>929</v>
      </c>
      <c r="D286" s="1389">
        <v>46030</v>
      </c>
      <c r="E286" t="s">
        <v>1928</v>
      </c>
      <c r="F286" s="1311">
        <v>0</v>
      </c>
      <c r="G286" s="1311">
        <v>55000</v>
      </c>
      <c r="H286" s="1082">
        <f t="shared" si="15"/>
        <v>-55000</v>
      </c>
      <c r="I286" s="1333" t="s">
        <v>53</v>
      </c>
      <c r="J286" s="1334" t="str">
        <f>VLOOKUP(C286,Acc_Char!B:K,3,)</f>
        <v>MINH PHUONG</v>
      </c>
      <c r="K286" s="1334" t="str">
        <f>VLOOKUP(C286,Acc_Char!B:K,7,)</f>
        <v>Subsidiaries</v>
      </c>
      <c r="L286" s="1334" t="str">
        <f t="shared" si="16"/>
        <v>Operating expense</v>
      </c>
      <c r="M286" s="1335" t="str">
        <f>VLOOKUP(C286,Acc_Char!B:K,5,)</f>
        <v>VND</v>
      </c>
      <c r="N286" s="1335" t="str">
        <f>VLOOKUP(C286,Acc_Char!B:K,6,)</f>
        <v>Current Account</v>
      </c>
      <c r="O286" s="1336" t="str">
        <f>Summary!$B$4</f>
        <v>W1-2Jan26</v>
      </c>
      <c r="P286" s="1334" t="str">
        <f t="shared" si="17"/>
        <v>8600013323</v>
      </c>
    </row>
    <row r="287" spans="1:16">
      <c r="A287" s="1018" t="s">
        <v>1567</v>
      </c>
      <c r="B287" s="460" t="s">
        <v>114</v>
      </c>
      <c r="C287" s="1092" t="s">
        <v>1059</v>
      </c>
      <c r="D287" s="1389">
        <v>46030</v>
      </c>
      <c r="E287" t="s">
        <v>1929</v>
      </c>
      <c r="F287" s="1311">
        <v>0</v>
      </c>
      <c r="G287" s="1311">
        <v>55000</v>
      </c>
      <c r="H287" s="1082">
        <f t="shared" si="15"/>
        <v>-55000</v>
      </c>
      <c r="I287" s="1333" t="s">
        <v>53</v>
      </c>
      <c r="J287" s="1334" t="str">
        <f>VLOOKUP(C287,Acc_Char!B:K,3,)</f>
        <v>MPL JSC</v>
      </c>
      <c r="K287" s="1334" t="str">
        <f>VLOOKUP(C287,Acc_Char!B:K,7,)</f>
        <v>Subsidiaries</v>
      </c>
      <c r="L287" s="1334" t="str">
        <f t="shared" si="16"/>
        <v>Operating expense</v>
      </c>
      <c r="M287" s="1335" t="str">
        <f>VLOOKUP(C287,Acc_Char!B:K,5,)</f>
        <v>VND</v>
      </c>
      <c r="N287" s="1335" t="str">
        <f>VLOOKUP(C287,Acc_Char!B:K,6,)</f>
        <v>Current Account</v>
      </c>
      <c r="O287" s="1336" t="str">
        <f>Summary!$B$4</f>
        <v>W1-2Jan26</v>
      </c>
      <c r="P287" s="1334" t="str">
        <f t="shared" si="17"/>
        <v>8610029749</v>
      </c>
    </row>
    <row r="288" spans="1:16">
      <c r="A288" s="1018" t="s">
        <v>1567</v>
      </c>
      <c r="B288" s="460" t="s">
        <v>114</v>
      </c>
      <c r="C288" s="1092" t="s">
        <v>954</v>
      </c>
      <c r="D288" s="1389">
        <v>46030</v>
      </c>
      <c r="E288" t="s">
        <v>1930</v>
      </c>
      <c r="F288" s="1311">
        <v>0</v>
      </c>
      <c r="G288" s="1311">
        <v>55000</v>
      </c>
      <c r="H288" s="1082">
        <f t="shared" si="15"/>
        <v>-55000</v>
      </c>
      <c r="I288" s="1333" t="s">
        <v>53</v>
      </c>
      <c r="J288" s="1334" t="str">
        <f>VLOOKUP(C288,Acc_Char!B:K,3,)</f>
        <v>QV2 LLC</v>
      </c>
      <c r="K288" s="1334" t="str">
        <f>VLOOKUP(C288,Acc_Char!B:K,7,)</f>
        <v>Subsidiaries</v>
      </c>
      <c r="L288" s="1334" t="str">
        <f t="shared" si="16"/>
        <v>Operating expense</v>
      </c>
      <c r="M288" s="1335" t="str">
        <f>VLOOKUP(C288,Acc_Char!B:K,5,)</f>
        <v>VND</v>
      </c>
      <c r="N288" s="1335" t="str">
        <f>VLOOKUP(C288,Acc_Char!B:K,6,)</f>
        <v>Current Account</v>
      </c>
      <c r="O288" s="1336" t="str">
        <f>Summary!$B$4</f>
        <v>W1-2Jan26</v>
      </c>
      <c r="P288" s="1334" t="str">
        <f t="shared" si="17"/>
        <v>8610015824</v>
      </c>
    </row>
    <row r="289" spans="1:17">
      <c r="A289" s="1018" t="s">
        <v>1567</v>
      </c>
      <c r="B289" s="460" t="s">
        <v>114</v>
      </c>
      <c r="C289" s="1092" t="s">
        <v>895</v>
      </c>
      <c r="D289" s="1389">
        <v>46030</v>
      </c>
      <c r="E289" t="s">
        <v>1931</v>
      </c>
      <c r="F289" s="1311">
        <v>0</v>
      </c>
      <c r="G289" s="1311">
        <v>55000</v>
      </c>
      <c r="H289" s="1082">
        <f t="shared" si="15"/>
        <v>-55000</v>
      </c>
      <c r="I289" s="1333" t="s">
        <v>53</v>
      </c>
      <c r="J289" s="1334" t="str">
        <f>VLOOKUP(C289,Acc_Char!B:K,3,)</f>
        <v>HOLDCO4T</v>
      </c>
      <c r="K289" s="1334" t="str">
        <f>VLOOKUP(C289,Acc_Char!B:K,7,)</f>
        <v>Subsidiaries</v>
      </c>
      <c r="L289" s="1334" t="str">
        <f t="shared" si="16"/>
        <v>Operating expense</v>
      </c>
      <c r="M289" s="1335" t="str">
        <f>VLOOKUP(C289,Acc_Char!B:K,5,)</f>
        <v>VND</v>
      </c>
      <c r="N289" s="1335" t="str">
        <f>VLOOKUP(C289,Acc_Char!B:K,6,)</f>
        <v>Current Account</v>
      </c>
      <c r="O289" s="1336" t="str">
        <f>Summary!$B$4</f>
        <v>W1-2Jan26</v>
      </c>
      <c r="P289" s="1334" t="str">
        <f t="shared" si="17"/>
        <v>8610003832</v>
      </c>
      <c r="Q289" s="1024"/>
    </row>
    <row r="290" spans="1:17">
      <c r="A290" s="1018" t="s">
        <v>1567</v>
      </c>
      <c r="B290" s="460" t="s">
        <v>114</v>
      </c>
      <c r="C290" s="1092" t="s">
        <v>906</v>
      </c>
      <c r="D290" s="1389">
        <v>46030</v>
      </c>
      <c r="E290" t="s">
        <v>1932</v>
      </c>
      <c r="F290" s="1311">
        <v>0</v>
      </c>
      <c r="G290" s="1311">
        <v>55000</v>
      </c>
      <c r="H290" s="1082">
        <f t="shared" si="15"/>
        <v>-55000</v>
      </c>
      <c r="I290" s="1333" t="s">
        <v>53</v>
      </c>
      <c r="J290" s="1334" t="str">
        <f>VLOOKUP(C290,Acc_Char!B:K,3,)</f>
        <v>NDV PROJECT CO</v>
      </c>
      <c r="K290" s="1334" t="str">
        <f>VLOOKUP(C290,Acc_Char!B:K,7,)</f>
        <v>Subsidiaries</v>
      </c>
      <c r="L290" s="1334" t="str">
        <f t="shared" si="16"/>
        <v>Operating expense</v>
      </c>
      <c r="M290" s="1335" t="str">
        <f>VLOOKUP(C290,Acc_Char!B:K,5,)</f>
        <v>VND</v>
      </c>
      <c r="N290" s="1335" t="str">
        <f>VLOOKUP(C290,Acc_Char!B:K,6,)</f>
        <v>Current Account</v>
      </c>
      <c r="O290" s="1336" t="str">
        <f>Summary!$B$4</f>
        <v>W1-2Jan26</v>
      </c>
      <c r="P290" s="1334" t="str">
        <f t="shared" si="17"/>
        <v>8620004064</v>
      </c>
    </row>
    <row r="291" spans="1:17">
      <c r="A291" s="1018" t="s">
        <v>1567</v>
      </c>
      <c r="B291" s="460" t="s">
        <v>114</v>
      </c>
      <c r="C291" s="1092" t="s">
        <v>965</v>
      </c>
      <c r="D291" s="1389">
        <v>46030</v>
      </c>
      <c r="E291" t="s">
        <v>1933</v>
      </c>
      <c r="F291" s="1311">
        <v>0</v>
      </c>
      <c r="G291" s="1311">
        <v>55000</v>
      </c>
      <c r="H291" s="1082">
        <f t="shared" si="15"/>
        <v>-55000</v>
      </c>
      <c r="I291" s="1333" t="s">
        <v>53</v>
      </c>
      <c r="J291" s="1334" t="str">
        <f>VLOOKUP(C291,Acc_Char!B:K,3,)</f>
        <v>PHUC DIEN</v>
      </c>
      <c r="K291" s="1334" t="str">
        <f>VLOOKUP(C291,Acc_Char!B:K,7,)</f>
        <v>Subsidiaries</v>
      </c>
      <c r="L291" s="1334" t="str">
        <f t="shared" si="16"/>
        <v>Operating expense</v>
      </c>
      <c r="M291" s="1335" t="str">
        <f>VLOOKUP(C291,Acc_Char!B:K,5,)</f>
        <v>VND</v>
      </c>
      <c r="N291" s="1335" t="str">
        <f>VLOOKUP(C291,Acc_Char!B:K,6,)</f>
        <v>Current Account</v>
      </c>
      <c r="O291" s="1336" t="str">
        <f>Summary!$B$4</f>
        <v>W1-2Jan26</v>
      </c>
      <c r="P291" s="1334" t="str">
        <f t="shared" si="17"/>
        <v>8630017620</v>
      </c>
    </row>
    <row r="292" spans="1:17">
      <c r="A292" s="1018" t="s">
        <v>1567</v>
      </c>
      <c r="B292" s="460" t="s">
        <v>114</v>
      </c>
      <c r="C292" s="1092" t="s">
        <v>885</v>
      </c>
      <c r="D292" s="1389">
        <v>46030</v>
      </c>
      <c r="E292" t="s">
        <v>1934</v>
      </c>
      <c r="F292" s="1311">
        <v>0</v>
      </c>
      <c r="G292" s="1311">
        <v>55000</v>
      </c>
      <c r="H292" s="1082">
        <f t="shared" si="15"/>
        <v>-55000</v>
      </c>
      <c r="I292" s="1333" t="s">
        <v>53</v>
      </c>
      <c r="J292" s="1334" t="str">
        <f>VLOOKUP(C292,Acc_Char!B:K,3,)</f>
        <v>QV2 HOLDCO</v>
      </c>
      <c r="K292" s="1334" t="str">
        <f>VLOOKUP(C292,Acc_Char!B:K,7,)</f>
        <v>Subsidiaries</v>
      </c>
      <c r="L292" s="1334" t="str">
        <f t="shared" si="16"/>
        <v>Operating expense</v>
      </c>
      <c r="M292" s="1335" t="str">
        <f>VLOOKUP(C292,Acc_Char!B:K,5,)</f>
        <v>VND</v>
      </c>
      <c r="N292" s="1335" t="str">
        <f>VLOOKUP(C292,Acc_Char!B:K,6,)</f>
        <v>Current Account</v>
      </c>
      <c r="O292" s="1336" t="str">
        <f>Summary!$B$4</f>
        <v>W1-2Jan26</v>
      </c>
      <c r="P292" s="1334" t="str">
        <f t="shared" si="17"/>
        <v>8670003775</v>
      </c>
    </row>
    <row r="293" spans="1:17">
      <c r="A293" s="1018" t="s">
        <v>1567</v>
      </c>
      <c r="B293" s="460" t="s">
        <v>114</v>
      </c>
      <c r="C293" s="1092" t="s">
        <v>1092</v>
      </c>
      <c r="D293" s="1389">
        <v>46030</v>
      </c>
      <c r="E293" t="s">
        <v>1935</v>
      </c>
      <c r="F293" s="1311">
        <v>0</v>
      </c>
      <c r="G293" s="1311">
        <v>55000</v>
      </c>
      <c r="H293" s="1082">
        <f t="shared" si="15"/>
        <v>-55000</v>
      </c>
      <c r="I293" s="1333" t="s">
        <v>53</v>
      </c>
      <c r="J293" s="1334" t="str">
        <f>VLOOKUP(C293,Acc_Char!B:K,3,)</f>
        <v>TCS JSC</v>
      </c>
      <c r="K293" s="1334" t="str">
        <f>VLOOKUP(C293,Acc_Char!B:K,7,)</f>
        <v>Subsidiaries</v>
      </c>
      <c r="L293" s="1334" t="str">
        <f t="shared" si="16"/>
        <v>Operating expense</v>
      </c>
      <c r="M293" s="1335" t="str">
        <f>VLOOKUP(C293,Acc_Char!B:K,5,)</f>
        <v>VND</v>
      </c>
      <c r="N293" s="1335" t="str">
        <f>VLOOKUP(C293,Acc_Char!B:K,6,)</f>
        <v>Current Account</v>
      </c>
      <c r="O293" s="1336" t="str">
        <f>Summary!$B$4</f>
        <v>W1-2Jan26</v>
      </c>
      <c r="P293" s="1334" t="str">
        <f t="shared" si="17"/>
        <v>8680028808</v>
      </c>
    </row>
    <row r="294" spans="1:17">
      <c r="A294" s="1018" t="s">
        <v>1567</v>
      </c>
      <c r="B294" s="460" t="s">
        <v>1586</v>
      </c>
      <c r="C294" s="1092" t="s">
        <v>1364</v>
      </c>
      <c r="D294" s="1389">
        <v>46204</v>
      </c>
      <c r="E294" t="s">
        <v>1936</v>
      </c>
      <c r="F294" s="1311">
        <v>96269184</v>
      </c>
      <c r="G294" s="1311">
        <v>0</v>
      </c>
      <c r="H294" s="1082">
        <f t="shared" si="15"/>
        <v>96269184</v>
      </c>
      <c r="I294" s="1333" t="s">
        <v>39</v>
      </c>
      <c r="J294" s="1334" t="str">
        <f>VLOOKUP(C294,Acc_Char!B:K,3,)</f>
        <v>BW MY PHUOC 3</v>
      </c>
      <c r="K294" s="1334" t="str">
        <f>VLOOKUP(C294,Acc_Char!B:K,7,)</f>
        <v>Subsidiaries</v>
      </c>
      <c r="L294" s="1334" t="str">
        <f t="shared" si="16"/>
        <v>Receipt from tenants</v>
      </c>
      <c r="M294" s="1335" t="str">
        <f>VLOOKUP(C294,Acc_Char!B:K,5,)</f>
        <v>VND</v>
      </c>
      <c r="N294" s="1335" t="str">
        <f>VLOOKUP(C294,Acc_Char!B:K,6,)</f>
        <v>Current Account</v>
      </c>
      <c r="O294" s="1336" t="str">
        <f>Summary!$B$4</f>
        <v>W1-2Jan26</v>
      </c>
      <c r="P294" s="1334" t="str">
        <f t="shared" si="17"/>
        <v>100700488679</v>
      </c>
    </row>
    <row r="295" spans="1:17">
      <c r="A295" s="1018" t="s">
        <v>1567</v>
      </c>
      <c r="B295" s="460" t="s">
        <v>118</v>
      </c>
      <c r="C295" s="1092" t="s">
        <v>1281</v>
      </c>
      <c r="D295" s="1389">
        <v>46028</v>
      </c>
      <c r="E295" t="s">
        <v>1937</v>
      </c>
      <c r="F295" s="1311">
        <v>0</v>
      </c>
      <c r="G295" s="1311">
        <v>256608000</v>
      </c>
      <c r="H295" s="1082">
        <f t="shared" si="15"/>
        <v>-256608000</v>
      </c>
      <c r="I295" s="1333" t="s">
        <v>53</v>
      </c>
      <c r="J295" s="1334" t="str">
        <f>VLOOKUP(C295,Acc_Char!B:K,3,)</f>
        <v>QV2 LLC</v>
      </c>
      <c r="K295" s="1334" t="str">
        <f>VLOOKUP(C295,Acc_Char!B:K,7,)</f>
        <v>Subsidiaries</v>
      </c>
      <c r="L295" s="1334" t="str">
        <f t="shared" si="16"/>
        <v>Operating expense</v>
      </c>
      <c r="M295" s="1335" t="str">
        <f>VLOOKUP(C295,Acc_Char!B:K,5,)</f>
        <v>VND</v>
      </c>
      <c r="N295" s="1335" t="str">
        <f>VLOOKUP(C295,Acc_Char!B:K,6,)</f>
        <v>Current Account</v>
      </c>
      <c r="O295" s="1336" t="str">
        <f>Summary!$B$4</f>
        <v>W1-2Jan26</v>
      </c>
      <c r="P295" s="1334" t="str">
        <f t="shared" si="17"/>
        <v>59817628</v>
      </c>
    </row>
    <row r="296" spans="1:17">
      <c r="A296" s="1018" t="s">
        <v>1567</v>
      </c>
      <c r="B296" s="460" t="s">
        <v>118</v>
      </c>
      <c r="C296" s="1092" t="s">
        <v>1281</v>
      </c>
      <c r="D296" s="1389">
        <v>46028</v>
      </c>
      <c r="E296" t="s">
        <v>1938</v>
      </c>
      <c r="F296" s="1311">
        <v>0</v>
      </c>
      <c r="G296" s="1311">
        <v>22000</v>
      </c>
      <c r="H296" s="1082">
        <f t="shared" si="15"/>
        <v>-22000</v>
      </c>
      <c r="I296" s="1333" t="s">
        <v>53</v>
      </c>
      <c r="J296" s="1334" t="str">
        <f>VLOOKUP(C296,Acc_Char!B:K,3,)</f>
        <v>QV2 LLC</v>
      </c>
      <c r="K296" s="1334" t="str">
        <f>VLOOKUP(C296,Acc_Char!B:K,7,)</f>
        <v>Subsidiaries</v>
      </c>
      <c r="L296" s="1334" t="str">
        <f t="shared" si="16"/>
        <v>Operating expense</v>
      </c>
      <c r="M296" s="1335" t="str">
        <f>VLOOKUP(C296,Acc_Char!B:K,5,)</f>
        <v>VND</v>
      </c>
      <c r="N296" s="1335" t="str">
        <f>VLOOKUP(C296,Acc_Char!B:K,6,)</f>
        <v>Current Account</v>
      </c>
      <c r="O296" s="1336" t="str">
        <f>Summary!$B$4</f>
        <v>W1-2Jan26</v>
      </c>
      <c r="P296" s="1334" t="str">
        <f t="shared" si="17"/>
        <v>59817628</v>
      </c>
    </row>
    <row r="297" spans="1:17">
      <c r="A297" s="1018" t="s">
        <v>1567</v>
      </c>
      <c r="B297" s="460" t="s">
        <v>118</v>
      </c>
      <c r="C297" s="1092" t="s">
        <v>1281</v>
      </c>
      <c r="D297" s="1389">
        <v>46034</v>
      </c>
      <c r="E297" t="s">
        <v>1939</v>
      </c>
      <c r="F297" s="1311">
        <v>0</v>
      </c>
      <c r="G297" s="1311">
        <v>29261501299</v>
      </c>
      <c r="H297" s="1082">
        <f t="shared" si="15"/>
        <v>-29261501299</v>
      </c>
      <c r="I297" s="1333" t="s">
        <v>53</v>
      </c>
      <c r="J297" s="1334" t="str">
        <f>VLOOKUP(C297,Acc_Char!B:K,3,)</f>
        <v>QV2 LLC</v>
      </c>
      <c r="K297" s="1334" t="str">
        <f>VLOOKUP(C297,Acc_Char!B:K,7,)</f>
        <v>Subsidiaries</v>
      </c>
      <c r="L297" s="1334" t="str">
        <f t="shared" si="16"/>
        <v>Operating expense</v>
      </c>
      <c r="M297" s="1335" t="str">
        <f>VLOOKUP(C297,Acc_Char!B:K,5,)</f>
        <v>VND</v>
      </c>
      <c r="N297" s="1335" t="str">
        <f>VLOOKUP(C297,Acc_Char!B:K,6,)</f>
        <v>Current Account</v>
      </c>
      <c r="O297" s="1336" t="str">
        <f>Summary!$B$4</f>
        <v>W1-2Jan26</v>
      </c>
      <c r="P297" s="1334" t="str">
        <f t="shared" si="17"/>
        <v>59817628</v>
      </c>
      <c r="Q297" s="1024"/>
    </row>
    <row r="298" spans="1:17">
      <c r="A298" s="1018" t="s">
        <v>1567</v>
      </c>
      <c r="B298" s="460" t="s">
        <v>118</v>
      </c>
      <c r="C298" s="1092" t="s">
        <v>1281</v>
      </c>
      <c r="D298" s="1389">
        <v>46034</v>
      </c>
      <c r="E298" t="s">
        <v>1939</v>
      </c>
      <c r="F298" s="1311">
        <v>0</v>
      </c>
      <c r="G298" s="1311">
        <v>1100000</v>
      </c>
      <c r="H298" s="1082">
        <f t="shared" si="15"/>
        <v>-1100000</v>
      </c>
      <c r="I298" s="1333" t="s">
        <v>53</v>
      </c>
      <c r="J298" s="1334" t="str">
        <f>VLOOKUP(C298,Acc_Char!B:K,3,)</f>
        <v>QV2 LLC</v>
      </c>
      <c r="K298" s="1334" t="str">
        <f>VLOOKUP(C298,Acc_Char!B:K,7,)</f>
        <v>Subsidiaries</v>
      </c>
      <c r="L298" s="1334" t="str">
        <f t="shared" si="16"/>
        <v>Operating expense</v>
      </c>
      <c r="M298" s="1335" t="str">
        <f>VLOOKUP(C298,Acc_Char!B:K,5,)</f>
        <v>VND</v>
      </c>
      <c r="N298" s="1335" t="str">
        <f>VLOOKUP(C298,Acc_Char!B:K,6,)</f>
        <v>Current Account</v>
      </c>
      <c r="O298" s="1336" t="str">
        <f>Summary!$B$4</f>
        <v>W1-2Jan26</v>
      </c>
      <c r="P298" s="1334" t="str">
        <f t="shared" si="17"/>
        <v>59817628</v>
      </c>
    </row>
    <row r="299" spans="1:17">
      <c r="A299" s="1018" t="s">
        <v>1567</v>
      </c>
      <c r="B299" s="460" t="s">
        <v>112</v>
      </c>
      <c r="C299" s="1092" t="s">
        <v>809</v>
      </c>
      <c r="D299" s="1389">
        <v>46030</v>
      </c>
      <c r="E299" s="1337" t="s">
        <v>1940</v>
      </c>
      <c r="F299" s="1311">
        <v>188221036</v>
      </c>
      <c r="G299" s="1311">
        <v>0</v>
      </c>
      <c r="H299" s="1082">
        <f t="shared" si="15"/>
        <v>188221036</v>
      </c>
      <c r="I299" s="1333" t="s">
        <v>39</v>
      </c>
      <c r="J299" s="1334" t="str">
        <f>VLOOKUP(C299,Acc_Char!B:K,3,)</f>
        <v>BW SAIGON LOGISTICS</v>
      </c>
      <c r="K299" s="1334" t="str">
        <f>VLOOKUP(C299,Acc_Char!B:K,7,)</f>
        <v>Subsidiaries</v>
      </c>
      <c r="L299" s="1334" t="str">
        <f t="shared" si="16"/>
        <v>Receipt from tenants</v>
      </c>
      <c r="M299" s="1335" t="str">
        <f>VLOOKUP(C299,Acc_Char!B:K,5,)</f>
        <v>VND</v>
      </c>
      <c r="N299" s="1335" t="str">
        <f>VLOOKUP(C299,Acc_Char!B:K,6,)</f>
        <v>Current Account</v>
      </c>
      <c r="O299" s="1336" t="str">
        <f>Summary!$B$4</f>
        <v>W1-2Jan26</v>
      </c>
      <c r="P299" s="1334" t="str">
        <f t="shared" si="17"/>
        <v>1038935148</v>
      </c>
    </row>
    <row r="300" spans="1:17">
      <c r="A300" s="1018" t="s">
        <v>1591</v>
      </c>
      <c r="B300" s="460" t="s">
        <v>114</v>
      </c>
      <c r="C300" s="1092" t="s">
        <v>549</v>
      </c>
      <c r="D300" s="1389" t="s">
        <v>1672</v>
      </c>
      <c r="E300" t="s">
        <v>1941</v>
      </c>
      <c r="F300" s="1311">
        <v>0</v>
      </c>
      <c r="G300" s="1311">
        <v>201965731</v>
      </c>
      <c r="H300" s="1082">
        <f t="shared" si="15"/>
        <v>-201965731</v>
      </c>
      <c r="I300" s="1333" t="s">
        <v>59</v>
      </c>
      <c r="J300" s="1334" t="str">
        <f>VLOOKUP(C300,Acc_Char!B:K,3,)</f>
        <v>BW DINH VU</v>
      </c>
      <c r="K300" s="1334" t="str">
        <f>VLOOKUP(C300,Acc_Char!B:K,7,)</f>
        <v>Subsidiaries</v>
      </c>
      <c r="L300" s="1334" t="str">
        <f t="shared" si="16"/>
        <v>Internal transfer out</v>
      </c>
      <c r="M300" s="1335" t="str">
        <f>VLOOKUP(C300,Acc_Char!B:K,5,)</f>
        <v>VND</v>
      </c>
      <c r="N300" s="1335" t="str">
        <f>VLOOKUP(C300,Acc_Char!B:K,6,)</f>
        <v>Current Account</v>
      </c>
      <c r="O300" s="1336" t="str">
        <f>Summary!$B$4</f>
        <v>W1-2Jan26</v>
      </c>
      <c r="P300" s="1334" t="str">
        <f t="shared" si="17"/>
        <v>2220151668</v>
      </c>
    </row>
    <row r="301" spans="1:17">
      <c r="A301" s="1018" t="s">
        <v>1591</v>
      </c>
      <c r="B301" s="460" t="s">
        <v>114</v>
      </c>
      <c r="C301" s="1092" t="s">
        <v>547</v>
      </c>
      <c r="D301" s="1389" t="s">
        <v>1672</v>
      </c>
      <c r="E301" t="s">
        <v>1942</v>
      </c>
      <c r="F301" s="1311">
        <v>0</v>
      </c>
      <c r="G301" s="1311">
        <v>168000</v>
      </c>
      <c r="H301" s="1082">
        <f t="shared" si="15"/>
        <v>-168000</v>
      </c>
      <c r="I301" s="1333" t="s">
        <v>53</v>
      </c>
      <c r="J301" s="1334" t="str">
        <f>VLOOKUP(C301,Acc_Char!B:K,3,)</f>
        <v>BW PHU NGHIA</v>
      </c>
      <c r="K301" s="1334" t="str">
        <f>VLOOKUP(C301,Acc_Char!B:K,7,)</f>
        <v>Subsidiaries</v>
      </c>
      <c r="L301" s="1334" t="str">
        <f t="shared" si="16"/>
        <v>Operating expense</v>
      </c>
      <c r="M301" s="1335" t="str">
        <f>VLOOKUP(C301,Acc_Char!B:K,5,)</f>
        <v>VND</v>
      </c>
      <c r="N301" s="1335" t="str">
        <f>VLOOKUP(C301,Acc_Char!B:K,6,)</f>
        <v>Current Account</v>
      </c>
      <c r="O301" s="1336" t="str">
        <f>Summary!$B$4</f>
        <v>W1-2Jan26</v>
      </c>
      <c r="P301" s="1334" t="str">
        <f t="shared" si="17"/>
        <v>2220830888</v>
      </c>
    </row>
    <row r="302" spans="1:17">
      <c r="A302" s="1018" t="s">
        <v>1591</v>
      </c>
      <c r="B302" s="460" t="s">
        <v>114</v>
      </c>
      <c r="C302" s="1092" t="s">
        <v>547</v>
      </c>
      <c r="D302" s="1389" t="s">
        <v>1672</v>
      </c>
      <c r="E302" t="s">
        <v>1943</v>
      </c>
      <c r="F302" s="1311">
        <v>0</v>
      </c>
      <c r="G302" s="1311">
        <v>124416</v>
      </c>
      <c r="H302" s="1283">
        <f t="shared" si="15"/>
        <v>-124416</v>
      </c>
      <c r="I302" s="1333" t="s">
        <v>53</v>
      </c>
      <c r="J302" s="1334" t="str">
        <f>VLOOKUP(C302,Acc_Char!B:K,3,)</f>
        <v>BW PHU NGHIA</v>
      </c>
      <c r="K302" s="1334" t="str">
        <f>VLOOKUP(C302,Acc_Char!B:K,7,)</f>
        <v>Subsidiaries</v>
      </c>
      <c r="L302" s="1334" t="str">
        <f t="shared" si="16"/>
        <v>Operating expense</v>
      </c>
      <c r="M302" s="1335" t="str">
        <f>VLOOKUP(C302,Acc_Char!B:K,5,)</f>
        <v>VND</v>
      </c>
      <c r="N302" s="1335" t="str">
        <f>VLOOKUP(C302,Acc_Char!B:K,6,)</f>
        <v>Current Account</v>
      </c>
      <c r="O302" s="1336" t="str">
        <f>Summary!$B$4</f>
        <v>W1-2Jan26</v>
      </c>
      <c r="P302" s="1334" t="str">
        <f t="shared" si="17"/>
        <v>2220830888</v>
      </c>
    </row>
    <row r="303" spans="1:17">
      <c r="A303" s="1018" t="s">
        <v>1591</v>
      </c>
      <c r="B303" s="460" t="s">
        <v>114</v>
      </c>
      <c r="C303" s="1092" t="s">
        <v>517</v>
      </c>
      <c r="D303" s="1389" t="s">
        <v>1672</v>
      </c>
      <c r="E303" t="s">
        <v>1944</v>
      </c>
      <c r="F303" s="1311">
        <v>0</v>
      </c>
      <c r="G303" s="1311">
        <v>28715040</v>
      </c>
      <c r="H303" s="1082">
        <f t="shared" si="15"/>
        <v>-28715040</v>
      </c>
      <c r="I303" s="1333" t="s">
        <v>53</v>
      </c>
      <c r="J303" s="1334" t="str">
        <f>VLOOKUP(C303,Acc_Char!B:K,3,)</f>
        <v>BWID HAI DUONG 3</v>
      </c>
      <c r="K303" s="1334" t="str">
        <f>VLOOKUP(C303,Acc_Char!B:K,7,)</f>
        <v>Subsidiaries</v>
      </c>
      <c r="L303" s="1334" t="str">
        <f t="shared" si="16"/>
        <v>Operating expense</v>
      </c>
      <c r="M303" s="1335" t="str">
        <f>VLOOKUP(C303,Acc_Char!B:K,5,)</f>
        <v>VND</v>
      </c>
      <c r="N303" s="1335" t="str">
        <f>VLOOKUP(C303,Acc_Char!B:K,6,)</f>
        <v>Current Account</v>
      </c>
      <c r="O303" s="1336" t="str">
        <f>Summary!$B$4</f>
        <v>W1-2Jan26</v>
      </c>
      <c r="P303" s="1334" t="str">
        <f t="shared" si="17"/>
        <v>2221133456</v>
      </c>
    </row>
    <row r="304" spans="1:17">
      <c r="A304" s="1018" t="s">
        <v>1591</v>
      </c>
      <c r="B304" s="460" t="s">
        <v>114</v>
      </c>
      <c r="C304" s="1092" t="s">
        <v>618</v>
      </c>
      <c r="D304" s="1389" t="s">
        <v>1672</v>
      </c>
      <c r="E304" t="s">
        <v>1945</v>
      </c>
      <c r="F304" s="1311">
        <v>0</v>
      </c>
      <c r="G304" s="1311">
        <v>4090568</v>
      </c>
      <c r="H304" s="1082">
        <f t="shared" si="15"/>
        <v>-4090568</v>
      </c>
      <c r="I304" s="1333" t="s">
        <v>53</v>
      </c>
      <c r="J304" s="1334" t="str">
        <f>VLOOKUP(C304,Acc_Char!B:K,3,)</f>
        <v>BW HAI AN</v>
      </c>
      <c r="K304" s="1334" t="str">
        <f>VLOOKUP(C304,Acc_Char!B:K,7,)</f>
        <v>Subsidiaries</v>
      </c>
      <c r="L304" s="1334" t="str">
        <f t="shared" si="16"/>
        <v>Operating expense</v>
      </c>
      <c r="M304" s="1335" t="str">
        <f>VLOOKUP(C304,Acc_Char!B:K,5,)</f>
        <v>VND</v>
      </c>
      <c r="N304" s="1335" t="str">
        <f>VLOOKUP(C304,Acc_Char!B:K,6,)</f>
        <v>Current Account</v>
      </c>
      <c r="O304" s="1336" t="str">
        <f>Summary!$B$4</f>
        <v>W1-2Jan26</v>
      </c>
      <c r="P304" s="1334" t="str">
        <f t="shared" si="17"/>
        <v>2220131688</v>
      </c>
    </row>
    <row r="305" spans="1:17">
      <c r="A305" s="1018" t="s">
        <v>1591</v>
      </c>
      <c r="B305" s="460" t="s">
        <v>114</v>
      </c>
      <c r="C305" s="1092" t="s">
        <v>618</v>
      </c>
      <c r="D305" s="1389" t="s">
        <v>1672</v>
      </c>
      <c r="E305" t="s">
        <v>1946</v>
      </c>
      <c r="F305" s="1311">
        <v>0</v>
      </c>
      <c r="G305" s="1311">
        <v>102050092</v>
      </c>
      <c r="H305" s="1082">
        <f t="shared" si="15"/>
        <v>-102050092</v>
      </c>
      <c r="I305" s="1333" t="s">
        <v>53</v>
      </c>
      <c r="J305" s="1334" t="str">
        <f>VLOOKUP(C305,Acc_Char!B:K,3,)</f>
        <v>BW HAI AN</v>
      </c>
      <c r="K305" s="1334" t="str">
        <f>VLOOKUP(C305,Acc_Char!B:K,7,)</f>
        <v>Subsidiaries</v>
      </c>
      <c r="L305" s="1334" t="str">
        <f t="shared" si="16"/>
        <v>Operating expense</v>
      </c>
      <c r="M305" s="1335" t="str">
        <f>VLOOKUP(C305,Acc_Char!B:K,5,)</f>
        <v>VND</v>
      </c>
      <c r="N305" s="1335" t="str">
        <f>VLOOKUP(C305,Acc_Char!B:K,6,)</f>
        <v>Current Account</v>
      </c>
      <c r="O305" s="1336" t="str">
        <f>Summary!$B$4</f>
        <v>W1-2Jan26</v>
      </c>
      <c r="P305" s="1334" t="str">
        <f t="shared" si="17"/>
        <v>2220131688</v>
      </c>
    </row>
    <row r="306" spans="1:17">
      <c r="A306" s="1018" t="s">
        <v>1591</v>
      </c>
      <c r="B306" s="460" t="s">
        <v>114</v>
      </c>
      <c r="C306" s="1092" t="s">
        <v>618</v>
      </c>
      <c r="D306" s="1389" t="s">
        <v>1659</v>
      </c>
      <c r="E306" t="s">
        <v>1947</v>
      </c>
      <c r="F306" s="1311">
        <v>0</v>
      </c>
      <c r="G306" s="1311">
        <v>253378677</v>
      </c>
      <c r="H306" s="1082">
        <f t="shared" si="15"/>
        <v>-253378677</v>
      </c>
      <c r="I306" s="1333" t="s">
        <v>53</v>
      </c>
      <c r="J306" s="1334" t="str">
        <f>VLOOKUP(C306,Acc_Char!B:K,3,)</f>
        <v>BW HAI AN</v>
      </c>
      <c r="K306" s="1334" t="str">
        <f>VLOOKUP(C306,Acc_Char!B:K,7,)</f>
        <v>Subsidiaries</v>
      </c>
      <c r="L306" s="1334" t="str">
        <f t="shared" si="16"/>
        <v>Operating expense</v>
      </c>
      <c r="M306" s="1335" t="str">
        <f>VLOOKUP(C306,Acc_Char!B:K,5,)</f>
        <v>VND</v>
      </c>
      <c r="N306" s="1335" t="str">
        <f>VLOOKUP(C306,Acc_Char!B:K,6,)</f>
        <v>Current Account</v>
      </c>
      <c r="O306" s="1336" t="str">
        <f>Summary!$B$4</f>
        <v>W1-2Jan26</v>
      </c>
      <c r="P306" s="1334" t="str">
        <f t="shared" si="17"/>
        <v>2220131688</v>
      </c>
    </row>
    <row r="307" spans="1:17">
      <c r="A307" s="1018" t="s">
        <v>1591</v>
      </c>
      <c r="B307" s="460" t="s">
        <v>114</v>
      </c>
      <c r="C307" s="1092" t="s">
        <v>517</v>
      </c>
      <c r="D307" s="1389" t="s">
        <v>1659</v>
      </c>
      <c r="E307" t="s">
        <v>1948</v>
      </c>
      <c r="F307" s="1311">
        <v>0</v>
      </c>
      <c r="G307" s="1311">
        <v>49024820</v>
      </c>
      <c r="H307" s="1082">
        <f t="shared" si="15"/>
        <v>-49024820</v>
      </c>
      <c r="I307" s="1333" t="s">
        <v>53</v>
      </c>
      <c r="J307" s="1334" t="str">
        <f>VLOOKUP(C307,Acc_Char!B:K,3,)</f>
        <v>BWID HAI DUONG 3</v>
      </c>
      <c r="K307" s="1334" t="str">
        <f>VLOOKUP(C307,Acc_Char!B:K,7,)</f>
        <v>Subsidiaries</v>
      </c>
      <c r="L307" s="1334" t="str">
        <f t="shared" si="16"/>
        <v>Operating expense</v>
      </c>
      <c r="M307" s="1335" t="str">
        <f>VLOOKUP(C307,Acc_Char!B:K,5,)</f>
        <v>VND</v>
      </c>
      <c r="N307" s="1335" t="str">
        <f>VLOOKUP(C307,Acc_Char!B:K,6,)</f>
        <v>Current Account</v>
      </c>
      <c r="O307" s="1336" t="str">
        <f>Summary!$B$4</f>
        <v>W1-2Jan26</v>
      </c>
      <c r="P307" s="1334" t="str">
        <f t="shared" si="17"/>
        <v>2221133456</v>
      </c>
    </row>
    <row r="308" spans="1:17">
      <c r="A308" s="1018" t="s">
        <v>1567</v>
      </c>
      <c r="B308" s="460" t="s">
        <v>114</v>
      </c>
      <c r="C308" s="1092" t="s">
        <v>906</v>
      </c>
      <c r="D308" s="1389">
        <v>46030</v>
      </c>
      <c r="E308" t="s">
        <v>1949</v>
      </c>
      <c r="F308" s="1311">
        <v>0</v>
      </c>
      <c r="G308" s="1311">
        <v>87480000</v>
      </c>
      <c r="H308" s="1082">
        <f t="shared" si="15"/>
        <v>-87480000</v>
      </c>
      <c r="I308" s="1333" t="s">
        <v>53</v>
      </c>
      <c r="J308" s="1334" t="str">
        <f>VLOOKUP(C308,Acc_Char!B:K,3,)</f>
        <v>NDV PROJECT CO</v>
      </c>
      <c r="K308" s="1334" t="str">
        <f>VLOOKUP(C308,Acc_Char!B:K,7,)</f>
        <v>Subsidiaries</v>
      </c>
      <c r="L308" s="1334" t="str">
        <f t="shared" si="16"/>
        <v>Operating expense</v>
      </c>
      <c r="M308" s="1335" t="str">
        <f>VLOOKUP(C308,Acc_Char!B:K,5,)</f>
        <v>VND</v>
      </c>
      <c r="N308" s="1335" t="str">
        <f>VLOOKUP(C308,Acc_Char!B:K,6,)</f>
        <v>Current Account</v>
      </c>
      <c r="O308" s="1336" t="str">
        <f>Summary!$B$4</f>
        <v>W1-2Jan26</v>
      </c>
      <c r="P308" s="1334" t="str">
        <f t="shared" si="17"/>
        <v>8620004064</v>
      </c>
    </row>
    <row r="309" spans="1:17">
      <c r="A309" s="1018" t="s">
        <v>1567</v>
      </c>
      <c r="B309" s="460" t="s">
        <v>114</v>
      </c>
      <c r="C309" s="1092" t="s">
        <v>892</v>
      </c>
      <c r="D309" s="1389">
        <v>46030</v>
      </c>
      <c r="E309" t="s">
        <v>1950</v>
      </c>
      <c r="F309" s="1311">
        <v>0</v>
      </c>
      <c r="G309" s="1311">
        <v>14575000</v>
      </c>
      <c r="H309" s="1283">
        <f t="shared" si="15"/>
        <v>-14575000</v>
      </c>
      <c r="I309" s="1333" t="s">
        <v>53</v>
      </c>
      <c r="J309" s="1334" t="str">
        <f>VLOOKUP(C309,Acc_Char!B:K,3,)</f>
        <v>NSHL LLC</v>
      </c>
      <c r="K309" s="1334" t="str">
        <f>VLOOKUP(C309,Acc_Char!B:K,7,)</f>
        <v>Subsidiaries</v>
      </c>
      <c r="L309" s="1334" t="str">
        <f t="shared" si="16"/>
        <v>Operating expense</v>
      </c>
      <c r="M309" s="1335" t="str">
        <f>VLOOKUP(C309,Acc_Char!B:K,5,)</f>
        <v>VND</v>
      </c>
      <c r="N309" s="1335" t="str">
        <f>VLOOKUP(C309,Acc_Char!B:K,6,)</f>
        <v>Current Account</v>
      </c>
      <c r="O309" s="1336" t="str">
        <f>Summary!$B$4</f>
        <v>W1-2Jan26</v>
      </c>
      <c r="P309" s="1334" t="str">
        <f t="shared" si="17"/>
        <v>2225179735</v>
      </c>
    </row>
    <row r="310" spans="1:17">
      <c r="A310" s="1018" t="s">
        <v>1567</v>
      </c>
      <c r="B310" s="460" t="s">
        <v>114</v>
      </c>
      <c r="C310" s="1092" t="s">
        <v>892</v>
      </c>
      <c r="D310" s="1389">
        <v>46030</v>
      </c>
      <c r="E310" t="s">
        <v>1951</v>
      </c>
      <c r="F310" s="1311">
        <v>0</v>
      </c>
      <c r="G310" s="1311">
        <v>825000000</v>
      </c>
      <c r="H310" s="1283">
        <f t="shared" si="15"/>
        <v>-825000000</v>
      </c>
      <c r="I310" s="1333" t="s">
        <v>53</v>
      </c>
      <c r="J310" s="1334" t="str">
        <f>VLOOKUP(C310,Acc_Char!B:K,3,)</f>
        <v>NSHL LLC</v>
      </c>
      <c r="K310" s="1334" t="str">
        <f>VLOOKUP(C310,Acc_Char!B:K,7,)</f>
        <v>Subsidiaries</v>
      </c>
      <c r="L310" s="1334" t="str">
        <f t="shared" si="16"/>
        <v>Operating expense</v>
      </c>
      <c r="M310" s="1335" t="str">
        <f>VLOOKUP(C310,Acc_Char!B:K,5,)</f>
        <v>VND</v>
      </c>
      <c r="N310" s="1335" t="str">
        <f>VLOOKUP(C310,Acc_Char!B:K,6,)</f>
        <v>Current Account</v>
      </c>
      <c r="O310" s="1336" t="str">
        <f>Summary!$B$4</f>
        <v>W1-2Jan26</v>
      </c>
      <c r="P310" s="1334" t="str">
        <f t="shared" si="17"/>
        <v>2225179735</v>
      </c>
    </row>
    <row r="311" spans="1:17">
      <c r="A311" s="1018" t="s">
        <v>1591</v>
      </c>
      <c r="B311" s="460" t="s">
        <v>114</v>
      </c>
      <c r="C311" s="1092" t="s">
        <v>747</v>
      </c>
      <c r="D311" s="1389" t="s">
        <v>1657</v>
      </c>
      <c r="E311" t="s">
        <v>1952</v>
      </c>
      <c r="F311" s="1311">
        <v>0</v>
      </c>
      <c r="G311" s="1311">
        <v>94600000</v>
      </c>
      <c r="H311" s="1283">
        <f t="shared" si="15"/>
        <v>-94600000</v>
      </c>
      <c r="I311" s="1333" t="s">
        <v>53</v>
      </c>
      <c r="J311" s="1334" t="str">
        <f>VLOOKUP(C311,Acc_Char!B:K,3,)</f>
        <v>BW DONG HAI</v>
      </c>
      <c r="K311" s="1334" t="str">
        <f>VLOOKUP(C311,Acc_Char!B:K,7,)</f>
        <v>Subsidiaries</v>
      </c>
      <c r="L311" s="1334" t="str">
        <f t="shared" si="16"/>
        <v>Operating expense</v>
      </c>
      <c r="M311" s="1335" t="str">
        <f>VLOOKUP(C311,Acc_Char!B:K,5,)</f>
        <v>VND</v>
      </c>
      <c r="N311" s="1335" t="str">
        <f>VLOOKUP(C311,Acc_Char!B:K,6,)</f>
        <v>Current Account</v>
      </c>
      <c r="O311" s="1336" t="str">
        <f>Summary!$B$4</f>
        <v>W1-2Jan26</v>
      </c>
      <c r="P311" s="1334" t="str">
        <f t="shared" si="17"/>
        <v>2220987979</v>
      </c>
    </row>
    <row r="312" spans="1:17">
      <c r="A312" s="1018" t="s">
        <v>1591</v>
      </c>
      <c r="B312" s="460" t="s">
        <v>114</v>
      </c>
      <c r="C312" s="1092" t="s">
        <v>568</v>
      </c>
      <c r="D312" s="1389" t="s">
        <v>1657</v>
      </c>
      <c r="E312" t="s">
        <v>1953</v>
      </c>
      <c r="F312" s="1311">
        <v>0</v>
      </c>
      <c r="G312" s="1311">
        <v>14575000</v>
      </c>
      <c r="H312" s="1082">
        <f t="shared" si="15"/>
        <v>-14575000</v>
      </c>
      <c r="I312" s="1333" t="s">
        <v>53</v>
      </c>
      <c r="J312" s="1334" t="str">
        <f>VLOOKUP(C312,Acc_Char!B:K,3,)</f>
        <v>KIM TRUC DN</v>
      </c>
      <c r="K312" s="1334" t="str">
        <f>VLOOKUP(C312,Acc_Char!B:K,7,)</f>
        <v>Subsidiaries</v>
      </c>
      <c r="L312" s="1334" t="str">
        <f t="shared" si="16"/>
        <v>Operating expense</v>
      </c>
      <c r="M312" s="1335" t="str">
        <f>VLOOKUP(C312,Acc_Char!B:K,5,)</f>
        <v>VND</v>
      </c>
      <c r="N312" s="1335" t="str">
        <f>VLOOKUP(C312,Acc_Char!B:K,6,)</f>
        <v>Current Account</v>
      </c>
      <c r="O312" s="1336" t="str">
        <f>Summary!$B$4</f>
        <v>W1-2Jan26</v>
      </c>
      <c r="P312" s="1334" t="str">
        <f t="shared" si="17"/>
        <v>1329397986</v>
      </c>
      <c r="Q312" s="1384"/>
    </row>
    <row r="313" spans="1:17">
      <c r="A313" s="1018" t="s">
        <v>1567</v>
      </c>
      <c r="B313" s="460" t="s">
        <v>114</v>
      </c>
      <c r="C313" s="1092" t="s">
        <v>1092</v>
      </c>
      <c r="D313" s="1389">
        <v>46034</v>
      </c>
      <c r="E313" t="s">
        <v>1954</v>
      </c>
      <c r="F313" s="1311">
        <v>0</v>
      </c>
      <c r="G313" s="1311">
        <v>263671200</v>
      </c>
      <c r="H313" s="1283">
        <f t="shared" si="15"/>
        <v>-263671200</v>
      </c>
      <c r="I313" s="1333" t="s">
        <v>53</v>
      </c>
      <c r="J313" s="1334" t="str">
        <f>VLOOKUP(C313,Acc_Char!B:K,3,)</f>
        <v>TCS JSC</v>
      </c>
      <c r="K313" s="1334" t="str">
        <f>VLOOKUP(C313,Acc_Char!B:K,7,)</f>
        <v>Subsidiaries</v>
      </c>
      <c r="L313" s="1334" t="str">
        <f t="shared" si="16"/>
        <v>Operating expense</v>
      </c>
      <c r="M313" s="1335" t="str">
        <f>VLOOKUP(C313,Acc_Char!B:K,5,)</f>
        <v>VND</v>
      </c>
      <c r="N313" s="1335" t="str">
        <f>VLOOKUP(C313,Acc_Char!B:K,6,)</f>
        <v>Current Account</v>
      </c>
      <c r="O313" s="1336" t="str">
        <f>Summary!$B$4</f>
        <v>W1-2Jan26</v>
      </c>
      <c r="P313" s="1334" t="str">
        <f t="shared" si="17"/>
        <v>8680028808</v>
      </c>
    </row>
    <row r="314" spans="1:17">
      <c r="A314" s="1018" t="s">
        <v>1591</v>
      </c>
      <c r="B314" s="460" t="s">
        <v>114</v>
      </c>
      <c r="C314" s="1092" t="s">
        <v>568</v>
      </c>
      <c r="D314" s="1389" t="s">
        <v>1955</v>
      </c>
      <c r="E314" t="s">
        <v>1956</v>
      </c>
      <c r="F314" s="1311">
        <v>0</v>
      </c>
      <c r="G314" s="1311">
        <v>1225656987</v>
      </c>
      <c r="H314" s="1082">
        <f t="shared" si="15"/>
        <v>-1225656987</v>
      </c>
      <c r="I314" s="1333" t="s">
        <v>59</v>
      </c>
      <c r="J314" s="1334" t="str">
        <f>VLOOKUP(C314,Acc_Char!B:K,3,)</f>
        <v>KIM TRUC DN</v>
      </c>
      <c r="K314" s="1334" t="str">
        <f>VLOOKUP(C314,Acc_Char!B:K,7,)</f>
        <v>Subsidiaries</v>
      </c>
      <c r="L314" s="1334" t="str">
        <f t="shared" si="16"/>
        <v>Internal transfer out</v>
      </c>
      <c r="M314" s="1335" t="str">
        <f>VLOOKUP(C314,Acc_Char!B:K,5,)</f>
        <v>VND</v>
      </c>
      <c r="N314" s="1335" t="str">
        <f>VLOOKUP(C314,Acc_Char!B:K,6,)</f>
        <v>Current Account</v>
      </c>
      <c r="O314" s="1336" t="str">
        <f>Summary!$B$4</f>
        <v>W1-2Jan26</v>
      </c>
      <c r="P314" s="1334" t="str">
        <f t="shared" si="17"/>
        <v>1329397986</v>
      </c>
    </row>
    <row r="315" spans="1:17">
      <c r="A315" s="1018" t="s">
        <v>1591</v>
      </c>
      <c r="B315" s="460" t="s">
        <v>114</v>
      </c>
      <c r="C315" s="1092" t="s">
        <v>568</v>
      </c>
      <c r="D315" s="1389" t="s">
        <v>1870</v>
      </c>
      <c r="E315" t="s">
        <v>1957</v>
      </c>
      <c r="F315" s="1311">
        <v>0</v>
      </c>
      <c r="G315" s="1311">
        <v>35460720</v>
      </c>
      <c r="H315" s="1082">
        <f t="shared" si="15"/>
        <v>-35460720</v>
      </c>
      <c r="I315" s="1333" t="s">
        <v>53</v>
      </c>
      <c r="J315" s="1334" t="str">
        <f>VLOOKUP(C315,Acc_Char!B:K,3,)</f>
        <v>KIM TRUC DN</v>
      </c>
      <c r="K315" s="1334" t="str">
        <f>VLOOKUP(C315,Acc_Char!B:K,7,)</f>
        <v>Subsidiaries</v>
      </c>
      <c r="L315" s="1334" t="str">
        <f t="shared" si="16"/>
        <v>Operating expense</v>
      </c>
      <c r="M315" s="1335" t="str">
        <f>VLOOKUP(C315,Acc_Char!B:K,5,)</f>
        <v>VND</v>
      </c>
      <c r="N315" s="1335" t="str">
        <f>VLOOKUP(C315,Acc_Char!B:K,6,)</f>
        <v>Current Account</v>
      </c>
      <c r="O315" s="1336" t="str">
        <f>Summary!$B$4</f>
        <v>W1-2Jan26</v>
      </c>
      <c r="P315" s="1334" t="str">
        <f t="shared" si="17"/>
        <v>1329397986</v>
      </c>
    </row>
    <row r="316" spans="1:17">
      <c r="A316" s="1018" t="s">
        <v>1567</v>
      </c>
      <c r="B316" s="460" t="s">
        <v>1586</v>
      </c>
      <c r="C316" s="1092" t="s">
        <v>1364</v>
      </c>
      <c r="D316" s="1389">
        <v>46143</v>
      </c>
      <c r="E316" t="s">
        <v>1958</v>
      </c>
      <c r="F316" s="1311">
        <v>2734251880</v>
      </c>
      <c r="G316" s="1311">
        <v>0</v>
      </c>
      <c r="H316" s="1283">
        <f t="shared" si="15"/>
        <v>2734251880</v>
      </c>
      <c r="I316" s="1333" t="s">
        <v>44</v>
      </c>
      <c r="J316" s="1334" t="str">
        <f>VLOOKUP(C316,Acc_Char!B:K,3,)</f>
        <v>BW MY PHUOC 3</v>
      </c>
      <c r="K316" s="1334" t="str">
        <f>VLOOKUP(C316,Acc_Char!B:K,7,)</f>
        <v>Subsidiaries</v>
      </c>
      <c r="L316" s="1334" t="str">
        <f t="shared" si="16"/>
        <v>Other receipts</v>
      </c>
      <c r="M316" s="1335" t="str">
        <f>VLOOKUP(C316,Acc_Char!B:K,5,)</f>
        <v>VND</v>
      </c>
      <c r="N316" s="1335" t="str">
        <f>VLOOKUP(C316,Acc_Char!B:K,6,)</f>
        <v>Current Account</v>
      </c>
      <c r="O316" s="1336" t="str">
        <f>Summary!$B$4</f>
        <v>W1-2Jan26</v>
      </c>
      <c r="P316" s="1334" t="str">
        <f t="shared" si="17"/>
        <v>100700488679</v>
      </c>
    </row>
    <row r="317" spans="1:17">
      <c r="A317" s="1018" t="s">
        <v>1591</v>
      </c>
      <c r="B317" s="460" t="s">
        <v>114</v>
      </c>
      <c r="C317" s="1092" t="s">
        <v>618</v>
      </c>
      <c r="D317" s="1389" t="s">
        <v>1959</v>
      </c>
      <c r="E317" t="s">
        <v>1960</v>
      </c>
      <c r="F317" s="1311">
        <v>318109143</v>
      </c>
      <c r="G317" s="1311">
        <v>0</v>
      </c>
      <c r="H317" s="1082">
        <f t="shared" ref="H317:H379" si="18">F317-G317</f>
        <v>318109143</v>
      </c>
      <c r="I317" s="1333" t="s">
        <v>39</v>
      </c>
      <c r="J317" s="1334" t="str">
        <f>VLOOKUP(C317,Acc_Char!B:K,3,)</f>
        <v>BW HAI AN</v>
      </c>
      <c r="K317" s="1334" t="str">
        <f>VLOOKUP(C317,Acc_Char!B:K,7,)</f>
        <v>Subsidiaries</v>
      </c>
      <c r="L317" s="1334" t="str">
        <f t="shared" si="16"/>
        <v>Receipt from tenants</v>
      </c>
      <c r="M317" s="1335" t="str">
        <f>VLOOKUP(C317,Acc_Char!B:K,5,)</f>
        <v>VND</v>
      </c>
      <c r="N317" s="1335" t="str">
        <f>VLOOKUP(C317,Acc_Char!B:K,6,)</f>
        <v>Current Account</v>
      </c>
      <c r="O317" s="1336" t="str">
        <f>Summary!$B$4</f>
        <v>W1-2Jan26</v>
      </c>
      <c r="P317" s="1334" t="str">
        <f t="shared" si="17"/>
        <v>2220131688</v>
      </c>
    </row>
    <row r="318" spans="1:17">
      <c r="A318" s="1018" t="s">
        <v>1591</v>
      </c>
      <c r="B318" s="460" t="s">
        <v>114</v>
      </c>
      <c r="C318" s="1092" t="s">
        <v>517</v>
      </c>
      <c r="D318" s="1389" t="s">
        <v>1961</v>
      </c>
      <c r="E318" t="s">
        <v>1962</v>
      </c>
      <c r="F318" s="1311">
        <v>5604892</v>
      </c>
      <c r="G318" s="1311">
        <v>0</v>
      </c>
      <c r="H318" s="1082">
        <f t="shared" si="18"/>
        <v>5604892</v>
      </c>
      <c r="I318" s="1333" t="s">
        <v>39</v>
      </c>
      <c r="J318" s="1334" t="str">
        <f>VLOOKUP(C318,Acc_Char!B:K,3,)</f>
        <v>BWID HAI DUONG 3</v>
      </c>
      <c r="K318" s="1334" t="str">
        <f>VLOOKUP(C318,Acc_Char!B:K,7,)</f>
        <v>Subsidiaries</v>
      </c>
      <c r="L318" s="1334" t="str">
        <f t="shared" si="16"/>
        <v>Receipt from tenants</v>
      </c>
      <c r="M318" s="1335" t="str">
        <f>VLOOKUP(C318,Acc_Char!B:K,5,)</f>
        <v>VND</v>
      </c>
      <c r="N318" s="1335" t="str">
        <f>VLOOKUP(C318,Acc_Char!B:K,6,)</f>
        <v>Current Account</v>
      </c>
      <c r="O318" s="1336" t="str">
        <f>Summary!$B$4</f>
        <v>W1-2Jan26</v>
      </c>
      <c r="P318" s="1334" t="str">
        <f t="shared" si="17"/>
        <v>2221133456</v>
      </c>
    </row>
    <row r="319" spans="1:17">
      <c r="A319" s="1018" t="s">
        <v>1567</v>
      </c>
      <c r="B319" s="460" t="s">
        <v>114</v>
      </c>
      <c r="C319" s="1092" t="s">
        <v>892</v>
      </c>
      <c r="D319" s="1389">
        <v>46027</v>
      </c>
      <c r="E319" t="s">
        <v>1963</v>
      </c>
      <c r="F319" s="1311">
        <v>1153979905</v>
      </c>
      <c r="G319" s="1311">
        <v>0</v>
      </c>
      <c r="H319" s="1082">
        <f t="shared" si="18"/>
        <v>1153979905</v>
      </c>
      <c r="I319" s="1333" t="s">
        <v>39</v>
      </c>
      <c r="J319" s="1334" t="str">
        <f>VLOOKUP(C319,Acc_Char!B:K,3,)</f>
        <v>NSHL LLC</v>
      </c>
      <c r="K319" s="1334" t="str">
        <f>VLOOKUP(C319,Acc_Char!B:K,7,)</f>
        <v>Subsidiaries</v>
      </c>
      <c r="L319" s="1334" t="str">
        <f t="shared" si="16"/>
        <v>Receipt from tenants</v>
      </c>
      <c r="M319" s="1335" t="str">
        <f>VLOOKUP(C319,Acc_Char!B:K,5,)</f>
        <v>VND</v>
      </c>
      <c r="N319" s="1335" t="str">
        <f>VLOOKUP(C319,Acc_Char!B:K,6,)</f>
        <v>Current Account</v>
      </c>
      <c r="O319" s="1336" t="str">
        <f>Summary!$B$4</f>
        <v>W1-2Jan26</v>
      </c>
      <c r="P319" s="1334" t="str">
        <f t="shared" si="17"/>
        <v>2225179735</v>
      </c>
    </row>
    <row r="320" spans="1:17">
      <c r="A320" s="1018" t="s">
        <v>1567</v>
      </c>
      <c r="B320" s="460" t="s">
        <v>114</v>
      </c>
      <c r="C320" s="1092" t="s">
        <v>906</v>
      </c>
      <c r="D320" s="1389">
        <v>46028</v>
      </c>
      <c r="E320" t="s">
        <v>1964</v>
      </c>
      <c r="F320" s="1311">
        <v>4742377422</v>
      </c>
      <c r="G320" s="1311">
        <v>0</v>
      </c>
      <c r="H320" s="1082">
        <f t="shared" si="18"/>
        <v>4742377422</v>
      </c>
      <c r="I320" s="1333" t="s">
        <v>39</v>
      </c>
      <c r="J320" s="1334" t="str">
        <f>VLOOKUP(C320,Acc_Char!B:K,3,)</f>
        <v>NDV PROJECT CO</v>
      </c>
      <c r="K320" s="1334" t="str">
        <f>VLOOKUP(C320,Acc_Char!B:K,7,)</f>
        <v>Subsidiaries</v>
      </c>
      <c r="L320" s="1334" t="str">
        <f t="shared" si="16"/>
        <v>Receipt from tenants</v>
      </c>
      <c r="M320" s="1335" t="str">
        <f>VLOOKUP(C320,Acc_Char!B:K,5,)</f>
        <v>VND</v>
      </c>
      <c r="N320" s="1335" t="str">
        <f>VLOOKUP(C320,Acc_Char!B:K,6,)</f>
        <v>Current Account</v>
      </c>
      <c r="O320" s="1336" t="str">
        <f>Summary!$B$4</f>
        <v>W1-2Jan26</v>
      </c>
      <c r="P320" s="1334" t="str">
        <f t="shared" si="17"/>
        <v>8620004064</v>
      </c>
    </row>
    <row r="321" spans="1:17">
      <c r="A321" s="1018" t="s">
        <v>1591</v>
      </c>
      <c r="B321" s="460" t="s">
        <v>114</v>
      </c>
      <c r="C321" s="1092" t="s">
        <v>568</v>
      </c>
      <c r="D321" s="1389" t="s">
        <v>1965</v>
      </c>
      <c r="E321" t="s">
        <v>1966</v>
      </c>
      <c r="F321" s="1311">
        <v>2470500</v>
      </c>
      <c r="G321" s="1311">
        <v>0</v>
      </c>
      <c r="H321" s="1082">
        <f t="shared" si="18"/>
        <v>2470500</v>
      </c>
      <c r="I321" s="1333" t="s">
        <v>39</v>
      </c>
      <c r="J321" s="1334" t="str">
        <f>VLOOKUP(C321,Acc_Char!B:K,3,)</f>
        <v>KIM TRUC DN</v>
      </c>
      <c r="K321" s="1334" t="str">
        <f>VLOOKUP(C321,Acc_Char!B:K,7,)</f>
        <v>Subsidiaries</v>
      </c>
      <c r="L321" s="1334" t="str">
        <f t="shared" si="16"/>
        <v>Receipt from tenants</v>
      </c>
      <c r="M321" s="1335" t="str">
        <f>VLOOKUP(C321,Acc_Char!B:K,5,)</f>
        <v>VND</v>
      </c>
      <c r="N321" s="1335" t="str">
        <f>VLOOKUP(C321,Acc_Char!B:K,6,)</f>
        <v>Current Account</v>
      </c>
      <c r="O321" s="1336" t="str">
        <f>Summary!$B$4</f>
        <v>W1-2Jan26</v>
      </c>
      <c r="P321" s="1334" t="str">
        <f t="shared" si="17"/>
        <v>1329397986</v>
      </c>
    </row>
    <row r="322" spans="1:17">
      <c r="A322" s="1018" t="s">
        <v>1591</v>
      </c>
      <c r="B322" s="460" t="s">
        <v>114</v>
      </c>
      <c r="C322" s="1092" t="s">
        <v>747</v>
      </c>
      <c r="D322" s="1389" t="s">
        <v>1967</v>
      </c>
      <c r="E322" t="s">
        <v>1968</v>
      </c>
      <c r="F322" s="1311">
        <v>12682306</v>
      </c>
      <c r="G322" s="1311">
        <v>0</v>
      </c>
      <c r="H322" s="1082">
        <f t="shared" si="18"/>
        <v>12682306</v>
      </c>
      <c r="I322" s="1333" t="s">
        <v>39</v>
      </c>
      <c r="J322" s="1334" t="str">
        <f>VLOOKUP(C322,Acc_Char!B:K,3,)</f>
        <v>BW DONG HAI</v>
      </c>
      <c r="K322" s="1334" t="str">
        <f>VLOOKUP(C322,Acc_Char!B:K,7,)</f>
        <v>Subsidiaries</v>
      </c>
      <c r="L322" s="1334" t="str">
        <f t="shared" si="16"/>
        <v>Receipt from tenants</v>
      </c>
      <c r="M322" s="1335" t="str">
        <f>VLOOKUP(C322,Acc_Char!B:K,5,)</f>
        <v>VND</v>
      </c>
      <c r="N322" s="1335" t="str">
        <f>VLOOKUP(C322,Acc_Char!B:K,6,)</f>
        <v>Current Account</v>
      </c>
      <c r="O322" s="1336" t="str">
        <f>Summary!$B$4</f>
        <v>W1-2Jan26</v>
      </c>
      <c r="P322" s="1334" t="str">
        <f t="shared" si="17"/>
        <v>2220987979</v>
      </c>
    </row>
    <row r="323" spans="1:17">
      <c r="A323" s="1018" t="s">
        <v>1567</v>
      </c>
      <c r="B323" s="460" t="s">
        <v>114</v>
      </c>
      <c r="C323" s="1092" t="s">
        <v>906</v>
      </c>
      <c r="D323" s="1389">
        <v>46029</v>
      </c>
      <c r="E323" t="s">
        <v>1969</v>
      </c>
      <c r="F323" s="1311">
        <v>2217420114</v>
      </c>
      <c r="G323" s="1311">
        <v>0</v>
      </c>
      <c r="H323" s="1082">
        <f t="shared" si="18"/>
        <v>2217420114</v>
      </c>
      <c r="I323" s="1333" t="s">
        <v>39</v>
      </c>
      <c r="J323" s="1334" t="str">
        <f>VLOOKUP(C323,Acc_Char!B:K,3,)</f>
        <v>NDV PROJECT CO</v>
      </c>
      <c r="K323" s="1334" t="str">
        <f>VLOOKUP(C323,Acc_Char!B:K,7,)</f>
        <v>Subsidiaries</v>
      </c>
      <c r="L323" s="1334" t="str">
        <f t="shared" si="16"/>
        <v>Receipt from tenants</v>
      </c>
      <c r="M323" s="1335" t="str">
        <f>VLOOKUP(C323,Acc_Char!B:K,5,)</f>
        <v>VND</v>
      </c>
      <c r="N323" s="1335" t="str">
        <f>VLOOKUP(C323,Acc_Char!B:K,6,)</f>
        <v>Current Account</v>
      </c>
      <c r="O323" s="1336" t="str">
        <f>Summary!$B$4</f>
        <v>W1-2Jan26</v>
      </c>
      <c r="P323" s="1334" t="str">
        <f t="shared" si="17"/>
        <v>8620004064</v>
      </c>
    </row>
    <row r="324" spans="1:17">
      <c r="A324" s="1018" t="s">
        <v>1567</v>
      </c>
      <c r="B324" s="460" t="s">
        <v>114</v>
      </c>
      <c r="C324" s="1092" t="s">
        <v>906</v>
      </c>
      <c r="D324" s="1389">
        <v>46030</v>
      </c>
      <c r="E324" t="s">
        <v>1970</v>
      </c>
      <c r="F324" s="1311">
        <v>1808550981</v>
      </c>
      <c r="G324" s="1311">
        <v>0</v>
      </c>
      <c r="H324" s="1082">
        <f t="shared" si="18"/>
        <v>1808550981</v>
      </c>
      <c r="I324" s="1333" t="s">
        <v>39</v>
      </c>
      <c r="J324" s="1334" t="str">
        <f>VLOOKUP(C324,Acc_Char!B:K,3,)</f>
        <v>NDV PROJECT CO</v>
      </c>
      <c r="K324" s="1334" t="str">
        <f>VLOOKUP(C324,Acc_Char!B:K,7,)</f>
        <v>Subsidiaries</v>
      </c>
      <c r="L324" s="1334" t="str">
        <f t="shared" si="16"/>
        <v>Receipt from tenants</v>
      </c>
      <c r="M324" s="1335" t="str">
        <f>VLOOKUP(C324,Acc_Char!B:K,5,)</f>
        <v>VND</v>
      </c>
      <c r="N324" s="1335" t="str">
        <f>VLOOKUP(C324,Acc_Char!B:K,6,)</f>
        <v>Current Account</v>
      </c>
      <c r="O324" s="1336" t="str">
        <f>Summary!$B$4</f>
        <v>W1-2Jan26</v>
      </c>
      <c r="P324" s="1334" t="str">
        <f t="shared" si="17"/>
        <v>8620004064</v>
      </c>
    </row>
    <row r="325" spans="1:17">
      <c r="A325" s="1018" t="s">
        <v>1567</v>
      </c>
      <c r="B325" s="460" t="s">
        <v>114</v>
      </c>
      <c r="C325" s="1092" t="s">
        <v>906</v>
      </c>
      <c r="D325" s="1389">
        <v>46030</v>
      </c>
      <c r="E325" t="s">
        <v>1971</v>
      </c>
      <c r="F325" s="1311">
        <v>9910155</v>
      </c>
      <c r="G325" s="1311">
        <v>0</v>
      </c>
      <c r="H325" s="1082">
        <f t="shared" si="18"/>
        <v>9910155</v>
      </c>
      <c r="I325" s="1333" t="s">
        <v>39</v>
      </c>
      <c r="J325" s="1334" t="str">
        <f>VLOOKUP(C325,Acc_Char!B:K,3,)</f>
        <v>NDV PROJECT CO</v>
      </c>
      <c r="K325" s="1334" t="str">
        <f>VLOOKUP(C325,Acc_Char!B:K,7,)</f>
        <v>Subsidiaries</v>
      </c>
      <c r="L325" s="1334" t="str">
        <f t="shared" ref="L325:L388" si="19">I325</f>
        <v>Receipt from tenants</v>
      </c>
      <c r="M325" s="1335" t="str">
        <f>VLOOKUP(C325,Acc_Char!B:K,5,)</f>
        <v>VND</v>
      </c>
      <c r="N325" s="1335" t="str">
        <f>VLOOKUP(C325,Acc_Char!B:K,6,)</f>
        <v>Current Account</v>
      </c>
      <c r="O325" s="1336" t="str">
        <f>Summary!$B$4</f>
        <v>W1-2Jan26</v>
      </c>
      <c r="P325" s="1334" t="str">
        <f t="shared" ref="P325:P388" si="20">TEXT(C325,"0")</f>
        <v>8620004064</v>
      </c>
    </row>
    <row r="326" spans="1:17">
      <c r="A326" s="1018" t="s">
        <v>1591</v>
      </c>
      <c r="B326" s="460" t="s">
        <v>114</v>
      </c>
      <c r="C326" s="1092" t="s">
        <v>517</v>
      </c>
      <c r="D326" s="1389" t="s">
        <v>1972</v>
      </c>
      <c r="E326" t="s">
        <v>1973</v>
      </c>
      <c r="F326" s="1311">
        <v>1420780356</v>
      </c>
      <c r="G326" s="1311">
        <v>0</v>
      </c>
      <c r="H326" s="1082">
        <f t="shared" si="18"/>
        <v>1420780356</v>
      </c>
      <c r="I326" s="1333" t="s">
        <v>39</v>
      </c>
      <c r="J326" s="1334" t="str">
        <f>VLOOKUP(C326,Acc_Char!B:K,3,)</f>
        <v>BWID HAI DUONG 3</v>
      </c>
      <c r="K326" s="1334" t="str">
        <f>VLOOKUP(C326,Acc_Char!B:K,7,)</f>
        <v>Subsidiaries</v>
      </c>
      <c r="L326" s="1334" t="str">
        <f t="shared" si="19"/>
        <v>Receipt from tenants</v>
      </c>
      <c r="M326" s="1335" t="str">
        <f>VLOOKUP(C326,Acc_Char!B:K,5,)</f>
        <v>VND</v>
      </c>
      <c r="N326" s="1335" t="str">
        <f>VLOOKUP(C326,Acc_Char!B:K,6,)</f>
        <v>Current Account</v>
      </c>
      <c r="O326" s="1336" t="str">
        <f>Summary!$B$4</f>
        <v>W1-2Jan26</v>
      </c>
      <c r="P326" s="1334" t="str">
        <f t="shared" si="20"/>
        <v>2221133456</v>
      </c>
    </row>
    <row r="327" spans="1:17">
      <c r="A327" s="1018" t="s">
        <v>1591</v>
      </c>
      <c r="B327" s="460" t="s">
        <v>114</v>
      </c>
      <c r="C327" s="1092" t="s">
        <v>517</v>
      </c>
      <c r="D327" s="1389" t="s">
        <v>1974</v>
      </c>
      <c r="E327" t="s">
        <v>1975</v>
      </c>
      <c r="F327" s="1311">
        <v>6545310</v>
      </c>
      <c r="G327" s="1311">
        <v>0</v>
      </c>
      <c r="H327" s="1082">
        <f t="shared" si="18"/>
        <v>6545310</v>
      </c>
      <c r="I327" s="1333" t="s">
        <v>39</v>
      </c>
      <c r="J327" s="1334" t="str">
        <f>VLOOKUP(C327,Acc_Char!B:K,3,)</f>
        <v>BWID HAI DUONG 3</v>
      </c>
      <c r="K327" s="1334" t="str">
        <f>VLOOKUP(C327,Acc_Char!B:K,7,)</f>
        <v>Subsidiaries</v>
      </c>
      <c r="L327" s="1334" t="str">
        <f t="shared" si="19"/>
        <v>Receipt from tenants</v>
      </c>
      <c r="M327" s="1335" t="str">
        <f>VLOOKUP(C327,Acc_Char!B:K,5,)</f>
        <v>VND</v>
      </c>
      <c r="N327" s="1335" t="str">
        <f>VLOOKUP(C327,Acc_Char!B:K,6,)</f>
        <v>Current Account</v>
      </c>
      <c r="O327" s="1336" t="str">
        <f>Summary!$B$4</f>
        <v>W1-2Jan26</v>
      </c>
      <c r="P327" s="1334" t="str">
        <f t="shared" si="20"/>
        <v>2221133456</v>
      </c>
    </row>
    <row r="328" spans="1:17">
      <c r="A328" s="1018" t="s">
        <v>1591</v>
      </c>
      <c r="B328" s="460" t="s">
        <v>114</v>
      </c>
      <c r="C328" s="1092" t="s">
        <v>517</v>
      </c>
      <c r="D328" s="1389" t="s">
        <v>1976</v>
      </c>
      <c r="E328" t="s">
        <v>1977</v>
      </c>
      <c r="F328" s="1311">
        <v>3040913484</v>
      </c>
      <c r="G328" s="1311">
        <v>0</v>
      </c>
      <c r="H328" s="1082">
        <f t="shared" si="18"/>
        <v>3040913484</v>
      </c>
      <c r="I328" s="1333" t="s">
        <v>39</v>
      </c>
      <c r="J328" s="1334" t="str">
        <f>VLOOKUP(C328,Acc_Char!B:K,3,)</f>
        <v>BWID HAI DUONG 3</v>
      </c>
      <c r="K328" s="1334" t="str">
        <f>VLOOKUP(C328,Acc_Char!B:K,7,)</f>
        <v>Subsidiaries</v>
      </c>
      <c r="L328" s="1334" t="str">
        <f t="shared" si="19"/>
        <v>Receipt from tenants</v>
      </c>
      <c r="M328" s="1335" t="str">
        <f>VLOOKUP(C328,Acc_Char!B:K,5,)</f>
        <v>VND</v>
      </c>
      <c r="N328" s="1335" t="str">
        <f>VLOOKUP(C328,Acc_Char!B:K,6,)</f>
        <v>Current Account</v>
      </c>
      <c r="O328" s="1336" t="str">
        <f>Summary!$B$4</f>
        <v>W1-2Jan26</v>
      </c>
      <c r="P328" s="1334" t="str">
        <f t="shared" si="20"/>
        <v>2221133456</v>
      </c>
    </row>
    <row r="329" spans="1:17">
      <c r="A329" s="1018" t="s">
        <v>1591</v>
      </c>
      <c r="B329" s="460" t="s">
        <v>114</v>
      </c>
      <c r="C329" s="1092" t="s">
        <v>517</v>
      </c>
      <c r="D329" s="1389" t="s">
        <v>1978</v>
      </c>
      <c r="E329" t="s">
        <v>1979</v>
      </c>
      <c r="F329" s="1311">
        <v>9802564</v>
      </c>
      <c r="G329" s="1311">
        <v>0</v>
      </c>
      <c r="H329" s="1082">
        <f t="shared" si="18"/>
        <v>9802564</v>
      </c>
      <c r="I329" s="1333" t="s">
        <v>39</v>
      </c>
      <c r="J329" s="1334" t="str">
        <f>VLOOKUP(C329,Acc_Char!B:K,3,)</f>
        <v>BWID HAI DUONG 3</v>
      </c>
      <c r="K329" s="1334" t="str">
        <f>VLOOKUP(C329,Acc_Char!B:K,7,)</f>
        <v>Subsidiaries</v>
      </c>
      <c r="L329" s="1334" t="str">
        <f t="shared" si="19"/>
        <v>Receipt from tenants</v>
      </c>
      <c r="M329" s="1335" t="str">
        <f>VLOOKUP(C329,Acc_Char!B:K,5,)</f>
        <v>VND</v>
      </c>
      <c r="N329" s="1335" t="str">
        <f>VLOOKUP(C329,Acc_Char!B:K,6,)</f>
        <v>Current Account</v>
      </c>
      <c r="O329" s="1336" t="str">
        <f>Summary!$B$4</f>
        <v>W1-2Jan26</v>
      </c>
      <c r="P329" s="1334" t="str">
        <f t="shared" si="20"/>
        <v>2221133456</v>
      </c>
    </row>
    <row r="330" spans="1:17">
      <c r="A330" s="1018" t="s">
        <v>1591</v>
      </c>
      <c r="B330" s="460" t="s">
        <v>114</v>
      </c>
      <c r="C330" s="1092" t="s">
        <v>517</v>
      </c>
      <c r="D330" s="1389" t="s">
        <v>1980</v>
      </c>
      <c r="E330" t="s">
        <v>1981</v>
      </c>
      <c r="F330" s="1311">
        <v>4045254</v>
      </c>
      <c r="G330" s="1311">
        <v>0</v>
      </c>
      <c r="H330" s="1082">
        <f t="shared" si="18"/>
        <v>4045254</v>
      </c>
      <c r="I330" s="1333" t="s">
        <v>39</v>
      </c>
      <c r="J330" s="1334" t="str">
        <f>VLOOKUP(C330,Acc_Char!B:K,3,)</f>
        <v>BWID HAI DUONG 3</v>
      </c>
      <c r="K330" s="1334" t="str">
        <f>VLOOKUP(C330,Acc_Char!B:K,7,)</f>
        <v>Subsidiaries</v>
      </c>
      <c r="L330" s="1334" t="str">
        <f t="shared" si="19"/>
        <v>Receipt from tenants</v>
      </c>
      <c r="M330" s="1335" t="str">
        <f>VLOOKUP(C330,Acc_Char!B:K,5,)</f>
        <v>VND</v>
      </c>
      <c r="N330" s="1335" t="str">
        <f>VLOOKUP(C330,Acc_Char!B:K,6,)</f>
        <v>Current Account</v>
      </c>
      <c r="O330" s="1336" t="str">
        <f>Summary!$B$4</f>
        <v>W1-2Jan26</v>
      </c>
      <c r="P330" s="1334" t="str">
        <f t="shared" si="20"/>
        <v>2221133456</v>
      </c>
    </row>
    <row r="331" spans="1:17">
      <c r="A331" s="1018" t="s">
        <v>1591</v>
      </c>
      <c r="B331" s="460" t="s">
        <v>114</v>
      </c>
      <c r="C331" s="1092" t="s">
        <v>517</v>
      </c>
      <c r="D331" s="1389" t="s">
        <v>1982</v>
      </c>
      <c r="E331" t="s">
        <v>1983</v>
      </c>
      <c r="F331" s="1311">
        <v>889660959</v>
      </c>
      <c r="G331" s="1311">
        <v>0</v>
      </c>
      <c r="H331" s="1082">
        <f t="shared" si="18"/>
        <v>889660959</v>
      </c>
      <c r="I331" s="1333" t="s">
        <v>39</v>
      </c>
      <c r="J331" s="1334" t="str">
        <f>VLOOKUP(C331,Acc_Char!B:K,3,)</f>
        <v>BWID HAI DUONG 3</v>
      </c>
      <c r="K331" s="1334" t="str">
        <f>VLOOKUP(C331,Acc_Char!B:K,7,)</f>
        <v>Subsidiaries</v>
      </c>
      <c r="L331" s="1334" t="str">
        <f t="shared" si="19"/>
        <v>Receipt from tenants</v>
      </c>
      <c r="M331" s="1335" t="str">
        <f>VLOOKUP(C331,Acc_Char!B:K,5,)</f>
        <v>VND</v>
      </c>
      <c r="N331" s="1335" t="str">
        <f>VLOOKUP(C331,Acc_Char!B:K,6,)</f>
        <v>Current Account</v>
      </c>
      <c r="O331" s="1336" t="str">
        <f>Summary!$B$4</f>
        <v>W1-2Jan26</v>
      </c>
      <c r="P331" s="1334" t="str">
        <f t="shared" si="20"/>
        <v>2221133456</v>
      </c>
    </row>
    <row r="332" spans="1:17">
      <c r="A332" s="1018" t="s">
        <v>1591</v>
      </c>
      <c r="B332" s="460" t="s">
        <v>114</v>
      </c>
      <c r="C332" s="1092" t="s">
        <v>747</v>
      </c>
      <c r="D332" s="1389" t="s">
        <v>1984</v>
      </c>
      <c r="E332" t="s">
        <v>1985</v>
      </c>
      <c r="F332" s="1311">
        <v>2265212190</v>
      </c>
      <c r="G332" s="1311">
        <v>0</v>
      </c>
      <c r="H332" s="1082">
        <f t="shared" si="18"/>
        <v>2265212190</v>
      </c>
      <c r="I332" s="1333" t="s">
        <v>39</v>
      </c>
      <c r="J332" s="1334" t="str">
        <f>VLOOKUP(C332,Acc_Char!B:K,3,)</f>
        <v>BW DONG HAI</v>
      </c>
      <c r="K332" s="1334" t="str">
        <f>VLOOKUP(C332,Acc_Char!B:K,7,)</f>
        <v>Subsidiaries</v>
      </c>
      <c r="L332" s="1334" t="str">
        <f t="shared" si="19"/>
        <v>Receipt from tenants</v>
      </c>
      <c r="M332" s="1335" t="str">
        <f>VLOOKUP(C332,Acc_Char!B:K,5,)</f>
        <v>VND</v>
      </c>
      <c r="N332" s="1335" t="str">
        <f>VLOOKUP(C332,Acc_Char!B:K,6,)</f>
        <v>Current Account</v>
      </c>
      <c r="O332" s="1336" t="str">
        <f>Summary!$B$4</f>
        <v>W1-2Jan26</v>
      </c>
      <c r="P332" s="1334" t="str">
        <f t="shared" si="20"/>
        <v>2220987979</v>
      </c>
    </row>
    <row r="333" spans="1:17">
      <c r="A333" s="1018" t="s">
        <v>1591</v>
      </c>
      <c r="B333" s="460" t="s">
        <v>114</v>
      </c>
      <c r="C333" s="1092" t="s">
        <v>517</v>
      </c>
      <c r="D333" s="1389" t="s">
        <v>1986</v>
      </c>
      <c r="E333" t="s">
        <v>1987</v>
      </c>
      <c r="F333" s="1311">
        <v>2674378404</v>
      </c>
      <c r="G333" s="1311">
        <v>0</v>
      </c>
      <c r="H333" s="1082">
        <f t="shared" si="18"/>
        <v>2674378404</v>
      </c>
      <c r="I333" s="1333" t="s">
        <v>39</v>
      </c>
      <c r="J333" s="1334" t="str">
        <f>VLOOKUP(C333,Acc_Char!B:K,3,)</f>
        <v>BWID HAI DUONG 3</v>
      </c>
      <c r="K333" s="1334" t="str">
        <f>VLOOKUP(C333,Acc_Char!B:K,7,)</f>
        <v>Subsidiaries</v>
      </c>
      <c r="L333" s="1334" t="str">
        <f t="shared" si="19"/>
        <v>Receipt from tenants</v>
      </c>
      <c r="M333" s="1335" t="str">
        <f>VLOOKUP(C333,Acc_Char!B:K,5,)</f>
        <v>VND</v>
      </c>
      <c r="N333" s="1335" t="str">
        <f>VLOOKUP(C333,Acc_Char!B:K,6,)</f>
        <v>Current Account</v>
      </c>
      <c r="O333" s="1336" t="str">
        <f>Summary!$B$4</f>
        <v>W1-2Jan26</v>
      </c>
      <c r="P333" s="1334" t="str">
        <f t="shared" si="20"/>
        <v>2221133456</v>
      </c>
    </row>
    <row r="334" spans="1:17">
      <c r="A334" s="1018" t="s">
        <v>1591</v>
      </c>
      <c r="B334" s="460" t="s">
        <v>114</v>
      </c>
      <c r="C334" s="1092" t="s">
        <v>547</v>
      </c>
      <c r="D334" s="1389" t="s">
        <v>1988</v>
      </c>
      <c r="E334" t="s">
        <v>1989</v>
      </c>
      <c r="F334" s="1311">
        <v>272448</v>
      </c>
      <c r="G334" s="1311">
        <v>0</v>
      </c>
      <c r="H334" s="1082">
        <f t="shared" si="18"/>
        <v>272448</v>
      </c>
      <c r="I334" s="1333" t="s">
        <v>39</v>
      </c>
      <c r="J334" s="1334" t="str">
        <f>VLOOKUP(C334,Acc_Char!B:K,3,)</f>
        <v>BW PHU NGHIA</v>
      </c>
      <c r="K334" s="1334" t="str">
        <f>VLOOKUP(C334,Acc_Char!B:K,7,)</f>
        <v>Subsidiaries</v>
      </c>
      <c r="L334" s="1334" t="str">
        <f t="shared" si="19"/>
        <v>Receipt from tenants</v>
      </c>
      <c r="M334" s="1335" t="str">
        <f>VLOOKUP(C334,Acc_Char!B:K,5,)</f>
        <v>VND</v>
      </c>
      <c r="N334" s="1335" t="str">
        <f>VLOOKUP(C334,Acc_Char!B:K,6,)</f>
        <v>Current Account</v>
      </c>
      <c r="O334" s="1336" t="str">
        <f>Summary!$B$4</f>
        <v>W1-2Jan26</v>
      </c>
      <c r="P334" s="1334" t="str">
        <f t="shared" si="20"/>
        <v>2220830888</v>
      </c>
    </row>
    <row r="335" spans="1:17">
      <c r="A335" s="1018" t="s">
        <v>1591</v>
      </c>
      <c r="B335" s="460" t="s">
        <v>114</v>
      </c>
      <c r="C335" s="1092" t="s">
        <v>568</v>
      </c>
      <c r="D335" s="1389" t="s">
        <v>1990</v>
      </c>
      <c r="E335" t="s">
        <v>1991</v>
      </c>
      <c r="F335" s="1311">
        <v>2011210886</v>
      </c>
      <c r="G335" s="1311">
        <v>0</v>
      </c>
      <c r="H335" s="1082">
        <f t="shared" si="18"/>
        <v>2011210886</v>
      </c>
      <c r="I335" s="1333" t="s">
        <v>39</v>
      </c>
      <c r="J335" s="1334" t="str">
        <f>VLOOKUP(C335,Acc_Char!B:K,3,)</f>
        <v>KIM TRUC DN</v>
      </c>
      <c r="K335" s="1334" t="str">
        <f>VLOOKUP(C335,Acc_Char!B:K,7,)</f>
        <v>Subsidiaries</v>
      </c>
      <c r="L335" s="1334" t="str">
        <f t="shared" si="19"/>
        <v>Receipt from tenants</v>
      </c>
      <c r="M335" s="1335" t="str">
        <f>VLOOKUP(C335,Acc_Char!B:K,5,)</f>
        <v>VND</v>
      </c>
      <c r="N335" s="1335" t="str">
        <f>VLOOKUP(C335,Acc_Char!B:K,6,)</f>
        <v>Current Account</v>
      </c>
      <c r="O335" s="1336" t="str">
        <f>Summary!$B$4</f>
        <v>W1-2Jan26</v>
      </c>
      <c r="P335" s="1334" t="str">
        <f t="shared" si="20"/>
        <v>1329397986</v>
      </c>
      <c r="Q335" s="1024"/>
    </row>
    <row r="336" spans="1:17">
      <c r="A336" s="1018" t="s">
        <v>1591</v>
      </c>
      <c r="B336" s="460" t="s">
        <v>114</v>
      </c>
      <c r="C336" s="1092" t="s">
        <v>517</v>
      </c>
      <c r="D336" s="1389" t="s">
        <v>1992</v>
      </c>
      <c r="E336" t="s">
        <v>1993</v>
      </c>
      <c r="F336" s="1311">
        <v>883276560</v>
      </c>
      <c r="G336" s="1311">
        <v>0</v>
      </c>
      <c r="H336" s="1082">
        <f t="shared" si="18"/>
        <v>883276560</v>
      </c>
      <c r="I336" s="1333" t="s">
        <v>39</v>
      </c>
      <c r="J336" s="1334" t="str">
        <f>VLOOKUP(C336,Acc_Char!B:K,3,)</f>
        <v>BWID HAI DUONG 3</v>
      </c>
      <c r="K336" s="1334" t="str">
        <f>VLOOKUP(C336,Acc_Char!B:K,7,)</f>
        <v>Subsidiaries</v>
      </c>
      <c r="L336" s="1334" t="str">
        <f t="shared" si="19"/>
        <v>Receipt from tenants</v>
      </c>
      <c r="M336" s="1335" t="str">
        <f>VLOOKUP(C336,Acc_Char!B:K,5,)</f>
        <v>VND</v>
      </c>
      <c r="N336" s="1335" t="str">
        <f>VLOOKUP(C336,Acc_Char!B:K,6,)</f>
        <v>Current Account</v>
      </c>
      <c r="O336" s="1336" t="str">
        <f>Summary!$B$4</f>
        <v>W1-2Jan26</v>
      </c>
      <c r="P336" s="1334" t="str">
        <f t="shared" si="20"/>
        <v>2221133456</v>
      </c>
    </row>
    <row r="337" spans="1:16">
      <c r="A337" s="1018" t="s">
        <v>1591</v>
      </c>
      <c r="B337" s="460" t="s">
        <v>114</v>
      </c>
      <c r="C337" s="1092" t="s">
        <v>517</v>
      </c>
      <c r="D337" s="1389" t="s">
        <v>1994</v>
      </c>
      <c r="E337" t="s">
        <v>1995</v>
      </c>
      <c r="F337" s="1311">
        <v>4071978</v>
      </c>
      <c r="G337" s="1311">
        <v>0</v>
      </c>
      <c r="H337" s="1082">
        <f t="shared" si="18"/>
        <v>4071978</v>
      </c>
      <c r="I337" s="1333" t="s">
        <v>39</v>
      </c>
      <c r="J337" s="1334" t="str">
        <f>VLOOKUP(C337,Acc_Char!B:K,3,)</f>
        <v>BWID HAI DUONG 3</v>
      </c>
      <c r="K337" s="1334" t="str">
        <f>VLOOKUP(C337,Acc_Char!B:K,7,)</f>
        <v>Subsidiaries</v>
      </c>
      <c r="L337" s="1334" t="str">
        <f t="shared" si="19"/>
        <v>Receipt from tenants</v>
      </c>
      <c r="M337" s="1335" t="str">
        <f>VLOOKUP(C337,Acc_Char!B:K,5,)</f>
        <v>VND</v>
      </c>
      <c r="N337" s="1335" t="str">
        <f>VLOOKUP(C337,Acc_Char!B:K,6,)</f>
        <v>Current Account</v>
      </c>
      <c r="O337" s="1336" t="str">
        <f>Summary!$B$4</f>
        <v>W1-2Jan26</v>
      </c>
      <c r="P337" s="1334" t="str">
        <f t="shared" si="20"/>
        <v>2221133456</v>
      </c>
    </row>
    <row r="338" spans="1:16">
      <c r="A338" s="1018" t="s">
        <v>1591</v>
      </c>
      <c r="B338" s="460" t="s">
        <v>114</v>
      </c>
      <c r="C338" s="1092" t="s">
        <v>568</v>
      </c>
      <c r="D338" s="1389" t="s">
        <v>1996</v>
      </c>
      <c r="E338" t="s">
        <v>1997</v>
      </c>
      <c r="F338" s="1311">
        <v>3798957106</v>
      </c>
      <c r="G338" s="1311">
        <v>0</v>
      </c>
      <c r="H338" s="1082">
        <f t="shared" si="18"/>
        <v>3798957106</v>
      </c>
      <c r="I338" s="1333" t="s">
        <v>39</v>
      </c>
      <c r="J338" s="1334" t="str">
        <f>VLOOKUP(C338,Acc_Char!B:K,3,)</f>
        <v>KIM TRUC DN</v>
      </c>
      <c r="K338" s="1334" t="str">
        <f>VLOOKUP(C338,Acc_Char!B:K,7,)</f>
        <v>Subsidiaries</v>
      </c>
      <c r="L338" s="1334" t="str">
        <f t="shared" si="19"/>
        <v>Receipt from tenants</v>
      </c>
      <c r="M338" s="1335" t="str">
        <f>VLOOKUP(C338,Acc_Char!B:K,5,)</f>
        <v>VND</v>
      </c>
      <c r="N338" s="1335" t="str">
        <f>VLOOKUP(C338,Acc_Char!B:K,6,)</f>
        <v>Current Account</v>
      </c>
      <c r="O338" s="1336" t="str">
        <f>Summary!$B$4</f>
        <v>W1-2Jan26</v>
      </c>
      <c r="P338" s="1334" t="str">
        <f t="shared" si="20"/>
        <v>1329397986</v>
      </c>
    </row>
    <row r="339" spans="1:16">
      <c r="A339" s="1018" t="s">
        <v>1591</v>
      </c>
      <c r="B339" s="460" t="s">
        <v>114</v>
      </c>
      <c r="C339" s="1092" t="s">
        <v>336</v>
      </c>
      <c r="D339" s="1389" t="s">
        <v>1998</v>
      </c>
      <c r="E339" t="s">
        <v>1999</v>
      </c>
      <c r="F339" s="1311">
        <v>5576343</v>
      </c>
      <c r="G339" s="1311">
        <v>0</v>
      </c>
      <c r="H339" s="1082">
        <f t="shared" si="18"/>
        <v>5576343</v>
      </c>
      <c r="I339" s="1333" t="s">
        <v>39</v>
      </c>
      <c r="J339" s="1334" t="str">
        <f>VLOOKUP(C339,Acc_Char!B:K,3,)</f>
        <v>BW NAM DINH VU</v>
      </c>
      <c r="K339" s="1334" t="str">
        <f>VLOOKUP(C339,Acc_Char!B:K,7,)</f>
        <v>Subsidiaries</v>
      </c>
      <c r="L339" s="1334" t="str">
        <f t="shared" si="19"/>
        <v>Receipt from tenants</v>
      </c>
      <c r="M339" s="1335" t="str">
        <f>VLOOKUP(C339,Acc_Char!B:K,5,)</f>
        <v>VND</v>
      </c>
      <c r="N339" s="1335" t="str">
        <f>VLOOKUP(C339,Acc_Char!B:K,6,)</f>
        <v>Current Account</v>
      </c>
      <c r="O339" s="1336" t="str">
        <f>Summary!$B$4</f>
        <v>W1-2Jan26</v>
      </c>
      <c r="P339" s="1334" t="str">
        <f t="shared" si="20"/>
        <v>1500871050</v>
      </c>
    </row>
    <row r="340" spans="1:16">
      <c r="A340" s="1018" t="s">
        <v>1591</v>
      </c>
      <c r="B340" s="460" t="s">
        <v>114</v>
      </c>
      <c r="C340" s="1092" t="s">
        <v>517</v>
      </c>
      <c r="D340" s="1389" t="s">
        <v>2000</v>
      </c>
      <c r="E340" t="s">
        <v>2001</v>
      </c>
      <c r="F340" s="1311">
        <v>11795541</v>
      </c>
      <c r="G340" s="1311">
        <v>0</v>
      </c>
      <c r="H340" s="1082">
        <f t="shared" si="18"/>
        <v>11795541</v>
      </c>
      <c r="I340" s="1333" t="s">
        <v>39</v>
      </c>
      <c r="J340" s="1334" t="str">
        <f>VLOOKUP(C340,Acc_Char!B:K,3,)</f>
        <v>BWID HAI DUONG 3</v>
      </c>
      <c r="K340" s="1334" t="str">
        <f>VLOOKUP(C340,Acc_Char!B:K,7,)</f>
        <v>Subsidiaries</v>
      </c>
      <c r="L340" s="1334" t="str">
        <f t="shared" si="19"/>
        <v>Receipt from tenants</v>
      </c>
      <c r="M340" s="1335" t="str">
        <f>VLOOKUP(C340,Acc_Char!B:K,5,)</f>
        <v>VND</v>
      </c>
      <c r="N340" s="1335" t="str">
        <f>VLOOKUP(C340,Acc_Char!B:K,6,)</f>
        <v>Current Account</v>
      </c>
      <c r="O340" s="1336" t="str">
        <f>Summary!$B$4</f>
        <v>W1-2Jan26</v>
      </c>
      <c r="P340" s="1334" t="str">
        <f t="shared" si="20"/>
        <v>2221133456</v>
      </c>
    </row>
    <row r="341" spans="1:16">
      <c r="A341" s="1018" t="s">
        <v>1591</v>
      </c>
      <c r="B341" s="460" t="s">
        <v>114</v>
      </c>
      <c r="C341" s="1092" t="s">
        <v>517</v>
      </c>
      <c r="D341" s="1389" t="s">
        <v>2002</v>
      </c>
      <c r="E341" t="s">
        <v>2003</v>
      </c>
      <c r="F341" s="1311">
        <v>1680182505</v>
      </c>
      <c r="G341" s="1311">
        <v>0</v>
      </c>
      <c r="H341" s="1082">
        <f t="shared" si="18"/>
        <v>1680182505</v>
      </c>
      <c r="I341" s="1333" t="s">
        <v>39</v>
      </c>
      <c r="J341" s="1334" t="str">
        <f>VLOOKUP(C341,Acc_Char!B:K,3,)</f>
        <v>BWID HAI DUONG 3</v>
      </c>
      <c r="K341" s="1334" t="str">
        <f>VLOOKUP(C341,Acc_Char!B:K,7,)</f>
        <v>Subsidiaries</v>
      </c>
      <c r="L341" s="1334" t="str">
        <f t="shared" si="19"/>
        <v>Receipt from tenants</v>
      </c>
      <c r="M341" s="1335" t="str">
        <f>VLOOKUP(C341,Acc_Char!B:K,5,)</f>
        <v>VND</v>
      </c>
      <c r="N341" s="1335" t="str">
        <f>VLOOKUP(C341,Acc_Char!B:K,6,)</f>
        <v>Current Account</v>
      </c>
      <c r="O341" s="1336" t="str">
        <f>Summary!$B$4</f>
        <v>W1-2Jan26</v>
      </c>
      <c r="P341" s="1334" t="str">
        <f t="shared" si="20"/>
        <v>2221133456</v>
      </c>
    </row>
    <row r="342" spans="1:16">
      <c r="A342" s="1018" t="s">
        <v>1567</v>
      </c>
      <c r="B342" s="460" t="s">
        <v>114</v>
      </c>
      <c r="C342" s="1092" t="s">
        <v>906</v>
      </c>
      <c r="D342" s="1389">
        <v>46031</v>
      </c>
      <c r="E342" t="s">
        <v>2004</v>
      </c>
      <c r="F342" s="1311">
        <v>947086410</v>
      </c>
      <c r="G342" s="1311">
        <v>0</v>
      </c>
      <c r="H342" s="1082">
        <f t="shared" si="18"/>
        <v>947086410</v>
      </c>
      <c r="I342" s="1333" t="s">
        <v>39</v>
      </c>
      <c r="J342" s="1334" t="str">
        <f>VLOOKUP(C342,Acc_Char!B:K,3,)</f>
        <v>NDV PROJECT CO</v>
      </c>
      <c r="K342" s="1334" t="str">
        <f>VLOOKUP(C342,Acc_Char!B:K,7,)</f>
        <v>Subsidiaries</v>
      </c>
      <c r="L342" s="1334" t="str">
        <f t="shared" si="19"/>
        <v>Receipt from tenants</v>
      </c>
      <c r="M342" s="1335" t="str">
        <f>VLOOKUP(C342,Acc_Char!B:K,5,)</f>
        <v>VND</v>
      </c>
      <c r="N342" s="1335" t="str">
        <f>VLOOKUP(C342,Acc_Char!B:K,6,)</f>
        <v>Current Account</v>
      </c>
      <c r="O342" s="1336" t="str">
        <f>Summary!$B$4</f>
        <v>W1-2Jan26</v>
      </c>
      <c r="P342" s="1334" t="str">
        <f t="shared" si="20"/>
        <v>8620004064</v>
      </c>
    </row>
    <row r="343" spans="1:16">
      <c r="A343" s="1018" t="s">
        <v>1591</v>
      </c>
      <c r="B343" s="460" t="s">
        <v>114</v>
      </c>
      <c r="C343" s="1092" t="s">
        <v>517</v>
      </c>
      <c r="D343" s="1389" t="s">
        <v>2005</v>
      </c>
      <c r="E343" t="s">
        <v>2006</v>
      </c>
      <c r="F343" s="1311">
        <v>1677608736</v>
      </c>
      <c r="G343" s="1311">
        <v>0</v>
      </c>
      <c r="H343" s="1082">
        <f t="shared" si="18"/>
        <v>1677608736</v>
      </c>
      <c r="I343" s="1333" t="s">
        <v>39</v>
      </c>
      <c r="J343" s="1334" t="str">
        <f>VLOOKUP(C343,Acc_Char!B:K,3,)</f>
        <v>BWID HAI DUONG 3</v>
      </c>
      <c r="K343" s="1334" t="str">
        <f>VLOOKUP(C343,Acc_Char!B:K,7,)</f>
        <v>Subsidiaries</v>
      </c>
      <c r="L343" s="1334" t="str">
        <f t="shared" si="19"/>
        <v>Receipt from tenants</v>
      </c>
      <c r="M343" s="1335" t="str">
        <f>VLOOKUP(C343,Acc_Char!B:K,5,)</f>
        <v>VND</v>
      </c>
      <c r="N343" s="1335" t="str">
        <f>VLOOKUP(C343,Acc_Char!B:K,6,)</f>
        <v>Current Account</v>
      </c>
      <c r="O343" s="1336" t="str">
        <f>Summary!$B$4</f>
        <v>W1-2Jan26</v>
      </c>
      <c r="P343" s="1334" t="str">
        <f t="shared" si="20"/>
        <v>2221133456</v>
      </c>
    </row>
    <row r="344" spans="1:16">
      <c r="A344" s="1018" t="s">
        <v>1591</v>
      </c>
      <c r="B344" s="460" t="s">
        <v>114</v>
      </c>
      <c r="C344" s="1092" t="s">
        <v>747</v>
      </c>
      <c r="D344" s="1389" t="s">
        <v>2007</v>
      </c>
      <c r="E344" t="s">
        <v>2008</v>
      </c>
      <c r="F344" s="1311">
        <v>2518177</v>
      </c>
      <c r="G344" s="1311">
        <v>0</v>
      </c>
      <c r="H344" s="1082">
        <f t="shared" si="18"/>
        <v>2518177</v>
      </c>
      <c r="I344" s="1333" t="s">
        <v>39</v>
      </c>
      <c r="J344" s="1334" t="str">
        <f>VLOOKUP(C344,Acc_Char!B:K,3,)</f>
        <v>BW DONG HAI</v>
      </c>
      <c r="K344" s="1334" t="str">
        <f>VLOOKUP(C344,Acc_Char!B:K,7,)</f>
        <v>Subsidiaries</v>
      </c>
      <c r="L344" s="1334" t="str">
        <f t="shared" si="19"/>
        <v>Receipt from tenants</v>
      </c>
      <c r="M344" s="1335" t="str">
        <f>VLOOKUP(C344,Acc_Char!B:K,5,)</f>
        <v>VND</v>
      </c>
      <c r="N344" s="1335" t="str">
        <f>VLOOKUP(C344,Acc_Char!B:K,6,)</f>
        <v>Current Account</v>
      </c>
      <c r="O344" s="1336" t="str">
        <f>Summary!$B$4</f>
        <v>W1-2Jan26</v>
      </c>
      <c r="P344" s="1334" t="str">
        <f t="shared" si="20"/>
        <v>2220987979</v>
      </c>
    </row>
    <row r="345" spans="1:16">
      <c r="A345" s="1018" t="s">
        <v>1591</v>
      </c>
      <c r="B345" s="460" t="s">
        <v>114</v>
      </c>
      <c r="C345" s="1092" t="s">
        <v>747</v>
      </c>
      <c r="D345" s="1389" t="s">
        <v>2007</v>
      </c>
      <c r="E345" t="s">
        <v>2009</v>
      </c>
      <c r="F345" s="1311">
        <v>1342934856</v>
      </c>
      <c r="G345" s="1311">
        <v>0</v>
      </c>
      <c r="H345" s="1082">
        <f t="shared" si="18"/>
        <v>1342934856</v>
      </c>
      <c r="I345" s="1333" t="s">
        <v>39</v>
      </c>
      <c r="J345" s="1334" t="str">
        <f>VLOOKUP(C345,Acc_Char!B:K,3,)</f>
        <v>BW DONG HAI</v>
      </c>
      <c r="K345" s="1334" t="str">
        <f>VLOOKUP(C345,Acc_Char!B:K,7,)</f>
        <v>Subsidiaries</v>
      </c>
      <c r="L345" s="1334" t="str">
        <f t="shared" si="19"/>
        <v>Receipt from tenants</v>
      </c>
      <c r="M345" s="1335" t="str">
        <f>VLOOKUP(C345,Acc_Char!B:K,5,)</f>
        <v>VND</v>
      </c>
      <c r="N345" s="1335" t="str">
        <f>VLOOKUP(C345,Acc_Char!B:K,6,)</f>
        <v>Current Account</v>
      </c>
      <c r="O345" s="1336" t="str">
        <f>Summary!$B$4</f>
        <v>W1-2Jan26</v>
      </c>
      <c r="P345" s="1334" t="str">
        <f t="shared" si="20"/>
        <v>2220987979</v>
      </c>
    </row>
    <row r="346" spans="1:16">
      <c r="A346" s="1018" t="s">
        <v>1567</v>
      </c>
      <c r="B346" s="460" t="s">
        <v>114</v>
      </c>
      <c r="C346" s="1092" t="s">
        <v>906</v>
      </c>
      <c r="D346" s="1389">
        <v>46037</v>
      </c>
      <c r="E346" t="s">
        <v>2010</v>
      </c>
      <c r="F346" s="1311">
        <v>2469442434</v>
      </c>
      <c r="G346" s="1311">
        <v>0</v>
      </c>
      <c r="H346" s="1283">
        <f t="shared" si="18"/>
        <v>2469442434</v>
      </c>
      <c r="I346" s="1333" t="s">
        <v>39</v>
      </c>
      <c r="J346" s="1334" t="str">
        <f>VLOOKUP(C346,Acc_Char!B:K,3,)</f>
        <v>NDV PROJECT CO</v>
      </c>
      <c r="K346" s="1334" t="str">
        <f>VLOOKUP(C346,Acc_Char!B:K,7,)</f>
        <v>Subsidiaries</v>
      </c>
      <c r="L346" s="1334" t="str">
        <f t="shared" si="19"/>
        <v>Receipt from tenants</v>
      </c>
      <c r="M346" s="1335" t="str">
        <f>VLOOKUP(C346,Acc_Char!B:K,5,)</f>
        <v>VND</v>
      </c>
      <c r="N346" s="1335" t="str">
        <f>VLOOKUP(C346,Acc_Char!B:K,6,)</f>
        <v>Current Account</v>
      </c>
      <c r="O346" s="1336" t="str">
        <f>Summary!$B$4</f>
        <v>W1-2Jan26</v>
      </c>
      <c r="P346" s="1334" t="str">
        <f t="shared" si="20"/>
        <v>8620004064</v>
      </c>
    </row>
    <row r="347" spans="1:16">
      <c r="A347" s="1018" t="s">
        <v>1591</v>
      </c>
      <c r="B347" s="460" t="s">
        <v>114</v>
      </c>
      <c r="C347" s="1092" t="s">
        <v>547</v>
      </c>
      <c r="D347" s="1389" t="s">
        <v>2011</v>
      </c>
      <c r="E347" t="s">
        <v>2012</v>
      </c>
      <c r="F347" s="1311">
        <v>0</v>
      </c>
      <c r="G347" s="1311">
        <v>1710763</v>
      </c>
      <c r="H347" s="1283">
        <f t="shared" si="18"/>
        <v>-1710763</v>
      </c>
      <c r="I347" s="1333" t="s">
        <v>53</v>
      </c>
      <c r="J347" s="1334" t="str">
        <f>VLOOKUP(C347,Acc_Char!B:K,3,)</f>
        <v>BW PHU NGHIA</v>
      </c>
      <c r="K347" s="1334" t="str">
        <f>VLOOKUP(C347,Acc_Char!B:K,7,)</f>
        <v>Subsidiaries</v>
      </c>
      <c r="L347" s="1334" t="str">
        <f t="shared" si="19"/>
        <v>Operating expense</v>
      </c>
      <c r="M347" s="1335" t="str">
        <f>VLOOKUP(C347,Acc_Char!B:K,5,)</f>
        <v>VND</v>
      </c>
      <c r="N347" s="1335" t="str">
        <f>VLOOKUP(C347,Acc_Char!B:K,6,)</f>
        <v>Current Account</v>
      </c>
      <c r="O347" s="1336" t="str">
        <f>Summary!$B$4</f>
        <v>W1-2Jan26</v>
      </c>
      <c r="P347" s="1334" t="str">
        <f t="shared" si="20"/>
        <v>2220830888</v>
      </c>
    </row>
    <row r="348" spans="1:16">
      <c r="A348" s="1018" t="s">
        <v>1591</v>
      </c>
      <c r="B348" s="460" t="s">
        <v>114</v>
      </c>
      <c r="C348" s="1092" t="s">
        <v>517</v>
      </c>
      <c r="D348" s="1389" t="s">
        <v>2013</v>
      </c>
      <c r="E348" t="s">
        <v>2014</v>
      </c>
      <c r="F348" s="1311">
        <v>0</v>
      </c>
      <c r="G348" s="1311">
        <v>42124320</v>
      </c>
      <c r="H348" s="1283">
        <f t="shared" si="18"/>
        <v>-42124320</v>
      </c>
      <c r="I348" s="1333" t="s">
        <v>53</v>
      </c>
      <c r="J348" s="1334" t="str">
        <f>VLOOKUP(C348,Acc_Char!B:K,3,)</f>
        <v>BWID HAI DUONG 3</v>
      </c>
      <c r="K348" s="1334" t="str">
        <f>VLOOKUP(C348,Acc_Char!B:K,7,)</f>
        <v>Subsidiaries</v>
      </c>
      <c r="L348" s="1334" t="str">
        <f t="shared" si="19"/>
        <v>Operating expense</v>
      </c>
      <c r="M348" s="1335" t="str">
        <f>VLOOKUP(C348,Acc_Char!B:K,5,)</f>
        <v>VND</v>
      </c>
      <c r="N348" s="1335" t="str">
        <f>VLOOKUP(C348,Acc_Char!B:K,6,)</f>
        <v>Current Account</v>
      </c>
      <c r="O348" s="1336" t="str">
        <f>Summary!$B$4</f>
        <v>W1-2Jan26</v>
      </c>
      <c r="P348" s="1334" t="str">
        <f t="shared" si="20"/>
        <v>2221133456</v>
      </c>
    </row>
    <row r="349" spans="1:16">
      <c r="A349" s="1018" t="s">
        <v>1567</v>
      </c>
      <c r="B349" s="460" t="s">
        <v>114</v>
      </c>
      <c r="C349" s="1092" t="s">
        <v>892</v>
      </c>
      <c r="D349" s="1389">
        <v>46024</v>
      </c>
      <c r="E349" t="s">
        <v>2015</v>
      </c>
      <c r="F349" s="1311">
        <v>0</v>
      </c>
      <c r="G349" s="1311">
        <v>92504415</v>
      </c>
      <c r="H349" s="1283">
        <f t="shared" si="18"/>
        <v>-92504415</v>
      </c>
      <c r="I349" s="1333" t="s">
        <v>53</v>
      </c>
      <c r="J349" s="1334" t="str">
        <f>VLOOKUP(C349,Acc_Char!B:K,3,)</f>
        <v>NSHL LLC</v>
      </c>
      <c r="K349" s="1334" t="str">
        <f>VLOOKUP(C349,Acc_Char!B:K,7,)</f>
        <v>Subsidiaries</v>
      </c>
      <c r="L349" s="1334" t="str">
        <f t="shared" si="19"/>
        <v>Operating expense</v>
      </c>
      <c r="M349" s="1335" t="str">
        <f>VLOOKUP(C349,Acc_Char!B:K,5,)</f>
        <v>VND</v>
      </c>
      <c r="N349" s="1335" t="str">
        <f>VLOOKUP(C349,Acc_Char!B:K,6,)</f>
        <v>Current Account</v>
      </c>
      <c r="O349" s="1336" t="str">
        <f>Summary!$B$4</f>
        <v>W1-2Jan26</v>
      </c>
      <c r="P349" s="1334" t="str">
        <f t="shared" si="20"/>
        <v>2225179735</v>
      </c>
    </row>
    <row r="350" spans="1:16">
      <c r="A350" s="1018" t="s">
        <v>1591</v>
      </c>
      <c r="B350" s="460" t="s">
        <v>110</v>
      </c>
      <c r="C350" s="1092" t="s">
        <v>504</v>
      </c>
      <c r="D350" s="1389" t="s">
        <v>2016</v>
      </c>
      <c r="E350" t="s">
        <v>2017</v>
      </c>
      <c r="F350" s="1311">
        <v>562440618</v>
      </c>
      <c r="G350" s="1311">
        <v>0</v>
      </c>
      <c r="H350" s="1283">
        <f t="shared" si="18"/>
        <v>562440618</v>
      </c>
      <c r="I350" s="1333" t="s">
        <v>39</v>
      </c>
      <c r="J350" s="1334" t="str">
        <f>VLOOKUP(C350,Acc_Char!B:K,3,)</f>
        <v>BWID BAC NINH</v>
      </c>
      <c r="K350" s="1334" t="str">
        <f>VLOOKUP(C350,Acc_Char!B:K,7,)</f>
        <v>Subsidiaries</v>
      </c>
      <c r="L350" s="1334" t="str">
        <f t="shared" si="19"/>
        <v>Receipt from tenants</v>
      </c>
      <c r="M350" s="1335" t="str">
        <f>VLOOKUP(C350,Acc_Char!B:K,5,)</f>
        <v>VND</v>
      </c>
      <c r="N350" s="1335" t="str">
        <f>VLOOKUP(C350,Acc_Char!B:K,6,)</f>
        <v>Current Account</v>
      </c>
      <c r="O350" s="1336" t="str">
        <f>Summary!$B$4</f>
        <v>W1-2Jan26</v>
      </c>
      <c r="P350" s="1334" t="str">
        <f t="shared" si="20"/>
        <v>118008108888</v>
      </c>
    </row>
    <row r="351" spans="1:16">
      <c r="A351" s="1018" t="s">
        <v>1591</v>
      </c>
      <c r="B351" s="460" t="s">
        <v>110</v>
      </c>
      <c r="C351" s="1092" t="s">
        <v>500</v>
      </c>
      <c r="D351" s="1389" t="s">
        <v>2018</v>
      </c>
      <c r="E351" t="s">
        <v>2019</v>
      </c>
      <c r="F351" s="1311">
        <v>3408097</v>
      </c>
      <c r="G351" s="1311">
        <v>0</v>
      </c>
      <c r="H351" s="1283">
        <f t="shared" si="18"/>
        <v>3408097</v>
      </c>
      <c r="I351" s="1333" t="s">
        <v>39</v>
      </c>
      <c r="J351" s="1334" t="str">
        <f>VLOOKUP(C351,Acc_Char!B:K,3,)</f>
        <v>BWID HAI DUONG</v>
      </c>
      <c r="K351" s="1334" t="str">
        <f>VLOOKUP(C351,Acc_Char!B:K,7,)</f>
        <v>Subsidiaries</v>
      </c>
      <c r="L351" s="1334" t="str">
        <f t="shared" si="19"/>
        <v>Receipt from tenants</v>
      </c>
      <c r="M351" s="1335" t="str">
        <f>VLOOKUP(C351,Acc_Char!B:K,5,)</f>
        <v>VND</v>
      </c>
      <c r="N351" s="1335" t="str">
        <f>VLOOKUP(C351,Acc_Char!B:K,6,)</f>
        <v>Current Account</v>
      </c>
      <c r="O351" s="1336" t="str">
        <f>Summary!$B$4</f>
        <v>W1-2Jan26</v>
      </c>
      <c r="P351" s="1334" t="str">
        <f t="shared" si="20"/>
        <v>111007158888</v>
      </c>
    </row>
    <row r="352" spans="1:16">
      <c r="A352" s="1018" t="s">
        <v>1591</v>
      </c>
      <c r="B352" s="460" t="s">
        <v>110</v>
      </c>
      <c r="C352" s="1092" t="s">
        <v>500</v>
      </c>
      <c r="D352" s="1389" t="s">
        <v>2020</v>
      </c>
      <c r="E352" t="s">
        <v>2021</v>
      </c>
      <c r="F352" s="1311">
        <v>31585609</v>
      </c>
      <c r="G352" s="1311">
        <v>0</v>
      </c>
      <c r="H352" s="1283">
        <f t="shared" si="18"/>
        <v>31585609</v>
      </c>
      <c r="I352" s="1333" t="s">
        <v>39</v>
      </c>
      <c r="J352" s="1334" t="str">
        <f>VLOOKUP(C352,Acc_Char!B:K,3,)</f>
        <v>BWID HAI DUONG</v>
      </c>
      <c r="K352" s="1334" t="str">
        <f>VLOOKUP(C352,Acc_Char!B:K,7,)</f>
        <v>Subsidiaries</v>
      </c>
      <c r="L352" s="1334" t="str">
        <f t="shared" si="19"/>
        <v>Receipt from tenants</v>
      </c>
      <c r="M352" s="1335" t="str">
        <f>VLOOKUP(C352,Acc_Char!B:K,5,)</f>
        <v>VND</v>
      </c>
      <c r="N352" s="1335" t="str">
        <f>VLOOKUP(C352,Acc_Char!B:K,6,)</f>
        <v>Current Account</v>
      </c>
      <c r="O352" s="1336" t="str">
        <f>Summary!$B$4</f>
        <v>W1-2Jan26</v>
      </c>
      <c r="P352" s="1334" t="str">
        <f t="shared" si="20"/>
        <v>111007158888</v>
      </c>
    </row>
    <row r="353" spans="1:16">
      <c r="A353" s="1018" t="s">
        <v>1591</v>
      </c>
      <c r="B353" s="460" t="s">
        <v>110</v>
      </c>
      <c r="C353" s="1092" t="s">
        <v>500</v>
      </c>
      <c r="D353" s="1389" t="s">
        <v>2022</v>
      </c>
      <c r="E353" t="s">
        <v>2023</v>
      </c>
      <c r="F353" s="1311">
        <v>4444404465</v>
      </c>
      <c r="G353" s="1311">
        <v>0</v>
      </c>
      <c r="H353" s="1283">
        <f t="shared" si="18"/>
        <v>4444404465</v>
      </c>
      <c r="I353" s="1333" t="s">
        <v>39</v>
      </c>
      <c r="J353" s="1334" t="str">
        <f>VLOOKUP(C353,Acc_Char!B:K,3,)</f>
        <v>BWID HAI DUONG</v>
      </c>
      <c r="K353" s="1334" t="str">
        <f>VLOOKUP(C353,Acc_Char!B:K,7,)</f>
        <v>Subsidiaries</v>
      </c>
      <c r="L353" s="1334" t="str">
        <f t="shared" si="19"/>
        <v>Receipt from tenants</v>
      </c>
      <c r="M353" s="1335" t="str">
        <f>VLOOKUP(C353,Acc_Char!B:K,5,)</f>
        <v>VND</v>
      </c>
      <c r="N353" s="1335" t="str">
        <f>VLOOKUP(C353,Acc_Char!B:K,6,)</f>
        <v>Current Account</v>
      </c>
      <c r="O353" s="1336" t="str">
        <f>Summary!$B$4</f>
        <v>W1-2Jan26</v>
      </c>
      <c r="P353" s="1334" t="str">
        <f t="shared" si="20"/>
        <v>111007158888</v>
      </c>
    </row>
    <row r="354" spans="1:16">
      <c r="A354" s="1018" t="s">
        <v>1567</v>
      </c>
      <c r="B354" s="460" t="s">
        <v>112</v>
      </c>
      <c r="C354" s="1092" t="s">
        <v>1000</v>
      </c>
      <c r="D354" s="1389">
        <v>46034</v>
      </c>
      <c r="E354" t="s">
        <v>2024</v>
      </c>
      <c r="F354" s="1311">
        <v>780960110</v>
      </c>
      <c r="G354" s="1311">
        <v>0</v>
      </c>
      <c r="H354" s="1283">
        <f t="shared" si="18"/>
        <v>780960110</v>
      </c>
      <c r="I354" s="1333" t="s">
        <v>39</v>
      </c>
      <c r="J354" s="1334" t="str">
        <f>VLOOKUP(C354,Acc_Char!B:K,3,)</f>
        <v>THUAN THANH 3B</v>
      </c>
      <c r="K354" s="1334" t="str">
        <f>VLOOKUP(C354,Acc_Char!B:K,7,)</f>
        <v>Subsidiaries</v>
      </c>
      <c r="L354" s="1334" t="str">
        <f t="shared" si="19"/>
        <v>Receipt from tenants</v>
      </c>
      <c r="M354" s="1335" t="str">
        <f>VLOOKUP(C354,Acc_Char!B:K,5,)</f>
        <v>VND</v>
      </c>
      <c r="N354" s="1335" t="str">
        <f>VLOOKUP(C354,Acc_Char!B:K,6,)</f>
        <v>Current Account</v>
      </c>
      <c r="O354" s="1336" t="str">
        <f>Summary!$B$4</f>
        <v>W1-2Jan26</v>
      </c>
      <c r="P354" s="1334" t="str">
        <f t="shared" si="20"/>
        <v>3243126666</v>
      </c>
    </row>
    <row r="355" spans="1:16">
      <c r="A355" s="1018" t="s">
        <v>1567</v>
      </c>
      <c r="B355" s="460" t="s">
        <v>112</v>
      </c>
      <c r="C355" s="1092" t="s">
        <v>1408</v>
      </c>
      <c r="D355" s="1389">
        <v>46030</v>
      </c>
      <c r="E355" t="s">
        <v>2025</v>
      </c>
      <c r="F355" s="1311">
        <v>7210438</v>
      </c>
      <c r="G355" s="1311">
        <v>0</v>
      </c>
      <c r="H355" s="1283">
        <f t="shared" si="18"/>
        <v>7210438</v>
      </c>
      <c r="I355" s="1333" t="s">
        <v>39</v>
      </c>
      <c r="J355" s="1334" t="str">
        <f>VLOOKUP(C355,Acc_Char!B:K,3,)</f>
        <v>LONG BINH</v>
      </c>
      <c r="K355" s="1334" t="str">
        <f>VLOOKUP(C355,Acc_Char!B:K,7,)</f>
        <v>Subsidiaries</v>
      </c>
      <c r="L355" s="1334" t="str">
        <f t="shared" si="19"/>
        <v>Receipt from tenants</v>
      </c>
      <c r="M355" s="1335" t="str">
        <f>VLOOKUP(C355,Acc_Char!B:K,5,)</f>
        <v>VND</v>
      </c>
      <c r="N355" s="1335" t="str">
        <f>VLOOKUP(C355,Acc_Char!B:K,6,)</f>
        <v>Current Account</v>
      </c>
      <c r="O355" s="1336" t="str">
        <f>Summary!$B$4</f>
        <v>W1-2Jan26</v>
      </c>
      <c r="P355" s="1334" t="str">
        <f t="shared" si="20"/>
        <v>1060629524</v>
      </c>
    </row>
    <row r="356" spans="1:16">
      <c r="A356" s="1018" t="s">
        <v>1567</v>
      </c>
      <c r="B356" s="460" t="s">
        <v>112</v>
      </c>
      <c r="C356" s="1092" t="s">
        <v>762</v>
      </c>
      <c r="D356" s="1389">
        <v>46035</v>
      </c>
      <c r="E356" t="s">
        <v>2026</v>
      </c>
      <c r="F356" s="1311">
        <v>857646480</v>
      </c>
      <c r="G356" s="1311">
        <v>0</v>
      </c>
      <c r="H356" s="1283">
        <f t="shared" si="18"/>
        <v>857646480</v>
      </c>
      <c r="I356" s="1333" t="s">
        <v>39</v>
      </c>
      <c r="J356" s="1334" t="str">
        <f>VLOOKUP(C356,Acc_Char!B:K,3,)</f>
        <v>THUAN THANH 3B</v>
      </c>
      <c r="K356" s="1334" t="str">
        <f>VLOOKUP(C356,Acc_Char!B:K,7,)</f>
        <v>Subsidiaries</v>
      </c>
      <c r="L356" s="1334" t="str">
        <f t="shared" si="19"/>
        <v>Receipt from tenants</v>
      </c>
      <c r="M356" s="1335" t="str">
        <f>VLOOKUP(C356,Acc_Char!B:K,5,)</f>
        <v>VND</v>
      </c>
      <c r="N356" s="1335" t="str">
        <f>VLOOKUP(C356,Acc_Char!B:K,6,)</f>
        <v>Current Account</v>
      </c>
      <c r="O356" s="1336" t="str">
        <f>Summary!$B$4</f>
        <v>W1-2Jan26</v>
      </c>
      <c r="P356" s="1334" t="str">
        <f t="shared" si="20"/>
        <v>9020128888</v>
      </c>
    </row>
    <row r="357" spans="1:16">
      <c r="A357" s="1018" t="s">
        <v>1567</v>
      </c>
      <c r="B357" s="460" t="s">
        <v>112</v>
      </c>
      <c r="C357" s="1092" t="s">
        <v>529</v>
      </c>
      <c r="D357" s="1389">
        <v>46028</v>
      </c>
      <c r="E357" t="s">
        <v>2027</v>
      </c>
      <c r="F357" s="1311">
        <v>154027631</v>
      </c>
      <c r="G357" s="1311">
        <v>0</v>
      </c>
      <c r="H357" s="1283">
        <f t="shared" si="18"/>
        <v>154027631</v>
      </c>
      <c r="I357" s="1333" t="s">
        <v>39</v>
      </c>
      <c r="J357" s="1334" t="str">
        <f>VLOOKUP(C357,Acc_Char!B:K,3,)</f>
        <v>BWID LOGISTICS TAN UYEN</v>
      </c>
      <c r="K357" s="1334" t="str">
        <f>VLOOKUP(C357,Acc_Char!B:K,7,)</f>
        <v>Subsidiaries</v>
      </c>
      <c r="L357" s="1334" t="str">
        <f t="shared" si="19"/>
        <v>Receipt from tenants</v>
      </c>
      <c r="M357" s="1335" t="str">
        <f>VLOOKUP(C357,Acc_Char!B:K,5,)</f>
        <v>VND</v>
      </c>
      <c r="N357" s="1335" t="str">
        <f>VLOOKUP(C357,Acc_Char!B:K,6,)</f>
        <v>Current Account</v>
      </c>
      <c r="O357" s="1336" t="str">
        <f>Summary!$B$4</f>
        <v>W1-2Jan26</v>
      </c>
      <c r="P357" s="1334" t="str">
        <f t="shared" si="20"/>
        <v>1018776868</v>
      </c>
    </row>
    <row r="358" spans="1:16">
      <c r="A358" s="1018" t="s">
        <v>1567</v>
      </c>
      <c r="B358" s="460" t="s">
        <v>112</v>
      </c>
      <c r="C358" s="1092" t="s">
        <v>809</v>
      </c>
      <c r="D358" s="1389">
        <v>46035</v>
      </c>
      <c r="E358" t="s">
        <v>2028</v>
      </c>
      <c r="F358" s="1311">
        <v>286453310</v>
      </c>
      <c r="G358" s="1311">
        <v>0</v>
      </c>
      <c r="H358" s="1283">
        <f t="shared" si="18"/>
        <v>286453310</v>
      </c>
      <c r="I358" s="1333" t="s">
        <v>39</v>
      </c>
      <c r="J358" s="1334" t="str">
        <f>VLOOKUP(C358,Acc_Char!B:K,3,)</f>
        <v>BW SAIGON LOGISTICS</v>
      </c>
      <c r="K358" s="1334" t="str">
        <f>VLOOKUP(C358,Acc_Char!B:K,7,)</f>
        <v>Subsidiaries</v>
      </c>
      <c r="L358" s="1334" t="str">
        <f t="shared" si="19"/>
        <v>Receipt from tenants</v>
      </c>
      <c r="M358" s="1335" t="str">
        <f>VLOOKUP(C358,Acc_Char!B:K,5,)</f>
        <v>VND</v>
      </c>
      <c r="N358" s="1335" t="str">
        <f>VLOOKUP(C358,Acc_Char!B:K,6,)</f>
        <v>Current Account</v>
      </c>
      <c r="O358" s="1336" t="str">
        <f>Summary!$B$4</f>
        <v>W1-2Jan26</v>
      </c>
      <c r="P358" s="1334" t="str">
        <f t="shared" si="20"/>
        <v>1038935148</v>
      </c>
    </row>
    <row r="359" spans="1:16">
      <c r="A359" s="1018" t="s">
        <v>1567</v>
      </c>
      <c r="B359" s="460" t="s">
        <v>112</v>
      </c>
      <c r="C359" s="1092" t="s">
        <v>1408</v>
      </c>
      <c r="D359" s="1389">
        <v>46037</v>
      </c>
      <c r="E359" t="s">
        <v>2029</v>
      </c>
      <c r="F359" s="1311">
        <v>4730035</v>
      </c>
      <c r="G359" s="1311">
        <v>0</v>
      </c>
      <c r="H359" s="1283">
        <f t="shared" si="18"/>
        <v>4730035</v>
      </c>
      <c r="I359" s="1333" t="s">
        <v>39</v>
      </c>
      <c r="J359" s="1334" t="str">
        <f>VLOOKUP(C359,Acc_Char!B:K,3,)</f>
        <v>LONG BINH</v>
      </c>
      <c r="K359" s="1334" t="str">
        <f>VLOOKUP(C359,Acc_Char!B:K,7,)</f>
        <v>Subsidiaries</v>
      </c>
      <c r="L359" s="1334" t="str">
        <f t="shared" si="19"/>
        <v>Receipt from tenants</v>
      </c>
      <c r="M359" s="1335" t="str">
        <f>VLOOKUP(C359,Acc_Char!B:K,5,)</f>
        <v>VND</v>
      </c>
      <c r="N359" s="1335" t="str">
        <f>VLOOKUP(C359,Acc_Char!B:K,6,)</f>
        <v>Current Account</v>
      </c>
      <c r="O359" s="1336" t="str">
        <f>Summary!$B$4</f>
        <v>W1-2Jan26</v>
      </c>
      <c r="P359" s="1334" t="str">
        <f t="shared" si="20"/>
        <v>1060629524</v>
      </c>
    </row>
    <row r="360" spans="1:16">
      <c r="A360" s="1018" t="s">
        <v>1567</v>
      </c>
      <c r="B360" s="460" t="s">
        <v>112</v>
      </c>
      <c r="C360" s="1092" t="s">
        <v>1408</v>
      </c>
      <c r="D360" s="1389">
        <v>46037</v>
      </c>
      <c r="E360" t="s">
        <v>2030</v>
      </c>
      <c r="F360" s="1311">
        <v>216516324</v>
      </c>
      <c r="G360" s="1311">
        <v>0</v>
      </c>
      <c r="H360" s="1283">
        <f t="shared" si="18"/>
        <v>216516324</v>
      </c>
      <c r="I360" s="1333" t="s">
        <v>39</v>
      </c>
      <c r="J360" s="1334" t="str">
        <f>VLOOKUP(C360,Acc_Char!B:K,3,)</f>
        <v>LONG BINH</v>
      </c>
      <c r="K360" s="1334" t="str">
        <f>VLOOKUP(C360,Acc_Char!B:K,7,)</f>
        <v>Subsidiaries</v>
      </c>
      <c r="L360" s="1334" t="str">
        <f t="shared" si="19"/>
        <v>Receipt from tenants</v>
      </c>
      <c r="M360" s="1335" t="str">
        <f>VLOOKUP(C360,Acc_Char!B:K,5,)</f>
        <v>VND</v>
      </c>
      <c r="N360" s="1335" t="str">
        <f>VLOOKUP(C360,Acc_Char!B:K,6,)</f>
        <v>Current Account</v>
      </c>
      <c r="O360" s="1336" t="str">
        <f>Summary!$B$4</f>
        <v>W1-2Jan26</v>
      </c>
      <c r="P360" s="1334" t="str">
        <f t="shared" si="20"/>
        <v>1060629524</v>
      </c>
    </row>
    <row r="361" spans="1:16">
      <c r="A361" s="1018" t="s">
        <v>1567</v>
      </c>
      <c r="B361" s="460" t="s">
        <v>112</v>
      </c>
      <c r="C361" s="1092" t="s">
        <v>1408</v>
      </c>
      <c r="D361" s="1389">
        <v>46031</v>
      </c>
      <c r="E361" t="s">
        <v>2031</v>
      </c>
      <c r="F361" s="1311">
        <v>14526925</v>
      </c>
      <c r="G361" s="1311">
        <v>0</v>
      </c>
      <c r="H361" s="1283">
        <f t="shared" si="18"/>
        <v>14526925</v>
      </c>
      <c r="I361" s="1333" t="s">
        <v>39</v>
      </c>
      <c r="J361" s="1334" t="str">
        <f>VLOOKUP(C361,Acc_Char!B:K,3,)</f>
        <v>LONG BINH</v>
      </c>
      <c r="K361" s="1334" t="str">
        <f>VLOOKUP(C361,Acc_Char!B:K,7,)</f>
        <v>Subsidiaries</v>
      </c>
      <c r="L361" s="1334" t="str">
        <f t="shared" si="19"/>
        <v>Receipt from tenants</v>
      </c>
      <c r="M361" s="1335" t="str">
        <f>VLOOKUP(C361,Acc_Char!B:K,5,)</f>
        <v>VND</v>
      </c>
      <c r="N361" s="1335" t="str">
        <f>VLOOKUP(C361,Acc_Char!B:K,6,)</f>
        <v>Current Account</v>
      </c>
      <c r="O361" s="1336" t="str">
        <f>Summary!$B$4</f>
        <v>W1-2Jan26</v>
      </c>
      <c r="P361" s="1334" t="str">
        <f t="shared" si="20"/>
        <v>1060629524</v>
      </c>
    </row>
    <row r="362" spans="1:16">
      <c r="A362" s="1018" t="s">
        <v>1567</v>
      </c>
      <c r="B362" s="460" t="s">
        <v>112</v>
      </c>
      <c r="C362" s="1393" t="s">
        <v>1000</v>
      </c>
      <c r="D362" s="1389">
        <v>46029</v>
      </c>
      <c r="E362" t="s">
        <v>2032</v>
      </c>
      <c r="F362" s="1311">
        <v>3257800</v>
      </c>
      <c r="G362" s="1311">
        <v>0</v>
      </c>
      <c r="H362" s="1283">
        <f t="shared" si="18"/>
        <v>3257800</v>
      </c>
      <c r="I362" s="1333" t="s">
        <v>39</v>
      </c>
      <c r="J362" s="1334" t="str">
        <f>VLOOKUP(C362,Acc_Char!B:K,3,)</f>
        <v>THUAN THANH 3B</v>
      </c>
      <c r="K362" s="1334" t="str">
        <f>VLOOKUP(C362,Acc_Char!B:K,7,)</f>
        <v>Subsidiaries</v>
      </c>
      <c r="L362" s="1334" t="str">
        <f t="shared" si="19"/>
        <v>Receipt from tenants</v>
      </c>
      <c r="M362" s="1335" t="str">
        <f>VLOOKUP(C362,Acc_Char!B:K,5,)</f>
        <v>VND</v>
      </c>
      <c r="N362" s="1335" t="str">
        <f>VLOOKUP(C362,Acc_Char!B:K,6,)</f>
        <v>Current Account</v>
      </c>
      <c r="O362" s="1336" t="str">
        <f>Summary!$B$4</f>
        <v>W1-2Jan26</v>
      </c>
      <c r="P362" s="1334" t="str">
        <f t="shared" si="20"/>
        <v>3243126666</v>
      </c>
    </row>
    <row r="363" spans="1:16">
      <c r="A363" s="1018" t="s">
        <v>1567</v>
      </c>
      <c r="B363" s="460" t="s">
        <v>112</v>
      </c>
      <c r="C363" s="1092" t="s">
        <v>1408</v>
      </c>
      <c r="D363" s="1389">
        <v>46031</v>
      </c>
      <c r="E363" t="s">
        <v>2033</v>
      </c>
      <c r="F363" s="1311">
        <v>953341962</v>
      </c>
      <c r="G363" s="1311">
        <v>0</v>
      </c>
      <c r="H363" s="1283">
        <f t="shared" si="18"/>
        <v>953341962</v>
      </c>
      <c r="I363" s="1333" t="s">
        <v>39</v>
      </c>
      <c r="J363" s="1334" t="str">
        <f>VLOOKUP(C363,Acc_Char!B:K,3,)</f>
        <v>LONG BINH</v>
      </c>
      <c r="K363" s="1334" t="str">
        <f>VLOOKUP(C363,Acc_Char!B:K,7,)</f>
        <v>Subsidiaries</v>
      </c>
      <c r="L363" s="1334" t="str">
        <f t="shared" si="19"/>
        <v>Receipt from tenants</v>
      </c>
      <c r="M363" s="1335" t="str">
        <f>VLOOKUP(C363,Acc_Char!B:K,5,)</f>
        <v>VND</v>
      </c>
      <c r="N363" s="1335" t="str">
        <f>VLOOKUP(C363,Acc_Char!B:K,6,)</f>
        <v>Current Account</v>
      </c>
      <c r="O363" s="1336" t="str">
        <f>Summary!$B$4</f>
        <v>W1-2Jan26</v>
      </c>
      <c r="P363" s="1334" t="str">
        <f t="shared" si="20"/>
        <v>1060629524</v>
      </c>
    </row>
    <row r="364" spans="1:16">
      <c r="A364" s="1018" t="s">
        <v>1567</v>
      </c>
      <c r="B364" s="460" t="s">
        <v>112</v>
      </c>
      <c r="C364" s="1092" t="s">
        <v>809</v>
      </c>
      <c r="D364" s="1389">
        <v>46027</v>
      </c>
      <c r="E364" t="s">
        <v>2034</v>
      </c>
      <c r="F364" s="1311">
        <v>17730269</v>
      </c>
      <c r="G364" s="1311">
        <v>0</v>
      </c>
      <c r="H364" s="1283">
        <f t="shared" si="18"/>
        <v>17730269</v>
      </c>
      <c r="I364" s="1333" t="s">
        <v>39</v>
      </c>
      <c r="J364" s="1334" t="str">
        <f>VLOOKUP(C364,Acc_Char!B:K,3,)</f>
        <v>BW SAIGON LOGISTICS</v>
      </c>
      <c r="K364" s="1334" t="str">
        <f>VLOOKUP(C364,Acc_Char!B:K,7,)</f>
        <v>Subsidiaries</v>
      </c>
      <c r="L364" s="1334" t="str">
        <f t="shared" si="19"/>
        <v>Receipt from tenants</v>
      </c>
      <c r="M364" s="1335" t="str">
        <f>VLOOKUP(C364,Acc_Char!B:K,5,)</f>
        <v>VND</v>
      </c>
      <c r="N364" s="1335" t="str">
        <f>VLOOKUP(C364,Acc_Char!B:K,6,)</f>
        <v>Current Account</v>
      </c>
      <c r="O364" s="1336" t="str">
        <f>Summary!$B$4</f>
        <v>W1-2Jan26</v>
      </c>
      <c r="P364" s="1334" t="str">
        <f t="shared" si="20"/>
        <v>1038935148</v>
      </c>
    </row>
    <row r="365" spans="1:16">
      <c r="A365" s="1018" t="s">
        <v>1567</v>
      </c>
      <c r="B365" s="460" t="s">
        <v>112</v>
      </c>
      <c r="C365" s="1092" t="s">
        <v>1408</v>
      </c>
      <c r="D365" s="1389">
        <v>46034</v>
      </c>
      <c r="E365" t="s">
        <v>2035</v>
      </c>
      <c r="F365" s="1311">
        <v>2410722603</v>
      </c>
      <c r="G365" s="1311">
        <v>0</v>
      </c>
      <c r="H365" s="1082">
        <f t="shared" si="18"/>
        <v>2410722603</v>
      </c>
      <c r="I365" s="1333" t="s">
        <v>39</v>
      </c>
      <c r="J365" s="1334" t="str">
        <f>VLOOKUP(C365,Acc_Char!B:K,3,)</f>
        <v>LONG BINH</v>
      </c>
      <c r="K365" s="1334" t="str">
        <f>VLOOKUP(C365,Acc_Char!B:K,7,)</f>
        <v>Subsidiaries</v>
      </c>
      <c r="L365" s="1334" t="str">
        <f t="shared" si="19"/>
        <v>Receipt from tenants</v>
      </c>
      <c r="M365" s="1335" t="str">
        <f>VLOOKUP(C365,Acc_Char!B:K,5,)</f>
        <v>VND</v>
      </c>
      <c r="N365" s="1335" t="str">
        <f>VLOOKUP(C365,Acc_Char!B:K,6,)</f>
        <v>Current Account</v>
      </c>
      <c r="O365" s="1336" t="str">
        <f>Summary!$B$4</f>
        <v>W1-2Jan26</v>
      </c>
      <c r="P365" s="1334" t="str">
        <f t="shared" si="20"/>
        <v>1060629524</v>
      </c>
    </row>
    <row r="366" spans="1:16">
      <c r="A366" s="1018" t="s">
        <v>1567</v>
      </c>
      <c r="B366" s="460" t="s">
        <v>112</v>
      </c>
      <c r="C366" s="1092" t="s">
        <v>1408</v>
      </c>
      <c r="D366" s="1389">
        <v>46034</v>
      </c>
      <c r="E366" t="s">
        <v>2036</v>
      </c>
      <c r="F366" s="1311">
        <v>3760387556</v>
      </c>
      <c r="G366" s="1311">
        <v>0</v>
      </c>
      <c r="H366" s="1082">
        <f t="shared" si="18"/>
        <v>3760387556</v>
      </c>
      <c r="I366" s="1333" t="s">
        <v>39</v>
      </c>
      <c r="J366" s="1334" t="str">
        <f>VLOOKUP(C366,Acc_Char!B:K,3,)</f>
        <v>LONG BINH</v>
      </c>
      <c r="K366" s="1334" t="str">
        <f>VLOOKUP(C366,Acc_Char!B:K,7,)</f>
        <v>Subsidiaries</v>
      </c>
      <c r="L366" s="1334" t="str">
        <f t="shared" si="19"/>
        <v>Receipt from tenants</v>
      </c>
      <c r="M366" s="1335" t="str">
        <f>VLOOKUP(C366,Acc_Char!B:K,5,)</f>
        <v>VND</v>
      </c>
      <c r="N366" s="1335" t="str">
        <f>VLOOKUP(C366,Acc_Char!B:K,6,)</f>
        <v>Current Account</v>
      </c>
      <c r="O366" s="1336" t="str">
        <f>Summary!$B$4</f>
        <v>W1-2Jan26</v>
      </c>
      <c r="P366" s="1334" t="str">
        <f t="shared" si="20"/>
        <v>1060629524</v>
      </c>
    </row>
    <row r="367" spans="1:16">
      <c r="A367" s="1018" t="s">
        <v>1567</v>
      </c>
      <c r="B367" s="460" t="s">
        <v>112</v>
      </c>
      <c r="C367" s="1092" t="s">
        <v>574</v>
      </c>
      <c r="D367" s="1389">
        <v>46036</v>
      </c>
      <c r="E367" t="s">
        <v>2037</v>
      </c>
      <c r="F367" s="1311">
        <v>2228048724</v>
      </c>
      <c r="G367" s="1311">
        <v>0</v>
      </c>
      <c r="H367" s="1082">
        <f t="shared" si="18"/>
        <v>2228048724</v>
      </c>
      <c r="I367" s="1333" t="s">
        <v>39</v>
      </c>
      <c r="J367" s="1334" t="str">
        <f>VLOOKUP(C367,Acc_Char!B:K,3,)</f>
        <v>BW SUPLLY CHAIN CITY</v>
      </c>
      <c r="K367" s="1334" t="str">
        <f>VLOOKUP(C367,Acc_Char!B:K,7,)</f>
        <v>Subsidiaries</v>
      </c>
      <c r="L367" s="1334" t="str">
        <f t="shared" si="19"/>
        <v>Receipt from tenants</v>
      </c>
      <c r="M367" s="1335" t="str">
        <f>VLOOKUP(C367,Acc_Char!B:K,5,)</f>
        <v>VND</v>
      </c>
      <c r="N367" s="1335" t="str">
        <f>VLOOKUP(C367,Acc_Char!B:K,6,)</f>
        <v>Current Account</v>
      </c>
      <c r="O367" s="1336" t="str">
        <f>Summary!$B$4</f>
        <v>W1-2Jan26</v>
      </c>
      <c r="P367" s="1334" t="str">
        <f t="shared" si="20"/>
        <v>1018291733</v>
      </c>
    </row>
    <row r="368" spans="1:16">
      <c r="A368" s="1018" t="s">
        <v>1567</v>
      </c>
      <c r="B368" s="460" t="s">
        <v>112</v>
      </c>
      <c r="C368" s="1092" t="s">
        <v>1408</v>
      </c>
      <c r="D368" s="1389">
        <v>46036</v>
      </c>
      <c r="E368" t="s">
        <v>2038</v>
      </c>
      <c r="F368" s="1311">
        <v>9475752</v>
      </c>
      <c r="G368" s="1311">
        <v>0</v>
      </c>
      <c r="H368" s="1082">
        <f t="shared" si="18"/>
        <v>9475752</v>
      </c>
      <c r="I368" s="1333" t="s">
        <v>39</v>
      </c>
      <c r="J368" s="1334" t="str">
        <f>VLOOKUP(C368,Acc_Char!B:K,3,)</f>
        <v>LONG BINH</v>
      </c>
      <c r="K368" s="1334" t="str">
        <f>VLOOKUP(C368,Acc_Char!B:K,7,)</f>
        <v>Subsidiaries</v>
      </c>
      <c r="L368" s="1334" t="str">
        <f t="shared" si="19"/>
        <v>Receipt from tenants</v>
      </c>
      <c r="M368" s="1335" t="str">
        <f>VLOOKUP(C368,Acc_Char!B:K,5,)</f>
        <v>VND</v>
      </c>
      <c r="N368" s="1335" t="str">
        <f>VLOOKUP(C368,Acc_Char!B:K,6,)</f>
        <v>Current Account</v>
      </c>
      <c r="O368" s="1336" t="str">
        <f>Summary!$B$4</f>
        <v>W1-2Jan26</v>
      </c>
      <c r="P368" s="1334" t="str">
        <f t="shared" si="20"/>
        <v>1060629524</v>
      </c>
    </row>
    <row r="369" spans="1:16">
      <c r="A369" s="1018" t="s">
        <v>1567</v>
      </c>
      <c r="B369" s="460" t="s">
        <v>112</v>
      </c>
      <c r="C369" s="1092" t="s">
        <v>1408</v>
      </c>
      <c r="D369" s="1389">
        <v>46036</v>
      </c>
      <c r="E369" t="s">
        <v>2039</v>
      </c>
      <c r="F369" s="1311">
        <v>1737902187</v>
      </c>
      <c r="G369" s="1311">
        <v>0</v>
      </c>
      <c r="H369" s="1082">
        <f t="shared" si="18"/>
        <v>1737902187</v>
      </c>
      <c r="I369" s="1333" t="s">
        <v>39</v>
      </c>
      <c r="J369" s="1334" t="str">
        <f>VLOOKUP(C369,Acc_Char!B:K,3,)</f>
        <v>LONG BINH</v>
      </c>
      <c r="K369" s="1334" t="str">
        <f>VLOOKUP(C369,Acc_Char!B:K,7,)</f>
        <v>Subsidiaries</v>
      </c>
      <c r="L369" s="1334" t="str">
        <f t="shared" si="19"/>
        <v>Receipt from tenants</v>
      </c>
      <c r="M369" s="1335" t="str">
        <f>VLOOKUP(C369,Acc_Char!B:K,5,)</f>
        <v>VND</v>
      </c>
      <c r="N369" s="1335" t="str">
        <f>VLOOKUP(C369,Acc_Char!B:K,6,)</f>
        <v>Current Account</v>
      </c>
      <c r="O369" s="1336" t="str">
        <f>Summary!$B$4</f>
        <v>W1-2Jan26</v>
      </c>
      <c r="P369" s="1334" t="str">
        <f t="shared" si="20"/>
        <v>1060629524</v>
      </c>
    </row>
    <row r="370" spans="1:16">
      <c r="A370" s="1018" t="s">
        <v>1567</v>
      </c>
      <c r="B370" s="460" t="s">
        <v>112</v>
      </c>
      <c r="C370" s="1092" t="s">
        <v>762</v>
      </c>
      <c r="D370" s="1389">
        <v>46031</v>
      </c>
      <c r="E370" t="s">
        <v>2040</v>
      </c>
      <c r="F370" s="1311">
        <v>1549076202</v>
      </c>
      <c r="G370" s="1311">
        <v>0</v>
      </c>
      <c r="H370" s="1082">
        <f t="shared" si="18"/>
        <v>1549076202</v>
      </c>
      <c r="I370" s="1333" t="s">
        <v>39</v>
      </c>
      <c r="J370" s="1334" t="str">
        <f>VLOOKUP(C370,Acc_Char!B:K,3,)</f>
        <v>THUAN THANH 3B</v>
      </c>
      <c r="K370" s="1334" t="str">
        <f>VLOOKUP(C370,Acc_Char!B:K,7,)</f>
        <v>Subsidiaries</v>
      </c>
      <c r="L370" s="1334" t="str">
        <f t="shared" si="19"/>
        <v>Receipt from tenants</v>
      </c>
      <c r="M370" s="1335" t="str">
        <f>VLOOKUP(C370,Acc_Char!B:K,5,)</f>
        <v>VND</v>
      </c>
      <c r="N370" s="1335" t="str">
        <f>VLOOKUP(C370,Acc_Char!B:K,6,)</f>
        <v>Current Account</v>
      </c>
      <c r="O370" s="1336" t="str">
        <f>Summary!$B$4</f>
        <v>W1-2Jan26</v>
      </c>
      <c r="P370" s="1334" t="str">
        <f t="shared" si="20"/>
        <v>9020128888</v>
      </c>
    </row>
    <row r="371" spans="1:16">
      <c r="A371" s="1018" t="s">
        <v>1567</v>
      </c>
      <c r="B371" s="460" t="s">
        <v>112</v>
      </c>
      <c r="C371" s="1092" t="s">
        <v>762</v>
      </c>
      <c r="D371" s="1389">
        <v>46031</v>
      </c>
      <c r="E371" t="s">
        <v>2041</v>
      </c>
      <c r="F371" s="1311">
        <v>5714597</v>
      </c>
      <c r="G371" s="1311">
        <v>0</v>
      </c>
      <c r="H371" s="1082">
        <f t="shared" si="18"/>
        <v>5714597</v>
      </c>
      <c r="I371" s="1333" t="s">
        <v>39</v>
      </c>
      <c r="J371" s="1334" t="str">
        <f>VLOOKUP(C371,Acc_Char!B:K,3,)</f>
        <v>THUAN THANH 3B</v>
      </c>
      <c r="K371" s="1334" t="str">
        <f>VLOOKUP(C371,Acc_Char!B:K,7,)</f>
        <v>Subsidiaries</v>
      </c>
      <c r="L371" s="1334" t="str">
        <f t="shared" si="19"/>
        <v>Receipt from tenants</v>
      </c>
      <c r="M371" s="1335" t="str">
        <f>VLOOKUP(C371,Acc_Char!B:K,5,)</f>
        <v>VND</v>
      </c>
      <c r="N371" s="1335" t="str">
        <f>VLOOKUP(C371,Acc_Char!B:K,6,)</f>
        <v>Current Account</v>
      </c>
      <c r="O371" s="1336" t="str">
        <f>Summary!$B$4</f>
        <v>W1-2Jan26</v>
      </c>
      <c r="P371" s="1334" t="str">
        <f t="shared" si="20"/>
        <v>9020128888</v>
      </c>
    </row>
    <row r="372" spans="1:16">
      <c r="A372" s="1018" t="s">
        <v>1567</v>
      </c>
      <c r="B372" s="460" t="s">
        <v>112</v>
      </c>
      <c r="C372" s="1092" t="s">
        <v>809</v>
      </c>
      <c r="D372" s="1389">
        <v>46037</v>
      </c>
      <c r="E372" t="s">
        <v>2042</v>
      </c>
      <c r="F372" s="1311">
        <v>544228362</v>
      </c>
      <c r="G372" s="1311">
        <v>0</v>
      </c>
      <c r="H372" s="1082">
        <f t="shared" si="18"/>
        <v>544228362</v>
      </c>
      <c r="I372" s="1333" t="s">
        <v>39</v>
      </c>
      <c r="J372" s="1334" t="str">
        <f>VLOOKUP(C372,Acc_Char!B:K,3,)</f>
        <v>BW SAIGON LOGISTICS</v>
      </c>
      <c r="K372" s="1334" t="str">
        <f>VLOOKUP(C372,Acc_Char!B:K,7,)</f>
        <v>Subsidiaries</v>
      </c>
      <c r="L372" s="1334" t="str">
        <f t="shared" si="19"/>
        <v>Receipt from tenants</v>
      </c>
      <c r="M372" s="1335" t="str">
        <f>VLOOKUP(C372,Acc_Char!B:K,5,)</f>
        <v>VND</v>
      </c>
      <c r="N372" s="1335" t="str">
        <f>VLOOKUP(C372,Acc_Char!B:K,6,)</f>
        <v>Current Account</v>
      </c>
      <c r="O372" s="1336" t="str">
        <f>Summary!$B$4</f>
        <v>W1-2Jan26</v>
      </c>
      <c r="P372" s="1334" t="str">
        <f t="shared" si="20"/>
        <v>1038935148</v>
      </c>
    </row>
    <row r="373" spans="1:16">
      <c r="A373" s="1018" t="s">
        <v>1567</v>
      </c>
      <c r="B373" s="460" t="s">
        <v>112</v>
      </c>
      <c r="C373" s="1092" t="s">
        <v>514</v>
      </c>
      <c r="D373" s="1389">
        <v>46031</v>
      </c>
      <c r="E373" t="s">
        <v>2043</v>
      </c>
      <c r="F373" s="1311">
        <v>15865860</v>
      </c>
      <c r="G373" s="1311">
        <v>0</v>
      </c>
      <c r="H373" s="1082">
        <f t="shared" si="18"/>
        <v>15865860</v>
      </c>
      <c r="I373" s="1333" t="s">
        <v>39</v>
      </c>
      <c r="J373" s="1334" t="str">
        <f>VLOOKUP(C373,Acc_Char!B:K,3,)</f>
        <v>BWID NHON TRACH</v>
      </c>
      <c r="K373" s="1334" t="str">
        <f>VLOOKUP(C373,Acc_Char!B:K,7,)</f>
        <v>Subsidiaries</v>
      </c>
      <c r="L373" s="1334" t="str">
        <f t="shared" si="19"/>
        <v>Receipt from tenants</v>
      </c>
      <c r="M373" s="1335" t="str">
        <f>VLOOKUP(C373,Acc_Char!B:K,5,)</f>
        <v>VND</v>
      </c>
      <c r="N373" s="1335" t="str">
        <f>VLOOKUP(C373,Acc_Char!B:K,6,)</f>
        <v>Current Account</v>
      </c>
      <c r="O373" s="1336" t="str">
        <f>Summary!$B$4</f>
        <v>W1-2Jan26</v>
      </c>
      <c r="P373" s="1334" t="str">
        <f t="shared" si="20"/>
        <v>71001286959</v>
      </c>
    </row>
    <row r="374" spans="1:16" ht="28.8">
      <c r="A374" s="1018" t="s">
        <v>1567</v>
      </c>
      <c r="B374" s="460" t="s">
        <v>112</v>
      </c>
      <c r="C374" s="1092" t="s">
        <v>762</v>
      </c>
      <c r="D374" s="1389">
        <v>46027</v>
      </c>
      <c r="E374" s="1337" t="s">
        <v>2044</v>
      </c>
      <c r="F374" s="1311">
        <v>1286533227</v>
      </c>
      <c r="G374" s="1311">
        <v>0</v>
      </c>
      <c r="H374" s="1082">
        <f t="shared" si="18"/>
        <v>1286533227</v>
      </c>
      <c r="I374" s="1333" t="s">
        <v>39</v>
      </c>
      <c r="J374" s="1334" t="str">
        <f>VLOOKUP(C374,Acc_Char!B:K,3,)</f>
        <v>THUAN THANH 3B</v>
      </c>
      <c r="K374" s="1334" t="str">
        <f>VLOOKUP(C374,Acc_Char!B:K,7,)</f>
        <v>Subsidiaries</v>
      </c>
      <c r="L374" s="1334" t="str">
        <f t="shared" si="19"/>
        <v>Receipt from tenants</v>
      </c>
      <c r="M374" s="1335" t="str">
        <f>VLOOKUP(C374,Acc_Char!B:K,5,)</f>
        <v>VND</v>
      </c>
      <c r="N374" s="1335" t="str">
        <f>VLOOKUP(C374,Acc_Char!B:K,6,)</f>
        <v>Current Account</v>
      </c>
      <c r="O374" s="1336" t="str">
        <f>Summary!$B$4</f>
        <v>W1-2Jan26</v>
      </c>
      <c r="P374" s="1334" t="str">
        <f t="shared" si="20"/>
        <v>9020128888</v>
      </c>
    </row>
    <row r="375" spans="1:16">
      <c r="A375" s="1018" t="s">
        <v>1567</v>
      </c>
      <c r="B375" s="460" t="s">
        <v>112</v>
      </c>
      <c r="C375" s="1092" t="s">
        <v>1000</v>
      </c>
      <c r="D375" s="1389">
        <v>46027</v>
      </c>
      <c r="E375" t="s">
        <v>2045</v>
      </c>
      <c r="F375" s="1311">
        <v>3358300</v>
      </c>
      <c r="G375" s="1311">
        <v>0</v>
      </c>
      <c r="H375" s="1082">
        <f t="shared" si="18"/>
        <v>3358300</v>
      </c>
      <c r="I375" s="1333" t="s">
        <v>39</v>
      </c>
      <c r="J375" s="1334" t="str">
        <f>VLOOKUP(C375,Acc_Char!B:K,3,)</f>
        <v>THUAN THANH 3B</v>
      </c>
      <c r="K375" s="1334" t="str">
        <f>VLOOKUP(C375,Acc_Char!B:K,7,)</f>
        <v>Subsidiaries</v>
      </c>
      <c r="L375" s="1334" t="str">
        <f t="shared" si="19"/>
        <v>Receipt from tenants</v>
      </c>
      <c r="M375" s="1335" t="str">
        <f>VLOOKUP(C375,Acc_Char!B:K,5,)</f>
        <v>VND</v>
      </c>
      <c r="N375" s="1335" t="str">
        <f>VLOOKUP(C375,Acc_Char!B:K,6,)</f>
        <v>Current Account</v>
      </c>
      <c r="O375" s="1336" t="str">
        <f>Summary!$B$4</f>
        <v>W1-2Jan26</v>
      </c>
      <c r="P375" s="1334" t="str">
        <f t="shared" si="20"/>
        <v>3243126666</v>
      </c>
    </row>
    <row r="376" spans="1:16">
      <c r="A376" s="1018" t="s">
        <v>1567</v>
      </c>
      <c r="B376" s="460" t="s">
        <v>112</v>
      </c>
      <c r="C376" s="1092" t="s">
        <v>1000</v>
      </c>
      <c r="D376" s="1389">
        <v>46027</v>
      </c>
      <c r="E376" t="s">
        <v>2046</v>
      </c>
      <c r="F376" s="1311">
        <v>876166959</v>
      </c>
      <c r="G376" s="1311">
        <v>0</v>
      </c>
      <c r="H376" s="1082">
        <f t="shared" si="18"/>
        <v>876166959</v>
      </c>
      <c r="I376" s="1333" t="s">
        <v>39</v>
      </c>
      <c r="J376" s="1334" t="str">
        <f>VLOOKUP(C376,Acc_Char!B:K,3,)</f>
        <v>THUAN THANH 3B</v>
      </c>
      <c r="K376" s="1334" t="str">
        <f>VLOOKUP(C376,Acc_Char!B:K,7,)</f>
        <v>Subsidiaries</v>
      </c>
      <c r="L376" s="1334" t="str">
        <f t="shared" si="19"/>
        <v>Receipt from tenants</v>
      </c>
      <c r="M376" s="1335" t="str">
        <f>VLOOKUP(C376,Acc_Char!B:K,5,)</f>
        <v>VND</v>
      </c>
      <c r="N376" s="1335" t="str">
        <f>VLOOKUP(C376,Acc_Char!B:K,6,)</f>
        <v>Current Account</v>
      </c>
      <c r="O376" s="1336" t="str">
        <f>Summary!$B$4</f>
        <v>W1-2Jan26</v>
      </c>
      <c r="P376" s="1334" t="str">
        <f t="shared" si="20"/>
        <v>3243126666</v>
      </c>
    </row>
    <row r="377" spans="1:16">
      <c r="A377" s="1018" t="s">
        <v>1567</v>
      </c>
      <c r="B377" s="460" t="s">
        <v>112</v>
      </c>
      <c r="C377" s="1092" t="s">
        <v>574</v>
      </c>
      <c r="D377" s="1389">
        <v>46027</v>
      </c>
      <c r="E377" t="s">
        <v>2047</v>
      </c>
      <c r="F377" s="1311">
        <v>104606548</v>
      </c>
      <c r="G377" s="1311">
        <v>0</v>
      </c>
      <c r="H377" s="1082">
        <f t="shared" si="18"/>
        <v>104606548</v>
      </c>
      <c r="I377" s="1333" t="s">
        <v>39</v>
      </c>
      <c r="J377" s="1334" t="str">
        <f>VLOOKUP(C377,Acc_Char!B:K,3,)</f>
        <v>BW SUPLLY CHAIN CITY</v>
      </c>
      <c r="K377" s="1334" t="str">
        <f>VLOOKUP(C377,Acc_Char!B:K,7,)</f>
        <v>Subsidiaries</v>
      </c>
      <c r="L377" s="1334" t="str">
        <f t="shared" si="19"/>
        <v>Receipt from tenants</v>
      </c>
      <c r="M377" s="1335" t="str">
        <f>VLOOKUP(C377,Acc_Char!B:K,5,)</f>
        <v>VND</v>
      </c>
      <c r="N377" s="1335" t="str">
        <f>VLOOKUP(C377,Acc_Char!B:K,6,)</f>
        <v>Current Account</v>
      </c>
      <c r="O377" s="1336" t="str">
        <f>Summary!$B$4</f>
        <v>W1-2Jan26</v>
      </c>
      <c r="P377" s="1334" t="str">
        <f t="shared" si="20"/>
        <v>1018291733</v>
      </c>
    </row>
    <row r="378" spans="1:16">
      <c r="A378" s="1018" t="s">
        <v>1591</v>
      </c>
      <c r="B378" s="460" t="s">
        <v>110</v>
      </c>
      <c r="C378" s="1092" t="s">
        <v>500</v>
      </c>
      <c r="D378" s="1389" t="s">
        <v>2048</v>
      </c>
      <c r="E378" t="s">
        <v>2049</v>
      </c>
      <c r="F378" s="1311">
        <v>1257713323</v>
      </c>
      <c r="G378" s="1311">
        <v>0</v>
      </c>
      <c r="H378" s="1082">
        <f t="shared" si="18"/>
        <v>1257713323</v>
      </c>
      <c r="I378" s="1333" t="s">
        <v>39</v>
      </c>
      <c r="J378" s="1334" t="str">
        <f>VLOOKUP(C378,Acc_Char!B:K,3,)</f>
        <v>BWID HAI DUONG</v>
      </c>
      <c r="K378" s="1334" t="str">
        <f>VLOOKUP(C378,Acc_Char!B:K,7,)</f>
        <v>Subsidiaries</v>
      </c>
      <c r="L378" s="1334" t="str">
        <f t="shared" si="19"/>
        <v>Receipt from tenants</v>
      </c>
      <c r="M378" s="1335" t="str">
        <f>VLOOKUP(C378,Acc_Char!B:K,5,)</f>
        <v>VND</v>
      </c>
      <c r="N378" s="1335" t="str">
        <f>VLOOKUP(C378,Acc_Char!B:K,6,)</f>
        <v>Current Account</v>
      </c>
      <c r="O378" s="1336" t="str">
        <f>Summary!$B$4</f>
        <v>W1-2Jan26</v>
      </c>
      <c r="P378" s="1334" t="str">
        <f t="shared" si="20"/>
        <v>111007158888</v>
      </c>
    </row>
    <row r="379" spans="1:16">
      <c r="A379" s="1018" t="s">
        <v>1591</v>
      </c>
      <c r="B379" s="460" t="s">
        <v>110</v>
      </c>
      <c r="C379" s="1092" t="s">
        <v>500</v>
      </c>
      <c r="D379" s="1389" t="s">
        <v>2050</v>
      </c>
      <c r="E379" t="s">
        <v>2051</v>
      </c>
      <c r="F379" s="1311">
        <v>390531715</v>
      </c>
      <c r="G379" s="1311">
        <v>0</v>
      </c>
      <c r="H379" s="1082">
        <f t="shared" si="18"/>
        <v>390531715</v>
      </c>
      <c r="I379" s="1333" t="s">
        <v>39</v>
      </c>
      <c r="J379" s="1334" t="str">
        <f>VLOOKUP(C379,Acc_Char!B:K,3,)</f>
        <v>BWID HAI DUONG</v>
      </c>
      <c r="K379" s="1334" t="str">
        <f>VLOOKUP(C379,Acc_Char!B:K,7,)</f>
        <v>Subsidiaries</v>
      </c>
      <c r="L379" s="1334" t="str">
        <f t="shared" si="19"/>
        <v>Receipt from tenants</v>
      </c>
      <c r="M379" s="1335" t="str">
        <f>VLOOKUP(C379,Acc_Char!B:K,5,)</f>
        <v>VND</v>
      </c>
      <c r="N379" s="1335" t="str">
        <f>VLOOKUP(C379,Acc_Char!B:K,6,)</f>
        <v>Current Account</v>
      </c>
      <c r="O379" s="1336" t="str">
        <f>Summary!$B$4</f>
        <v>W1-2Jan26</v>
      </c>
      <c r="P379" s="1334" t="str">
        <f t="shared" si="20"/>
        <v>111007158888</v>
      </c>
    </row>
    <row r="380" spans="1:16">
      <c r="A380" s="1018" t="s">
        <v>1591</v>
      </c>
      <c r="B380" s="460" t="s">
        <v>110</v>
      </c>
      <c r="C380" s="1092" t="s">
        <v>500</v>
      </c>
      <c r="D380" s="1389" t="s">
        <v>2050</v>
      </c>
      <c r="E380" t="s">
        <v>2052</v>
      </c>
      <c r="F380" s="1311">
        <v>1940638</v>
      </c>
      <c r="G380" s="1311">
        <v>0</v>
      </c>
      <c r="H380" s="1082">
        <f t="shared" ref="H380:H445" si="21">F380-G380</f>
        <v>1940638</v>
      </c>
      <c r="I380" s="1333" t="s">
        <v>39</v>
      </c>
      <c r="J380" s="1334" t="str">
        <f>VLOOKUP(C380,Acc_Char!B:K,3,)</f>
        <v>BWID HAI DUONG</v>
      </c>
      <c r="K380" s="1334" t="str">
        <f>VLOOKUP(C380,Acc_Char!B:K,7,)</f>
        <v>Subsidiaries</v>
      </c>
      <c r="L380" s="1334" t="str">
        <f t="shared" si="19"/>
        <v>Receipt from tenants</v>
      </c>
      <c r="M380" s="1335" t="str">
        <f>VLOOKUP(C380,Acc_Char!B:K,5,)</f>
        <v>VND</v>
      </c>
      <c r="N380" s="1335" t="str">
        <f>VLOOKUP(C380,Acc_Char!B:K,6,)</f>
        <v>Current Account</v>
      </c>
      <c r="O380" s="1336" t="str">
        <f>Summary!$B$4</f>
        <v>W1-2Jan26</v>
      </c>
      <c r="P380" s="1334" t="str">
        <f t="shared" si="20"/>
        <v>111007158888</v>
      </c>
    </row>
    <row r="381" spans="1:16">
      <c r="A381" s="1018" t="s">
        <v>1591</v>
      </c>
      <c r="B381" s="460" t="s">
        <v>110</v>
      </c>
      <c r="C381" s="1092" t="s">
        <v>500</v>
      </c>
      <c r="D381" s="1389" t="s">
        <v>2053</v>
      </c>
      <c r="E381" t="s">
        <v>2054</v>
      </c>
      <c r="F381" s="1311">
        <v>390531716</v>
      </c>
      <c r="G381" s="1311">
        <v>0</v>
      </c>
      <c r="H381" s="1082">
        <f t="shared" si="21"/>
        <v>390531716</v>
      </c>
      <c r="I381" s="1333" t="s">
        <v>39</v>
      </c>
      <c r="J381" s="1334" t="str">
        <f>VLOOKUP(C381,Acc_Char!B:K,3,)</f>
        <v>BWID HAI DUONG</v>
      </c>
      <c r="K381" s="1334" t="str">
        <f>VLOOKUP(C381,Acc_Char!B:K,7,)</f>
        <v>Subsidiaries</v>
      </c>
      <c r="L381" s="1334" t="str">
        <f t="shared" si="19"/>
        <v>Receipt from tenants</v>
      </c>
      <c r="M381" s="1335" t="str">
        <f>VLOOKUP(C381,Acc_Char!B:K,5,)</f>
        <v>VND</v>
      </c>
      <c r="N381" s="1335" t="str">
        <f>VLOOKUP(C381,Acc_Char!B:K,6,)</f>
        <v>Current Account</v>
      </c>
      <c r="O381" s="1336" t="str">
        <f>Summary!$B$4</f>
        <v>W1-2Jan26</v>
      </c>
      <c r="P381" s="1334" t="str">
        <f t="shared" si="20"/>
        <v>111007158888</v>
      </c>
    </row>
    <row r="382" spans="1:16">
      <c r="A382" s="1018" t="s">
        <v>1591</v>
      </c>
      <c r="B382" s="460" t="s">
        <v>110</v>
      </c>
      <c r="C382" s="1092" t="s">
        <v>669</v>
      </c>
      <c r="D382" s="1389" t="s">
        <v>2055</v>
      </c>
      <c r="E382" t="s">
        <v>2056</v>
      </c>
      <c r="F382" s="1311">
        <v>290538</v>
      </c>
      <c r="G382" s="1311">
        <v>0</v>
      </c>
      <c r="H382" s="1082">
        <f t="shared" si="21"/>
        <v>290538</v>
      </c>
      <c r="I382" s="1333" t="s">
        <v>39</v>
      </c>
      <c r="J382" s="1334" t="str">
        <f>VLOOKUP(C382,Acc_Char!B:K,3,)</f>
        <v>VINA PARTNERS INVESTMENT</v>
      </c>
      <c r="K382" s="1334" t="str">
        <f>VLOOKUP(C382,Acc_Char!B:K,7,)</f>
        <v>Subsidiaries</v>
      </c>
      <c r="L382" s="1334" t="str">
        <f t="shared" si="19"/>
        <v>Receipt from tenants</v>
      </c>
      <c r="M382" s="1335" t="str">
        <f>VLOOKUP(C382,Acc_Char!B:K,5,)</f>
        <v>VND</v>
      </c>
      <c r="N382" s="1335" t="str">
        <f>VLOOKUP(C382,Acc_Char!B:K,6,)</f>
        <v>Current Account</v>
      </c>
      <c r="O382" s="1336" t="str">
        <f>Summary!$B$4</f>
        <v>W1-2Jan26</v>
      </c>
      <c r="P382" s="1334" t="str">
        <f t="shared" si="20"/>
        <v>111002902772</v>
      </c>
    </row>
    <row r="383" spans="1:16">
      <c r="A383" s="1018" t="s">
        <v>1591</v>
      </c>
      <c r="B383" s="460" t="s">
        <v>110</v>
      </c>
      <c r="C383" s="1092" t="s">
        <v>707</v>
      </c>
      <c r="D383" s="1389" t="s">
        <v>2057</v>
      </c>
      <c r="E383" t="s">
        <v>2058</v>
      </c>
      <c r="F383" s="1311">
        <v>6443732</v>
      </c>
      <c r="G383" s="1311">
        <v>0</v>
      </c>
      <c r="H383" s="1082">
        <f t="shared" si="21"/>
        <v>6443732</v>
      </c>
      <c r="I383" s="1333" t="s">
        <v>39</v>
      </c>
      <c r="J383" s="1334" t="str">
        <f>VLOOKUP(C383,Acc_Char!B:K,3,)</f>
        <v>XENIA 1</v>
      </c>
      <c r="K383" s="1334" t="str">
        <f>VLOOKUP(C383,Acc_Char!B:K,7,)</f>
        <v>Subsidiaries</v>
      </c>
      <c r="L383" s="1334" t="str">
        <f t="shared" si="19"/>
        <v>Receipt from tenants</v>
      </c>
      <c r="M383" s="1335" t="str">
        <f>VLOOKUP(C383,Acc_Char!B:K,5,)</f>
        <v>VND</v>
      </c>
      <c r="N383" s="1335" t="str">
        <f>VLOOKUP(C383,Acc_Char!B:K,6,)</f>
        <v>Current Account</v>
      </c>
      <c r="O383" s="1336" t="str">
        <f>Summary!$B$4</f>
        <v>W1-2Jan26</v>
      </c>
      <c r="P383" s="1334" t="str">
        <f t="shared" si="20"/>
        <v>116646026868</v>
      </c>
    </row>
    <row r="384" spans="1:16">
      <c r="A384" s="1018" t="s">
        <v>1591</v>
      </c>
      <c r="B384" s="460" t="s">
        <v>110</v>
      </c>
      <c r="C384" s="1092" t="s">
        <v>717</v>
      </c>
      <c r="D384" s="1389" t="s">
        <v>2059</v>
      </c>
      <c r="E384" s="1337" t="s">
        <v>2060</v>
      </c>
      <c r="F384" s="1311">
        <v>5077668773</v>
      </c>
      <c r="G384" s="1311">
        <v>0</v>
      </c>
      <c r="H384" s="1082">
        <f t="shared" si="21"/>
        <v>5077668773</v>
      </c>
      <c r="I384" s="1333" t="s">
        <v>39</v>
      </c>
      <c r="J384" s="1334" t="str">
        <f>VLOOKUP(C384,Acc_Char!B:K,3,)</f>
        <v>BW BAU BANG 01</v>
      </c>
      <c r="K384" s="1334" t="str">
        <f>VLOOKUP(C384,Acc_Char!B:K,7,)</f>
        <v>Subsidiaries</v>
      </c>
      <c r="L384" s="1334" t="str">
        <f t="shared" si="19"/>
        <v>Receipt from tenants</v>
      </c>
      <c r="M384" s="1335" t="str">
        <f>VLOOKUP(C384,Acc_Char!B:K,5,)</f>
        <v>VND</v>
      </c>
      <c r="N384" s="1335" t="str">
        <f>VLOOKUP(C384,Acc_Char!B:K,6,)</f>
        <v>Current Account</v>
      </c>
      <c r="O384" s="1336" t="str">
        <f>Summary!$B$4</f>
        <v>W1-2Jan26</v>
      </c>
      <c r="P384" s="1334" t="str">
        <f t="shared" si="20"/>
        <v>110002915294</v>
      </c>
    </row>
    <row r="385" spans="1:17">
      <c r="A385" s="1018" t="s">
        <v>1591</v>
      </c>
      <c r="B385" s="460" t="s">
        <v>110</v>
      </c>
      <c r="C385" s="1092" t="s">
        <v>511</v>
      </c>
      <c r="D385" s="1389" t="s">
        <v>2061</v>
      </c>
      <c r="E385" t="s">
        <v>2062</v>
      </c>
      <c r="F385" s="1311">
        <v>4409740554</v>
      </c>
      <c r="G385" s="1311">
        <v>0</v>
      </c>
      <c r="H385" s="1082">
        <f t="shared" si="21"/>
        <v>4409740554</v>
      </c>
      <c r="I385" s="1333" t="s">
        <v>39</v>
      </c>
      <c r="J385" s="1334" t="str">
        <f>VLOOKUP(C385,Acc_Char!B:K,3,)</f>
        <v>BWID HAI PHONG</v>
      </c>
      <c r="K385" s="1334" t="str">
        <f>VLOOKUP(C385,Acc_Char!B:K,7,)</f>
        <v>Subsidiaries</v>
      </c>
      <c r="L385" s="1334" t="str">
        <f t="shared" si="19"/>
        <v>Receipt from tenants</v>
      </c>
      <c r="M385" s="1335" t="str">
        <f>VLOOKUP(C385,Acc_Char!B:K,5,)</f>
        <v>VND</v>
      </c>
      <c r="N385" s="1335" t="str">
        <f>VLOOKUP(C385,Acc_Char!B:K,6,)</f>
        <v>Current Account</v>
      </c>
      <c r="O385" s="1336" t="str">
        <f>Summary!$B$4</f>
        <v>W1-2Jan26</v>
      </c>
      <c r="P385" s="1334" t="str">
        <f t="shared" si="20"/>
        <v>116002681740</v>
      </c>
    </row>
    <row r="386" spans="1:17">
      <c r="A386" s="1018" t="s">
        <v>1591</v>
      </c>
      <c r="B386" s="460" t="s">
        <v>110</v>
      </c>
      <c r="C386" s="1092" t="s">
        <v>511</v>
      </c>
      <c r="D386" s="1389" t="s">
        <v>2063</v>
      </c>
      <c r="E386" t="s">
        <v>2064</v>
      </c>
      <c r="F386" s="1311">
        <v>92162772</v>
      </c>
      <c r="G386" s="1311">
        <v>0</v>
      </c>
      <c r="H386" s="1082">
        <f t="shared" si="21"/>
        <v>92162772</v>
      </c>
      <c r="I386" s="1333" t="s">
        <v>39</v>
      </c>
      <c r="J386" s="1334" t="str">
        <f>VLOOKUP(C386,Acc_Char!B:K,3,)</f>
        <v>BWID HAI PHONG</v>
      </c>
      <c r="K386" s="1334" t="str">
        <f>VLOOKUP(C386,Acc_Char!B:K,7,)</f>
        <v>Subsidiaries</v>
      </c>
      <c r="L386" s="1334" t="str">
        <f t="shared" si="19"/>
        <v>Receipt from tenants</v>
      </c>
      <c r="M386" s="1335" t="str">
        <f>VLOOKUP(C386,Acc_Char!B:K,5,)</f>
        <v>VND</v>
      </c>
      <c r="N386" s="1335" t="str">
        <f>VLOOKUP(C386,Acc_Char!B:K,6,)</f>
        <v>Current Account</v>
      </c>
      <c r="O386" s="1336" t="str">
        <f>Summary!$B$4</f>
        <v>W1-2Jan26</v>
      </c>
      <c r="P386" s="1334" t="str">
        <f t="shared" si="20"/>
        <v>116002681740</v>
      </c>
    </row>
    <row r="387" spans="1:17">
      <c r="A387" s="1018" t="s">
        <v>1591</v>
      </c>
      <c r="B387" s="460" t="s">
        <v>110</v>
      </c>
      <c r="C387" s="1092" t="s">
        <v>507</v>
      </c>
      <c r="D387" s="1389" t="s">
        <v>2065</v>
      </c>
      <c r="E387" s="1337" t="s">
        <v>2066</v>
      </c>
      <c r="F387" s="1311">
        <v>3201188</v>
      </c>
      <c r="G387" s="1311">
        <v>0</v>
      </c>
      <c r="H387" s="1082">
        <f t="shared" si="21"/>
        <v>3201188</v>
      </c>
      <c r="I387" s="1333" t="s">
        <v>39</v>
      </c>
      <c r="J387" s="1334" t="str">
        <f>VLOOKUP(C387,Acc_Char!B:K,3,)</f>
        <v>BWID HAI DUONG 2</v>
      </c>
      <c r="K387" s="1334" t="str">
        <f>VLOOKUP(C387,Acc_Char!B:K,7,)</f>
        <v>Subsidiaries</v>
      </c>
      <c r="L387" s="1334" t="str">
        <f t="shared" si="19"/>
        <v>Receipt from tenants</v>
      </c>
      <c r="M387" s="1335" t="str">
        <f>VLOOKUP(C387,Acc_Char!B:K,5,)</f>
        <v>VND</v>
      </c>
      <c r="N387" s="1335" t="str">
        <f>VLOOKUP(C387,Acc_Char!B:K,6,)</f>
        <v>Current Account</v>
      </c>
      <c r="O387" s="1336" t="str">
        <f>Summary!$B$4</f>
        <v>W1-2Jan26</v>
      </c>
      <c r="P387" s="1334" t="str">
        <f t="shared" si="20"/>
        <v>118006028888</v>
      </c>
    </row>
    <row r="388" spans="1:17">
      <c r="A388" s="1018" t="s">
        <v>1591</v>
      </c>
      <c r="B388" s="460" t="s">
        <v>110</v>
      </c>
      <c r="C388" s="1092" t="s">
        <v>705</v>
      </c>
      <c r="D388" s="1389" t="s">
        <v>2067</v>
      </c>
      <c r="E388" s="1337" t="s">
        <v>2068</v>
      </c>
      <c r="F388" s="1311">
        <v>760533522</v>
      </c>
      <c r="G388" s="1311">
        <v>0</v>
      </c>
      <c r="H388" s="1082">
        <f t="shared" si="21"/>
        <v>760533522</v>
      </c>
      <c r="I388" s="1333" t="s">
        <v>39</v>
      </c>
      <c r="J388" s="1334" t="str">
        <f>VLOOKUP(C388,Acc_Char!B:K,3,)</f>
        <v>LONG BINH</v>
      </c>
      <c r="K388" s="1334" t="str">
        <f>VLOOKUP(C388,Acc_Char!B:K,7,)</f>
        <v>Subsidiaries</v>
      </c>
      <c r="L388" s="1334" t="str">
        <f t="shared" si="19"/>
        <v>Receipt from tenants</v>
      </c>
      <c r="M388" s="1335" t="str">
        <f>VLOOKUP(C388,Acc_Char!B:K,5,)</f>
        <v>VND</v>
      </c>
      <c r="N388" s="1335" t="str">
        <f>VLOOKUP(C388,Acc_Char!B:K,6,)</f>
        <v>Current Account</v>
      </c>
      <c r="O388" s="1336" t="str">
        <f>Summary!$B$4</f>
        <v>W1-2Jan26</v>
      </c>
      <c r="P388" s="1334" t="str">
        <f t="shared" si="20"/>
        <v>111002903335</v>
      </c>
    </row>
    <row r="389" spans="1:17">
      <c r="A389" s="1018" t="s">
        <v>1591</v>
      </c>
      <c r="B389" s="460" t="s">
        <v>110</v>
      </c>
      <c r="C389" s="1092" t="s">
        <v>705</v>
      </c>
      <c r="D389" s="1389" t="s">
        <v>2069</v>
      </c>
      <c r="E389" s="1337" t="s">
        <v>2070</v>
      </c>
      <c r="F389" s="1311">
        <v>229622471</v>
      </c>
      <c r="G389" s="1311">
        <v>0</v>
      </c>
      <c r="H389" s="1082">
        <f t="shared" si="21"/>
        <v>229622471</v>
      </c>
      <c r="I389" s="1333" t="s">
        <v>39</v>
      </c>
      <c r="J389" s="1334" t="str">
        <f>VLOOKUP(C389,Acc_Char!B:K,3,)</f>
        <v>LONG BINH</v>
      </c>
      <c r="K389" s="1334" t="str">
        <f>VLOOKUP(C389,Acc_Char!B:K,7,)</f>
        <v>Subsidiaries</v>
      </c>
      <c r="L389" s="1334" t="str">
        <f t="shared" ref="L389:L452" si="22">I389</f>
        <v>Receipt from tenants</v>
      </c>
      <c r="M389" s="1335" t="str">
        <f>VLOOKUP(C389,Acc_Char!B:K,5,)</f>
        <v>VND</v>
      </c>
      <c r="N389" s="1335" t="str">
        <f>VLOOKUP(C389,Acc_Char!B:K,6,)</f>
        <v>Current Account</v>
      </c>
      <c r="O389" s="1336" t="str">
        <f>Summary!$B$4</f>
        <v>W1-2Jan26</v>
      </c>
      <c r="P389" s="1334" t="str">
        <f t="shared" ref="P389:P452" si="23">TEXT(C389,"0")</f>
        <v>111002903335</v>
      </c>
    </row>
    <row r="390" spans="1:17">
      <c r="A390" s="1018" t="s">
        <v>1591</v>
      </c>
      <c r="B390" s="460" t="s">
        <v>110</v>
      </c>
      <c r="C390" s="1092" t="s">
        <v>500</v>
      </c>
      <c r="D390" s="1389" t="s">
        <v>2071</v>
      </c>
      <c r="E390" t="s">
        <v>2072</v>
      </c>
      <c r="F390" s="1311">
        <v>1584935</v>
      </c>
      <c r="G390" s="1311">
        <v>0</v>
      </c>
      <c r="H390" s="1082">
        <f t="shared" si="21"/>
        <v>1584935</v>
      </c>
      <c r="I390" s="1333" t="s">
        <v>39</v>
      </c>
      <c r="J390" s="1334" t="str">
        <f>VLOOKUP(C390,Acc_Char!B:K,3,)</f>
        <v>BWID HAI DUONG</v>
      </c>
      <c r="K390" s="1334" t="str">
        <f>VLOOKUP(C390,Acc_Char!B:K,7,)</f>
        <v>Subsidiaries</v>
      </c>
      <c r="L390" s="1334" t="str">
        <f t="shared" si="22"/>
        <v>Receipt from tenants</v>
      </c>
      <c r="M390" s="1335" t="str">
        <f>VLOOKUP(C390,Acc_Char!B:K,5,)</f>
        <v>VND</v>
      </c>
      <c r="N390" s="1335" t="str">
        <f>VLOOKUP(C390,Acc_Char!B:K,6,)</f>
        <v>Current Account</v>
      </c>
      <c r="O390" s="1336" t="str">
        <f>Summary!$B$4</f>
        <v>W1-2Jan26</v>
      </c>
      <c r="P390" s="1334" t="str">
        <f t="shared" si="23"/>
        <v>111007158888</v>
      </c>
    </row>
    <row r="391" spans="1:17">
      <c r="A391" s="1018" t="s">
        <v>1591</v>
      </c>
      <c r="B391" s="460" t="s">
        <v>110</v>
      </c>
      <c r="C391" s="1092" t="s">
        <v>711</v>
      </c>
      <c r="D391" s="1389" t="s">
        <v>2073</v>
      </c>
      <c r="E391" t="s">
        <v>2074</v>
      </c>
      <c r="F391" s="1311">
        <v>4723323</v>
      </c>
      <c r="G391" s="1311">
        <v>0</v>
      </c>
      <c r="H391" s="1082">
        <f t="shared" si="21"/>
        <v>4723323</v>
      </c>
      <c r="I391" s="1333" t="s">
        <v>39</v>
      </c>
      <c r="J391" s="1334" t="str">
        <f>VLOOKUP(C391,Acc_Char!B:K,3,)</f>
        <v>WINLOCK 2A</v>
      </c>
      <c r="K391" s="1334" t="str">
        <f>VLOOKUP(C391,Acc_Char!B:K,7,)</f>
        <v>Subsidiaries</v>
      </c>
      <c r="L391" s="1334" t="str">
        <f t="shared" si="22"/>
        <v>Receipt from tenants</v>
      </c>
      <c r="M391" s="1335" t="str">
        <f>VLOOKUP(C391,Acc_Char!B:K,5,)</f>
        <v>VND</v>
      </c>
      <c r="N391" s="1335" t="str">
        <f>VLOOKUP(C391,Acc_Char!B:K,6,)</f>
        <v>Current Account</v>
      </c>
      <c r="O391" s="1336" t="str">
        <f>Summary!$B$4</f>
        <v>W1-2Jan26</v>
      </c>
      <c r="P391" s="1334" t="str">
        <f t="shared" si="23"/>
        <v>114628748888</v>
      </c>
    </row>
    <row r="392" spans="1:17">
      <c r="A392" s="1018" t="s">
        <v>1591</v>
      </c>
      <c r="B392" s="460" t="s">
        <v>110</v>
      </c>
      <c r="C392" s="1092" t="s">
        <v>717</v>
      </c>
      <c r="D392" s="1389" t="s">
        <v>2075</v>
      </c>
      <c r="E392" t="s">
        <v>2076</v>
      </c>
      <c r="F392" s="1311">
        <v>400000000</v>
      </c>
      <c r="G392" s="1311">
        <v>0</v>
      </c>
      <c r="H392" s="1082">
        <f t="shared" si="21"/>
        <v>400000000</v>
      </c>
      <c r="I392" s="1333" t="s">
        <v>44</v>
      </c>
      <c r="J392" s="1334" t="str">
        <f>VLOOKUP(C392,Acc_Char!B:K,3,)</f>
        <v>BW BAU BANG 01</v>
      </c>
      <c r="K392" s="1334" t="str">
        <f>VLOOKUP(C392,Acc_Char!B:K,7,)</f>
        <v>Subsidiaries</v>
      </c>
      <c r="L392" s="1334" t="str">
        <f t="shared" si="22"/>
        <v>Other receipts</v>
      </c>
      <c r="M392" s="1335" t="str">
        <f>VLOOKUP(C392,Acc_Char!B:K,5,)</f>
        <v>VND</v>
      </c>
      <c r="N392" s="1335" t="str">
        <f>VLOOKUP(C392,Acc_Char!B:K,6,)</f>
        <v>Current Account</v>
      </c>
      <c r="O392" s="1336" t="str">
        <f>Summary!$B$4</f>
        <v>W1-2Jan26</v>
      </c>
      <c r="P392" s="1334" t="str">
        <f t="shared" si="23"/>
        <v>110002915294</v>
      </c>
    </row>
    <row r="393" spans="1:17">
      <c r="A393" s="1018" t="s">
        <v>1591</v>
      </c>
      <c r="B393" s="460" t="s">
        <v>110</v>
      </c>
      <c r="C393" s="1092" t="s">
        <v>717</v>
      </c>
      <c r="D393" s="1389" t="s">
        <v>2077</v>
      </c>
      <c r="E393" t="s">
        <v>2078</v>
      </c>
      <c r="F393" s="1311">
        <v>281691032</v>
      </c>
      <c r="G393" s="1311">
        <v>0</v>
      </c>
      <c r="H393" s="1082">
        <f t="shared" si="21"/>
        <v>281691032</v>
      </c>
      <c r="I393" s="1333" t="s">
        <v>39</v>
      </c>
      <c r="J393" s="1334" t="str">
        <f>VLOOKUP(C393,Acc_Char!B:K,3,)</f>
        <v>BW BAU BANG 01</v>
      </c>
      <c r="K393" s="1334" t="str">
        <f>VLOOKUP(C393,Acc_Char!B:K,7,)</f>
        <v>Subsidiaries</v>
      </c>
      <c r="L393" s="1334" t="str">
        <f t="shared" si="22"/>
        <v>Receipt from tenants</v>
      </c>
      <c r="M393" s="1335" t="str">
        <f>VLOOKUP(C393,Acc_Char!B:K,5,)</f>
        <v>VND</v>
      </c>
      <c r="N393" s="1335" t="str">
        <f>VLOOKUP(C393,Acc_Char!B:K,6,)</f>
        <v>Current Account</v>
      </c>
      <c r="O393" s="1336" t="str">
        <f>Summary!$B$4</f>
        <v>W1-2Jan26</v>
      </c>
      <c r="P393" s="1334" t="str">
        <f t="shared" si="23"/>
        <v>110002915294</v>
      </c>
    </row>
    <row r="394" spans="1:17">
      <c r="A394" s="1018" t="s">
        <v>1591</v>
      </c>
      <c r="B394" s="460" t="s">
        <v>110</v>
      </c>
      <c r="C394" s="1092" t="s">
        <v>669</v>
      </c>
      <c r="D394" s="1389" t="s">
        <v>2079</v>
      </c>
      <c r="E394" t="s">
        <v>2080</v>
      </c>
      <c r="F394" s="1311">
        <v>383441154</v>
      </c>
      <c r="G394" s="1311">
        <v>0</v>
      </c>
      <c r="H394" s="1082">
        <f t="shared" si="21"/>
        <v>383441154</v>
      </c>
      <c r="I394" s="1333" t="s">
        <v>39</v>
      </c>
      <c r="J394" s="1334" t="str">
        <f>VLOOKUP(C394,Acc_Char!B:K,3,)</f>
        <v>VINA PARTNERS INVESTMENT</v>
      </c>
      <c r="K394" s="1334" t="str">
        <f>VLOOKUP(C394,Acc_Char!B:K,7,)</f>
        <v>Subsidiaries</v>
      </c>
      <c r="L394" s="1334" t="str">
        <f t="shared" si="22"/>
        <v>Receipt from tenants</v>
      </c>
      <c r="M394" s="1335" t="str">
        <f>VLOOKUP(C394,Acc_Char!B:K,5,)</f>
        <v>VND</v>
      </c>
      <c r="N394" s="1335" t="str">
        <f>VLOOKUP(C394,Acc_Char!B:K,6,)</f>
        <v>Current Account</v>
      </c>
      <c r="O394" s="1336" t="str">
        <f>Summary!$B$4</f>
        <v>W1-2Jan26</v>
      </c>
      <c r="P394" s="1334" t="str">
        <f t="shared" si="23"/>
        <v>111002902772</v>
      </c>
    </row>
    <row r="395" spans="1:17">
      <c r="A395" s="1018" t="s">
        <v>1591</v>
      </c>
      <c r="B395" s="460" t="s">
        <v>110</v>
      </c>
      <c r="C395" s="1092" t="s">
        <v>702</v>
      </c>
      <c r="D395" s="1389" t="s">
        <v>2081</v>
      </c>
      <c r="E395" t="s">
        <v>2082</v>
      </c>
      <c r="F395" s="1311">
        <v>677604611</v>
      </c>
      <c r="G395" s="1311">
        <v>0</v>
      </c>
      <c r="H395" s="1082">
        <f t="shared" si="21"/>
        <v>677604611</v>
      </c>
      <c r="I395" s="1333" t="s">
        <v>39</v>
      </c>
      <c r="J395" s="1334" t="str">
        <f>VLOOKUP(C395,Acc_Char!B:K,3,)</f>
        <v>BAU BANG 6</v>
      </c>
      <c r="K395" s="1334" t="str">
        <f>VLOOKUP(C395,Acc_Char!B:K,7,)</f>
        <v>Subsidiaries</v>
      </c>
      <c r="L395" s="1334" t="str">
        <f t="shared" si="22"/>
        <v>Receipt from tenants</v>
      </c>
      <c r="M395" s="1335" t="str">
        <f>VLOOKUP(C395,Acc_Char!B:K,5,)</f>
        <v>VND</v>
      </c>
      <c r="N395" s="1335" t="str">
        <f>VLOOKUP(C395,Acc_Char!B:K,6,)</f>
        <v>Current Account</v>
      </c>
      <c r="O395" s="1336" t="str">
        <f>Summary!$B$4</f>
        <v>W1-2Jan26</v>
      </c>
      <c r="P395" s="1334" t="str">
        <f t="shared" si="23"/>
        <v>115624079999</v>
      </c>
    </row>
    <row r="396" spans="1:17">
      <c r="A396" s="1018" t="s">
        <v>1567</v>
      </c>
      <c r="B396" s="460" t="s">
        <v>110</v>
      </c>
      <c r="C396" s="1092" t="s">
        <v>1047</v>
      </c>
      <c r="D396" s="1389">
        <v>46296</v>
      </c>
      <c r="E396" t="s">
        <v>2083</v>
      </c>
      <c r="F396" s="1311">
        <v>4460407428</v>
      </c>
      <c r="G396" s="1311">
        <v>0</v>
      </c>
      <c r="H396" s="1082">
        <f t="shared" si="21"/>
        <v>4460407428</v>
      </c>
      <c r="I396" s="1333" t="s">
        <v>39</v>
      </c>
      <c r="J396" s="1334" t="str">
        <f>VLOOKUP(C396,Acc_Char!B:K,3,)</f>
        <v>LE MINH XUAN 3</v>
      </c>
      <c r="K396" s="1334" t="str">
        <f>VLOOKUP(C396,Acc_Char!B:K,7,)</f>
        <v>Subsidiaries</v>
      </c>
      <c r="L396" s="1334" t="str">
        <f t="shared" si="22"/>
        <v>Receipt from tenants</v>
      </c>
      <c r="M396" s="1335" t="str">
        <f>VLOOKUP(C396,Acc_Char!B:K,5,)</f>
        <v>VND</v>
      </c>
      <c r="N396" s="1335" t="str">
        <f>VLOOKUP(C396,Acc_Char!B:K,6,)</f>
        <v>Current Account</v>
      </c>
      <c r="O396" s="1336" t="str">
        <f>Summary!$B$4</f>
        <v>W1-2Jan26</v>
      </c>
      <c r="P396" s="1334" t="str">
        <f t="shared" si="23"/>
        <v>118002972254</v>
      </c>
      <c r="Q396" s="1024"/>
    </row>
    <row r="397" spans="1:17">
      <c r="A397" s="1018" t="s">
        <v>1591</v>
      </c>
      <c r="B397" s="460" t="s">
        <v>110</v>
      </c>
      <c r="C397" s="1092" t="s">
        <v>500</v>
      </c>
      <c r="D397" s="1389" t="s">
        <v>2084</v>
      </c>
      <c r="E397" t="s">
        <v>2085</v>
      </c>
      <c r="F397" s="1311">
        <v>605740076</v>
      </c>
      <c r="G397" s="1311">
        <v>0</v>
      </c>
      <c r="H397" s="1082">
        <f t="shared" si="21"/>
        <v>605740076</v>
      </c>
      <c r="I397" s="1333" t="s">
        <v>39</v>
      </c>
      <c r="J397" s="1334" t="str">
        <f>VLOOKUP(C397,Acc_Char!B:K,3,)</f>
        <v>BWID HAI DUONG</v>
      </c>
      <c r="K397" s="1334" t="str">
        <f>VLOOKUP(C397,Acc_Char!B:K,7,)</f>
        <v>Subsidiaries</v>
      </c>
      <c r="L397" s="1334" t="str">
        <f t="shared" si="22"/>
        <v>Receipt from tenants</v>
      </c>
      <c r="M397" s="1335" t="str">
        <f>VLOOKUP(C397,Acc_Char!B:K,5,)</f>
        <v>VND</v>
      </c>
      <c r="N397" s="1335" t="str">
        <f>VLOOKUP(C397,Acc_Char!B:K,6,)</f>
        <v>Current Account</v>
      </c>
      <c r="O397" s="1336" t="str">
        <f>Summary!$B$4</f>
        <v>W1-2Jan26</v>
      </c>
      <c r="P397" s="1334" t="str">
        <f t="shared" si="23"/>
        <v>111007158888</v>
      </c>
    </row>
    <row r="398" spans="1:17">
      <c r="A398" s="1018" t="s">
        <v>1567</v>
      </c>
      <c r="B398" s="460" t="s">
        <v>110</v>
      </c>
      <c r="C398" s="1092" t="s">
        <v>1049</v>
      </c>
      <c r="D398" s="1389">
        <v>46036</v>
      </c>
      <c r="E398" t="s">
        <v>2086</v>
      </c>
      <c r="F398" s="1311">
        <v>12612610145</v>
      </c>
      <c r="G398" s="1311">
        <v>0</v>
      </c>
      <c r="H398" s="1082">
        <f t="shared" si="21"/>
        <v>12612610145</v>
      </c>
      <c r="I398" s="1333" t="s">
        <v>39</v>
      </c>
      <c r="J398" s="1334" t="str">
        <f>VLOOKUP(C398,Acc_Char!B:K,3,)</f>
        <v>DEEP C 2B</v>
      </c>
      <c r="K398" s="1334" t="str">
        <f>VLOOKUP(C398,Acc_Char!B:K,7,)</f>
        <v>Subsidiaries</v>
      </c>
      <c r="L398" s="1334" t="str">
        <f t="shared" si="22"/>
        <v>Receipt from tenants</v>
      </c>
      <c r="M398" s="1335" t="str">
        <f>VLOOKUP(C398,Acc_Char!B:K,5,)</f>
        <v>VND</v>
      </c>
      <c r="N398" s="1335" t="str">
        <f>VLOOKUP(C398,Acc_Char!B:K,6,)</f>
        <v>Current Account</v>
      </c>
      <c r="O398" s="1336" t="str">
        <f>Summary!$B$4</f>
        <v>W1-2Jan26</v>
      </c>
      <c r="P398" s="1334" t="str">
        <f t="shared" si="23"/>
        <v>117002972458</v>
      </c>
    </row>
    <row r="399" spans="1:17">
      <c r="A399" s="1018" t="s">
        <v>1591</v>
      </c>
      <c r="B399" s="460" t="s">
        <v>110</v>
      </c>
      <c r="C399" s="1092" t="s">
        <v>717</v>
      </c>
      <c r="D399" s="1389" t="s">
        <v>2087</v>
      </c>
      <c r="E399" t="s">
        <v>2088</v>
      </c>
      <c r="F399" s="1311">
        <v>1437922176</v>
      </c>
      <c r="G399" s="1311">
        <v>0</v>
      </c>
      <c r="H399" s="1082">
        <f t="shared" si="21"/>
        <v>1437922176</v>
      </c>
      <c r="I399" s="1333" t="s">
        <v>39</v>
      </c>
      <c r="J399" s="1334" t="str">
        <f>VLOOKUP(C399,Acc_Char!B:K,3,)</f>
        <v>BW BAU BANG 01</v>
      </c>
      <c r="K399" s="1334" t="str">
        <f>VLOOKUP(C399,Acc_Char!B:K,7,)</f>
        <v>Subsidiaries</v>
      </c>
      <c r="L399" s="1334" t="str">
        <f t="shared" si="22"/>
        <v>Receipt from tenants</v>
      </c>
      <c r="M399" s="1335" t="str">
        <f>VLOOKUP(C399,Acc_Char!B:K,5,)</f>
        <v>VND</v>
      </c>
      <c r="N399" s="1335" t="str">
        <f>VLOOKUP(C399,Acc_Char!B:K,6,)</f>
        <v>Current Account</v>
      </c>
      <c r="O399" s="1336" t="str">
        <f>Summary!$B$4</f>
        <v>W1-2Jan26</v>
      </c>
      <c r="P399" s="1334" t="str">
        <f t="shared" si="23"/>
        <v>110002915294</v>
      </c>
    </row>
    <row r="400" spans="1:17">
      <c r="A400" s="1018" t="s">
        <v>1591</v>
      </c>
      <c r="B400" s="460" t="s">
        <v>110</v>
      </c>
      <c r="C400" s="1092" t="s">
        <v>717</v>
      </c>
      <c r="D400" s="1389" t="s">
        <v>2089</v>
      </c>
      <c r="E400" t="s">
        <v>2090</v>
      </c>
      <c r="F400" s="1311">
        <v>619362195</v>
      </c>
      <c r="G400" s="1311">
        <v>0</v>
      </c>
      <c r="H400" s="1082">
        <f t="shared" si="21"/>
        <v>619362195</v>
      </c>
      <c r="I400" s="1333" t="s">
        <v>39</v>
      </c>
      <c r="J400" s="1334" t="str">
        <f>VLOOKUP(C400,Acc_Char!B:K,3,)</f>
        <v>BW BAU BANG 01</v>
      </c>
      <c r="K400" s="1334" t="str">
        <f>VLOOKUP(C400,Acc_Char!B:K,7,)</f>
        <v>Subsidiaries</v>
      </c>
      <c r="L400" s="1334" t="str">
        <f t="shared" si="22"/>
        <v>Receipt from tenants</v>
      </c>
      <c r="M400" s="1335" t="str">
        <f>VLOOKUP(C400,Acc_Char!B:K,5,)</f>
        <v>VND</v>
      </c>
      <c r="N400" s="1335" t="str">
        <f>VLOOKUP(C400,Acc_Char!B:K,6,)</f>
        <v>Current Account</v>
      </c>
      <c r="O400" s="1336" t="str">
        <f>Summary!$B$4</f>
        <v>W1-2Jan26</v>
      </c>
      <c r="P400" s="1334" t="str">
        <f t="shared" si="23"/>
        <v>110002915294</v>
      </c>
    </row>
    <row r="401" spans="1:16">
      <c r="A401" s="1018" t="s">
        <v>1591</v>
      </c>
      <c r="B401" s="460" t="s">
        <v>110</v>
      </c>
      <c r="C401" s="1092" t="s">
        <v>587</v>
      </c>
      <c r="D401" s="1389" t="s">
        <v>2091</v>
      </c>
      <c r="E401" t="s">
        <v>2092</v>
      </c>
      <c r="F401" s="1311">
        <v>200000000000</v>
      </c>
      <c r="G401" s="1311">
        <v>0</v>
      </c>
      <c r="H401" s="1082">
        <f t="shared" si="21"/>
        <v>200000000000</v>
      </c>
      <c r="I401" s="1333" t="s">
        <v>41</v>
      </c>
      <c r="J401" s="1334" t="str">
        <f>VLOOKUP(C401,Acc_Char!B:K,3,)</f>
        <v>SAO HOA</v>
      </c>
      <c r="K401" s="1334" t="str">
        <f>VLOOKUP(C401,Acc_Char!B:K,7,)</f>
        <v>VC3</v>
      </c>
      <c r="L401" s="1334" t="str">
        <f t="shared" si="22"/>
        <v>Internal transfer in</v>
      </c>
      <c r="M401" s="1335" t="str">
        <f>VLOOKUP(C401,Acc_Char!B:K,5,)</f>
        <v>VND</v>
      </c>
      <c r="N401" s="1335" t="str">
        <f>VLOOKUP(C401,Acc_Char!B:K,6,)</f>
        <v>Current Account</v>
      </c>
      <c r="O401" s="1336" t="str">
        <f>Summary!$B$4</f>
        <v>W1-2Jan26</v>
      </c>
      <c r="P401" s="1334" t="str">
        <f t="shared" si="23"/>
        <v>114002874189</v>
      </c>
    </row>
    <row r="402" spans="1:16">
      <c r="A402" s="1018" t="s">
        <v>1591</v>
      </c>
      <c r="B402" s="460" t="s">
        <v>110</v>
      </c>
      <c r="C402" s="1092" t="s">
        <v>851</v>
      </c>
      <c r="D402" s="1389" t="s">
        <v>2093</v>
      </c>
      <c r="E402" t="s">
        <v>2094</v>
      </c>
      <c r="F402" s="1311">
        <v>9234500</v>
      </c>
      <c r="G402" s="1311">
        <v>0</v>
      </c>
      <c r="H402" s="1082">
        <f t="shared" si="21"/>
        <v>9234500</v>
      </c>
      <c r="I402" s="1333" t="s">
        <v>39</v>
      </c>
      <c r="J402" s="1334" t="str">
        <f>VLOOKUP(C402,Acc_Char!B:K,3,)</f>
        <v>BWID Tan Phu Trung</v>
      </c>
      <c r="K402" s="1334" t="str">
        <f>VLOOKUP(C402,Acc_Char!B:K,7,)</f>
        <v>Subsidiaries</v>
      </c>
      <c r="L402" s="1334" t="str">
        <f t="shared" si="22"/>
        <v>Receipt from tenants</v>
      </c>
      <c r="M402" s="1335" t="str">
        <f>VLOOKUP(C402,Acc_Char!B:K,5,)</f>
        <v>VND</v>
      </c>
      <c r="N402" s="1335" t="str">
        <f>VLOOKUP(C402,Acc_Char!B:K,6,)</f>
        <v>Current Account</v>
      </c>
      <c r="O402" s="1336" t="str">
        <f>Summary!$B$4</f>
        <v>W1-2Jan26</v>
      </c>
      <c r="P402" s="1334" t="str">
        <f t="shared" si="23"/>
        <v>117612416666</v>
      </c>
    </row>
    <row r="403" spans="1:16">
      <c r="A403" s="1018" t="s">
        <v>1591</v>
      </c>
      <c r="B403" s="460" t="s">
        <v>110</v>
      </c>
      <c r="C403" s="1092" t="s">
        <v>1048</v>
      </c>
      <c r="D403" s="1389" t="s">
        <v>2095</v>
      </c>
      <c r="E403" t="s">
        <v>2096</v>
      </c>
      <c r="F403" s="1311">
        <v>258460727</v>
      </c>
      <c r="G403" s="1311">
        <v>0</v>
      </c>
      <c r="H403" s="1082">
        <f t="shared" si="21"/>
        <v>258460727</v>
      </c>
      <c r="I403" s="1333" t="s">
        <v>39</v>
      </c>
      <c r="J403" s="1334" t="str">
        <f>VLOOKUP(C403,Acc_Char!B:K,3,)</f>
        <v>TAN DONG HIEP B ELECTRON</v>
      </c>
      <c r="K403" s="1334" t="str">
        <f>VLOOKUP(C403,Acc_Char!B:K,7,)</f>
        <v>Subsidiaries</v>
      </c>
      <c r="L403" s="1334" t="str">
        <f t="shared" si="22"/>
        <v>Receipt from tenants</v>
      </c>
      <c r="M403" s="1335" t="str">
        <f>VLOOKUP(C403,Acc_Char!B:K,5,)</f>
        <v>VND</v>
      </c>
      <c r="N403" s="1335" t="str">
        <f>VLOOKUP(C403,Acc_Char!B:K,6,)</f>
        <v>Current Account</v>
      </c>
      <c r="O403" s="1336" t="str">
        <f>Summary!$B$4</f>
        <v>W1-2Jan26</v>
      </c>
      <c r="P403" s="1334" t="str">
        <f t="shared" si="23"/>
        <v>110002974996</v>
      </c>
    </row>
    <row r="404" spans="1:16">
      <c r="A404" s="1018" t="s">
        <v>1591</v>
      </c>
      <c r="B404" s="460" t="s">
        <v>110</v>
      </c>
      <c r="C404" s="1092" t="s">
        <v>610</v>
      </c>
      <c r="D404" s="1389" t="s">
        <v>2097</v>
      </c>
      <c r="E404" t="s">
        <v>2098</v>
      </c>
      <c r="F404" s="1311">
        <v>4848155510</v>
      </c>
      <c r="G404" s="1311">
        <v>0</v>
      </c>
      <c r="H404" s="1082">
        <f t="shared" si="21"/>
        <v>4848155510</v>
      </c>
      <c r="I404" s="1333" t="s">
        <v>39</v>
      </c>
      <c r="J404" s="1334" t="str">
        <f>VLOOKUP(C404,Acc_Char!B:K,3,)</f>
        <v>BWID Tan Phu Trung</v>
      </c>
      <c r="K404" s="1334" t="str">
        <f>VLOOKUP(C404,Acc_Char!B:K,7,)</f>
        <v>Subsidiaries</v>
      </c>
      <c r="L404" s="1334" t="str">
        <f t="shared" si="22"/>
        <v>Receipt from tenants</v>
      </c>
      <c r="M404" s="1335" t="str">
        <f>VLOOKUP(C404,Acc_Char!B:K,5,)</f>
        <v>VND</v>
      </c>
      <c r="N404" s="1335" t="str">
        <f>VLOOKUP(C404,Acc_Char!B:K,6,)</f>
        <v>Current Account</v>
      </c>
      <c r="O404" s="1336" t="str">
        <f>Summary!$B$4</f>
        <v>W1-2Jan26</v>
      </c>
      <c r="P404" s="1334" t="str">
        <f t="shared" si="23"/>
        <v>110610727979</v>
      </c>
    </row>
    <row r="405" spans="1:16">
      <c r="A405" s="1018" t="s">
        <v>1591</v>
      </c>
      <c r="B405" s="460" t="s">
        <v>110</v>
      </c>
      <c r="C405" s="1092" t="s">
        <v>698</v>
      </c>
      <c r="D405" s="1389" t="s">
        <v>2099</v>
      </c>
      <c r="E405" t="s">
        <v>2100</v>
      </c>
      <c r="F405" s="1311">
        <v>2448095</v>
      </c>
      <c r="G405" s="1311">
        <v>0</v>
      </c>
      <c r="H405" s="1082">
        <f t="shared" si="21"/>
        <v>2448095</v>
      </c>
      <c r="I405" s="1333" t="s">
        <v>39</v>
      </c>
      <c r="J405" s="1334" t="str">
        <f>VLOOKUP(C405,Acc_Char!B:K,3,)</f>
        <v>YEN PHONG</v>
      </c>
      <c r="K405" s="1334" t="str">
        <f>VLOOKUP(C405,Acc_Char!B:K,7,)</f>
        <v>Subsidiaries</v>
      </c>
      <c r="L405" s="1334" t="str">
        <f t="shared" si="22"/>
        <v>Receipt from tenants</v>
      </c>
      <c r="M405" s="1335" t="str">
        <f>VLOOKUP(C405,Acc_Char!B:K,5,)</f>
        <v>VND</v>
      </c>
      <c r="N405" s="1335" t="str">
        <f>VLOOKUP(C405,Acc_Char!B:K,6,)</f>
        <v>Current Account</v>
      </c>
      <c r="O405" s="1336" t="str">
        <f>Summary!$B$4</f>
        <v>W1-2Jan26</v>
      </c>
      <c r="P405" s="1334" t="str">
        <f t="shared" si="23"/>
        <v>114638028888</v>
      </c>
    </row>
    <row r="406" spans="1:16">
      <c r="A406" s="1018" t="s">
        <v>1591</v>
      </c>
      <c r="B406" s="460" t="s">
        <v>110</v>
      </c>
      <c r="C406" s="1092" t="s">
        <v>698</v>
      </c>
      <c r="D406" s="1389" t="s">
        <v>2101</v>
      </c>
      <c r="E406" t="s">
        <v>2102</v>
      </c>
      <c r="F406" s="1311">
        <v>65593243</v>
      </c>
      <c r="G406" s="1311">
        <v>0</v>
      </c>
      <c r="H406" s="1082">
        <f t="shared" si="21"/>
        <v>65593243</v>
      </c>
      <c r="I406" s="1333" t="s">
        <v>39</v>
      </c>
      <c r="J406" s="1334" t="str">
        <f>VLOOKUP(C406,Acc_Char!B:K,3,)</f>
        <v>YEN PHONG</v>
      </c>
      <c r="K406" s="1334" t="str">
        <f>VLOOKUP(C406,Acc_Char!B:K,7,)</f>
        <v>Subsidiaries</v>
      </c>
      <c r="L406" s="1334" t="str">
        <f t="shared" si="22"/>
        <v>Receipt from tenants</v>
      </c>
      <c r="M406" s="1335" t="str">
        <f>VLOOKUP(C406,Acc_Char!B:K,5,)</f>
        <v>VND</v>
      </c>
      <c r="N406" s="1335" t="str">
        <f>VLOOKUP(C406,Acc_Char!B:K,6,)</f>
        <v>Current Account</v>
      </c>
      <c r="O406" s="1336" t="str">
        <f>Summary!$B$4</f>
        <v>W1-2Jan26</v>
      </c>
      <c r="P406" s="1334" t="str">
        <f t="shared" si="23"/>
        <v>114638028888</v>
      </c>
    </row>
    <row r="407" spans="1:16" ht="28.8">
      <c r="A407" s="1018" t="s">
        <v>1591</v>
      </c>
      <c r="B407" s="460" t="s">
        <v>110</v>
      </c>
      <c r="C407" s="1092" t="s">
        <v>707</v>
      </c>
      <c r="D407" s="1395" t="s">
        <v>2103</v>
      </c>
      <c r="E407" s="1339" t="s">
        <v>2104</v>
      </c>
      <c r="F407" s="1311">
        <v>1398303984</v>
      </c>
      <c r="G407" s="1311">
        <v>0</v>
      </c>
      <c r="H407" s="1082">
        <f t="shared" si="21"/>
        <v>1398303984</v>
      </c>
      <c r="I407" s="1333" t="s">
        <v>39</v>
      </c>
      <c r="J407" s="1334" t="str">
        <f>VLOOKUP(C407,Acc_Char!B:K,3,)</f>
        <v>XENIA 1</v>
      </c>
      <c r="K407" s="1334" t="str">
        <f>VLOOKUP(C407,Acc_Char!B:K,7,)</f>
        <v>Subsidiaries</v>
      </c>
      <c r="L407" s="1334" t="str">
        <f t="shared" si="22"/>
        <v>Receipt from tenants</v>
      </c>
      <c r="M407" s="1335" t="str">
        <f>VLOOKUP(C407,Acc_Char!B:K,5,)</f>
        <v>VND</v>
      </c>
      <c r="N407" s="1335" t="str">
        <f>VLOOKUP(C407,Acc_Char!B:K,6,)</f>
        <v>Current Account</v>
      </c>
      <c r="O407" s="1336" t="str">
        <f>Summary!$B$4</f>
        <v>W1-2Jan26</v>
      </c>
      <c r="P407" s="1334" t="str">
        <f t="shared" si="23"/>
        <v>116646026868</v>
      </c>
    </row>
    <row r="408" spans="1:16">
      <c r="A408" s="1018" t="s">
        <v>1591</v>
      </c>
      <c r="B408" s="460" t="s">
        <v>110</v>
      </c>
      <c r="C408" s="1092" t="s">
        <v>543</v>
      </c>
      <c r="D408" s="1389" t="s">
        <v>2105</v>
      </c>
      <c r="E408" s="1339" t="s">
        <v>2106</v>
      </c>
      <c r="F408" s="1311">
        <v>65944494</v>
      </c>
      <c r="G408" s="1311">
        <v>0</v>
      </c>
      <c r="H408" s="1082">
        <f t="shared" si="21"/>
        <v>65944494</v>
      </c>
      <c r="I408" t="s">
        <v>39</v>
      </c>
      <c r="J408" s="1334" t="str">
        <f>VLOOKUP(C408,Acc_Char!B:K,3,)</f>
        <v>GREAT KINGDOM NT 2</v>
      </c>
      <c r="K408" s="1334" t="str">
        <f>VLOOKUP(C408,Acc_Char!B:K,7,)</f>
        <v>Subsidiaries</v>
      </c>
      <c r="L408" s="1334" t="str">
        <f t="shared" si="22"/>
        <v>Receipt from tenants</v>
      </c>
      <c r="M408" s="1335" t="str">
        <f>VLOOKUP(C408,Acc_Char!B:K,5,)</f>
        <v>VND</v>
      </c>
      <c r="N408" s="1335" t="str">
        <f>VLOOKUP(C408,Acc_Char!B:K,6,)</f>
        <v>Current Account</v>
      </c>
      <c r="O408" s="1336" t="str">
        <f>Summary!$B$4</f>
        <v>W1-2Jan26</v>
      </c>
      <c r="P408" s="1334" t="str">
        <f t="shared" si="23"/>
        <v>110609187777</v>
      </c>
    </row>
    <row r="409" spans="1:16">
      <c r="A409" t="s">
        <v>1591</v>
      </c>
      <c r="B409" s="34" t="s">
        <v>110</v>
      </c>
      <c r="C409" s="34" t="s">
        <v>717</v>
      </c>
      <c r="D409" s="1389" t="s">
        <v>2107</v>
      </c>
      <c r="E409" t="s">
        <v>2108</v>
      </c>
      <c r="F409" s="57">
        <v>647204580</v>
      </c>
      <c r="G409" s="57">
        <v>0</v>
      </c>
      <c r="H409" s="1082">
        <f t="shared" si="21"/>
        <v>647204580</v>
      </c>
      <c r="I409" s="1333" t="s">
        <v>39</v>
      </c>
      <c r="J409" s="1334" t="str">
        <f>VLOOKUP(C409,Acc_Char!B:K,3,)</f>
        <v>BW BAU BANG 01</v>
      </c>
      <c r="K409" s="1334" t="str">
        <f>VLOOKUP(C409,Acc_Char!B:K,7,)</f>
        <v>Subsidiaries</v>
      </c>
      <c r="L409" s="1334" t="str">
        <f t="shared" si="22"/>
        <v>Receipt from tenants</v>
      </c>
      <c r="M409" s="1335" t="str">
        <f>VLOOKUP(C409,Acc_Char!B:K,5,)</f>
        <v>VND</v>
      </c>
      <c r="N409" s="1335" t="str">
        <f>VLOOKUP(C409,Acc_Char!B:K,6,)</f>
        <v>Current Account</v>
      </c>
      <c r="O409" s="1336" t="str">
        <f>Summary!$B$4</f>
        <v>W1-2Jan26</v>
      </c>
      <c r="P409" s="1334" t="str">
        <f t="shared" si="23"/>
        <v>110002915294</v>
      </c>
    </row>
    <row r="410" spans="1:16">
      <c r="A410" t="s">
        <v>1591</v>
      </c>
      <c r="B410" s="34" t="s">
        <v>110</v>
      </c>
      <c r="C410" s="34" t="s">
        <v>504</v>
      </c>
      <c r="D410" s="1389" t="s">
        <v>2109</v>
      </c>
      <c r="E410" t="s">
        <v>2110</v>
      </c>
      <c r="F410" s="57">
        <v>650094159</v>
      </c>
      <c r="G410" s="57">
        <v>0</v>
      </c>
      <c r="H410" s="1082">
        <f t="shared" si="21"/>
        <v>650094159</v>
      </c>
      <c r="I410" s="1333" t="s">
        <v>39</v>
      </c>
      <c r="J410" s="1334" t="str">
        <f>VLOOKUP(C410,Acc_Char!B:K,3,)</f>
        <v>BWID BAC NINH</v>
      </c>
      <c r="K410" s="1334" t="str">
        <f>VLOOKUP(C410,Acc_Char!B:K,7,)</f>
        <v>Subsidiaries</v>
      </c>
      <c r="L410" s="1334" t="str">
        <f t="shared" si="22"/>
        <v>Receipt from tenants</v>
      </c>
      <c r="M410" s="1335" t="str">
        <f>VLOOKUP(C410,Acc_Char!B:K,5,)</f>
        <v>VND</v>
      </c>
      <c r="N410" s="1335" t="str">
        <f>VLOOKUP(C410,Acc_Char!B:K,6,)</f>
        <v>Current Account</v>
      </c>
      <c r="O410" s="1336" t="str">
        <f>Summary!$B$4</f>
        <v>W1-2Jan26</v>
      </c>
      <c r="P410" s="1334" t="str">
        <f t="shared" si="23"/>
        <v>118008108888</v>
      </c>
    </row>
    <row r="411" spans="1:16">
      <c r="A411" t="s">
        <v>1591</v>
      </c>
      <c r="B411" s="34" t="s">
        <v>110</v>
      </c>
      <c r="C411" s="34" t="s">
        <v>702</v>
      </c>
      <c r="D411" s="1389" t="s">
        <v>2111</v>
      </c>
      <c r="E411" t="s">
        <v>2112</v>
      </c>
      <c r="F411" s="57">
        <v>634332807</v>
      </c>
      <c r="G411" s="57">
        <v>0</v>
      </c>
      <c r="H411" s="1082">
        <f t="shared" si="21"/>
        <v>634332807</v>
      </c>
      <c r="I411" s="1333" t="s">
        <v>39</v>
      </c>
      <c r="J411" s="1334" t="str">
        <f>VLOOKUP(C411,Acc_Char!B:K,3,)</f>
        <v>BAU BANG 6</v>
      </c>
      <c r="K411" s="1334" t="str">
        <f>VLOOKUP(C411,Acc_Char!B:K,7,)</f>
        <v>Subsidiaries</v>
      </c>
      <c r="L411" s="1334" t="str">
        <f t="shared" si="22"/>
        <v>Receipt from tenants</v>
      </c>
      <c r="M411" s="1335" t="str">
        <f>VLOOKUP(C411,Acc_Char!B:K,5,)</f>
        <v>VND</v>
      </c>
      <c r="N411" s="1335" t="str">
        <f>VLOOKUP(C411,Acc_Char!B:K,6,)</f>
        <v>Current Account</v>
      </c>
      <c r="O411" s="1336" t="str">
        <f>Summary!$B$4</f>
        <v>W1-2Jan26</v>
      </c>
      <c r="P411" s="1334" t="str">
        <f t="shared" si="23"/>
        <v>115624079999</v>
      </c>
    </row>
    <row r="412" spans="1:16">
      <c r="A412" t="s">
        <v>1591</v>
      </c>
      <c r="B412" s="34" t="s">
        <v>110</v>
      </c>
      <c r="C412" s="34" t="s">
        <v>587</v>
      </c>
      <c r="D412" s="1389" t="s">
        <v>2113</v>
      </c>
      <c r="E412" t="s">
        <v>2114</v>
      </c>
      <c r="F412" s="57">
        <v>140000000000</v>
      </c>
      <c r="G412" s="57">
        <v>0</v>
      </c>
      <c r="H412" s="1082">
        <f t="shared" si="21"/>
        <v>140000000000</v>
      </c>
      <c r="I412" s="1333" t="s">
        <v>41</v>
      </c>
      <c r="J412" s="1334" t="str">
        <f>VLOOKUP(C412,Acc_Char!B:K,3,)</f>
        <v>SAO HOA</v>
      </c>
      <c r="K412" s="1334" t="str">
        <f>VLOOKUP(C412,Acc_Char!B:K,7,)</f>
        <v>VC3</v>
      </c>
      <c r="L412" s="1334" t="str">
        <f t="shared" si="22"/>
        <v>Internal transfer in</v>
      </c>
      <c r="M412" s="1335" t="str">
        <f>VLOOKUP(C412,Acc_Char!B:K,5,)</f>
        <v>VND</v>
      </c>
      <c r="N412" s="1335" t="str">
        <f>VLOOKUP(C412,Acc_Char!B:K,6,)</f>
        <v>Current Account</v>
      </c>
      <c r="O412" s="1336" t="str">
        <f>Summary!$B$4</f>
        <v>W1-2Jan26</v>
      </c>
      <c r="P412" s="1334" t="str">
        <f t="shared" si="23"/>
        <v>114002874189</v>
      </c>
    </row>
    <row r="413" spans="1:16">
      <c r="A413" t="s">
        <v>1591</v>
      </c>
      <c r="B413" s="34" t="s">
        <v>110</v>
      </c>
      <c r="C413" s="34" t="s">
        <v>717</v>
      </c>
      <c r="D413" s="1389" t="s">
        <v>2115</v>
      </c>
      <c r="E413" t="s">
        <v>2116</v>
      </c>
      <c r="F413" s="57">
        <v>775764852</v>
      </c>
      <c r="G413" s="57">
        <v>0</v>
      </c>
      <c r="H413" s="1082">
        <f t="shared" si="21"/>
        <v>775764852</v>
      </c>
      <c r="I413" s="1333" t="s">
        <v>39</v>
      </c>
      <c r="J413" s="1334" t="str">
        <f>VLOOKUP(C413,Acc_Char!B:K,3,)</f>
        <v>BW BAU BANG 01</v>
      </c>
      <c r="K413" s="1334" t="str">
        <f>VLOOKUP(C413,Acc_Char!B:K,7,)</f>
        <v>Subsidiaries</v>
      </c>
      <c r="L413" s="1334" t="str">
        <f t="shared" si="22"/>
        <v>Receipt from tenants</v>
      </c>
      <c r="M413" s="1335" t="str">
        <f>VLOOKUP(C413,Acc_Char!B:K,5,)</f>
        <v>VND</v>
      </c>
      <c r="N413" s="1335" t="str">
        <f>VLOOKUP(C413,Acc_Char!B:K,6,)</f>
        <v>Current Account</v>
      </c>
      <c r="O413" s="1336" t="str">
        <f>Summary!$B$4</f>
        <v>W1-2Jan26</v>
      </c>
      <c r="P413" s="1334" t="str">
        <f t="shared" si="23"/>
        <v>110002915294</v>
      </c>
    </row>
    <row r="414" spans="1:16">
      <c r="A414" t="s">
        <v>1591</v>
      </c>
      <c r="B414" s="34" t="s">
        <v>110</v>
      </c>
      <c r="C414" s="34" t="s">
        <v>717</v>
      </c>
      <c r="D414" s="1389" t="s">
        <v>2117</v>
      </c>
      <c r="E414" t="s">
        <v>2118</v>
      </c>
      <c r="F414" s="57">
        <v>33632242</v>
      </c>
      <c r="G414" s="57">
        <v>0</v>
      </c>
      <c r="H414" s="1082">
        <f t="shared" si="21"/>
        <v>33632242</v>
      </c>
      <c r="I414" s="1333" t="s">
        <v>39</v>
      </c>
      <c r="J414" s="1334" t="str">
        <f>VLOOKUP(C414,Acc_Char!B:K,3,)</f>
        <v>BW BAU BANG 01</v>
      </c>
      <c r="K414" s="1334" t="str">
        <f>VLOOKUP(C414,Acc_Char!B:K,7,)</f>
        <v>Subsidiaries</v>
      </c>
      <c r="L414" s="1334" t="str">
        <f t="shared" si="22"/>
        <v>Receipt from tenants</v>
      </c>
      <c r="M414" s="1335" t="str">
        <f>VLOOKUP(C414,Acc_Char!B:K,5,)</f>
        <v>VND</v>
      </c>
      <c r="N414" s="1335" t="str">
        <f>VLOOKUP(C414,Acc_Char!B:K,6,)</f>
        <v>Current Account</v>
      </c>
      <c r="O414" s="1336" t="str">
        <f>Summary!$B$4</f>
        <v>W1-2Jan26</v>
      </c>
      <c r="P414" s="1334" t="str">
        <f t="shared" si="23"/>
        <v>110002915294</v>
      </c>
    </row>
    <row r="415" spans="1:16">
      <c r="A415" t="s">
        <v>1591</v>
      </c>
      <c r="B415" s="34" t="s">
        <v>110</v>
      </c>
      <c r="C415" s="34" t="s">
        <v>717</v>
      </c>
      <c r="D415" s="1389" t="s">
        <v>2119</v>
      </c>
      <c r="E415" t="s">
        <v>2120</v>
      </c>
      <c r="F415" s="57">
        <v>613987440</v>
      </c>
      <c r="G415" s="57">
        <v>0</v>
      </c>
      <c r="H415" s="1082">
        <f t="shared" si="21"/>
        <v>613987440</v>
      </c>
      <c r="I415" s="1333" t="s">
        <v>39</v>
      </c>
      <c r="J415" s="1334" t="str">
        <f>VLOOKUP(C415,Acc_Char!B:K,3,)</f>
        <v>BW BAU BANG 01</v>
      </c>
      <c r="K415" s="1334" t="str">
        <f>VLOOKUP(C415,Acc_Char!B:K,7,)</f>
        <v>Subsidiaries</v>
      </c>
      <c r="L415" s="1334" t="str">
        <f t="shared" si="22"/>
        <v>Receipt from tenants</v>
      </c>
      <c r="M415" s="1335" t="str">
        <f>VLOOKUP(C415,Acc_Char!B:K,5,)</f>
        <v>VND</v>
      </c>
      <c r="N415" s="1335" t="str">
        <f>VLOOKUP(C415,Acc_Char!B:K,6,)</f>
        <v>Current Account</v>
      </c>
      <c r="O415" s="1336" t="str">
        <f>Summary!$B$4</f>
        <v>W1-2Jan26</v>
      </c>
      <c r="P415" s="1334" t="str">
        <f t="shared" si="23"/>
        <v>110002915294</v>
      </c>
    </row>
    <row r="416" spans="1:16" s="1334" customFormat="1">
      <c r="A416" s="1342" t="s">
        <v>1591</v>
      </c>
      <c r="B416" s="1343" t="s">
        <v>110</v>
      </c>
      <c r="C416" s="1343" t="s">
        <v>717</v>
      </c>
      <c r="D416" s="1390" t="s">
        <v>2119</v>
      </c>
      <c r="E416" s="1342" t="s">
        <v>2121</v>
      </c>
      <c r="F416" s="1344">
        <v>831956400</v>
      </c>
      <c r="G416" s="1344">
        <v>0</v>
      </c>
      <c r="H416" s="1082">
        <f t="shared" si="21"/>
        <v>831956400</v>
      </c>
      <c r="I416" s="1333" t="s">
        <v>39</v>
      </c>
      <c r="J416" s="1334" t="str">
        <f>VLOOKUP(C416,Acc_Char!B:K,3,)</f>
        <v>BW BAU BANG 01</v>
      </c>
      <c r="K416" s="1334" t="str">
        <f>VLOOKUP(C416,Acc_Char!B:K,7,)</f>
        <v>Subsidiaries</v>
      </c>
      <c r="L416" s="1334" t="str">
        <f t="shared" si="22"/>
        <v>Receipt from tenants</v>
      </c>
      <c r="M416" s="1335" t="str">
        <f>VLOOKUP(C416,Acc_Char!B:K,5,)</f>
        <v>VND</v>
      </c>
      <c r="N416" s="1335" t="str">
        <f>VLOOKUP(C416,Acc_Char!B:K,6,)</f>
        <v>Current Account</v>
      </c>
      <c r="O416" s="1336" t="str">
        <f>Summary!$B$4</f>
        <v>W1-2Jan26</v>
      </c>
      <c r="P416" s="1334" t="str">
        <f t="shared" si="23"/>
        <v>110002915294</v>
      </c>
    </row>
    <row r="417" spans="1:16">
      <c r="A417" t="s">
        <v>1591</v>
      </c>
      <c r="B417" s="34" t="s">
        <v>110</v>
      </c>
      <c r="C417" s="34" t="s">
        <v>717</v>
      </c>
      <c r="D417" s="1389" t="s">
        <v>2122</v>
      </c>
      <c r="E417" t="s">
        <v>2123</v>
      </c>
      <c r="F417" s="57">
        <v>818254417</v>
      </c>
      <c r="G417" s="57">
        <v>0</v>
      </c>
      <c r="H417" s="1082">
        <f t="shared" si="21"/>
        <v>818254417</v>
      </c>
      <c r="I417" s="1333" t="s">
        <v>39</v>
      </c>
      <c r="J417" s="1334" t="str">
        <f>VLOOKUP(C417,Acc_Char!B:K,3,)</f>
        <v>BW BAU BANG 01</v>
      </c>
      <c r="K417" s="1334" t="str">
        <f>VLOOKUP(C417,Acc_Char!B:K,7,)</f>
        <v>Subsidiaries</v>
      </c>
      <c r="L417" s="1334" t="str">
        <f t="shared" si="22"/>
        <v>Receipt from tenants</v>
      </c>
      <c r="M417" s="1335" t="str">
        <f>VLOOKUP(C417,Acc_Char!B:K,5,)</f>
        <v>VND</v>
      </c>
      <c r="N417" s="1335" t="str">
        <f>VLOOKUP(C417,Acc_Char!B:K,6,)</f>
        <v>Current Account</v>
      </c>
      <c r="O417" s="1336" t="str">
        <f>Summary!$B$4</f>
        <v>W1-2Jan26</v>
      </c>
      <c r="P417" s="1334" t="str">
        <f t="shared" si="23"/>
        <v>110002915294</v>
      </c>
    </row>
    <row r="418" spans="1:16">
      <c r="A418" t="s">
        <v>1591</v>
      </c>
      <c r="B418" s="34" t="s">
        <v>110</v>
      </c>
      <c r="C418" s="34" t="s">
        <v>717</v>
      </c>
      <c r="D418" s="1389" t="s">
        <v>2117</v>
      </c>
      <c r="E418" t="s">
        <v>2124</v>
      </c>
      <c r="F418" s="57">
        <v>470031451</v>
      </c>
      <c r="G418" s="57">
        <v>0</v>
      </c>
      <c r="H418" s="1082">
        <f t="shared" si="21"/>
        <v>470031451</v>
      </c>
      <c r="I418" s="1333" t="s">
        <v>39</v>
      </c>
      <c r="J418" s="1334" t="str">
        <f>VLOOKUP(C418,Acc_Char!B:K,3,)</f>
        <v>BW BAU BANG 01</v>
      </c>
      <c r="K418" s="1334" t="str">
        <f>VLOOKUP(C418,Acc_Char!B:K,7,)</f>
        <v>Subsidiaries</v>
      </c>
      <c r="L418" s="1334" t="str">
        <f t="shared" si="22"/>
        <v>Receipt from tenants</v>
      </c>
      <c r="M418" s="1335" t="str">
        <f>VLOOKUP(C418,Acc_Char!B:K,5,)</f>
        <v>VND</v>
      </c>
      <c r="N418" s="1335" t="str">
        <f>VLOOKUP(C418,Acc_Char!B:K,6,)</f>
        <v>Current Account</v>
      </c>
      <c r="O418" s="1336" t="str">
        <f>Summary!$B$4</f>
        <v>W1-2Jan26</v>
      </c>
      <c r="P418" s="1334" t="str">
        <f t="shared" si="23"/>
        <v>110002915294</v>
      </c>
    </row>
    <row r="419" spans="1:16">
      <c r="A419" t="s">
        <v>1591</v>
      </c>
      <c r="B419" s="34" t="s">
        <v>110</v>
      </c>
      <c r="C419" s="34" t="s">
        <v>851</v>
      </c>
      <c r="D419" s="1389" t="s">
        <v>2125</v>
      </c>
      <c r="E419" t="s">
        <v>2126</v>
      </c>
      <c r="F419" s="57">
        <v>4029893650</v>
      </c>
      <c r="G419" s="57">
        <v>0</v>
      </c>
      <c r="H419" s="1082">
        <f t="shared" si="21"/>
        <v>4029893650</v>
      </c>
      <c r="I419" s="1333" t="s">
        <v>39</v>
      </c>
      <c r="J419" s="1334" t="str">
        <f>VLOOKUP(C419,Acc_Char!B:K,3,)</f>
        <v>BWID Tan Phu Trung</v>
      </c>
      <c r="K419" s="1334" t="str">
        <f>VLOOKUP(C419,Acc_Char!B:K,7,)</f>
        <v>Subsidiaries</v>
      </c>
      <c r="L419" s="1334" t="str">
        <f t="shared" si="22"/>
        <v>Receipt from tenants</v>
      </c>
      <c r="M419" s="1335" t="str">
        <f>VLOOKUP(C419,Acc_Char!B:K,5,)</f>
        <v>VND</v>
      </c>
      <c r="N419" s="1335" t="str">
        <f>VLOOKUP(C419,Acc_Char!B:K,6,)</f>
        <v>Current Account</v>
      </c>
      <c r="O419" s="1336" t="str">
        <f>Summary!$B$4</f>
        <v>W1-2Jan26</v>
      </c>
      <c r="P419" s="1334" t="str">
        <f t="shared" si="23"/>
        <v>117612416666</v>
      </c>
    </row>
    <row r="420" spans="1:16">
      <c r="A420" t="s">
        <v>1591</v>
      </c>
      <c r="B420" s="34" t="s">
        <v>110</v>
      </c>
      <c r="C420" s="34" t="s">
        <v>666</v>
      </c>
      <c r="D420" s="1389" t="s">
        <v>2127</v>
      </c>
      <c r="E420" t="s">
        <v>2128</v>
      </c>
      <c r="F420" s="57">
        <v>550642374</v>
      </c>
      <c r="G420" s="57">
        <v>0</v>
      </c>
      <c r="H420" s="1082">
        <f t="shared" si="21"/>
        <v>550642374</v>
      </c>
      <c r="I420" s="1333" t="s">
        <v>39</v>
      </c>
      <c r="J420" s="1334" t="str">
        <f>VLOOKUP(C420,Acc_Char!B:K,3,)</f>
        <v>BCI JSC</v>
      </c>
      <c r="K420" s="1334" t="str">
        <f>VLOOKUP(C420,Acc_Char!B:K,7,)</f>
        <v>Subsidiaries</v>
      </c>
      <c r="L420" s="1334" t="str">
        <f t="shared" si="22"/>
        <v>Receipt from tenants</v>
      </c>
      <c r="M420" s="1335" t="str">
        <f>VLOOKUP(C420,Acc_Char!B:K,5,)</f>
        <v>VND</v>
      </c>
      <c r="N420" s="1335" t="str">
        <f>VLOOKUP(C420,Acc_Char!B:K,6,)</f>
        <v>Current Account</v>
      </c>
      <c r="O420" s="1336" t="str">
        <f>Summary!$B$4</f>
        <v>W1-2Jan26</v>
      </c>
      <c r="P420" s="1334" t="str">
        <f t="shared" si="23"/>
        <v>114622278888</v>
      </c>
    </row>
    <row r="421" spans="1:16">
      <c r="A421" t="s">
        <v>1591</v>
      </c>
      <c r="B421" s="34" t="s">
        <v>110</v>
      </c>
      <c r="C421" s="34" t="s">
        <v>507</v>
      </c>
      <c r="D421" s="1389" t="s">
        <v>2129</v>
      </c>
      <c r="E421" t="s">
        <v>2130</v>
      </c>
      <c r="F421" s="57">
        <v>11519038</v>
      </c>
      <c r="G421" s="57">
        <v>0</v>
      </c>
      <c r="H421" s="1082">
        <f t="shared" si="21"/>
        <v>11519038</v>
      </c>
      <c r="I421" s="1333" t="s">
        <v>39</v>
      </c>
      <c r="J421" s="1334" t="str">
        <f>VLOOKUP(C421,Acc_Char!B:K,3,)</f>
        <v>BWID HAI DUONG 2</v>
      </c>
      <c r="K421" s="1334" t="str">
        <f>VLOOKUP(C421,Acc_Char!B:K,7,)</f>
        <v>Subsidiaries</v>
      </c>
      <c r="L421" s="1334" t="str">
        <f t="shared" si="22"/>
        <v>Receipt from tenants</v>
      </c>
      <c r="M421" s="1335" t="str">
        <f>VLOOKUP(C421,Acc_Char!B:K,5,)</f>
        <v>VND</v>
      </c>
      <c r="N421" s="1335" t="str">
        <f>VLOOKUP(C421,Acc_Char!B:K,6,)</f>
        <v>Current Account</v>
      </c>
      <c r="O421" s="1336" t="str">
        <f>Summary!$B$4</f>
        <v>W1-2Jan26</v>
      </c>
      <c r="P421" s="1334" t="str">
        <f t="shared" si="23"/>
        <v>118006028888</v>
      </c>
    </row>
    <row r="422" spans="1:16">
      <c r="A422" t="s">
        <v>1591</v>
      </c>
      <c r="B422" s="34" t="s">
        <v>110</v>
      </c>
      <c r="C422" s="34" t="s">
        <v>507</v>
      </c>
      <c r="D422" s="1389" t="s">
        <v>2131</v>
      </c>
      <c r="E422" t="s">
        <v>2132</v>
      </c>
      <c r="F422" s="57">
        <v>3288234342</v>
      </c>
      <c r="G422" s="57">
        <v>0</v>
      </c>
      <c r="H422" s="1082">
        <f t="shared" si="21"/>
        <v>3288234342</v>
      </c>
      <c r="I422" s="1333" t="s">
        <v>39</v>
      </c>
      <c r="J422" s="1334" t="str">
        <f>VLOOKUP(C422,Acc_Char!B:K,3,)</f>
        <v>BWID HAI DUONG 2</v>
      </c>
      <c r="K422" s="1334" t="str">
        <f>VLOOKUP(C422,Acc_Char!B:K,7,)</f>
        <v>Subsidiaries</v>
      </c>
      <c r="L422" s="1334" t="str">
        <f t="shared" si="22"/>
        <v>Receipt from tenants</v>
      </c>
      <c r="M422" s="1335" t="str">
        <f>VLOOKUP(C422,Acc_Char!B:K,5,)</f>
        <v>VND</v>
      </c>
      <c r="N422" s="1335" t="str">
        <f>VLOOKUP(C422,Acc_Char!B:K,6,)</f>
        <v>Current Account</v>
      </c>
      <c r="O422" s="1336" t="str">
        <f>Summary!$B$4</f>
        <v>W1-2Jan26</v>
      </c>
      <c r="P422" s="1334" t="str">
        <f t="shared" si="23"/>
        <v>118006028888</v>
      </c>
    </row>
    <row r="423" spans="1:16">
      <c r="A423" t="s">
        <v>1591</v>
      </c>
      <c r="B423" s="34" t="s">
        <v>110</v>
      </c>
      <c r="C423" s="34" t="s">
        <v>562</v>
      </c>
      <c r="D423" s="1389" t="s">
        <v>2133</v>
      </c>
      <c r="E423" t="s">
        <v>2134</v>
      </c>
      <c r="F423" s="57">
        <v>3449369</v>
      </c>
      <c r="G423" s="57">
        <v>0</v>
      </c>
      <c r="H423" s="1082">
        <f t="shared" si="21"/>
        <v>3449369</v>
      </c>
      <c r="I423" s="1333" t="s">
        <v>39</v>
      </c>
      <c r="J423" s="1334" t="str">
        <f>VLOOKUP(C423,Acc_Char!B:K,3,)</f>
        <v>HANOI MANAGEMENT SERVICES</v>
      </c>
      <c r="K423" s="1334" t="str">
        <f>VLOOKUP(C423,Acc_Char!B:K,7,)</f>
        <v>Subsidiaries</v>
      </c>
      <c r="L423" s="1334" t="str">
        <f t="shared" si="22"/>
        <v>Receipt from tenants</v>
      </c>
      <c r="M423" s="1335" t="str">
        <f>VLOOKUP(C423,Acc_Char!B:K,5,)</f>
        <v>VND</v>
      </c>
      <c r="N423" s="1335" t="str">
        <f>VLOOKUP(C423,Acc_Char!B:K,6,)</f>
        <v>Current Account</v>
      </c>
      <c r="O423" s="1336" t="str">
        <f>Summary!$B$4</f>
        <v>W1-2Jan26</v>
      </c>
      <c r="P423" s="1334" t="str">
        <f t="shared" si="23"/>
        <v>110002855448</v>
      </c>
    </row>
    <row r="424" spans="1:16">
      <c r="A424" t="s">
        <v>1591</v>
      </c>
      <c r="B424" s="34" t="s">
        <v>110</v>
      </c>
      <c r="C424" s="34" t="s">
        <v>851</v>
      </c>
      <c r="D424" s="1389" t="s">
        <v>2135</v>
      </c>
      <c r="E424" t="s">
        <v>2136</v>
      </c>
      <c r="F424" s="57">
        <v>16108428</v>
      </c>
      <c r="G424" s="57">
        <v>0</v>
      </c>
      <c r="H424" s="1082">
        <f t="shared" si="21"/>
        <v>16108428</v>
      </c>
      <c r="I424" s="1333" t="s">
        <v>39</v>
      </c>
      <c r="J424" s="1334" t="str">
        <f>VLOOKUP(C424,Acc_Char!B:K,3,)</f>
        <v>BWID Tan Phu Trung</v>
      </c>
      <c r="K424" s="1334" t="str">
        <f>VLOOKUP(C424,Acc_Char!B:K,7,)</f>
        <v>Subsidiaries</v>
      </c>
      <c r="L424" s="1334" t="str">
        <f t="shared" si="22"/>
        <v>Receipt from tenants</v>
      </c>
      <c r="M424" s="1335" t="str">
        <f>VLOOKUP(C424,Acc_Char!B:K,5,)</f>
        <v>VND</v>
      </c>
      <c r="N424" s="1335" t="str">
        <f>VLOOKUP(C424,Acc_Char!B:K,6,)</f>
        <v>Current Account</v>
      </c>
      <c r="O424" s="1336" t="str">
        <f>Summary!$B$4</f>
        <v>W1-2Jan26</v>
      </c>
      <c r="P424" s="1334" t="str">
        <f t="shared" si="23"/>
        <v>117612416666</v>
      </c>
    </row>
    <row r="425" spans="1:16">
      <c r="A425" t="s">
        <v>1591</v>
      </c>
      <c r="B425" s="34" t="s">
        <v>110</v>
      </c>
      <c r="C425" s="34" t="s">
        <v>851</v>
      </c>
      <c r="D425" s="1389" t="s">
        <v>2137</v>
      </c>
      <c r="E425" t="s">
        <v>2138</v>
      </c>
      <c r="F425" s="57">
        <v>10612976</v>
      </c>
      <c r="G425" s="57">
        <v>0</v>
      </c>
      <c r="H425" s="1082">
        <f t="shared" si="21"/>
        <v>10612976</v>
      </c>
      <c r="I425" s="1333" t="s">
        <v>39</v>
      </c>
      <c r="J425" s="1334" t="str">
        <f>VLOOKUP(C425,Acc_Char!B:K,3,)</f>
        <v>BWID Tan Phu Trung</v>
      </c>
      <c r="K425" s="1334" t="str">
        <f>VLOOKUP(C425,Acc_Char!B:K,7,)</f>
        <v>Subsidiaries</v>
      </c>
      <c r="L425" s="1334" t="str">
        <f t="shared" si="22"/>
        <v>Receipt from tenants</v>
      </c>
      <c r="M425" s="1335" t="str">
        <f>VLOOKUP(C425,Acc_Char!B:K,5,)</f>
        <v>VND</v>
      </c>
      <c r="N425" s="1335" t="str">
        <f>VLOOKUP(C425,Acc_Char!B:K,6,)</f>
        <v>Current Account</v>
      </c>
      <c r="O425" s="1336" t="str">
        <f>Summary!$B$4</f>
        <v>W1-2Jan26</v>
      </c>
      <c r="P425" s="1334" t="str">
        <f t="shared" si="23"/>
        <v>117612416666</v>
      </c>
    </row>
    <row r="426" spans="1:16">
      <c r="A426" t="s">
        <v>1591</v>
      </c>
      <c r="B426" s="34" t="s">
        <v>110</v>
      </c>
      <c r="C426" s="34" t="s">
        <v>589</v>
      </c>
      <c r="D426" s="1389" t="s">
        <v>2139</v>
      </c>
      <c r="E426" t="s">
        <v>2140</v>
      </c>
      <c r="F426" s="57">
        <v>38000000000</v>
      </c>
      <c r="G426" s="57">
        <v>0</v>
      </c>
      <c r="H426" s="1082">
        <f t="shared" si="21"/>
        <v>38000000000</v>
      </c>
      <c r="I426" s="1333" t="s">
        <v>41</v>
      </c>
      <c r="J426" s="1334" t="str">
        <f>VLOOKUP(C426,Acc_Char!B:K,3,)</f>
        <v>SAO HOA</v>
      </c>
      <c r="K426" s="1334" t="str">
        <f>VLOOKUP(C426,Acc_Char!B:K,7,)</f>
        <v>VC3</v>
      </c>
      <c r="L426" s="1334" t="str">
        <f t="shared" si="22"/>
        <v>Internal transfer in</v>
      </c>
      <c r="M426" s="1335" t="str">
        <f>VLOOKUP(C426,Acc_Char!B:K,5,)</f>
        <v>VND</v>
      </c>
      <c r="N426" s="1335" t="str">
        <f>VLOOKUP(C426,Acc_Char!B:K,6,)</f>
        <v>Current Account</v>
      </c>
      <c r="O426" s="1336" t="str">
        <f>Summary!$B$4</f>
        <v>W1-2Jan26</v>
      </c>
      <c r="P426" s="1334" t="str">
        <f t="shared" si="23"/>
        <v>116002904666</v>
      </c>
    </row>
    <row r="427" spans="1:16">
      <c r="A427" t="s">
        <v>1591</v>
      </c>
      <c r="B427" s="34" t="s">
        <v>110</v>
      </c>
      <c r="C427" s="34" t="s">
        <v>589</v>
      </c>
      <c r="D427" s="1389" t="s">
        <v>2139</v>
      </c>
      <c r="E427" t="s">
        <v>2140</v>
      </c>
      <c r="F427" s="57">
        <v>152301370</v>
      </c>
      <c r="G427" s="57">
        <v>0</v>
      </c>
      <c r="H427" s="1082">
        <f t="shared" ref="H427" si="24">F427-G427</f>
        <v>152301370</v>
      </c>
      <c r="I427" s="1333" t="s">
        <v>44</v>
      </c>
      <c r="J427" s="1334" t="str">
        <f>VLOOKUP(C427,Acc_Char!B:K,3,)</f>
        <v>SAO HOA</v>
      </c>
      <c r="K427" s="1334" t="str">
        <f>VLOOKUP(C427,Acc_Char!B:K,7,)</f>
        <v>VC3</v>
      </c>
      <c r="L427" s="1334" t="str">
        <f t="shared" si="22"/>
        <v>Other receipts</v>
      </c>
      <c r="M427" s="1335" t="str">
        <f>VLOOKUP(C427,Acc_Char!B:K,5,)</f>
        <v>VND</v>
      </c>
      <c r="N427" s="1335" t="str">
        <f>VLOOKUP(C427,Acc_Char!B:K,6,)</f>
        <v>Current Account</v>
      </c>
      <c r="O427" s="1336" t="str">
        <f>Summary!$B$4</f>
        <v>W1-2Jan26</v>
      </c>
      <c r="P427" s="1334" t="str">
        <f t="shared" si="23"/>
        <v>116002904666</v>
      </c>
    </row>
    <row r="428" spans="1:16">
      <c r="A428" t="s">
        <v>1591</v>
      </c>
      <c r="B428" s="34" t="s">
        <v>110</v>
      </c>
      <c r="C428" s="34" t="s">
        <v>851</v>
      </c>
      <c r="D428" s="1389" t="s">
        <v>2141</v>
      </c>
      <c r="E428" t="s">
        <v>2142</v>
      </c>
      <c r="F428" s="57">
        <v>717289068</v>
      </c>
      <c r="G428" s="57">
        <v>0</v>
      </c>
      <c r="H428" s="1082">
        <f t="shared" si="21"/>
        <v>717289068</v>
      </c>
      <c r="I428" s="1333" t="s">
        <v>39</v>
      </c>
      <c r="J428" s="1334" t="str">
        <f>VLOOKUP(C428,Acc_Char!B:K,3,)</f>
        <v>BWID Tan Phu Trung</v>
      </c>
      <c r="K428" s="1334" t="str">
        <f>VLOOKUP(C428,Acc_Char!B:K,7,)</f>
        <v>Subsidiaries</v>
      </c>
      <c r="L428" s="1334" t="str">
        <f t="shared" si="22"/>
        <v>Receipt from tenants</v>
      </c>
      <c r="M428" s="1335" t="str">
        <f>VLOOKUP(C428,Acc_Char!B:K,5,)</f>
        <v>VND</v>
      </c>
      <c r="N428" s="1335" t="str">
        <f>VLOOKUP(C428,Acc_Char!B:K,6,)</f>
        <v>Current Account</v>
      </c>
      <c r="O428" s="1336" t="str">
        <f>Summary!$B$4</f>
        <v>W1-2Jan26</v>
      </c>
      <c r="P428" s="1334" t="str">
        <f t="shared" si="23"/>
        <v>117612416666</v>
      </c>
    </row>
    <row r="429" spans="1:16">
      <c r="A429" t="s">
        <v>1591</v>
      </c>
      <c r="B429" s="34" t="s">
        <v>110</v>
      </c>
      <c r="C429" s="34" t="s">
        <v>589</v>
      </c>
      <c r="D429" s="1389" t="s">
        <v>2143</v>
      </c>
      <c r="E429" t="s">
        <v>2144</v>
      </c>
      <c r="F429" s="57">
        <v>249123288</v>
      </c>
      <c r="G429" s="57">
        <v>0</v>
      </c>
      <c r="H429" s="1082">
        <f t="shared" si="21"/>
        <v>249123288</v>
      </c>
      <c r="I429" s="1333" t="s">
        <v>44</v>
      </c>
      <c r="J429" s="1334" t="str">
        <f>VLOOKUP(C429,Acc_Char!B:K,3,)</f>
        <v>SAO HOA</v>
      </c>
      <c r="K429" s="1334" t="str">
        <f>VLOOKUP(C429,Acc_Char!B:K,7,)</f>
        <v>VC3</v>
      </c>
      <c r="L429" s="1334" t="str">
        <f t="shared" si="22"/>
        <v>Other receipts</v>
      </c>
      <c r="M429" s="1335" t="str">
        <f>VLOOKUP(C429,Acc_Char!B:K,5,)</f>
        <v>VND</v>
      </c>
      <c r="N429" s="1335" t="str">
        <f>VLOOKUP(C429,Acc_Char!B:K,6,)</f>
        <v>Current Account</v>
      </c>
      <c r="O429" s="1336" t="str">
        <f>Summary!$B$4</f>
        <v>W1-2Jan26</v>
      </c>
      <c r="P429" s="1334" t="str">
        <f t="shared" si="23"/>
        <v>116002904666</v>
      </c>
    </row>
    <row r="430" spans="1:16">
      <c r="A430" t="s">
        <v>1591</v>
      </c>
      <c r="B430" s="34" t="s">
        <v>110</v>
      </c>
      <c r="C430" s="34" t="s">
        <v>589</v>
      </c>
      <c r="D430" s="1389" t="s">
        <v>2143</v>
      </c>
      <c r="E430" t="s">
        <v>2144</v>
      </c>
      <c r="F430" s="57">
        <v>62000000000</v>
      </c>
      <c r="G430" s="57">
        <v>0</v>
      </c>
      <c r="H430" s="1082">
        <f t="shared" ref="H430" si="25">F430-G430</f>
        <v>62000000000</v>
      </c>
      <c r="I430" s="1333" t="s">
        <v>41</v>
      </c>
      <c r="J430" s="1334" t="str">
        <f>VLOOKUP(C430,Acc_Char!B:K,3,)</f>
        <v>SAO HOA</v>
      </c>
      <c r="K430" s="1334" t="str">
        <f>VLOOKUP(C430,Acc_Char!B:K,7,)</f>
        <v>VC3</v>
      </c>
      <c r="L430" s="1334" t="str">
        <f t="shared" si="22"/>
        <v>Internal transfer in</v>
      </c>
      <c r="M430" s="1335" t="str">
        <f>VLOOKUP(C430,Acc_Char!B:K,5,)</f>
        <v>VND</v>
      </c>
      <c r="N430" s="1335" t="str">
        <f>VLOOKUP(C430,Acc_Char!B:K,6,)</f>
        <v>Current Account</v>
      </c>
      <c r="O430" s="1336" t="str">
        <f>Summary!$B$4</f>
        <v>W1-2Jan26</v>
      </c>
      <c r="P430" s="1334" t="str">
        <f t="shared" si="23"/>
        <v>116002904666</v>
      </c>
    </row>
    <row r="431" spans="1:16">
      <c r="A431" t="s">
        <v>1591</v>
      </c>
      <c r="B431" s="34" t="s">
        <v>110</v>
      </c>
      <c r="C431" s="34" t="s">
        <v>610</v>
      </c>
      <c r="D431" s="1389" t="s">
        <v>2145</v>
      </c>
      <c r="E431" t="s">
        <v>2146</v>
      </c>
      <c r="F431" s="57">
        <v>6320809688</v>
      </c>
      <c r="G431" s="57">
        <v>0</v>
      </c>
      <c r="H431" s="1082">
        <f t="shared" si="21"/>
        <v>6320809688</v>
      </c>
      <c r="I431" s="1333" t="s">
        <v>39</v>
      </c>
      <c r="J431" s="1334" t="str">
        <f>VLOOKUP(C431,Acc_Char!B:K,3,)</f>
        <v>BWID Tan Phu Trung</v>
      </c>
      <c r="K431" s="1334" t="str">
        <f>VLOOKUP(C431,Acc_Char!B:K,7,)</f>
        <v>Subsidiaries</v>
      </c>
      <c r="L431" s="1334" t="str">
        <f t="shared" si="22"/>
        <v>Receipt from tenants</v>
      </c>
      <c r="M431" s="1335" t="str">
        <f>VLOOKUP(C431,Acc_Char!B:K,5,)</f>
        <v>VND</v>
      </c>
      <c r="N431" s="1335" t="str">
        <f>VLOOKUP(C431,Acc_Char!B:K,6,)</f>
        <v>Current Account</v>
      </c>
      <c r="O431" s="1336" t="str">
        <f>Summary!$B$4</f>
        <v>W1-2Jan26</v>
      </c>
      <c r="P431" s="1334" t="str">
        <f t="shared" si="23"/>
        <v>110610727979</v>
      </c>
    </row>
    <row r="432" spans="1:16">
      <c r="A432" t="s">
        <v>1567</v>
      </c>
      <c r="B432" s="34" t="s">
        <v>110</v>
      </c>
      <c r="C432" s="34" t="s">
        <v>1047</v>
      </c>
      <c r="D432" s="1389">
        <v>46266</v>
      </c>
      <c r="E432" t="s">
        <v>2147</v>
      </c>
      <c r="F432" s="57">
        <v>158827769</v>
      </c>
      <c r="G432" s="57">
        <v>0</v>
      </c>
      <c r="H432" s="1082">
        <f t="shared" si="21"/>
        <v>158827769</v>
      </c>
      <c r="I432" s="1333" t="s">
        <v>39</v>
      </c>
      <c r="J432" s="1334" t="str">
        <f>VLOOKUP(C432,Acc_Char!B:K,3,)</f>
        <v>LE MINH XUAN 3</v>
      </c>
      <c r="K432" s="1334" t="str">
        <f>VLOOKUP(C432,Acc_Char!B:K,7,)</f>
        <v>Subsidiaries</v>
      </c>
      <c r="L432" s="1334" t="str">
        <f t="shared" si="22"/>
        <v>Receipt from tenants</v>
      </c>
      <c r="M432" s="1335" t="str">
        <f>VLOOKUP(C432,Acc_Char!B:K,5,)</f>
        <v>VND</v>
      </c>
      <c r="N432" s="1335" t="str">
        <f>VLOOKUP(C432,Acc_Char!B:K,6,)</f>
        <v>Current Account</v>
      </c>
      <c r="O432" s="1336" t="str">
        <f>Summary!$B$4</f>
        <v>W1-2Jan26</v>
      </c>
      <c r="P432" s="1334" t="str">
        <f t="shared" si="23"/>
        <v>118002972254</v>
      </c>
    </row>
    <row r="433" spans="1:16">
      <c r="A433" t="s">
        <v>1591</v>
      </c>
      <c r="B433" s="34" t="s">
        <v>110</v>
      </c>
      <c r="C433" s="34" t="s">
        <v>1407</v>
      </c>
      <c r="D433" s="1389" t="s">
        <v>2148</v>
      </c>
      <c r="E433" t="s">
        <v>2149</v>
      </c>
      <c r="F433" s="57">
        <v>2909216769</v>
      </c>
      <c r="G433" s="57">
        <v>0</v>
      </c>
      <c r="H433" s="1082">
        <f t="shared" si="21"/>
        <v>2909216769</v>
      </c>
      <c r="I433" s="1333" t="s">
        <v>39</v>
      </c>
      <c r="J433" s="1334" t="str">
        <f>VLOOKUP(C433,Acc_Char!B:K,3,)</f>
        <v>BW NAM DINH VU</v>
      </c>
      <c r="K433" s="1334" t="str">
        <f>VLOOKUP(C433,Acc_Char!B:K,7,)</f>
        <v>Subsidiaries</v>
      </c>
      <c r="L433" s="1334" t="str">
        <f t="shared" si="22"/>
        <v>Receipt from tenants</v>
      </c>
      <c r="M433" s="1335" t="str">
        <f>VLOOKUP(C433,Acc_Char!B:K,5,)</f>
        <v>VND</v>
      </c>
      <c r="N433" s="1335" t="str">
        <f>VLOOKUP(C433,Acc_Char!B:K,6,)</f>
        <v>Current Account</v>
      </c>
      <c r="O433" s="1336" t="str">
        <f>Summary!$B$4</f>
        <v>W1-2Jan26</v>
      </c>
      <c r="P433" s="1334" t="str">
        <f t="shared" si="23"/>
        <v>116632406789</v>
      </c>
    </row>
    <row r="434" spans="1:16">
      <c r="A434" t="s">
        <v>1591</v>
      </c>
      <c r="B434" s="34" t="s">
        <v>110</v>
      </c>
      <c r="C434" s="34" t="s">
        <v>1048</v>
      </c>
      <c r="D434" s="1389" t="s">
        <v>2150</v>
      </c>
      <c r="E434" t="s">
        <v>2151</v>
      </c>
      <c r="F434" s="57">
        <v>2612080900</v>
      </c>
      <c r="G434" s="57">
        <v>0</v>
      </c>
      <c r="H434" s="1082">
        <f t="shared" si="21"/>
        <v>2612080900</v>
      </c>
      <c r="I434" s="1333" t="s">
        <v>39</v>
      </c>
      <c r="J434" s="1334" t="str">
        <f>VLOOKUP(C434,Acc_Char!B:K,3,)</f>
        <v>TAN DONG HIEP B ELECTRON</v>
      </c>
      <c r="K434" s="1334" t="str">
        <f>VLOOKUP(C434,Acc_Char!B:K,7,)</f>
        <v>Subsidiaries</v>
      </c>
      <c r="L434" s="1334" t="str">
        <f t="shared" si="22"/>
        <v>Receipt from tenants</v>
      </c>
      <c r="M434" s="1335" t="str">
        <f>VLOOKUP(C434,Acc_Char!B:K,5,)</f>
        <v>VND</v>
      </c>
      <c r="N434" s="1335" t="str">
        <f>VLOOKUP(C434,Acc_Char!B:K,6,)</f>
        <v>Current Account</v>
      </c>
      <c r="O434" s="1336" t="str">
        <f>Summary!$B$4</f>
        <v>W1-2Jan26</v>
      </c>
      <c r="P434" s="1334" t="str">
        <f t="shared" si="23"/>
        <v>110002974996</v>
      </c>
    </row>
    <row r="435" spans="1:16">
      <c r="A435" t="s">
        <v>1591</v>
      </c>
      <c r="B435" s="34" t="s">
        <v>110</v>
      </c>
      <c r="C435" s="34" t="s">
        <v>500</v>
      </c>
      <c r="D435" s="1389" t="s">
        <v>2152</v>
      </c>
      <c r="E435" t="s">
        <v>2153</v>
      </c>
      <c r="F435" s="57">
        <v>2523465</v>
      </c>
      <c r="G435" s="57">
        <v>0</v>
      </c>
      <c r="H435" s="1082">
        <f t="shared" si="21"/>
        <v>2523465</v>
      </c>
      <c r="I435" s="1333" t="s">
        <v>39</v>
      </c>
      <c r="J435" s="1334" t="str">
        <f>VLOOKUP(C435,Acc_Char!B:K,3,)</f>
        <v>BWID HAI DUONG</v>
      </c>
      <c r="K435" s="1334" t="str">
        <f>VLOOKUP(C435,Acc_Char!B:K,7,)</f>
        <v>Subsidiaries</v>
      </c>
      <c r="L435" s="1334" t="str">
        <f t="shared" si="22"/>
        <v>Receipt from tenants</v>
      </c>
      <c r="M435" s="1335" t="str">
        <f>VLOOKUP(C435,Acc_Char!B:K,5,)</f>
        <v>VND</v>
      </c>
      <c r="N435" s="1335" t="str">
        <f>VLOOKUP(C435,Acc_Char!B:K,6,)</f>
        <v>Current Account</v>
      </c>
      <c r="O435" s="1336" t="str">
        <f>Summary!$B$4</f>
        <v>W1-2Jan26</v>
      </c>
      <c r="P435" s="1334" t="str">
        <f t="shared" si="23"/>
        <v>111007158888</v>
      </c>
    </row>
    <row r="436" spans="1:16">
      <c r="A436" t="s">
        <v>1591</v>
      </c>
      <c r="B436" s="34" t="s">
        <v>110</v>
      </c>
      <c r="C436" s="34" t="s">
        <v>500</v>
      </c>
      <c r="D436" s="1389" t="s">
        <v>2154</v>
      </c>
      <c r="E436" t="s">
        <v>2155</v>
      </c>
      <c r="F436" s="57">
        <v>323888751</v>
      </c>
      <c r="G436" s="57">
        <v>0</v>
      </c>
      <c r="H436" s="1082">
        <f t="shared" si="21"/>
        <v>323888751</v>
      </c>
      <c r="I436" s="1333" t="s">
        <v>39</v>
      </c>
      <c r="J436" s="1334" t="str">
        <f>VLOOKUP(C436,Acc_Char!B:K,3,)</f>
        <v>BWID HAI DUONG</v>
      </c>
      <c r="K436" s="1334" t="str">
        <f>VLOOKUP(C436,Acc_Char!B:K,7,)</f>
        <v>Subsidiaries</v>
      </c>
      <c r="L436" s="1334" t="str">
        <f t="shared" si="22"/>
        <v>Receipt from tenants</v>
      </c>
      <c r="M436" s="1335" t="str">
        <f>VLOOKUP(C436,Acc_Char!B:K,5,)</f>
        <v>VND</v>
      </c>
      <c r="N436" s="1335" t="str">
        <f>VLOOKUP(C436,Acc_Char!B:K,6,)</f>
        <v>Current Account</v>
      </c>
      <c r="O436" s="1336" t="str">
        <f>Summary!$B$4</f>
        <v>W1-2Jan26</v>
      </c>
      <c r="P436" s="1334" t="str">
        <f t="shared" si="23"/>
        <v>111007158888</v>
      </c>
    </row>
    <row r="437" spans="1:16">
      <c r="A437" t="s">
        <v>1591</v>
      </c>
      <c r="B437" s="34" t="s">
        <v>110</v>
      </c>
      <c r="C437" s="34" t="s">
        <v>555</v>
      </c>
      <c r="D437" s="1389" t="s">
        <v>2156</v>
      </c>
      <c r="E437" t="s">
        <v>2157</v>
      </c>
      <c r="F437" s="57">
        <v>4722701694</v>
      </c>
      <c r="G437" s="57">
        <v>0</v>
      </c>
      <c r="H437" s="1082">
        <f t="shared" si="21"/>
        <v>4722701694</v>
      </c>
      <c r="I437" s="1333" t="s">
        <v>39</v>
      </c>
      <c r="J437" s="1334" t="str">
        <f>VLOOKUP(C437,Acc_Char!B:K,3,)</f>
        <v>BWID DONG AN LID</v>
      </c>
      <c r="K437" s="1334" t="str">
        <f>VLOOKUP(C437,Acc_Char!B:K,7,)</f>
        <v>Subsidiaries</v>
      </c>
      <c r="L437" s="1334" t="str">
        <f t="shared" si="22"/>
        <v>Receipt from tenants</v>
      </c>
      <c r="M437" s="1335" t="str">
        <f>VLOOKUP(C437,Acc_Char!B:K,5,)</f>
        <v>VND</v>
      </c>
      <c r="N437" s="1335" t="str">
        <f>VLOOKUP(C437,Acc_Char!B:K,6,)</f>
        <v>Current Account</v>
      </c>
      <c r="O437" s="1336" t="str">
        <f>Summary!$B$4</f>
        <v>W1-2Jan26</v>
      </c>
      <c r="P437" s="1334" t="str">
        <f t="shared" si="23"/>
        <v>114002807847</v>
      </c>
    </row>
    <row r="438" spans="1:16">
      <c r="A438" t="s">
        <v>1591</v>
      </c>
      <c r="B438" s="34" t="s">
        <v>110</v>
      </c>
      <c r="C438" s="34" t="s">
        <v>507</v>
      </c>
      <c r="D438" s="1389" t="s">
        <v>2158</v>
      </c>
      <c r="E438" t="s">
        <v>2159</v>
      </c>
      <c r="F438" s="57">
        <v>843257445</v>
      </c>
      <c r="G438" s="57">
        <v>0</v>
      </c>
      <c r="H438" s="1082">
        <f t="shared" si="21"/>
        <v>843257445</v>
      </c>
      <c r="I438" s="1333" t="s">
        <v>39</v>
      </c>
      <c r="J438" s="1334" t="str">
        <f>VLOOKUP(C438,Acc_Char!B:K,3,)</f>
        <v>BWID HAI DUONG 2</v>
      </c>
      <c r="K438" s="1334" t="str">
        <f>VLOOKUP(C438,Acc_Char!B:K,7,)</f>
        <v>Subsidiaries</v>
      </c>
      <c r="L438" s="1334" t="str">
        <f t="shared" si="22"/>
        <v>Receipt from tenants</v>
      </c>
      <c r="M438" s="1335" t="str">
        <f>VLOOKUP(C438,Acc_Char!B:K,5,)</f>
        <v>VND</v>
      </c>
      <c r="N438" s="1335" t="str">
        <f>VLOOKUP(C438,Acc_Char!B:K,6,)</f>
        <v>Current Account</v>
      </c>
      <c r="O438" s="1336" t="str">
        <f>Summary!$B$4</f>
        <v>W1-2Jan26</v>
      </c>
      <c r="P438" s="1334" t="str">
        <f t="shared" si="23"/>
        <v>118006028888</v>
      </c>
    </row>
    <row r="439" spans="1:16" s="1334" customFormat="1">
      <c r="A439" s="1342" t="s">
        <v>1591</v>
      </c>
      <c r="B439" s="1343" t="s">
        <v>110</v>
      </c>
      <c r="C439" s="1343" t="s">
        <v>511</v>
      </c>
      <c r="D439" s="1390" t="s">
        <v>2160</v>
      </c>
      <c r="E439" s="1342" t="s">
        <v>2161</v>
      </c>
      <c r="F439" s="1344">
        <v>388631656</v>
      </c>
      <c r="G439" s="1344">
        <v>0</v>
      </c>
      <c r="H439" s="1082">
        <f t="shared" si="21"/>
        <v>388631656</v>
      </c>
      <c r="I439" s="1333" t="s">
        <v>39</v>
      </c>
      <c r="J439" s="1334" t="str">
        <f>VLOOKUP(C439,Acc_Char!B:K,3,)</f>
        <v>BWID HAI PHONG</v>
      </c>
      <c r="K439" s="1334" t="str">
        <f>VLOOKUP(C439,Acc_Char!B:K,7,)</f>
        <v>Subsidiaries</v>
      </c>
      <c r="L439" s="1334" t="str">
        <f t="shared" si="22"/>
        <v>Receipt from tenants</v>
      </c>
      <c r="M439" s="1335" t="str">
        <f>VLOOKUP(C439,Acc_Char!B:K,5,)</f>
        <v>VND</v>
      </c>
      <c r="N439" s="1335" t="str">
        <f>VLOOKUP(C439,Acc_Char!B:K,6,)</f>
        <v>Current Account</v>
      </c>
      <c r="O439" s="1336" t="str">
        <f>Summary!$B$4</f>
        <v>W1-2Jan26</v>
      </c>
      <c r="P439" s="1334" t="str">
        <f t="shared" si="23"/>
        <v>116002681740</v>
      </c>
    </row>
    <row r="440" spans="1:16">
      <c r="A440" t="s">
        <v>1591</v>
      </c>
      <c r="B440" s="34" t="s">
        <v>110</v>
      </c>
      <c r="C440" s="34" t="s">
        <v>507</v>
      </c>
      <c r="D440" s="1389" t="s">
        <v>2162</v>
      </c>
      <c r="E440" t="s">
        <v>2163</v>
      </c>
      <c r="F440" s="57">
        <v>2236147</v>
      </c>
      <c r="G440" s="57">
        <v>0</v>
      </c>
      <c r="H440" s="1082">
        <f t="shared" si="21"/>
        <v>2236147</v>
      </c>
      <c r="I440" s="1333" t="s">
        <v>39</v>
      </c>
      <c r="J440" s="1334" t="str">
        <f>VLOOKUP(C440,Acc_Char!B:K,3,)</f>
        <v>BWID HAI DUONG 2</v>
      </c>
      <c r="K440" s="1334" t="str">
        <f>VLOOKUP(C440,Acc_Char!B:K,7,)</f>
        <v>Subsidiaries</v>
      </c>
      <c r="L440" s="1334" t="str">
        <f t="shared" si="22"/>
        <v>Receipt from tenants</v>
      </c>
      <c r="M440" s="1335" t="str">
        <f>VLOOKUP(C440,Acc_Char!B:K,5,)</f>
        <v>VND</v>
      </c>
      <c r="N440" s="1335" t="str">
        <f>VLOOKUP(C440,Acc_Char!B:K,6,)</f>
        <v>Current Account</v>
      </c>
      <c r="O440" s="1336" t="str">
        <f>Summary!$B$4</f>
        <v>W1-2Jan26</v>
      </c>
      <c r="P440" s="1334" t="str">
        <f t="shared" si="23"/>
        <v>118006028888</v>
      </c>
    </row>
    <row r="441" spans="1:16">
      <c r="A441" t="s">
        <v>1591</v>
      </c>
      <c r="B441" s="34" t="s">
        <v>110</v>
      </c>
      <c r="C441" s="34" t="s">
        <v>717</v>
      </c>
      <c r="D441" s="1389" t="s">
        <v>2164</v>
      </c>
      <c r="E441" t="s">
        <v>2165</v>
      </c>
      <c r="F441" s="57">
        <v>1247290092</v>
      </c>
      <c r="G441" s="57">
        <v>0</v>
      </c>
      <c r="H441" s="1082">
        <f t="shared" si="21"/>
        <v>1247290092</v>
      </c>
      <c r="I441" s="1333" t="s">
        <v>39</v>
      </c>
      <c r="J441" s="1334" t="str">
        <f>VLOOKUP(C441,Acc_Char!B:K,3,)</f>
        <v>BW BAU BANG 01</v>
      </c>
      <c r="K441" s="1334" t="str">
        <f>VLOOKUP(C441,Acc_Char!B:K,7,)</f>
        <v>Subsidiaries</v>
      </c>
      <c r="L441" s="1334" t="str">
        <f t="shared" si="22"/>
        <v>Receipt from tenants</v>
      </c>
      <c r="M441" s="1335" t="str">
        <f>VLOOKUP(C441,Acc_Char!B:K,5,)</f>
        <v>VND</v>
      </c>
      <c r="N441" s="1335" t="str">
        <f>VLOOKUP(C441,Acc_Char!B:K,6,)</f>
        <v>Current Account</v>
      </c>
      <c r="O441" s="1336" t="str">
        <f>Summary!$B$4</f>
        <v>W1-2Jan26</v>
      </c>
      <c r="P441" s="1334" t="str">
        <f t="shared" si="23"/>
        <v>110002915294</v>
      </c>
    </row>
    <row r="442" spans="1:16" s="1334" customFormat="1">
      <c r="A442" s="1342" t="s">
        <v>1591</v>
      </c>
      <c r="B442" s="1343" t="s">
        <v>110</v>
      </c>
      <c r="C442" s="1343" t="s">
        <v>500</v>
      </c>
      <c r="D442" s="1390" t="s">
        <v>2166</v>
      </c>
      <c r="E442" s="1342" t="s">
        <v>2167</v>
      </c>
      <c r="F442" s="1344">
        <v>616304700</v>
      </c>
      <c r="G442" s="1344">
        <v>0</v>
      </c>
      <c r="H442" s="1082">
        <f t="shared" si="21"/>
        <v>616304700</v>
      </c>
      <c r="I442" s="1333" t="s">
        <v>39</v>
      </c>
      <c r="J442" s="1334" t="str">
        <f>VLOOKUP(C442,Acc_Char!B:K,3,)</f>
        <v>BWID HAI DUONG</v>
      </c>
      <c r="K442" s="1334" t="str">
        <f>VLOOKUP(C442,Acc_Char!B:K,7,)</f>
        <v>Subsidiaries</v>
      </c>
      <c r="L442" s="1334" t="str">
        <f t="shared" si="22"/>
        <v>Receipt from tenants</v>
      </c>
      <c r="M442" s="1335" t="str">
        <f>VLOOKUP(C442,Acc_Char!B:K,5,)</f>
        <v>VND</v>
      </c>
      <c r="N442" s="1335" t="str">
        <f>VLOOKUP(C442,Acc_Char!B:K,6,)</f>
        <v>Current Account</v>
      </c>
      <c r="O442" s="1336" t="str">
        <f>Summary!$B$4</f>
        <v>W1-2Jan26</v>
      </c>
      <c r="P442" s="1334" t="str">
        <f t="shared" si="23"/>
        <v>111007158888</v>
      </c>
    </row>
    <row r="443" spans="1:16">
      <c r="A443" t="s">
        <v>1591</v>
      </c>
      <c r="B443" s="34" t="s">
        <v>110</v>
      </c>
      <c r="C443" s="34" t="s">
        <v>669</v>
      </c>
      <c r="D443" s="1389" t="s">
        <v>2168</v>
      </c>
      <c r="E443" t="s">
        <v>2169</v>
      </c>
      <c r="F443" s="57">
        <v>622585</v>
      </c>
      <c r="G443" s="57">
        <v>0</v>
      </c>
      <c r="H443" s="1082">
        <f t="shared" si="21"/>
        <v>622585</v>
      </c>
      <c r="I443" s="1333" t="s">
        <v>39</v>
      </c>
      <c r="J443" s="1334" t="str">
        <f>VLOOKUP(C443,Acc_Char!B:K,3,)</f>
        <v>VINA PARTNERS INVESTMENT</v>
      </c>
      <c r="K443" s="1334" t="str">
        <f>VLOOKUP(C443,Acc_Char!B:K,7,)</f>
        <v>Subsidiaries</v>
      </c>
      <c r="L443" s="1334" t="str">
        <f t="shared" si="22"/>
        <v>Receipt from tenants</v>
      </c>
      <c r="M443" s="1335" t="str">
        <f>VLOOKUP(C443,Acc_Char!B:K,5,)</f>
        <v>VND</v>
      </c>
      <c r="N443" s="1335" t="str">
        <f>VLOOKUP(C443,Acc_Char!B:K,6,)</f>
        <v>Current Account</v>
      </c>
      <c r="O443" s="1336" t="str">
        <f>Summary!$B$4</f>
        <v>W1-2Jan26</v>
      </c>
      <c r="P443" s="1334" t="str">
        <f t="shared" si="23"/>
        <v>111002902772</v>
      </c>
    </row>
    <row r="444" spans="1:16">
      <c r="A444" t="s">
        <v>1591</v>
      </c>
      <c r="B444" s="34" t="s">
        <v>110</v>
      </c>
      <c r="C444" s="34" t="s">
        <v>500</v>
      </c>
      <c r="D444" s="1389" t="s">
        <v>2170</v>
      </c>
      <c r="E444" t="s">
        <v>2171</v>
      </c>
      <c r="F444" s="57">
        <v>8683950</v>
      </c>
      <c r="G444" s="57">
        <v>0</v>
      </c>
      <c r="H444" s="1082">
        <f t="shared" si="21"/>
        <v>8683950</v>
      </c>
      <c r="I444" s="1333" t="s">
        <v>39</v>
      </c>
      <c r="J444" s="1334" t="str">
        <f>VLOOKUP(C444,Acc_Char!B:K,3,)</f>
        <v>BWID HAI DUONG</v>
      </c>
      <c r="K444" s="1334" t="str">
        <f>VLOOKUP(C444,Acc_Char!B:K,7,)</f>
        <v>Subsidiaries</v>
      </c>
      <c r="L444" s="1334" t="str">
        <f t="shared" si="22"/>
        <v>Receipt from tenants</v>
      </c>
      <c r="M444" s="1335" t="str">
        <f>VLOOKUP(C444,Acc_Char!B:K,5,)</f>
        <v>VND</v>
      </c>
      <c r="N444" s="1335" t="str">
        <f>VLOOKUP(C444,Acc_Char!B:K,6,)</f>
        <v>Current Account</v>
      </c>
      <c r="O444" s="1336" t="str">
        <f>Summary!$B$4</f>
        <v>W1-2Jan26</v>
      </c>
      <c r="P444" s="1334" t="str">
        <f t="shared" si="23"/>
        <v>111007158888</v>
      </c>
    </row>
    <row r="445" spans="1:16">
      <c r="A445" t="s">
        <v>1591</v>
      </c>
      <c r="B445" s="34" t="s">
        <v>110</v>
      </c>
      <c r="C445" s="34" t="s">
        <v>507</v>
      </c>
      <c r="D445" s="1389" t="s">
        <v>2172</v>
      </c>
      <c r="E445" t="s">
        <v>2173</v>
      </c>
      <c r="F445" s="57">
        <v>2194604280</v>
      </c>
      <c r="G445" s="57">
        <v>0</v>
      </c>
      <c r="H445" s="1082">
        <f t="shared" si="21"/>
        <v>2194604280</v>
      </c>
      <c r="I445" s="1333" t="s">
        <v>39</v>
      </c>
      <c r="J445" s="1334" t="str">
        <f>VLOOKUP(C445,Acc_Char!B:K,3,)</f>
        <v>BWID HAI DUONG 2</v>
      </c>
      <c r="K445" s="1334" t="str">
        <f>VLOOKUP(C445,Acc_Char!B:K,7,)</f>
        <v>Subsidiaries</v>
      </c>
      <c r="L445" s="1334" t="str">
        <f t="shared" si="22"/>
        <v>Receipt from tenants</v>
      </c>
      <c r="M445" s="1335" t="str">
        <f>VLOOKUP(C445,Acc_Char!B:K,5,)</f>
        <v>VND</v>
      </c>
      <c r="N445" s="1335" t="str">
        <f>VLOOKUP(C445,Acc_Char!B:K,6,)</f>
        <v>Current Account</v>
      </c>
      <c r="O445" s="1336" t="str">
        <f>Summary!$B$4</f>
        <v>W1-2Jan26</v>
      </c>
      <c r="P445" s="1334" t="str">
        <f t="shared" si="23"/>
        <v>118006028888</v>
      </c>
    </row>
    <row r="446" spans="1:16">
      <c r="A446" t="s">
        <v>1591</v>
      </c>
      <c r="B446" s="34" t="s">
        <v>110</v>
      </c>
      <c r="C446" s="34" t="s">
        <v>507</v>
      </c>
      <c r="D446" s="1389" t="s">
        <v>2174</v>
      </c>
      <c r="E446" t="s">
        <v>2175</v>
      </c>
      <c r="F446" s="57">
        <v>872738796</v>
      </c>
      <c r="G446" s="57">
        <v>0</v>
      </c>
      <c r="H446" s="1082">
        <f t="shared" ref="H446:H509" si="26">F446-G446</f>
        <v>872738796</v>
      </c>
      <c r="I446" s="1333" t="s">
        <v>39</v>
      </c>
      <c r="J446" s="1334" t="str">
        <f>VLOOKUP(C446,Acc_Char!B:K,3,)</f>
        <v>BWID HAI DUONG 2</v>
      </c>
      <c r="K446" s="1334" t="str">
        <f>VLOOKUP(C446,Acc_Char!B:K,7,)</f>
        <v>Subsidiaries</v>
      </c>
      <c r="L446" s="1334" t="str">
        <f t="shared" si="22"/>
        <v>Receipt from tenants</v>
      </c>
      <c r="M446" s="1335" t="str">
        <f>VLOOKUP(C446,Acc_Char!B:K,5,)</f>
        <v>VND</v>
      </c>
      <c r="N446" s="1335" t="str">
        <f>VLOOKUP(C446,Acc_Char!B:K,6,)</f>
        <v>Current Account</v>
      </c>
      <c r="O446" s="1336" t="str">
        <f>Summary!$B$4</f>
        <v>W1-2Jan26</v>
      </c>
      <c r="P446" s="1334" t="str">
        <f t="shared" si="23"/>
        <v>118006028888</v>
      </c>
    </row>
    <row r="447" spans="1:16">
      <c r="A447" t="s">
        <v>1591</v>
      </c>
      <c r="B447" s="34" t="s">
        <v>110</v>
      </c>
      <c r="C447" s="34" t="s">
        <v>717</v>
      </c>
      <c r="D447" s="1389" t="s">
        <v>2176</v>
      </c>
      <c r="E447" t="s">
        <v>2177</v>
      </c>
      <c r="F447" s="57">
        <v>3428499019</v>
      </c>
      <c r="G447" s="57">
        <v>0</v>
      </c>
      <c r="H447" s="1082">
        <f t="shared" si="26"/>
        <v>3428499019</v>
      </c>
      <c r="I447" s="1333" t="s">
        <v>39</v>
      </c>
      <c r="J447" s="1334" t="str">
        <f>VLOOKUP(C447,Acc_Char!B:K,3,)</f>
        <v>BW BAU BANG 01</v>
      </c>
      <c r="K447" s="1334" t="str">
        <f>VLOOKUP(C447,Acc_Char!B:K,7,)</f>
        <v>Subsidiaries</v>
      </c>
      <c r="L447" s="1334" t="str">
        <f t="shared" si="22"/>
        <v>Receipt from tenants</v>
      </c>
      <c r="M447" s="1335" t="str">
        <f>VLOOKUP(C447,Acc_Char!B:K,5,)</f>
        <v>VND</v>
      </c>
      <c r="N447" s="1335" t="str">
        <f>VLOOKUP(C447,Acc_Char!B:K,6,)</f>
        <v>Current Account</v>
      </c>
      <c r="O447" s="1336" t="str">
        <f>Summary!$B$4</f>
        <v>W1-2Jan26</v>
      </c>
      <c r="P447" s="1334" t="str">
        <f t="shared" si="23"/>
        <v>110002915294</v>
      </c>
    </row>
    <row r="448" spans="1:16">
      <c r="A448" t="s">
        <v>1591</v>
      </c>
      <c r="B448" s="34" t="s">
        <v>110</v>
      </c>
      <c r="C448" s="34" t="s">
        <v>717</v>
      </c>
      <c r="D448" s="1389" t="s">
        <v>2178</v>
      </c>
      <c r="E448" t="s">
        <v>2179</v>
      </c>
      <c r="F448" s="57">
        <v>685417824</v>
      </c>
      <c r="G448" s="57">
        <v>0</v>
      </c>
      <c r="H448" s="1082">
        <f t="shared" si="26"/>
        <v>685417824</v>
      </c>
      <c r="I448" s="1333" t="s">
        <v>39</v>
      </c>
      <c r="J448" s="1334" t="str">
        <f>VLOOKUP(C448,Acc_Char!B:K,3,)</f>
        <v>BW BAU BANG 01</v>
      </c>
      <c r="K448" s="1334" t="str">
        <f>VLOOKUP(C448,Acc_Char!B:K,7,)</f>
        <v>Subsidiaries</v>
      </c>
      <c r="L448" s="1334" t="str">
        <f t="shared" si="22"/>
        <v>Receipt from tenants</v>
      </c>
      <c r="M448" s="1335" t="str">
        <f>VLOOKUP(C448,Acc_Char!B:K,5,)</f>
        <v>VND</v>
      </c>
      <c r="N448" s="1335" t="str">
        <f>VLOOKUP(C448,Acc_Char!B:K,6,)</f>
        <v>Current Account</v>
      </c>
      <c r="O448" s="1336" t="str">
        <f>Summary!$B$4</f>
        <v>W1-2Jan26</v>
      </c>
      <c r="P448" s="1334" t="str">
        <f t="shared" si="23"/>
        <v>110002915294</v>
      </c>
    </row>
    <row r="449" spans="1:17">
      <c r="A449" t="s">
        <v>1591</v>
      </c>
      <c r="B449" s="34" t="s">
        <v>110</v>
      </c>
      <c r="C449" s="34" t="s">
        <v>1048</v>
      </c>
      <c r="D449" s="1389" t="s">
        <v>2180</v>
      </c>
      <c r="E449" t="s">
        <v>2181</v>
      </c>
      <c r="F449" s="57">
        <v>335174803</v>
      </c>
      <c r="G449" s="57">
        <v>0</v>
      </c>
      <c r="H449" s="1082">
        <f t="shared" si="26"/>
        <v>335174803</v>
      </c>
      <c r="I449" s="1333" t="s">
        <v>39</v>
      </c>
      <c r="J449" s="1334" t="str">
        <f>VLOOKUP(C449,Acc_Char!B:K,3,)</f>
        <v>TAN DONG HIEP B ELECTRON</v>
      </c>
      <c r="K449" s="1334" t="str">
        <f>VLOOKUP(C449,Acc_Char!B:K,7,)</f>
        <v>Subsidiaries</v>
      </c>
      <c r="L449" s="1334" t="str">
        <f t="shared" si="22"/>
        <v>Receipt from tenants</v>
      </c>
      <c r="M449" s="1335" t="str">
        <f>VLOOKUP(C449,Acc_Char!B:K,5,)</f>
        <v>VND</v>
      </c>
      <c r="N449" s="1335" t="str">
        <f>VLOOKUP(C449,Acc_Char!B:K,6,)</f>
        <v>Current Account</v>
      </c>
      <c r="O449" s="1336" t="str">
        <f>Summary!$B$4</f>
        <v>W1-2Jan26</v>
      </c>
      <c r="P449" s="1334" t="str">
        <f t="shared" si="23"/>
        <v>110002974996</v>
      </c>
    </row>
    <row r="450" spans="1:17">
      <c r="A450" t="s">
        <v>1591</v>
      </c>
      <c r="B450" s="34" t="s">
        <v>110</v>
      </c>
      <c r="C450" s="34" t="s">
        <v>1048</v>
      </c>
      <c r="D450" s="1389" t="s">
        <v>2182</v>
      </c>
      <c r="E450" t="s">
        <v>2183</v>
      </c>
      <c r="F450" s="57">
        <v>29264034</v>
      </c>
      <c r="G450" s="57">
        <v>0</v>
      </c>
      <c r="H450" s="1082">
        <f t="shared" si="26"/>
        <v>29264034</v>
      </c>
      <c r="I450" s="1333" t="s">
        <v>39</v>
      </c>
      <c r="J450" s="1334" t="str">
        <f>VLOOKUP(C450,Acc_Char!B:K,3,)</f>
        <v>TAN DONG HIEP B ELECTRON</v>
      </c>
      <c r="K450" s="1334" t="str">
        <f>VLOOKUP(C450,Acc_Char!B:K,7,)</f>
        <v>Subsidiaries</v>
      </c>
      <c r="L450" s="1334" t="str">
        <f t="shared" si="22"/>
        <v>Receipt from tenants</v>
      </c>
      <c r="M450" s="1335" t="str">
        <f>VLOOKUP(C450,Acc_Char!B:K,5,)</f>
        <v>VND</v>
      </c>
      <c r="N450" s="1335" t="str">
        <f>VLOOKUP(C450,Acc_Char!B:K,6,)</f>
        <v>Current Account</v>
      </c>
      <c r="O450" s="1336" t="str">
        <f>Summary!$B$4</f>
        <v>W1-2Jan26</v>
      </c>
      <c r="P450" s="1334" t="str">
        <f t="shared" si="23"/>
        <v>110002974996</v>
      </c>
    </row>
    <row r="451" spans="1:17">
      <c r="A451" t="s">
        <v>1591</v>
      </c>
      <c r="B451" s="34" t="s">
        <v>110</v>
      </c>
      <c r="C451" s="34" t="s">
        <v>717</v>
      </c>
      <c r="D451" s="1389" t="s">
        <v>2184</v>
      </c>
      <c r="E451" t="s">
        <v>2185</v>
      </c>
      <c r="F451" s="57">
        <v>828828</v>
      </c>
      <c r="G451" s="57">
        <v>0</v>
      </c>
      <c r="H451" s="1082">
        <f t="shared" si="26"/>
        <v>828828</v>
      </c>
      <c r="I451" s="1333" t="s">
        <v>39</v>
      </c>
      <c r="J451" s="1334" t="str">
        <f>VLOOKUP(C451,Acc_Char!B:K,3,)</f>
        <v>BW BAU BANG 01</v>
      </c>
      <c r="K451" s="1334" t="str">
        <f>VLOOKUP(C451,Acc_Char!B:K,7,)</f>
        <v>Subsidiaries</v>
      </c>
      <c r="L451" s="1334" t="str">
        <f t="shared" si="22"/>
        <v>Receipt from tenants</v>
      </c>
      <c r="M451" s="1335" t="str">
        <f>VLOOKUP(C451,Acc_Char!B:K,5,)</f>
        <v>VND</v>
      </c>
      <c r="N451" s="1335" t="str">
        <f>VLOOKUP(C451,Acc_Char!B:K,6,)</f>
        <v>Current Account</v>
      </c>
      <c r="O451" s="1336" t="str">
        <f>Summary!$B$4</f>
        <v>W1-2Jan26</v>
      </c>
      <c r="P451" s="1334" t="str">
        <f t="shared" si="23"/>
        <v>110002915294</v>
      </c>
    </row>
    <row r="452" spans="1:17">
      <c r="A452" t="s">
        <v>1591</v>
      </c>
      <c r="B452" s="34" t="s">
        <v>110</v>
      </c>
      <c r="C452" s="34" t="s">
        <v>1048</v>
      </c>
      <c r="D452" s="1389" t="s">
        <v>2186</v>
      </c>
      <c r="E452" t="s">
        <v>2187</v>
      </c>
      <c r="F452" s="57">
        <v>1210085831</v>
      </c>
      <c r="G452" s="57">
        <v>0</v>
      </c>
      <c r="H452" s="1082">
        <f t="shared" si="26"/>
        <v>1210085831</v>
      </c>
      <c r="I452" s="1333" t="s">
        <v>39</v>
      </c>
      <c r="J452" s="1334" t="str">
        <f>VLOOKUP(C452,Acc_Char!B:K,3,)</f>
        <v>TAN DONG HIEP B ELECTRON</v>
      </c>
      <c r="K452" s="1334" t="str">
        <f>VLOOKUP(C452,Acc_Char!B:K,7,)</f>
        <v>Subsidiaries</v>
      </c>
      <c r="L452" s="1334" t="str">
        <f t="shared" si="22"/>
        <v>Receipt from tenants</v>
      </c>
      <c r="M452" s="1335" t="str">
        <f>VLOOKUP(C452,Acc_Char!B:K,5,)</f>
        <v>VND</v>
      </c>
      <c r="N452" s="1335" t="str">
        <f>VLOOKUP(C452,Acc_Char!B:K,6,)</f>
        <v>Current Account</v>
      </c>
      <c r="O452" s="1336" t="str">
        <f>Summary!$B$4</f>
        <v>W1-2Jan26</v>
      </c>
      <c r="P452" s="1334" t="str">
        <f t="shared" si="23"/>
        <v>110002974996</v>
      </c>
    </row>
    <row r="453" spans="1:17">
      <c r="A453" t="s">
        <v>1591</v>
      </c>
      <c r="B453" s="34" t="s">
        <v>110</v>
      </c>
      <c r="C453" s="34" t="s">
        <v>1407</v>
      </c>
      <c r="D453" s="1389" t="s">
        <v>2188</v>
      </c>
      <c r="E453" t="s">
        <v>2189</v>
      </c>
      <c r="F453" s="57">
        <v>6518232</v>
      </c>
      <c r="G453" s="57">
        <v>0</v>
      </c>
      <c r="H453" s="1082">
        <f t="shared" si="26"/>
        <v>6518232</v>
      </c>
      <c r="I453" s="1333" t="s">
        <v>39</v>
      </c>
      <c r="J453" s="1334" t="str">
        <f>VLOOKUP(C453,Acc_Char!B:K,3,)</f>
        <v>BW NAM DINH VU</v>
      </c>
      <c r="K453" s="1334" t="str">
        <f>VLOOKUP(C453,Acc_Char!B:K,7,)</f>
        <v>Subsidiaries</v>
      </c>
      <c r="L453" s="1334" t="str">
        <f t="shared" ref="L453:L516" si="27">I453</f>
        <v>Receipt from tenants</v>
      </c>
      <c r="M453" s="1335" t="str">
        <f>VLOOKUP(C453,Acc_Char!B:K,5,)</f>
        <v>VND</v>
      </c>
      <c r="N453" s="1335" t="str">
        <f>VLOOKUP(C453,Acc_Char!B:K,6,)</f>
        <v>Current Account</v>
      </c>
      <c r="O453" s="1336" t="str">
        <f>Summary!$B$4</f>
        <v>W1-2Jan26</v>
      </c>
      <c r="P453" s="1334" t="str">
        <f t="shared" ref="P453:P516" si="28">TEXT(C453,"0")</f>
        <v>116632406789</v>
      </c>
    </row>
    <row r="454" spans="1:17">
      <c r="A454" t="s">
        <v>1591</v>
      </c>
      <c r="B454" s="34" t="s">
        <v>110</v>
      </c>
      <c r="C454" s="34" t="s">
        <v>555</v>
      </c>
      <c r="D454" s="1389" t="s">
        <v>2190</v>
      </c>
      <c r="E454" t="s">
        <v>2191</v>
      </c>
      <c r="F454" s="57">
        <v>10970496</v>
      </c>
      <c r="G454" s="57">
        <v>0</v>
      </c>
      <c r="H454" s="1082">
        <f t="shared" si="26"/>
        <v>10970496</v>
      </c>
      <c r="I454" s="1333" t="s">
        <v>39</v>
      </c>
      <c r="J454" s="1334" t="str">
        <f>VLOOKUP(C454,Acc_Char!B:K,3,)</f>
        <v>BWID DONG AN LID</v>
      </c>
      <c r="K454" s="1334" t="str">
        <f>VLOOKUP(C454,Acc_Char!B:K,7,)</f>
        <v>Subsidiaries</v>
      </c>
      <c r="L454" s="1334" t="str">
        <f t="shared" si="27"/>
        <v>Receipt from tenants</v>
      </c>
      <c r="M454" s="1335" t="str">
        <f>VLOOKUP(C454,Acc_Char!B:K,5,)</f>
        <v>VND</v>
      </c>
      <c r="N454" s="1335" t="str">
        <f>VLOOKUP(C454,Acc_Char!B:K,6,)</f>
        <v>Current Account</v>
      </c>
      <c r="O454" s="1336" t="str">
        <f>Summary!$B$4</f>
        <v>W1-2Jan26</v>
      </c>
      <c r="P454" s="1334" t="str">
        <f t="shared" si="28"/>
        <v>114002807847</v>
      </c>
    </row>
    <row r="455" spans="1:17">
      <c r="A455" t="s">
        <v>1591</v>
      </c>
      <c r="B455" s="34" t="s">
        <v>110</v>
      </c>
      <c r="C455" s="34" t="s">
        <v>702</v>
      </c>
      <c r="D455" s="1389" t="s">
        <v>2192</v>
      </c>
      <c r="E455" t="s">
        <v>2193</v>
      </c>
      <c r="F455" s="57">
        <v>1147537590</v>
      </c>
      <c r="G455" s="57">
        <v>0</v>
      </c>
      <c r="H455" s="1082">
        <f t="shared" si="26"/>
        <v>1147537590</v>
      </c>
      <c r="I455" s="1333" t="s">
        <v>39</v>
      </c>
      <c r="J455" s="1334" t="str">
        <f>VLOOKUP(C455,Acc_Char!B:K,3,)</f>
        <v>BAU BANG 6</v>
      </c>
      <c r="K455" s="1334" t="str">
        <f>VLOOKUP(C455,Acc_Char!B:K,7,)</f>
        <v>Subsidiaries</v>
      </c>
      <c r="L455" s="1334" t="str">
        <f t="shared" si="27"/>
        <v>Receipt from tenants</v>
      </c>
      <c r="M455" s="1335" t="str">
        <f>VLOOKUP(C455,Acc_Char!B:K,5,)</f>
        <v>VND</v>
      </c>
      <c r="N455" s="1335" t="str">
        <f>VLOOKUP(C455,Acc_Char!B:K,6,)</f>
        <v>Current Account</v>
      </c>
      <c r="O455" s="1336" t="str">
        <f>Summary!$B$4</f>
        <v>W1-2Jan26</v>
      </c>
      <c r="P455" s="1334" t="str">
        <f t="shared" si="28"/>
        <v>115624079999</v>
      </c>
    </row>
    <row r="456" spans="1:17">
      <c r="A456" t="s">
        <v>1591</v>
      </c>
      <c r="B456" s="34" t="s">
        <v>110</v>
      </c>
      <c r="C456" s="34" t="s">
        <v>587</v>
      </c>
      <c r="D456" s="1389" t="s">
        <v>2194</v>
      </c>
      <c r="E456" t="s">
        <v>2195</v>
      </c>
      <c r="F456" s="57">
        <v>4247382159</v>
      </c>
      <c r="G456" s="57">
        <v>0</v>
      </c>
      <c r="H456" s="1082">
        <f t="shared" si="26"/>
        <v>4247382159</v>
      </c>
      <c r="I456" s="1333" t="s">
        <v>41</v>
      </c>
      <c r="J456" s="1334" t="str">
        <f>VLOOKUP(C456,Acc_Char!B:K,3,)</f>
        <v>SAO HOA</v>
      </c>
      <c r="K456" s="1334" t="str">
        <f>VLOOKUP(C456,Acc_Char!B:K,7,)</f>
        <v>VC3</v>
      </c>
      <c r="L456" s="1334" t="str">
        <f t="shared" si="27"/>
        <v>Internal transfer in</v>
      </c>
      <c r="M456" s="1335" t="str">
        <f>VLOOKUP(C456,Acc_Char!B:K,5,)</f>
        <v>VND</v>
      </c>
      <c r="N456" s="1335" t="str">
        <f>VLOOKUP(C456,Acc_Char!B:K,6,)</f>
        <v>Current Account</v>
      </c>
      <c r="O456" s="1336" t="str">
        <f>Summary!$B$4</f>
        <v>W1-2Jan26</v>
      </c>
      <c r="P456" s="1334" t="str">
        <f t="shared" si="28"/>
        <v>114002874189</v>
      </c>
    </row>
    <row r="457" spans="1:17">
      <c r="A457" t="s">
        <v>1591</v>
      </c>
      <c r="B457" s="34" t="s">
        <v>110</v>
      </c>
      <c r="C457" s="34" t="s">
        <v>707</v>
      </c>
      <c r="D457" s="1389" t="s">
        <v>2196</v>
      </c>
      <c r="E457" t="s">
        <v>2197</v>
      </c>
      <c r="F457" s="57">
        <v>58645165</v>
      </c>
      <c r="G457" s="57">
        <v>0</v>
      </c>
      <c r="H457" s="1082">
        <f t="shared" si="26"/>
        <v>58645165</v>
      </c>
      <c r="I457" s="1333" t="s">
        <v>39</v>
      </c>
      <c r="J457" s="1334" t="str">
        <f>VLOOKUP(C457,Acc_Char!B:K,3,)</f>
        <v>XENIA 1</v>
      </c>
      <c r="K457" s="1334" t="str">
        <f>VLOOKUP(C457,Acc_Char!B:K,7,)</f>
        <v>Subsidiaries</v>
      </c>
      <c r="L457" s="1334" t="str">
        <f t="shared" si="27"/>
        <v>Receipt from tenants</v>
      </c>
      <c r="M457" s="1335" t="str">
        <f>VLOOKUP(C457,Acc_Char!B:K,5,)</f>
        <v>VND</v>
      </c>
      <c r="N457" s="1335" t="str">
        <f>VLOOKUP(C457,Acc_Char!B:K,6,)</f>
        <v>Current Account</v>
      </c>
      <c r="O457" s="1336" t="str">
        <f>Summary!$B$4</f>
        <v>W1-2Jan26</v>
      </c>
      <c r="P457" s="1334" t="str">
        <f t="shared" si="28"/>
        <v>116646026868</v>
      </c>
    </row>
    <row r="458" spans="1:17">
      <c r="A458" t="s">
        <v>1591</v>
      </c>
      <c r="B458" s="34" t="s">
        <v>110</v>
      </c>
      <c r="C458" s="34" t="s">
        <v>543</v>
      </c>
      <c r="D458" s="1389" t="s">
        <v>2198</v>
      </c>
      <c r="E458" t="s">
        <v>2199</v>
      </c>
      <c r="F458" s="57">
        <v>1127268312</v>
      </c>
      <c r="G458" s="57">
        <v>0</v>
      </c>
      <c r="H458" s="1082">
        <f t="shared" si="26"/>
        <v>1127268312</v>
      </c>
      <c r="I458" s="1333" t="s">
        <v>39</v>
      </c>
      <c r="J458" s="1334" t="str">
        <f>VLOOKUP(C458,Acc_Char!B:K,3,)</f>
        <v>GREAT KINGDOM NT 2</v>
      </c>
      <c r="K458" s="1334" t="str">
        <f>VLOOKUP(C458,Acc_Char!B:K,7,)</f>
        <v>Subsidiaries</v>
      </c>
      <c r="L458" s="1334" t="str">
        <f t="shared" si="27"/>
        <v>Receipt from tenants</v>
      </c>
      <c r="M458" s="1335" t="str">
        <f>VLOOKUP(C458,Acc_Char!B:K,5,)</f>
        <v>VND</v>
      </c>
      <c r="N458" s="1335" t="str">
        <f>VLOOKUP(C458,Acc_Char!B:K,6,)</f>
        <v>Current Account</v>
      </c>
      <c r="O458" s="1336" t="str">
        <f>Summary!$B$4</f>
        <v>W1-2Jan26</v>
      </c>
      <c r="P458" s="1334" t="str">
        <f t="shared" si="28"/>
        <v>110609187777</v>
      </c>
    </row>
    <row r="459" spans="1:17">
      <c r="A459" t="s">
        <v>1591</v>
      </c>
      <c r="B459" s="34" t="s">
        <v>110</v>
      </c>
      <c r="C459" s="34" t="s">
        <v>504</v>
      </c>
      <c r="D459" s="1389" t="s">
        <v>2200</v>
      </c>
      <c r="E459" t="s">
        <v>2201</v>
      </c>
      <c r="F459" s="57">
        <v>1414897005</v>
      </c>
      <c r="G459" s="57">
        <v>0</v>
      </c>
      <c r="H459" s="1082">
        <f t="shared" si="26"/>
        <v>1414897005</v>
      </c>
      <c r="I459" s="1333" t="s">
        <v>39</v>
      </c>
      <c r="J459" s="1334" t="str">
        <f>VLOOKUP(C459,Acc_Char!B:K,3,)</f>
        <v>BWID BAC NINH</v>
      </c>
      <c r="K459" s="1334" t="str">
        <f>VLOOKUP(C459,Acc_Char!B:K,7,)</f>
        <v>Subsidiaries</v>
      </c>
      <c r="L459" s="1334" t="str">
        <f t="shared" si="27"/>
        <v>Receipt from tenants</v>
      </c>
      <c r="M459" s="1335" t="str">
        <f>VLOOKUP(C459,Acc_Char!B:K,5,)</f>
        <v>VND</v>
      </c>
      <c r="N459" s="1335" t="str">
        <f>VLOOKUP(C459,Acc_Char!B:K,6,)</f>
        <v>Current Account</v>
      </c>
      <c r="O459" s="1336" t="str">
        <f>Summary!$B$4</f>
        <v>W1-2Jan26</v>
      </c>
      <c r="P459" s="1334" t="str">
        <f t="shared" si="28"/>
        <v>118008108888</v>
      </c>
    </row>
    <row r="460" spans="1:17">
      <c r="A460" t="s">
        <v>1591</v>
      </c>
      <c r="B460" s="34" t="s">
        <v>110</v>
      </c>
      <c r="C460" s="34" t="s">
        <v>500</v>
      </c>
      <c r="D460" s="1389" t="s">
        <v>2202</v>
      </c>
      <c r="E460" t="s">
        <v>2203</v>
      </c>
      <c r="F460" s="57">
        <v>4254536</v>
      </c>
      <c r="G460" s="57">
        <v>0</v>
      </c>
      <c r="H460" s="1082">
        <f t="shared" si="26"/>
        <v>4254536</v>
      </c>
      <c r="I460" s="1333" t="s">
        <v>39</v>
      </c>
      <c r="J460" s="1334" t="str">
        <f>VLOOKUP(C460,Acc_Char!B:K,3,)</f>
        <v>BWID HAI DUONG</v>
      </c>
      <c r="K460" s="1334" t="str">
        <f>VLOOKUP(C460,Acc_Char!B:K,7,)</f>
        <v>Subsidiaries</v>
      </c>
      <c r="L460" s="1334" t="str">
        <f t="shared" si="27"/>
        <v>Receipt from tenants</v>
      </c>
      <c r="M460" s="1335" t="str">
        <f>VLOOKUP(C460,Acc_Char!B:K,5,)</f>
        <v>VND</v>
      </c>
      <c r="N460" s="1335" t="str">
        <f>VLOOKUP(C460,Acc_Char!B:K,6,)</f>
        <v>Current Account</v>
      </c>
      <c r="O460" s="1336" t="str">
        <f>Summary!$B$4</f>
        <v>W1-2Jan26</v>
      </c>
      <c r="P460" s="1334" t="str">
        <f t="shared" si="28"/>
        <v>111007158888</v>
      </c>
      <c r="Q460" s="1024"/>
    </row>
    <row r="461" spans="1:17">
      <c r="A461" t="s">
        <v>1591</v>
      </c>
      <c r="B461" s="34" t="s">
        <v>110</v>
      </c>
      <c r="C461" s="34" t="s">
        <v>717</v>
      </c>
      <c r="D461" s="1389" t="s">
        <v>2204</v>
      </c>
      <c r="E461" t="s">
        <v>2205</v>
      </c>
      <c r="F461" s="57">
        <v>815760650</v>
      </c>
      <c r="G461" s="57">
        <v>0</v>
      </c>
      <c r="H461" s="1082">
        <f t="shared" si="26"/>
        <v>815760650</v>
      </c>
      <c r="I461" s="1333" t="s">
        <v>39</v>
      </c>
      <c r="J461" s="1334" t="str">
        <f>VLOOKUP(C461,Acc_Char!B:K,3,)</f>
        <v>BW BAU BANG 01</v>
      </c>
      <c r="K461" s="1334" t="str">
        <f>VLOOKUP(C461,Acc_Char!B:K,7,)</f>
        <v>Subsidiaries</v>
      </c>
      <c r="L461" s="1334" t="str">
        <f t="shared" si="27"/>
        <v>Receipt from tenants</v>
      </c>
      <c r="M461" s="1335" t="str">
        <f>VLOOKUP(C461,Acc_Char!B:K,5,)</f>
        <v>VND</v>
      </c>
      <c r="N461" s="1335" t="str">
        <f>VLOOKUP(C461,Acc_Char!B:K,6,)</f>
        <v>Current Account</v>
      </c>
      <c r="O461" s="1336" t="str">
        <f>Summary!$B$4</f>
        <v>W1-2Jan26</v>
      </c>
      <c r="P461" s="1334" t="str">
        <f t="shared" si="28"/>
        <v>110002915294</v>
      </c>
    </row>
    <row r="462" spans="1:17">
      <c r="A462" t="s">
        <v>1591</v>
      </c>
      <c r="B462" s="34" t="s">
        <v>110</v>
      </c>
      <c r="C462" s="34" t="s">
        <v>511</v>
      </c>
      <c r="D462" s="1389" t="s">
        <v>2206</v>
      </c>
      <c r="E462" t="s">
        <v>2207</v>
      </c>
      <c r="F462" s="57">
        <v>3178126275</v>
      </c>
      <c r="G462" s="57">
        <v>0</v>
      </c>
      <c r="H462" s="1082">
        <f t="shared" si="26"/>
        <v>3178126275</v>
      </c>
      <c r="I462" s="1333" t="s">
        <v>39</v>
      </c>
      <c r="J462" s="1334" t="str">
        <f>VLOOKUP(C462,Acc_Char!B:K,3,)</f>
        <v>BWID HAI PHONG</v>
      </c>
      <c r="K462" s="1334" t="str">
        <f>VLOOKUP(C462,Acc_Char!B:K,7,)</f>
        <v>Subsidiaries</v>
      </c>
      <c r="L462" s="1334" t="str">
        <f t="shared" si="27"/>
        <v>Receipt from tenants</v>
      </c>
      <c r="M462" s="1335" t="str">
        <f>VLOOKUP(C462,Acc_Char!B:K,5,)</f>
        <v>VND</v>
      </c>
      <c r="N462" s="1335" t="str">
        <f>VLOOKUP(C462,Acc_Char!B:K,6,)</f>
        <v>Current Account</v>
      </c>
      <c r="O462" s="1336" t="str">
        <f>Summary!$B$4</f>
        <v>W1-2Jan26</v>
      </c>
      <c r="P462" s="1334" t="str">
        <f t="shared" si="28"/>
        <v>116002681740</v>
      </c>
    </row>
    <row r="463" spans="1:17">
      <c r="A463" t="s">
        <v>1591</v>
      </c>
      <c r="B463" s="34" t="s">
        <v>110</v>
      </c>
      <c r="C463" s="34" t="s">
        <v>587</v>
      </c>
      <c r="D463" s="1389" t="s">
        <v>2208</v>
      </c>
      <c r="E463" t="s">
        <v>2209</v>
      </c>
      <c r="F463" s="57">
        <v>42075000</v>
      </c>
      <c r="G463" s="57">
        <v>0</v>
      </c>
      <c r="H463" s="1082">
        <f t="shared" si="26"/>
        <v>42075000</v>
      </c>
      <c r="I463" s="1333" t="s">
        <v>41</v>
      </c>
      <c r="J463" s="1334" t="str">
        <f>VLOOKUP(C463,Acc_Char!B:K,3,)</f>
        <v>SAO HOA</v>
      </c>
      <c r="K463" s="1334" t="str">
        <f>VLOOKUP(C463,Acc_Char!B:K,7,)</f>
        <v>VC3</v>
      </c>
      <c r="L463" s="1334" t="str">
        <f t="shared" si="27"/>
        <v>Internal transfer in</v>
      </c>
      <c r="M463" s="1335" t="str">
        <f>VLOOKUP(C463,Acc_Char!B:K,5,)</f>
        <v>VND</v>
      </c>
      <c r="N463" s="1335" t="str">
        <f>VLOOKUP(C463,Acc_Char!B:K,6,)</f>
        <v>Current Account</v>
      </c>
      <c r="O463" s="1336" t="str">
        <f>Summary!$B$4</f>
        <v>W1-2Jan26</v>
      </c>
      <c r="P463" s="1334" t="str">
        <f t="shared" si="28"/>
        <v>114002874189</v>
      </c>
    </row>
    <row r="464" spans="1:17">
      <c r="A464" t="s">
        <v>1591</v>
      </c>
      <c r="B464" s="34" t="s">
        <v>110</v>
      </c>
      <c r="C464" s="34" t="s">
        <v>707</v>
      </c>
      <c r="D464" s="1389" t="s">
        <v>2210</v>
      </c>
      <c r="E464" t="s">
        <v>2211</v>
      </c>
      <c r="F464" s="57">
        <v>635128861</v>
      </c>
      <c r="G464" s="57">
        <v>0</v>
      </c>
      <c r="H464" s="1082">
        <f t="shared" si="26"/>
        <v>635128861</v>
      </c>
      <c r="I464" s="1333" t="s">
        <v>39</v>
      </c>
      <c r="J464" s="1334" t="str">
        <f>VLOOKUP(C464,Acc_Char!B:K,3,)</f>
        <v>XENIA 1</v>
      </c>
      <c r="K464" s="1334" t="str">
        <f>VLOOKUP(C464,Acc_Char!B:K,7,)</f>
        <v>Subsidiaries</v>
      </c>
      <c r="L464" s="1334" t="str">
        <f t="shared" si="27"/>
        <v>Receipt from tenants</v>
      </c>
      <c r="M464" s="1335" t="str">
        <f>VLOOKUP(C464,Acc_Char!B:K,5,)</f>
        <v>VND</v>
      </c>
      <c r="N464" s="1335" t="str">
        <f>VLOOKUP(C464,Acc_Char!B:K,6,)</f>
        <v>Current Account</v>
      </c>
      <c r="O464" s="1336" t="str">
        <f>Summary!$B$4</f>
        <v>W1-2Jan26</v>
      </c>
      <c r="P464" s="1334" t="str">
        <f t="shared" si="28"/>
        <v>116646026868</v>
      </c>
    </row>
    <row r="465" spans="1:17">
      <c r="A465" t="s">
        <v>1591</v>
      </c>
      <c r="B465" s="34" t="s">
        <v>110</v>
      </c>
      <c r="C465" s="34" t="s">
        <v>562</v>
      </c>
      <c r="D465" s="1389" t="s">
        <v>2212</v>
      </c>
      <c r="E465" t="s">
        <v>2213</v>
      </c>
      <c r="F465" s="57">
        <v>4998039</v>
      </c>
      <c r="G465" s="57">
        <v>0</v>
      </c>
      <c r="H465" s="1082">
        <f t="shared" si="26"/>
        <v>4998039</v>
      </c>
      <c r="I465" s="1333" t="s">
        <v>39</v>
      </c>
      <c r="J465" s="1334" t="str">
        <f>VLOOKUP(C465,Acc_Char!B:K,3,)</f>
        <v>HANOI MANAGEMENT SERVICES</v>
      </c>
      <c r="K465" s="1334" t="str">
        <f>VLOOKUP(C465,Acc_Char!B:K,7,)</f>
        <v>Subsidiaries</v>
      </c>
      <c r="L465" s="1334" t="str">
        <f t="shared" si="27"/>
        <v>Receipt from tenants</v>
      </c>
      <c r="M465" s="1335" t="str">
        <f>VLOOKUP(C465,Acc_Char!B:K,5,)</f>
        <v>VND</v>
      </c>
      <c r="N465" s="1335" t="str">
        <f>VLOOKUP(C465,Acc_Char!B:K,6,)</f>
        <v>Current Account</v>
      </c>
      <c r="O465" s="1336" t="str">
        <f>Summary!$B$4</f>
        <v>W1-2Jan26</v>
      </c>
      <c r="P465" s="1334" t="str">
        <f t="shared" si="28"/>
        <v>110002855448</v>
      </c>
    </row>
    <row r="466" spans="1:17">
      <c r="A466" t="s">
        <v>1591</v>
      </c>
      <c r="B466" s="34" t="s">
        <v>110</v>
      </c>
      <c r="C466" s="34" t="s">
        <v>504</v>
      </c>
      <c r="D466" s="1389" t="s">
        <v>2214</v>
      </c>
      <c r="E466" t="s">
        <v>2215</v>
      </c>
      <c r="F466" s="57">
        <v>799068600</v>
      </c>
      <c r="G466" s="57">
        <v>0</v>
      </c>
      <c r="H466" s="1082">
        <f t="shared" si="26"/>
        <v>799068600</v>
      </c>
      <c r="I466" s="1333" t="s">
        <v>39</v>
      </c>
      <c r="J466" s="1334" t="str">
        <f>VLOOKUP(C466,Acc_Char!B:K,3,)</f>
        <v>BWID BAC NINH</v>
      </c>
      <c r="K466" s="1334" t="str">
        <f>VLOOKUP(C466,Acc_Char!B:K,7,)</f>
        <v>Subsidiaries</v>
      </c>
      <c r="L466" s="1334" t="str">
        <f t="shared" si="27"/>
        <v>Receipt from tenants</v>
      </c>
      <c r="M466" s="1335" t="str">
        <f>VLOOKUP(C466,Acc_Char!B:K,5,)</f>
        <v>VND</v>
      </c>
      <c r="N466" s="1335" t="str">
        <f>VLOOKUP(C466,Acc_Char!B:K,6,)</f>
        <v>Current Account</v>
      </c>
      <c r="O466" s="1336" t="str">
        <f>Summary!$B$4</f>
        <v>W1-2Jan26</v>
      </c>
      <c r="P466" s="1334" t="str">
        <f t="shared" si="28"/>
        <v>118008108888</v>
      </c>
    </row>
    <row r="467" spans="1:17">
      <c r="A467" t="s">
        <v>1591</v>
      </c>
      <c r="B467" s="34" t="s">
        <v>110</v>
      </c>
      <c r="C467" s="34" t="s">
        <v>500</v>
      </c>
      <c r="D467" s="1389" t="s">
        <v>2216</v>
      </c>
      <c r="E467" t="s">
        <v>2217</v>
      </c>
      <c r="F467" s="57">
        <v>1198306476</v>
      </c>
      <c r="G467" s="57">
        <v>0</v>
      </c>
      <c r="H467" s="1082">
        <f t="shared" si="26"/>
        <v>1198306476</v>
      </c>
      <c r="I467" s="1333" t="s">
        <v>39</v>
      </c>
      <c r="J467" s="1334" t="str">
        <f>VLOOKUP(C467,Acc_Char!B:K,3,)</f>
        <v>BWID HAI DUONG</v>
      </c>
      <c r="K467" s="1334" t="str">
        <f>VLOOKUP(C467,Acc_Char!B:K,7,)</f>
        <v>Subsidiaries</v>
      </c>
      <c r="L467" s="1334" t="str">
        <f t="shared" si="27"/>
        <v>Receipt from tenants</v>
      </c>
      <c r="M467" s="1335" t="str">
        <f>VLOOKUP(C467,Acc_Char!B:K,5,)</f>
        <v>VND</v>
      </c>
      <c r="N467" s="1335" t="str">
        <f>VLOOKUP(C467,Acc_Char!B:K,6,)</f>
        <v>Current Account</v>
      </c>
      <c r="O467" s="1336" t="str">
        <f>Summary!$B$4</f>
        <v>W1-2Jan26</v>
      </c>
      <c r="P467" s="1334" t="str">
        <f t="shared" si="28"/>
        <v>111007158888</v>
      </c>
    </row>
    <row r="468" spans="1:17">
      <c r="A468" t="s">
        <v>1591</v>
      </c>
      <c r="B468" s="34" t="s">
        <v>110</v>
      </c>
      <c r="C468" s="34" t="s">
        <v>717</v>
      </c>
      <c r="D468" s="1389" t="s">
        <v>2218</v>
      </c>
      <c r="E468" t="s">
        <v>2219</v>
      </c>
      <c r="F468" s="57">
        <v>190545696</v>
      </c>
      <c r="G468" s="57">
        <v>0</v>
      </c>
      <c r="H468" s="1082">
        <f t="shared" si="26"/>
        <v>190545696</v>
      </c>
      <c r="I468" s="1333" t="s">
        <v>39</v>
      </c>
      <c r="J468" s="1334" t="str">
        <f>VLOOKUP(C468,Acc_Char!B:K,3,)</f>
        <v>BW BAU BANG 01</v>
      </c>
      <c r="K468" s="1334" t="str">
        <f>VLOOKUP(C468,Acc_Char!B:K,7,)</f>
        <v>Subsidiaries</v>
      </c>
      <c r="L468" s="1334" t="str">
        <f t="shared" si="27"/>
        <v>Receipt from tenants</v>
      </c>
      <c r="M468" s="1335" t="str">
        <f>VLOOKUP(C468,Acc_Char!B:K,5,)</f>
        <v>VND</v>
      </c>
      <c r="N468" s="1335" t="str">
        <f>VLOOKUP(C468,Acc_Char!B:K,6,)</f>
        <v>Current Account</v>
      </c>
      <c r="O468" s="1336" t="str">
        <f>Summary!$B$4</f>
        <v>W1-2Jan26</v>
      </c>
      <c r="P468" s="1334" t="str">
        <f t="shared" si="28"/>
        <v>110002915294</v>
      </c>
    </row>
    <row r="469" spans="1:17">
      <c r="A469" t="s">
        <v>1591</v>
      </c>
      <c r="B469" s="34" t="s">
        <v>110</v>
      </c>
      <c r="C469" s="34" t="s">
        <v>500</v>
      </c>
      <c r="D469" s="1389" t="s">
        <v>2220</v>
      </c>
      <c r="E469" t="s">
        <v>2221</v>
      </c>
      <c r="F469" s="57">
        <v>1237093894</v>
      </c>
      <c r="G469" s="57">
        <v>0</v>
      </c>
      <c r="H469" s="1082">
        <f t="shared" si="26"/>
        <v>1237093894</v>
      </c>
      <c r="I469" s="1333" t="s">
        <v>39</v>
      </c>
      <c r="J469" s="1334" t="str">
        <f>VLOOKUP(C469,Acc_Char!B:K,3,)</f>
        <v>BWID HAI DUONG</v>
      </c>
      <c r="K469" s="1334" t="str">
        <f>VLOOKUP(C469,Acc_Char!B:K,7,)</f>
        <v>Subsidiaries</v>
      </c>
      <c r="L469" s="1334" t="str">
        <f t="shared" si="27"/>
        <v>Receipt from tenants</v>
      </c>
      <c r="M469" s="1335" t="str">
        <f>VLOOKUP(C469,Acc_Char!B:K,5,)</f>
        <v>VND</v>
      </c>
      <c r="N469" s="1335" t="str">
        <f>VLOOKUP(C469,Acc_Char!B:K,6,)</f>
        <v>Current Account</v>
      </c>
      <c r="O469" s="1336" t="str">
        <f>Summary!$B$4</f>
        <v>W1-2Jan26</v>
      </c>
      <c r="P469" s="1334" t="str">
        <f t="shared" si="28"/>
        <v>111007158888</v>
      </c>
      <c r="Q469" s="1024"/>
    </row>
    <row r="470" spans="1:17">
      <c r="A470" t="s">
        <v>1591</v>
      </c>
      <c r="B470" s="34" t="s">
        <v>110</v>
      </c>
      <c r="C470" s="34" t="s">
        <v>507</v>
      </c>
      <c r="D470" s="1389" t="s">
        <v>2222</v>
      </c>
      <c r="E470" t="s">
        <v>2223</v>
      </c>
      <c r="F470" s="57">
        <v>846366336</v>
      </c>
      <c r="G470" s="57">
        <v>0</v>
      </c>
      <c r="H470" s="1082">
        <f t="shared" si="26"/>
        <v>846366336</v>
      </c>
      <c r="I470" s="1333" t="s">
        <v>39</v>
      </c>
      <c r="J470" s="1334" t="str">
        <f>VLOOKUP(C470,Acc_Char!B:K,3,)</f>
        <v>BWID HAI DUONG 2</v>
      </c>
      <c r="K470" s="1334" t="str">
        <f>VLOOKUP(C470,Acc_Char!B:K,7,)</f>
        <v>Subsidiaries</v>
      </c>
      <c r="L470" s="1334" t="str">
        <f t="shared" si="27"/>
        <v>Receipt from tenants</v>
      </c>
      <c r="M470" s="1335" t="str">
        <f>VLOOKUP(C470,Acc_Char!B:K,5,)</f>
        <v>VND</v>
      </c>
      <c r="N470" s="1335" t="str">
        <f>VLOOKUP(C470,Acc_Char!B:K,6,)</f>
        <v>Current Account</v>
      </c>
      <c r="O470" s="1336" t="str">
        <f>Summary!$B$4</f>
        <v>W1-2Jan26</v>
      </c>
      <c r="P470" s="1334" t="str">
        <f t="shared" si="28"/>
        <v>118006028888</v>
      </c>
      <c r="Q470" s="1024"/>
    </row>
    <row r="471" spans="1:17">
      <c r="A471" t="s">
        <v>1591</v>
      </c>
      <c r="B471" s="34" t="s">
        <v>110</v>
      </c>
      <c r="C471" s="34" t="s">
        <v>507</v>
      </c>
      <c r="D471" s="1389" t="s">
        <v>2222</v>
      </c>
      <c r="E471" t="s">
        <v>2224</v>
      </c>
      <c r="F471" s="57">
        <v>1700624199</v>
      </c>
      <c r="G471" s="57">
        <v>0</v>
      </c>
      <c r="H471" s="1082">
        <f t="shared" si="26"/>
        <v>1700624199</v>
      </c>
      <c r="I471" s="1333" t="s">
        <v>39</v>
      </c>
      <c r="J471" s="1334" t="str">
        <f>VLOOKUP(C471,Acc_Char!B:K,3,)</f>
        <v>BWID HAI DUONG 2</v>
      </c>
      <c r="K471" s="1334" t="str">
        <f>VLOOKUP(C471,Acc_Char!B:K,7,)</f>
        <v>Subsidiaries</v>
      </c>
      <c r="L471" s="1334" t="str">
        <f t="shared" si="27"/>
        <v>Receipt from tenants</v>
      </c>
      <c r="M471" s="1335" t="str">
        <f>VLOOKUP(C471,Acc_Char!B:K,5,)</f>
        <v>VND</v>
      </c>
      <c r="N471" s="1335" t="str">
        <f>VLOOKUP(C471,Acc_Char!B:K,6,)</f>
        <v>Current Account</v>
      </c>
      <c r="O471" s="1336" t="str">
        <f>Summary!$B$4</f>
        <v>W1-2Jan26</v>
      </c>
      <c r="P471" s="1334" t="str">
        <f t="shared" si="28"/>
        <v>118006028888</v>
      </c>
      <c r="Q471" s="1024"/>
    </row>
    <row r="472" spans="1:17" s="1334" customFormat="1">
      <c r="A472" s="1342" t="s">
        <v>1591</v>
      </c>
      <c r="B472" s="1343" t="s">
        <v>110</v>
      </c>
      <c r="C472" s="1343" t="s">
        <v>1407</v>
      </c>
      <c r="D472" s="1390" t="s">
        <v>2225</v>
      </c>
      <c r="E472" s="1342" t="s">
        <v>2226</v>
      </c>
      <c r="F472" s="1344">
        <v>518827299</v>
      </c>
      <c r="G472" s="1344">
        <v>0</v>
      </c>
      <c r="H472" s="1082">
        <f t="shared" si="26"/>
        <v>518827299</v>
      </c>
      <c r="I472" s="1333" t="s">
        <v>39</v>
      </c>
      <c r="J472" s="1334" t="str">
        <f>VLOOKUP(C472,Acc_Char!B:K,3,)</f>
        <v>BW NAM DINH VU</v>
      </c>
      <c r="K472" s="1334" t="str">
        <f>VLOOKUP(C472,Acc_Char!B:K,7,)</f>
        <v>Subsidiaries</v>
      </c>
      <c r="L472" s="1334" t="str">
        <f t="shared" si="27"/>
        <v>Receipt from tenants</v>
      </c>
      <c r="M472" s="1335" t="str">
        <f>VLOOKUP(C472,Acc_Char!B:K,5,)</f>
        <v>VND</v>
      </c>
      <c r="N472" s="1335" t="str">
        <f>VLOOKUP(C472,Acc_Char!B:K,6,)</f>
        <v>Current Account</v>
      </c>
      <c r="O472" s="1336" t="str">
        <f>Summary!$B$4</f>
        <v>W1-2Jan26</v>
      </c>
      <c r="P472" s="1334" t="str">
        <f t="shared" si="28"/>
        <v>116632406789</v>
      </c>
      <c r="Q472" s="1385"/>
    </row>
    <row r="473" spans="1:17">
      <c r="A473" t="s">
        <v>1591</v>
      </c>
      <c r="B473" s="34" t="s">
        <v>110</v>
      </c>
      <c r="C473" s="34" t="s">
        <v>1407</v>
      </c>
      <c r="D473" s="1389" t="s">
        <v>2227</v>
      </c>
      <c r="E473" t="s">
        <v>2228</v>
      </c>
      <c r="F473" s="57">
        <v>519801210</v>
      </c>
      <c r="G473" s="57">
        <v>0</v>
      </c>
      <c r="H473" s="1082">
        <f t="shared" si="26"/>
        <v>519801210</v>
      </c>
      <c r="I473" s="1333" t="s">
        <v>39</v>
      </c>
      <c r="J473" s="1334" t="str">
        <f>VLOOKUP(C473,Acc_Char!B:K,3,)</f>
        <v>BW NAM DINH VU</v>
      </c>
      <c r="K473" s="1334" t="str">
        <f>VLOOKUP(C473,Acc_Char!B:K,7,)</f>
        <v>Subsidiaries</v>
      </c>
      <c r="L473" s="1334" t="str">
        <f t="shared" si="27"/>
        <v>Receipt from tenants</v>
      </c>
      <c r="M473" s="1335" t="str">
        <f>VLOOKUP(C473,Acc_Char!B:K,5,)</f>
        <v>VND</v>
      </c>
      <c r="N473" s="1335" t="str">
        <f>VLOOKUP(C473,Acc_Char!B:K,6,)</f>
        <v>Current Account</v>
      </c>
      <c r="O473" s="1336" t="str">
        <f>Summary!$B$4</f>
        <v>W1-2Jan26</v>
      </c>
      <c r="P473" s="1334" t="str">
        <f t="shared" si="28"/>
        <v>116632406789</v>
      </c>
    </row>
    <row r="474" spans="1:17">
      <c r="A474" t="s">
        <v>1591</v>
      </c>
      <c r="B474" s="34" t="s">
        <v>110</v>
      </c>
      <c r="C474" s="34" t="s">
        <v>717</v>
      </c>
      <c r="D474" s="1389" t="s">
        <v>2229</v>
      </c>
      <c r="E474" t="s">
        <v>2230</v>
      </c>
      <c r="F474" s="57">
        <v>1193392059</v>
      </c>
      <c r="G474" s="57">
        <v>0</v>
      </c>
      <c r="H474" s="1082">
        <f t="shared" si="26"/>
        <v>1193392059</v>
      </c>
      <c r="I474" s="1333" t="s">
        <v>39</v>
      </c>
      <c r="J474" s="1334" t="str">
        <f>VLOOKUP(C474,Acc_Char!B:K,3,)</f>
        <v>BW BAU BANG 01</v>
      </c>
      <c r="K474" s="1334" t="str">
        <f>VLOOKUP(C474,Acc_Char!B:K,7,)</f>
        <v>Subsidiaries</v>
      </c>
      <c r="L474" s="1334" t="str">
        <f t="shared" si="27"/>
        <v>Receipt from tenants</v>
      </c>
      <c r="M474" s="1335" t="str">
        <f>VLOOKUP(C474,Acc_Char!B:K,5,)</f>
        <v>VND</v>
      </c>
      <c r="N474" s="1335" t="str">
        <f>VLOOKUP(C474,Acc_Char!B:K,6,)</f>
        <v>Current Account</v>
      </c>
      <c r="O474" s="1336" t="str">
        <f>Summary!$B$4</f>
        <v>W1-2Jan26</v>
      </c>
      <c r="P474" s="1334" t="str">
        <f t="shared" si="28"/>
        <v>110002915294</v>
      </c>
    </row>
    <row r="475" spans="1:17">
      <c r="A475" t="s">
        <v>1591</v>
      </c>
      <c r="B475" s="34" t="s">
        <v>110</v>
      </c>
      <c r="C475" s="34" t="s">
        <v>500</v>
      </c>
      <c r="D475" s="1389" t="s">
        <v>2231</v>
      </c>
      <c r="E475" t="s">
        <v>2232</v>
      </c>
      <c r="F475" s="57">
        <v>1500643161</v>
      </c>
      <c r="G475" s="57">
        <v>0</v>
      </c>
      <c r="H475" s="1082">
        <f t="shared" si="26"/>
        <v>1500643161</v>
      </c>
      <c r="I475" s="1333" t="s">
        <v>39</v>
      </c>
      <c r="J475" s="1334" t="str">
        <f>VLOOKUP(C475,Acc_Char!B:K,3,)</f>
        <v>BWID HAI DUONG</v>
      </c>
      <c r="K475" s="1334" t="str">
        <f>VLOOKUP(C475,Acc_Char!B:K,7,)</f>
        <v>Subsidiaries</v>
      </c>
      <c r="L475" s="1334" t="str">
        <f t="shared" si="27"/>
        <v>Receipt from tenants</v>
      </c>
      <c r="M475" s="1335" t="str">
        <f>VLOOKUP(C475,Acc_Char!B:K,5,)</f>
        <v>VND</v>
      </c>
      <c r="N475" s="1335" t="str">
        <f>VLOOKUP(C475,Acc_Char!B:K,6,)</f>
        <v>Current Account</v>
      </c>
      <c r="O475" s="1336" t="str">
        <f>Summary!$B$4</f>
        <v>W1-2Jan26</v>
      </c>
      <c r="P475" s="1334" t="str">
        <f t="shared" si="28"/>
        <v>111007158888</v>
      </c>
    </row>
    <row r="476" spans="1:17">
      <c r="A476" t="s">
        <v>1591</v>
      </c>
      <c r="B476" s="34" t="s">
        <v>110</v>
      </c>
      <c r="C476" s="34" t="s">
        <v>717</v>
      </c>
      <c r="D476" s="1389" t="s">
        <v>2233</v>
      </c>
      <c r="E476" t="s">
        <v>2234</v>
      </c>
      <c r="F476" s="57">
        <v>237822196</v>
      </c>
      <c r="G476" s="57">
        <v>0</v>
      </c>
      <c r="H476" s="1082">
        <f t="shared" si="26"/>
        <v>237822196</v>
      </c>
      <c r="I476" s="1333" t="s">
        <v>39</v>
      </c>
      <c r="J476" s="1334" t="str">
        <f>VLOOKUP(C476,Acc_Char!B:K,3,)</f>
        <v>BW BAU BANG 01</v>
      </c>
      <c r="K476" s="1334" t="str">
        <f>VLOOKUP(C476,Acc_Char!B:K,7,)</f>
        <v>Subsidiaries</v>
      </c>
      <c r="L476" s="1334" t="str">
        <f t="shared" si="27"/>
        <v>Receipt from tenants</v>
      </c>
      <c r="M476" s="1335" t="str">
        <f>VLOOKUP(C476,Acc_Char!B:K,5,)</f>
        <v>VND</v>
      </c>
      <c r="N476" s="1335" t="str">
        <f>VLOOKUP(C476,Acc_Char!B:K,6,)</f>
        <v>Current Account</v>
      </c>
      <c r="O476" s="1336" t="str">
        <f>Summary!$B$4</f>
        <v>W1-2Jan26</v>
      </c>
      <c r="P476" s="1334" t="str">
        <f t="shared" si="28"/>
        <v>110002915294</v>
      </c>
    </row>
    <row r="477" spans="1:17">
      <c r="A477" t="s">
        <v>1591</v>
      </c>
      <c r="B477" s="34" t="s">
        <v>110</v>
      </c>
      <c r="C477" s="34" t="s">
        <v>500</v>
      </c>
      <c r="D477" s="1389" t="s">
        <v>2235</v>
      </c>
      <c r="E477" t="s">
        <v>2236</v>
      </c>
      <c r="F477" s="57">
        <v>1262383914</v>
      </c>
      <c r="G477" s="57">
        <v>0</v>
      </c>
      <c r="H477" s="1082">
        <f t="shared" si="26"/>
        <v>1262383914</v>
      </c>
      <c r="I477" s="1333" t="s">
        <v>39</v>
      </c>
      <c r="J477" s="1334" t="str">
        <f>VLOOKUP(C477,Acc_Char!B:K,3,)</f>
        <v>BWID HAI DUONG</v>
      </c>
      <c r="K477" s="1334" t="str">
        <f>VLOOKUP(C477,Acc_Char!B:K,7,)</f>
        <v>Subsidiaries</v>
      </c>
      <c r="L477" s="1334" t="str">
        <f t="shared" si="27"/>
        <v>Receipt from tenants</v>
      </c>
      <c r="M477" s="1335" t="str">
        <f>VLOOKUP(C477,Acc_Char!B:K,5,)</f>
        <v>VND</v>
      </c>
      <c r="N477" s="1335" t="str">
        <f>VLOOKUP(C477,Acc_Char!B:K,6,)</f>
        <v>Current Account</v>
      </c>
      <c r="O477" s="1336" t="str">
        <f>Summary!$B$4</f>
        <v>W1-2Jan26</v>
      </c>
      <c r="P477" s="1334" t="str">
        <f t="shared" si="28"/>
        <v>111007158888</v>
      </c>
    </row>
    <row r="478" spans="1:17">
      <c r="A478" t="s">
        <v>1591</v>
      </c>
      <c r="B478" s="34" t="s">
        <v>110</v>
      </c>
      <c r="C478" s="34" t="s">
        <v>500</v>
      </c>
      <c r="D478" s="1389" t="s">
        <v>2237</v>
      </c>
      <c r="E478" t="s">
        <v>2238</v>
      </c>
      <c r="F478" s="57">
        <v>4204368</v>
      </c>
      <c r="G478" s="57">
        <v>0</v>
      </c>
      <c r="H478" s="1082">
        <f t="shared" si="26"/>
        <v>4204368</v>
      </c>
      <c r="I478" s="1333" t="s">
        <v>39</v>
      </c>
      <c r="J478" s="1334" t="str">
        <f>VLOOKUP(C478,Acc_Char!B:K,3,)</f>
        <v>BWID HAI DUONG</v>
      </c>
      <c r="K478" s="1334" t="str">
        <f>VLOOKUP(C478,Acc_Char!B:K,7,)</f>
        <v>Subsidiaries</v>
      </c>
      <c r="L478" s="1334" t="str">
        <f t="shared" si="27"/>
        <v>Receipt from tenants</v>
      </c>
      <c r="M478" s="1335" t="str">
        <f>VLOOKUP(C478,Acc_Char!B:K,5,)</f>
        <v>VND</v>
      </c>
      <c r="N478" s="1335" t="str">
        <f>VLOOKUP(C478,Acc_Char!B:K,6,)</f>
        <v>Current Account</v>
      </c>
      <c r="O478" s="1336" t="str">
        <f>Summary!$B$4</f>
        <v>W1-2Jan26</v>
      </c>
      <c r="P478" s="1334" t="str">
        <f t="shared" si="28"/>
        <v>111007158888</v>
      </c>
    </row>
    <row r="479" spans="1:17">
      <c r="A479" t="s">
        <v>1591</v>
      </c>
      <c r="B479" s="34" t="s">
        <v>110</v>
      </c>
      <c r="C479" s="34" t="s">
        <v>504</v>
      </c>
      <c r="D479" s="1389" t="s">
        <v>2239</v>
      </c>
      <c r="E479" t="s">
        <v>2240</v>
      </c>
      <c r="F479" s="57">
        <v>511819859</v>
      </c>
      <c r="G479" s="57">
        <v>0</v>
      </c>
      <c r="H479" s="1082">
        <f t="shared" si="26"/>
        <v>511819859</v>
      </c>
      <c r="I479" s="1333" t="s">
        <v>39</v>
      </c>
      <c r="J479" s="1334" t="str">
        <f>VLOOKUP(C479,Acc_Char!B:K,3,)</f>
        <v>BWID BAC NINH</v>
      </c>
      <c r="K479" s="1334" t="str">
        <f>VLOOKUP(C479,Acc_Char!B:K,7,)</f>
        <v>Subsidiaries</v>
      </c>
      <c r="L479" s="1334" t="str">
        <f t="shared" si="27"/>
        <v>Receipt from tenants</v>
      </c>
      <c r="M479" s="1335" t="str">
        <f>VLOOKUP(C479,Acc_Char!B:K,5,)</f>
        <v>VND</v>
      </c>
      <c r="N479" s="1335" t="str">
        <f>VLOOKUP(C479,Acc_Char!B:K,6,)</f>
        <v>Current Account</v>
      </c>
      <c r="O479" s="1336" t="str">
        <f>Summary!$B$4</f>
        <v>W1-2Jan26</v>
      </c>
      <c r="P479" s="1334" t="str">
        <f t="shared" si="28"/>
        <v>118008108888</v>
      </c>
    </row>
    <row r="480" spans="1:17">
      <c r="A480" t="s">
        <v>1591</v>
      </c>
      <c r="B480" s="34" t="s">
        <v>110</v>
      </c>
      <c r="C480" s="34" t="s">
        <v>851</v>
      </c>
      <c r="D480" s="1389" t="s">
        <v>2241</v>
      </c>
      <c r="E480" t="s">
        <v>2242</v>
      </c>
      <c r="F480" s="57">
        <v>185809397</v>
      </c>
      <c r="G480" s="57">
        <v>0</v>
      </c>
      <c r="H480" s="1082">
        <f t="shared" si="26"/>
        <v>185809397</v>
      </c>
      <c r="I480" s="1333" t="s">
        <v>39</v>
      </c>
      <c r="J480" s="1334" t="str">
        <f>VLOOKUP(C480,Acc_Char!B:K,3,)</f>
        <v>BWID Tan Phu Trung</v>
      </c>
      <c r="K480" s="1334" t="str">
        <f>VLOOKUP(C480,Acc_Char!B:K,7,)</f>
        <v>Subsidiaries</v>
      </c>
      <c r="L480" s="1334" t="str">
        <f t="shared" si="27"/>
        <v>Receipt from tenants</v>
      </c>
      <c r="M480" s="1335" t="str">
        <f>VLOOKUP(C480,Acc_Char!B:K,5,)</f>
        <v>VND</v>
      </c>
      <c r="N480" s="1335" t="str">
        <f>VLOOKUP(C480,Acc_Char!B:K,6,)</f>
        <v>Current Account</v>
      </c>
      <c r="O480" s="1336" t="str">
        <f>Summary!$B$4</f>
        <v>W1-2Jan26</v>
      </c>
      <c r="P480" s="1334" t="str">
        <f t="shared" si="28"/>
        <v>117612416666</v>
      </c>
    </row>
    <row r="481" spans="1:16">
      <c r="A481" t="s">
        <v>1591</v>
      </c>
      <c r="B481" s="34" t="s">
        <v>110</v>
      </c>
      <c r="C481" s="34" t="s">
        <v>705</v>
      </c>
      <c r="D481" s="1389" t="s">
        <v>2243</v>
      </c>
      <c r="E481" t="s">
        <v>2244</v>
      </c>
      <c r="F481" s="57">
        <v>8518400</v>
      </c>
      <c r="G481" s="57">
        <v>0</v>
      </c>
      <c r="H481" s="1082">
        <f t="shared" si="26"/>
        <v>8518400</v>
      </c>
      <c r="I481" s="1333" t="s">
        <v>39</v>
      </c>
      <c r="J481" s="1334" t="str">
        <f>VLOOKUP(C481,Acc_Char!B:K,3,)</f>
        <v>LONG BINH</v>
      </c>
      <c r="K481" s="1334" t="str">
        <f>VLOOKUP(C481,Acc_Char!B:K,7,)</f>
        <v>Subsidiaries</v>
      </c>
      <c r="L481" s="1334" t="str">
        <f t="shared" si="27"/>
        <v>Receipt from tenants</v>
      </c>
      <c r="M481" s="1335" t="str">
        <f>VLOOKUP(C481,Acc_Char!B:K,5,)</f>
        <v>VND</v>
      </c>
      <c r="N481" s="1335" t="str">
        <f>VLOOKUP(C481,Acc_Char!B:K,6,)</f>
        <v>Current Account</v>
      </c>
      <c r="O481" s="1336" t="str">
        <f>Summary!$B$4</f>
        <v>W1-2Jan26</v>
      </c>
      <c r="P481" s="1334" t="str">
        <f t="shared" si="28"/>
        <v>111002903335</v>
      </c>
    </row>
    <row r="482" spans="1:16">
      <c r="A482" t="s">
        <v>1591</v>
      </c>
      <c r="B482" s="34" t="s">
        <v>110</v>
      </c>
      <c r="C482" s="34" t="s">
        <v>562</v>
      </c>
      <c r="D482" s="1389" t="s">
        <v>2245</v>
      </c>
      <c r="E482" t="s">
        <v>2246</v>
      </c>
      <c r="F482" s="57">
        <v>3078548</v>
      </c>
      <c r="G482" s="57">
        <v>0</v>
      </c>
      <c r="H482" s="1082">
        <f t="shared" si="26"/>
        <v>3078548</v>
      </c>
      <c r="I482" s="1333" t="s">
        <v>39</v>
      </c>
      <c r="J482" s="1334" t="str">
        <f>VLOOKUP(C482,Acc_Char!B:K,3,)</f>
        <v>HANOI MANAGEMENT SERVICES</v>
      </c>
      <c r="K482" s="1334" t="str">
        <f>VLOOKUP(C482,Acc_Char!B:K,7,)</f>
        <v>Subsidiaries</v>
      </c>
      <c r="L482" s="1334" t="str">
        <f t="shared" si="27"/>
        <v>Receipt from tenants</v>
      </c>
      <c r="M482" s="1335" t="str">
        <f>VLOOKUP(C482,Acc_Char!B:K,5,)</f>
        <v>VND</v>
      </c>
      <c r="N482" s="1335" t="str">
        <f>VLOOKUP(C482,Acc_Char!B:K,6,)</f>
        <v>Current Account</v>
      </c>
      <c r="O482" s="1336" t="str">
        <f>Summary!$B$4</f>
        <v>W1-2Jan26</v>
      </c>
      <c r="P482" s="1334" t="str">
        <f t="shared" si="28"/>
        <v>110002855448</v>
      </c>
    </row>
    <row r="483" spans="1:16">
      <c r="A483" t="s">
        <v>1591</v>
      </c>
      <c r="B483" s="34" t="s">
        <v>110</v>
      </c>
      <c r="C483" s="34" t="s">
        <v>504</v>
      </c>
      <c r="D483" s="1389" t="s">
        <v>2247</v>
      </c>
      <c r="E483" t="s">
        <v>2248</v>
      </c>
      <c r="F483" s="57">
        <v>731363457</v>
      </c>
      <c r="G483" s="57">
        <v>0</v>
      </c>
      <c r="H483" s="1082">
        <f t="shared" si="26"/>
        <v>731363457</v>
      </c>
      <c r="I483" s="1333" t="s">
        <v>39</v>
      </c>
      <c r="J483" s="1334" t="str">
        <f>VLOOKUP(C483,Acc_Char!B:K,3,)</f>
        <v>BWID BAC NINH</v>
      </c>
      <c r="K483" s="1334" t="str">
        <f>VLOOKUP(C483,Acc_Char!B:K,7,)</f>
        <v>Subsidiaries</v>
      </c>
      <c r="L483" s="1334" t="str">
        <f t="shared" si="27"/>
        <v>Receipt from tenants</v>
      </c>
      <c r="M483" s="1335" t="str">
        <f>VLOOKUP(C483,Acc_Char!B:K,5,)</f>
        <v>VND</v>
      </c>
      <c r="N483" s="1335" t="str">
        <f>VLOOKUP(C483,Acc_Char!B:K,6,)</f>
        <v>Current Account</v>
      </c>
      <c r="O483" s="1336" t="str">
        <f>Summary!$B$4</f>
        <v>W1-2Jan26</v>
      </c>
      <c r="P483" s="1334" t="str">
        <f t="shared" si="28"/>
        <v>118008108888</v>
      </c>
    </row>
    <row r="484" spans="1:16">
      <c r="A484" t="s">
        <v>1591</v>
      </c>
      <c r="B484" s="34" t="s">
        <v>110</v>
      </c>
      <c r="C484" s="34" t="s">
        <v>504</v>
      </c>
      <c r="D484" s="1389" t="s">
        <v>2249</v>
      </c>
      <c r="E484" t="s">
        <v>2250</v>
      </c>
      <c r="F484" s="57">
        <v>685114701</v>
      </c>
      <c r="G484" s="57">
        <v>0</v>
      </c>
      <c r="H484" s="1082">
        <f t="shared" si="26"/>
        <v>685114701</v>
      </c>
      <c r="I484" s="1333" t="s">
        <v>39</v>
      </c>
      <c r="J484" s="1334" t="str">
        <f>VLOOKUP(C484,Acc_Char!B:K,3,)</f>
        <v>BWID BAC NINH</v>
      </c>
      <c r="K484" s="1334" t="str">
        <f>VLOOKUP(C484,Acc_Char!B:K,7,)</f>
        <v>Subsidiaries</v>
      </c>
      <c r="L484" s="1334" t="str">
        <f t="shared" si="27"/>
        <v>Receipt from tenants</v>
      </c>
      <c r="M484" s="1335" t="str">
        <f>VLOOKUP(C484,Acc_Char!B:K,5,)</f>
        <v>VND</v>
      </c>
      <c r="N484" s="1335" t="str">
        <f>VLOOKUP(C484,Acc_Char!B:K,6,)</f>
        <v>Current Account</v>
      </c>
      <c r="O484" s="1336" t="str">
        <f>Summary!$B$4</f>
        <v>W1-2Jan26</v>
      </c>
      <c r="P484" s="1334" t="str">
        <f t="shared" si="28"/>
        <v>118008108888</v>
      </c>
    </row>
    <row r="485" spans="1:16">
      <c r="A485" t="s">
        <v>1591</v>
      </c>
      <c r="B485" s="34" t="s">
        <v>110</v>
      </c>
      <c r="C485" s="34" t="s">
        <v>500</v>
      </c>
      <c r="D485" s="1389" t="s">
        <v>2251</v>
      </c>
      <c r="E485" t="s">
        <v>2252</v>
      </c>
      <c r="F485" s="57">
        <v>3186850</v>
      </c>
      <c r="G485" s="57">
        <v>0</v>
      </c>
      <c r="H485" s="1082">
        <f t="shared" si="26"/>
        <v>3186850</v>
      </c>
      <c r="I485" s="1333" t="s">
        <v>39</v>
      </c>
      <c r="J485" s="1334" t="str">
        <f>VLOOKUP(C485,Acc_Char!B:K,3,)</f>
        <v>BWID HAI DUONG</v>
      </c>
      <c r="K485" s="1334" t="str">
        <f>VLOOKUP(C485,Acc_Char!B:K,7,)</f>
        <v>Subsidiaries</v>
      </c>
      <c r="L485" s="1334" t="str">
        <f t="shared" si="27"/>
        <v>Receipt from tenants</v>
      </c>
      <c r="M485" s="1335" t="str">
        <f>VLOOKUP(C485,Acc_Char!B:K,5,)</f>
        <v>VND</v>
      </c>
      <c r="N485" s="1335" t="str">
        <f>VLOOKUP(C485,Acc_Char!B:K,6,)</f>
        <v>Current Account</v>
      </c>
      <c r="O485" s="1336" t="str">
        <f>Summary!$B$4</f>
        <v>W1-2Jan26</v>
      </c>
      <c r="P485" s="1334" t="str">
        <f t="shared" si="28"/>
        <v>111007158888</v>
      </c>
    </row>
    <row r="486" spans="1:16">
      <c r="A486" t="s">
        <v>1591</v>
      </c>
      <c r="B486" s="34" t="s">
        <v>110</v>
      </c>
      <c r="C486" s="34" t="s">
        <v>702</v>
      </c>
      <c r="D486" s="1389" t="s">
        <v>2253</v>
      </c>
      <c r="E486" t="s">
        <v>2254</v>
      </c>
      <c r="F486" s="57">
        <v>177190000</v>
      </c>
      <c r="G486" s="57">
        <v>0</v>
      </c>
      <c r="H486" s="1082">
        <f t="shared" si="26"/>
        <v>177190000</v>
      </c>
      <c r="I486" s="1333" t="s">
        <v>39</v>
      </c>
      <c r="J486" s="1334" t="str">
        <f>VLOOKUP(C486,Acc_Char!B:K,3,)</f>
        <v>BAU BANG 6</v>
      </c>
      <c r="K486" s="1334" t="str">
        <f>VLOOKUP(C486,Acc_Char!B:K,7,)</f>
        <v>Subsidiaries</v>
      </c>
      <c r="L486" s="1334" t="str">
        <f t="shared" si="27"/>
        <v>Receipt from tenants</v>
      </c>
      <c r="M486" s="1335" t="str">
        <f>VLOOKUP(C486,Acc_Char!B:K,5,)</f>
        <v>VND</v>
      </c>
      <c r="N486" s="1335" t="str">
        <f>VLOOKUP(C486,Acc_Char!B:K,6,)</f>
        <v>Current Account</v>
      </c>
      <c r="O486" s="1336" t="str">
        <f>Summary!$B$4</f>
        <v>W1-2Jan26</v>
      </c>
      <c r="P486" s="1334" t="str">
        <f t="shared" si="28"/>
        <v>115624079999</v>
      </c>
    </row>
    <row r="487" spans="1:16">
      <c r="A487" t="s">
        <v>1591</v>
      </c>
      <c r="B487" s="34" t="s">
        <v>110</v>
      </c>
      <c r="C487" s="34" t="s">
        <v>717</v>
      </c>
      <c r="D487" s="1389" t="s">
        <v>2255</v>
      </c>
      <c r="E487" t="s">
        <v>2256</v>
      </c>
      <c r="F487" s="57">
        <v>363015367</v>
      </c>
      <c r="G487" s="57">
        <v>0</v>
      </c>
      <c r="H487" s="1082">
        <f t="shared" si="26"/>
        <v>363015367</v>
      </c>
      <c r="I487" s="1333" t="s">
        <v>39</v>
      </c>
      <c r="J487" s="1334" t="str">
        <f>VLOOKUP(C487,Acc_Char!B:K,3,)</f>
        <v>BW BAU BANG 01</v>
      </c>
      <c r="K487" s="1334" t="str">
        <f>VLOOKUP(C487,Acc_Char!B:K,7,)</f>
        <v>Subsidiaries</v>
      </c>
      <c r="L487" s="1334" t="str">
        <f t="shared" si="27"/>
        <v>Receipt from tenants</v>
      </c>
      <c r="M487" s="1335" t="str">
        <f>VLOOKUP(C487,Acc_Char!B:K,5,)</f>
        <v>VND</v>
      </c>
      <c r="N487" s="1335" t="str">
        <f>VLOOKUP(C487,Acc_Char!B:K,6,)</f>
        <v>Current Account</v>
      </c>
      <c r="O487" s="1336" t="str">
        <f>Summary!$B$4</f>
        <v>W1-2Jan26</v>
      </c>
      <c r="P487" s="1334" t="str">
        <f t="shared" si="28"/>
        <v>110002915294</v>
      </c>
    </row>
    <row r="488" spans="1:16">
      <c r="A488" t="s">
        <v>1591</v>
      </c>
      <c r="B488" s="34" t="s">
        <v>110</v>
      </c>
      <c r="C488" s="34" t="s">
        <v>717</v>
      </c>
      <c r="D488" s="1389" t="s">
        <v>2257</v>
      </c>
      <c r="E488" t="s">
        <v>2258</v>
      </c>
      <c r="F488" s="57">
        <v>500000000</v>
      </c>
      <c r="G488" s="57">
        <v>0</v>
      </c>
      <c r="H488" s="1082">
        <f t="shared" si="26"/>
        <v>500000000</v>
      </c>
      <c r="I488" s="1333" t="s">
        <v>39</v>
      </c>
      <c r="J488" s="1334" t="str">
        <f>VLOOKUP(C488,Acc_Char!B:K,3,)</f>
        <v>BW BAU BANG 01</v>
      </c>
      <c r="K488" s="1334" t="str">
        <f>VLOOKUP(C488,Acc_Char!B:K,7,)</f>
        <v>Subsidiaries</v>
      </c>
      <c r="L488" s="1334" t="str">
        <f t="shared" si="27"/>
        <v>Receipt from tenants</v>
      </c>
      <c r="M488" s="1335" t="str">
        <f>VLOOKUP(C488,Acc_Char!B:K,5,)</f>
        <v>VND</v>
      </c>
      <c r="N488" s="1335" t="str">
        <f>VLOOKUP(C488,Acc_Char!B:K,6,)</f>
        <v>Current Account</v>
      </c>
      <c r="O488" s="1336" t="str">
        <f>Summary!$B$4</f>
        <v>W1-2Jan26</v>
      </c>
      <c r="P488" s="1334" t="str">
        <f t="shared" si="28"/>
        <v>110002915294</v>
      </c>
    </row>
    <row r="489" spans="1:16">
      <c r="A489" t="s">
        <v>1591</v>
      </c>
      <c r="B489" s="34" t="s">
        <v>110</v>
      </c>
      <c r="C489" s="34" t="s">
        <v>717</v>
      </c>
      <c r="D489" s="1389" t="s">
        <v>2257</v>
      </c>
      <c r="E489" t="s">
        <v>2259</v>
      </c>
      <c r="F489" s="57">
        <v>319017892</v>
      </c>
      <c r="G489" s="57">
        <v>0</v>
      </c>
      <c r="H489" s="1082">
        <f t="shared" si="26"/>
        <v>319017892</v>
      </c>
      <c r="I489" s="1333" t="s">
        <v>39</v>
      </c>
      <c r="J489" s="1334" t="str">
        <f>VLOOKUP(C489,Acc_Char!B:K,3,)</f>
        <v>BW BAU BANG 01</v>
      </c>
      <c r="K489" s="1334" t="str">
        <f>VLOOKUP(C489,Acc_Char!B:K,7,)</f>
        <v>Subsidiaries</v>
      </c>
      <c r="L489" s="1334" t="str">
        <f t="shared" si="27"/>
        <v>Receipt from tenants</v>
      </c>
      <c r="M489" s="1335" t="str">
        <f>VLOOKUP(C489,Acc_Char!B:K,5,)</f>
        <v>VND</v>
      </c>
      <c r="N489" s="1335" t="str">
        <f>VLOOKUP(C489,Acc_Char!B:K,6,)</f>
        <v>Current Account</v>
      </c>
      <c r="O489" s="1336" t="str">
        <f>Summary!$B$4</f>
        <v>W1-2Jan26</v>
      </c>
      <c r="P489" s="1334" t="str">
        <f t="shared" si="28"/>
        <v>110002915294</v>
      </c>
    </row>
    <row r="490" spans="1:16">
      <c r="A490" t="s">
        <v>1591</v>
      </c>
      <c r="B490" s="34" t="s">
        <v>110</v>
      </c>
      <c r="C490" s="34" t="s">
        <v>717</v>
      </c>
      <c r="D490" s="1389" t="s">
        <v>2260</v>
      </c>
      <c r="E490" t="s">
        <v>2261</v>
      </c>
      <c r="F490" s="57">
        <v>151199136</v>
      </c>
      <c r="G490" s="57">
        <v>0</v>
      </c>
      <c r="H490" s="1082">
        <f t="shared" si="26"/>
        <v>151199136</v>
      </c>
      <c r="I490" s="1333" t="s">
        <v>39</v>
      </c>
      <c r="J490" s="1334" t="str">
        <f>VLOOKUP(C490,Acc_Char!B:K,3,)</f>
        <v>BW BAU BANG 01</v>
      </c>
      <c r="K490" s="1334" t="str">
        <f>VLOOKUP(C490,Acc_Char!B:K,7,)</f>
        <v>Subsidiaries</v>
      </c>
      <c r="L490" s="1334" t="str">
        <f t="shared" si="27"/>
        <v>Receipt from tenants</v>
      </c>
      <c r="M490" s="1335" t="str">
        <f>VLOOKUP(C490,Acc_Char!B:K,5,)</f>
        <v>VND</v>
      </c>
      <c r="N490" s="1335" t="str">
        <f>VLOOKUP(C490,Acc_Char!B:K,6,)</f>
        <v>Current Account</v>
      </c>
      <c r="O490" s="1336" t="str">
        <f>Summary!$B$4</f>
        <v>W1-2Jan26</v>
      </c>
      <c r="P490" s="1334" t="str">
        <f t="shared" si="28"/>
        <v>110002915294</v>
      </c>
    </row>
    <row r="491" spans="1:16">
      <c r="A491" t="s">
        <v>1591</v>
      </c>
      <c r="B491" s="34" t="s">
        <v>110</v>
      </c>
      <c r="C491" s="34" t="s">
        <v>717</v>
      </c>
      <c r="D491" s="1389" t="s">
        <v>2262</v>
      </c>
      <c r="E491" t="s">
        <v>2263</v>
      </c>
      <c r="F491" s="57">
        <v>160000</v>
      </c>
      <c r="G491" s="57">
        <v>0</v>
      </c>
      <c r="H491" s="1082">
        <f t="shared" si="26"/>
        <v>160000</v>
      </c>
      <c r="I491" s="1333" t="s">
        <v>39</v>
      </c>
      <c r="J491" s="1334" t="str">
        <f>VLOOKUP(C491,Acc_Char!B:K,3,)</f>
        <v>BW BAU BANG 01</v>
      </c>
      <c r="K491" s="1334" t="str">
        <f>VLOOKUP(C491,Acc_Char!B:K,7,)</f>
        <v>Subsidiaries</v>
      </c>
      <c r="L491" s="1334" t="str">
        <f t="shared" si="27"/>
        <v>Receipt from tenants</v>
      </c>
      <c r="M491" s="1335" t="str">
        <f>VLOOKUP(C491,Acc_Char!B:K,5,)</f>
        <v>VND</v>
      </c>
      <c r="N491" s="1335" t="str">
        <f>VLOOKUP(C491,Acc_Char!B:K,6,)</f>
        <v>Current Account</v>
      </c>
      <c r="O491" s="1336" t="str">
        <f>Summary!$B$4</f>
        <v>W1-2Jan26</v>
      </c>
      <c r="P491" s="1334" t="str">
        <f t="shared" si="28"/>
        <v>110002915294</v>
      </c>
    </row>
    <row r="492" spans="1:16">
      <c r="A492" t="s">
        <v>1591</v>
      </c>
      <c r="B492" s="34" t="s">
        <v>110</v>
      </c>
      <c r="C492" s="34" t="s">
        <v>717</v>
      </c>
      <c r="D492" s="1389" t="s">
        <v>2264</v>
      </c>
      <c r="E492" t="s">
        <v>2265</v>
      </c>
      <c r="F492" s="57">
        <v>226296105</v>
      </c>
      <c r="G492" s="57">
        <v>0</v>
      </c>
      <c r="H492" s="1082">
        <f t="shared" si="26"/>
        <v>226296105</v>
      </c>
      <c r="I492" s="1333" t="s">
        <v>39</v>
      </c>
      <c r="J492" s="1334" t="str">
        <f>VLOOKUP(C492,Acc_Char!B:K,3,)</f>
        <v>BW BAU BANG 01</v>
      </c>
      <c r="K492" s="1334" t="str">
        <f>VLOOKUP(C492,Acc_Char!B:K,7,)</f>
        <v>Subsidiaries</v>
      </c>
      <c r="L492" s="1334" t="str">
        <f t="shared" si="27"/>
        <v>Receipt from tenants</v>
      </c>
      <c r="M492" s="1335" t="str">
        <f>VLOOKUP(C492,Acc_Char!B:K,5,)</f>
        <v>VND</v>
      </c>
      <c r="N492" s="1335" t="str">
        <f>VLOOKUP(C492,Acc_Char!B:K,6,)</f>
        <v>Current Account</v>
      </c>
      <c r="O492" s="1336" t="str">
        <f>Summary!$B$4</f>
        <v>W1-2Jan26</v>
      </c>
      <c r="P492" s="1334" t="str">
        <f t="shared" si="28"/>
        <v>110002915294</v>
      </c>
    </row>
    <row r="493" spans="1:16">
      <c r="A493" t="s">
        <v>1591</v>
      </c>
      <c r="B493" s="34" t="s">
        <v>110</v>
      </c>
      <c r="C493" s="34" t="s">
        <v>669</v>
      </c>
      <c r="D493" s="1389" t="s">
        <v>2266</v>
      </c>
      <c r="E493" t="s">
        <v>2267</v>
      </c>
      <c r="F493" s="57">
        <v>4690139</v>
      </c>
      <c r="G493" s="57">
        <v>0</v>
      </c>
      <c r="H493" s="1082">
        <f t="shared" si="26"/>
        <v>4690139</v>
      </c>
      <c r="I493" s="1333" t="s">
        <v>39</v>
      </c>
      <c r="J493" s="1334" t="str">
        <f>VLOOKUP(C493,Acc_Char!B:K,3,)</f>
        <v>VINA PARTNERS INVESTMENT</v>
      </c>
      <c r="K493" s="1334" t="str">
        <f>VLOOKUP(C493,Acc_Char!B:K,7,)</f>
        <v>Subsidiaries</v>
      </c>
      <c r="L493" s="1334" t="str">
        <f t="shared" si="27"/>
        <v>Receipt from tenants</v>
      </c>
      <c r="M493" s="1335" t="str">
        <f>VLOOKUP(C493,Acc_Char!B:K,5,)</f>
        <v>VND</v>
      </c>
      <c r="N493" s="1335" t="str">
        <f>VLOOKUP(C493,Acc_Char!B:K,6,)</f>
        <v>Current Account</v>
      </c>
      <c r="O493" s="1336" t="str">
        <f>Summary!$B$4</f>
        <v>W1-2Jan26</v>
      </c>
      <c r="P493" s="1334" t="str">
        <f t="shared" si="28"/>
        <v>111002902772</v>
      </c>
    </row>
    <row r="494" spans="1:16">
      <c r="A494" t="s">
        <v>1591</v>
      </c>
      <c r="B494" s="34" t="s">
        <v>110</v>
      </c>
      <c r="C494" s="34" t="s">
        <v>992</v>
      </c>
      <c r="D494" s="1389" t="s">
        <v>2268</v>
      </c>
      <c r="E494" t="s">
        <v>2269</v>
      </c>
      <c r="F494" s="57">
        <v>0</v>
      </c>
      <c r="G494" s="57">
        <v>26189344</v>
      </c>
      <c r="H494" s="1082">
        <f t="shared" si="26"/>
        <v>-26189344</v>
      </c>
      <c r="I494" s="1333" t="s">
        <v>53</v>
      </c>
      <c r="J494" s="1334" t="str">
        <f>VLOOKUP(C494,Acc_Char!B:K,3,)</f>
        <v>TAY HAI</v>
      </c>
      <c r="K494" s="1334" t="str">
        <f>VLOOKUP(C494,Acc_Char!B:K,7,)</f>
        <v>Subsidiaries</v>
      </c>
      <c r="L494" s="1334" t="str">
        <f t="shared" si="27"/>
        <v>Operating expense</v>
      </c>
      <c r="M494" s="1335" t="str">
        <f>VLOOKUP(C494,Acc_Char!B:K,5,)</f>
        <v>VND</v>
      </c>
      <c r="N494" s="1335" t="str">
        <f>VLOOKUP(C494,Acc_Char!B:K,6,)</f>
        <v>Current Account</v>
      </c>
      <c r="O494" s="1336" t="str">
        <f>Summary!$B$4</f>
        <v>W1-2Jan26</v>
      </c>
      <c r="P494" s="1334" t="str">
        <f t="shared" si="28"/>
        <v>110002969103</v>
      </c>
    </row>
    <row r="495" spans="1:16">
      <c r="A495" t="s">
        <v>1591</v>
      </c>
      <c r="B495" s="34" t="s">
        <v>110</v>
      </c>
      <c r="C495" s="34" t="s">
        <v>504</v>
      </c>
      <c r="D495" s="1389" t="s">
        <v>2270</v>
      </c>
      <c r="E495" t="s">
        <v>2271</v>
      </c>
      <c r="F495" s="57">
        <v>0</v>
      </c>
      <c r="G495" s="57">
        <v>14575000</v>
      </c>
      <c r="H495" s="1082">
        <f t="shared" si="26"/>
        <v>-14575000</v>
      </c>
      <c r="I495" s="1333" t="s">
        <v>53</v>
      </c>
      <c r="J495" s="1334" t="str">
        <f>VLOOKUP(C495,Acc_Char!B:K,3,)</f>
        <v>BWID BAC NINH</v>
      </c>
      <c r="K495" s="1334" t="str">
        <f>VLOOKUP(C495,Acc_Char!B:K,7,)</f>
        <v>Subsidiaries</v>
      </c>
      <c r="L495" s="1334" t="str">
        <f t="shared" si="27"/>
        <v>Operating expense</v>
      </c>
      <c r="M495" s="1335" t="str">
        <f>VLOOKUP(C495,Acc_Char!B:K,5,)</f>
        <v>VND</v>
      </c>
      <c r="N495" s="1335" t="str">
        <f>VLOOKUP(C495,Acc_Char!B:K,6,)</f>
        <v>Current Account</v>
      </c>
      <c r="O495" s="1336" t="str">
        <f>Summary!$B$4</f>
        <v>W1-2Jan26</v>
      </c>
      <c r="P495" s="1334" t="str">
        <f t="shared" si="28"/>
        <v>118008108888</v>
      </c>
    </row>
    <row r="496" spans="1:16">
      <c r="A496" t="s">
        <v>1591</v>
      </c>
      <c r="B496" s="34" t="s">
        <v>110</v>
      </c>
      <c r="C496" s="34" t="s">
        <v>504</v>
      </c>
      <c r="D496" s="1389" t="s">
        <v>2272</v>
      </c>
      <c r="E496" t="s">
        <v>2273</v>
      </c>
      <c r="F496" s="57">
        <v>0</v>
      </c>
      <c r="G496" s="57">
        <v>11680200</v>
      </c>
      <c r="H496" s="1082">
        <f t="shared" si="26"/>
        <v>-11680200</v>
      </c>
      <c r="I496" s="1333" t="s">
        <v>53</v>
      </c>
      <c r="J496" s="1334" t="str">
        <f>VLOOKUP(C496,Acc_Char!B:K,3,)</f>
        <v>BWID BAC NINH</v>
      </c>
      <c r="K496" s="1334" t="str">
        <f>VLOOKUP(C496,Acc_Char!B:K,7,)</f>
        <v>Subsidiaries</v>
      </c>
      <c r="L496" s="1334" t="str">
        <f t="shared" si="27"/>
        <v>Operating expense</v>
      </c>
      <c r="M496" s="1335" t="str">
        <f>VLOOKUP(C496,Acc_Char!B:K,5,)</f>
        <v>VND</v>
      </c>
      <c r="N496" s="1335" t="str">
        <f>VLOOKUP(C496,Acc_Char!B:K,6,)</f>
        <v>Current Account</v>
      </c>
      <c r="O496" s="1336" t="str">
        <f>Summary!$B$4</f>
        <v>W1-2Jan26</v>
      </c>
      <c r="P496" s="1334" t="str">
        <f t="shared" si="28"/>
        <v>118008108888</v>
      </c>
    </row>
    <row r="497" spans="1:17">
      <c r="A497" t="s">
        <v>1591</v>
      </c>
      <c r="B497" s="34" t="s">
        <v>110</v>
      </c>
      <c r="C497" s="34" t="s">
        <v>504</v>
      </c>
      <c r="D497" s="1389" t="s">
        <v>2274</v>
      </c>
      <c r="E497" t="s">
        <v>2275</v>
      </c>
      <c r="F497" s="57">
        <v>0</v>
      </c>
      <c r="G497" s="57">
        <v>23154120</v>
      </c>
      <c r="H497" s="1082">
        <f t="shared" si="26"/>
        <v>-23154120</v>
      </c>
      <c r="I497" s="1333" t="s">
        <v>53</v>
      </c>
      <c r="J497" s="1334" t="str">
        <f>VLOOKUP(C497,Acc_Char!B:K,3,)</f>
        <v>BWID BAC NINH</v>
      </c>
      <c r="K497" s="1334" t="str">
        <f>VLOOKUP(C497,Acc_Char!B:K,7,)</f>
        <v>Subsidiaries</v>
      </c>
      <c r="L497" s="1334" t="str">
        <f t="shared" si="27"/>
        <v>Operating expense</v>
      </c>
      <c r="M497" s="1335" t="str">
        <f>VLOOKUP(C497,Acc_Char!B:K,5,)</f>
        <v>VND</v>
      </c>
      <c r="N497" s="1335" t="str">
        <f>VLOOKUP(C497,Acc_Char!B:K,6,)</f>
        <v>Current Account</v>
      </c>
      <c r="O497" s="1336" t="str">
        <f>Summary!$B$4</f>
        <v>W1-2Jan26</v>
      </c>
      <c r="P497" s="1334" t="str">
        <f t="shared" si="28"/>
        <v>118008108888</v>
      </c>
    </row>
    <row r="498" spans="1:17">
      <c r="A498" t="s">
        <v>1591</v>
      </c>
      <c r="B498" s="34" t="s">
        <v>110</v>
      </c>
      <c r="C498" s="34" t="s">
        <v>504</v>
      </c>
      <c r="D498" s="1389" t="s">
        <v>2276</v>
      </c>
      <c r="E498" t="s">
        <v>2277</v>
      </c>
      <c r="F498" s="57">
        <v>0</v>
      </c>
      <c r="G498" s="57">
        <v>9412200</v>
      </c>
      <c r="H498" s="1082">
        <f t="shared" si="26"/>
        <v>-9412200</v>
      </c>
      <c r="I498" s="1333" t="s">
        <v>53</v>
      </c>
      <c r="J498" s="1334" t="str">
        <f>VLOOKUP(C498,Acc_Char!B:K,3,)</f>
        <v>BWID BAC NINH</v>
      </c>
      <c r="K498" s="1334" t="str">
        <f>VLOOKUP(C498,Acc_Char!B:K,7,)</f>
        <v>Subsidiaries</v>
      </c>
      <c r="L498" s="1334" t="str">
        <f t="shared" si="27"/>
        <v>Operating expense</v>
      </c>
      <c r="M498" s="1335" t="str">
        <f>VLOOKUP(C498,Acc_Char!B:K,5,)</f>
        <v>VND</v>
      </c>
      <c r="N498" s="1335" t="str">
        <f>VLOOKUP(C498,Acc_Char!B:K,6,)</f>
        <v>Current Account</v>
      </c>
      <c r="O498" s="1336" t="str">
        <f>Summary!$B$4</f>
        <v>W1-2Jan26</v>
      </c>
      <c r="P498" s="1334" t="str">
        <f t="shared" si="28"/>
        <v>118008108888</v>
      </c>
    </row>
    <row r="499" spans="1:17">
      <c r="A499" t="s">
        <v>1591</v>
      </c>
      <c r="B499" s="34" t="s">
        <v>110</v>
      </c>
      <c r="C499" s="34" t="s">
        <v>713</v>
      </c>
      <c r="D499" s="1389" t="s">
        <v>2278</v>
      </c>
      <c r="E499" t="s">
        <v>2279</v>
      </c>
      <c r="F499" s="57">
        <v>0</v>
      </c>
      <c r="G499" s="57">
        <v>39181598</v>
      </c>
      <c r="H499" s="1082">
        <f t="shared" si="26"/>
        <v>-39181598</v>
      </c>
      <c r="I499" s="1333" t="s">
        <v>53</v>
      </c>
      <c r="J499" s="1334" t="str">
        <f>VLOOKUP(C499,Acc_Char!B:K,3,)</f>
        <v>WINLOCK 2B</v>
      </c>
      <c r="K499" s="1334" t="str">
        <f>VLOOKUP(C499,Acc_Char!B:K,7,)</f>
        <v>Subsidiaries</v>
      </c>
      <c r="L499" s="1334" t="str">
        <f t="shared" si="27"/>
        <v>Operating expense</v>
      </c>
      <c r="M499" s="1335" t="str">
        <f>VLOOKUP(C499,Acc_Char!B:K,5,)</f>
        <v>VND</v>
      </c>
      <c r="N499" s="1335" t="str">
        <f>VLOOKUP(C499,Acc_Char!B:K,6,)</f>
        <v>Current Account</v>
      </c>
      <c r="O499" s="1336" t="str">
        <f>Summary!$B$4</f>
        <v>W1-2Jan26</v>
      </c>
      <c r="P499" s="1334" t="str">
        <f t="shared" si="28"/>
        <v>119642069999</v>
      </c>
    </row>
    <row r="500" spans="1:17">
      <c r="A500" t="s">
        <v>1591</v>
      </c>
      <c r="B500" s="34" t="s">
        <v>110</v>
      </c>
      <c r="C500" s="34" t="s">
        <v>707</v>
      </c>
      <c r="D500" s="1389" t="s">
        <v>2280</v>
      </c>
      <c r="E500" t="s">
        <v>2281</v>
      </c>
      <c r="F500" s="57">
        <v>0</v>
      </c>
      <c r="G500" s="57">
        <v>24495606</v>
      </c>
      <c r="H500" s="1082">
        <f t="shared" si="26"/>
        <v>-24495606</v>
      </c>
      <c r="I500" s="1333" t="s">
        <v>53</v>
      </c>
      <c r="J500" s="1334" t="str">
        <f>VLOOKUP(C500,Acc_Char!B:K,3,)</f>
        <v>XENIA 1</v>
      </c>
      <c r="K500" s="1334" t="str">
        <f>VLOOKUP(C500,Acc_Char!B:K,7,)</f>
        <v>Subsidiaries</v>
      </c>
      <c r="L500" s="1334" t="str">
        <f t="shared" si="27"/>
        <v>Operating expense</v>
      </c>
      <c r="M500" s="1335" t="str">
        <f>VLOOKUP(C500,Acc_Char!B:K,5,)</f>
        <v>VND</v>
      </c>
      <c r="N500" s="1335" t="str">
        <f>VLOOKUP(C500,Acc_Char!B:K,6,)</f>
        <v>Current Account</v>
      </c>
      <c r="O500" s="1336" t="str">
        <f>Summary!$B$4</f>
        <v>W1-2Jan26</v>
      </c>
      <c r="P500" s="1334" t="str">
        <f t="shared" si="28"/>
        <v>116646026868</v>
      </c>
    </row>
    <row r="501" spans="1:17">
      <c r="A501" t="s">
        <v>1591</v>
      </c>
      <c r="B501" s="34" t="s">
        <v>110</v>
      </c>
      <c r="C501" s="34" t="s">
        <v>709</v>
      </c>
      <c r="D501" s="1389" t="s">
        <v>2282</v>
      </c>
      <c r="E501" t="s">
        <v>2283</v>
      </c>
      <c r="F501" s="57">
        <v>0</v>
      </c>
      <c r="G501" s="57">
        <v>2014848</v>
      </c>
      <c r="H501" s="1082">
        <f t="shared" si="26"/>
        <v>-2014848</v>
      </c>
      <c r="I501" s="1333" t="s">
        <v>53</v>
      </c>
      <c r="J501" s="1334" t="str">
        <f>VLOOKUP(C501,Acc_Char!B:K,3,)</f>
        <v>XENIA 2</v>
      </c>
      <c r="K501" s="1334" t="str">
        <f>VLOOKUP(C501,Acc_Char!B:K,7,)</f>
        <v>Subsidiaries</v>
      </c>
      <c r="L501" s="1334" t="str">
        <f t="shared" si="27"/>
        <v>Operating expense</v>
      </c>
      <c r="M501" s="1335" t="str">
        <f>VLOOKUP(C501,Acc_Char!B:K,5,)</f>
        <v>VND</v>
      </c>
      <c r="N501" s="1335" t="str">
        <f>VLOOKUP(C501,Acc_Char!B:K,6,)</f>
        <v>Current Account</v>
      </c>
      <c r="O501" s="1336" t="str">
        <f>Summary!$B$4</f>
        <v>W1-2Jan26</v>
      </c>
      <c r="P501" s="1334" t="str">
        <f t="shared" si="28"/>
        <v>118625469999</v>
      </c>
    </row>
    <row r="502" spans="1:17">
      <c r="A502" t="s">
        <v>1591</v>
      </c>
      <c r="B502" s="34" t="s">
        <v>110</v>
      </c>
      <c r="C502" s="34" t="s">
        <v>709</v>
      </c>
      <c r="D502" s="1389" t="s">
        <v>2284</v>
      </c>
      <c r="E502" t="s">
        <v>2285</v>
      </c>
      <c r="F502" s="57">
        <v>0</v>
      </c>
      <c r="G502" s="57">
        <v>3158801</v>
      </c>
      <c r="H502" s="1082">
        <f t="shared" si="26"/>
        <v>-3158801</v>
      </c>
      <c r="I502" s="1333" t="s">
        <v>53</v>
      </c>
      <c r="J502" s="1334" t="str">
        <f>VLOOKUP(C502,Acc_Char!B:K,3,)</f>
        <v>XENIA 2</v>
      </c>
      <c r="K502" s="1334" t="str">
        <f>VLOOKUP(C502,Acc_Char!B:K,7,)</f>
        <v>Subsidiaries</v>
      </c>
      <c r="L502" s="1334" t="str">
        <f t="shared" si="27"/>
        <v>Operating expense</v>
      </c>
      <c r="M502" s="1335" t="str">
        <f>VLOOKUP(C502,Acc_Char!B:K,5,)</f>
        <v>VND</v>
      </c>
      <c r="N502" s="1335" t="str">
        <f>VLOOKUP(C502,Acc_Char!B:K,6,)</f>
        <v>Current Account</v>
      </c>
      <c r="O502" s="1336" t="str">
        <f>Summary!$B$4</f>
        <v>W1-2Jan26</v>
      </c>
      <c r="P502" s="1334" t="str">
        <f t="shared" si="28"/>
        <v>118625469999</v>
      </c>
    </row>
    <row r="503" spans="1:17">
      <c r="A503" t="s">
        <v>1591</v>
      </c>
      <c r="B503" s="34" t="s">
        <v>110</v>
      </c>
      <c r="C503" s="34" t="s">
        <v>707</v>
      </c>
      <c r="D503" s="1389" t="s">
        <v>2286</v>
      </c>
      <c r="E503" t="s">
        <v>2287</v>
      </c>
      <c r="F503" s="57">
        <v>0</v>
      </c>
      <c r="G503" s="57">
        <v>15624576</v>
      </c>
      <c r="H503" s="1082">
        <f t="shared" si="26"/>
        <v>-15624576</v>
      </c>
      <c r="I503" s="1333" t="s">
        <v>53</v>
      </c>
      <c r="J503" s="1334" t="str">
        <f>VLOOKUP(C503,Acc_Char!B:K,3,)</f>
        <v>XENIA 1</v>
      </c>
      <c r="K503" s="1334" t="str">
        <f>VLOOKUP(C503,Acc_Char!B:K,7,)</f>
        <v>Subsidiaries</v>
      </c>
      <c r="L503" s="1334" t="str">
        <f t="shared" si="27"/>
        <v>Operating expense</v>
      </c>
      <c r="M503" s="1335" t="str">
        <f>VLOOKUP(C503,Acc_Char!B:K,5,)</f>
        <v>VND</v>
      </c>
      <c r="N503" s="1335" t="str">
        <f>VLOOKUP(C503,Acc_Char!B:K,6,)</f>
        <v>Current Account</v>
      </c>
      <c r="O503" s="1336" t="str">
        <f>Summary!$B$4</f>
        <v>W1-2Jan26</v>
      </c>
      <c r="P503" s="1334" t="str">
        <f t="shared" si="28"/>
        <v>116646026868</v>
      </c>
    </row>
    <row r="504" spans="1:17">
      <c r="A504" t="s">
        <v>1591</v>
      </c>
      <c r="B504" s="34" t="s">
        <v>110</v>
      </c>
      <c r="C504" s="34" t="s">
        <v>711</v>
      </c>
      <c r="D504" s="1389" t="s">
        <v>2288</v>
      </c>
      <c r="E504" t="s">
        <v>2289</v>
      </c>
      <c r="F504" s="57">
        <v>0</v>
      </c>
      <c r="G504" s="57">
        <v>7964938</v>
      </c>
      <c r="H504" s="1082">
        <f t="shared" si="26"/>
        <v>-7964938</v>
      </c>
      <c r="I504" s="1333" t="s">
        <v>53</v>
      </c>
      <c r="J504" s="1334" t="str">
        <f>VLOOKUP(C504,Acc_Char!B:K,3,)</f>
        <v>WINLOCK 2A</v>
      </c>
      <c r="K504" s="1334" t="str">
        <f>VLOOKUP(C504,Acc_Char!B:K,7,)</f>
        <v>Subsidiaries</v>
      </c>
      <c r="L504" s="1334" t="str">
        <f t="shared" si="27"/>
        <v>Operating expense</v>
      </c>
      <c r="M504" s="1335" t="str">
        <f>VLOOKUP(C504,Acc_Char!B:K,5,)</f>
        <v>VND</v>
      </c>
      <c r="N504" s="1335" t="str">
        <f>VLOOKUP(C504,Acc_Char!B:K,6,)</f>
        <v>Current Account</v>
      </c>
      <c r="O504" s="1336" t="str">
        <f>Summary!$B$4</f>
        <v>W1-2Jan26</v>
      </c>
      <c r="P504" s="1334" t="str">
        <f t="shared" si="28"/>
        <v>114628748888</v>
      </c>
      <c r="Q504" s="1024"/>
    </row>
    <row r="505" spans="1:17">
      <c r="A505" t="s">
        <v>1591</v>
      </c>
      <c r="B505" s="34" t="s">
        <v>110</v>
      </c>
      <c r="C505" s="34" t="s">
        <v>711</v>
      </c>
      <c r="D505" s="1389" t="s">
        <v>2290</v>
      </c>
      <c r="E505" t="s">
        <v>2291</v>
      </c>
      <c r="F505" s="57">
        <v>0</v>
      </c>
      <c r="G505" s="57">
        <v>872932253</v>
      </c>
      <c r="H505" s="1082">
        <f t="shared" si="26"/>
        <v>-872932253</v>
      </c>
      <c r="I505" s="1333" t="s">
        <v>53</v>
      </c>
      <c r="J505" s="1334" t="str">
        <f>VLOOKUP(C505,Acc_Char!B:K,3,)</f>
        <v>WINLOCK 2A</v>
      </c>
      <c r="K505" s="1334" t="str">
        <f>VLOOKUP(C505,Acc_Char!B:K,7,)</f>
        <v>Subsidiaries</v>
      </c>
      <c r="L505" s="1334" t="str">
        <f t="shared" si="27"/>
        <v>Operating expense</v>
      </c>
      <c r="M505" s="1335" t="str">
        <f>VLOOKUP(C505,Acc_Char!B:K,5,)</f>
        <v>VND</v>
      </c>
      <c r="N505" s="1335" t="str">
        <f>VLOOKUP(C505,Acc_Char!B:K,6,)</f>
        <v>Current Account</v>
      </c>
      <c r="O505" s="1336" t="str">
        <f>Summary!$B$4</f>
        <v>W1-2Jan26</v>
      </c>
      <c r="P505" s="1334" t="str">
        <f t="shared" si="28"/>
        <v>114628748888</v>
      </c>
    </row>
    <row r="506" spans="1:17">
      <c r="A506" t="s">
        <v>1591</v>
      </c>
      <c r="B506" s="34" t="s">
        <v>110</v>
      </c>
      <c r="C506" s="34" t="s">
        <v>709</v>
      </c>
      <c r="D506" s="1389" t="s">
        <v>2292</v>
      </c>
      <c r="E506" t="s">
        <v>2293</v>
      </c>
      <c r="F506" s="57">
        <v>0</v>
      </c>
      <c r="G506" s="57">
        <v>14575000</v>
      </c>
      <c r="H506" s="1082">
        <f t="shared" si="26"/>
        <v>-14575000</v>
      </c>
      <c r="I506" s="1333" t="s">
        <v>53</v>
      </c>
      <c r="J506" s="1334" t="str">
        <f>VLOOKUP(C506,Acc_Char!B:K,3,)</f>
        <v>XENIA 2</v>
      </c>
      <c r="K506" s="1334" t="str">
        <f>VLOOKUP(C506,Acc_Char!B:K,7,)</f>
        <v>Subsidiaries</v>
      </c>
      <c r="L506" s="1334" t="str">
        <f t="shared" si="27"/>
        <v>Operating expense</v>
      </c>
      <c r="M506" s="1335" t="str">
        <f>VLOOKUP(C506,Acc_Char!B:K,5,)</f>
        <v>VND</v>
      </c>
      <c r="N506" s="1335" t="str">
        <f>VLOOKUP(C506,Acc_Char!B:K,6,)</f>
        <v>Current Account</v>
      </c>
      <c r="O506" s="1336" t="str">
        <f>Summary!$B$4</f>
        <v>W1-2Jan26</v>
      </c>
      <c r="P506" s="1334" t="str">
        <f t="shared" si="28"/>
        <v>118625469999</v>
      </c>
    </row>
    <row r="507" spans="1:17">
      <c r="A507" t="s">
        <v>1591</v>
      </c>
      <c r="B507" s="34" t="s">
        <v>110</v>
      </c>
      <c r="C507" s="34" t="s">
        <v>711</v>
      </c>
      <c r="D507" s="1389" t="s">
        <v>2294</v>
      </c>
      <c r="E507" t="s">
        <v>2295</v>
      </c>
      <c r="F507" s="57">
        <v>0</v>
      </c>
      <c r="G507" s="57">
        <v>11287781</v>
      </c>
      <c r="H507" s="1082">
        <f t="shared" si="26"/>
        <v>-11287781</v>
      </c>
      <c r="I507" s="1333" t="s">
        <v>53</v>
      </c>
      <c r="J507" s="1334" t="str">
        <f>VLOOKUP(C507,Acc_Char!B:K,3,)</f>
        <v>WINLOCK 2A</v>
      </c>
      <c r="K507" s="1334" t="str">
        <f>VLOOKUP(C507,Acc_Char!B:K,7,)</f>
        <v>Subsidiaries</v>
      </c>
      <c r="L507" s="1334" t="str">
        <f t="shared" si="27"/>
        <v>Operating expense</v>
      </c>
      <c r="M507" s="1335" t="str">
        <f>VLOOKUP(C507,Acc_Char!B:K,5,)</f>
        <v>VND</v>
      </c>
      <c r="N507" s="1335" t="str">
        <f>VLOOKUP(C507,Acc_Char!B:K,6,)</f>
        <v>Current Account</v>
      </c>
      <c r="O507" s="1336" t="str">
        <f>Summary!$B$4</f>
        <v>W1-2Jan26</v>
      </c>
      <c r="P507" s="1334" t="str">
        <f t="shared" si="28"/>
        <v>114628748888</v>
      </c>
    </row>
    <row r="508" spans="1:17">
      <c r="A508" t="s">
        <v>1591</v>
      </c>
      <c r="B508" s="34" t="s">
        <v>110</v>
      </c>
      <c r="C508" s="34" t="s">
        <v>707</v>
      </c>
      <c r="D508" s="1389" t="s">
        <v>2296</v>
      </c>
      <c r="E508" t="s">
        <v>2297</v>
      </c>
      <c r="F508" s="57">
        <v>0</v>
      </c>
      <c r="G508" s="57">
        <v>158974289</v>
      </c>
      <c r="H508" s="1082">
        <f t="shared" si="26"/>
        <v>-158974289</v>
      </c>
      <c r="I508" s="1333" t="s">
        <v>53</v>
      </c>
      <c r="J508" s="1334" t="str">
        <f>VLOOKUP(C508,Acc_Char!B:K,3,)</f>
        <v>XENIA 1</v>
      </c>
      <c r="K508" s="1334" t="str">
        <f>VLOOKUP(C508,Acc_Char!B:K,7,)</f>
        <v>Subsidiaries</v>
      </c>
      <c r="L508" s="1334" t="str">
        <f t="shared" si="27"/>
        <v>Operating expense</v>
      </c>
      <c r="M508" s="1335" t="str">
        <f>VLOOKUP(C508,Acc_Char!B:K,5,)</f>
        <v>VND</v>
      </c>
      <c r="N508" s="1335" t="str">
        <f>VLOOKUP(C508,Acc_Char!B:K,6,)</f>
        <v>Current Account</v>
      </c>
      <c r="O508" s="1336" t="str">
        <f>Summary!$B$4</f>
        <v>W1-2Jan26</v>
      </c>
      <c r="P508" s="1334" t="str">
        <f t="shared" si="28"/>
        <v>116646026868</v>
      </c>
    </row>
    <row r="509" spans="1:17">
      <c r="A509" t="s">
        <v>1591</v>
      </c>
      <c r="B509" s="34" t="s">
        <v>110</v>
      </c>
      <c r="C509" s="34" t="s">
        <v>709</v>
      </c>
      <c r="D509" s="1389" t="s">
        <v>2298</v>
      </c>
      <c r="E509" t="s">
        <v>2299</v>
      </c>
      <c r="F509" s="57">
        <v>0</v>
      </c>
      <c r="G509" s="57">
        <v>67980340</v>
      </c>
      <c r="H509" s="1082">
        <f t="shared" si="26"/>
        <v>-67980340</v>
      </c>
      <c r="I509" s="1333" t="s">
        <v>53</v>
      </c>
      <c r="J509" s="1334" t="str">
        <f>VLOOKUP(C509,Acc_Char!B:K,3,)</f>
        <v>XENIA 2</v>
      </c>
      <c r="K509" s="1334" t="str">
        <f>VLOOKUP(C509,Acc_Char!B:K,7,)</f>
        <v>Subsidiaries</v>
      </c>
      <c r="L509" s="1334" t="str">
        <f t="shared" si="27"/>
        <v>Operating expense</v>
      </c>
      <c r="M509" s="1335" t="str">
        <f>VLOOKUP(C509,Acc_Char!B:K,5,)</f>
        <v>VND</v>
      </c>
      <c r="N509" s="1335" t="str">
        <f>VLOOKUP(C509,Acc_Char!B:K,6,)</f>
        <v>Current Account</v>
      </c>
      <c r="O509" s="1336" t="str">
        <f>Summary!$B$4</f>
        <v>W1-2Jan26</v>
      </c>
      <c r="P509" s="1334" t="str">
        <f t="shared" si="28"/>
        <v>118625469999</v>
      </c>
    </row>
    <row r="510" spans="1:17">
      <c r="A510" t="s">
        <v>1591</v>
      </c>
      <c r="B510" s="34" t="s">
        <v>110</v>
      </c>
      <c r="C510" s="34" t="s">
        <v>711</v>
      </c>
      <c r="D510" s="1389" t="s">
        <v>2300</v>
      </c>
      <c r="E510" t="s">
        <v>2301</v>
      </c>
      <c r="F510" s="57">
        <v>0</v>
      </c>
      <c r="G510" s="57">
        <v>96992384</v>
      </c>
      <c r="H510" s="1082">
        <f t="shared" ref="H510:H573" si="29">F510-G510</f>
        <v>-96992384</v>
      </c>
      <c r="I510" s="1333" t="s">
        <v>53</v>
      </c>
      <c r="J510" s="1334" t="str">
        <f>VLOOKUP(C510,Acc_Char!B:K,3,)</f>
        <v>WINLOCK 2A</v>
      </c>
      <c r="K510" s="1334" t="str">
        <f>VLOOKUP(C510,Acc_Char!B:K,7,)</f>
        <v>Subsidiaries</v>
      </c>
      <c r="L510" s="1334" t="str">
        <f t="shared" si="27"/>
        <v>Operating expense</v>
      </c>
      <c r="M510" s="1335" t="str">
        <f>VLOOKUP(C510,Acc_Char!B:K,5,)</f>
        <v>VND</v>
      </c>
      <c r="N510" s="1335" t="str">
        <f>VLOOKUP(C510,Acc_Char!B:K,6,)</f>
        <v>Current Account</v>
      </c>
      <c r="O510" s="1336" t="str">
        <f>Summary!$B$4</f>
        <v>W1-2Jan26</v>
      </c>
      <c r="P510" s="1334" t="str">
        <f t="shared" si="28"/>
        <v>114628748888</v>
      </c>
    </row>
    <row r="511" spans="1:17">
      <c r="A511" t="s">
        <v>1591</v>
      </c>
      <c r="B511" s="34" t="s">
        <v>110</v>
      </c>
      <c r="C511" s="34" t="s">
        <v>698</v>
      </c>
      <c r="D511" s="1389" t="s">
        <v>2302</v>
      </c>
      <c r="E511" t="s">
        <v>2303</v>
      </c>
      <c r="F511" s="57">
        <v>0</v>
      </c>
      <c r="G511" s="57">
        <v>79997979</v>
      </c>
      <c r="H511" s="1082">
        <f t="shared" si="29"/>
        <v>-79997979</v>
      </c>
      <c r="I511" s="1333" t="s">
        <v>53</v>
      </c>
      <c r="J511" s="1334" t="str">
        <f>VLOOKUP(C511,Acc_Char!B:K,3,)</f>
        <v>YEN PHONG</v>
      </c>
      <c r="K511" s="1334" t="str">
        <f>VLOOKUP(C511,Acc_Char!B:K,7,)</f>
        <v>Subsidiaries</v>
      </c>
      <c r="L511" s="1334" t="str">
        <f t="shared" si="27"/>
        <v>Operating expense</v>
      </c>
      <c r="M511" s="1335" t="str">
        <f>VLOOKUP(C511,Acc_Char!B:K,5,)</f>
        <v>VND</v>
      </c>
      <c r="N511" s="1335" t="str">
        <f>VLOOKUP(C511,Acc_Char!B:K,6,)</f>
        <v>Current Account</v>
      </c>
      <c r="O511" s="1336" t="str">
        <f>Summary!$B$4</f>
        <v>W1-2Jan26</v>
      </c>
      <c r="P511" s="1334" t="str">
        <f t="shared" si="28"/>
        <v>114638028888</v>
      </c>
      <c r="Q511" s="1024"/>
    </row>
    <row r="512" spans="1:17">
      <c r="A512" t="s">
        <v>1591</v>
      </c>
      <c r="B512" s="34" t="s">
        <v>110</v>
      </c>
      <c r="C512" s="34" t="s">
        <v>587</v>
      </c>
      <c r="D512" s="1389" t="s">
        <v>2304</v>
      </c>
      <c r="E512" t="s">
        <v>2305</v>
      </c>
      <c r="F512" s="57">
        <v>0</v>
      </c>
      <c r="G512" s="57">
        <v>652536000</v>
      </c>
      <c r="H512" s="1082">
        <f t="shared" si="29"/>
        <v>-652536000</v>
      </c>
      <c r="I512" s="1333" t="s">
        <v>53</v>
      </c>
      <c r="J512" s="1334" t="str">
        <f>VLOOKUP(C512,Acc_Char!B:K,3,)</f>
        <v>SAO HOA</v>
      </c>
      <c r="K512" s="1334" t="str">
        <f>VLOOKUP(C512,Acc_Char!B:K,7,)</f>
        <v>VC3</v>
      </c>
      <c r="L512" s="1334" t="str">
        <f t="shared" si="27"/>
        <v>Operating expense</v>
      </c>
      <c r="M512" s="1335" t="str">
        <f>VLOOKUP(C512,Acc_Char!B:K,5,)</f>
        <v>VND</v>
      </c>
      <c r="N512" s="1335" t="str">
        <f>VLOOKUP(C512,Acc_Char!B:K,6,)</f>
        <v>Current Account</v>
      </c>
      <c r="O512" s="1336" t="str">
        <f>Summary!$B$4</f>
        <v>W1-2Jan26</v>
      </c>
      <c r="P512" s="1334" t="str">
        <f t="shared" si="28"/>
        <v>114002874189</v>
      </c>
    </row>
    <row r="513" spans="1:16">
      <c r="A513" t="s">
        <v>1591</v>
      </c>
      <c r="B513" s="34" t="s">
        <v>110</v>
      </c>
      <c r="C513" s="34" t="s">
        <v>587</v>
      </c>
      <c r="D513" s="1389" t="s">
        <v>2306</v>
      </c>
      <c r="E513" t="s">
        <v>2307</v>
      </c>
      <c r="F513" s="57">
        <v>0</v>
      </c>
      <c r="G513" s="57">
        <v>358414609</v>
      </c>
      <c r="H513" s="1082">
        <f t="shared" si="29"/>
        <v>-358414609</v>
      </c>
      <c r="I513" s="1333" t="s">
        <v>53</v>
      </c>
      <c r="J513" s="1334" t="str">
        <f>VLOOKUP(C513,Acc_Char!B:K,3,)</f>
        <v>SAO HOA</v>
      </c>
      <c r="K513" s="1334" t="str">
        <f>VLOOKUP(C513,Acc_Char!B:K,7,)</f>
        <v>VC3</v>
      </c>
      <c r="L513" s="1334" t="str">
        <f t="shared" si="27"/>
        <v>Operating expense</v>
      </c>
      <c r="M513" s="1335" t="str">
        <f>VLOOKUP(C513,Acc_Char!B:K,5,)</f>
        <v>VND</v>
      </c>
      <c r="N513" s="1335" t="str">
        <f>VLOOKUP(C513,Acc_Char!B:K,6,)</f>
        <v>Current Account</v>
      </c>
      <c r="O513" s="1336" t="str">
        <f>Summary!$B$4</f>
        <v>W1-2Jan26</v>
      </c>
      <c r="P513" s="1334" t="str">
        <f t="shared" si="28"/>
        <v>114002874189</v>
      </c>
    </row>
    <row r="514" spans="1:16">
      <c r="A514" t="s">
        <v>1591</v>
      </c>
      <c r="B514" s="34" t="s">
        <v>110</v>
      </c>
      <c r="C514" s="34" t="s">
        <v>587</v>
      </c>
      <c r="D514" s="1389" t="s">
        <v>2308</v>
      </c>
      <c r="E514" t="s">
        <v>2309</v>
      </c>
      <c r="F514" s="57">
        <v>0</v>
      </c>
      <c r="G514" s="57">
        <v>55484000</v>
      </c>
      <c r="H514" s="1082">
        <f t="shared" si="29"/>
        <v>-55484000</v>
      </c>
      <c r="I514" s="1333" t="s">
        <v>53</v>
      </c>
      <c r="J514" s="1334" t="str">
        <f>VLOOKUP(C514,Acc_Char!B:K,3,)</f>
        <v>SAO HOA</v>
      </c>
      <c r="K514" s="1334" t="str">
        <f>VLOOKUP(C514,Acc_Char!B:K,7,)</f>
        <v>VC3</v>
      </c>
      <c r="L514" s="1334" t="str">
        <f t="shared" si="27"/>
        <v>Operating expense</v>
      </c>
      <c r="M514" s="1335" t="str">
        <f>VLOOKUP(C514,Acc_Char!B:K,5,)</f>
        <v>VND</v>
      </c>
      <c r="N514" s="1335" t="str">
        <f>VLOOKUP(C514,Acc_Char!B:K,6,)</f>
        <v>Current Account</v>
      </c>
      <c r="O514" s="1336" t="str">
        <f>Summary!$B$4</f>
        <v>W1-2Jan26</v>
      </c>
      <c r="P514" s="1334" t="str">
        <f t="shared" si="28"/>
        <v>114002874189</v>
      </c>
    </row>
    <row r="515" spans="1:16">
      <c r="A515" t="s">
        <v>1591</v>
      </c>
      <c r="B515" s="34" t="s">
        <v>110</v>
      </c>
      <c r="C515" s="34" t="s">
        <v>587</v>
      </c>
      <c r="D515" s="1389" t="s">
        <v>2308</v>
      </c>
      <c r="E515" t="s">
        <v>2310</v>
      </c>
      <c r="F515" s="57">
        <v>0</v>
      </c>
      <c r="G515" s="57">
        <v>53500000</v>
      </c>
      <c r="H515" s="1082">
        <f t="shared" si="29"/>
        <v>-53500000</v>
      </c>
      <c r="I515" s="1333" t="s">
        <v>53</v>
      </c>
      <c r="J515" s="1334" t="str">
        <f>VLOOKUP(C515,Acc_Char!B:K,3,)</f>
        <v>SAO HOA</v>
      </c>
      <c r="K515" s="1334" t="str">
        <f>VLOOKUP(C515,Acc_Char!B:K,7,)</f>
        <v>VC3</v>
      </c>
      <c r="L515" s="1334" t="str">
        <f t="shared" si="27"/>
        <v>Operating expense</v>
      </c>
      <c r="M515" s="1335" t="str">
        <f>VLOOKUP(C515,Acc_Char!B:K,5,)</f>
        <v>VND</v>
      </c>
      <c r="N515" s="1335" t="str">
        <f>VLOOKUP(C515,Acc_Char!B:K,6,)</f>
        <v>Current Account</v>
      </c>
      <c r="O515" s="1336" t="str">
        <f>Summary!$B$4</f>
        <v>W1-2Jan26</v>
      </c>
      <c r="P515" s="1334" t="str">
        <f t="shared" si="28"/>
        <v>114002874189</v>
      </c>
    </row>
    <row r="516" spans="1:16">
      <c r="A516" t="s">
        <v>1591</v>
      </c>
      <c r="B516" s="34" t="s">
        <v>110</v>
      </c>
      <c r="C516" s="34" t="s">
        <v>587</v>
      </c>
      <c r="D516" s="1389" t="s">
        <v>2311</v>
      </c>
      <c r="E516" t="s">
        <v>2312</v>
      </c>
      <c r="F516" s="57">
        <v>0</v>
      </c>
      <c r="G516" s="57">
        <v>54399600</v>
      </c>
      <c r="H516" s="1082">
        <f t="shared" si="29"/>
        <v>-54399600</v>
      </c>
      <c r="I516" s="1333" t="s">
        <v>53</v>
      </c>
      <c r="J516" s="1334" t="str">
        <f>VLOOKUP(C516,Acc_Char!B:K,3,)</f>
        <v>SAO HOA</v>
      </c>
      <c r="K516" s="1334" t="str">
        <f>VLOOKUP(C516,Acc_Char!B:K,7,)</f>
        <v>VC3</v>
      </c>
      <c r="L516" s="1334" t="str">
        <f t="shared" si="27"/>
        <v>Operating expense</v>
      </c>
      <c r="M516" s="1335" t="str">
        <f>VLOOKUP(C516,Acc_Char!B:K,5,)</f>
        <v>VND</v>
      </c>
      <c r="N516" s="1335" t="str">
        <f>VLOOKUP(C516,Acc_Char!B:K,6,)</f>
        <v>Current Account</v>
      </c>
      <c r="O516" s="1336" t="str">
        <f>Summary!$B$4</f>
        <v>W1-2Jan26</v>
      </c>
      <c r="P516" s="1334" t="str">
        <f t="shared" si="28"/>
        <v>114002874189</v>
      </c>
    </row>
    <row r="517" spans="1:16">
      <c r="A517" t="s">
        <v>1591</v>
      </c>
      <c r="B517" s="34" t="s">
        <v>110</v>
      </c>
      <c r="C517" s="34" t="s">
        <v>587</v>
      </c>
      <c r="D517" s="1389" t="s">
        <v>2313</v>
      </c>
      <c r="E517" t="s">
        <v>2314</v>
      </c>
      <c r="F517" s="57">
        <v>0</v>
      </c>
      <c r="G517" s="57">
        <v>100100000</v>
      </c>
      <c r="H517" s="1082">
        <f t="shared" si="29"/>
        <v>-100100000</v>
      </c>
      <c r="I517" s="1333" t="s">
        <v>53</v>
      </c>
      <c r="J517" s="1334" t="str">
        <f>VLOOKUP(C517,Acc_Char!B:K,3,)</f>
        <v>SAO HOA</v>
      </c>
      <c r="K517" s="1334" t="str">
        <f>VLOOKUP(C517,Acc_Char!B:K,7,)</f>
        <v>VC3</v>
      </c>
      <c r="L517" s="1334" t="str">
        <f t="shared" ref="L517:L580" si="30">I517</f>
        <v>Operating expense</v>
      </c>
      <c r="M517" s="1335" t="str">
        <f>VLOOKUP(C517,Acc_Char!B:K,5,)</f>
        <v>VND</v>
      </c>
      <c r="N517" s="1335" t="str">
        <f>VLOOKUP(C517,Acc_Char!B:K,6,)</f>
        <v>Current Account</v>
      </c>
      <c r="O517" s="1336" t="str">
        <f>Summary!$B$4</f>
        <v>W1-2Jan26</v>
      </c>
      <c r="P517" s="1334" t="str">
        <f t="shared" ref="P517:P580" si="31">TEXT(C517,"0")</f>
        <v>114002874189</v>
      </c>
    </row>
    <row r="518" spans="1:16">
      <c r="A518" t="s">
        <v>1591</v>
      </c>
      <c r="B518" s="34" t="s">
        <v>110</v>
      </c>
      <c r="C518" s="34" t="s">
        <v>587</v>
      </c>
      <c r="D518" s="1389" t="s">
        <v>2315</v>
      </c>
      <c r="E518" t="s">
        <v>2316</v>
      </c>
      <c r="F518" s="57">
        <v>0</v>
      </c>
      <c r="G518" s="57">
        <v>1339200</v>
      </c>
      <c r="H518" s="1082">
        <f t="shared" si="29"/>
        <v>-1339200</v>
      </c>
      <c r="I518" s="1333" t="s">
        <v>53</v>
      </c>
      <c r="J518" s="1334" t="str">
        <f>VLOOKUP(C518,Acc_Char!B:K,3,)</f>
        <v>SAO HOA</v>
      </c>
      <c r="K518" s="1334" t="str">
        <f>VLOOKUP(C518,Acc_Char!B:K,7,)</f>
        <v>VC3</v>
      </c>
      <c r="L518" s="1334" t="str">
        <f t="shared" si="30"/>
        <v>Operating expense</v>
      </c>
      <c r="M518" s="1335" t="str">
        <f>VLOOKUP(C518,Acc_Char!B:K,5,)</f>
        <v>VND</v>
      </c>
      <c r="N518" s="1335" t="str">
        <f>VLOOKUP(C518,Acc_Char!B:K,6,)</f>
        <v>Current Account</v>
      </c>
      <c r="O518" s="1336" t="str">
        <f>Summary!$B$4</f>
        <v>W1-2Jan26</v>
      </c>
      <c r="P518" s="1334" t="str">
        <f t="shared" si="31"/>
        <v>114002874189</v>
      </c>
    </row>
    <row r="519" spans="1:16">
      <c r="A519" t="s">
        <v>1591</v>
      </c>
      <c r="B519" s="34" t="s">
        <v>110</v>
      </c>
      <c r="C519" s="34" t="s">
        <v>587</v>
      </c>
      <c r="D519" s="1389" t="s">
        <v>2317</v>
      </c>
      <c r="E519" t="s">
        <v>2318</v>
      </c>
      <c r="F519" s="57">
        <v>0</v>
      </c>
      <c r="G519" s="57">
        <v>108098374</v>
      </c>
      <c r="H519" s="1082">
        <f t="shared" si="29"/>
        <v>-108098374</v>
      </c>
      <c r="I519" s="1333" t="s">
        <v>53</v>
      </c>
      <c r="J519" s="1334" t="str">
        <f>VLOOKUP(C519,Acc_Char!B:K,3,)</f>
        <v>SAO HOA</v>
      </c>
      <c r="K519" s="1334" t="str">
        <f>VLOOKUP(C519,Acc_Char!B:K,7,)</f>
        <v>VC3</v>
      </c>
      <c r="L519" s="1334" t="str">
        <f t="shared" si="30"/>
        <v>Operating expense</v>
      </c>
      <c r="M519" s="1335" t="str">
        <f>VLOOKUP(C519,Acc_Char!B:K,5,)</f>
        <v>VND</v>
      </c>
      <c r="N519" s="1335" t="str">
        <f>VLOOKUP(C519,Acc_Char!B:K,6,)</f>
        <v>Current Account</v>
      </c>
      <c r="O519" s="1336" t="str">
        <f>Summary!$B$4</f>
        <v>W1-2Jan26</v>
      </c>
      <c r="P519" s="1334" t="str">
        <f t="shared" si="31"/>
        <v>114002874189</v>
      </c>
    </row>
    <row r="520" spans="1:16">
      <c r="A520" t="s">
        <v>1591</v>
      </c>
      <c r="B520" s="34" t="s">
        <v>110</v>
      </c>
      <c r="C520" s="34" t="s">
        <v>587</v>
      </c>
      <c r="D520" s="1389" t="s">
        <v>2319</v>
      </c>
      <c r="E520" t="s">
        <v>2320</v>
      </c>
      <c r="F520" s="57">
        <v>0</v>
      </c>
      <c r="G520" s="57">
        <v>210920398</v>
      </c>
      <c r="H520" s="1082">
        <f t="shared" si="29"/>
        <v>-210920398</v>
      </c>
      <c r="I520" s="1333" t="s">
        <v>53</v>
      </c>
      <c r="J520" s="1334" t="str">
        <f>VLOOKUP(C520,Acc_Char!B:K,3,)</f>
        <v>SAO HOA</v>
      </c>
      <c r="K520" s="1334" t="str">
        <f>VLOOKUP(C520,Acc_Char!B:K,7,)</f>
        <v>VC3</v>
      </c>
      <c r="L520" s="1334" t="str">
        <f t="shared" si="30"/>
        <v>Operating expense</v>
      </c>
      <c r="M520" s="1335" t="str">
        <f>VLOOKUP(C520,Acc_Char!B:K,5,)</f>
        <v>VND</v>
      </c>
      <c r="N520" s="1335" t="str">
        <f>VLOOKUP(C520,Acc_Char!B:K,6,)</f>
        <v>Current Account</v>
      </c>
      <c r="O520" s="1336" t="str">
        <f>Summary!$B$4</f>
        <v>W1-2Jan26</v>
      </c>
      <c r="P520" s="1334" t="str">
        <f t="shared" si="31"/>
        <v>114002874189</v>
      </c>
    </row>
    <row r="521" spans="1:16">
      <c r="A521" t="s">
        <v>1591</v>
      </c>
      <c r="B521" s="34" t="s">
        <v>110</v>
      </c>
      <c r="C521" s="34" t="s">
        <v>587</v>
      </c>
      <c r="D521" s="1389" t="s">
        <v>2321</v>
      </c>
      <c r="E521" t="s">
        <v>2322</v>
      </c>
      <c r="F521" s="57">
        <v>0</v>
      </c>
      <c r="G521" s="57">
        <v>219695500</v>
      </c>
      <c r="H521" s="1082">
        <f t="shared" si="29"/>
        <v>-219695500</v>
      </c>
      <c r="I521" s="1333" t="s">
        <v>53</v>
      </c>
      <c r="J521" s="1334" t="str">
        <f>VLOOKUP(C521,Acc_Char!B:K,3,)</f>
        <v>SAO HOA</v>
      </c>
      <c r="K521" s="1334" t="str">
        <f>VLOOKUP(C521,Acc_Char!B:K,7,)</f>
        <v>VC3</v>
      </c>
      <c r="L521" s="1334" t="str">
        <f t="shared" si="30"/>
        <v>Operating expense</v>
      </c>
      <c r="M521" s="1335" t="str">
        <f>VLOOKUP(C521,Acc_Char!B:K,5,)</f>
        <v>VND</v>
      </c>
      <c r="N521" s="1335" t="str">
        <f>VLOOKUP(C521,Acc_Char!B:K,6,)</f>
        <v>Current Account</v>
      </c>
      <c r="O521" s="1336" t="str">
        <f>Summary!$B$4</f>
        <v>W1-2Jan26</v>
      </c>
      <c r="P521" s="1334" t="str">
        <f t="shared" si="31"/>
        <v>114002874189</v>
      </c>
    </row>
    <row r="522" spans="1:16">
      <c r="A522" t="s">
        <v>1591</v>
      </c>
      <c r="B522" s="34" t="s">
        <v>110</v>
      </c>
      <c r="C522" s="34" t="s">
        <v>610</v>
      </c>
      <c r="D522" s="1389" t="s">
        <v>2321</v>
      </c>
      <c r="E522" t="s">
        <v>2323</v>
      </c>
      <c r="F522" s="57">
        <v>0</v>
      </c>
      <c r="G522" s="57">
        <v>108677160</v>
      </c>
      <c r="H522" s="1082">
        <f t="shared" si="29"/>
        <v>-108677160</v>
      </c>
      <c r="I522" s="1333" t="s">
        <v>53</v>
      </c>
      <c r="J522" s="1334" t="str">
        <f>VLOOKUP(C522,Acc_Char!B:K,3,)</f>
        <v>BWID Tan Phu Trung</v>
      </c>
      <c r="K522" s="1334" t="str">
        <f>VLOOKUP(C522,Acc_Char!B:K,7,)</f>
        <v>Subsidiaries</v>
      </c>
      <c r="L522" s="1334" t="str">
        <f t="shared" si="30"/>
        <v>Operating expense</v>
      </c>
      <c r="M522" s="1335" t="str">
        <f>VLOOKUP(C522,Acc_Char!B:K,5,)</f>
        <v>VND</v>
      </c>
      <c r="N522" s="1335" t="str">
        <f>VLOOKUP(C522,Acc_Char!B:K,6,)</f>
        <v>Current Account</v>
      </c>
      <c r="O522" s="1336" t="str">
        <f>Summary!$B$4</f>
        <v>W1-2Jan26</v>
      </c>
      <c r="P522" s="1334" t="str">
        <f t="shared" si="31"/>
        <v>110610727979</v>
      </c>
    </row>
    <row r="523" spans="1:16">
      <c r="A523" t="s">
        <v>1591</v>
      </c>
      <c r="B523" s="34" t="s">
        <v>110</v>
      </c>
      <c r="C523" s="34" t="s">
        <v>610</v>
      </c>
      <c r="D523" s="1389" t="s">
        <v>2321</v>
      </c>
      <c r="E523" t="s">
        <v>2324</v>
      </c>
      <c r="F523" s="57">
        <v>0</v>
      </c>
      <c r="G523" s="57">
        <v>77749606</v>
      </c>
      <c r="H523" s="1082">
        <f t="shared" si="29"/>
        <v>-77749606</v>
      </c>
      <c r="I523" s="1333" t="s">
        <v>53</v>
      </c>
      <c r="J523" s="1334" t="str">
        <f>VLOOKUP(C523,Acc_Char!B:K,3,)</f>
        <v>BWID Tan Phu Trung</v>
      </c>
      <c r="K523" s="1334" t="str">
        <f>VLOOKUP(C523,Acc_Char!B:K,7,)</f>
        <v>Subsidiaries</v>
      </c>
      <c r="L523" s="1334" t="str">
        <f t="shared" si="30"/>
        <v>Operating expense</v>
      </c>
      <c r="M523" s="1335" t="str">
        <f>VLOOKUP(C523,Acc_Char!B:K,5,)</f>
        <v>VND</v>
      </c>
      <c r="N523" s="1335" t="str">
        <f>VLOOKUP(C523,Acc_Char!B:K,6,)</f>
        <v>Current Account</v>
      </c>
      <c r="O523" s="1336" t="str">
        <f>Summary!$B$4</f>
        <v>W1-2Jan26</v>
      </c>
      <c r="P523" s="1334" t="str">
        <f t="shared" si="31"/>
        <v>110610727979</v>
      </c>
    </row>
    <row r="524" spans="1:16">
      <c r="A524" t="s">
        <v>1591</v>
      </c>
      <c r="B524" s="34" t="s">
        <v>110</v>
      </c>
      <c r="C524" s="34" t="s">
        <v>851</v>
      </c>
      <c r="D524" s="1389" t="s">
        <v>2321</v>
      </c>
      <c r="E524" t="s">
        <v>2325</v>
      </c>
      <c r="F524" s="57">
        <v>0</v>
      </c>
      <c r="G524" s="57">
        <v>28341804</v>
      </c>
      <c r="H524" s="1082">
        <f t="shared" si="29"/>
        <v>-28341804</v>
      </c>
      <c r="I524" s="1333" t="s">
        <v>53</v>
      </c>
      <c r="J524" s="1334" t="str">
        <f>VLOOKUP(C524,Acc_Char!B:K,3,)</f>
        <v>BWID Tan Phu Trung</v>
      </c>
      <c r="K524" s="1334" t="str">
        <f>VLOOKUP(C524,Acc_Char!B:K,7,)</f>
        <v>Subsidiaries</v>
      </c>
      <c r="L524" s="1334" t="str">
        <f t="shared" si="30"/>
        <v>Operating expense</v>
      </c>
      <c r="M524" s="1335" t="str">
        <f>VLOOKUP(C524,Acc_Char!B:K,5,)</f>
        <v>VND</v>
      </c>
      <c r="N524" s="1335" t="str">
        <f>VLOOKUP(C524,Acc_Char!B:K,6,)</f>
        <v>Current Account</v>
      </c>
      <c r="O524" s="1336" t="str">
        <f>Summary!$B$4</f>
        <v>W1-2Jan26</v>
      </c>
      <c r="P524" s="1334" t="str">
        <f t="shared" si="31"/>
        <v>117612416666</v>
      </c>
    </row>
    <row r="525" spans="1:16">
      <c r="A525" t="s">
        <v>1591</v>
      </c>
      <c r="B525" s="34" t="s">
        <v>110</v>
      </c>
      <c r="C525" s="34" t="s">
        <v>610</v>
      </c>
      <c r="D525" s="1389" t="s">
        <v>2321</v>
      </c>
      <c r="E525" t="s">
        <v>2326</v>
      </c>
      <c r="F525" s="57">
        <v>0</v>
      </c>
      <c r="G525" s="57">
        <v>14575000</v>
      </c>
      <c r="H525" s="1082">
        <f t="shared" si="29"/>
        <v>-14575000</v>
      </c>
      <c r="I525" s="1333" t="s">
        <v>53</v>
      </c>
      <c r="J525" s="1334" t="str">
        <f>VLOOKUP(C525,Acc_Char!B:K,3,)</f>
        <v>BWID Tan Phu Trung</v>
      </c>
      <c r="K525" s="1334" t="str">
        <f>VLOOKUP(C525,Acc_Char!B:K,7,)</f>
        <v>Subsidiaries</v>
      </c>
      <c r="L525" s="1334" t="str">
        <f t="shared" si="30"/>
        <v>Operating expense</v>
      </c>
      <c r="M525" s="1335" t="str">
        <f>VLOOKUP(C525,Acc_Char!B:K,5,)</f>
        <v>VND</v>
      </c>
      <c r="N525" s="1335" t="str">
        <f>VLOOKUP(C525,Acc_Char!B:K,6,)</f>
        <v>Current Account</v>
      </c>
      <c r="O525" s="1336" t="str">
        <f>Summary!$B$4</f>
        <v>W1-2Jan26</v>
      </c>
      <c r="P525" s="1334" t="str">
        <f t="shared" si="31"/>
        <v>110610727979</v>
      </c>
    </row>
    <row r="526" spans="1:16">
      <c r="A526" t="s">
        <v>1591</v>
      </c>
      <c r="B526" s="34" t="s">
        <v>110</v>
      </c>
      <c r="C526" s="34" t="s">
        <v>587</v>
      </c>
      <c r="D526" s="1389" t="s">
        <v>2321</v>
      </c>
      <c r="E526" t="s">
        <v>2327</v>
      </c>
      <c r="F526" s="57">
        <v>0</v>
      </c>
      <c r="G526" s="57">
        <v>10300735</v>
      </c>
      <c r="H526" s="1082">
        <f t="shared" si="29"/>
        <v>-10300735</v>
      </c>
      <c r="I526" s="1333" t="s">
        <v>53</v>
      </c>
      <c r="J526" s="1334" t="str">
        <f>VLOOKUP(C526,Acc_Char!B:K,3,)</f>
        <v>SAO HOA</v>
      </c>
      <c r="K526" s="1334" t="str">
        <f>VLOOKUP(C526,Acc_Char!B:K,7,)</f>
        <v>VC3</v>
      </c>
      <c r="L526" s="1334" t="str">
        <f t="shared" si="30"/>
        <v>Operating expense</v>
      </c>
      <c r="M526" s="1335" t="str">
        <f>VLOOKUP(C526,Acc_Char!B:K,5,)</f>
        <v>VND</v>
      </c>
      <c r="N526" s="1335" t="str">
        <f>VLOOKUP(C526,Acc_Char!B:K,6,)</f>
        <v>Current Account</v>
      </c>
      <c r="O526" s="1336" t="str">
        <f>Summary!$B$4</f>
        <v>W1-2Jan26</v>
      </c>
      <c r="P526" s="1334" t="str">
        <f t="shared" si="31"/>
        <v>114002874189</v>
      </c>
    </row>
    <row r="527" spans="1:16">
      <c r="A527" t="s">
        <v>1591</v>
      </c>
      <c r="B527" s="34" t="s">
        <v>110</v>
      </c>
      <c r="C527" s="34" t="s">
        <v>610</v>
      </c>
      <c r="D527" s="1389" t="s">
        <v>2321</v>
      </c>
      <c r="E527" t="s">
        <v>2328</v>
      </c>
      <c r="F527" s="57">
        <v>0</v>
      </c>
      <c r="G527" s="57">
        <v>9475469</v>
      </c>
      <c r="H527" s="1082">
        <f t="shared" si="29"/>
        <v>-9475469</v>
      </c>
      <c r="I527" s="1333" t="s">
        <v>53</v>
      </c>
      <c r="J527" s="1334" t="str">
        <f>VLOOKUP(C527,Acc_Char!B:K,3,)</f>
        <v>BWID Tan Phu Trung</v>
      </c>
      <c r="K527" s="1334" t="str">
        <f>VLOOKUP(C527,Acc_Char!B:K,7,)</f>
        <v>Subsidiaries</v>
      </c>
      <c r="L527" s="1334" t="str">
        <f t="shared" si="30"/>
        <v>Operating expense</v>
      </c>
      <c r="M527" s="1335" t="str">
        <f>VLOOKUP(C527,Acc_Char!B:K,5,)</f>
        <v>VND</v>
      </c>
      <c r="N527" s="1335" t="str">
        <f>VLOOKUP(C527,Acc_Char!B:K,6,)</f>
        <v>Current Account</v>
      </c>
      <c r="O527" s="1336" t="str">
        <f>Summary!$B$4</f>
        <v>W1-2Jan26</v>
      </c>
      <c r="P527" s="1334" t="str">
        <f t="shared" si="31"/>
        <v>110610727979</v>
      </c>
    </row>
    <row r="528" spans="1:16">
      <c r="A528" t="s">
        <v>1591</v>
      </c>
      <c r="B528" s="34" t="s">
        <v>110</v>
      </c>
      <c r="C528" s="34" t="s">
        <v>587</v>
      </c>
      <c r="D528" s="1389" t="s">
        <v>2321</v>
      </c>
      <c r="E528" t="s">
        <v>2329</v>
      </c>
      <c r="F528" s="57">
        <v>0</v>
      </c>
      <c r="G528" s="57">
        <v>7535430</v>
      </c>
      <c r="H528" s="1082">
        <f t="shared" si="29"/>
        <v>-7535430</v>
      </c>
      <c r="I528" s="1333" t="s">
        <v>53</v>
      </c>
      <c r="J528" s="1334" t="str">
        <f>VLOOKUP(C528,Acc_Char!B:K,3,)</f>
        <v>SAO HOA</v>
      </c>
      <c r="K528" s="1334" t="str">
        <f>VLOOKUP(C528,Acc_Char!B:K,7,)</f>
        <v>VC3</v>
      </c>
      <c r="L528" s="1334" t="str">
        <f t="shared" si="30"/>
        <v>Operating expense</v>
      </c>
      <c r="M528" s="1335" t="str">
        <f>VLOOKUP(C528,Acc_Char!B:K,5,)</f>
        <v>VND</v>
      </c>
      <c r="N528" s="1335" t="str">
        <f>VLOOKUP(C528,Acc_Char!B:K,6,)</f>
        <v>Current Account</v>
      </c>
      <c r="O528" s="1336" t="str">
        <f>Summary!$B$4</f>
        <v>W1-2Jan26</v>
      </c>
      <c r="P528" s="1334" t="str">
        <f t="shared" si="31"/>
        <v>114002874189</v>
      </c>
    </row>
    <row r="529" spans="1:17">
      <c r="A529" t="s">
        <v>1591</v>
      </c>
      <c r="B529" s="34" t="s">
        <v>110</v>
      </c>
      <c r="C529" s="34" t="s">
        <v>587</v>
      </c>
      <c r="D529" s="1389" t="s">
        <v>2321</v>
      </c>
      <c r="E529" t="s">
        <v>2330</v>
      </c>
      <c r="F529" s="57">
        <v>0</v>
      </c>
      <c r="G529" s="57">
        <v>3850000</v>
      </c>
      <c r="H529" s="1082">
        <f t="shared" si="29"/>
        <v>-3850000</v>
      </c>
      <c r="I529" s="1333" t="s">
        <v>53</v>
      </c>
      <c r="J529" s="1334" t="str">
        <f>VLOOKUP(C529,Acc_Char!B:K,3,)</f>
        <v>SAO HOA</v>
      </c>
      <c r="K529" s="1334" t="str">
        <f>VLOOKUP(C529,Acc_Char!B:K,7,)</f>
        <v>VC3</v>
      </c>
      <c r="L529" s="1334" t="str">
        <f t="shared" si="30"/>
        <v>Operating expense</v>
      </c>
      <c r="M529" s="1335" t="str">
        <f>VLOOKUP(C529,Acc_Char!B:K,5,)</f>
        <v>VND</v>
      </c>
      <c r="N529" s="1335" t="str">
        <f>VLOOKUP(C529,Acc_Char!B:K,6,)</f>
        <v>Current Account</v>
      </c>
      <c r="O529" s="1336" t="str">
        <f>Summary!$B$4</f>
        <v>W1-2Jan26</v>
      </c>
      <c r="P529" s="1334" t="str">
        <f t="shared" si="31"/>
        <v>114002874189</v>
      </c>
    </row>
    <row r="530" spans="1:17">
      <c r="A530" t="s">
        <v>1591</v>
      </c>
      <c r="B530" s="34" t="s">
        <v>110</v>
      </c>
      <c r="C530" s="34" t="s">
        <v>587</v>
      </c>
      <c r="D530" s="1389" t="s">
        <v>2331</v>
      </c>
      <c r="E530" t="s">
        <v>2332</v>
      </c>
      <c r="F530" s="57">
        <v>0</v>
      </c>
      <c r="G530" s="57">
        <v>280800000</v>
      </c>
      <c r="H530" s="1082">
        <f t="shared" si="29"/>
        <v>-280800000</v>
      </c>
      <c r="I530" s="1333" t="s">
        <v>53</v>
      </c>
      <c r="J530" s="1334" t="str">
        <f>VLOOKUP(C530,Acc_Char!B:K,3,)</f>
        <v>SAO HOA</v>
      </c>
      <c r="K530" s="1334" t="str">
        <f>VLOOKUP(C530,Acc_Char!B:K,7,)</f>
        <v>VC3</v>
      </c>
      <c r="L530" s="1334" t="str">
        <f t="shared" si="30"/>
        <v>Operating expense</v>
      </c>
      <c r="M530" s="1335" t="str">
        <f>VLOOKUP(C530,Acc_Char!B:K,5,)</f>
        <v>VND</v>
      </c>
      <c r="N530" s="1335" t="str">
        <f>VLOOKUP(C530,Acc_Char!B:K,6,)</f>
        <v>Current Account</v>
      </c>
      <c r="O530" s="1336" t="str">
        <f>Summary!$B$4</f>
        <v>W1-2Jan26</v>
      </c>
      <c r="P530" s="1334" t="str">
        <f t="shared" si="31"/>
        <v>114002874189</v>
      </c>
    </row>
    <row r="531" spans="1:17">
      <c r="A531" t="s">
        <v>1591</v>
      </c>
      <c r="B531" s="34" t="s">
        <v>110</v>
      </c>
      <c r="C531" s="34" t="s">
        <v>587</v>
      </c>
      <c r="D531" s="1389" t="s">
        <v>2331</v>
      </c>
      <c r="E531" t="s">
        <v>2333</v>
      </c>
      <c r="F531" s="57">
        <v>0</v>
      </c>
      <c r="G531" s="57">
        <v>249400000</v>
      </c>
      <c r="H531" s="1082">
        <f t="shared" si="29"/>
        <v>-249400000</v>
      </c>
      <c r="I531" s="1333" t="s">
        <v>53</v>
      </c>
      <c r="J531" s="1334" t="str">
        <f>VLOOKUP(C531,Acc_Char!B:K,3,)</f>
        <v>SAO HOA</v>
      </c>
      <c r="K531" s="1334" t="str">
        <f>VLOOKUP(C531,Acc_Char!B:K,7,)</f>
        <v>VC3</v>
      </c>
      <c r="L531" s="1334" t="str">
        <f t="shared" si="30"/>
        <v>Operating expense</v>
      </c>
      <c r="M531" s="1335" t="str">
        <f>VLOOKUP(C531,Acc_Char!B:K,5,)</f>
        <v>VND</v>
      </c>
      <c r="N531" s="1335" t="str">
        <f>VLOOKUP(C531,Acc_Char!B:K,6,)</f>
        <v>Current Account</v>
      </c>
      <c r="O531" s="1336" t="str">
        <f>Summary!$B$4</f>
        <v>W1-2Jan26</v>
      </c>
      <c r="P531" s="1334" t="str">
        <f t="shared" si="31"/>
        <v>114002874189</v>
      </c>
    </row>
    <row r="532" spans="1:17">
      <c r="A532" t="s">
        <v>1591</v>
      </c>
      <c r="B532" s="34" t="s">
        <v>110</v>
      </c>
      <c r="C532" s="34" t="s">
        <v>587</v>
      </c>
      <c r="D532" s="1389" t="s">
        <v>2331</v>
      </c>
      <c r="E532" t="s">
        <v>2334</v>
      </c>
      <c r="F532" s="57">
        <v>0</v>
      </c>
      <c r="G532" s="57">
        <v>204112237</v>
      </c>
      <c r="H532" s="1082">
        <f t="shared" si="29"/>
        <v>-204112237</v>
      </c>
      <c r="I532" s="1333" t="s">
        <v>53</v>
      </c>
      <c r="J532" s="1334" t="str">
        <f>VLOOKUP(C532,Acc_Char!B:K,3,)</f>
        <v>SAO HOA</v>
      </c>
      <c r="K532" s="1334" t="str">
        <f>VLOOKUP(C532,Acc_Char!B:K,7,)</f>
        <v>VC3</v>
      </c>
      <c r="L532" s="1334" t="str">
        <f t="shared" si="30"/>
        <v>Operating expense</v>
      </c>
      <c r="M532" s="1335" t="str">
        <f>VLOOKUP(C532,Acc_Char!B:K,5,)</f>
        <v>VND</v>
      </c>
      <c r="N532" s="1335" t="str">
        <f>VLOOKUP(C532,Acc_Char!B:K,6,)</f>
        <v>Current Account</v>
      </c>
      <c r="O532" s="1336" t="str">
        <f>Summary!$B$4</f>
        <v>W1-2Jan26</v>
      </c>
      <c r="P532" s="1334" t="str">
        <f t="shared" si="31"/>
        <v>114002874189</v>
      </c>
    </row>
    <row r="533" spans="1:17" s="1334" customFormat="1">
      <c r="A533" s="1342" t="s">
        <v>1591</v>
      </c>
      <c r="B533" s="1343" t="s">
        <v>110</v>
      </c>
      <c r="C533" s="1343" t="s">
        <v>587</v>
      </c>
      <c r="D533" s="1390" t="s">
        <v>2331</v>
      </c>
      <c r="E533" s="1342" t="s">
        <v>2335</v>
      </c>
      <c r="F533" s="1344">
        <v>0</v>
      </c>
      <c r="G533" s="1344">
        <v>171762187</v>
      </c>
      <c r="H533" s="1082">
        <f t="shared" si="29"/>
        <v>-171762187</v>
      </c>
      <c r="I533" s="1333" t="s">
        <v>53</v>
      </c>
      <c r="J533" s="1334" t="str">
        <f>VLOOKUP(C533,Acc_Char!B:K,3,)</f>
        <v>SAO HOA</v>
      </c>
      <c r="K533" s="1334" t="str">
        <f>VLOOKUP(C533,Acc_Char!B:K,7,)</f>
        <v>VC3</v>
      </c>
      <c r="L533" s="1334" t="str">
        <f t="shared" si="30"/>
        <v>Operating expense</v>
      </c>
      <c r="M533" s="1335" t="str">
        <f>VLOOKUP(C533,Acc_Char!B:K,5,)</f>
        <v>VND</v>
      </c>
      <c r="N533" s="1335" t="str">
        <f>VLOOKUP(C533,Acc_Char!B:K,6,)</f>
        <v>Current Account</v>
      </c>
      <c r="O533" s="1336" t="str">
        <f>Summary!$B$4</f>
        <v>W1-2Jan26</v>
      </c>
      <c r="P533" s="1334" t="str">
        <f t="shared" si="31"/>
        <v>114002874189</v>
      </c>
    </row>
    <row r="534" spans="1:17">
      <c r="A534" t="s">
        <v>1591</v>
      </c>
      <c r="B534" s="34" t="s">
        <v>110</v>
      </c>
      <c r="C534" s="34" t="s">
        <v>587</v>
      </c>
      <c r="D534" s="1389" t="s">
        <v>2331</v>
      </c>
      <c r="E534" t="s">
        <v>2336</v>
      </c>
      <c r="F534" s="57">
        <v>0</v>
      </c>
      <c r="G534" s="57">
        <v>162000000</v>
      </c>
      <c r="H534" s="1082">
        <f t="shared" si="29"/>
        <v>-162000000</v>
      </c>
      <c r="I534" s="1333" t="s">
        <v>53</v>
      </c>
      <c r="J534" s="1334" t="str">
        <f>VLOOKUP(C534,Acc_Char!B:K,3,)</f>
        <v>SAO HOA</v>
      </c>
      <c r="K534" s="1334" t="str">
        <f>VLOOKUP(C534,Acc_Char!B:K,7,)</f>
        <v>VC3</v>
      </c>
      <c r="L534" s="1334" t="str">
        <f t="shared" si="30"/>
        <v>Operating expense</v>
      </c>
      <c r="M534" s="1335" t="str">
        <f>VLOOKUP(C534,Acc_Char!B:K,5,)</f>
        <v>VND</v>
      </c>
      <c r="N534" s="1335" t="str">
        <f>VLOOKUP(C534,Acc_Char!B:K,6,)</f>
        <v>Current Account</v>
      </c>
      <c r="O534" s="1336" t="str">
        <f>Summary!$B$4</f>
        <v>W1-2Jan26</v>
      </c>
      <c r="P534" s="1334" t="str">
        <f t="shared" si="31"/>
        <v>114002874189</v>
      </c>
    </row>
    <row r="535" spans="1:17">
      <c r="A535" t="s">
        <v>1591</v>
      </c>
      <c r="B535" s="34" t="s">
        <v>110</v>
      </c>
      <c r="C535" s="34" t="s">
        <v>587</v>
      </c>
      <c r="D535" s="1389" t="s">
        <v>2331</v>
      </c>
      <c r="E535" t="s">
        <v>2337</v>
      </c>
      <c r="F535" s="57">
        <v>0</v>
      </c>
      <c r="G535" s="57">
        <v>106000000</v>
      </c>
      <c r="H535" s="1082">
        <f t="shared" si="29"/>
        <v>-106000000</v>
      </c>
      <c r="I535" s="1333" t="s">
        <v>53</v>
      </c>
      <c r="J535" s="1334" t="str">
        <f>VLOOKUP(C535,Acc_Char!B:K,3,)</f>
        <v>SAO HOA</v>
      </c>
      <c r="K535" s="1334" t="str">
        <f>VLOOKUP(C535,Acc_Char!B:K,7,)</f>
        <v>VC3</v>
      </c>
      <c r="L535" s="1334" t="str">
        <f t="shared" si="30"/>
        <v>Operating expense</v>
      </c>
      <c r="M535" s="1335" t="str">
        <f>VLOOKUP(C535,Acc_Char!B:K,5,)</f>
        <v>VND</v>
      </c>
      <c r="N535" s="1335" t="str">
        <f>VLOOKUP(C535,Acc_Char!B:K,6,)</f>
        <v>Current Account</v>
      </c>
      <c r="O535" s="1336" t="str">
        <f>Summary!$B$4</f>
        <v>W1-2Jan26</v>
      </c>
      <c r="P535" s="1334" t="str">
        <f t="shared" si="31"/>
        <v>114002874189</v>
      </c>
      <c r="Q535" s="1384"/>
    </row>
    <row r="536" spans="1:17">
      <c r="A536" t="s">
        <v>1591</v>
      </c>
      <c r="B536" s="34" t="s">
        <v>110</v>
      </c>
      <c r="C536" s="34" t="s">
        <v>587</v>
      </c>
      <c r="D536" s="1389" t="s">
        <v>2331</v>
      </c>
      <c r="E536" t="s">
        <v>2338</v>
      </c>
      <c r="F536" s="57">
        <v>0</v>
      </c>
      <c r="G536" s="57">
        <v>39600000</v>
      </c>
      <c r="H536" s="1082">
        <f t="shared" si="29"/>
        <v>-39600000</v>
      </c>
      <c r="I536" s="1333" t="s">
        <v>53</v>
      </c>
      <c r="J536" s="1334" t="str">
        <f>VLOOKUP(C536,Acc_Char!B:K,3,)</f>
        <v>SAO HOA</v>
      </c>
      <c r="K536" s="1334" t="str">
        <f>VLOOKUP(C536,Acc_Char!B:K,7,)</f>
        <v>VC3</v>
      </c>
      <c r="L536" s="1334" t="str">
        <f t="shared" si="30"/>
        <v>Operating expense</v>
      </c>
      <c r="M536" s="1335" t="str">
        <f>VLOOKUP(C536,Acc_Char!B:K,5,)</f>
        <v>VND</v>
      </c>
      <c r="N536" s="1335" t="str">
        <f>VLOOKUP(C536,Acc_Char!B:K,6,)</f>
        <v>Current Account</v>
      </c>
      <c r="O536" s="1336" t="str">
        <f>Summary!$B$4</f>
        <v>W1-2Jan26</v>
      </c>
      <c r="P536" s="1334" t="str">
        <f t="shared" si="31"/>
        <v>114002874189</v>
      </c>
      <c r="Q536" s="1384"/>
    </row>
    <row r="537" spans="1:17">
      <c r="A537" t="s">
        <v>1591</v>
      </c>
      <c r="B537" s="34" t="s">
        <v>110</v>
      </c>
      <c r="C537" s="34" t="s">
        <v>587</v>
      </c>
      <c r="D537" s="1389" t="s">
        <v>2331</v>
      </c>
      <c r="E537" t="s">
        <v>2339</v>
      </c>
      <c r="F537" s="57">
        <v>0</v>
      </c>
      <c r="G537" s="57">
        <v>34560000</v>
      </c>
      <c r="H537" s="1082">
        <f t="shared" si="29"/>
        <v>-34560000</v>
      </c>
      <c r="I537" s="1333" t="s">
        <v>53</v>
      </c>
      <c r="J537" s="1334" t="str">
        <f>VLOOKUP(C537,Acc_Char!B:K,3,)</f>
        <v>SAO HOA</v>
      </c>
      <c r="K537" s="1334" t="str">
        <f>VLOOKUP(C537,Acc_Char!B:K,7,)</f>
        <v>VC3</v>
      </c>
      <c r="L537" s="1334" t="str">
        <f t="shared" si="30"/>
        <v>Operating expense</v>
      </c>
      <c r="M537" s="1335" t="str">
        <f>VLOOKUP(C537,Acc_Char!B:K,5,)</f>
        <v>VND</v>
      </c>
      <c r="N537" s="1335" t="str">
        <f>VLOOKUP(C537,Acc_Char!B:K,6,)</f>
        <v>Current Account</v>
      </c>
      <c r="O537" s="1336" t="str">
        <f>Summary!$B$4</f>
        <v>W1-2Jan26</v>
      </c>
      <c r="P537" s="1334" t="str">
        <f t="shared" si="31"/>
        <v>114002874189</v>
      </c>
    </row>
    <row r="538" spans="1:17">
      <c r="A538" t="s">
        <v>1591</v>
      </c>
      <c r="B538" s="34" t="s">
        <v>110</v>
      </c>
      <c r="C538" s="34" t="s">
        <v>587</v>
      </c>
      <c r="D538" s="1389" t="s">
        <v>2331</v>
      </c>
      <c r="E538" t="s">
        <v>2340</v>
      </c>
      <c r="F538" s="57">
        <v>0</v>
      </c>
      <c r="G538" s="57">
        <v>28402584</v>
      </c>
      <c r="H538" s="1082">
        <f t="shared" si="29"/>
        <v>-28402584</v>
      </c>
      <c r="I538" s="1333" t="s">
        <v>53</v>
      </c>
      <c r="J538" s="1334" t="str">
        <f>VLOOKUP(C538,Acc_Char!B:K,3,)</f>
        <v>SAO HOA</v>
      </c>
      <c r="K538" s="1334" t="str">
        <f>VLOOKUP(C538,Acc_Char!B:K,7,)</f>
        <v>VC3</v>
      </c>
      <c r="L538" s="1334" t="str">
        <f t="shared" si="30"/>
        <v>Operating expense</v>
      </c>
      <c r="M538" s="1335" t="str">
        <f>VLOOKUP(C538,Acc_Char!B:K,5,)</f>
        <v>VND</v>
      </c>
      <c r="N538" s="1335" t="str">
        <f>VLOOKUP(C538,Acc_Char!B:K,6,)</f>
        <v>Current Account</v>
      </c>
      <c r="O538" s="1336" t="str">
        <f>Summary!$B$4</f>
        <v>W1-2Jan26</v>
      </c>
      <c r="P538" s="1334" t="str">
        <f t="shared" si="31"/>
        <v>114002874189</v>
      </c>
    </row>
    <row r="539" spans="1:17">
      <c r="A539" t="s">
        <v>1591</v>
      </c>
      <c r="B539" s="34" t="s">
        <v>110</v>
      </c>
      <c r="C539" s="34" t="s">
        <v>587</v>
      </c>
      <c r="D539" s="1389" t="s">
        <v>2331</v>
      </c>
      <c r="E539" t="s">
        <v>2341</v>
      </c>
      <c r="F539" s="57">
        <v>0</v>
      </c>
      <c r="G539" s="57">
        <v>20000000</v>
      </c>
      <c r="H539" s="1082">
        <f t="shared" si="29"/>
        <v>-20000000</v>
      </c>
      <c r="I539" s="1333" t="s">
        <v>53</v>
      </c>
      <c r="J539" s="1334" t="str">
        <f>VLOOKUP(C539,Acc_Char!B:K,3,)</f>
        <v>SAO HOA</v>
      </c>
      <c r="K539" s="1334" t="str">
        <f>VLOOKUP(C539,Acc_Char!B:K,7,)</f>
        <v>VC3</v>
      </c>
      <c r="L539" s="1334" t="str">
        <f t="shared" si="30"/>
        <v>Operating expense</v>
      </c>
      <c r="M539" s="1335" t="str">
        <f>VLOOKUP(C539,Acc_Char!B:K,5,)</f>
        <v>VND</v>
      </c>
      <c r="N539" s="1335" t="str">
        <f>VLOOKUP(C539,Acc_Char!B:K,6,)</f>
        <v>Current Account</v>
      </c>
      <c r="O539" s="1336" t="str">
        <f>Summary!$B$4</f>
        <v>W1-2Jan26</v>
      </c>
      <c r="P539" s="1334" t="str">
        <f t="shared" si="31"/>
        <v>114002874189</v>
      </c>
    </row>
    <row r="540" spans="1:17">
      <c r="A540" t="s">
        <v>1591</v>
      </c>
      <c r="B540" s="34" t="s">
        <v>110</v>
      </c>
      <c r="C540" s="34" t="s">
        <v>587</v>
      </c>
      <c r="D540" s="1389" t="s">
        <v>2331</v>
      </c>
      <c r="E540" t="s">
        <v>2342</v>
      </c>
      <c r="F540" s="57">
        <v>0</v>
      </c>
      <c r="G540" s="57">
        <v>17925466</v>
      </c>
      <c r="H540" s="1082">
        <f t="shared" si="29"/>
        <v>-17925466</v>
      </c>
      <c r="I540" s="1333" t="s">
        <v>53</v>
      </c>
      <c r="J540" s="1334" t="str">
        <f>VLOOKUP(C540,Acc_Char!B:K,3,)</f>
        <v>SAO HOA</v>
      </c>
      <c r="K540" s="1334" t="str">
        <f>VLOOKUP(C540,Acc_Char!B:K,7,)</f>
        <v>VC3</v>
      </c>
      <c r="L540" s="1334" t="str">
        <f t="shared" si="30"/>
        <v>Operating expense</v>
      </c>
      <c r="M540" s="1335" t="str">
        <f>VLOOKUP(C540,Acc_Char!B:K,5,)</f>
        <v>VND</v>
      </c>
      <c r="N540" s="1335" t="str">
        <f>VLOOKUP(C540,Acc_Char!B:K,6,)</f>
        <v>Current Account</v>
      </c>
      <c r="O540" s="1336" t="str">
        <f>Summary!$B$4</f>
        <v>W1-2Jan26</v>
      </c>
      <c r="P540" s="1334" t="str">
        <f t="shared" si="31"/>
        <v>114002874189</v>
      </c>
    </row>
    <row r="541" spans="1:17">
      <c r="A541" t="s">
        <v>1591</v>
      </c>
      <c r="B541" s="34" t="s">
        <v>110</v>
      </c>
      <c r="C541" s="34" t="s">
        <v>587</v>
      </c>
      <c r="D541" s="1389" t="s">
        <v>2331</v>
      </c>
      <c r="E541" t="s">
        <v>2343</v>
      </c>
      <c r="F541" s="57">
        <v>0</v>
      </c>
      <c r="G541" s="57">
        <v>17497207</v>
      </c>
      <c r="H541" s="1082">
        <f t="shared" si="29"/>
        <v>-17497207</v>
      </c>
      <c r="I541" s="1333" t="s">
        <v>53</v>
      </c>
      <c r="J541" s="1334" t="str">
        <f>VLOOKUP(C541,Acc_Char!B:K,3,)</f>
        <v>SAO HOA</v>
      </c>
      <c r="K541" s="1334" t="str">
        <f>VLOOKUP(C541,Acc_Char!B:K,7,)</f>
        <v>VC3</v>
      </c>
      <c r="L541" s="1334" t="str">
        <f t="shared" si="30"/>
        <v>Operating expense</v>
      </c>
      <c r="M541" s="1335" t="str">
        <f>VLOOKUP(C541,Acc_Char!B:K,5,)</f>
        <v>VND</v>
      </c>
      <c r="N541" s="1335" t="str">
        <f>VLOOKUP(C541,Acc_Char!B:K,6,)</f>
        <v>Current Account</v>
      </c>
      <c r="O541" s="1336" t="str">
        <f>Summary!$B$4</f>
        <v>W1-2Jan26</v>
      </c>
      <c r="P541" s="1334" t="str">
        <f t="shared" si="31"/>
        <v>114002874189</v>
      </c>
    </row>
    <row r="542" spans="1:17">
      <c r="A542" t="s">
        <v>1591</v>
      </c>
      <c r="B542" s="34" t="s">
        <v>110</v>
      </c>
      <c r="C542" s="34" t="s">
        <v>587</v>
      </c>
      <c r="D542" s="1389" t="s">
        <v>2331</v>
      </c>
      <c r="E542" t="s">
        <v>2344</v>
      </c>
      <c r="F542" s="57">
        <v>0</v>
      </c>
      <c r="G542" s="57">
        <v>13300000</v>
      </c>
      <c r="H542" s="1082">
        <f t="shared" si="29"/>
        <v>-13300000</v>
      </c>
      <c r="I542" s="1333" t="s">
        <v>53</v>
      </c>
      <c r="J542" s="1334" t="str">
        <f>VLOOKUP(C542,Acc_Char!B:K,3,)</f>
        <v>SAO HOA</v>
      </c>
      <c r="K542" s="1334" t="str">
        <f>VLOOKUP(C542,Acc_Char!B:K,7,)</f>
        <v>VC3</v>
      </c>
      <c r="L542" s="1334" t="str">
        <f t="shared" si="30"/>
        <v>Operating expense</v>
      </c>
      <c r="M542" s="1335" t="str">
        <f>VLOOKUP(C542,Acc_Char!B:K,5,)</f>
        <v>VND</v>
      </c>
      <c r="N542" s="1335" t="str">
        <f>VLOOKUP(C542,Acc_Char!B:K,6,)</f>
        <v>Current Account</v>
      </c>
      <c r="O542" s="1336" t="str">
        <f>Summary!$B$4</f>
        <v>W1-2Jan26</v>
      </c>
      <c r="P542" s="1334" t="str">
        <f t="shared" si="31"/>
        <v>114002874189</v>
      </c>
    </row>
    <row r="543" spans="1:17">
      <c r="A543" t="s">
        <v>1591</v>
      </c>
      <c r="B543" s="34" t="s">
        <v>110</v>
      </c>
      <c r="C543" s="34" t="s">
        <v>587</v>
      </c>
      <c r="D543" s="1389" t="s">
        <v>2331</v>
      </c>
      <c r="E543" t="s">
        <v>2345</v>
      </c>
      <c r="F543" s="57">
        <v>0</v>
      </c>
      <c r="G543" s="57">
        <v>12668573</v>
      </c>
      <c r="H543" s="1082">
        <f t="shared" si="29"/>
        <v>-12668573</v>
      </c>
      <c r="I543" s="1333" t="s">
        <v>53</v>
      </c>
      <c r="J543" s="1334" t="str">
        <f>VLOOKUP(C543,Acc_Char!B:K,3,)</f>
        <v>SAO HOA</v>
      </c>
      <c r="K543" s="1334" t="str">
        <f>VLOOKUP(C543,Acc_Char!B:K,7,)</f>
        <v>VC3</v>
      </c>
      <c r="L543" s="1334" t="str">
        <f t="shared" si="30"/>
        <v>Operating expense</v>
      </c>
      <c r="M543" s="1335" t="str">
        <f>VLOOKUP(C543,Acc_Char!B:K,5,)</f>
        <v>VND</v>
      </c>
      <c r="N543" s="1335" t="str">
        <f>VLOOKUP(C543,Acc_Char!B:K,6,)</f>
        <v>Current Account</v>
      </c>
      <c r="O543" s="1336" t="str">
        <f>Summary!$B$4</f>
        <v>W1-2Jan26</v>
      </c>
      <c r="P543" s="1334" t="str">
        <f t="shared" si="31"/>
        <v>114002874189</v>
      </c>
    </row>
    <row r="544" spans="1:17">
      <c r="A544" t="s">
        <v>1591</v>
      </c>
      <c r="B544" s="34" t="s">
        <v>110</v>
      </c>
      <c r="C544" s="34" t="s">
        <v>587</v>
      </c>
      <c r="D544" s="1389" t="s">
        <v>2331</v>
      </c>
      <c r="E544" t="s">
        <v>2346</v>
      </c>
      <c r="F544" s="57">
        <v>0</v>
      </c>
      <c r="G544" s="57">
        <v>12619800</v>
      </c>
      <c r="H544" s="1082">
        <f t="shared" si="29"/>
        <v>-12619800</v>
      </c>
      <c r="I544" s="1333" t="s">
        <v>53</v>
      </c>
      <c r="J544" s="1334" t="str">
        <f>VLOOKUP(C544,Acc_Char!B:K,3,)</f>
        <v>SAO HOA</v>
      </c>
      <c r="K544" s="1334" t="str">
        <f>VLOOKUP(C544,Acc_Char!B:K,7,)</f>
        <v>VC3</v>
      </c>
      <c r="L544" s="1334" t="str">
        <f t="shared" si="30"/>
        <v>Operating expense</v>
      </c>
      <c r="M544" s="1335" t="str">
        <f>VLOOKUP(C544,Acc_Char!B:K,5,)</f>
        <v>VND</v>
      </c>
      <c r="N544" s="1335" t="str">
        <f>VLOOKUP(C544,Acc_Char!B:K,6,)</f>
        <v>Current Account</v>
      </c>
      <c r="O544" s="1336" t="str">
        <f>Summary!$B$4</f>
        <v>W1-2Jan26</v>
      </c>
      <c r="P544" s="1334" t="str">
        <f t="shared" si="31"/>
        <v>114002874189</v>
      </c>
    </row>
    <row r="545" spans="1:17">
      <c r="A545" t="s">
        <v>1591</v>
      </c>
      <c r="B545" s="34" t="s">
        <v>110</v>
      </c>
      <c r="C545" s="34" t="s">
        <v>587</v>
      </c>
      <c r="D545" s="1389" t="s">
        <v>2331</v>
      </c>
      <c r="E545" t="s">
        <v>2347</v>
      </c>
      <c r="F545" s="57">
        <v>0</v>
      </c>
      <c r="G545" s="57">
        <v>9839220</v>
      </c>
      <c r="H545" s="1082">
        <f t="shared" si="29"/>
        <v>-9839220</v>
      </c>
      <c r="I545" s="1333" t="s">
        <v>53</v>
      </c>
      <c r="J545" s="1334" t="str">
        <f>VLOOKUP(C545,Acc_Char!B:K,3,)</f>
        <v>SAO HOA</v>
      </c>
      <c r="K545" s="1334" t="str">
        <f>VLOOKUP(C545,Acc_Char!B:K,7,)</f>
        <v>VC3</v>
      </c>
      <c r="L545" s="1334" t="str">
        <f t="shared" si="30"/>
        <v>Operating expense</v>
      </c>
      <c r="M545" s="1335" t="str">
        <f>VLOOKUP(C545,Acc_Char!B:K,5,)</f>
        <v>VND</v>
      </c>
      <c r="N545" s="1335" t="str">
        <f>VLOOKUP(C545,Acc_Char!B:K,6,)</f>
        <v>Current Account</v>
      </c>
      <c r="O545" s="1336" t="str">
        <f>Summary!$B$4</f>
        <v>W1-2Jan26</v>
      </c>
      <c r="P545" s="1334" t="str">
        <f t="shared" si="31"/>
        <v>114002874189</v>
      </c>
    </row>
    <row r="546" spans="1:17">
      <c r="A546" t="s">
        <v>1591</v>
      </c>
      <c r="B546" s="34" t="s">
        <v>110</v>
      </c>
      <c r="C546" s="34" t="s">
        <v>587</v>
      </c>
      <c r="D546" s="1389" t="s">
        <v>2331</v>
      </c>
      <c r="E546" t="s">
        <v>2348</v>
      </c>
      <c r="F546" s="57">
        <v>0</v>
      </c>
      <c r="G546" s="57">
        <v>9655200</v>
      </c>
      <c r="H546" s="1082">
        <f t="shared" si="29"/>
        <v>-9655200</v>
      </c>
      <c r="I546" s="1333" t="s">
        <v>53</v>
      </c>
      <c r="J546" s="1334" t="str">
        <f>VLOOKUP(C546,Acc_Char!B:K,3,)</f>
        <v>SAO HOA</v>
      </c>
      <c r="K546" s="1334" t="str">
        <f>VLOOKUP(C546,Acc_Char!B:K,7,)</f>
        <v>VC3</v>
      </c>
      <c r="L546" s="1334" t="str">
        <f t="shared" si="30"/>
        <v>Operating expense</v>
      </c>
      <c r="M546" s="1335" t="str">
        <f>VLOOKUP(C546,Acc_Char!B:K,5,)</f>
        <v>VND</v>
      </c>
      <c r="N546" s="1335" t="str">
        <f>VLOOKUP(C546,Acc_Char!B:K,6,)</f>
        <v>Current Account</v>
      </c>
      <c r="O546" s="1336" t="str">
        <f>Summary!$B$4</f>
        <v>W1-2Jan26</v>
      </c>
      <c r="P546" s="1334" t="str">
        <f t="shared" si="31"/>
        <v>114002874189</v>
      </c>
    </row>
    <row r="547" spans="1:17">
      <c r="A547" t="s">
        <v>1591</v>
      </c>
      <c r="B547" s="34" t="s">
        <v>110</v>
      </c>
      <c r="C547" s="34" t="s">
        <v>587</v>
      </c>
      <c r="D547" s="1389" t="s">
        <v>2331</v>
      </c>
      <c r="E547" t="s">
        <v>2349</v>
      </c>
      <c r="F547" s="57">
        <v>0</v>
      </c>
      <c r="G547" s="57">
        <v>4730044</v>
      </c>
      <c r="H547" s="1082">
        <f t="shared" si="29"/>
        <v>-4730044</v>
      </c>
      <c r="I547" s="1333" t="s">
        <v>53</v>
      </c>
      <c r="J547" s="1334" t="str">
        <f>VLOOKUP(C547,Acc_Char!B:K,3,)</f>
        <v>SAO HOA</v>
      </c>
      <c r="K547" s="1334" t="str">
        <f>VLOOKUP(C547,Acc_Char!B:K,7,)</f>
        <v>VC3</v>
      </c>
      <c r="L547" s="1334" t="str">
        <f t="shared" si="30"/>
        <v>Operating expense</v>
      </c>
      <c r="M547" s="1335" t="str">
        <f>VLOOKUP(C547,Acc_Char!B:K,5,)</f>
        <v>VND</v>
      </c>
      <c r="N547" s="1335" t="str">
        <f>VLOOKUP(C547,Acc_Char!B:K,6,)</f>
        <v>Current Account</v>
      </c>
      <c r="O547" s="1336" t="str">
        <f>Summary!$B$4</f>
        <v>W1-2Jan26</v>
      </c>
      <c r="P547" s="1334" t="str">
        <f t="shared" si="31"/>
        <v>114002874189</v>
      </c>
    </row>
    <row r="548" spans="1:17">
      <c r="A548" t="s">
        <v>1591</v>
      </c>
      <c r="B548" s="34" t="s">
        <v>110</v>
      </c>
      <c r="C548" s="34" t="s">
        <v>587</v>
      </c>
      <c r="D548" s="1389" t="s">
        <v>2331</v>
      </c>
      <c r="E548" t="s">
        <v>2350</v>
      </c>
      <c r="F548" s="57">
        <v>0</v>
      </c>
      <c r="G548" s="57">
        <v>1653977</v>
      </c>
      <c r="H548" s="1082">
        <f t="shared" si="29"/>
        <v>-1653977</v>
      </c>
      <c r="I548" s="1333" t="s">
        <v>53</v>
      </c>
      <c r="J548" s="1334" t="str">
        <f>VLOOKUP(C548,Acc_Char!B:K,3,)</f>
        <v>SAO HOA</v>
      </c>
      <c r="K548" s="1334" t="str">
        <f>VLOOKUP(C548,Acc_Char!B:K,7,)</f>
        <v>VC3</v>
      </c>
      <c r="L548" s="1334" t="str">
        <f t="shared" si="30"/>
        <v>Operating expense</v>
      </c>
      <c r="M548" s="1335" t="str">
        <f>VLOOKUP(C548,Acc_Char!B:K,5,)</f>
        <v>VND</v>
      </c>
      <c r="N548" s="1335" t="str">
        <f>VLOOKUP(C548,Acc_Char!B:K,6,)</f>
        <v>Current Account</v>
      </c>
      <c r="O548" s="1336" t="str">
        <f>Summary!$B$4</f>
        <v>W1-2Jan26</v>
      </c>
      <c r="P548" s="1334" t="str">
        <f t="shared" si="31"/>
        <v>114002874189</v>
      </c>
    </row>
    <row r="549" spans="1:17">
      <c r="A549" t="s">
        <v>1591</v>
      </c>
      <c r="B549" s="34" t="s">
        <v>110</v>
      </c>
      <c r="C549" s="34" t="s">
        <v>587</v>
      </c>
      <c r="D549" s="1389" t="s">
        <v>2331</v>
      </c>
      <c r="E549" t="s">
        <v>2351</v>
      </c>
      <c r="F549" s="57">
        <v>0</v>
      </c>
      <c r="G549" s="57">
        <v>800000</v>
      </c>
      <c r="H549" s="1082">
        <f t="shared" si="29"/>
        <v>-800000</v>
      </c>
      <c r="I549" s="1333" t="s">
        <v>53</v>
      </c>
      <c r="J549" s="1334" t="str">
        <f>VLOOKUP(C549,Acc_Char!B:K,3,)</f>
        <v>SAO HOA</v>
      </c>
      <c r="K549" s="1334" t="str">
        <f>VLOOKUP(C549,Acc_Char!B:K,7,)</f>
        <v>VC3</v>
      </c>
      <c r="L549" s="1334" t="str">
        <f t="shared" si="30"/>
        <v>Operating expense</v>
      </c>
      <c r="M549" s="1335" t="str">
        <f>VLOOKUP(C549,Acc_Char!B:K,5,)</f>
        <v>VND</v>
      </c>
      <c r="N549" s="1335" t="str">
        <f>VLOOKUP(C549,Acc_Char!B:K,6,)</f>
        <v>Current Account</v>
      </c>
      <c r="O549" s="1336" t="str">
        <f>Summary!$B$4</f>
        <v>W1-2Jan26</v>
      </c>
      <c r="P549" s="1334" t="str">
        <f t="shared" si="31"/>
        <v>114002874189</v>
      </c>
    </row>
    <row r="550" spans="1:17">
      <c r="A550" t="s">
        <v>1591</v>
      </c>
      <c r="B550" s="34" t="s">
        <v>110</v>
      </c>
      <c r="C550" s="34" t="s">
        <v>587</v>
      </c>
      <c r="D550" s="1389" t="s">
        <v>2352</v>
      </c>
      <c r="E550" t="s">
        <v>2353</v>
      </c>
      <c r="F550" s="57">
        <v>0</v>
      </c>
      <c r="G550" s="57">
        <v>171588790</v>
      </c>
      <c r="H550" s="1082">
        <f t="shared" si="29"/>
        <v>-171588790</v>
      </c>
      <c r="I550" s="1333" t="s">
        <v>53</v>
      </c>
      <c r="J550" s="1334" t="str">
        <f>VLOOKUP(C550,Acc_Char!B:K,3,)</f>
        <v>SAO HOA</v>
      </c>
      <c r="K550" s="1334" t="str">
        <f>VLOOKUP(C550,Acc_Char!B:K,7,)</f>
        <v>VC3</v>
      </c>
      <c r="L550" s="1334" t="str">
        <f t="shared" si="30"/>
        <v>Operating expense</v>
      </c>
      <c r="M550" s="1335" t="str">
        <f>VLOOKUP(C550,Acc_Char!B:K,5,)</f>
        <v>VND</v>
      </c>
      <c r="N550" s="1335" t="str">
        <f>VLOOKUP(C550,Acc_Char!B:K,6,)</f>
        <v>Current Account</v>
      </c>
      <c r="O550" s="1336" t="str">
        <f>Summary!$B$4</f>
        <v>W1-2Jan26</v>
      </c>
      <c r="P550" s="1334" t="str">
        <f t="shared" si="31"/>
        <v>114002874189</v>
      </c>
    </row>
    <row r="551" spans="1:17">
      <c r="A551" t="s">
        <v>1591</v>
      </c>
      <c r="B551" s="34" t="s">
        <v>110</v>
      </c>
      <c r="C551" s="34" t="s">
        <v>713</v>
      </c>
      <c r="D551" s="1389" t="s">
        <v>2352</v>
      </c>
      <c r="E551" t="s">
        <v>2354</v>
      </c>
      <c r="F551" s="57">
        <v>0</v>
      </c>
      <c r="G551" s="57">
        <v>14575000</v>
      </c>
      <c r="H551" s="1082">
        <f t="shared" si="29"/>
        <v>-14575000</v>
      </c>
      <c r="I551" s="1333" t="s">
        <v>53</v>
      </c>
      <c r="J551" s="1334" t="str">
        <f>VLOOKUP(C551,Acc_Char!B:K,3,)</f>
        <v>WINLOCK 2B</v>
      </c>
      <c r="K551" s="1334" t="str">
        <f>VLOOKUP(C551,Acc_Char!B:K,7,)</f>
        <v>Subsidiaries</v>
      </c>
      <c r="L551" s="1334" t="str">
        <f t="shared" si="30"/>
        <v>Operating expense</v>
      </c>
      <c r="M551" s="1335" t="str">
        <f>VLOOKUP(C551,Acc_Char!B:K,5,)</f>
        <v>VND</v>
      </c>
      <c r="N551" s="1335" t="str">
        <f>VLOOKUP(C551,Acc_Char!B:K,6,)</f>
        <v>Current Account</v>
      </c>
      <c r="O551" s="1336" t="str">
        <f>Summary!$B$4</f>
        <v>W1-2Jan26</v>
      </c>
      <c r="P551" s="1334" t="str">
        <f t="shared" si="31"/>
        <v>119642069999</v>
      </c>
    </row>
    <row r="552" spans="1:17">
      <c r="A552" t="s">
        <v>1591</v>
      </c>
      <c r="B552" s="34" t="s">
        <v>110</v>
      </c>
      <c r="C552" s="34" t="s">
        <v>587</v>
      </c>
      <c r="D552" s="1389" t="s">
        <v>2352</v>
      </c>
      <c r="E552" t="s">
        <v>2355</v>
      </c>
      <c r="F552" s="57">
        <v>0</v>
      </c>
      <c r="G552" s="57">
        <v>13796164</v>
      </c>
      <c r="H552" s="1082">
        <f t="shared" si="29"/>
        <v>-13796164</v>
      </c>
      <c r="I552" s="1333" t="s">
        <v>53</v>
      </c>
      <c r="J552" s="1334" t="str">
        <f>VLOOKUP(C552,Acc_Char!B:K,3,)</f>
        <v>SAO HOA</v>
      </c>
      <c r="K552" s="1334" t="str">
        <f>VLOOKUP(C552,Acc_Char!B:K,7,)</f>
        <v>VC3</v>
      </c>
      <c r="L552" s="1334" t="str">
        <f t="shared" si="30"/>
        <v>Operating expense</v>
      </c>
      <c r="M552" s="1335" t="str">
        <f>VLOOKUP(C552,Acc_Char!B:K,5,)</f>
        <v>VND</v>
      </c>
      <c r="N552" s="1335" t="str">
        <f>VLOOKUP(C552,Acc_Char!B:K,6,)</f>
        <v>Current Account</v>
      </c>
      <c r="O552" s="1336" t="str">
        <f>Summary!$B$4</f>
        <v>W1-2Jan26</v>
      </c>
      <c r="P552" s="1334" t="str">
        <f t="shared" si="31"/>
        <v>114002874189</v>
      </c>
    </row>
    <row r="553" spans="1:17">
      <c r="A553" t="s">
        <v>1591</v>
      </c>
      <c r="B553" s="34" t="s">
        <v>110</v>
      </c>
      <c r="C553" s="34" t="s">
        <v>610</v>
      </c>
      <c r="D553" s="1389" t="s">
        <v>2356</v>
      </c>
      <c r="E553" t="s">
        <v>2357</v>
      </c>
      <c r="F553" s="57">
        <v>0</v>
      </c>
      <c r="G553" s="57">
        <v>8169196640</v>
      </c>
      <c r="H553" s="1082">
        <f t="shared" si="29"/>
        <v>-8169196640</v>
      </c>
      <c r="I553" s="1333" t="s">
        <v>59</v>
      </c>
      <c r="J553" s="1334" t="str">
        <f>VLOOKUP(C553,Acc_Char!B:K,3,)</f>
        <v>BWID Tan Phu Trung</v>
      </c>
      <c r="K553" s="1334" t="str">
        <f>VLOOKUP(C553,Acc_Char!B:K,7,)</f>
        <v>Subsidiaries</v>
      </c>
      <c r="L553" s="1334" t="str">
        <f t="shared" si="30"/>
        <v>Internal transfer out</v>
      </c>
      <c r="M553" s="1335" t="str">
        <f>VLOOKUP(C553,Acc_Char!B:K,5,)</f>
        <v>VND</v>
      </c>
      <c r="N553" s="1335" t="str">
        <f>VLOOKUP(C553,Acc_Char!B:K,6,)</f>
        <v>Current Account</v>
      </c>
      <c r="O553" s="1336" t="str">
        <f>Summary!$B$4</f>
        <v>W1-2Jan26</v>
      </c>
      <c r="P553" s="1334" t="str">
        <f t="shared" si="31"/>
        <v>110610727979</v>
      </c>
    </row>
    <row r="554" spans="1:17">
      <c r="A554" t="s">
        <v>1591</v>
      </c>
      <c r="B554" s="34" t="s">
        <v>110</v>
      </c>
      <c r="C554" s="34" t="s">
        <v>610</v>
      </c>
      <c r="D554" s="1389" t="s">
        <v>2358</v>
      </c>
      <c r="E554" t="s">
        <v>2359</v>
      </c>
      <c r="F554" s="57">
        <v>0</v>
      </c>
      <c r="G554" s="57">
        <v>6426947481</v>
      </c>
      <c r="H554" s="1082">
        <f t="shared" si="29"/>
        <v>-6426947481</v>
      </c>
      <c r="I554" s="1333" t="s">
        <v>59</v>
      </c>
      <c r="J554" s="1334" t="str">
        <f>VLOOKUP(C554,Acc_Char!B:K,3,)</f>
        <v>BWID Tan Phu Trung</v>
      </c>
      <c r="K554" s="1334" t="str">
        <f>VLOOKUP(C554,Acc_Char!B:K,7,)</f>
        <v>Subsidiaries</v>
      </c>
      <c r="L554" s="1334" t="str">
        <f t="shared" si="30"/>
        <v>Internal transfer out</v>
      </c>
      <c r="M554" s="1335" t="str">
        <f>VLOOKUP(C554,Acc_Char!B:K,5,)</f>
        <v>VND</v>
      </c>
      <c r="N554" s="1335" t="str">
        <f>VLOOKUP(C554,Acc_Char!B:K,6,)</f>
        <v>Current Account</v>
      </c>
      <c r="O554" s="1336" t="str">
        <f>Summary!$B$4</f>
        <v>W1-2Jan26</v>
      </c>
      <c r="P554" s="1334" t="str">
        <f t="shared" si="31"/>
        <v>110610727979</v>
      </c>
    </row>
    <row r="555" spans="1:17">
      <c r="A555" t="s">
        <v>1591</v>
      </c>
      <c r="B555" s="34" t="s">
        <v>110</v>
      </c>
      <c r="C555" s="34" t="s">
        <v>511</v>
      </c>
      <c r="D555" s="1389" t="s">
        <v>2360</v>
      </c>
      <c r="E555" t="s">
        <v>2361</v>
      </c>
      <c r="F555" s="57">
        <v>0</v>
      </c>
      <c r="G555" s="57">
        <v>36329040</v>
      </c>
      <c r="H555" s="1082">
        <f t="shared" si="29"/>
        <v>-36329040</v>
      </c>
      <c r="I555" s="1333" t="s">
        <v>53</v>
      </c>
      <c r="J555" s="1334" t="str">
        <f>VLOOKUP(C555,Acc_Char!B:K,3,)</f>
        <v>BWID HAI PHONG</v>
      </c>
      <c r="K555" s="1334" t="str">
        <f>VLOOKUP(C555,Acc_Char!B:K,7,)</f>
        <v>Subsidiaries</v>
      </c>
      <c r="L555" s="1334" t="str">
        <f t="shared" si="30"/>
        <v>Operating expense</v>
      </c>
      <c r="M555" s="1335" t="str">
        <f>VLOOKUP(C555,Acc_Char!B:K,5,)</f>
        <v>VND</v>
      </c>
      <c r="N555" s="1335" t="str">
        <f>VLOOKUP(C555,Acc_Char!B:K,6,)</f>
        <v>Current Account</v>
      </c>
      <c r="O555" s="1336" t="str">
        <f>Summary!$B$4</f>
        <v>W1-2Jan26</v>
      </c>
      <c r="P555" s="1334" t="str">
        <f t="shared" si="31"/>
        <v>116002681740</v>
      </c>
      <c r="Q555" s="1024"/>
    </row>
    <row r="556" spans="1:17">
      <c r="A556" t="s">
        <v>1591</v>
      </c>
      <c r="B556" s="34" t="s">
        <v>110</v>
      </c>
      <c r="C556" s="34" t="s">
        <v>666</v>
      </c>
      <c r="D556" s="1389" t="s">
        <v>2362</v>
      </c>
      <c r="E556" t="s">
        <v>2363</v>
      </c>
      <c r="F556" s="57">
        <v>0</v>
      </c>
      <c r="G556" s="57">
        <v>68720400</v>
      </c>
      <c r="H556" s="1082">
        <f t="shared" si="29"/>
        <v>-68720400</v>
      </c>
      <c r="I556" s="1333" t="s">
        <v>53</v>
      </c>
      <c r="J556" s="1334" t="str">
        <f>VLOOKUP(C556,Acc_Char!B:K,3,)</f>
        <v>BCI JSC</v>
      </c>
      <c r="K556" s="1334" t="str">
        <f>VLOOKUP(C556,Acc_Char!B:K,7,)</f>
        <v>Subsidiaries</v>
      </c>
      <c r="L556" s="1334" t="str">
        <f t="shared" si="30"/>
        <v>Operating expense</v>
      </c>
      <c r="M556" s="1335" t="str">
        <f>VLOOKUP(C556,Acc_Char!B:K,5,)</f>
        <v>VND</v>
      </c>
      <c r="N556" s="1335" t="str">
        <f>VLOOKUP(C556,Acc_Char!B:K,6,)</f>
        <v>Current Account</v>
      </c>
      <c r="O556" s="1336" t="str">
        <f>Summary!$B$4</f>
        <v>W1-2Jan26</v>
      </c>
      <c r="P556" s="1334" t="str">
        <f t="shared" si="31"/>
        <v>114622278888</v>
      </c>
    </row>
    <row r="557" spans="1:17">
      <c r="A557" t="s">
        <v>1591</v>
      </c>
      <c r="B557" s="34" t="s">
        <v>110</v>
      </c>
      <c r="C557" s="34" t="s">
        <v>666</v>
      </c>
      <c r="D557" s="1389" t="s">
        <v>2364</v>
      </c>
      <c r="E557" t="s">
        <v>2365</v>
      </c>
      <c r="F557" s="57">
        <v>0</v>
      </c>
      <c r="G557" s="57">
        <v>164100355</v>
      </c>
      <c r="H557" s="1082">
        <f t="shared" si="29"/>
        <v>-164100355</v>
      </c>
      <c r="I557" s="1333" t="s">
        <v>53</v>
      </c>
      <c r="J557" s="1334" t="str">
        <f>VLOOKUP(C557,Acc_Char!B:K,3,)</f>
        <v>BCI JSC</v>
      </c>
      <c r="K557" s="1334" t="str">
        <f>VLOOKUP(C557,Acc_Char!B:K,7,)</f>
        <v>Subsidiaries</v>
      </c>
      <c r="L557" s="1334" t="str">
        <f t="shared" si="30"/>
        <v>Operating expense</v>
      </c>
      <c r="M557" s="1335" t="str">
        <f>VLOOKUP(C557,Acc_Char!B:K,5,)</f>
        <v>VND</v>
      </c>
      <c r="N557" s="1335" t="str">
        <f>VLOOKUP(C557,Acc_Char!B:K,6,)</f>
        <v>Current Account</v>
      </c>
      <c r="O557" s="1336" t="str">
        <f>Summary!$B$4</f>
        <v>W1-2Jan26</v>
      </c>
      <c r="P557" s="1334" t="str">
        <f t="shared" si="31"/>
        <v>114622278888</v>
      </c>
    </row>
    <row r="558" spans="1:17">
      <c r="A558" t="s">
        <v>1591</v>
      </c>
      <c r="B558" s="34" t="s">
        <v>110</v>
      </c>
      <c r="C558" s="34" t="s">
        <v>666</v>
      </c>
      <c r="D558" s="1389" t="s">
        <v>2366</v>
      </c>
      <c r="E558" t="s">
        <v>2367</v>
      </c>
      <c r="F558" s="57">
        <v>0</v>
      </c>
      <c r="G558" s="57">
        <v>272130628</v>
      </c>
      <c r="H558" s="1082">
        <f t="shared" si="29"/>
        <v>-272130628</v>
      </c>
      <c r="I558" s="1333" t="s">
        <v>53</v>
      </c>
      <c r="J558" s="1334" t="str">
        <f>VLOOKUP(C558,Acc_Char!B:K,3,)</f>
        <v>BCI JSC</v>
      </c>
      <c r="K558" s="1334" t="str">
        <f>VLOOKUP(C558,Acc_Char!B:K,7,)</f>
        <v>Subsidiaries</v>
      </c>
      <c r="L558" s="1334" t="str">
        <f t="shared" si="30"/>
        <v>Operating expense</v>
      </c>
      <c r="M558" s="1335" t="str">
        <f>VLOOKUP(C558,Acc_Char!B:K,5,)</f>
        <v>VND</v>
      </c>
      <c r="N558" s="1335" t="str">
        <f>VLOOKUP(C558,Acc_Char!B:K,6,)</f>
        <v>Current Account</v>
      </c>
      <c r="O558" s="1336" t="str">
        <f>Summary!$B$4</f>
        <v>W1-2Jan26</v>
      </c>
      <c r="P558" s="1334" t="str">
        <f t="shared" si="31"/>
        <v>114622278888</v>
      </c>
    </row>
    <row r="559" spans="1:17">
      <c r="A559" t="s">
        <v>1591</v>
      </c>
      <c r="B559" s="34" t="s">
        <v>110</v>
      </c>
      <c r="C559" s="34" t="s">
        <v>698</v>
      </c>
      <c r="D559" s="1389" t="s">
        <v>2368</v>
      </c>
      <c r="E559" t="s">
        <v>2369</v>
      </c>
      <c r="F559" s="57">
        <v>0</v>
      </c>
      <c r="G559" s="57">
        <v>26189344</v>
      </c>
      <c r="H559" s="1082">
        <f t="shared" si="29"/>
        <v>-26189344</v>
      </c>
      <c r="I559" s="1333" t="s">
        <v>53</v>
      </c>
      <c r="J559" s="1334" t="str">
        <f>VLOOKUP(C559,Acc_Char!B:K,3,)</f>
        <v>YEN PHONG</v>
      </c>
      <c r="K559" s="1334" t="str">
        <f>VLOOKUP(C559,Acc_Char!B:K,7,)</f>
        <v>Subsidiaries</v>
      </c>
      <c r="L559" s="1334" t="str">
        <f t="shared" si="30"/>
        <v>Operating expense</v>
      </c>
      <c r="M559" s="1335" t="str">
        <f>VLOOKUP(C559,Acc_Char!B:K,5,)</f>
        <v>VND</v>
      </c>
      <c r="N559" s="1335" t="str">
        <f>VLOOKUP(C559,Acc_Char!B:K,6,)</f>
        <v>Current Account</v>
      </c>
      <c r="O559" s="1336" t="str">
        <f>Summary!$B$4</f>
        <v>W1-2Jan26</v>
      </c>
      <c r="P559" s="1334" t="str">
        <f t="shared" si="31"/>
        <v>114638028888</v>
      </c>
    </row>
    <row r="560" spans="1:17">
      <c r="A560" t="s">
        <v>1591</v>
      </c>
      <c r="B560" s="34" t="s">
        <v>110</v>
      </c>
      <c r="C560" s="34" t="s">
        <v>511</v>
      </c>
      <c r="D560" s="1389" t="s">
        <v>2370</v>
      </c>
      <c r="E560" t="s">
        <v>2371</v>
      </c>
      <c r="F560" s="57">
        <v>0</v>
      </c>
      <c r="G560" s="57">
        <v>68720400</v>
      </c>
      <c r="H560" s="1082">
        <f t="shared" si="29"/>
        <v>-68720400</v>
      </c>
      <c r="I560" s="1333" t="s">
        <v>53</v>
      </c>
      <c r="J560" s="1334" t="str">
        <f>VLOOKUP(C560,Acc_Char!B:K,3,)</f>
        <v>BWID HAI PHONG</v>
      </c>
      <c r="K560" s="1334" t="str">
        <f>VLOOKUP(C560,Acc_Char!B:K,7,)</f>
        <v>Subsidiaries</v>
      </c>
      <c r="L560" s="1334" t="str">
        <f t="shared" si="30"/>
        <v>Operating expense</v>
      </c>
      <c r="M560" s="1335" t="str">
        <f>VLOOKUP(C560,Acc_Char!B:K,5,)</f>
        <v>VND</v>
      </c>
      <c r="N560" s="1335" t="str">
        <f>VLOOKUP(C560,Acc_Char!B:K,6,)</f>
        <v>Current Account</v>
      </c>
      <c r="O560" s="1336" t="str">
        <f>Summary!$B$4</f>
        <v>W1-2Jan26</v>
      </c>
      <c r="P560" s="1334" t="str">
        <f t="shared" si="31"/>
        <v>116002681740</v>
      </c>
    </row>
    <row r="561" spans="1:17" s="1334" customFormat="1">
      <c r="A561" s="1342" t="s">
        <v>1591</v>
      </c>
      <c r="B561" s="1343" t="s">
        <v>110</v>
      </c>
      <c r="C561" s="1343" t="s">
        <v>511</v>
      </c>
      <c r="D561" s="1390" t="s">
        <v>2372</v>
      </c>
      <c r="E561" s="1342" t="s">
        <v>2373</v>
      </c>
      <c r="F561" s="1344">
        <v>0</v>
      </c>
      <c r="G561" s="1344">
        <v>95813943</v>
      </c>
      <c r="H561" s="1082">
        <f t="shared" si="29"/>
        <v>-95813943</v>
      </c>
      <c r="I561" s="1333" t="s">
        <v>53</v>
      </c>
      <c r="J561" s="1334" t="str">
        <f>VLOOKUP(C561,Acc_Char!B:K,3,)</f>
        <v>BWID HAI PHONG</v>
      </c>
      <c r="K561" s="1334" t="str">
        <f>VLOOKUP(C561,Acc_Char!B:K,7,)</f>
        <v>Subsidiaries</v>
      </c>
      <c r="L561" s="1334" t="str">
        <f t="shared" si="30"/>
        <v>Operating expense</v>
      </c>
      <c r="M561" s="1335" t="str">
        <f>VLOOKUP(C561,Acc_Char!B:K,5,)</f>
        <v>VND</v>
      </c>
      <c r="N561" s="1335" t="str">
        <f>VLOOKUP(C561,Acc_Char!B:K,6,)</f>
        <v>Current Account</v>
      </c>
      <c r="O561" s="1336" t="str">
        <f>Summary!$B$4</f>
        <v>W1-2Jan26</v>
      </c>
      <c r="P561" s="1334" t="str">
        <f t="shared" si="31"/>
        <v>116002681740</v>
      </c>
    </row>
    <row r="562" spans="1:17">
      <c r="A562" t="s">
        <v>1591</v>
      </c>
      <c r="B562" s="34" t="s">
        <v>110</v>
      </c>
      <c r="C562" s="34" t="s">
        <v>504</v>
      </c>
      <c r="D562" s="1389" t="s">
        <v>2374</v>
      </c>
      <c r="E562" t="s">
        <v>2375</v>
      </c>
      <c r="F562" s="57">
        <v>0</v>
      </c>
      <c r="G562" s="57">
        <v>7500000</v>
      </c>
      <c r="H562" s="1082">
        <f t="shared" si="29"/>
        <v>-7500000</v>
      </c>
      <c r="I562" s="1333" t="s">
        <v>53</v>
      </c>
      <c r="J562" s="1334" t="str">
        <f>VLOOKUP(C562,Acc_Char!B:K,3,)</f>
        <v>BWID BAC NINH</v>
      </c>
      <c r="K562" s="1334" t="str">
        <f>VLOOKUP(C562,Acc_Char!B:K,7,)</f>
        <v>Subsidiaries</v>
      </c>
      <c r="L562" s="1334" t="str">
        <f t="shared" si="30"/>
        <v>Operating expense</v>
      </c>
      <c r="M562" s="1335" t="str">
        <f>VLOOKUP(C562,Acc_Char!B:K,5,)</f>
        <v>VND</v>
      </c>
      <c r="N562" s="1335" t="str">
        <f>VLOOKUP(C562,Acc_Char!B:K,6,)</f>
        <v>Current Account</v>
      </c>
      <c r="O562" s="1336" t="str">
        <f>Summary!$B$4</f>
        <v>W1-2Jan26</v>
      </c>
      <c r="P562" s="1334" t="str">
        <f t="shared" si="31"/>
        <v>118008108888</v>
      </c>
    </row>
    <row r="563" spans="1:17">
      <c r="A563" t="s">
        <v>1591</v>
      </c>
      <c r="B563" s="34" t="s">
        <v>110</v>
      </c>
      <c r="C563" s="34" t="s">
        <v>504</v>
      </c>
      <c r="D563" s="1389" t="s">
        <v>2376</v>
      </c>
      <c r="E563" t="s">
        <v>2377</v>
      </c>
      <c r="F563" s="57">
        <v>0</v>
      </c>
      <c r="G563" s="57">
        <v>11878590</v>
      </c>
      <c r="H563" s="1082">
        <f t="shared" si="29"/>
        <v>-11878590</v>
      </c>
      <c r="I563" s="1333" t="s">
        <v>53</v>
      </c>
      <c r="J563" s="1334" t="str">
        <f>VLOOKUP(C563,Acc_Char!B:K,3,)</f>
        <v>BWID BAC NINH</v>
      </c>
      <c r="K563" s="1334" t="str">
        <f>VLOOKUP(C563,Acc_Char!B:K,7,)</f>
        <v>Subsidiaries</v>
      </c>
      <c r="L563" s="1334" t="str">
        <f t="shared" si="30"/>
        <v>Operating expense</v>
      </c>
      <c r="M563" s="1335" t="str">
        <f>VLOOKUP(C563,Acc_Char!B:K,5,)</f>
        <v>VND</v>
      </c>
      <c r="N563" s="1335" t="str">
        <f>VLOOKUP(C563,Acc_Char!B:K,6,)</f>
        <v>Current Account</v>
      </c>
      <c r="O563" s="1336" t="str">
        <f>Summary!$B$4</f>
        <v>W1-2Jan26</v>
      </c>
      <c r="P563" s="1334" t="str">
        <f t="shared" si="31"/>
        <v>118008108888</v>
      </c>
      <c r="Q563" s="1024"/>
    </row>
    <row r="564" spans="1:17">
      <c r="A564" t="s">
        <v>1591</v>
      </c>
      <c r="B564" s="34" t="s">
        <v>110</v>
      </c>
      <c r="C564" s="34" t="s">
        <v>504</v>
      </c>
      <c r="D564" s="1389" t="s">
        <v>2378</v>
      </c>
      <c r="E564" t="s">
        <v>2379</v>
      </c>
      <c r="F564" s="57">
        <v>0</v>
      </c>
      <c r="G564" s="57">
        <v>68720400</v>
      </c>
      <c r="H564" s="1082">
        <f t="shared" si="29"/>
        <v>-68720400</v>
      </c>
      <c r="I564" s="1333" t="s">
        <v>53</v>
      </c>
      <c r="J564" s="1334" t="str">
        <f>VLOOKUP(C564,Acc_Char!B:K,3,)</f>
        <v>BWID BAC NINH</v>
      </c>
      <c r="K564" s="1334" t="str">
        <f>VLOOKUP(C564,Acc_Char!B:K,7,)</f>
        <v>Subsidiaries</v>
      </c>
      <c r="L564" s="1334" t="str">
        <f t="shared" si="30"/>
        <v>Operating expense</v>
      </c>
      <c r="M564" s="1335" t="str">
        <f>VLOOKUP(C564,Acc_Char!B:K,5,)</f>
        <v>VND</v>
      </c>
      <c r="N564" s="1335" t="str">
        <f>VLOOKUP(C564,Acc_Char!B:K,6,)</f>
        <v>Current Account</v>
      </c>
      <c r="O564" s="1336" t="str">
        <f>Summary!$B$4</f>
        <v>W1-2Jan26</v>
      </c>
      <c r="P564" s="1334" t="str">
        <f t="shared" si="31"/>
        <v>118008108888</v>
      </c>
      <c r="Q564" s="1024"/>
    </row>
    <row r="565" spans="1:17">
      <c r="A565" t="s">
        <v>1591</v>
      </c>
      <c r="B565" s="34" t="s">
        <v>110</v>
      </c>
      <c r="C565" s="34" t="s">
        <v>504</v>
      </c>
      <c r="D565" s="1389" t="s">
        <v>2380</v>
      </c>
      <c r="E565" t="s">
        <v>2381</v>
      </c>
      <c r="F565" s="57">
        <v>0</v>
      </c>
      <c r="G565" s="57">
        <v>92806104</v>
      </c>
      <c r="H565" s="1082">
        <f t="shared" si="29"/>
        <v>-92806104</v>
      </c>
      <c r="I565" s="1333" t="s">
        <v>53</v>
      </c>
      <c r="J565" s="1334" t="str">
        <f>VLOOKUP(C565,Acc_Char!B:K,3,)</f>
        <v>BWID BAC NINH</v>
      </c>
      <c r="K565" s="1334" t="str">
        <f>VLOOKUP(C565,Acc_Char!B:K,7,)</f>
        <v>Subsidiaries</v>
      </c>
      <c r="L565" s="1334" t="str">
        <f t="shared" si="30"/>
        <v>Operating expense</v>
      </c>
      <c r="M565" s="1335" t="str">
        <f>VLOOKUP(C565,Acc_Char!B:K,5,)</f>
        <v>VND</v>
      </c>
      <c r="N565" s="1335" t="str">
        <f>VLOOKUP(C565,Acc_Char!B:K,6,)</f>
        <v>Current Account</v>
      </c>
      <c r="O565" s="1336" t="str">
        <f>Summary!$B$4</f>
        <v>W1-2Jan26</v>
      </c>
      <c r="P565" s="1334" t="str">
        <f t="shared" si="31"/>
        <v>118008108888</v>
      </c>
      <c r="Q565" s="1024"/>
    </row>
    <row r="566" spans="1:17">
      <c r="A566" t="s">
        <v>1567</v>
      </c>
      <c r="B566" s="34" t="s">
        <v>110</v>
      </c>
      <c r="C566" s="34" t="s">
        <v>960</v>
      </c>
      <c r="D566" s="1389">
        <v>46037</v>
      </c>
      <c r="E566" t="s">
        <v>2382</v>
      </c>
      <c r="F566" s="57">
        <v>0</v>
      </c>
      <c r="G566" s="57">
        <v>14575000</v>
      </c>
      <c r="H566" s="1082">
        <f t="shared" si="29"/>
        <v>-14575000</v>
      </c>
      <c r="I566" s="1333" t="s">
        <v>53</v>
      </c>
      <c r="J566" s="1334" t="str">
        <f>VLOOKUP(C566,Acc_Char!B:K,3,)</f>
        <v>PHO NOI A</v>
      </c>
      <c r="K566" s="1334" t="str">
        <f>VLOOKUP(C566,Acc_Char!B:K,7,)</f>
        <v>Subsidiaries</v>
      </c>
      <c r="L566" s="1334" t="str">
        <f t="shared" si="30"/>
        <v>Operating expense</v>
      </c>
      <c r="M566" s="1335" t="str">
        <f>VLOOKUP(C566,Acc_Char!B:K,5,)</f>
        <v>VND</v>
      </c>
      <c r="N566" s="1335" t="str">
        <f>VLOOKUP(C566,Acc_Char!B:K,6,)</f>
        <v>Current Account</v>
      </c>
      <c r="O566" s="1336" t="str">
        <f>Summary!$B$4</f>
        <v>W1-2Jan26</v>
      </c>
      <c r="P566" s="1334" t="str">
        <f t="shared" si="31"/>
        <v>685603330999</v>
      </c>
      <c r="Q566" s="1024"/>
    </row>
    <row r="567" spans="1:17">
      <c r="A567" t="s">
        <v>1567</v>
      </c>
      <c r="B567" s="34" t="s">
        <v>110</v>
      </c>
      <c r="C567" s="34" t="s">
        <v>960</v>
      </c>
      <c r="D567" s="1389">
        <v>46037</v>
      </c>
      <c r="E567" t="s">
        <v>2383</v>
      </c>
      <c r="F567" s="57">
        <v>0</v>
      </c>
      <c r="G567" s="57">
        <v>26189344</v>
      </c>
      <c r="H567" s="1082">
        <f t="shared" si="29"/>
        <v>-26189344</v>
      </c>
      <c r="I567" s="1333" t="s">
        <v>53</v>
      </c>
      <c r="J567" s="1334" t="str">
        <f>VLOOKUP(C567,Acc_Char!B:K,3,)</f>
        <v>PHO NOI A</v>
      </c>
      <c r="K567" s="1334" t="str">
        <f>VLOOKUP(C567,Acc_Char!B:K,7,)</f>
        <v>Subsidiaries</v>
      </c>
      <c r="L567" s="1334" t="str">
        <f t="shared" si="30"/>
        <v>Operating expense</v>
      </c>
      <c r="M567" s="1335" t="str">
        <f>VLOOKUP(C567,Acc_Char!B:K,5,)</f>
        <v>VND</v>
      </c>
      <c r="N567" s="1335" t="str">
        <f>VLOOKUP(C567,Acc_Char!B:K,6,)</f>
        <v>Current Account</v>
      </c>
      <c r="O567" s="1336" t="str">
        <f>Summary!$B$4</f>
        <v>W1-2Jan26</v>
      </c>
      <c r="P567" s="1334" t="str">
        <f t="shared" si="31"/>
        <v>685603330999</v>
      </c>
      <c r="Q567" s="1024"/>
    </row>
    <row r="568" spans="1:17">
      <c r="A568" t="s">
        <v>1591</v>
      </c>
      <c r="B568" s="34" t="s">
        <v>110</v>
      </c>
      <c r="C568" s="34" t="s">
        <v>1227</v>
      </c>
      <c r="D568" s="1389" t="s">
        <v>2384</v>
      </c>
      <c r="E568" t="s">
        <v>2385</v>
      </c>
      <c r="F568" s="57">
        <v>0</v>
      </c>
      <c r="G568" s="57">
        <v>26189344</v>
      </c>
      <c r="H568" s="1082">
        <f t="shared" si="29"/>
        <v>-26189344</v>
      </c>
      <c r="I568" s="1333" t="s">
        <v>53</v>
      </c>
      <c r="J568" s="1334" t="str">
        <f>VLOOKUP(C568,Acc_Char!B:K,3,)</f>
        <v>NASTEC JSC</v>
      </c>
      <c r="K568" s="1334" t="str">
        <f>VLOOKUP(C568,Acc_Char!B:K,7,)</f>
        <v>Subsidiaries</v>
      </c>
      <c r="L568" s="1334" t="str">
        <f t="shared" si="30"/>
        <v>Operating expense</v>
      </c>
      <c r="M568" s="1335" t="str">
        <f>VLOOKUP(C568,Acc_Char!B:K,5,)</f>
        <v>VND</v>
      </c>
      <c r="N568" s="1335" t="str">
        <f>VLOOKUP(C568,Acc_Char!B:K,6,)</f>
        <v>Current Account</v>
      </c>
      <c r="O568" s="1336" t="str">
        <f>Summary!$B$4</f>
        <v>W1-2Jan26</v>
      </c>
      <c r="P568" s="1334" t="str">
        <f t="shared" si="31"/>
        <v>111002902469</v>
      </c>
      <c r="Q568" s="1024"/>
    </row>
    <row r="569" spans="1:17">
      <c r="A569" t="s">
        <v>1591</v>
      </c>
      <c r="B569" s="34" t="s">
        <v>110</v>
      </c>
      <c r="C569" s="34" t="s">
        <v>713</v>
      </c>
      <c r="D569" s="1389" t="s">
        <v>2386</v>
      </c>
      <c r="E569" t="s">
        <v>2387</v>
      </c>
      <c r="F569" s="57">
        <v>0</v>
      </c>
      <c r="G569" s="57">
        <v>30711411</v>
      </c>
      <c r="H569" s="1082">
        <f t="shared" si="29"/>
        <v>-30711411</v>
      </c>
      <c r="I569" s="1333" t="s">
        <v>53</v>
      </c>
      <c r="J569" s="1334" t="str">
        <f>VLOOKUP(C569,Acc_Char!B:K,3,)</f>
        <v>WINLOCK 2B</v>
      </c>
      <c r="K569" s="1334" t="str">
        <f>VLOOKUP(C569,Acc_Char!B:K,7,)</f>
        <v>Subsidiaries</v>
      </c>
      <c r="L569" s="1334" t="str">
        <f t="shared" si="30"/>
        <v>Operating expense</v>
      </c>
      <c r="M569" s="1335" t="str">
        <f>VLOOKUP(C569,Acc_Char!B:K,5,)</f>
        <v>VND</v>
      </c>
      <c r="N569" s="1335" t="str">
        <f>VLOOKUP(C569,Acc_Char!B:K,6,)</f>
        <v>Current Account</v>
      </c>
      <c r="O569" s="1336" t="str">
        <f>Summary!$B$4</f>
        <v>W1-2Jan26</v>
      </c>
      <c r="P569" s="1334" t="str">
        <f t="shared" si="31"/>
        <v>119642069999</v>
      </c>
      <c r="Q569" s="1024"/>
    </row>
    <row r="570" spans="1:17">
      <c r="A570" t="s">
        <v>1591</v>
      </c>
      <c r="B570" s="34" t="s">
        <v>110</v>
      </c>
      <c r="C570" s="34" t="s">
        <v>711</v>
      </c>
      <c r="D570" s="1389" t="s">
        <v>2388</v>
      </c>
      <c r="E570" t="s">
        <v>2389</v>
      </c>
      <c r="F570" s="57">
        <v>0</v>
      </c>
      <c r="G570" s="57">
        <v>11115855</v>
      </c>
      <c r="H570" s="1082">
        <f t="shared" si="29"/>
        <v>-11115855</v>
      </c>
      <c r="I570" s="1333" t="s">
        <v>53</v>
      </c>
      <c r="J570" s="1334" t="str">
        <f>VLOOKUP(C570,Acc_Char!B:K,3,)</f>
        <v>WINLOCK 2A</v>
      </c>
      <c r="K570" s="1334" t="str">
        <f>VLOOKUP(C570,Acc_Char!B:K,7,)</f>
        <v>Subsidiaries</v>
      </c>
      <c r="L570" s="1334" t="str">
        <f t="shared" si="30"/>
        <v>Operating expense</v>
      </c>
      <c r="M570" s="1335" t="str">
        <f>VLOOKUP(C570,Acc_Char!B:K,5,)</f>
        <v>VND</v>
      </c>
      <c r="N570" s="1335" t="str">
        <f>VLOOKUP(C570,Acc_Char!B:K,6,)</f>
        <v>Current Account</v>
      </c>
      <c r="O570" s="1336" t="str">
        <f>Summary!$B$4</f>
        <v>W1-2Jan26</v>
      </c>
      <c r="P570" s="1334" t="str">
        <f t="shared" si="31"/>
        <v>114628748888</v>
      </c>
      <c r="Q570" s="1024"/>
    </row>
    <row r="571" spans="1:17">
      <c r="A571" t="s">
        <v>1591</v>
      </c>
      <c r="B571" s="34" t="s">
        <v>110</v>
      </c>
      <c r="C571" s="34" t="s">
        <v>711</v>
      </c>
      <c r="D571" s="1389" t="s">
        <v>2390</v>
      </c>
      <c r="E571" t="s">
        <v>2391</v>
      </c>
      <c r="F571" s="57">
        <v>0</v>
      </c>
      <c r="G571" s="57">
        <v>72833456</v>
      </c>
      <c r="H571" s="1082">
        <f t="shared" si="29"/>
        <v>-72833456</v>
      </c>
      <c r="I571" s="1333" t="s">
        <v>53</v>
      </c>
      <c r="J571" s="1334" t="str">
        <f>VLOOKUP(C571,Acc_Char!B:K,3,)</f>
        <v>WINLOCK 2A</v>
      </c>
      <c r="K571" s="1334" t="str">
        <f>VLOOKUP(C571,Acc_Char!B:K,7,)</f>
        <v>Subsidiaries</v>
      </c>
      <c r="L571" s="1334" t="str">
        <f t="shared" si="30"/>
        <v>Operating expense</v>
      </c>
      <c r="M571" s="1335" t="str">
        <f>VLOOKUP(C571,Acc_Char!B:K,5,)</f>
        <v>VND</v>
      </c>
      <c r="N571" s="1335" t="str">
        <f>VLOOKUP(C571,Acc_Char!B:K,6,)</f>
        <v>Current Account</v>
      </c>
      <c r="O571" s="1336" t="str">
        <f>Summary!$B$4</f>
        <v>W1-2Jan26</v>
      </c>
      <c r="P571" s="1334" t="str">
        <f t="shared" si="31"/>
        <v>114628748888</v>
      </c>
      <c r="Q571" s="1024"/>
    </row>
    <row r="572" spans="1:17">
      <c r="A572" t="s">
        <v>1591</v>
      </c>
      <c r="B572" s="34" t="s">
        <v>110</v>
      </c>
      <c r="C572" s="34" t="s">
        <v>702</v>
      </c>
      <c r="D572" s="355" t="s">
        <v>2392</v>
      </c>
      <c r="E572" t="s">
        <v>2393</v>
      </c>
      <c r="F572" s="57">
        <v>0</v>
      </c>
      <c r="G572" s="57">
        <v>55896808</v>
      </c>
      <c r="H572" s="1082">
        <f t="shared" si="29"/>
        <v>-55896808</v>
      </c>
      <c r="I572" s="1333" t="s">
        <v>53</v>
      </c>
      <c r="J572" s="1334" t="str">
        <f>VLOOKUP(C572,Acc_Char!B:K,3,)</f>
        <v>BAU BANG 6</v>
      </c>
      <c r="K572" s="1334" t="str">
        <f>VLOOKUP(C572,Acc_Char!B:K,7,)</f>
        <v>Subsidiaries</v>
      </c>
      <c r="L572" s="1334" t="str">
        <f t="shared" si="30"/>
        <v>Operating expense</v>
      </c>
      <c r="M572" s="1335" t="str">
        <f>VLOOKUP(C572,Acc_Char!B:K,5,)</f>
        <v>VND</v>
      </c>
      <c r="N572" s="1335" t="str">
        <f>VLOOKUP(C572,Acc_Char!B:K,6,)</f>
        <v>Current Account</v>
      </c>
      <c r="O572" s="1336" t="str">
        <f>Summary!$B$4</f>
        <v>W1-2Jan26</v>
      </c>
      <c r="P572" s="1334" t="str">
        <f t="shared" si="31"/>
        <v>115624079999</v>
      </c>
      <c r="Q572" s="1024"/>
    </row>
    <row r="573" spans="1:17">
      <c r="A573" t="s">
        <v>1591</v>
      </c>
      <c r="B573" s="34" t="s">
        <v>110</v>
      </c>
      <c r="C573" s="34" t="s">
        <v>481</v>
      </c>
      <c r="D573" s="355" t="s">
        <v>2394</v>
      </c>
      <c r="E573" t="s">
        <v>2395</v>
      </c>
      <c r="F573" s="57">
        <v>0</v>
      </c>
      <c r="G573" s="57">
        <v>465582800</v>
      </c>
      <c r="H573" s="1082">
        <f t="shared" si="29"/>
        <v>-465582800</v>
      </c>
      <c r="I573" s="1333" t="s">
        <v>53</v>
      </c>
      <c r="J573" s="1334" t="str">
        <f>VLOOKUP(C573,Acc_Char!B:K,3,)</f>
        <v>BWID BINH DUONG</v>
      </c>
      <c r="K573" s="1334" t="str">
        <f>VLOOKUP(C573,Acc_Char!B:K,7,)</f>
        <v>BWID JSC</v>
      </c>
      <c r="L573" s="1334" t="str">
        <f t="shared" si="30"/>
        <v>Operating expense</v>
      </c>
      <c r="M573" s="1335" t="str">
        <f>VLOOKUP(C573,Acc_Char!B:K,5,)</f>
        <v>VND</v>
      </c>
      <c r="N573" s="1335" t="str">
        <f>VLOOKUP(C573,Acc_Char!B:K,6,)</f>
        <v>Current Account</v>
      </c>
      <c r="O573" s="1336" t="str">
        <f>Summary!$B$4</f>
        <v>W1-2Jan26</v>
      </c>
      <c r="P573" s="1334" t="str">
        <f t="shared" si="31"/>
        <v>117002673879</v>
      </c>
      <c r="Q573" s="1024"/>
    </row>
    <row r="574" spans="1:17">
      <c r="A574" t="s">
        <v>1591</v>
      </c>
      <c r="B574" s="34" t="s">
        <v>110</v>
      </c>
      <c r="C574" s="34" t="s">
        <v>1407</v>
      </c>
      <c r="D574" s="355" t="s">
        <v>2396</v>
      </c>
      <c r="E574" t="s">
        <v>2397</v>
      </c>
      <c r="F574" s="57">
        <v>0</v>
      </c>
      <c r="G574" s="57">
        <v>33665108</v>
      </c>
      <c r="H574" s="1082">
        <f t="shared" ref="H574:H636" si="32">F574-G574</f>
        <v>-33665108</v>
      </c>
      <c r="I574" s="1333" t="s">
        <v>53</v>
      </c>
      <c r="J574" s="1334" t="str">
        <f>VLOOKUP(C574,Acc_Char!B:K,3,)</f>
        <v>BW NAM DINH VU</v>
      </c>
      <c r="K574" s="1334" t="str">
        <f>VLOOKUP(C574,Acc_Char!B:K,7,)</f>
        <v>Subsidiaries</v>
      </c>
      <c r="L574" s="1334" t="str">
        <f t="shared" si="30"/>
        <v>Operating expense</v>
      </c>
      <c r="M574" s="1335" t="str">
        <f>VLOOKUP(C574,Acc_Char!B:K,5,)</f>
        <v>VND</v>
      </c>
      <c r="N574" s="1335" t="str">
        <f>VLOOKUP(C574,Acc_Char!B:K,6,)</f>
        <v>Current Account</v>
      </c>
      <c r="O574" s="1336" t="str">
        <f>Summary!$B$4</f>
        <v>W1-2Jan26</v>
      </c>
      <c r="P574" s="1334" t="str">
        <f t="shared" si="31"/>
        <v>116632406789</v>
      </c>
    </row>
    <row r="575" spans="1:17">
      <c r="A575" t="s">
        <v>1591</v>
      </c>
      <c r="B575" s="34" t="s">
        <v>110</v>
      </c>
      <c r="C575" s="34" t="s">
        <v>717</v>
      </c>
      <c r="D575" s="355" t="s">
        <v>2352</v>
      </c>
      <c r="E575" t="s">
        <v>2398</v>
      </c>
      <c r="F575" s="57">
        <v>0</v>
      </c>
      <c r="G575" s="57">
        <v>49680000</v>
      </c>
      <c r="H575" s="1082">
        <f t="shared" si="32"/>
        <v>-49680000</v>
      </c>
      <c r="I575" s="1333" t="s">
        <v>53</v>
      </c>
      <c r="J575" s="1334" t="str">
        <f>VLOOKUP(C575,Acc_Char!B:K,3,)</f>
        <v>BW BAU BANG 01</v>
      </c>
      <c r="K575" s="1334" t="str">
        <f>VLOOKUP(C575,Acc_Char!B:K,7,)</f>
        <v>Subsidiaries</v>
      </c>
      <c r="L575" s="1334" t="str">
        <f t="shared" si="30"/>
        <v>Operating expense</v>
      </c>
      <c r="M575" s="1335" t="str">
        <f>VLOOKUP(C575,Acc_Char!B:K,5,)</f>
        <v>VND</v>
      </c>
      <c r="N575" s="1335" t="str">
        <f>VLOOKUP(C575,Acc_Char!B:K,6,)</f>
        <v>Current Account</v>
      </c>
      <c r="O575" s="1336" t="str">
        <f>Summary!$B$4</f>
        <v>W1-2Jan26</v>
      </c>
      <c r="P575" s="1334" t="str">
        <f t="shared" si="31"/>
        <v>110002915294</v>
      </c>
    </row>
    <row r="576" spans="1:17">
      <c r="A576" t="s">
        <v>1591</v>
      </c>
      <c r="B576" s="34" t="s">
        <v>110</v>
      </c>
      <c r="C576" s="34" t="s">
        <v>717</v>
      </c>
      <c r="D576" s="355" t="s">
        <v>2352</v>
      </c>
      <c r="E576" t="s">
        <v>2399</v>
      </c>
      <c r="F576" s="57">
        <v>0</v>
      </c>
      <c r="G576" s="57">
        <v>13392000</v>
      </c>
      <c r="H576" s="1082">
        <f t="shared" si="32"/>
        <v>-13392000</v>
      </c>
      <c r="I576" s="1333" t="s">
        <v>53</v>
      </c>
      <c r="J576" s="1334" t="str">
        <f>VLOOKUP(C576,Acc_Char!B:K,3,)</f>
        <v>BW BAU BANG 01</v>
      </c>
      <c r="K576" s="1334" t="str">
        <f>VLOOKUP(C576,Acc_Char!B:K,7,)</f>
        <v>Subsidiaries</v>
      </c>
      <c r="L576" s="1334" t="str">
        <f t="shared" si="30"/>
        <v>Operating expense</v>
      </c>
      <c r="M576" s="1335" t="str">
        <f>VLOOKUP(C576,Acc_Char!B:K,5,)</f>
        <v>VND</v>
      </c>
      <c r="N576" s="1335" t="str">
        <f>VLOOKUP(C576,Acc_Char!B:K,6,)</f>
        <v>Current Account</v>
      </c>
      <c r="O576" s="1336" t="str">
        <f>Summary!$B$4</f>
        <v>W1-2Jan26</v>
      </c>
      <c r="P576" s="1334" t="str">
        <f t="shared" si="31"/>
        <v>110002915294</v>
      </c>
      <c r="Q576" s="1024"/>
    </row>
    <row r="577" spans="1:17">
      <c r="A577" t="s">
        <v>1591</v>
      </c>
      <c r="B577" s="34" t="s">
        <v>110</v>
      </c>
      <c r="C577" s="34" t="s">
        <v>717</v>
      </c>
      <c r="D577" s="355" t="s">
        <v>2352</v>
      </c>
      <c r="E577" t="s">
        <v>2400</v>
      </c>
      <c r="F577" s="57">
        <v>0</v>
      </c>
      <c r="G577" s="57">
        <v>9396000</v>
      </c>
      <c r="H577" s="1082">
        <f t="shared" si="32"/>
        <v>-9396000</v>
      </c>
      <c r="I577" s="1333" t="s">
        <v>53</v>
      </c>
      <c r="J577" s="1334" t="str">
        <f>VLOOKUP(C577,Acc_Char!B:K,3,)</f>
        <v>BW BAU BANG 01</v>
      </c>
      <c r="K577" s="1334" t="str">
        <f>VLOOKUP(C577,Acc_Char!B:K,7,)</f>
        <v>Subsidiaries</v>
      </c>
      <c r="L577" s="1334" t="str">
        <f t="shared" si="30"/>
        <v>Operating expense</v>
      </c>
      <c r="M577" s="1335" t="str">
        <f>VLOOKUP(C577,Acc_Char!B:K,5,)</f>
        <v>VND</v>
      </c>
      <c r="N577" s="1335" t="str">
        <f>VLOOKUP(C577,Acc_Char!B:K,6,)</f>
        <v>Current Account</v>
      </c>
      <c r="O577" s="1336" t="str">
        <f>Summary!$B$4</f>
        <v>W1-2Jan26</v>
      </c>
      <c r="P577" s="1334" t="str">
        <f t="shared" si="31"/>
        <v>110002915294</v>
      </c>
      <c r="Q577" s="1024"/>
    </row>
    <row r="578" spans="1:17">
      <c r="A578" t="s">
        <v>1591</v>
      </c>
      <c r="B578" s="34" t="s">
        <v>110</v>
      </c>
      <c r="C578" s="34" t="s">
        <v>717</v>
      </c>
      <c r="D578" s="355" t="s">
        <v>2352</v>
      </c>
      <c r="E578" t="s">
        <v>2401</v>
      </c>
      <c r="F578" s="57">
        <v>0</v>
      </c>
      <c r="G578" s="57">
        <v>5000000</v>
      </c>
      <c r="H578" s="1082">
        <f t="shared" si="32"/>
        <v>-5000000</v>
      </c>
      <c r="I578" s="1333" t="s">
        <v>53</v>
      </c>
      <c r="J578" s="1334" t="str">
        <f>VLOOKUP(C578,Acc_Char!B:K,3,)</f>
        <v>BW BAU BANG 01</v>
      </c>
      <c r="K578" s="1334" t="str">
        <f>VLOOKUP(C578,Acc_Char!B:K,7,)</f>
        <v>Subsidiaries</v>
      </c>
      <c r="L578" s="1334" t="str">
        <f t="shared" si="30"/>
        <v>Operating expense</v>
      </c>
      <c r="M578" s="1335" t="str">
        <f>VLOOKUP(C578,Acc_Char!B:K,5,)</f>
        <v>VND</v>
      </c>
      <c r="N578" s="1335" t="str">
        <f>VLOOKUP(C578,Acc_Char!B:K,6,)</f>
        <v>Current Account</v>
      </c>
      <c r="O578" s="1336" t="str">
        <f>Summary!$B$4</f>
        <v>W1-2Jan26</v>
      </c>
      <c r="P578" s="1334" t="str">
        <f t="shared" si="31"/>
        <v>110002915294</v>
      </c>
      <c r="Q578" s="1024"/>
    </row>
    <row r="579" spans="1:17">
      <c r="A579" t="s">
        <v>1591</v>
      </c>
      <c r="B579" s="34" t="s">
        <v>110</v>
      </c>
      <c r="C579" s="34" t="s">
        <v>702</v>
      </c>
      <c r="D579" s="355" t="s">
        <v>2402</v>
      </c>
      <c r="E579" t="s">
        <v>2403</v>
      </c>
      <c r="F579" s="57">
        <v>0</v>
      </c>
      <c r="G579" s="57">
        <v>16864213</v>
      </c>
      <c r="H579" s="1082">
        <f t="shared" si="32"/>
        <v>-16864213</v>
      </c>
      <c r="I579" s="1333" t="s">
        <v>53</v>
      </c>
      <c r="J579" s="1334" t="str">
        <f>VLOOKUP(C579,Acc_Char!B:K,3,)</f>
        <v>BAU BANG 6</v>
      </c>
      <c r="K579" s="1334" t="str">
        <f>VLOOKUP(C579,Acc_Char!B:K,7,)</f>
        <v>Subsidiaries</v>
      </c>
      <c r="L579" s="1334" t="str">
        <f t="shared" si="30"/>
        <v>Operating expense</v>
      </c>
      <c r="M579" s="1335" t="str">
        <f>VLOOKUP(C579,Acc_Char!B:K,5,)</f>
        <v>VND</v>
      </c>
      <c r="N579" s="1335" t="str">
        <f>VLOOKUP(C579,Acc_Char!B:K,6,)</f>
        <v>Current Account</v>
      </c>
      <c r="O579" s="1336" t="str">
        <f>Summary!$B$4</f>
        <v>W1-2Jan26</v>
      </c>
      <c r="P579" s="1334" t="str">
        <f t="shared" si="31"/>
        <v>115624079999</v>
      </c>
      <c r="Q579" s="1024"/>
    </row>
    <row r="580" spans="1:17">
      <c r="A580" t="s">
        <v>1591</v>
      </c>
      <c r="B580" s="34" t="s">
        <v>110</v>
      </c>
      <c r="C580" s="34" t="s">
        <v>702</v>
      </c>
      <c r="D580" s="355" t="s">
        <v>2404</v>
      </c>
      <c r="E580" t="s">
        <v>2405</v>
      </c>
      <c r="F580" s="57">
        <v>0</v>
      </c>
      <c r="G580" s="57">
        <v>3738082</v>
      </c>
      <c r="H580" s="1082">
        <f t="shared" si="32"/>
        <v>-3738082</v>
      </c>
      <c r="I580" s="1333" t="s">
        <v>53</v>
      </c>
      <c r="J580" s="1334" t="str">
        <f>VLOOKUP(C580,Acc_Char!B:K,3,)</f>
        <v>BAU BANG 6</v>
      </c>
      <c r="K580" s="1334" t="str">
        <f>VLOOKUP(C580,Acc_Char!B:K,7,)</f>
        <v>Subsidiaries</v>
      </c>
      <c r="L580" s="1334" t="str">
        <f t="shared" si="30"/>
        <v>Operating expense</v>
      </c>
      <c r="M580" s="1335" t="str">
        <f>VLOOKUP(C580,Acc_Char!B:K,5,)</f>
        <v>VND</v>
      </c>
      <c r="N580" s="1335" t="str">
        <f>VLOOKUP(C580,Acc_Char!B:K,6,)</f>
        <v>Current Account</v>
      </c>
      <c r="O580" s="1336" t="str">
        <f>Summary!$B$4</f>
        <v>W1-2Jan26</v>
      </c>
      <c r="P580" s="1334" t="str">
        <f t="shared" si="31"/>
        <v>115624079999</v>
      </c>
      <c r="Q580" s="1024"/>
    </row>
    <row r="581" spans="1:17">
      <c r="A581" t="s">
        <v>1591</v>
      </c>
      <c r="B581" s="34" t="s">
        <v>110</v>
      </c>
      <c r="C581" s="34" t="s">
        <v>1407</v>
      </c>
      <c r="D581" s="355" t="s">
        <v>2406</v>
      </c>
      <c r="E581" t="s">
        <v>2407</v>
      </c>
      <c r="F581" s="57">
        <v>0</v>
      </c>
      <c r="G581" s="57">
        <v>924000000</v>
      </c>
      <c r="H581" s="1082">
        <f t="shared" si="32"/>
        <v>-924000000</v>
      </c>
      <c r="I581" s="1333" t="s">
        <v>53</v>
      </c>
      <c r="J581" s="1334" t="str">
        <f>VLOOKUP(C581,Acc_Char!B:K,3,)</f>
        <v>BW NAM DINH VU</v>
      </c>
      <c r="K581" s="1334" t="str">
        <f>VLOOKUP(C581,Acc_Char!B:K,7,)</f>
        <v>Subsidiaries</v>
      </c>
      <c r="L581" s="1334" t="str">
        <f t="shared" ref="L581:L644" si="33">I581</f>
        <v>Operating expense</v>
      </c>
      <c r="M581" s="1335" t="str">
        <f>VLOOKUP(C581,Acc_Char!B:K,5,)</f>
        <v>VND</v>
      </c>
      <c r="N581" s="1335" t="str">
        <f>VLOOKUP(C581,Acc_Char!B:K,6,)</f>
        <v>Current Account</v>
      </c>
      <c r="O581" s="1336" t="str">
        <f>Summary!$B$4</f>
        <v>W1-2Jan26</v>
      </c>
      <c r="P581" s="1334" t="str">
        <f t="shared" ref="P581:P644" si="34">TEXT(C581,"0")</f>
        <v>116632406789</v>
      </c>
      <c r="Q581" s="1024"/>
    </row>
    <row r="582" spans="1:17">
      <c r="A582" t="s">
        <v>1591</v>
      </c>
      <c r="B582" s="34" t="s">
        <v>110</v>
      </c>
      <c r="C582" s="34" t="s">
        <v>1407</v>
      </c>
      <c r="D582" s="355" t="s">
        <v>2408</v>
      </c>
      <c r="E582" t="s">
        <v>2409</v>
      </c>
      <c r="F582" s="57">
        <v>0</v>
      </c>
      <c r="G582" s="57">
        <v>68720400</v>
      </c>
      <c r="H582" s="1082">
        <f t="shared" si="32"/>
        <v>-68720400</v>
      </c>
      <c r="I582" s="1333" t="s">
        <v>53</v>
      </c>
      <c r="J582" s="1334" t="str">
        <f>VLOOKUP(C582,Acc_Char!B:K,3,)</f>
        <v>BW NAM DINH VU</v>
      </c>
      <c r="K582" s="1334" t="str">
        <f>VLOOKUP(C582,Acc_Char!B:K,7,)</f>
        <v>Subsidiaries</v>
      </c>
      <c r="L582" s="1334" t="str">
        <f t="shared" si="33"/>
        <v>Operating expense</v>
      </c>
      <c r="M582" s="1335" t="str">
        <f>VLOOKUP(C582,Acc_Char!B:K,5,)</f>
        <v>VND</v>
      </c>
      <c r="N582" s="1335" t="str">
        <f>VLOOKUP(C582,Acc_Char!B:K,6,)</f>
        <v>Current Account</v>
      </c>
      <c r="O582" s="1336" t="str">
        <f>Summary!$B$4</f>
        <v>W1-2Jan26</v>
      </c>
      <c r="P582" s="1334" t="str">
        <f t="shared" si="34"/>
        <v>116632406789</v>
      </c>
      <c r="Q582" s="1024"/>
    </row>
    <row r="583" spans="1:17">
      <c r="A583" t="s">
        <v>1591</v>
      </c>
      <c r="B583" s="34" t="s">
        <v>110</v>
      </c>
      <c r="C583" s="34" t="s">
        <v>1407</v>
      </c>
      <c r="D583" s="355" t="s">
        <v>2410</v>
      </c>
      <c r="E583" t="s">
        <v>2411</v>
      </c>
      <c r="F583" s="57">
        <v>0</v>
      </c>
      <c r="G583" s="57">
        <v>108900000</v>
      </c>
      <c r="H583" s="1082">
        <f t="shared" si="32"/>
        <v>-108900000</v>
      </c>
      <c r="I583" s="1333" t="s">
        <v>53</v>
      </c>
      <c r="J583" s="1334" t="str">
        <f>VLOOKUP(C583,Acc_Char!B:K,3,)</f>
        <v>BW NAM DINH VU</v>
      </c>
      <c r="K583" s="1334" t="str">
        <f>VLOOKUP(C583,Acc_Char!B:K,7,)</f>
        <v>Subsidiaries</v>
      </c>
      <c r="L583" s="1334" t="str">
        <f t="shared" si="33"/>
        <v>Operating expense</v>
      </c>
      <c r="M583" s="1335" t="str">
        <f>VLOOKUP(C583,Acc_Char!B:K,5,)</f>
        <v>VND</v>
      </c>
      <c r="N583" s="1335" t="str">
        <f>VLOOKUP(C583,Acc_Char!B:K,6,)</f>
        <v>Current Account</v>
      </c>
      <c r="O583" s="1336" t="str">
        <f>Summary!$B$4</f>
        <v>W1-2Jan26</v>
      </c>
      <c r="P583" s="1334" t="str">
        <f t="shared" si="34"/>
        <v>116632406789</v>
      </c>
      <c r="Q583" s="1024"/>
    </row>
    <row r="584" spans="1:17">
      <c r="A584" t="s">
        <v>1591</v>
      </c>
      <c r="B584" s="34" t="s">
        <v>110</v>
      </c>
      <c r="C584" s="34" t="s">
        <v>702</v>
      </c>
      <c r="D584" s="355" t="s">
        <v>2412</v>
      </c>
      <c r="E584" t="s">
        <v>2413</v>
      </c>
      <c r="F584" s="57">
        <v>0</v>
      </c>
      <c r="G584" s="57">
        <v>9968925996</v>
      </c>
      <c r="H584" s="1082">
        <f t="shared" si="32"/>
        <v>-9968925996</v>
      </c>
      <c r="I584" s="1333" t="s">
        <v>53</v>
      </c>
      <c r="J584" s="1334" t="str">
        <f>VLOOKUP(C584,Acc_Char!B:K,3,)</f>
        <v>BAU BANG 6</v>
      </c>
      <c r="K584" s="1334" t="str">
        <f>VLOOKUP(C584,Acc_Char!B:K,7,)</f>
        <v>Subsidiaries</v>
      </c>
      <c r="L584" s="1334" t="str">
        <f t="shared" si="33"/>
        <v>Operating expense</v>
      </c>
      <c r="M584" s="1335" t="str">
        <f>VLOOKUP(C584,Acc_Char!B:K,5,)</f>
        <v>VND</v>
      </c>
      <c r="N584" s="1335" t="str">
        <f>VLOOKUP(C584,Acc_Char!B:K,6,)</f>
        <v>Current Account</v>
      </c>
      <c r="O584" s="1336" t="str">
        <f>Summary!$B$4</f>
        <v>W1-2Jan26</v>
      </c>
      <c r="P584" s="1334" t="str">
        <f t="shared" si="34"/>
        <v>115624079999</v>
      </c>
      <c r="Q584" s="1024"/>
    </row>
    <row r="585" spans="1:17">
      <c r="A585" t="s">
        <v>1591</v>
      </c>
      <c r="B585" s="34" t="s">
        <v>110</v>
      </c>
      <c r="C585" s="34" t="s">
        <v>702</v>
      </c>
      <c r="D585" s="355" t="s">
        <v>2414</v>
      </c>
      <c r="E585" t="s">
        <v>2415</v>
      </c>
      <c r="F585" s="57">
        <v>0</v>
      </c>
      <c r="G585" s="57">
        <v>2436394282</v>
      </c>
      <c r="H585" s="1082">
        <f t="shared" si="32"/>
        <v>-2436394282</v>
      </c>
      <c r="I585" s="1333" t="s">
        <v>53</v>
      </c>
      <c r="J585" s="1334" t="str">
        <f>VLOOKUP(C585,Acc_Char!B:K,3,)</f>
        <v>BAU BANG 6</v>
      </c>
      <c r="K585" s="1334" t="str">
        <f>VLOOKUP(C585,Acc_Char!B:K,7,)</f>
        <v>Subsidiaries</v>
      </c>
      <c r="L585" s="1334" t="str">
        <f t="shared" si="33"/>
        <v>Operating expense</v>
      </c>
      <c r="M585" s="1335" t="str">
        <f>VLOOKUP(C585,Acc_Char!B:K,5,)</f>
        <v>VND</v>
      </c>
      <c r="N585" s="1335" t="str">
        <f>VLOOKUP(C585,Acc_Char!B:K,6,)</f>
        <v>Current Account</v>
      </c>
      <c r="O585" s="1336" t="str">
        <f>Summary!$B$4</f>
        <v>W1-2Jan26</v>
      </c>
      <c r="P585" s="1334" t="str">
        <f t="shared" si="34"/>
        <v>115624079999</v>
      </c>
      <c r="Q585" s="1024"/>
    </row>
    <row r="586" spans="1:17">
      <c r="A586" t="s">
        <v>1591</v>
      </c>
      <c r="B586" s="34" t="s">
        <v>110</v>
      </c>
      <c r="C586" s="34" t="s">
        <v>700</v>
      </c>
      <c r="D586" s="355" t="s">
        <v>2416</v>
      </c>
      <c r="E586" t="s">
        <v>2417</v>
      </c>
      <c r="F586" s="57">
        <v>0</v>
      </c>
      <c r="G586" s="57">
        <v>73108579165</v>
      </c>
      <c r="H586" s="1082">
        <f t="shared" si="32"/>
        <v>-73108579165</v>
      </c>
      <c r="I586" s="1333" t="s">
        <v>22</v>
      </c>
      <c r="J586" s="1334" t="str">
        <f>VLOOKUP(C586,Acc_Char!B:K,3,)</f>
        <v>BAU BANG 5</v>
      </c>
      <c r="K586" s="1334" t="str">
        <f>VLOOKUP(C586,Acc_Char!B:K,7,)</f>
        <v>Subsidiaries</v>
      </c>
      <c r="L586" s="1334" t="str">
        <f t="shared" si="33"/>
        <v>Construction expense</v>
      </c>
      <c r="M586" s="1335" t="str">
        <f>VLOOKUP(C586,Acc_Char!B:K,5,)</f>
        <v>VND</v>
      </c>
      <c r="N586" s="1335" t="str">
        <f>VLOOKUP(C586,Acc_Char!B:K,6,)</f>
        <v>Current Account</v>
      </c>
      <c r="O586" s="1336" t="str">
        <f>Summary!$B$4</f>
        <v>W1-2Jan26</v>
      </c>
      <c r="P586" s="1334" t="str">
        <f t="shared" si="34"/>
        <v>112604409888</v>
      </c>
      <c r="Q586" s="1024"/>
    </row>
    <row r="587" spans="1:17">
      <c r="A587" t="s">
        <v>1591</v>
      </c>
      <c r="B587" s="34" t="s">
        <v>110</v>
      </c>
      <c r="C587" s="34" t="s">
        <v>700</v>
      </c>
      <c r="D587" s="355" t="s">
        <v>2416</v>
      </c>
      <c r="E587" t="s">
        <v>2418</v>
      </c>
      <c r="F587" s="57">
        <v>0</v>
      </c>
      <c r="G587" s="57">
        <v>49123851307</v>
      </c>
      <c r="H587" s="1082">
        <f t="shared" si="32"/>
        <v>-49123851307</v>
      </c>
      <c r="I587" s="1333" t="s">
        <v>22</v>
      </c>
      <c r="J587" s="1334" t="str">
        <f>VLOOKUP(C587,Acc_Char!B:K,3,)</f>
        <v>BAU BANG 5</v>
      </c>
      <c r="K587" s="1334" t="str">
        <f>VLOOKUP(C587,Acc_Char!B:K,7,)</f>
        <v>Subsidiaries</v>
      </c>
      <c r="L587" s="1334" t="str">
        <f t="shared" si="33"/>
        <v>Construction expense</v>
      </c>
      <c r="M587" s="1335" t="str">
        <f>VLOOKUP(C587,Acc_Char!B:K,5,)</f>
        <v>VND</v>
      </c>
      <c r="N587" s="1335" t="str">
        <f>VLOOKUP(C587,Acc_Char!B:K,6,)</f>
        <v>Current Account</v>
      </c>
      <c r="O587" s="1336" t="str">
        <f>Summary!$B$4</f>
        <v>W1-2Jan26</v>
      </c>
      <c r="P587" s="1334" t="str">
        <f t="shared" si="34"/>
        <v>112604409888</v>
      </c>
      <c r="Q587" s="1024"/>
    </row>
    <row r="588" spans="1:17">
      <c r="A588" t="s">
        <v>1591</v>
      </c>
      <c r="B588" s="34" t="s">
        <v>110</v>
      </c>
      <c r="C588" s="34" t="s">
        <v>717</v>
      </c>
      <c r="D588" s="355" t="s">
        <v>2419</v>
      </c>
      <c r="E588" t="s">
        <v>2420</v>
      </c>
      <c r="F588" s="57">
        <v>0</v>
      </c>
      <c r="G588" s="57">
        <v>27000000</v>
      </c>
      <c r="H588" s="1082">
        <f t="shared" si="32"/>
        <v>-27000000</v>
      </c>
      <c r="I588" s="1333" t="s">
        <v>53</v>
      </c>
      <c r="J588" s="1334" t="str">
        <f>VLOOKUP(C588,Acc_Char!B:K,3,)</f>
        <v>BW BAU BANG 01</v>
      </c>
      <c r="K588" s="1334" t="str">
        <f>VLOOKUP(C588,Acc_Char!B:K,7,)</f>
        <v>Subsidiaries</v>
      </c>
      <c r="L588" s="1334" t="str">
        <f t="shared" si="33"/>
        <v>Operating expense</v>
      </c>
      <c r="M588" s="1335" t="str">
        <f>VLOOKUP(C588,Acc_Char!B:K,5,)</f>
        <v>VND</v>
      </c>
      <c r="N588" s="1335" t="str">
        <f>VLOOKUP(C588,Acc_Char!B:K,6,)</f>
        <v>Current Account</v>
      </c>
      <c r="O588" s="1336" t="str">
        <f>Summary!$B$4</f>
        <v>W1-2Jan26</v>
      </c>
      <c r="P588" s="1334" t="str">
        <f t="shared" si="34"/>
        <v>110002915294</v>
      </c>
      <c r="Q588" s="1024"/>
    </row>
    <row r="589" spans="1:17">
      <c r="A589" t="s">
        <v>1591</v>
      </c>
      <c r="B589" s="34" t="s">
        <v>110</v>
      </c>
      <c r="C589" s="34" t="s">
        <v>717</v>
      </c>
      <c r="D589" s="355" t="s">
        <v>2421</v>
      </c>
      <c r="E589" t="s">
        <v>2422</v>
      </c>
      <c r="F589" s="57">
        <v>0</v>
      </c>
      <c r="G589" s="57">
        <v>282236459</v>
      </c>
      <c r="H589" s="1082">
        <f t="shared" si="32"/>
        <v>-282236459</v>
      </c>
      <c r="I589" s="1333" t="s">
        <v>53</v>
      </c>
      <c r="J589" s="1334" t="str">
        <f>VLOOKUP(C589,Acc_Char!B:K,3,)</f>
        <v>BW BAU BANG 01</v>
      </c>
      <c r="K589" s="1334" t="str">
        <f>VLOOKUP(C589,Acc_Char!B:K,7,)</f>
        <v>Subsidiaries</v>
      </c>
      <c r="L589" s="1334" t="str">
        <f t="shared" si="33"/>
        <v>Operating expense</v>
      </c>
      <c r="M589" s="1335" t="str">
        <f>VLOOKUP(C589,Acc_Char!B:K,5,)</f>
        <v>VND</v>
      </c>
      <c r="N589" s="1335" t="str">
        <f>VLOOKUP(C589,Acc_Char!B:K,6,)</f>
        <v>Current Account</v>
      </c>
      <c r="O589" s="1336" t="str">
        <f>Summary!$B$4</f>
        <v>W1-2Jan26</v>
      </c>
      <c r="P589" s="1334" t="str">
        <f t="shared" si="34"/>
        <v>110002915294</v>
      </c>
      <c r="Q589" s="1024"/>
    </row>
    <row r="590" spans="1:17">
      <c r="A590" t="s">
        <v>1591</v>
      </c>
      <c r="B590" s="34" t="s">
        <v>110</v>
      </c>
      <c r="C590" s="34" t="s">
        <v>717</v>
      </c>
      <c r="D590" s="355" t="s">
        <v>2423</v>
      </c>
      <c r="E590" t="s">
        <v>2424</v>
      </c>
      <c r="F590" s="57">
        <v>0</v>
      </c>
      <c r="G590" s="57">
        <v>10000000</v>
      </c>
      <c r="H590" s="1082">
        <f t="shared" si="32"/>
        <v>-10000000</v>
      </c>
      <c r="I590" s="1333" t="s">
        <v>53</v>
      </c>
      <c r="J590" s="1334" t="str">
        <f>VLOOKUP(C590,Acc_Char!B:K,3,)</f>
        <v>BW BAU BANG 01</v>
      </c>
      <c r="K590" s="1334" t="str">
        <f>VLOOKUP(C590,Acc_Char!B:K,7,)</f>
        <v>Subsidiaries</v>
      </c>
      <c r="L590" s="1334" t="str">
        <f t="shared" si="33"/>
        <v>Operating expense</v>
      </c>
      <c r="M590" s="1335" t="str">
        <f>VLOOKUP(C590,Acc_Char!B:K,5,)</f>
        <v>VND</v>
      </c>
      <c r="N590" s="1335" t="str">
        <f>VLOOKUP(C590,Acc_Char!B:K,6,)</f>
        <v>Current Account</v>
      </c>
      <c r="O590" s="1336" t="str">
        <f>Summary!$B$4</f>
        <v>W1-2Jan26</v>
      </c>
      <c r="P590" s="1334" t="str">
        <f t="shared" si="34"/>
        <v>110002915294</v>
      </c>
      <c r="Q590" s="1024"/>
    </row>
    <row r="591" spans="1:17">
      <c r="A591" t="s">
        <v>1591</v>
      </c>
      <c r="B591" s="34" t="s">
        <v>110</v>
      </c>
      <c r="C591" s="34" t="s">
        <v>717</v>
      </c>
      <c r="D591" s="355" t="s">
        <v>2425</v>
      </c>
      <c r="E591" t="s">
        <v>2426</v>
      </c>
      <c r="F591" s="57">
        <v>0</v>
      </c>
      <c r="G591" s="57">
        <v>507714401</v>
      </c>
      <c r="H591" s="1082">
        <f t="shared" si="32"/>
        <v>-507714401</v>
      </c>
      <c r="I591" s="1333" t="s">
        <v>53</v>
      </c>
      <c r="J591" s="1334" t="str">
        <f>VLOOKUP(C591,Acc_Char!B:K,3,)</f>
        <v>BW BAU BANG 01</v>
      </c>
      <c r="K591" s="1334" t="str">
        <f>VLOOKUP(C591,Acc_Char!B:K,7,)</f>
        <v>Subsidiaries</v>
      </c>
      <c r="L591" s="1334" t="str">
        <f t="shared" si="33"/>
        <v>Operating expense</v>
      </c>
      <c r="M591" s="1335" t="str">
        <f>VLOOKUP(C591,Acc_Char!B:K,5,)</f>
        <v>VND</v>
      </c>
      <c r="N591" s="1335" t="str">
        <f>VLOOKUP(C591,Acc_Char!B:K,6,)</f>
        <v>Current Account</v>
      </c>
      <c r="O591" s="1336" t="str">
        <f>Summary!$B$4</f>
        <v>W1-2Jan26</v>
      </c>
      <c r="P591" s="1334" t="str">
        <f t="shared" si="34"/>
        <v>110002915294</v>
      </c>
      <c r="Q591" s="1024"/>
    </row>
    <row r="592" spans="1:17">
      <c r="A592" t="s">
        <v>1591</v>
      </c>
      <c r="B592" s="34" t="s">
        <v>110</v>
      </c>
      <c r="C592" s="34" t="s">
        <v>717</v>
      </c>
      <c r="D592" s="355" t="s">
        <v>2427</v>
      </c>
      <c r="E592" t="s">
        <v>2428</v>
      </c>
      <c r="F592" s="57">
        <v>0</v>
      </c>
      <c r="G592" s="57">
        <v>8181250</v>
      </c>
      <c r="H592" s="1082">
        <f t="shared" si="32"/>
        <v>-8181250</v>
      </c>
      <c r="I592" s="1333" t="s">
        <v>53</v>
      </c>
      <c r="J592" s="1334" t="str">
        <f>VLOOKUP(C592,Acc_Char!B:K,3,)</f>
        <v>BW BAU BANG 01</v>
      </c>
      <c r="K592" s="1334" t="str">
        <f>VLOOKUP(C592,Acc_Char!B:K,7,)</f>
        <v>Subsidiaries</v>
      </c>
      <c r="L592" s="1334" t="str">
        <f t="shared" si="33"/>
        <v>Operating expense</v>
      </c>
      <c r="M592" s="1335" t="str">
        <f>VLOOKUP(C592,Acc_Char!B:K,5,)</f>
        <v>VND</v>
      </c>
      <c r="N592" s="1335" t="str">
        <f>VLOOKUP(C592,Acc_Char!B:K,6,)</f>
        <v>Current Account</v>
      </c>
      <c r="O592" s="1336" t="str">
        <f>Summary!$B$4</f>
        <v>W1-2Jan26</v>
      </c>
      <c r="P592" s="1334" t="str">
        <f t="shared" si="34"/>
        <v>110002915294</v>
      </c>
    </row>
    <row r="593" spans="1:17">
      <c r="A593" t="s">
        <v>1591</v>
      </c>
      <c r="B593" s="34" t="s">
        <v>110</v>
      </c>
      <c r="C593" s="34" t="s">
        <v>717</v>
      </c>
      <c r="D593" s="355" t="s">
        <v>2429</v>
      </c>
      <c r="E593" t="s">
        <v>2430</v>
      </c>
      <c r="F593" s="57">
        <v>0</v>
      </c>
      <c r="G593" s="57">
        <v>5384880</v>
      </c>
      <c r="H593" s="1082">
        <f t="shared" si="32"/>
        <v>-5384880</v>
      </c>
      <c r="I593" s="1333" t="s">
        <v>53</v>
      </c>
      <c r="J593" s="1334" t="str">
        <f>VLOOKUP(C593,Acc_Char!B:K,3,)</f>
        <v>BW BAU BANG 01</v>
      </c>
      <c r="K593" s="1334" t="str">
        <f>VLOOKUP(C593,Acc_Char!B:K,7,)</f>
        <v>Subsidiaries</v>
      </c>
      <c r="L593" s="1334" t="str">
        <f t="shared" si="33"/>
        <v>Operating expense</v>
      </c>
      <c r="M593" s="1335" t="str">
        <f>VLOOKUP(C593,Acc_Char!B:K,5,)</f>
        <v>VND</v>
      </c>
      <c r="N593" s="1335" t="str">
        <f>VLOOKUP(C593,Acc_Char!B:K,6,)</f>
        <v>Current Account</v>
      </c>
      <c r="O593" s="1336" t="str">
        <f>Summary!$B$4</f>
        <v>W1-2Jan26</v>
      </c>
      <c r="P593" s="1334" t="str">
        <f t="shared" si="34"/>
        <v>110002915294</v>
      </c>
    </row>
    <row r="594" spans="1:17">
      <c r="A594" t="s">
        <v>1591</v>
      </c>
      <c r="B594" s="34" t="s">
        <v>110</v>
      </c>
      <c r="C594" s="34" t="s">
        <v>717</v>
      </c>
      <c r="D594" s="355" t="s">
        <v>2431</v>
      </c>
      <c r="E594" t="s">
        <v>2432</v>
      </c>
      <c r="F594" s="57">
        <v>0</v>
      </c>
      <c r="G594" s="57">
        <v>110592000</v>
      </c>
      <c r="H594" s="1082">
        <f t="shared" si="32"/>
        <v>-110592000</v>
      </c>
      <c r="I594" s="1333" t="s">
        <v>53</v>
      </c>
      <c r="J594" s="1334" t="str">
        <f>VLOOKUP(C594,Acc_Char!B:K,3,)</f>
        <v>BW BAU BANG 01</v>
      </c>
      <c r="K594" s="1334" t="str">
        <f>VLOOKUP(C594,Acc_Char!B:K,7,)</f>
        <v>Subsidiaries</v>
      </c>
      <c r="L594" s="1334" t="str">
        <f t="shared" si="33"/>
        <v>Operating expense</v>
      </c>
      <c r="M594" s="1335" t="str">
        <f>VLOOKUP(C594,Acc_Char!B:K,5,)</f>
        <v>VND</v>
      </c>
      <c r="N594" s="1335" t="str">
        <f>VLOOKUP(C594,Acc_Char!B:K,6,)</f>
        <v>Current Account</v>
      </c>
      <c r="O594" s="1336" t="str">
        <f>Summary!$B$4</f>
        <v>W1-2Jan26</v>
      </c>
      <c r="P594" s="1334" t="str">
        <f t="shared" si="34"/>
        <v>110002915294</v>
      </c>
    </row>
    <row r="595" spans="1:17">
      <c r="A595" t="s">
        <v>1591</v>
      </c>
      <c r="B595" s="34" t="s">
        <v>110</v>
      </c>
      <c r="C595" s="34" t="s">
        <v>717</v>
      </c>
      <c r="D595" s="355" t="s">
        <v>2431</v>
      </c>
      <c r="E595" t="s">
        <v>2433</v>
      </c>
      <c r="F595" s="57">
        <v>0</v>
      </c>
      <c r="G595" s="57">
        <v>26189344</v>
      </c>
      <c r="H595" s="1082">
        <f t="shared" si="32"/>
        <v>-26189344</v>
      </c>
      <c r="I595" s="1333" t="s">
        <v>53</v>
      </c>
      <c r="J595" s="1334" t="str">
        <f>VLOOKUP(C595,Acc_Char!B:K,3,)</f>
        <v>BW BAU BANG 01</v>
      </c>
      <c r="K595" s="1334" t="str">
        <f>VLOOKUP(C595,Acc_Char!B:K,7,)</f>
        <v>Subsidiaries</v>
      </c>
      <c r="L595" s="1334" t="str">
        <f t="shared" si="33"/>
        <v>Operating expense</v>
      </c>
      <c r="M595" s="1335" t="str">
        <f>VLOOKUP(C595,Acc_Char!B:K,5,)</f>
        <v>VND</v>
      </c>
      <c r="N595" s="1335" t="str">
        <f>VLOOKUP(C595,Acc_Char!B:K,6,)</f>
        <v>Current Account</v>
      </c>
      <c r="O595" s="1336" t="str">
        <f>Summary!$B$4</f>
        <v>W1-2Jan26</v>
      </c>
      <c r="P595" s="1334" t="str">
        <f t="shared" si="34"/>
        <v>110002915294</v>
      </c>
    </row>
    <row r="596" spans="1:17">
      <c r="A596" t="s">
        <v>1567</v>
      </c>
      <c r="B596" s="34" t="s">
        <v>110</v>
      </c>
      <c r="C596" s="34" t="s">
        <v>1049</v>
      </c>
      <c r="D596" s="1400">
        <v>46174</v>
      </c>
      <c r="E596" t="s">
        <v>2434</v>
      </c>
      <c r="F596" s="57">
        <v>0</v>
      </c>
      <c r="G596" s="57">
        <v>13059360</v>
      </c>
      <c r="H596" s="1082">
        <f t="shared" si="32"/>
        <v>-13059360</v>
      </c>
      <c r="I596" s="1333" t="s">
        <v>53</v>
      </c>
      <c r="J596" s="1334" t="str">
        <f>VLOOKUP(C596,Acc_Char!B:K,3,)</f>
        <v>DEEP C 2B</v>
      </c>
      <c r="K596" s="1334" t="str">
        <f>VLOOKUP(C596,Acc_Char!B:K,7,)</f>
        <v>Subsidiaries</v>
      </c>
      <c r="L596" s="1334" t="str">
        <f t="shared" si="33"/>
        <v>Operating expense</v>
      </c>
      <c r="M596" s="1335" t="str">
        <f>VLOOKUP(C596,Acc_Char!B:K,5,)</f>
        <v>VND</v>
      </c>
      <c r="N596" s="1335" t="str">
        <f>VLOOKUP(C596,Acc_Char!B:K,6,)</f>
        <v>Current Account</v>
      </c>
      <c r="O596" s="1336" t="str">
        <f>Summary!$B$4</f>
        <v>W1-2Jan26</v>
      </c>
      <c r="P596" s="1334" t="str">
        <f t="shared" si="34"/>
        <v>117002972458</v>
      </c>
    </row>
    <row r="597" spans="1:17">
      <c r="A597" t="s">
        <v>1567</v>
      </c>
      <c r="B597" s="34" t="s">
        <v>110</v>
      </c>
      <c r="C597" s="34" t="s">
        <v>1049</v>
      </c>
      <c r="D597" s="1400">
        <v>46174</v>
      </c>
      <c r="E597" t="s">
        <v>2435</v>
      </c>
      <c r="F597" s="57">
        <v>0</v>
      </c>
      <c r="G597" s="57">
        <v>17055360</v>
      </c>
      <c r="H597" s="1082">
        <f t="shared" si="32"/>
        <v>-17055360</v>
      </c>
      <c r="I597" s="1333" t="s">
        <v>53</v>
      </c>
      <c r="J597" s="1334" t="str">
        <f>VLOOKUP(C597,Acc_Char!B:K,3,)</f>
        <v>DEEP C 2B</v>
      </c>
      <c r="K597" s="1334" t="str">
        <f>VLOOKUP(C597,Acc_Char!B:K,7,)</f>
        <v>Subsidiaries</v>
      </c>
      <c r="L597" s="1334" t="str">
        <f t="shared" si="33"/>
        <v>Operating expense</v>
      </c>
      <c r="M597" s="1335" t="str">
        <f>VLOOKUP(C597,Acc_Char!B:K,5,)</f>
        <v>VND</v>
      </c>
      <c r="N597" s="1335" t="str">
        <f>VLOOKUP(C597,Acc_Char!B:K,6,)</f>
        <v>Current Account</v>
      </c>
      <c r="O597" s="1336" t="str">
        <f>Summary!$B$4</f>
        <v>W1-2Jan26</v>
      </c>
      <c r="P597" s="1334" t="str">
        <f t="shared" si="34"/>
        <v>117002972458</v>
      </c>
    </row>
    <row r="598" spans="1:17">
      <c r="A598" t="s">
        <v>1567</v>
      </c>
      <c r="B598" s="34" t="s">
        <v>110</v>
      </c>
      <c r="C598" s="34" t="s">
        <v>1049</v>
      </c>
      <c r="D598" s="1400">
        <v>46174</v>
      </c>
      <c r="E598" t="s">
        <v>2436</v>
      </c>
      <c r="F598" s="57">
        <v>0</v>
      </c>
      <c r="G598" s="57">
        <v>14879286</v>
      </c>
      <c r="H598" s="1082">
        <f t="shared" si="32"/>
        <v>-14879286</v>
      </c>
      <c r="I598" t="s">
        <v>53</v>
      </c>
      <c r="J598" s="1334" t="str">
        <f>VLOOKUP(C598,Acc_Char!B:K,3,)</f>
        <v>DEEP C 2B</v>
      </c>
      <c r="K598" s="1334" t="str">
        <f>VLOOKUP(C598,Acc_Char!B:K,7,)</f>
        <v>Subsidiaries</v>
      </c>
      <c r="L598" s="1334" t="str">
        <f t="shared" si="33"/>
        <v>Operating expense</v>
      </c>
      <c r="M598" s="1335" t="str">
        <f>VLOOKUP(C598,Acc_Char!B:K,5,)</f>
        <v>VND</v>
      </c>
      <c r="N598" s="1335" t="str">
        <f>VLOOKUP(C598,Acc_Char!B:K,6,)</f>
        <v>Current Account</v>
      </c>
      <c r="O598" s="1336" t="str">
        <f>Summary!$B$4</f>
        <v>W1-2Jan26</v>
      </c>
      <c r="P598" s="1334" t="str">
        <f t="shared" si="34"/>
        <v>117002972458</v>
      </c>
    </row>
    <row r="599" spans="1:17">
      <c r="A599" t="s">
        <v>1567</v>
      </c>
      <c r="B599" s="34" t="s">
        <v>110</v>
      </c>
      <c r="C599" s="34" t="s">
        <v>1049</v>
      </c>
      <c r="D599" s="1400">
        <v>46174</v>
      </c>
      <c r="E599" t="s">
        <v>2437</v>
      </c>
      <c r="F599" s="57">
        <v>0</v>
      </c>
      <c r="G599" s="57">
        <v>136675000</v>
      </c>
      <c r="H599" s="1082">
        <f t="shared" si="32"/>
        <v>-136675000</v>
      </c>
      <c r="I599" s="1333" t="s">
        <v>53</v>
      </c>
      <c r="J599" s="1334" t="str">
        <f>VLOOKUP(C599,Acc_Char!B:K,3,)</f>
        <v>DEEP C 2B</v>
      </c>
      <c r="K599" s="1334" t="str">
        <f>VLOOKUP(C599,Acc_Char!B:K,7,)</f>
        <v>Subsidiaries</v>
      </c>
      <c r="L599" s="1334" t="str">
        <f t="shared" si="33"/>
        <v>Operating expense</v>
      </c>
      <c r="M599" s="1335" t="str">
        <f>VLOOKUP(C599,Acc_Char!B:K,5,)</f>
        <v>VND</v>
      </c>
      <c r="N599" s="1335" t="str">
        <f>VLOOKUP(C599,Acc_Char!B:K,6,)</f>
        <v>Current Account</v>
      </c>
      <c r="O599" s="1336" t="str">
        <f>Summary!$B$4</f>
        <v>W1-2Jan26</v>
      </c>
      <c r="P599" s="1334" t="str">
        <f t="shared" si="34"/>
        <v>117002972458</v>
      </c>
    </row>
    <row r="600" spans="1:17">
      <c r="A600" t="s">
        <v>1567</v>
      </c>
      <c r="B600" s="34" t="s">
        <v>110</v>
      </c>
      <c r="C600" s="34" t="s">
        <v>1049</v>
      </c>
      <c r="D600" s="1400">
        <v>46174</v>
      </c>
      <c r="E600" t="s">
        <v>2438</v>
      </c>
      <c r="F600" s="57">
        <v>0</v>
      </c>
      <c r="G600" s="57">
        <v>14575000</v>
      </c>
      <c r="H600" s="1082">
        <f t="shared" si="32"/>
        <v>-14575000</v>
      </c>
      <c r="I600" s="1333" t="s">
        <v>53</v>
      </c>
      <c r="J600" s="1334" t="str">
        <f>VLOOKUP(C600,Acc_Char!B:K,3,)</f>
        <v>DEEP C 2B</v>
      </c>
      <c r="K600" s="1334" t="str">
        <f>VLOOKUP(C600,Acc_Char!B:K,7,)</f>
        <v>Subsidiaries</v>
      </c>
      <c r="L600" s="1334" t="str">
        <f t="shared" si="33"/>
        <v>Operating expense</v>
      </c>
      <c r="M600" s="1335" t="str">
        <f>VLOOKUP(C600,Acc_Char!B:K,5,)</f>
        <v>VND</v>
      </c>
      <c r="N600" s="1335" t="str">
        <f>VLOOKUP(C600,Acc_Char!B:K,6,)</f>
        <v>Current Account</v>
      </c>
      <c r="O600" s="1336" t="str">
        <f>Summary!$B$4</f>
        <v>W1-2Jan26</v>
      </c>
      <c r="P600" s="1334" t="str">
        <f t="shared" si="34"/>
        <v>117002972458</v>
      </c>
    </row>
    <row r="601" spans="1:17" ht="28.8">
      <c r="A601" s="103" t="s">
        <v>1567</v>
      </c>
      <c r="B601" s="460" t="s">
        <v>110</v>
      </c>
      <c r="C601" s="460" t="s">
        <v>1049</v>
      </c>
      <c r="D601" s="1388">
        <v>46174</v>
      </c>
      <c r="E601" s="1392" t="s">
        <v>2439</v>
      </c>
      <c r="F601" s="1383">
        <v>0</v>
      </c>
      <c r="G601" s="1383">
        <v>211107092</v>
      </c>
      <c r="H601" s="1082">
        <f t="shared" si="32"/>
        <v>-211107092</v>
      </c>
      <c r="I601" s="1333" t="s">
        <v>53</v>
      </c>
      <c r="J601" s="1334" t="str">
        <f>VLOOKUP(C601,Acc_Char!B:K,3,)</f>
        <v>DEEP C 2B</v>
      </c>
      <c r="K601" s="1334" t="str">
        <f>VLOOKUP(C601,Acc_Char!B:K,7,)</f>
        <v>Subsidiaries</v>
      </c>
      <c r="L601" s="1334" t="str">
        <f t="shared" si="33"/>
        <v>Operating expense</v>
      </c>
      <c r="M601" s="1335" t="str">
        <f>VLOOKUP(C601,Acc_Char!B:K,5,)</f>
        <v>VND</v>
      </c>
      <c r="N601" s="1335" t="str">
        <f>VLOOKUP(C601,Acc_Char!B:K,6,)</f>
        <v>Current Account</v>
      </c>
      <c r="O601" s="1336" t="str">
        <f>Summary!$B$4</f>
        <v>W1-2Jan26</v>
      </c>
      <c r="P601" s="1334" t="str">
        <f t="shared" si="34"/>
        <v>117002972458</v>
      </c>
    </row>
    <row r="602" spans="1:17">
      <c r="A602" t="s">
        <v>1567</v>
      </c>
      <c r="B602" s="34" t="s">
        <v>110</v>
      </c>
      <c r="C602" s="34" t="s">
        <v>1049</v>
      </c>
      <c r="D602" s="1400">
        <v>46174</v>
      </c>
      <c r="E602" t="s">
        <v>2440</v>
      </c>
      <c r="F602" s="57">
        <v>0</v>
      </c>
      <c r="G602" s="57">
        <v>196359768</v>
      </c>
      <c r="H602" s="1082">
        <f t="shared" si="32"/>
        <v>-196359768</v>
      </c>
      <c r="I602" s="1333" t="s">
        <v>53</v>
      </c>
      <c r="J602" s="1334" t="str">
        <f>VLOOKUP(C602,Acc_Char!B:K,3,)</f>
        <v>DEEP C 2B</v>
      </c>
      <c r="K602" s="1334" t="str">
        <f>VLOOKUP(C602,Acc_Char!B:K,7,)</f>
        <v>Subsidiaries</v>
      </c>
      <c r="L602" s="1334" t="str">
        <f t="shared" si="33"/>
        <v>Operating expense</v>
      </c>
      <c r="M602" s="1335" t="str">
        <f>VLOOKUP(C602,Acc_Char!B:K,5,)</f>
        <v>VND</v>
      </c>
      <c r="N602" s="1335" t="str">
        <f>VLOOKUP(C602,Acc_Char!B:K,6,)</f>
        <v>Current Account</v>
      </c>
      <c r="O602" s="1336" t="str">
        <f>Summary!$B$4</f>
        <v>W1-2Jan26</v>
      </c>
      <c r="P602" s="1334" t="str">
        <f t="shared" si="34"/>
        <v>117002972458</v>
      </c>
    </row>
    <row r="603" spans="1:17">
      <c r="A603" t="s">
        <v>1567</v>
      </c>
      <c r="B603" s="34" t="s">
        <v>110</v>
      </c>
      <c r="C603" s="34" t="s">
        <v>1033</v>
      </c>
      <c r="D603" s="1400">
        <v>46174</v>
      </c>
      <c r="E603" t="s">
        <v>2441</v>
      </c>
      <c r="F603" s="57">
        <v>0</v>
      </c>
      <c r="G603" s="57">
        <v>65373255</v>
      </c>
      <c r="H603" s="1082">
        <f t="shared" si="32"/>
        <v>-65373255</v>
      </c>
      <c r="I603" s="1333" t="s">
        <v>53</v>
      </c>
      <c r="J603" s="1334" t="str">
        <f>VLOOKUP(C603,Acc_Char!B:K,3,)</f>
        <v>PHU AN THANH</v>
      </c>
      <c r="K603" s="1334" t="str">
        <f>VLOOKUP(C603,Acc_Char!B:K,7,)</f>
        <v>Subsidiaries</v>
      </c>
      <c r="L603" s="1334" t="str">
        <f t="shared" si="33"/>
        <v>Operating expense</v>
      </c>
      <c r="M603" s="1335" t="str">
        <f>VLOOKUP(C603,Acc_Char!B:K,5,)</f>
        <v>VND</v>
      </c>
      <c r="N603" s="1335" t="str">
        <f>VLOOKUP(C603,Acc_Char!B:K,6,)</f>
        <v>Current Account</v>
      </c>
      <c r="O603" s="1336" t="str">
        <f>Summary!$B$4</f>
        <v>W1-2Jan26</v>
      </c>
      <c r="P603" s="1334" t="str">
        <f t="shared" si="34"/>
        <v>115002972462</v>
      </c>
    </row>
    <row r="604" spans="1:17">
      <c r="A604" t="s">
        <v>1567</v>
      </c>
      <c r="B604" s="34" t="s">
        <v>110</v>
      </c>
      <c r="C604" s="34" t="s">
        <v>1047</v>
      </c>
      <c r="D604" s="1400">
        <v>46174</v>
      </c>
      <c r="E604" t="s">
        <v>2442</v>
      </c>
      <c r="F604" s="57">
        <v>0</v>
      </c>
      <c r="G604" s="57">
        <v>233232530</v>
      </c>
      <c r="H604" s="1082">
        <f t="shared" si="32"/>
        <v>-233232530</v>
      </c>
      <c r="I604" s="1333" t="s">
        <v>53</v>
      </c>
      <c r="J604" s="1334" t="str">
        <f>VLOOKUP(C604,Acc_Char!B:K,3,)</f>
        <v>LE MINH XUAN 3</v>
      </c>
      <c r="K604" s="1334" t="str">
        <f>VLOOKUP(C604,Acc_Char!B:K,7,)</f>
        <v>Subsidiaries</v>
      </c>
      <c r="L604" s="1334" t="str">
        <f t="shared" si="33"/>
        <v>Operating expense</v>
      </c>
      <c r="M604" s="1335" t="str">
        <f>VLOOKUP(C604,Acc_Char!B:K,5,)</f>
        <v>VND</v>
      </c>
      <c r="N604" s="1335" t="str">
        <f>VLOOKUP(C604,Acc_Char!B:K,6,)</f>
        <v>Current Account</v>
      </c>
      <c r="O604" s="1336" t="str">
        <f>Summary!$B$4</f>
        <v>W1-2Jan26</v>
      </c>
      <c r="P604" s="1334" t="str">
        <f t="shared" si="34"/>
        <v>118002972254</v>
      </c>
    </row>
    <row r="605" spans="1:17">
      <c r="A605" t="s">
        <v>1591</v>
      </c>
      <c r="B605" s="34" t="s">
        <v>110</v>
      </c>
      <c r="C605" s="34" t="s">
        <v>858</v>
      </c>
      <c r="D605" s="355" t="s">
        <v>2443</v>
      </c>
      <c r="E605" t="s">
        <v>2444</v>
      </c>
      <c r="F605" s="57">
        <v>0</v>
      </c>
      <c r="G605" s="57">
        <v>451440000</v>
      </c>
      <c r="H605" s="1082">
        <f t="shared" si="32"/>
        <v>-451440000</v>
      </c>
      <c r="I605" s="1333" t="s">
        <v>22</v>
      </c>
      <c r="J605" s="1334" t="str">
        <f>VLOOKUP(C605,Acc_Char!B:K,3,)</f>
        <v>THUAN DAO</v>
      </c>
      <c r="K605" s="1334" t="str">
        <f>VLOOKUP(C605,Acc_Char!B:K,7,)</f>
        <v>Subsidiaries</v>
      </c>
      <c r="L605" s="1334" t="str">
        <f t="shared" si="33"/>
        <v>Construction expense</v>
      </c>
      <c r="M605" s="1335" t="str">
        <f>VLOOKUP(C605,Acc_Char!B:K,5,)</f>
        <v>VND</v>
      </c>
      <c r="N605" s="1335" t="str">
        <f>VLOOKUP(C605,Acc_Char!B:K,6,)</f>
        <v>Current Account</v>
      </c>
      <c r="O605" s="1336" t="str">
        <f>Summary!$B$4</f>
        <v>W1-2Jan26</v>
      </c>
      <c r="P605" s="1334" t="str">
        <f t="shared" si="34"/>
        <v>116002949864</v>
      </c>
    </row>
    <row r="606" spans="1:17">
      <c r="A606" t="s">
        <v>1567</v>
      </c>
      <c r="B606" s="34" t="s">
        <v>110</v>
      </c>
      <c r="C606" s="34" t="s">
        <v>1047</v>
      </c>
      <c r="D606" s="1400">
        <v>46035</v>
      </c>
      <c r="E606" t="s">
        <v>2445</v>
      </c>
      <c r="F606" s="57">
        <v>0</v>
      </c>
      <c r="G606" s="57">
        <v>146758000</v>
      </c>
      <c r="H606" s="1082">
        <f t="shared" si="32"/>
        <v>-146758000</v>
      </c>
      <c r="I606" s="1333" t="s">
        <v>53</v>
      </c>
      <c r="J606" s="1334" t="str">
        <f>VLOOKUP(C606,Acc_Char!B:K,3,)</f>
        <v>LE MINH XUAN 3</v>
      </c>
      <c r="K606" s="1334" t="str">
        <f>VLOOKUP(C606,Acc_Char!B:K,7,)</f>
        <v>Subsidiaries</v>
      </c>
      <c r="L606" s="1334" t="str">
        <f t="shared" si="33"/>
        <v>Operating expense</v>
      </c>
      <c r="M606" s="1335" t="str">
        <f>VLOOKUP(C606,Acc_Char!B:K,5,)</f>
        <v>VND</v>
      </c>
      <c r="N606" s="1335" t="str">
        <f>VLOOKUP(C606,Acc_Char!B:K,6,)</f>
        <v>Current Account</v>
      </c>
      <c r="O606" s="1336" t="str">
        <f>Summary!$B$4</f>
        <v>W1-2Jan26</v>
      </c>
      <c r="P606" s="1334" t="str">
        <f t="shared" si="34"/>
        <v>118002972254</v>
      </c>
    </row>
    <row r="607" spans="1:17">
      <c r="A607" t="s">
        <v>1591</v>
      </c>
      <c r="B607" s="34" t="s">
        <v>110</v>
      </c>
      <c r="C607" s="34" t="s">
        <v>1048</v>
      </c>
      <c r="D607" s="355" t="s">
        <v>2321</v>
      </c>
      <c r="E607" t="s">
        <v>2446</v>
      </c>
      <c r="F607" s="57">
        <v>0</v>
      </c>
      <c r="G607" s="57">
        <v>26179382</v>
      </c>
      <c r="H607" s="1082">
        <f t="shared" si="32"/>
        <v>-26179382</v>
      </c>
      <c r="I607" s="1333" t="s">
        <v>53</v>
      </c>
      <c r="J607" s="1334" t="str">
        <f>VLOOKUP(C607,Acc_Char!B:K,3,)</f>
        <v>TAN DONG HIEP B ELECTRON</v>
      </c>
      <c r="K607" s="1334" t="str">
        <f>VLOOKUP(C607,Acc_Char!B:K,7,)</f>
        <v>Subsidiaries</v>
      </c>
      <c r="L607" s="1334" t="str">
        <f t="shared" si="33"/>
        <v>Operating expense</v>
      </c>
      <c r="M607" s="1335" t="str">
        <f>VLOOKUP(C607,Acc_Char!B:K,5,)</f>
        <v>VND</v>
      </c>
      <c r="N607" s="1335" t="str">
        <f>VLOOKUP(C607,Acc_Char!B:K,6,)</f>
        <v>Current Account</v>
      </c>
      <c r="O607" s="1336" t="str">
        <f>Summary!$B$4</f>
        <v>W1-2Jan26</v>
      </c>
      <c r="P607" s="1334" t="str">
        <f t="shared" si="34"/>
        <v>110002974996</v>
      </c>
      <c r="Q607" s="1024"/>
    </row>
    <row r="608" spans="1:17">
      <c r="A608" t="s">
        <v>1591</v>
      </c>
      <c r="B608" s="34" t="s">
        <v>110</v>
      </c>
      <c r="C608" s="34" t="s">
        <v>1048</v>
      </c>
      <c r="D608" s="355" t="s">
        <v>2321</v>
      </c>
      <c r="E608" t="s">
        <v>2447</v>
      </c>
      <c r="F608" s="57">
        <v>0</v>
      </c>
      <c r="G608" s="57">
        <v>14743230</v>
      </c>
      <c r="H608" s="1082">
        <f t="shared" si="32"/>
        <v>-14743230</v>
      </c>
      <c r="I608" s="1333" t="s">
        <v>53</v>
      </c>
      <c r="J608" s="1334" t="str">
        <f>VLOOKUP(C608,Acc_Char!B:K,3,)</f>
        <v>TAN DONG HIEP B ELECTRON</v>
      </c>
      <c r="K608" s="1334" t="str">
        <f>VLOOKUP(C608,Acc_Char!B:K,7,)</f>
        <v>Subsidiaries</v>
      </c>
      <c r="L608" s="1334" t="str">
        <f t="shared" si="33"/>
        <v>Operating expense</v>
      </c>
      <c r="M608" s="1335" t="str">
        <f>VLOOKUP(C608,Acc_Char!B:K,5,)</f>
        <v>VND</v>
      </c>
      <c r="N608" s="1335" t="str">
        <f>VLOOKUP(C608,Acc_Char!B:K,6,)</f>
        <v>Current Account</v>
      </c>
      <c r="O608" s="1336" t="str">
        <f>Summary!$B$4</f>
        <v>W1-2Jan26</v>
      </c>
      <c r="P608" s="1334" t="str">
        <f t="shared" si="34"/>
        <v>110002974996</v>
      </c>
      <c r="Q608" s="1024"/>
    </row>
    <row r="609" spans="1:17">
      <c r="A609" t="s">
        <v>1591</v>
      </c>
      <c r="B609" s="34" t="s">
        <v>110</v>
      </c>
      <c r="C609" s="34" t="s">
        <v>1046</v>
      </c>
      <c r="D609" s="355" t="s">
        <v>2321</v>
      </c>
      <c r="E609" t="s">
        <v>2448</v>
      </c>
      <c r="F609" s="57">
        <v>0</v>
      </c>
      <c r="G609" s="57">
        <v>2187000</v>
      </c>
      <c r="H609" s="1082">
        <f t="shared" si="32"/>
        <v>-2187000</v>
      </c>
      <c r="I609" s="1333" t="s">
        <v>53</v>
      </c>
      <c r="J609" s="1334" t="str">
        <f>VLOOKUP(C609,Acc_Char!B:K,3,)</f>
        <v>SONG THAN 2</v>
      </c>
      <c r="K609" s="1334" t="str">
        <f>VLOOKUP(C609,Acc_Char!B:K,7,)</f>
        <v>Subsidiaries</v>
      </c>
      <c r="L609" s="1334" t="str">
        <f t="shared" si="33"/>
        <v>Operating expense</v>
      </c>
      <c r="M609" s="1335" t="str">
        <f>VLOOKUP(C609,Acc_Char!B:K,5,)</f>
        <v>VND</v>
      </c>
      <c r="N609" s="1335" t="str">
        <f>VLOOKUP(C609,Acc_Char!B:K,6,)</f>
        <v>Current Account</v>
      </c>
      <c r="O609" s="1336" t="str">
        <f>Summary!$B$4</f>
        <v>W1-2Jan26</v>
      </c>
      <c r="P609" s="1334" t="str">
        <f t="shared" si="34"/>
        <v>111002975027</v>
      </c>
    </row>
    <row r="610" spans="1:17">
      <c r="A610" t="s">
        <v>1591</v>
      </c>
      <c r="B610" s="34" t="s">
        <v>110</v>
      </c>
      <c r="C610" s="34" t="s">
        <v>858</v>
      </c>
      <c r="D610" s="355" t="s">
        <v>2352</v>
      </c>
      <c r="E610" t="s">
        <v>2449</v>
      </c>
      <c r="F610" s="57">
        <v>0</v>
      </c>
      <c r="G610" s="57">
        <v>664576440</v>
      </c>
      <c r="H610" s="1082">
        <f t="shared" si="32"/>
        <v>-664576440</v>
      </c>
      <c r="I610" s="1333" t="s">
        <v>53</v>
      </c>
      <c r="J610" s="1334" t="str">
        <f>VLOOKUP(C610,Acc_Char!B:K,3,)</f>
        <v>THUAN DAO</v>
      </c>
      <c r="K610" s="1334" t="str">
        <f>VLOOKUP(C610,Acc_Char!B:K,7,)</f>
        <v>Subsidiaries</v>
      </c>
      <c r="L610" s="1334" t="str">
        <f t="shared" si="33"/>
        <v>Operating expense</v>
      </c>
      <c r="M610" s="1335" t="str">
        <f>VLOOKUP(C610,Acc_Char!B:K,5,)</f>
        <v>VND</v>
      </c>
      <c r="N610" s="1335" t="str">
        <f>VLOOKUP(C610,Acc_Char!B:K,6,)</f>
        <v>Current Account</v>
      </c>
      <c r="O610" s="1336" t="str">
        <f>Summary!$B$4</f>
        <v>W1-2Jan26</v>
      </c>
      <c r="P610" s="1334" t="str">
        <f t="shared" si="34"/>
        <v>116002949864</v>
      </c>
    </row>
    <row r="611" spans="1:17">
      <c r="A611" t="s">
        <v>1567</v>
      </c>
      <c r="B611" s="34" t="s">
        <v>110</v>
      </c>
      <c r="C611" s="34" t="s">
        <v>1047</v>
      </c>
      <c r="D611" s="1400">
        <v>46035</v>
      </c>
      <c r="E611" t="s">
        <v>2450</v>
      </c>
      <c r="F611" s="57">
        <v>0</v>
      </c>
      <c r="G611" s="57">
        <v>34144200</v>
      </c>
      <c r="H611" s="1082">
        <f t="shared" si="32"/>
        <v>-34144200</v>
      </c>
      <c r="I611" s="1333" t="s">
        <v>53</v>
      </c>
      <c r="J611" s="1334" t="str">
        <f>VLOOKUP(C611,Acc_Char!B:K,3,)</f>
        <v>LE MINH XUAN 3</v>
      </c>
      <c r="K611" s="1334" t="str">
        <f>VLOOKUP(C611,Acc_Char!B:K,7,)</f>
        <v>Subsidiaries</v>
      </c>
      <c r="L611" s="1334" t="str">
        <f t="shared" si="33"/>
        <v>Operating expense</v>
      </c>
      <c r="M611" s="1335" t="str">
        <f>VLOOKUP(C611,Acc_Char!B:K,5,)</f>
        <v>VND</v>
      </c>
      <c r="N611" s="1335" t="str">
        <f>VLOOKUP(C611,Acc_Char!B:K,6,)</f>
        <v>Current Account</v>
      </c>
      <c r="O611" s="1336" t="str">
        <f>Summary!$B$4</f>
        <v>W1-2Jan26</v>
      </c>
      <c r="P611" s="1334" t="str">
        <f t="shared" si="34"/>
        <v>118002972254</v>
      </c>
    </row>
    <row r="612" spans="1:17">
      <c r="A612" t="s">
        <v>1591</v>
      </c>
      <c r="B612" s="34" t="s">
        <v>110</v>
      </c>
      <c r="C612" s="34" t="s">
        <v>1048</v>
      </c>
      <c r="D612" s="355" t="s">
        <v>2352</v>
      </c>
      <c r="E612" t="s">
        <v>2451</v>
      </c>
      <c r="F612" s="57">
        <v>0</v>
      </c>
      <c r="G612" s="57">
        <v>32501520</v>
      </c>
      <c r="H612" s="1082">
        <f t="shared" si="32"/>
        <v>-32501520</v>
      </c>
      <c r="I612" s="1333" t="s">
        <v>53</v>
      </c>
      <c r="J612" s="1334" t="str">
        <f>VLOOKUP(C612,Acc_Char!B:K,3,)</f>
        <v>TAN DONG HIEP B ELECTRON</v>
      </c>
      <c r="K612" s="1334" t="str">
        <f>VLOOKUP(C612,Acc_Char!B:K,7,)</f>
        <v>Subsidiaries</v>
      </c>
      <c r="L612" s="1334" t="str">
        <f t="shared" si="33"/>
        <v>Operating expense</v>
      </c>
      <c r="M612" s="1335" t="str">
        <f>VLOOKUP(C612,Acc_Char!B:K,5,)</f>
        <v>VND</v>
      </c>
      <c r="N612" s="1335" t="str">
        <f>VLOOKUP(C612,Acc_Char!B:K,6,)</f>
        <v>Current Account</v>
      </c>
      <c r="O612" s="1336" t="str">
        <f>Summary!$B$4</f>
        <v>W1-2Jan26</v>
      </c>
      <c r="P612" s="1334" t="str">
        <f t="shared" si="34"/>
        <v>110002974996</v>
      </c>
    </row>
    <row r="613" spans="1:17">
      <c r="A613" t="s">
        <v>1591</v>
      </c>
      <c r="B613" s="34" t="s">
        <v>110</v>
      </c>
      <c r="C613" s="34" t="s">
        <v>1046</v>
      </c>
      <c r="D613" s="355" t="s">
        <v>2352</v>
      </c>
      <c r="E613" t="s">
        <v>2452</v>
      </c>
      <c r="F613" s="57">
        <v>0</v>
      </c>
      <c r="G613" s="57">
        <v>20835360</v>
      </c>
      <c r="H613" s="1082">
        <f t="shared" si="32"/>
        <v>-20835360</v>
      </c>
      <c r="I613" s="1333" t="s">
        <v>53</v>
      </c>
      <c r="J613" s="1334" t="str">
        <f>VLOOKUP(C613,Acc_Char!B:K,3,)</f>
        <v>SONG THAN 2</v>
      </c>
      <c r="K613" s="1334" t="str">
        <f>VLOOKUP(C613,Acc_Char!B:K,7,)</f>
        <v>Subsidiaries</v>
      </c>
      <c r="L613" s="1334" t="str">
        <f t="shared" si="33"/>
        <v>Operating expense</v>
      </c>
      <c r="M613" s="1335" t="str">
        <f>VLOOKUP(C613,Acc_Char!B:K,5,)</f>
        <v>VND</v>
      </c>
      <c r="N613" s="1335" t="str">
        <f>VLOOKUP(C613,Acc_Char!B:K,6,)</f>
        <v>Current Account</v>
      </c>
      <c r="O613" s="1336" t="str">
        <f>Summary!$B$4</f>
        <v>W1-2Jan26</v>
      </c>
      <c r="P613" s="1334" t="str">
        <f t="shared" si="34"/>
        <v>111002975027</v>
      </c>
    </row>
    <row r="614" spans="1:17">
      <c r="A614" t="s">
        <v>1591</v>
      </c>
      <c r="B614" s="34" t="s">
        <v>110</v>
      </c>
      <c r="C614" s="34" t="s">
        <v>1046</v>
      </c>
      <c r="D614" s="355" t="s">
        <v>2352</v>
      </c>
      <c r="E614" t="s">
        <v>2453</v>
      </c>
      <c r="F614" s="57">
        <v>0</v>
      </c>
      <c r="G614" s="57">
        <v>14575000</v>
      </c>
      <c r="H614" s="1082">
        <f t="shared" si="32"/>
        <v>-14575000</v>
      </c>
      <c r="I614" s="1333" t="s">
        <v>53</v>
      </c>
      <c r="J614" s="1334" t="str">
        <f>VLOOKUP(C614,Acc_Char!B:K,3,)</f>
        <v>SONG THAN 2</v>
      </c>
      <c r="K614" s="1334" t="str">
        <f>VLOOKUP(C614,Acc_Char!B:K,7,)</f>
        <v>Subsidiaries</v>
      </c>
      <c r="L614" s="1334" t="str">
        <f t="shared" si="33"/>
        <v>Operating expense</v>
      </c>
      <c r="M614" s="1335" t="str">
        <f>VLOOKUP(C614,Acc_Char!B:K,5,)</f>
        <v>VND</v>
      </c>
      <c r="N614" s="1335" t="str">
        <f>VLOOKUP(C614,Acc_Char!B:K,6,)</f>
        <v>Current Account</v>
      </c>
      <c r="O614" s="1336" t="str">
        <f>Summary!$B$4</f>
        <v>W1-2Jan26</v>
      </c>
      <c r="P614" s="1334" t="str">
        <f t="shared" si="34"/>
        <v>111002975027</v>
      </c>
    </row>
    <row r="615" spans="1:17">
      <c r="A615" t="s">
        <v>1591</v>
      </c>
      <c r="B615" s="34" t="s">
        <v>110</v>
      </c>
      <c r="C615" s="34" t="s">
        <v>858</v>
      </c>
      <c r="D615" s="355" t="s">
        <v>2352</v>
      </c>
      <c r="E615" t="s">
        <v>2454</v>
      </c>
      <c r="F615" s="57">
        <v>0</v>
      </c>
      <c r="G615" s="57">
        <v>14575000</v>
      </c>
      <c r="H615" s="1082">
        <f t="shared" si="32"/>
        <v>-14575000</v>
      </c>
      <c r="I615" s="1333" t="s">
        <v>53</v>
      </c>
      <c r="J615" s="1334" t="str">
        <f>VLOOKUP(C615,Acc_Char!B:K,3,)</f>
        <v>THUAN DAO</v>
      </c>
      <c r="K615" s="1334" t="str">
        <f>VLOOKUP(C615,Acc_Char!B:K,7,)</f>
        <v>Subsidiaries</v>
      </c>
      <c r="L615" s="1334" t="str">
        <f t="shared" si="33"/>
        <v>Operating expense</v>
      </c>
      <c r="M615" s="1335" t="str">
        <f>VLOOKUP(C615,Acc_Char!B:K,5,)</f>
        <v>VND</v>
      </c>
      <c r="N615" s="1335" t="str">
        <f>VLOOKUP(C615,Acc_Char!B:K,6,)</f>
        <v>Current Account</v>
      </c>
      <c r="O615" s="1336" t="str">
        <f>Summary!$B$4</f>
        <v>W1-2Jan26</v>
      </c>
      <c r="P615" s="1334" t="str">
        <f t="shared" si="34"/>
        <v>116002949864</v>
      </c>
    </row>
    <row r="616" spans="1:17">
      <c r="A616" t="s">
        <v>1567</v>
      </c>
      <c r="B616" s="34" t="s">
        <v>110</v>
      </c>
      <c r="C616" s="34" t="s">
        <v>1047</v>
      </c>
      <c r="D616" s="1400">
        <v>46035</v>
      </c>
      <c r="E616" t="s">
        <v>2455</v>
      </c>
      <c r="F616" s="57">
        <v>0</v>
      </c>
      <c r="G616" s="57">
        <v>14575000</v>
      </c>
      <c r="H616" s="1082">
        <f t="shared" si="32"/>
        <v>-14575000</v>
      </c>
      <c r="I616" s="1333" t="s">
        <v>53</v>
      </c>
      <c r="J616" s="1334" t="str">
        <f>VLOOKUP(C616,Acc_Char!B:K,3,)</f>
        <v>LE MINH XUAN 3</v>
      </c>
      <c r="K616" s="1334" t="str">
        <f>VLOOKUP(C616,Acc_Char!B:K,7,)</f>
        <v>Subsidiaries</v>
      </c>
      <c r="L616" s="1334" t="str">
        <f t="shared" si="33"/>
        <v>Operating expense</v>
      </c>
      <c r="M616" s="1335" t="str">
        <f>VLOOKUP(C616,Acc_Char!B:K,5,)</f>
        <v>VND</v>
      </c>
      <c r="N616" s="1335" t="str">
        <f>VLOOKUP(C616,Acc_Char!B:K,6,)</f>
        <v>Current Account</v>
      </c>
      <c r="O616" s="1336" t="str">
        <f>Summary!$B$4</f>
        <v>W1-2Jan26</v>
      </c>
      <c r="P616" s="1334" t="str">
        <f t="shared" si="34"/>
        <v>118002972254</v>
      </c>
    </row>
    <row r="617" spans="1:17">
      <c r="A617" t="s">
        <v>1591</v>
      </c>
      <c r="B617" s="34" t="s">
        <v>110</v>
      </c>
      <c r="C617" s="34" t="s">
        <v>1048</v>
      </c>
      <c r="D617" s="355" t="s">
        <v>2352</v>
      </c>
      <c r="E617" t="s">
        <v>2456</v>
      </c>
      <c r="F617" s="57">
        <v>0</v>
      </c>
      <c r="G617" s="57">
        <v>14575000</v>
      </c>
      <c r="H617" s="1082">
        <f t="shared" si="32"/>
        <v>-14575000</v>
      </c>
      <c r="I617" s="1333" t="s">
        <v>53</v>
      </c>
      <c r="J617" s="1334" t="str">
        <f>VLOOKUP(C617,Acc_Char!B:K,3,)</f>
        <v>TAN DONG HIEP B ELECTRON</v>
      </c>
      <c r="K617" s="1334" t="str">
        <f>VLOOKUP(C617,Acc_Char!B:K,7,)</f>
        <v>Subsidiaries</v>
      </c>
      <c r="L617" s="1334" t="str">
        <f t="shared" si="33"/>
        <v>Operating expense</v>
      </c>
      <c r="M617" s="1335" t="str">
        <f>VLOOKUP(C617,Acc_Char!B:K,5,)</f>
        <v>VND</v>
      </c>
      <c r="N617" s="1335" t="str">
        <f>VLOOKUP(C617,Acc_Char!B:K,6,)</f>
        <v>Current Account</v>
      </c>
      <c r="O617" s="1336" t="str">
        <f>Summary!$B$4</f>
        <v>W1-2Jan26</v>
      </c>
      <c r="P617" s="1334" t="str">
        <f t="shared" si="34"/>
        <v>110002974996</v>
      </c>
    </row>
    <row r="618" spans="1:17">
      <c r="A618" t="s">
        <v>1591</v>
      </c>
      <c r="B618" s="34" t="s">
        <v>110</v>
      </c>
      <c r="C618" s="34" t="s">
        <v>858</v>
      </c>
      <c r="D618" s="355" t="s">
        <v>2457</v>
      </c>
      <c r="E618" s="1337" t="s">
        <v>2458</v>
      </c>
      <c r="F618" s="57">
        <v>0</v>
      </c>
      <c r="G618" s="57">
        <v>55000000</v>
      </c>
      <c r="H618" s="1082">
        <f t="shared" si="32"/>
        <v>-55000000</v>
      </c>
      <c r="I618" s="1333" t="s">
        <v>53</v>
      </c>
      <c r="J618" s="1334" t="str">
        <f>VLOOKUP(C618,Acc_Char!B:K,3,)</f>
        <v>THUAN DAO</v>
      </c>
      <c r="K618" s="1334" t="str">
        <f>VLOOKUP(C618,Acc_Char!B:K,7,)</f>
        <v>Subsidiaries</v>
      </c>
      <c r="L618" s="1334" t="str">
        <f t="shared" si="33"/>
        <v>Operating expense</v>
      </c>
      <c r="M618" s="1335" t="str">
        <f>VLOOKUP(C618,Acc_Char!B:K,5,)</f>
        <v>VND</v>
      </c>
      <c r="N618" s="1335" t="str">
        <f>VLOOKUP(C618,Acc_Char!B:K,6,)</f>
        <v>Current Account</v>
      </c>
      <c r="O618" s="1336" t="str">
        <f>Summary!$B$4</f>
        <v>W1-2Jan26</v>
      </c>
      <c r="P618" s="1334" t="str">
        <f t="shared" si="34"/>
        <v>116002949864</v>
      </c>
      <c r="Q618" s="1024"/>
    </row>
    <row r="619" spans="1:17">
      <c r="A619" t="s">
        <v>1567</v>
      </c>
      <c r="B619" s="34" t="s">
        <v>110</v>
      </c>
      <c r="C619" s="34" t="s">
        <v>1049</v>
      </c>
      <c r="D619" s="1400">
        <v>46037</v>
      </c>
      <c r="E619" t="s">
        <v>2459</v>
      </c>
      <c r="F619" s="57">
        <v>0</v>
      </c>
      <c r="G619" s="57">
        <v>26189344</v>
      </c>
      <c r="H619" s="1082">
        <f t="shared" si="32"/>
        <v>-26189344</v>
      </c>
      <c r="I619" s="1333" t="s">
        <v>53</v>
      </c>
      <c r="J619" s="1334" t="str">
        <f>VLOOKUP(C619,Acc_Char!B:K,3,)</f>
        <v>DEEP C 2B</v>
      </c>
      <c r="K619" s="1334" t="str">
        <f>VLOOKUP(C619,Acc_Char!B:K,7,)</f>
        <v>Subsidiaries</v>
      </c>
      <c r="L619" s="1334" t="str">
        <f t="shared" si="33"/>
        <v>Operating expense</v>
      </c>
      <c r="M619" s="1335" t="str">
        <f>VLOOKUP(C619,Acc_Char!B:K,5,)</f>
        <v>VND</v>
      </c>
      <c r="N619" s="1335" t="str">
        <f>VLOOKUP(C619,Acc_Char!B:K,6,)</f>
        <v>Current Account</v>
      </c>
      <c r="O619" s="1336" t="str">
        <f>Summary!$B$4</f>
        <v>W1-2Jan26</v>
      </c>
      <c r="P619" s="1334" t="str">
        <f t="shared" si="34"/>
        <v>117002972458</v>
      </c>
      <c r="Q619" s="1024"/>
    </row>
    <row r="620" spans="1:17">
      <c r="A620" t="s">
        <v>1591</v>
      </c>
      <c r="B620" s="34" t="s">
        <v>110</v>
      </c>
      <c r="C620" s="34" t="s">
        <v>858</v>
      </c>
      <c r="D620" s="355" t="s">
        <v>2460</v>
      </c>
      <c r="E620" t="s">
        <v>2461</v>
      </c>
      <c r="F620" s="57">
        <v>0</v>
      </c>
      <c r="G620" s="57">
        <v>152900000</v>
      </c>
      <c r="H620" s="1082">
        <f t="shared" si="32"/>
        <v>-152900000</v>
      </c>
      <c r="I620" s="1333" t="s">
        <v>53</v>
      </c>
      <c r="J620" s="1334" t="str">
        <f>VLOOKUP(C620,Acc_Char!B:K,3,)</f>
        <v>THUAN DAO</v>
      </c>
      <c r="K620" s="1334" t="str">
        <f>VLOOKUP(C620,Acc_Char!B:K,7,)</f>
        <v>Subsidiaries</v>
      </c>
      <c r="L620" s="1334" t="str">
        <f t="shared" si="33"/>
        <v>Operating expense</v>
      </c>
      <c r="M620" s="1335" t="str">
        <f>VLOOKUP(C620,Acc_Char!B:K,5,)</f>
        <v>VND</v>
      </c>
      <c r="N620" s="1335" t="str">
        <f>VLOOKUP(C620,Acc_Char!B:K,6,)</f>
        <v>Current Account</v>
      </c>
      <c r="O620" s="1336" t="str">
        <f>Summary!$B$4</f>
        <v>W1-2Jan26</v>
      </c>
      <c r="P620" s="1334" t="str">
        <f t="shared" si="34"/>
        <v>116002949864</v>
      </c>
      <c r="Q620" s="1024"/>
    </row>
    <row r="621" spans="1:17">
      <c r="A621" t="s">
        <v>1567</v>
      </c>
      <c r="B621" s="34" t="s">
        <v>110</v>
      </c>
      <c r="C621" s="34" t="s">
        <v>1047</v>
      </c>
      <c r="D621" s="1400">
        <v>46037</v>
      </c>
      <c r="E621" t="s">
        <v>2462</v>
      </c>
      <c r="F621" s="57">
        <v>0</v>
      </c>
      <c r="G621" s="57">
        <v>82088989</v>
      </c>
      <c r="H621" s="1082">
        <f t="shared" si="32"/>
        <v>-82088989</v>
      </c>
      <c r="I621" s="1333" t="s">
        <v>53</v>
      </c>
      <c r="J621" s="1334" t="str">
        <f>VLOOKUP(C621,Acc_Char!B:K,3,)</f>
        <v>LE MINH XUAN 3</v>
      </c>
      <c r="K621" s="1334" t="str">
        <f>VLOOKUP(C621,Acc_Char!B:K,7,)</f>
        <v>Subsidiaries</v>
      </c>
      <c r="L621" s="1334" t="str">
        <f t="shared" si="33"/>
        <v>Operating expense</v>
      </c>
      <c r="M621" s="1335" t="str">
        <f>VLOOKUP(C621,Acc_Char!B:K,5,)</f>
        <v>VND</v>
      </c>
      <c r="N621" s="1335" t="str">
        <f>VLOOKUP(C621,Acc_Char!B:K,6,)</f>
        <v>Current Account</v>
      </c>
      <c r="O621" s="1336" t="str">
        <f>Summary!$B$4</f>
        <v>W1-2Jan26</v>
      </c>
      <c r="P621" s="1334" t="str">
        <f t="shared" si="34"/>
        <v>118002972254</v>
      </c>
    </row>
    <row r="622" spans="1:17">
      <c r="A622" t="s">
        <v>1567</v>
      </c>
      <c r="B622" s="34" t="s">
        <v>110</v>
      </c>
      <c r="C622" s="34" t="s">
        <v>1033</v>
      </c>
      <c r="D622" s="1400">
        <v>46037</v>
      </c>
      <c r="E622" t="s">
        <v>2463</v>
      </c>
      <c r="F622" s="57">
        <v>0</v>
      </c>
      <c r="G622" s="57">
        <v>128202258</v>
      </c>
      <c r="H622" s="1082">
        <f t="shared" si="32"/>
        <v>-128202258</v>
      </c>
      <c r="I622" s="1333" t="s">
        <v>53</v>
      </c>
      <c r="J622" s="1334" t="str">
        <f>VLOOKUP(C622,Acc_Char!B:K,3,)</f>
        <v>PHU AN THANH</v>
      </c>
      <c r="K622" s="1334" t="str">
        <f>VLOOKUP(C622,Acc_Char!B:K,7,)</f>
        <v>Subsidiaries</v>
      </c>
      <c r="L622" s="1334" t="str">
        <f t="shared" si="33"/>
        <v>Operating expense</v>
      </c>
      <c r="M622" s="1335" t="str">
        <f>VLOOKUP(C622,Acc_Char!B:K,5,)</f>
        <v>VND</v>
      </c>
      <c r="N622" s="1335" t="str">
        <f>VLOOKUP(C622,Acc_Char!B:K,6,)</f>
        <v>Current Account</v>
      </c>
      <c r="O622" s="1336" t="str">
        <f>Summary!$B$4</f>
        <v>W1-2Jan26</v>
      </c>
      <c r="P622" s="1334" t="str">
        <f t="shared" si="34"/>
        <v>115002972462</v>
      </c>
    </row>
    <row r="623" spans="1:17">
      <c r="A623" t="s">
        <v>1591</v>
      </c>
      <c r="B623" s="34" t="s">
        <v>110</v>
      </c>
      <c r="C623" s="34" t="s">
        <v>669</v>
      </c>
      <c r="D623" s="355" t="s">
        <v>2464</v>
      </c>
      <c r="E623" t="s">
        <v>2465</v>
      </c>
      <c r="F623" s="57">
        <v>0</v>
      </c>
      <c r="G623" s="57">
        <v>44452439</v>
      </c>
      <c r="H623" s="1082">
        <f t="shared" si="32"/>
        <v>-44452439</v>
      </c>
      <c r="I623" s="1333" t="s">
        <v>53</v>
      </c>
      <c r="J623" s="1334" t="str">
        <f>VLOOKUP(C623,Acc_Char!B:K,3,)</f>
        <v>VINA PARTNERS INVESTMENT</v>
      </c>
      <c r="K623" s="1334" t="str">
        <f>VLOOKUP(C623,Acc_Char!B:K,7,)</f>
        <v>Subsidiaries</v>
      </c>
      <c r="L623" s="1334" t="str">
        <f t="shared" si="33"/>
        <v>Operating expense</v>
      </c>
      <c r="M623" s="1335" t="str">
        <f>VLOOKUP(C623,Acc_Char!B:K,5,)</f>
        <v>VND</v>
      </c>
      <c r="N623" s="1335" t="str">
        <f>VLOOKUP(C623,Acc_Char!B:K,6,)</f>
        <v>Current Account</v>
      </c>
      <c r="O623" s="1336" t="str">
        <f>Summary!$B$4</f>
        <v>W1-2Jan26</v>
      </c>
      <c r="P623" s="1334" t="str">
        <f t="shared" si="34"/>
        <v>111002902772</v>
      </c>
    </row>
    <row r="624" spans="1:17">
      <c r="A624" t="s">
        <v>1591</v>
      </c>
      <c r="B624" s="34" t="s">
        <v>110</v>
      </c>
      <c r="C624" s="34" t="s">
        <v>543</v>
      </c>
      <c r="D624" s="355" t="s">
        <v>2466</v>
      </c>
      <c r="E624" t="s">
        <v>2467</v>
      </c>
      <c r="F624" s="57">
        <v>0</v>
      </c>
      <c r="G624" s="57">
        <v>35935736</v>
      </c>
      <c r="H624" s="1082">
        <f t="shared" si="32"/>
        <v>-35935736</v>
      </c>
      <c r="I624" s="1333" t="s">
        <v>53</v>
      </c>
      <c r="J624" s="1334" t="str">
        <f>VLOOKUP(C624,Acc_Char!B:K,3,)</f>
        <v>GREAT KINGDOM NT 2</v>
      </c>
      <c r="K624" s="1334" t="str">
        <f>VLOOKUP(C624,Acc_Char!B:K,7,)</f>
        <v>Subsidiaries</v>
      </c>
      <c r="L624" s="1334" t="str">
        <f t="shared" si="33"/>
        <v>Operating expense</v>
      </c>
      <c r="M624" s="1335" t="str">
        <f>VLOOKUP(C624,Acc_Char!B:K,5,)</f>
        <v>VND</v>
      </c>
      <c r="N624" s="1335" t="str">
        <f>VLOOKUP(C624,Acc_Char!B:K,6,)</f>
        <v>Current Account</v>
      </c>
      <c r="O624" s="1336" t="str">
        <f>Summary!$B$4</f>
        <v>W1-2Jan26</v>
      </c>
      <c r="P624" s="1334" t="str">
        <f t="shared" si="34"/>
        <v>110609187777</v>
      </c>
    </row>
    <row r="625" spans="1:17">
      <c r="A625" t="s">
        <v>1591</v>
      </c>
      <c r="B625" s="34" t="s">
        <v>110</v>
      </c>
      <c r="C625" s="34" t="s">
        <v>543</v>
      </c>
      <c r="D625" s="355" t="s">
        <v>2352</v>
      </c>
      <c r="E625" t="s">
        <v>2468</v>
      </c>
      <c r="F625" s="57">
        <v>0</v>
      </c>
      <c r="G625" s="57">
        <v>34930000</v>
      </c>
      <c r="H625" s="1082">
        <f t="shared" si="32"/>
        <v>-34930000</v>
      </c>
      <c r="I625" s="1333" t="s">
        <v>53</v>
      </c>
      <c r="J625" s="1334" t="str">
        <f>VLOOKUP(C625,Acc_Char!B:K,3,)</f>
        <v>GREAT KINGDOM NT 2</v>
      </c>
      <c r="K625" s="1334" t="str">
        <f>VLOOKUP(C625,Acc_Char!B:K,7,)</f>
        <v>Subsidiaries</v>
      </c>
      <c r="L625" s="1334" t="str">
        <f t="shared" si="33"/>
        <v>Operating expense</v>
      </c>
      <c r="M625" s="1335" t="str">
        <f>VLOOKUP(C625,Acc_Char!B:K,5,)</f>
        <v>VND</v>
      </c>
      <c r="N625" s="1335" t="str">
        <f>VLOOKUP(C625,Acc_Char!B:K,6,)</f>
        <v>Current Account</v>
      </c>
      <c r="O625" s="1336" t="str">
        <f>Summary!$B$4</f>
        <v>W1-2Jan26</v>
      </c>
      <c r="P625" s="1334" t="str">
        <f t="shared" si="34"/>
        <v>110609187777</v>
      </c>
    </row>
    <row r="626" spans="1:17">
      <c r="A626" t="s">
        <v>1591</v>
      </c>
      <c r="B626" s="34" t="s">
        <v>110</v>
      </c>
      <c r="C626" s="34" t="s">
        <v>543</v>
      </c>
      <c r="D626" s="355" t="s">
        <v>2352</v>
      </c>
      <c r="E626" t="s">
        <v>2469</v>
      </c>
      <c r="F626" s="57">
        <v>0</v>
      </c>
      <c r="G626" s="57">
        <v>26244000</v>
      </c>
      <c r="H626" s="1082">
        <f t="shared" si="32"/>
        <v>-26244000</v>
      </c>
      <c r="I626" s="1333" t="s">
        <v>53</v>
      </c>
      <c r="J626" s="1334" t="str">
        <f>VLOOKUP(C626,Acc_Char!B:K,3,)</f>
        <v>GREAT KINGDOM NT 2</v>
      </c>
      <c r="K626" s="1334" t="str">
        <f>VLOOKUP(C626,Acc_Char!B:K,7,)</f>
        <v>Subsidiaries</v>
      </c>
      <c r="L626" s="1334" t="str">
        <f t="shared" si="33"/>
        <v>Operating expense</v>
      </c>
      <c r="M626" s="1335" t="str">
        <f>VLOOKUP(C626,Acc_Char!B:K,5,)</f>
        <v>VND</v>
      </c>
      <c r="N626" s="1335" t="str">
        <f>VLOOKUP(C626,Acc_Char!B:K,6,)</f>
        <v>Current Account</v>
      </c>
      <c r="O626" s="1336" t="str">
        <f>Summary!$B$4</f>
        <v>W1-2Jan26</v>
      </c>
      <c r="P626" s="1334" t="str">
        <f t="shared" si="34"/>
        <v>110609187777</v>
      </c>
    </row>
    <row r="627" spans="1:17">
      <c r="A627" t="s">
        <v>1591</v>
      </c>
      <c r="B627" s="34" t="s">
        <v>110</v>
      </c>
      <c r="C627" s="34" t="s">
        <v>543</v>
      </c>
      <c r="D627" s="355" t="s">
        <v>2352</v>
      </c>
      <c r="E627" t="s">
        <v>2470</v>
      </c>
      <c r="F627" s="57">
        <v>0</v>
      </c>
      <c r="G627" s="57">
        <v>14575000</v>
      </c>
      <c r="H627" s="1082">
        <f t="shared" si="32"/>
        <v>-14575000</v>
      </c>
      <c r="I627" s="1333" t="s">
        <v>53</v>
      </c>
      <c r="J627" s="1334" t="str">
        <f>VLOOKUP(C627,Acc_Char!B:K,3,)</f>
        <v>GREAT KINGDOM NT 2</v>
      </c>
      <c r="K627" s="1334" t="str">
        <f>VLOOKUP(C627,Acc_Char!B:K,7,)</f>
        <v>Subsidiaries</v>
      </c>
      <c r="L627" s="1334" t="str">
        <f t="shared" si="33"/>
        <v>Operating expense</v>
      </c>
      <c r="M627" s="1335" t="str">
        <f>VLOOKUP(C627,Acc_Char!B:K,5,)</f>
        <v>VND</v>
      </c>
      <c r="N627" s="1335" t="str">
        <f>VLOOKUP(C627,Acc_Char!B:K,6,)</f>
        <v>Current Account</v>
      </c>
      <c r="O627" s="1336" t="str">
        <f>Summary!$B$4</f>
        <v>W1-2Jan26</v>
      </c>
      <c r="P627" s="1334" t="str">
        <f t="shared" si="34"/>
        <v>110609187777</v>
      </c>
    </row>
    <row r="628" spans="1:17">
      <c r="A628" t="s">
        <v>1591</v>
      </c>
      <c r="B628" s="34" t="s">
        <v>110</v>
      </c>
      <c r="C628" s="34" t="s">
        <v>543</v>
      </c>
      <c r="D628" s="355" t="s">
        <v>2352</v>
      </c>
      <c r="E628" t="s">
        <v>2471</v>
      </c>
      <c r="F628" s="57">
        <v>0</v>
      </c>
      <c r="G628" s="57">
        <v>13152240</v>
      </c>
      <c r="H628" s="1082">
        <f t="shared" si="32"/>
        <v>-13152240</v>
      </c>
      <c r="I628" s="1333" t="s">
        <v>53</v>
      </c>
      <c r="J628" s="1334" t="str">
        <f>VLOOKUP(C628,Acc_Char!B:K,3,)</f>
        <v>GREAT KINGDOM NT 2</v>
      </c>
      <c r="K628" s="1334" t="str">
        <f>VLOOKUP(C628,Acc_Char!B:K,7,)</f>
        <v>Subsidiaries</v>
      </c>
      <c r="L628" s="1334" t="str">
        <f t="shared" si="33"/>
        <v>Operating expense</v>
      </c>
      <c r="M628" s="1335" t="str">
        <f>VLOOKUP(C628,Acc_Char!B:K,5,)</f>
        <v>VND</v>
      </c>
      <c r="N628" s="1335" t="str">
        <f>VLOOKUP(C628,Acc_Char!B:K,6,)</f>
        <v>Current Account</v>
      </c>
      <c r="O628" s="1336" t="str">
        <f>Summary!$B$4</f>
        <v>W1-2Jan26</v>
      </c>
      <c r="P628" s="1334" t="str">
        <f t="shared" si="34"/>
        <v>110609187777</v>
      </c>
    </row>
    <row r="629" spans="1:17">
      <c r="A629" t="s">
        <v>1591</v>
      </c>
      <c r="B629" s="34" t="s">
        <v>110</v>
      </c>
      <c r="C629" s="34" t="s">
        <v>669</v>
      </c>
      <c r="D629" s="355" t="s">
        <v>2472</v>
      </c>
      <c r="E629" t="s">
        <v>2473</v>
      </c>
      <c r="F629" s="57">
        <v>0</v>
      </c>
      <c r="G629" s="57">
        <v>5324115395</v>
      </c>
      <c r="H629" s="1082">
        <f t="shared" si="32"/>
        <v>-5324115395</v>
      </c>
      <c r="I629" s="1333" t="s">
        <v>53</v>
      </c>
      <c r="J629" s="1334" t="str">
        <f>VLOOKUP(C629,Acc_Char!B:K,3,)</f>
        <v>VINA PARTNERS INVESTMENT</v>
      </c>
      <c r="K629" s="1334" t="str">
        <f>VLOOKUP(C629,Acc_Char!B:K,7,)</f>
        <v>Subsidiaries</v>
      </c>
      <c r="L629" s="1334" t="str">
        <f t="shared" si="33"/>
        <v>Operating expense</v>
      </c>
      <c r="M629" s="1335" t="str">
        <f>VLOOKUP(C629,Acc_Char!B:K,5,)</f>
        <v>VND</v>
      </c>
      <c r="N629" s="1335" t="str">
        <f>VLOOKUP(C629,Acc_Char!B:K,6,)</f>
        <v>Current Account</v>
      </c>
      <c r="O629" s="1336" t="str">
        <f>Summary!$B$4</f>
        <v>W1-2Jan26</v>
      </c>
      <c r="P629" s="1334" t="str">
        <f t="shared" si="34"/>
        <v>111002902772</v>
      </c>
    </row>
    <row r="630" spans="1:17">
      <c r="A630" t="s">
        <v>1591</v>
      </c>
      <c r="B630" s="34" t="s">
        <v>110</v>
      </c>
      <c r="C630" s="34" t="s">
        <v>669</v>
      </c>
      <c r="D630" s="355" t="s">
        <v>2474</v>
      </c>
      <c r="E630" t="s">
        <v>2475</v>
      </c>
      <c r="F630" s="57">
        <v>0</v>
      </c>
      <c r="G630" s="57">
        <v>16833960</v>
      </c>
      <c r="H630" s="1082">
        <f t="shared" si="32"/>
        <v>-16833960</v>
      </c>
      <c r="I630" s="1333" t="s">
        <v>53</v>
      </c>
      <c r="J630" s="1334" t="str">
        <f>VLOOKUP(C630,Acc_Char!B:K,3,)</f>
        <v>VINA PARTNERS INVESTMENT</v>
      </c>
      <c r="K630" s="1334" t="str">
        <f>VLOOKUP(C630,Acc_Char!B:K,7,)</f>
        <v>Subsidiaries</v>
      </c>
      <c r="L630" s="1334" t="str">
        <f t="shared" si="33"/>
        <v>Operating expense</v>
      </c>
      <c r="M630" s="1335" t="str">
        <f>VLOOKUP(C630,Acc_Char!B:K,5,)</f>
        <v>VND</v>
      </c>
      <c r="N630" s="1335" t="str">
        <f>VLOOKUP(C630,Acc_Char!B:K,6,)</f>
        <v>Current Account</v>
      </c>
      <c r="O630" s="1336" t="str">
        <f>Summary!$B$4</f>
        <v>W1-2Jan26</v>
      </c>
      <c r="P630" s="1334" t="str">
        <f t="shared" si="34"/>
        <v>111002902772</v>
      </c>
    </row>
    <row r="631" spans="1:17">
      <c r="A631" t="s">
        <v>1591</v>
      </c>
      <c r="B631" s="34" t="s">
        <v>110</v>
      </c>
      <c r="C631" s="34" t="s">
        <v>543</v>
      </c>
      <c r="D631" s="355" t="s">
        <v>2476</v>
      </c>
      <c r="E631" t="s">
        <v>2477</v>
      </c>
      <c r="F631" s="57">
        <v>0</v>
      </c>
      <c r="G631" s="57">
        <v>169993555</v>
      </c>
      <c r="H631" s="1082">
        <f t="shared" si="32"/>
        <v>-169993555</v>
      </c>
      <c r="I631" s="1333" t="s">
        <v>53</v>
      </c>
      <c r="J631" s="1334" t="str">
        <f>VLOOKUP(C631,Acc_Char!B:K,3,)</f>
        <v>GREAT KINGDOM NT 2</v>
      </c>
      <c r="K631" s="1334" t="str">
        <f>VLOOKUP(C631,Acc_Char!B:K,7,)</f>
        <v>Subsidiaries</v>
      </c>
      <c r="L631" s="1334" t="str">
        <f t="shared" si="33"/>
        <v>Operating expense</v>
      </c>
      <c r="M631" s="1335" t="str">
        <f>VLOOKUP(C631,Acc_Char!B:K,5,)</f>
        <v>VND</v>
      </c>
      <c r="N631" s="1335" t="str">
        <f>VLOOKUP(C631,Acc_Char!B:K,6,)</f>
        <v>Current Account</v>
      </c>
      <c r="O631" s="1336" t="str">
        <f>Summary!$B$4</f>
        <v>W1-2Jan26</v>
      </c>
      <c r="P631" s="1334" t="str">
        <f t="shared" si="34"/>
        <v>110609187777</v>
      </c>
    </row>
    <row r="632" spans="1:17">
      <c r="A632" t="s">
        <v>1591</v>
      </c>
      <c r="B632" s="34" t="s">
        <v>110</v>
      </c>
      <c r="C632" s="34" t="s">
        <v>543</v>
      </c>
      <c r="D632" s="355" t="s">
        <v>2478</v>
      </c>
      <c r="E632" t="s">
        <v>2479</v>
      </c>
      <c r="F632" s="57">
        <v>0</v>
      </c>
      <c r="G632" s="57">
        <v>13962240</v>
      </c>
      <c r="H632" s="1082">
        <f t="shared" si="32"/>
        <v>-13962240</v>
      </c>
      <c r="I632" s="1333" t="s">
        <v>53</v>
      </c>
      <c r="J632" s="1334" t="str">
        <f>VLOOKUP(C632,Acc_Char!B:K,3,)</f>
        <v>GREAT KINGDOM NT 2</v>
      </c>
      <c r="K632" s="1334" t="str">
        <f>VLOOKUP(C632,Acc_Char!B:K,7,)</f>
        <v>Subsidiaries</v>
      </c>
      <c r="L632" s="1334" t="str">
        <f t="shared" si="33"/>
        <v>Operating expense</v>
      </c>
      <c r="M632" s="1335" t="str">
        <f>VLOOKUP(C632,Acc_Char!B:K,5,)</f>
        <v>VND</v>
      </c>
      <c r="N632" s="1335" t="str">
        <f>VLOOKUP(C632,Acc_Char!B:K,6,)</f>
        <v>Current Account</v>
      </c>
      <c r="O632" s="1336" t="str">
        <f>Summary!$B$4</f>
        <v>W1-2Jan26</v>
      </c>
      <c r="P632" s="1334" t="str">
        <f t="shared" si="34"/>
        <v>110609187777</v>
      </c>
    </row>
    <row r="633" spans="1:17">
      <c r="A633" t="s">
        <v>1591</v>
      </c>
      <c r="B633" s="34" t="s">
        <v>110</v>
      </c>
      <c r="C633" s="34" t="s">
        <v>669</v>
      </c>
      <c r="D633" s="355" t="s">
        <v>2480</v>
      </c>
      <c r="E633" t="s">
        <v>2481</v>
      </c>
      <c r="F633" s="57">
        <v>0</v>
      </c>
      <c r="G633" s="57">
        <v>686542824</v>
      </c>
      <c r="H633" s="1082">
        <f t="shared" si="32"/>
        <v>-686542824</v>
      </c>
      <c r="I633" s="1333" t="s">
        <v>53</v>
      </c>
      <c r="J633" s="1334" t="str">
        <f>VLOOKUP(C633,Acc_Char!B:K,3,)</f>
        <v>VINA PARTNERS INVESTMENT</v>
      </c>
      <c r="K633" s="1334" t="str">
        <f>VLOOKUP(C633,Acc_Char!B:K,7,)</f>
        <v>Subsidiaries</v>
      </c>
      <c r="L633" s="1334" t="str">
        <f t="shared" si="33"/>
        <v>Operating expense</v>
      </c>
      <c r="M633" s="1335" t="str">
        <f>VLOOKUP(C633,Acc_Char!B:K,5,)</f>
        <v>VND</v>
      </c>
      <c r="N633" s="1335" t="str">
        <f>VLOOKUP(C633,Acc_Char!B:K,6,)</f>
        <v>Current Account</v>
      </c>
      <c r="O633" s="1336" t="str">
        <f>Summary!$B$4</f>
        <v>W1-2Jan26</v>
      </c>
      <c r="P633" s="1334" t="str">
        <f t="shared" si="34"/>
        <v>111002902772</v>
      </c>
    </row>
    <row r="634" spans="1:17">
      <c r="A634" t="s">
        <v>1591</v>
      </c>
      <c r="B634" s="34" t="s">
        <v>110</v>
      </c>
      <c r="C634" s="34" t="s">
        <v>543</v>
      </c>
      <c r="D634" s="355" t="s">
        <v>2482</v>
      </c>
      <c r="E634" t="s">
        <v>2483</v>
      </c>
      <c r="F634" s="57">
        <v>0</v>
      </c>
      <c r="G634" s="57">
        <v>68720400</v>
      </c>
      <c r="H634" s="1082">
        <f t="shared" si="32"/>
        <v>-68720400</v>
      </c>
      <c r="I634" s="1333" t="s">
        <v>53</v>
      </c>
      <c r="J634" s="1334" t="str">
        <f>VLOOKUP(C634,Acc_Char!B:K,3,)</f>
        <v>GREAT KINGDOM NT 2</v>
      </c>
      <c r="K634" s="1334" t="str">
        <f>VLOOKUP(C634,Acc_Char!B:K,7,)</f>
        <v>Subsidiaries</v>
      </c>
      <c r="L634" s="1334" t="str">
        <f t="shared" si="33"/>
        <v>Operating expense</v>
      </c>
      <c r="M634" s="1335" t="str">
        <f>VLOOKUP(C634,Acc_Char!B:K,5,)</f>
        <v>VND</v>
      </c>
      <c r="N634" s="1335" t="str">
        <f>VLOOKUP(C634,Acc_Char!B:K,6,)</f>
        <v>Current Account</v>
      </c>
      <c r="O634" s="1336" t="str">
        <f>Summary!$B$4</f>
        <v>W1-2Jan26</v>
      </c>
      <c r="P634" s="1334" t="str">
        <f t="shared" si="34"/>
        <v>110609187777</v>
      </c>
    </row>
    <row r="635" spans="1:17">
      <c r="A635" t="s">
        <v>1591</v>
      </c>
      <c r="B635" s="34" t="s">
        <v>110</v>
      </c>
      <c r="C635" s="34" t="s">
        <v>669</v>
      </c>
      <c r="D635" s="355" t="s">
        <v>2484</v>
      </c>
      <c r="E635" t="s">
        <v>2485</v>
      </c>
      <c r="F635" s="57">
        <v>0</v>
      </c>
      <c r="G635" s="57">
        <v>184440000</v>
      </c>
      <c r="H635" s="1082">
        <f t="shared" si="32"/>
        <v>-184440000</v>
      </c>
      <c r="I635" s="1333" t="s">
        <v>53</v>
      </c>
      <c r="J635" s="1334" t="str">
        <f>VLOOKUP(C635,Acc_Char!B:K,3,)</f>
        <v>VINA PARTNERS INVESTMENT</v>
      </c>
      <c r="K635" s="1334" t="str">
        <f>VLOOKUP(C635,Acc_Char!B:K,7,)</f>
        <v>Subsidiaries</v>
      </c>
      <c r="L635" s="1334" t="str">
        <f t="shared" si="33"/>
        <v>Operating expense</v>
      </c>
      <c r="M635" s="1335" t="str">
        <f>VLOOKUP(C635,Acc_Char!B:K,5,)</f>
        <v>VND</v>
      </c>
      <c r="N635" s="1335" t="str">
        <f>VLOOKUP(C635,Acc_Char!B:K,6,)</f>
        <v>Current Account</v>
      </c>
      <c r="O635" s="1336" t="str">
        <f>Summary!$B$4</f>
        <v>W1-2Jan26</v>
      </c>
      <c r="P635" s="1334" t="str">
        <f t="shared" si="34"/>
        <v>111002902772</v>
      </c>
    </row>
    <row r="636" spans="1:17">
      <c r="A636" t="s">
        <v>1591</v>
      </c>
      <c r="B636" s="34" t="s">
        <v>110</v>
      </c>
      <c r="C636" s="34" t="s">
        <v>669</v>
      </c>
      <c r="D636" s="355" t="s">
        <v>2486</v>
      </c>
      <c r="E636" t="s">
        <v>2487</v>
      </c>
      <c r="F636" s="57">
        <v>0</v>
      </c>
      <c r="G636" s="57">
        <v>68720400</v>
      </c>
      <c r="H636" s="1082">
        <f t="shared" si="32"/>
        <v>-68720400</v>
      </c>
      <c r="I636" s="1333" t="s">
        <v>53</v>
      </c>
      <c r="J636" s="1334" t="str">
        <f>VLOOKUP(C636,Acc_Char!B:K,3,)</f>
        <v>VINA PARTNERS INVESTMENT</v>
      </c>
      <c r="K636" s="1334" t="str">
        <f>VLOOKUP(C636,Acc_Char!B:K,7,)</f>
        <v>Subsidiaries</v>
      </c>
      <c r="L636" s="1334" t="str">
        <f t="shared" si="33"/>
        <v>Operating expense</v>
      </c>
      <c r="M636" s="1335" t="str">
        <f>VLOOKUP(C636,Acc_Char!B:K,5,)</f>
        <v>VND</v>
      </c>
      <c r="N636" s="1335" t="str">
        <f>VLOOKUP(C636,Acc_Char!B:K,6,)</f>
        <v>Current Account</v>
      </c>
      <c r="O636" s="1336" t="str">
        <f>Summary!$B$4</f>
        <v>W1-2Jan26</v>
      </c>
      <c r="P636" s="1334" t="str">
        <f t="shared" si="34"/>
        <v>111002902772</v>
      </c>
      <c r="Q636" s="1024"/>
    </row>
    <row r="637" spans="1:17">
      <c r="A637" t="s">
        <v>1591</v>
      </c>
      <c r="B637" s="34" t="s">
        <v>110</v>
      </c>
      <c r="C637" s="34" t="s">
        <v>543</v>
      </c>
      <c r="D637" s="355" t="s">
        <v>2488</v>
      </c>
      <c r="E637" t="s">
        <v>2489</v>
      </c>
      <c r="F637" s="57">
        <v>0</v>
      </c>
      <c r="G637" s="57">
        <v>31807488</v>
      </c>
      <c r="H637" s="1082">
        <f t="shared" ref="H637:H701" si="35">F637-G637</f>
        <v>-31807488</v>
      </c>
      <c r="I637" s="1333" t="s">
        <v>53</v>
      </c>
      <c r="J637" s="1334" t="str">
        <f>VLOOKUP(C637,Acc_Char!B:K,3,)</f>
        <v>GREAT KINGDOM NT 2</v>
      </c>
      <c r="K637" s="1334" t="str">
        <f>VLOOKUP(C637,Acc_Char!B:K,7,)</f>
        <v>Subsidiaries</v>
      </c>
      <c r="L637" s="1334" t="str">
        <f t="shared" si="33"/>
        <v>Operating expense</v>
      </c>
      <c r="M637" s="1335" t="str">
        <f>VLOOKUP(C637,Acc_Char!B:K,5,)</f>
        <v>VND</v>
      </c>
      <c r="N637" s="1335" t="str">
        <f>VLOOKUP(C637,Acc_Char!B:K,6,)</f>
        <v>Current Account</v>
      </c>
      <c r="O637" s="1336" t="str">
        <f>Summary!$B$4</f>
        <v>W1-2Jan26</v>
      </c>
      <c r="P637" s="1334" t="str">
        <f t="shared" si="34"/>
        <v>110609187777</v>
      </c>
    </row>
    <row r="638" spans="1:17">
      <c r="A638" t="s">
        <v>1591</v>
      </c>
      <c r="B638" s="34" t="s">
        <v>110</v>
      </c>
      <c r="C638" s="34" t="s">
        <v>543</v>
      </c>
      <c r="D638" s="355" t="s">
        <v>2490</v>
      </c>
      <c r="E638" t="s">
        <v>2491</v>
      </c>
      <c r="F638" s="57">
        <v>0</v>
      </c>
      <c r="G638" s="57">
        <v>394662132</v>
      </c>
      <c r="H638" s="1082">
        <f t="shared" si="35"/>
        <v>-394662132</v>
      </c>
      <c r="I638" s="1333" t="s">
        <v>53</v>
      </c>
      <c r="J638" s="1334" t="str">
        <f>VLOOKUP(C638,Acc_Char!B:K,3,)</f>
        <v>GREAT KINGDOM NT 2</v>
      </c>
      <c r="K638" s="1334" t="str">
        <f>VLOOKUP(C638,Acc_Char!B:K,7,)</f>
        <v>Subsidiaries</v>
      </c>
      <c r="L638" s="1334" t="str">
        <f t="shared" si="33"/>
        <v>Operating expense</v>
      </c>
      <c r="M638" s="1335" t="str">
        <f>VLOOKUP(C638,Acc_Char!B:K,5,)</f>
        <v>VND</v>
      </c>
      <c r="N638" s="1335" t="str">
        <f>VLOOKUP(C638,Acc_Char!B:K,6,)</f>
        <v>Current Account</v>
      </c>
      <c r="O638" s="1336" t="str">
        <f>Summary!$B$4</f>
        <v>W1-2Jan26</v>
      </c>
      <c r="P638" s="1334" t="str">
        <f t="shared" si="34"/>
        <v>110609187777</v>
      </c>
    </row>
    <row r="639" spans="1:17">
      <c r="A639" t="s">
        <v>1591</v>
      </c>
      <c r="B639" s="34" t="s">
        <v>110</v>
      </c>
      <c r="C639" s="34" t="s">
        <v>555</v>
      </c>
      <c r="D639" s="355" t="s">
        <v>2492</v>
      </c>
      <c r="E639" t="s">
        <v>2493</v>
      </c>
      <c r="F639" s="57">
        <v>0</v>
      </c>
      <c r="G639" s="57">
        <v>64426320</v>
      </c>
      <c r="H639" s="1082">
        <f t="shared" si="35"/>
        <v>-64426320</v>
      </c>
      <c r="I639" s="1333" t="s">
        <v>53</v>
      </c>
      <c r="J639" s="1334" t="str">
        <f>VLOOKUP(C639,Acc_Char!B:K,3,)</f>
        <v>BWID DONG AN LID</v>
      </c>
      <c r="K639" s="1334" t="str">
        <f>VLOOKUP(C639,Acc_Char!B:K,7,)</f>
        <v>Subsidiaries</v>
      </c>
      <c r="L639" s="1334" t="str">
        <f t="shared" si="33"/>
        <v>Operating expense</v>
      </c>
      <c r="M639" s="1335" t="str">
        <f>VLOOKUP(C639,Acc_Char!B:K,5,)</f>
        <v>VND</v>
      </c>
      <c r="N639" s="1335" t="str">
        <f>VLOOKUP(C639,Acc_Char!B:K,6,)</f>
        <v>Current Account</v>
      </c>
      <c r="O639" s="1336" t="str">
        <f>Summary!$B$4</f>
        <v>W1-2Jan26</v>
      </c>
      <c r="P639" s="1334" t="str">
        <f t="shared" si="34"/>
        <v>114002807847</v>
      </c>
    </row>
    <row r="640" spans="1:17">
      <c r="A640" t="s">
        <v>1591</v>
      </c>
      <c r="B640" s="34" t="s">
        <v>110</v>
      </c>
      <c r="C640" s="34" t="s">
        <v>555</v>
      </c>
      <c r="D640" s="355" t="s">
        <v>2494</v>
      </c>
      <c r="E640" t="s">
        <v>2495</v>
      </c>
      <c r="F640" s="57">
        <v>0</v>
      </c>
      <c r="G640" s="57">
        <v>14575000</v>
      </c>
      <c r="H640" s="1082">
        <f t="shared" si="35"/>
        <v>-14575000</v>
      </c>
      <c r="I640" s="1333" t="s">
        <v>53</v>
      </c>
      <c r="J640" s="1334" t="str">
        <f>VLOOKUP(C640,Acc_Char!B:K,3,)</f>
        <v>BWID DONG AN LID</v>
      </c>
      <c r="K640" s="1334" t="str">
        <f>VLOOKUP(C640,Acc_Char!B:K,7,)</f>
        <v>Subsidiaries</v>
      </c>
      <c r="L640" s="1334" t="str">
        <f t="shared" si="33"/>
        <v>Operating expense</v>
      </c>
      <c r="M640" s="1335" t="str">
        <f>VLOOKUP(C640,Acc_Char!B:K,5,)</f>
        <v>VND</v>
      </c>
      <c r="N640" s="1335" t="str">
        <f>VLOOKUP(C640,Acc_Char!B:K,6,)</f>
        <v>Current Account</v>
      </c>
      <c r="O640" s="1336" t="str">
        <f>Summary!$B$4</f>
        <v>W1-2Jan26</v>
      </c>
      <c r="P640" s="1334" t="str">
        <f t="shared" si="34"/>
        <v>114002807847</v>
      </c>
    </row>
    <row r="641" spans="1:16">
      <c r="A641" t="s">
        <v>1591</v>
      </c>
      <c r="B641" s="34" t="s">
        <v>110</v>
      </c>
      <c r="C641" s="34" t="s">
        <v>615</v>
      </c>
      <c r="D641" s="355" t="s">
        <v>2496</v>
      </c>
      <c r="E641" t="s">
        <v>2497</v>
      </c>
      <c r="F641" s="57">
        <v>0</v>
      </c>
      <c r="G641" s="57">
        <v>31422600</v>
      </c>
      <c r="H641" s="1082">
        <f t="shared" si="35"/>
        <v>-31422600</v>
      </c>
      <c r="I641" s="1333" t="s">
        <v>53</v>
      </c>
      <c r="J641" s="1334" t="str">
        <f>VLOOKUP(C641,Acc_Char!B:K,3,)</f>
        <v>SONGTHAN LID</v>
      </c>
      <c r="K641" s="1334" t="str">
        <f>VLOOKUP(C641,Acc_Char!B:K,7,)</f>
        <v>Subsidiaries</v>
      </c>
      <c r="L641" s="1334" t="str">
        <f t="shared" si="33"/>
        <v>Operating expense</v>
      </c>
      <c r="M641" s="1335" t="str">
        <f>VLOOKUP(C641,Acc_Char!B:K,5,)</f>
        <v>VND</v>
      </c>
      <c r="N641" s="1335" t="str">
        <f>VLOOKUP(C641,Acc_Char!B:K,6,)</f>
        <v>Current Account</v>
      </c>
      <c r="O641" s="1336" t="str">
        <f>Summary!$B$4</f>
        <v>W1-2Jan26</v>
      </c>
      <c r="P641" s="1334" t="str">
        <f t="shared" si="34"/>
        <v>112002807481</v>
      </c>
    </row>
    <row r="642" spans="1:16">
      <c r="A642" t="s">
        <v>1591</v>
      </c>
      <c r="B642" s="34" t="s">
        <v>110</v>
      </c>
      <c r="C642" s="34" t="s">
        <v>555</v>
      </c>
      <c r="D642" s="355" t="s">
        <v>2498</v>
      </c>
      <c r="E642" t="s">
        <v>2499</v>
      </c>
      <c r="F642" s="57">
        <v>0</v>
      </c>
      <c r="G642" s="57">
        <v>5346000</v>
      </c>
      <c r="H642" s="1082">
        <f t="shared" si="35"/>
        <v>-5346000</v>
      </c>
      <c r="I642" s="1333" t="s">
        <v>53</v>
      </c>
      <c r="J642" s="1334" t="str">
        <f>VLOOKUP(C642,Acc_Char!B:K,3,)</f>
        <v>BWID DONG AN LID</v>
      </c>
      <c r="K642" s="1334" t="str">
        <f>VLOOKUP(C642,Acc_Char!B:K,7,)</f>
        <v>Subsidiaries</v>
      </c>
      <c r="L642" s="1334" t="str">
        <f t="shared" si="33"/>
        <v>Operating expense</v>
      </c>
      <c r="M642" s="1335" t="str">
        <f>VLOOKUP(C642,Acc_Char!B:K,5,)</f>
        <v>VND</v>
      </c>
      <c r="N642" s="1335" t="str">
        <f>VLOOKUP(C642,Acc_Char!B:K,6,)</f>
        <v>Current Account</v>
      </c>
      <c r="O642" s="1336" t="str">
        <f>Summary!$B$4</f>
        <v>W1-2Jan26</v>
      </c>
      <c r="P642" s="1334" t="str">
        <f t="shared" si="34"/>
        <v>114002807847</v>
      </c>
    </row>
    <row r="643" spans="1:16">
      <c r="A643" t="s">
        <v>1591</v>
      </c>
      <c r="B643" s="34" t="s">
        <v>110</v>
      </c>
      <c r="C643" s="34" t="s">
        <v>615</v>
      </c>
      <c r="D643" s="355" t="s">
        <v>2500</v>
      </c>
      <c r="E643" t="s">
        <v>2501</v>
      </c>
      <c r="F643" s="57">
        <v>0</v>
      </c>
      <c r="G643" s="57">
        <v>68720400</v>
      </c>
      <c r="H643" s="1082">
        <f t="shared" si="35"/>
        <v>-68720400</v>
      </c>
      <c r="I643" s="1333" t="s">
        <v>53</v>
      </c>
      <c r="J643" s="1334" t="str">
        <f>VLOOKUP(C643,Acc_Char!B:K,3,)</f>
        <v>SONGTHAN LID</v>
      </c>
      <c r="K643" s="1334" t="str">
        <f>VLOOKUP(C643,Acc_Char!B:K,7,)</f>
        <v>Subsidiaries</v>
      </c>
      <c r="L643" s="1334" t="str">
        <f t="shared" si="33"/>
        <v>Operating expense</v>
      </c>
      <c r="M643" s="1335" t="str">
        <f>VLOOKUP(C643,Acc_Char!B:K,5,)</f>
        <v>VND</v>
      </c>
      <c r="N643" s="1335" t="str">
        <f>VLOOKUP(C643,Acc_Char!B:K,6,)</f>
        <v>Current Account</v>
      </c>
      <c r="O643" s="1336" t="str">
        <f>Summary!$B$4</f>
        <v>W1-2Jan26</v>
      </c>
      <c r="P643" s="1334" t="str">
        <f t="shared" si="34"/>
        <v>112002807481</v>
      </c>
    </row>
    <row r="644" spans="1:16">
      <c r="A644" t="s">
        <v>1591</v>
      </c>
      <c r="B644" s="34" t="s">
        <v>110</v>
      </c>
      <c r="C644" s="34" t="s">
        <v>555</v>
      </c>
      <c r="D644" s="355" t="s">
        <v>2502</v>
      </c>
      <c r="E644" t="s">
        <v>2503</v>
      </c>
      <c r="F644" s="57">
        <v>0</v>
      </c>
      <c r="G644" s="57">
        <v>6723000</v>
      </c>
      <c r="H644" s="1082">
        <f t="shared" si="35"/>
        <v>-6723000</v>
      </c>
      <c r="I644" s="1333" t="s">
        <v>53</v>
      </c>
      <c r="J644" s="1334" t="str">
        <f>VLOOKUP(C644,Acc_Char!B:K,3,)</f>
        <v>BWID DONG AN LID</v>
      </c>
      <c r="K644" s="1334" t="str">
        <f>VLOOKUP(C644,Acc_Char!B:K,7,)</f>
        <v>Subsidiaries</v>
      </c>
      <c r="L644" s="1334" t="str">
        <f t="shared" si="33"/>
        <v>Operating expense</v>
      </c>
      <c r="M644" s="1335" t="str">
        <f>VLOOKUP(C644,Acc_Char!B:K,5,)</f>
        <v>VND</v>
      </c>
      <c r="N644" s="1335" t="str">
        <f>VLOOKUP(C644,Acc_Char!B:K,6,)</f>
        <v>Current Account</v>
      </c>
      <c r="O644" s="1336" t="str">
        <f>Summary!$B$4</f>
        <v>W1-2Jan26</v>
      </c>
      <c r="P644" s="1334" t="str">
        <f t="shared" si="34"/>
        <v>114002807847</v>
      </c>
    </row>
    <row r="645" spans="1:16">
      <c r="A645" t="s">
        <v>1591</v>
      </c>
      <c r="B645" s="34" t="s">
        <v>110</v>
      </c>
      <c r="C645" s="34" t="s">
        <v>555</v>
      </c>
      <c r="D645" s="355" t="s">
        <v>2504</v>
      </c>
      <c r="E645" t="s">
        <v>2505</v>
      </c>
      <c r="F645" s="57">
        <v>0</v>
      </c>
      <c r="G645" s="57">
        <v>7468335</v>
      </c>
      <c r="H645" s="1082">
        <f t="shared" si="35"/>
        <v>-7468335</v>
      </c>
      <c r="I645" s="1333" t="s">
        <v>53</v>
      </c>
      <c r="J645" s="1334" t="str">
        <f>VLOOKUP(C645,Acc_Char!B:K,3,)</f>
        <v>BWID DONG AN LID</v>
      </c>
      <c r="K645" s="1334" t="str">
        <f>VLOOKUP(C645,Acc_Char!B:K,7,)</f>
        <v>Subsidiaries</v>
      </c>
      <c r="L645" s="1334" t="str">
        <f t="shared" ref="L645:L708" si="36">I645</f>
        <v>Operating expense</v>
      </c>
      <c r="M645" s="1335" t="str">
        <f>VLOOKUP(C645,Acc_Char!B:K,5,)</f>
        <v>VND</v>
      </c>
      <c r="N645" s="1335" t="str">
        <f>VLOOKUP(C645,Acc_Char!B:K,6,)</f>
        <v>Current Account</v>
      </c>
      <c r="O645" s="1336" t="str">
        <f>Summary!$B$4</f>
        <v>W1-2Jan26</v>
      </c>
      <c r="P645" s="1334" t="str">
        <f t="shared" ref="P645:P708" si="37">TEXT(C645,"0")</f>
        <v>114002807847</v>
      </c>
    </row>
    <row r="646" spans="1:16">
      <c r="A646" t="s">
        <v>1591</v>
      </c>
      <c r="B646" s="34" t="s">
        <v>110</v>
      </c>
      <c r="C646" s="34" t="s">
        <v>555</v>
      </c>
      <c r="D646" s="355" t="s">
        <v>2506</v>
      </c>
      <c r="E646" t="s">
        <v>2507</v>
      </c>
      <c r="F646" s="57">
        <v>0</v>
      </c>
      <c r="G646" s="57">
        <v>68720400</v>
      </c>
      <c r="H646" s="1082">
        <f t="shared" si="35"/>
        <v>-68720400</v>
      </c>
      <c r="I646" s="1333" t="s">
        <v>53</v>
      </c>
      <c r="J646" s="1334" t="str">
        <f>VLOOKUP(C646,Acc_Char!B:K,3,)</f>
        <v>BWID DONG AN LID</v>
      </c>
      <c r="K646" s="1334" t="str">
        <f>VLOOKUP(C646,Acc_Char!B:K,7,)</f>
        <v>Subsidiaries</v>
      </c>
      <c r="L646" s="1334" t="str">
        <f t="shared" si="36"/>
        <v>Operating expense</v>
      </c>
      <c r="M646" s="1335" t="str">
        <f>VLOOKUP(C646,Acc_Char!B:K,5,)</f>
        <v>VND</v>
      </c>
      <c r="N646" s="1335" t="str">
        <f>VLOOKUP(C646,Acc_Char!B:K,6,)</f>
        <v>Current Account</v>
      </c>
      <c r="O646" s="1336" t="str">
        <f>Summary!$B$4</f>
        <v>W1-2Jan26</v>
      </c>
      <c r="P646" s="1334" t="str">
        <f t="shared" si="37"/>
        <v>114002807847</v>
      </c>
    </row>
    <row r="647" spans="1:16">
      <c r="A647" t="s">
        <v>1591</v>
      </c>
      <c r="B647" s="34" t="s">
        <v>110</v>
      </c>
      <c r="C647" s="34" t="s">
        <v>555</v>
      </c>
      <c r="D647" s="355" t="s">
        <v>2508</v>
      </c>
      <c r="E647" t="s">
        <v>2509</v>
      </c>
      <c r="F647" s="57">
        <v>0</v>
      </c>
      <c r="G647" s="57">
        <v>80559035</v>
      </c>
      <c r="H647" s="1082">
        <f t="shared" si="35"/>
        <v>-80559035</v>
      </c>
      <c r="I647" s="1333" t="s">
        <v>53</v>
      </c>
      <c r="J647" s="1334" t="str">
        <f>VLOOKUP(C647,Acc_Char!B:K,3,)</f>
        <v>BWID DONG AN LID</v>
      </c>
      <c r="K647" s="1334" t="str">
        <f>VLOOKUP(C647,Acc_Char!B:K,7,)</f>
        <v>Subsidiaries</v>
      </c>
      <c r="L647" s="1334" t="str">
        <f t="shared" si="36"/>
        <v>Operating expense</v>
      </c>
      <c r="M647" s="1335" t="str">
        <f>VLOOKUP(C647,Acc_Char!B:K,5,)</f>
        <v>VND</v>
      </c>
      <c r="N647" s="1335" t="str">
        <f>VLOOKUP(C647,Acc_Char!B:K,6,)</f>
        <v>Current Account</v>
      </c>
      <c r="O647" s="1336" t="str">
        <f>Summary!$B$4</f>
        <v>W1-2Jan26</v>
      </c>
      <c r="P647" s="1334" t="str">
        <f t="shared" si="37"/>
        <v>114002807847</v>
      </c>
    </row>
    <row r="648" spans="1:16">
      <c r="A648" t="s">
        <v>1591</v>
      </c>
      <c r="B648" s="34" t="s">
        <v>110</v>
      </c>
      <c r="C648" s="34" t="s">
        <v>615</v>
      </c>
      <c r="D648" s="355" t="s">
        <v>2510</v>
      </c>
      <c r="E648" t="s">
        <v>2511</v>
      </c>
      <c r="F648" s="57">
        <v>0</v>
      </c>
      <c r="G648" s="57">
        <v>43912800</v>
      </c>
      <c r="H648" s="1082">
        <f t="shared" si="35"/>
        <v>-43912800</v>
      </c>
      <c r="I648" s="1333" t="s">
        <v>53</v>
      </c>
      <c r="J648" s="1334" t="str">
        <f>VLOOKUP(C648,Acc_Char!B:K,3,)</f>
        <v>SONGTHAN LID</v>
      </c>
      <c r="K648" s="1334" t="str">
        <f>VLOOKUP(C648,Acc_Char!B:K,7,)</f>
        <v>Subsidiaries</v>
      </c>
      <c r="L648" s="1334" t="str">
        <f t="shared" si="36"/>
        <v>Operating expense</v>
      </c>
      <c r="M648" s="1335" t="str">
        <f>VLOOKUP(C648,Acc_Char!B:K,5,)</f>
        <v>VND</v>
      </c>
      <c r="N648" s="1335" t="str">
        <f>VLOOKUP(C648,Acc_Char!B:K,6,)</f>
        <v>Current Account</v>
      </c>
      <c r="O648" s="1336" t="str">
        <f>Summary!$B$4</f>
        <v>W1-2Jan26</v>
      </c>
      <c r="P648" s="1334" t="str">
        <f t="shared" si="37"/>
        <v>112002807481</v>
      </c>
    </row>
    <row r="649" spans="1:16">
      <c r="A649" t="s">
        <v>1591</v>
      </c>
      <c r="B649" s="34" t="s">
        <v>110</v>
      </c>
      <c r="C649" s="34" t="s">
        <v>615</v>
      </c>
      <c r="D649" s="355" t="s">
        <v>2512</v>
      </c>
      <c r="E649" t="s">
        <v>2513</v>
      </c>
      <c r="F649" s="57">
        <v>0</v>
      </c>
      <c r="G649" s="57">
        <v>5427000</v>
      </c>
      <c r="H649" s="1082">
        <f t="shared" si="35"/>
        <v>-5427000</v>
      </c>
      <c r="I649" s="1333" t="s">
        <v>53</v>
      </c>
      <c r="J649" s="1334" t="str">
        <f>VLOOKUP(C649,Acc_Char!B:K,3,)</f>
        <v>SONGTHAN LID</v>
      </c>
      <c r="K649" s="1334" t="str">
        <f>VLOOKUP(C649,Acc_Char!B:K,7,)</f>
        <v>Subsidiaries</v>
      </c>
      <c r="L649" s="1334" t="str">
        <f t="shared" si="36"/>
        <v>Operating expense</v>
      </c>
      <c r="M649" s="1335" t="str">
        <f>VLOOKUP(C649,Acc_Char!B:K,5,)</f>
        <v>VND</v>
      </c>
      <c r="N649" s="1335" t="str">
        <f>VLOOKUP(C649,Acc_Char!B:K,6,)</f>
        <v>Current Account</v>
      </c>
      <c r="O649" s="1336" t="str">
        <f>Summary!$B$4</f>
        <v>W1-2Jan26</v>
      </c>
      <c r="P649" s="1334" t="str">
        <f t="shared" si="37"/>
        <v>112002807481</v>
      </c>
    </row>
    <row r="650" spans="1:16">
      <c r="A650" t="s">
        <v>1591</v>
      </c>
      <c r="B650" s="34" t="s">
        <v>110</v>
      </c>
      <c r="C650" s="34" t="s">
        <v>702</v>
      </c>
      <c r="D650" s="355" t="s">
        <v>2514</v>
      </c>
      <c r="E650" t="s">
        <v>2515</v>
      </c>
      <c r="F650" s="57">
        <v>43836</v>
      </c>
      <c r="G650" s="57">
        <v>0</v>
      </c>
      <c r="H650" s="1082">
        <f t="shared" si="35"/>
        <v>43836</v>
      </c>
      <c r="I650" s="1333" t="s">
        <v>44</v>
      </c>
      <c r="J650" s="1334" t="str">
        <f>VLOOKUP(C650,Acc_Char!B:K,3,)</f>
        <v>BAU BANG 6</v>
      </c>
      <c r="K650" s="1334" t="str">
        <f>VLOOKUP(C650,Acc_Char!B:K,7,)</f>
        <v>Subsidiaries</v>
      </c>
      <c r="L650" s="1334" t="str">
        <f t="shared" si="36"/>
        <v>Other receipts</v>
      </c>
      <c r="M650" s="1335" t="str">
        <f>VLOOKUP(C650,Acc_Char!B:K,5,)</f>
        <v>VND</v>
      </c>
      <c r="N650" s="1335" t="str">
        <f>VLOOKUP(C650,Acc_Char!B:K,6,)</f>
        <v>Current Account</v>
      </c>
      <c r="O650" s="1336" t="str">
        <f>Summary!$B$4</f>
        <v>W1-2Jan26</v>
      </c>
      <c r="P650" s="1334" t="str">
        <f t="shared" si="37"/>
        <v>115624079999</v>
      </c>
    </row>
    <row r="651" spans="1:16">
      <c r="A651" t="s">
        <v>1591</v>
      </c>
      <c r="B651" s="34" t="s">
        <v>110</v>
      </c>
      <c r="C651" s="34" t="s">
        <v>702</v>
      </c>
      <c r="D651" s="355" t="s">
        <v>2514</v>
      </c>
      <c r="E651" t="s">
        <v>2515</v>
      </c>
      <c r="F651" s="57">
        <v>8000000000</v>
      </c>
      <c r="G651" s="57">
        <v>0</v>
      </c>
      <c r="H651" s="1082">
        <f t="shared" ref="H651" si="38">F651-G651</f>
        <v>8000000000</v>
      </c>
      <c r="I651" s="1333" t="s">
        <v>41</v>
      </c>
      <c r="J651" s="1334" t="str">
        <f>VLOOKUP(C651,Acc_Char!B:K,3,)</f>
        <v>BAU BANG 6</v>
      </c>
      <c r="K651" s="1334" t="str">
        <f>VLOOKUP(C651,Acc_Char!B:K,7,)</f>
        <v>Subsidiaries</v>
      </c>
      <c r="L651" s="1334" t="str">
        <f t="shared" si="36"/>
        <v>Internal transfer in</v>
      </c>
      <c r="M651" s="1335" t="str">
        <f>VLOOKUP(C651,Acc_Char!B:K,5,)</f>
        <v>VND</v>
      </c>
      <c r="N651" s="1335" t="str">
        <f>VLOOKUP(C651,Acc_Char!B:K,6,)</f>
        <v>Current Account</v>
      </c>
      <c r="O651" s="1336" t="str">
        <f>Summary!$B$4</f>
        <v>W1-2Jan26</v>
      </c>
      <c r="P651" s="1334" t="str">
        <f t="shared" si="37"/>
        <v>115624079999</v>
      </c>
    </row>
    <row r="652" spans="1:16">
      <c r="A652" t="s">
        <v>1567</v>
      </c>
      <c r="B652" s="34" t="s">
        <v>114</v>
      </c>
      <c r="C652" s="34" t="s">
        <v>1092</v>
      </c>
      <c r="D652" s="1400">
        <v>46034</v>
      </c>
      <c r="E652" t="s">
        <v>2516</v>
      </c>
      <c r="F652" s="57">
        <v>0</v>
      </c>
      <c r="G652" s="57">
        <v>110516843</v>
      </c>
      <c r="H652" s="1082">
        <f t="shared" si="35"/>
        <v>-110516843</v>
      </c>
      <c r="I652" s="1333" t="s">
        <v>53</v>
      </c>
      <c r="J652" s="1334" t="str">
        <f>VLOOKUP(C652,Acc_Char!B:K,3,)</f>
        <v>TCS JSC</v>
      </c>
      <c r="K652" s="1334" t="str">
        <f>VLOOKUP(C652,Acc_Char!B:K,7,)</f>
        <v>Subsidiaries</v>
      </c>
      <c r="L652" s="1334" t="str">
        <f t="shared" si="36"/>
        <v>Operating expense</v>
      </c>
      <c r="M652" s="1335" t="str">
        <f>VLOOKUP(C652,Acc_Char!B:K,5,)</f>
        <v>VND</v>
      </c>
      <c r="N652" s="1335" t="str">
        <f>VLOOKUP(C652,Acc_Char!B:K,6,)</f>
        <v>Current Account</v>
      </c>
      <c r="O652" s="1336" t="str">
        <f>Summary!$B$4</f>
        <v>W1-2Jan26</v>
      </c>
      <c r="P652" s="1334" t="str">
        <f t="shared" si="37"/>
        <v>8680028808</v>
      </c>
    </row>
    <row r="653" spans="1:16">
      <c r="A653" t="s">
        <v>1591</v>
      </c>
      <c r="B653" s="34" t="s">
        <v>110</v>
      </c>
      <c r="C653" s="34" t="s">
        <v>666</v>
      </c>
      <c r="D653" s="355" t="s">
        <v>2517</v>
      </c>
      <c r="E653" t="s">
        <v>2518</v>
      </c>
      <c r="F653" s="57">
        <v>342328161</v>
      </c>
      <c r="G653" s="57">
        <v>0</v>
      </c>
      <c r="H653" s="1082">
        <f t="shared" si="35"/>
        <v>342328161</v>
      </c>
      <c r="I653" s="1333" t="s">
        <v>39</v>
      </c>
      <c r="J653" s="1334" t="str">
        <f>VLOOKUP(C653,Acc_Char!B:K,3,)</f>
        <v>BCI JSC</v>
      </c>
      <c r="K653" s="1334" t="str">
        <f>VLOOKUP(C653,Acc_Char!B:K,7,)</f>
        <v>Subsidiaries</v>
      </c>
      <c r="L653" s="1334" t="str">
        <f t="shared" si="36"/>
        <v>Receipt from tenants</v>
      </c>
      <c r="M653" s="1335" t="str">
        <f>VLOOKUP(C653,Acc_Char!B:K,5,)</f>
        <v>VND</v>
      </c>
      <c r="N653" s="1335" t="str">
        <f>VLOOKUP(C653,Acc_Char!B:K,6,)</f>
        <v>Current Account</v>
      </c>
      <c r="O653" s="1336" t="str">
        <f>Summary!$B$4</f>
        <v>W1-2Jan26</v>
      </c>
      <c r="P653" s="1334" t="str">
        <f t="shared" si="37"/>
        <v>114622278888</v>
      </c>
    </row>
    <row r="654" spans="1:16">
      <c r="A654" t="s">
        <v>1567</v>
      </c>
      <c r="B654" s="34" t="s">
        <v>116</v>
      </c>
      <c r="C654" s="34" t="s">
        <v>523</v>
      </c>
      <c r="D654" s="1400">
        <v>46235</v>
      </c>
      <c r="E654" t="s">
        <v>2519</v>
      </c>
      <c r="F654" s="57">
        <v>0</v>
      </c>
      <c r="G654" s="57">
        <v>85761480</v>
      </c>
      <c r="H654" s="1082">
        <f t="shared" si="35"/>
        <v>-85761480</v>
      </c>
      <c r="I654" s="1333" t="s">
        <v>53</v>
      </c>
      <c r="J654" s="1334" t="str">
        <f>VLOOKUP(C654,Acc_Char!B:K,3,)</f>
        <v>BWID THOI HOA 2</v>
      </c>
      <c r="K654" s="1334" t="str">
        <f>VLOOKUP(C654,Acc_Char!B:K,7,)</f>
        <v>Subsidiaries</v>
      </c>
      <c r="L654" s="1334" t="str">
        <f t="shared" si="36"/>
        <v>Operating expense</v>
      </c>
      <c r="M654" s="1335" t="str">
        <f>VLOOKUP(C654,Acc_Char!B:K,5,)</f>
        <v>VND</v>
      </c>
      <c r="N654" s="1335" t="str">
        <f>VLOOKUP(C654,Acc_Char!B:K,6,)</f>
        <v>Current Account</v>
      </c>
      <c r="O654" s="1336" t="str">
        <f>Summary!$B$4</f>
        <v>W1-2Jan26</v>
      </c>
      <c r="P654" s="1334" t="str">
        <f t="shared" si="37"/>
        <v>10100014966008</v>
      </c>
    </row>
    <row r="655" spans="1:16">
      <c r="A655" t="s">
        <v>1567</v>
      </c>
      <c r="B655" s="34" t="s">
        <v>116</v>
      </c>
      <c r="C655" s="34" t="s">
        <v>523</v>
      </c>
      <c r="D655" s="1400">
        <v>46082</v>
      </c>
      <c r="E655" t="s">
        <v>2520</v>
      </c>
      <c r="F655" s="57">
        <v>0</v>
      </c>
      <c r="G655" s="57">
        <v>38058558</v>
      </c>
      <c r="H655" s="1082">
        <f t="shared" si="35"/>
        <v>-38058558</v>
      </c>
      <c r="I655" s="1333" t="s">
        <v>53</v>
      </c>
      <c r="J655" s="1334" t="str">
        <f>VLOOKUP(C655,Acc_Char!B:K,3,)</f>
        <v>BWID THOI HOA 2</v>
      </c>
      <c r="K655" s="1334" t="str">
        <f>VLOOKUP(C655,Acc_Char!B:K,7,)</f>
        <v>Subsidiaries</v>
      </c>
      <c r="L655" s="1334" t="str">
        <f t="shared" si="36"/>
        <v>Operating expense</v>
      </c>
      <c r="M655" s="1335" t="str">
        <f>VLOOKUP(C655,Acc_Char!B:K,5,)</f>
        <v>VND</v>
      </c>
      <c r="N655" s="1335" t="str">
        <f>VLOOKUP(C655,Acc_Char!B:K,6,)</f>
        <v>Current Account</v>
      </c>
      <c r="O655" s="1336" t="str">
        <f>Summary!$B$4</f>
        <v>W1-2Jan26</v>
      </c>
      <c r="P655" s="1334" t="str">
        <f t="shared" si="37"/>
        <v>10100014966008</v>
      </c>
    </row>
    <row r="656" spans="1:16">
      <c r="A656" t="s">
        <v>1567</v>
      </c>
      <c r="B656" s="34" t="s">
        <v>116</v>
      </c>
      <c r="C656" s="34" t="s">
        <v>523</v>
      </c>
      <c r="D656" s="1400">
        <v>46082</v>
      </c>
      <c r="E656" t="s">
        <v>2521</v>
      </c>
      <c r="F656" s="57">
        <v>0</v>
      </c>
      <c r="G656" s="57">
        <v>5510624</v>
      </c>
      <c r="H656" s="1082">
        <f t="shared" si="35"/>
        <v>-5510624</v>
      </c>
      <c r="I656" s="1333" t="s">
        <v>53</v>
      </c>
      <c r="J656" s="1334" t="str">
        <f>VLOOKUP(C656,Acc_Char!B:K,3,)</f>
        <v>BWID THOI HOA 2</v>
      </c>
      <c r="K656" s="1334" t="str">
        <f>VLOOKUP(C656,Acc_Char!B:K,7,)</f>
        <v>Subsidiaries</v>
      </c>
      <c r="L656" s="1334" t="str">
        <f t="shared" si="36"/>
        <v>Operating expense</v>
      </c>
      <c r="M656" s="1335" t="str">
        <f>VLOOKUP(C656,Acc_Char!B:K,5,)</f>
        <v>VND</v>
      </c>
      <c r="N656" s="1335" t="str">
        <f>VLOOKUP(C656,Acc_Char!B:K,6,)</f>
        <v>Current Account</v>
      </c>
      <c r="O656" s="1336" t="str">
        <f>Summary!$B$4</f>
        <v>W1-2Jan26</v>
      </c>
      <c r="P656" s="1334" t="str">
        <f t="shared" si="37"/>
        <v>10100014966008</v>
      </c>
    </row>
    <row r="657" spans="1:16">
      <c r="A657" t="s">
        <v>1567</v>
      </c>
      <c r="B657" s="34" t="s">
        <v>116</v>
      </c>
      <c r="C657" s="34" t="s">
        <v>523</v>
      </c>
      <c r="D657" s="1400">
        <v>46082</v>
      </c>
      <c r="E657" t="s">
        <v>2522</v>
      </c>
      <c r="F657" s="57">
        <v>0</v>
      </c>
      <c r="G657" s="57">
        <v>108456613</v>
      </c>
      <c r="H657" s="1082">
        <f t="shared" si="35"/>
        <v>-108456613</v>
      </c>
      <c r="I657" s="1333" t="s">
        <v>53</v>
      </c>
      <c r="J657" s="1334" t="str">
        <f>VLOOKUP(C657,Acc_Char!B:K,3,)</f>
        <v>BWID THOI HOA 2</v>
      </c>
      <c r="K657" s="1334" t="str">
        <f>VLOOKUP(C657,Acc_Char!B:K,7,)</f>
        <v>Subsidiaries</v>
      </c>
      <c r="L657" s="1334" t="str">
        <f t="shared" si="36"/>
        <v>Operating expense</v>
      </c>
      <c r="M657" s="1335" t="str">
        <f>VLOOKUP(C657,Acc_Char!B:K,5,)</f>
        <v>VND</v>
      </c>
      <c r="N657" s="1335" t="str">
        <f>VLOOKUP(C657,Acc_Char!B:K,6,)</f>
        <v>Current Account</v>
      </c>
      <c r="O657" s="1336" t="str">
        <f>Summary!$B$4</f>
        <v>W1-2Jan26</v>
      </c>
      <c r="P657" s="1334" t="str">
        <f t="shared" si="37"/>
        <v>10100014966008</v>
      </c>
    </row>
    <row r="658" spans="1:16">
      <c r="A658" t="s">
        <v>1567</v>
      </c>
      <c r="B658" s="34" t="s">
        <v>116</v>
      </c>
      <c r="C658" s="34" t="s">
        <v>523</v>
      </c>
      <c r="D658" s="1400">
        <v>46082</v>
      </c>
      <c r="E658" t="s">
        <v>2523</v>
      </c>
      <c r="F658" s="57">
        <v>0</v>
      </c>
      <c r="G658" s="57">
        <v>1582321</v>
      </c>
      <c r="H658" s="1082">
        <f t="shared" si="35"/>
        <v>-1582321</v>
      </c>
      <c r="I658" s="1333" t="s">
        <v>53</v>
      </c>
      <c r="J658" s="1334" t="str">
        <f>VLOOKUP(C658,Acc_Char!B:K,3,)</f>
        <v>BWID THOI HOA 2</v>
      </c>
      <c r="K658" s="1334" t="str">
        <f>VLOOKUP(C658,Acc_Char!B:K,7,)</f>
        <v>Subsidiaries</v>
      </c>
      <c r="L658" s="1334" t="str">
        <f t="shared" si="36"/>
        <v>Operating expense</v>
      </c>
      <c r="M658" s="1335" t="str">
        <f>VLOOKUP(C658,Acc_Char!B:K,5,)</f>
        <v>VND</v>
      </c>
      <c r="N658" s="1335" t="str">
        <f>VLOOKUP(C658,Acc_Char!B:K,6,)</f>
        <v>Current Account</v>
      </c>
      <c r="O658" s="1336" t="str">
        <f>Summary!$B$4</f>
        <v>W1-2Jan26</v>
      </c>
      <c r="P658" s="1334" t="str">
        <f t="shared" si="37"/>
        <v>10100014966008</v>
      </c>
    </row>
    <row r="659" spans="1:16">
      <c r="A659" t="s">
        <v>1567</v>
      </c>
      <c r="B659" s="34" t="s">
        <v>116</v>
      </c>
      <c r="C659" s="34" t="s">
        <v>523</v>
      </c>
      <c r="D659" s="1400">
        <v>46082</v>
      </c>
      <c r="E659" t="s">
        <v>2524</v>
      </c>
      <c r="F659" s="57">
        <v>0</v>
      </c>
      <c r="G659" s="57">
        <v>851476</v>
      </c>
      <c r="H659" s="1082">
        <f t="shared" si="35"/>
        <v>-851476</v>
      </c>
      <c r="I659" s="1333" t="s">
        <v>53</v>
      </c>
      <c r="J659" s="1334" t="str">
        <f>VLOOKUP(C659,Acc_Char!B:K,3,)</f>
        <v>BWID THOI HOA 2</v>
      </c>
      <c r="K659" s="1334" t="str">
        <f>VLOOKUP(C659,Acc_Char!B:K,7,)</f>
        <v>Subsidiaries</v>
      </c>
      <c r="L659" s="1334" t="str">
        <f t="shared" si="36"/>
        <v>Operating expense</v>
      </c>
      <c r="M659" s="1335" t="str">
        <f>VLOOKUP(C659,Acc_Char!B:K,5,)</f>
        <v>VND</v>
      </c>
      <c r="N659" s="1335" t="str">
        <f>VLOOKUP(C659,Acc_Char!B:K,6,)</f>
        <v>Current Account</v>
      </c>
      <c r="O659" s="1336" t="str">
        <f>Summary!$B$4</f>
        <v>W1-2Jan26</v>
      </c>
      <c r="P659" s="1334" t="str">
        <f t="shared" si="37"/>
        <v>10100014966008</v>
      </c>
    </row>
    <row r="660" spans="1:16">
      <c r="A660" t="s">
        <v>1567</v>
      </c>
      <c r="B660" s="34" t="s">
        <v>116</v>
      </c>
      <c r="C660" s="34" t="s">
        <v>523</v>
      </c>
      <c r="D660" s="1400">
        <v>46082</v>
      </c>
      <c r="E660" t="s">
        <v>2525</v>
      </c>
      <c r="F660" s="57">
        <v>0</v>
      </c>
      <c r="G660" s="57">
        <v>158992600</v>
      </c>
      <c r="H660" s="1082">
        <f t="shared" si="35"/>
        <v>-158992600</v>
      </c>
      <c r="I660" s="1333" t="s">
        <v>53</v>
      </c>
      <c r="J660" s="1334" t="str">
        <f>VLOOKUP(C660,Acc_Char!B:K,3,)</f>
        <v>BWID THOI HOA 2</v>
      </c>
      <c r="K660" s="1334" t="str">
        <f>VLOOKUP(C660,Acc_Char!B:K,7,)</f>
        <v>Subsidiaries</v>
      </c>
      <c r="L660" s="1334" t="str">
        <f t="shared" si="36"/>
        <v>Operating expense</v>
      </c>
      <c r="M660" s="1335" t="str">
        <f>VLOOKUP(C660,Acc_Char!B:K,5,)</f>
        <v>VND</v>
      </c>
      <c r="N660" s="1335" t="str">
        <f>VLOOKUP(C660,Acc_Char!B:K,6,)</f>
        <v>Current Account</v>
      </c>
      <c r="O660" s="1336" t="str">
        <f>Summary!$B$4</f>
        <v>W1-2Jan26</v>
      </c>
      <c r="P660" s="1334" t="str">
        <f t="shared" si="37"/>
        <v>10100014966008</v>
      </c>
    </row>
    <row r="661" spans="1:16">
      <c r="A661" t="s">
        <v>1567</v>
      </c>
      <c r="B661" s="34" t="s">
        <v>116</v>
      </c>
      <c r="C661" s="34" t="s">
        <v>523</v>
      </c>
      <c r="D661" s="1400">
        <v>46082</v>
      </c>
      <c r="E661" t="s">
        <v>2526</v>
      </c>
      <c r="F661" s="57">
        <v>0</v>
      </c>
      <c r="G661" s="57">
        <v>24803241</v>
      </c>
      <c r="H661" s="1082">
        <f t="shared" si="35"/>
        <v>-24803241</v>
      </c>
      <c r="I661" s="1333" t="s">
        <v>53</v>
      </c>
      <c r="J661" s="1334" t="str">
        <f>VLOOKUP(C661,Acc_Char!B:K,3,)</f>
        <v>BWID THOI HOA 2</v>
      </c>
      <c r="K661" s="1334" t="str">
        <f>VLOOKUP(C661,Acc_Char!B:K,7,)</f>
        <v>Subsidiaries</v>
      </c>
      <c r="L661" s="1334" t="str">
        <f t="shared" si="36"/>
        <v>Operating expense</v>
      </c>
      <c r="M661" s="1335" t="str">
        <f>VLOOKUP(C661,Acc_Char!B:K,5,)</f>
        <v>VND</v>
      </c>
      <c r="N661" s="1335" t="str">
        <f>VLOOKUP(C661,Acc_Char!B:K,6,)</f>
        <v>Current Account</v>
      </c>
      <c r="O661" s="1336" t="str">
        <f>Summary!$B$4</f>
        <v>W1-2Jan26</v>
      </c>
      <c r="P661" s="1334" t="str">
        <f t="shared" si="37"/>
        <v>10100014966008</v>
      </c>
    </row>
    <row r="662" spans="1:16">
      <c r="A662" t="s">
        <v>1567</v>
      </c>
      <c r="B662" s="34" t="s">
        <v>116</v>
      </c>
      <c r="C662" s="34" t="s">
        <v>523</v>
      </c>
      <c r="D662" s="1400">
        <v>46082</v>
      </c>
      <c r="E662" t="s">
        <v>2527</v>
      </c>
      <c r="F662" s="57">
        <v>0</v>
      </c>
      <c r="G662" s="57">
        <v>3262507</v>
      </c>
      <c r="H662" s="1082">
        <f t="shared" si="35"/>
        <v>-3262507</v>
      </c>
      <c r="I662" s="1333" t="s">
        <v>53</v>
      </c>
      <c r="J662" s="1334" t="str">
        <f>VLOOKUP(C662,Acc_Char!B:K,3,)</f>
        <v>BWID THOI HOA 2</v>
      </c>
      <c r="K662" s="1334" t="str">
        <f>VLOOKUP(C662,Acc_Char!B:K,7,)</f>
        <v>Subsidiaries</v>
      </c>
      <c r="L662" s="1334" t="str">
        <f t="shared" si="36"/>
        <v>Operating expense</v>
      </c>
      <c r="M662" s="1335" t="str">
        <f>VLOOKUP(C662,Acc_Char!B:K,5,)</f>
        <v>VND</v>
      </c>
      <c r="N662" s="1335" t="str">
        <f>VLOOKUP(C662,Acc_Char!B:K,6,)</f>
        <v>Current Account</v>
      </c>
      <c r="O662" s="1336" t="str">
        <f>Summary!$B$4</f>
        <v>W1-2Jan26</v>
      </c>
      <c r="P662" s="1334" t="str">
        <f t="shared" si="37"/>
        <v>10100014966008</v>
      </c>
    </row>
    <row r="663" spans="1:16">
      <c r="A663" t="s">
        <v>1567</v>
      </c>
      <c r="B663" s="34" t="s">
        <v>114</v>
      </c>
      <c r="C663" s="34" t="s">
        <v>724</v>
      </c>
      <c r="D663" s="1400">
        <v>46023</v>
      </c>
      <c r="E663" t="s">
        <v>2528</v>
      </c>
      <c r="F663" s="57">
        <v>2949041</v>
      </c>
      <c r="G663" s="57">
        <v>0</v>
      </c>
      <c r="H663" s="1082">
        <f t="shared" si="35"/>
        <v>2949041</v>
      </c>
      <c r="I663" s="1333" t="s">
        <v>44</v>
      </c>
      <c r="J663" s="1334" t="str">
        <f>VLOOKUP(C663,Acc_Char!B:K,3,)</f>
        <v>HOLDCO4M</v>
      </c>
      <c r="K663" s="1334" t="str">
        <f>VLOOKUP(C663,Acc_Char!B:K,7,)</f>
        <v>Subsidiaries</v>
      </c>
      <c r="L663" s="1334" t="str">
        <f t="shared" si="36"/>
        <v>Other receipts</v>
      </c>
      <c r="M663" s="1335" t="str">
        <f>VLOOKUP(C663,Acc_Char!B:K,5,)</f>
        <v>VND</v>
      </c>
      <c r="N663" s="1335" t="str">
        <f>VLOOKUP(C663,Acc_Char!B:K,6,)</f>
        <v>Current Account</v>
      </c>
      <c r="O663" s="1336" t="str">
        <f>Summary!$B$4</f>
        <v>W1-2Jan26</v>
      </c>
      <c r="P663" s="1334" t="str">
        <f t="shared" si="37"/>
        <v>2221714888</v>
      </c>
    </row>
    <row r="664" spans="1:16">
      <c r="A664" t="s">
        <v>1567</v>
      </c>
      <c r="B664" s="34" t="s">
        <v>114</v>
      </c>
      <c r="C664" s="34" t="s">
        <v>890</v>
      </c>
      <c r="D664" s="1400">
        <v>46023</v>
      </c>
      <c r="E664" t="s">
        <v>2529</v>
      </c>
      <c r="F664" s="57">
        <v>4536986</v>
      </c>
      <c r="G664" s="57">
        <v>0</v>
      </c>
      <c r="H664" s="1082">
        <f t="shared" si="35"/>
        <v>4536986</v>
      </c>
      <c r="I664" s="1333" t="s">
        <v>44</v>
      </c>
      <c r="J664" s="1334" t="str">
        <f>VLOOKUP(C664,Acc_Char!B:K,3,)</f>
        <v>NSHL HOLDCO</v>
      </c>
      <c r="K664" s="1334" t="str">
        <f>VLOOKUP(C664,Acc_Char!B:K,7,)</f>
        <v>Subsidiaries</v>
      </c>
      <c r="L664" s="1334" t="str">
        <f t="shared" si="36"/>
        <v>Other receipts</v>
      </c>
      <c r="M664" s="1335" t="str">
        <f>VLOOKUP(C664,Acc_Char!B:K,5,)</f>
        <v>VND</v>
      </c>
      <c r="N664" s="1335" t="str">
        <f>VLOOKUP(C664,Acc_Char!B:K,6,)</f>
        <v>Current Account</v>
      </c>
      <c r="O664" s="1336" t="str">
        <f>Summary!$B$4</f>
        <v>W1-2Jan26</v>
      </c>
      <c r="P664" s="1334" t="str">
        <f t="shared" si="37"/>
        <v>2222201888</v>
      </c>
    </row>
    <row r="665" spans="1:16">
      <c r="A665" t="s">
        <v>1591</v>
      </c>
      <c r="B665" s="34" t="s">
        <v>114</v>
      </c>
      <c r="C665" s="34" t="s">
        <v>755</v>
      </c>
      <c r="D665" s="355" t="s">
        <v>2530</v>
      </c>
      <c r="E665" t="s">
        <v>2531</v>
      </c>
      <c r="F665" s="57">
        <v>52445205</v>
      </c>
      <c r="G665" s="57">
        <v>0</v>
      </c>
      <c r="H665" s="1082">
        <f t="shared" si="35"/>
        <v>52445205</v>
      </c>
      <c r="I665" s="1333" t="s">
        <v>44</v>
      </c>
      <c r="J665" s="1334" t="str">
        <f>VLOOKUP(C665,Acc_Char!B:K,3,)</f>
        <v>BAC TIEN PHONG</v>
      </c>
      <c r="K665" s="1334" t="str">
        <f>VLOOKUP(C665,Acc_Char!B:K,7,)</f>
        <v>Subsidiaries</v>
      </c>
      <c r="L665" s="1334" t="str">
        <f t="shared" si="36"/>
        <v>Other receipts</v>
      </c>
      <c r="M665" s="1335" t="str">
        <f>VLOOKUP(C665,Acc_Char!B:K,5,)</f>
        <v>VND</v>
      </c>
      <c r="N665" s="1335" t="str">
        <f>VLOOKUP(C665,Acc_Char!B:K,6,)</f>
        <v>Current Account</v>
      </c>
      <c r="O665" s="1336" t="str">
        <f>Summary!$B$4</f>
        <v>W1-2Jan26</v>
      </c>
      <c r="P665" s="1334" t="str">
        <f t="shared" si="37"/>
        <v>2220757668</v>
      </c>
    </row>
    <row r="666" spans="1:16">
      <c r="A666" t="s">
        <v>1567</v>
      </c>
      <c r="B666" s="34" t="s">
        <v>114</v>
      </c>
      <c r="C666" s="34" t="s">
        <v>738</v>
      </c>
      <c r="D666" s="1400">
        <v>46023</v>
      </c>
      <c r="E666" t="s">
        <v>2532</v>
      </c>
      <c r="F666" s="57">
        <v>2495342</v>
      </c>
      <c r="G666" s="57">
        <v>0</v>
      </c>
      <c r="H666" s="1082">
        <f t="shared" si="35"/>
        <v>2495342</v>
      </c>
      <c r="I666" s="1333" t="s">
        <v>44</v>
      </c>
      <c r="J666" s="1334" t="str">
        <f>VLOOKUP(C666,Acc_Char!B:K,3,)</f>
        <v>HOLDCO5M</v>
      </c>
      <c r="K666" s="1334" t="str">
        <f>VLOOKUP(C666,Acc_Char!B:K,7,)</f>
        <v>Subsidiaries</v>
      </c>
      <c r="L666" s="1334" t="str">
        <f t="shared" si="36"/>
        <v>Other receipts</v>
      </c>
      <c r="M666" s="1335" t="str">
        <f>VLOOKUP(C666,Acc_Char!B:K,5,)</f>
        <v>VND</v>
      </c>
      <c r="N666" s="1335" t="str">
        <f>VLOOKUP(C666,Acc_Char!B:K,6,)</f>
        <v>Current Account</v>
      </c>
      <c r="O666" s="1336" t="str">
        <f>Summary!$B$4</f>
        <v>W1-2Jan26</v>
      </c>
      <c r="P666" s="1334" t="str">
        <f t="shared" si="37"/>
        <v>2227338666</v>
      </c>
    </row>
    <row r="667" spans="1:16">
      <c r="A667" t="s">
        <v>1591</v>
      </c>
      <c r="B667" s="34" t="s">
        <v>114</v>
      </c>
      <c r="C667" s="34" t="s">
        <v>568</v>
      </c>
      <c r="D667" s="355" t="s">
        <v>2533</v>
      </c>
      <c r="E667" t="s">
        <v>2534</v>
      </c>
      <c r="F667" s="57">
        <v>24205479</v>
      </c>
      <c r="G667" s="57">
        <v>0</v>
      </c>
      <c r="H667" s="1082">
        <f t="shared" si="35"/>
        <v>24205479</v>
      </c>
      <c r="I667" s="1333" t="s">
        <v>44</v>
      </c>
      <c r="J667" s="1334" t="str">
        <f>VLOOKUP(C667,Acc_Char!B:K,3,)</f>
        <v>KIM TRUC DN</v>
      </c>
      <c r="K667" s="1334" t="str">
        <f>VLOOKUP(C667,Acc_Char!B:K,7,)</f>
        <v>Subsidiaries</v>
      </c>
      <c r="L667" s="1334" t="str">
        <f t="shared" si="36"/>
        <v>Other receipts</v>
      </c>
      <c r="M667" s="1335" t="str">
        <f>VLOOKUP(C667,Acc_Char!B:K,5,)</f>
        <v>VND</v>
      </c>
      <c r="N667" s="1335" t="str">
        <f>VLOOKUP(C667,Acc_Char!B:K,6,)</f>
        <v>Current Account</v>
      </c>
      <c r="O667" s="1336" t="str">
        <f>Summary!$B$4</f>
        <v>W1-2Jan26</v>
      </c>
      <c r="P667" s="1334" t="str">
        <f t="shared" si="37"/>
        <v>1329397986</v>
      </c>
    </row>
    <row r="668" spans="1:16">
      <c r="A668" t="s">
        <v>1567</v>
      </c>
      <c r="B668" s="34" t="s">
        <v>114</v>
      </c>
      <c r="C668" s="34" t="s">
        <v>733</v>
      </c>
      <c r="D668" s="1400">
        <v>46023</v>
      </c>
      <c r="E668" t="s">
        <v>2535</v>
      </c>
      <c r="F668" s="57">
        <v>2722192</v>
      </c>
      <c r="G668" s="57">
        <v>0</v>
      </c>
      <c r="H668" s="1082">
        <f t="shared" si="35"/>
        <v>2722192</v>
      </c>
      <c r="I668" s="1333" t="s">
        <v>44</v>
      </c>
      <c r="J668" s="1334" t="str">
        <f>VLOOKUP(C668,Acc_Char!B:K,3,)</f>
        <v>HOLDCO5K</v>
      </c>
      <c r="K668" s="1334" t="str">
        <f>VLOOKUP(C668,Acc_Char!B:K,7,)</f>
        <v>Subsidiaries</v>
      </c>
      <c r="L668" s="1334" t="str">
        <f t="shared" si="36"/>
        <v>Other receipts</v>
      </c>
      <c r="M668" s="1335" t="str">
        <f>VLOOKUP(C668,Acc_Char!B:K,5,)</f>
        <v>VND</v>
      </c>
      <c r="N668" s="1335" t="str">
        <f>VLOOKUP(C668,Acc_Char!B:K,6,)</f>
        <v>Current Account</v>
      </c>
      <c r="O668" s="1336" t="str">
        <f>Summary!$B$4</f>
        <v>W1-2Jan26</v>
      </c>
      <c r="P668" s="1334" t="str">
        <f t="shared" si="37"/>
        <v>2223558666</v>
      </c>
    </row>
    <row r="669" spans="1:16">
      <c r="A669" t="s">
        <v>1567</v>
      </c>
      <c r="B669" s="34" t="s">
        <v>114</v>
      </c>
      <c r="C669" s="34" t="s">
        <v>729</v>
      </c>
      <c r="D669" s="1400">
        <v>46023</v>
      </c>
      <c r="E669" t="s">
        <v>2536</v>
      </c>
      <c r="F669" s="57">
        <v>2268493</v>
      </c>
      <c r="G669" s="57">
        <v>0</v>
      </c>
      <c r="H669" s="1082">
        <f t="shared" si="35"/>
        <v>2268493</v>
      </c>
      <c r="I669" s="1333" t="s">
        <v>44</v>
      </c>
      <c r="J669" s="1334" t="str">
        <f>VLOOKUP(C669,Acc_Char!B:K,3,)</f>
        <v>HOLDCO4O</v>
      </c>
      <c r="K669" s="1334" t="str">
        <f>VLOOKUP(C669,Acc_Char!B:K,7,)</f>
        <v>Subsidiaries</v>
      </c>
      <c r="L669" s="1334" t="str">
        <f t="shared" si="36"/>
        <v>Other receipts</v>
      </c>
      <c r="M669" s="1335" t="str">
        <f>VLOOKUP(C669,Acc_Char!B:K,5,)</f>
        <v>VND</v>
      </c>
      <c r="N669" s="1335" t="str">
        <f>VLOOKUP(C669,Acc_Char!B:K,6,)</f>
        <v>Current Account</v>
      </c>
      <c r="O669" s="1336" t="str">
        <f>Summary!$B$4</f>
        <v>W1-2Jan26</v>
      </c>
      <c r="P669" s="1334" t="str">
        <f t="shared" si="37"/>
        <v>1380504541</v>
      </c>
    </row>
    <row r="670" spans="1:16">
      <c r="A670" t="s">
        <v>1591</v>
      </c>
      <c r="B670" s="34" t="s">
        <v>114</v>
      </c>
      <c r="C670" s="34" t="s">
        <v>755</v>
      </c>
      <c r="D670" s="355" t="s">
        <v>2537</v>
      </c>
      <c r="E670" t="s">
        <v>2538</v>
      </c>
      <c r="F670" s="57">
        <v>32273973</v>
      </c>
      <c r="G670" s="57">
        <v>0</v>
      </c>
      <c r="H670" s="1082">
        <f t="shared" si="35"/>
        <v>32273973</v>
      </c>
      <c r="I670" s="1333" t="s">
        <v>44</v>
      </c>
      <c r="J670" s="1334" t="str">
        <f>VLOOKUP(C670,Acc_Char!B:K,3,)</f>
        <v>BAC TIEN PHONG</v>
      </c>
      <c r="K670" s="1334" t="str">
        <f>VLOOKUP(C670,Acc_Char!B:K,7,)</f>
        <v>Subsidiaries</v>
      </c>
      <c r="L670" s="1334" t="str">
        <f t="shared" si="36"/>
        <v>Other receipts</v>
      </c>
      <c r="M670" s="1335" t="str">
        <f>VLOOKUP(C670,Acc_Char!B:K,5,)</f>
        <v>VND</v>
      </c>
      <c r="N670" s="1335" t="str">
        <f>VLOOKUP(C670,Acc_Char!B:K,6,)</f>
        <v>Current Account</v>
      </c>
      <c r="O670" s="1336" t="str">
        <f>Summary!$B$4</f>
        <v>W1-2Jan26</v>
      </c>
      <c r="P670" s="1334" t="str">
        <f t="shared" si="37"/>
        <v>2220757668</v>
      </c>
    </row>
    <row r="671" spans="1:16">
      <c r="A671" t="s">
        <v>1567</v>
      </c>
      <c r="B671" s="34" t="s">
        <v>114</v>
      </c>
      <c r="C671" s="34" t="s">
        <v>906</v>
      </c>
      <c r="D671" s="1400">
        <v>46029</v>
      </c>
      <c r="E671" t="s">
        <v>2539</v>
      </c>
      <c r="F671" s="57">
        <v>68861096</v>
      </c>
      <c r="G671" s="57">
        <v>0</v>
      </c>
      <c r="H671" s="1082">
        <f t="shared" si="35"/>
        <v>68861096</v>
      </c>
      <c r="I671" s="1333" t="s">
        <v>44</v>
      </c>
      <c r="J671" s="1334" t="str">
        <f>VLOOKUP(C671,Acc_Char!B:K,3,)</f>
        <v>NDV PROJECT CO</v>
      </c>
      <c r="K671" s="1334" t="str">
        <f>VLOOKUP(C671,Acc_Char!B:K,7,)</f>
        <v>Subsidiaries</v>
      </c>
      <c r="L671" s="1334" t="str">
        <f t="shared" si="36"/>
        <v>Other receipts</v>
      </c>
      <c r="M671" s="1335" t="str">
        <f>VLOOKUP(C671,Acc_Char!B:K,5,)</f>
        <v>VND</v>
      </c>
      <c r="N671" s="1335" t="str">
        <f>VLOOKUP(C671,Acc_Char!B:K,6,)</f>
        <v>Current Account</v>
      </c>
      <c r="O671" s="1336" t="str">
        <f>Summary!$B$4</f>
        <v>W1-2Jan26</v>
      </c>
      <c r="P671" s="1334" t="str">
        <f t="shared" si="37"/>
        <v>8620004064</v>
      </c>
    </row>
    <row r="672" spans="1:16">
      <c r="A672" t="s">
        <v>1591</v>
      </c>
      <c r="B672" s="34" t="s">
        <v>114</v>
      </c>
      <c r="C672" s="34" t="s">
        <v>568</v>
      </c>
      <c r="D672" s="355" t="s">
        <v>2540</v>
      </c>
      <c r="E672" t="s">
        <v>2541</v>
      </c>
      <c r="F672" s="57">
        <v>20171233</v>
      </c>
      <c r="G672" s="57">
        <v>0</v>
      </c>
      <c r="H672" s="1082">
        <f t="shared" si="35"/>
        <v>20171233</v>
      </c>
      <c r="I672" s="1333" t="s">
        <v>44</v>
      </c>
      <c r="J672" s="1334" t="str">
        <f>VLOOKUP(C672,Acc_Char!B:K,3,)</f>
        <v>KIM TRUC DN</v>
      </c>
      <c r="K672" s="1334" t="str">
        <f>VLOOKUP(C672,Acc_Char!B:K,7,)</f>
        <v>Subsidiaries</v>
      </c>
      <c r="L672" s="1334" t="str">
        <f t="shared" si="36"/>
        <v>Other receipts</v>
      </c>
      <c r="M672" s="1335" t="str">
        <f>VLOOKUP(C672,Acc_Char!B:K,5,)</f>
        <v>VND</v>
      </c>
      <c r="N672" s="1335" t="str">
        <f>VLOOKUP(C672,Acc_Char!B:K,6,)</f>
        <v>Current Account</v>
      </c>
      <c r="O672" s="1336" t="str">
        <f>Summary!$B$4</f>
        <v>W1-2Jan26</v>
      </c>
      <c r="P672" s="1334" t="str">
        <f t="shared" si="37"/>
        <v>1329397986</v>
      </c>
    </row>
    <row r="673" spans="1:16">
      <c r="A673" t="s">
        <v>1567</v>
      </c>
      <c r="B673" s="34" t="s">
        <v>114</v>
      </c>
      <c r="C673" s="34" t="s">
        <v>727</v>
      </c>
      <c r="D673" s="1400">
        <v>46023</v>
      </c>
      <c r="E673" t="s">
        <v>2542</v>
      </c>
      <c r="F673" s="57">
        <v>2268493</v>
      </c>
      <c r="G673" s="57">
        <v>0</v>
      </c>
      <c r="H673" s="1082">
        <f t="shared" si="35"/>
        <v>2268493</v>
      </c>
      <c r="I673" s="1333" t="s">
        <v>44</v>
      </c>
      <c r="J673" s="1334" t="str">
        <f>VLOOKUP(C673,Acc_Char!B:K,3,)</f>
        <v>HOLDCO4N</v>
      </c>
      <c r="K673" s="1334" t="str">
        <f>VLOOKUP(C673,Acc_Char!B:K,7,)</f>
        <v>Subsidiaries</v>
      </c>
      <c r="L673" s="1334" t="str">
        <f t="shared" si="36"/>
        <v>Other receipts</v>
      </c>
      <c r="M673" s="1335" t="str">
        <f>VLOOKUP(C673,Acc_Char!B:K,5,)</f>
        <v>VND</v>
      </c>
      <c r="N673" s="1335" t="str">
        <f>VLOOKUP(C673,Acc_Char!B:K,6,)</f>
        <v>Current Account</v>
      </c>
      <c r="O673" s="1336" t="str">
        <f>Summary!$B$4</f>
        <v>W1-2Jan26</v>
      </c>
      <c r="P673" s="1334" t="str">
        <f t="shared" si="37"/>
        <v>1380504532</v>
      </c>
    </row>
    <row r="674" spans="1:16">
      <c r="A674" t="s">
        <v>1567</v>
      </c>
      <c r="B674" s="34" t="s">
        <v>114</v>
      </c>
      <c r="C674" s="34" t="s">
        <v>719</v>
      </c>
      <c r="D674" s="1400">
        <v>46023</v>
      </c>
      <c r="E674" t="s">
        <v>2543</v>
      </c>
      <c r="F674" s="57">
        <v>2722192</v>
      </c>
      <c r="G674" s="57">
        <v>0</v>
      </c>
      <c r="H674" s="1082">
        <f t="shared" si="35"/>
        <v>2722192</v>
      </c>
      <c r="I674" s="1333" t="s">
        <v>44</v>
      </c>
      <c r="J674" s="1334" t="str">
        <f>VLOOKUP(C674,Acc_Char!B:K,3,)</f>
        <v>HOLDCO4K</v>
      </c>
      <c r="K674" s="1334" t="str">
        <f>VLOOKUP(C674,Acc_Char!B:K,7,)</f>
        <v>Subsidiaries</v>
      </c>
      <c r="L674" s="1334" t="str">
        <f t="shared" si="36"/>
        <v>Other receipts</v>
      </c>
      <c r="M674" s="1335" t="str">
        <f>VLOOKUP(C674,Acc_Char!B:K,5,)</f>
        <v>VND</v>
      </c>
      <c r="N674" s="1335" t="str">
        <f>VLOOKUP(C674,Acc_Char!B:K,6,)</f>
        <v>Current Account</v>
      </c>
      <c r="O674" s="1336" t="str">
        <f>Summary!$B$4</f>
        <v>W1-2Jan26</v>
      </c>
      <c r="P674" s="1334" t="str">
        <f t="shared" si="37"/>
        <v>2221707888</v>
      </c>
    </row>
    <row r="675" spans="1:16">
      <c r="A675" t="s">
        <v>1567</v>
      </c>
      <c r="B675" s="34" t="s">
        <v>114</v>
      </c>
      <c r="C675" s="34" t="s">
        <v>731</v>
      </c>
      <c r="D675" s="1400">
        <v>46023</v>
      </c>
      <c r="E675" t="s">
        <v>2544</v>
      </c>
      <c r="F675" s="57">
        <v>2722192</v>
      </c>
      <c r="G675" s="57">
        <v>0</v>
      </c>
      <c r="H675" s="1082">
        <f t="shared" si="35"/>
        <v>2722192</v>
      </c>
      <c r="I675" s="1333" t="s">
        <v>44</v>
      </c>
      <c r="J675" s="1334" t="str">
        <f>VLOOKUP(C675,Acc_Char!B:K,3,)</f>
        <v>HOLDCO4P</v>
      </c>
      <c r="K675" s="1334" t="str">
        <f>VLOOKUP(C675,Acc_Char!B:K,7,)</f>
        <v>Subsidiaries</v>
      </c>
      <c r="L675" s="1334" t="str">
        <f t="shared" si="36"/>
        <v>Other receipts</v>
      </c>
      <c r="M675" s="1335" t="str">
        <f>VLOOKUP(C675,Acc_Char!B:K,5,)</f>
        <v>VND</v>
      </c>
      <c r="N675" s="1335" t="str">
        <f>VLOOKUP(C675,Acc_Char!B:K,6,)</f>
        <v>Current Account</v>
      </c>
      <c r="O675" s="1336" t="str">
        <f>Summary!$B$4</f>
        <v>W1-2Jan26</v>
      </c>
      <c r="P675" s="1334" t="str">
        <f t="shared" si="37"/>
        <v>1380504550</v>
      </c>
    </row>
    <row r="676" spans="1:16">
      <c r="A676" t="s">
        <v>1591</v>
      </c>
      <c r="B676" s="34" t="s">
        <v>110</v>
      </c>
      <c r="C676" s="34" t="s">
        <v>507</v>
      </c>
      <c r="D676" s="355" t="s">
        <v>2545</v>
      </c>
      <c r="E676" t="s">
        <v>2546</v>
      </c>
      <c r="F676" s="57">
        <v>69856269</v>
      </c>
      <c r="G676" s="57">
        <v>0</v>
      </c>
      <c r="H676" s="1082">
        <f t="shared" si="35"/>
        <v>69856269</v>
      </c>
      <c r="I676" s="1333" t="s">
        <v>39</v>
      </c>
      <c r="J676" s="1334" t="str">
        <f>VLOOKUP(C676,Acc_Char!B:K,3,)</f>
        <v>BWID HAI DUONG 2</v>
      </c>
      <c r="K676" s="1334" t="str">
        <f>VLOOKUP(C676,Acc_Char!B:K,7,)</f>
        <v>Subsidiaries</v>
      </c>
      <c r="L676" s="1334" t="str">
        <f t="shared" si="36"/>
        <v>Receipt from tenants</v>
      </c>
      <c r="M676" s="1335" t="str">
        <f>VLOOKUP(C676,Acc_Char!B:K,5,)</f>
        <v>VND</v>
      </c>
      <c r="N676" s="1335" t="str">
        <f>VLOOKUP(C676,Acc_Char!B:K,6,)</f>
        <v>Current Account</v>
      </c>
      <c r="O676" s="1336" t="str">
        <f>Summary!$B$4</f>
        <v>W1-2Jan26</v>
      </c>
      <c r="P676" s="1334" t="str">
        <f t="shared" si="37"/>
        <v>118006028888</v>
      </c>
    </row>
    <row r="677" spans="1:16">
      <c r="A677" t="s">
        <v>1591</v>
      </c>
      <c r="B677" s="34" t="s">
        <v>110</v>
      </c>
      <c r="C677" s="34" t="s">
        <v>715</v>
      </c>
      <c r="D677" s="355" t="s">
        <v>2547</v>
      </c>
      <c r="E677" t="s">
        <v>2548</v>
      </c>
      <c r="F677" s="57">
        <v>65000000</v>
      </c>
      <c r="G677" s="57">
        <v>0</v>
      </c>
      <c r="H677" s="1082">
        <f t="shared" si="35"/>
        <v>65000000</v>
      </c>
      <c r="I677" s="1333" t="s">
        <v>39</v>
      </c>
      <c r="J677" s="1334" t="str">
        <f>VLOOKUP(C677,Acc_Char!B:K,3,)</f>
        <v>BW MY PHUOC 3</v>
      </c>
      <c r="K677" s="1334" t="str">
        <f>VLOOKUP(C677,Acc_Char!B:K,7,)</f>
        <v>Subsidiaries</v>
      </c>
      <c r="L677" s="1334" t="str">
        <f t="shared" si="36"/>
        <v>Receipt from tenants</v>
      </c>
      <c r="M677" s="1335" t="str">
        <f>VLOOKUP(C677,Acc_Char!B:K,5,)</f>
        <v>VND</v>
      </c>
      <c r="N677" s="1335" t="str">
        <f>VLOOKUP(C677,Acc_Char!B:K,6,)</f>
        <v>Current Account</v>
      </c>
      <c r="O677" s="1336" t="str">
        <f>Summary!$B$4</f>
        <v>W1-2Jan26</v>
      </c>
      <c r="P677" s="1334" t="str">
        <f t="shared" si="37"/>
        <v>111002915309</v>
      </c>
    </row>
    <row r="678" spans="1:16">
      <c r="A678" t="s">
        <v>1591</v>
      </c>
      <c r="B678" s="34" t="s">
        <v>110</v>
      </c>
      <c r="C678" s="34" t="s">
        <v>715</v>
      </c>
      <c r="D678" s="355" t="s">
        <v>2549</v>
      </c>
      <c r="E678" t="s">
        <v>2550</v>
      </c>
      <c r="F678" s="57">
        <v>2138291743</v>
      </c>
      <c r="G678" s="57">
        <v>0</v>
      </c>
      <c r="H678" s="1082">
        <f t="shared" si="35"/>
        <v>2138291743</v>
      </c>
      <c r="I678" s="1333" t="s">
        <v>39</v>
      </c>
      <c r="J678" s="1334" t="str">
        <f>VLOOKUP(C678,Acc_Char!B:K,3,)</f>
        <v>BW MY PHUOC 3</v>
      </c>
      <c r="K678" s="1334" t="str">
        <f>VLOOKUP(C678,Acc_Char!B:K,7,)</f>
        <v>Subsidiaries</v>
      </c>
      <c r="L678" s="1334" t="str">
        <f t="shared" si="36"/>
        <v>Receipt from tenants</v>
      </c>
      <c r="M678" s="1335" t="str">
        <f>VLOOKUP(C678,Acc_Char!B:K,5,)</f>
        <v>VND</v>
      </c>
      <c r="N678" s="1335" t="str">
        <f>VLOOKUP(C678,Acc_Char!B:K,6,)</f>
        <v>Current Account</v>
      </c>
      <c r="O678" s="1336" t="str">
        <f>Summary!$B$4</f>
        <v>W1-2Jan26</v>
      </c>
      <c r="P678" s="1334" t="str">
        <f t="shared" si="37"/>
        <v>111002915309</v>
      </c>
    </row>
    <row r="679" spans="1:16">
      <c r="A679" t="s">
        <v>1591</v>
      </c>
      <c r="B679" s="34" t="s">
        <v>110</v>
      </c>
      <c r="C679" s="34" t="s">
        <v>666</v>
      </c>
      <c r="D679" s="355" t="s">
        <v>2551</v>
      </c>
      <c r="E679" t="s">
        <v>2552</v>
      </c>
      <c r="F679" s="57">
        <v>37269853</v>
      </c>
      <c r="G679" s="57">
        <v>0</v>
      </c>
      <c r="H679" s="1082">
        <f t="shared" si="35"/>
        <v>37269853</v>
      </c>
      <c r="I679" s="1333" t="s">
        <v>39</v>
      </c>
      <c r="J679" s="1334" t="str">
        <f>VLOOKUP(C679,Acc_Char!B:K,3,)</f>
        <v>BCI JSC</v>
      </c>
      <c r="K679" s="1334" t="str">
        <f>VLOOKUP(C679,Acc_Char!B:K,7,)</f>
        <v>Subsidiaries</v>
      </c>
      <c r="L679" s="1334" t="str">
        <f t="shared" si="36"/>
        <v>Receipt from tenants</v>
      </c>
      <c r="M679" s="1335" t="str">
        <f>VLOOKUP(C679,Acc_Char!B:K,5,)</f>
        <v>VND</v>
      </c>
      <c r="N679" s="1335" t="str">
        <f>VLOOKUP(C679,Acc_Char!B:K,6,)</f>
        <v>Current Account</v>
      </c>
      <c r="O679" s="1336" t="str">
        <f>Summary!$B$4</f>
        <v>W1-2Jan26</v>
      </c>
      <c r="P679" s="1334" t="str">
        <f t="shared" si="37"/>
        <v>114622278888</v>
      </c>
    </row>
    <row r="680" spans="1:16">
      <c r="A680" t="s">
        <v>1591</v>
      </c>
      <c r="B680" s="34" t="s">
        <v>110</v>
      </c>
      <c r="C680" s="34" t="s">
        <v>666</v>
      </c>
      <c r="D680" s="355" t="s">
        <v>2517</v>
      </c>
      <c r="E680" t="s">
        <v>2553</v>
      </c>
      <c r="F680" s="57">
        <v>4567116893</v>
      </c>
      <c r="G680" s="57">
        <v>0</v>
      </c>
      <c r="H680" s="1082">
        <f t="shared" si="35"/>
        <v>4567116893</v>
      </c>
      <c r="I680" s="1333" t="s">
        <v>39</v>
      </c>
      <c r="J680" s="1334" t="str">
        <f>VLOOKUP(C680,Acc_Char!B:K,3,)</f>
        <v>BCI JSC</v>
      </c>
      <c r="K680" s="1334" t="str">
        <f>VLOOKUP(C680,Acc_Char!B:K,7,)</f>
        <v>Subsidiaries</v>
      </c>
      <c r="L680" s="1334" t="str">
        <f t="shared" si="36"/>
        <v>Receipt from tenants</v>
      </c>
      <c r="M680" s="1335" t="str">
        <f>VLOOKUP(C680,Acc_Char!B:K,5,)</f>
        <v>VND</v>
      </c>
      <c r="N680" s="1335" t="str">
        <f>VLOOKUP(C680,Acc_Char!B:K,6,)</f>
        <v>Current Account</v>
      </c>
      <c r="O680" s="1336" t="str">
        <f>Summary!$B$4</f>
        <v>W1-2Jan26</v>
      </c>
      <c r="P680" s="1334" t="str">
        <f t="shared" si="37"/>
        <v>114622278888</v>
      </c>
    </row>
    <row r="681" spans="1:16">
      <c r="A681" t="s">
        <v>1591</v>
      </c>
      <c r="B681" s="34" t="s">
        <v>110</v>
      </c>
      <c r="C681" s="34" t="s">
        <v>507</v>
      </c>
      <c r="D681" s="355" t="s">
        <v>2554</v>
      </c>
      <c r="E681" t="s">
        <v>2555</v>
      </c>
      <c r="F681" s="57">
        <v>2890941</v>
      </c>
      <c r="G681" s="57">
        <v>0</v>
      </c>
      <c r="H681" s="1082">
        <f t="shared" si="35"/>
        <v>2890941</v>
      </c>
      <c r="I681" s="1333" t="s">
        <v>39</v>
      </c>
      <c r="J681" s="1334" t="str">
        <f>VLOOKUP(C681,Acc_Char!B:K,3,)</f>
        <v>BWID HAI DUONG 2</v>
      </c>
      <c r="K681" s="1334" t="str">
        <f>VLOOKUP(C681,Acc_Char!B:K,7,)</f>
        <v>Subsidiaries</v>
      </c>
      <c r="L681" s="1334" t="str">
        <f t="shared" si="36"/>
        <v>Receipt from tenants</v>
      </c>
      <c r="M681" s="1335" t="str">
        <f>VLOOKUP(C681,Acc_Char!B:K,5,)</f>
        <v>VND</v>
      </c>
      <c r="N681" s="1335" t="str">
        <f>VLOOKUP(C681,Acc_Char!B:K,6,)</f>
        <v>Current Account</v>
      </c>
      <c r="O681" s="1336" t="str">
        <f>Summary!$B$4</f>
        <v>W1-2Jan26</v>
      </c>
      <c r="P681" s="1334" t="str">
        <f t="shared" si="37"/>
        <v>118006028888</v>
      </c>
    </row>
    <row r="682" spans="1:16">
      <c r="A682" t="s">
        <v>1591</v>
      </c>
      <c r="B682" s="34" t="s">
        <v>110</v>
      </c>
      <c r="C682" s="34" t="s">
        <v>1227</v>
      </c>
      <c r="D682" s="355" t="s">
        <v>2556</v>
      </c>
      <c r="E682" t="s">
        <v>2557</v>
      </c>
      <c r="F682" s="57">
        <v>0</v>
      </c>
      <c r="G682" s="57">
        <v>50000</v>
      </c>
      <c r="H682" s="1082">
        <f t="shared" si="35"/>
        <v>-50000</v>
      </c>
      <c r="I682" s="1333" t="s">
        <v>53</v>
      </c>
      <c r="J682" s="1334" t="str">
        <f>VLOOKUP(C682,Acc_Char!B:K,3,)</f>
        <v>NASTEC JSC</v>
      </c>
      <c r="K682" s="1334" t="str">
        <f>VLOOKUP(C682,Acc_Char!B:K,7,)</f>
        <v>Subsidiaries</v>
      </c>
      <c r="L682" s="1334" t="str">
        <f t="shared" si="36"/>
        <v>Operating expense</v>
      </c>
      <c r="M682" s="1335" t="str">
        <f>VLOOKUP(C682,Acc_Char!B:K,5,)</f>
        <v>VND</v>
      </c>
      <c r="N682" s="1335" t="str">
        <f>VLOOKUP(C682,Acc_Char!B:K,6,)</f>
        <v>Current Account</v>
      </c>
      <c r="O682" s="1336" t="str">
        <f>Summary!$B$4</f>
        <v>W1-2Jan26</v>
      </c>
      <c r="P682" s="1334" t="str">
        <f t="shared" si="37"/>
        <v>111002902469</v>
      </c>
    </row>
    <row r="683" spans="1:16">
      <c r="A683" t="s">
        <v>1567</v>
      </c>
      <c r="B683" s="34" t="s">
        <v>112</v>
      </c>
      <c r="C683" s="34" t="s">
        <v>472</v>
      </c>
      <c r="D683" s="1400">
        <v>46025</v>
      </c>
      <c r="E683" t="s">
        <v>2558</v>
      </c>
      <c r="F683" s="57">
        <v>0</v>
      </c>
      <c r="G683" s="57">
        <v>55000</v>
      </c>
      <c r="H683" s="1082">
        <f t="shared" si="35"/>
        <v>-55000</v>
      </c>
      <c r="I683" s="1333" t="s">
        <v>53</v>
      </c>
      <c r="J683" s="1334" t="str">
        <f>VLOOKUP(C683,Acc_Char!B:K,3,)</f>
        <v>BWID BINH DUONG</v>
      </c>
      <c r="K683" s="1334" t="str">
        <f>VLOOKUP(C683,Acc_Char!B:K,7,)</f>
        <v>BWID JSC</v>
      </c>
      <c r="L683" s="1334" t="str">
        <f t="shared" si="36"/>
        <v>Operating expense</v>
      </c>
      <c r="M683" s="1335" t="str">
        <f>VLOOKUP(C683,Acc_Char!B:K,5,)</f>
        <v>VND</v>
      </c>
      <c r="N683" s="1335" t="str">
        <f>VLOOKUP(C683,Acc_Char!B:K,6,)</f>
        <v>Current Account</v>
      </c>
      <c r="O683" s="1336" t="str">
        <f>Summary!$B$4</f>
        <v>W1-2Jan26</v>
      </c>
      <c r="P683" s="1334" t="str">
        <f t="shared" si="37"/>
        <v>611001866868</v>
      </c>
    </row>
    <row r="684" spans="1:16">
      <c r="A684" t="s">
        <v>1567</v>
      </c>
      <c r="B684" s="34" t="s">
        <v>112</v>
      </c>
      <c r="C684" s="34" t="s">
        <v>472</v>
      </c>
      <c r="D684" s="1400">
        <v>46025</v>
      </c>
      <c r="E684" t="s">
        <v>2559</v>
      </c>
      <c r="F684" s="57">
        <v>0</v>
      </c>
      <c r="G684" s="57">
        <v>55000</v>
      </c>
      <c r="H684" s="1082">
        <f t="shared" si="35"/>
        <v>-55000</v>
      </c>
      <c r="I684" s="1333" t="s">
        <v>53</v>
      </c>
      <c r="J684" s="1334" t="str">
        <f>VLOOKUP(C684,Acc_Char!B:K,3,)</f>
        <v>BWID BINH DUONG</v>
      </c>
      <c r="K684" s="1334" t="str">
        <f>VLOOKUP(C684,Acc_Char!B:K,7,)</f>
        <v>BWID JSC</v>
      </c>
      <c r="L684" s="1334" t="str">
        <f t="shared" si="36"/>
        <v>Operating expense</v>
      </c>
      <c r="M684" s="1335" t="str">
        <f>VLOOKUP(C684,Acc_Char!B:K,5,)</f>
        <v>VND</v>
      </c>
      <c r="N684" s="1335" t="str">
        <f>VLOOKUP(C684,Acc_Char!B:K,6,)</f>
        <v>Current Account</v>
      </c>
      <c r="O684" s="1336" t="str">
        <f>Summary!$B$4</f>
        <v>W1-2Jan26</v>
      </c>
      <c r="P684" s="1334" t="str">
        <f t="shared" si="37"/>
        <v>611001866868</v>
      </c>
    </row>
    <row r="685" spans="1:16">
      <c r="A685" t="s">
        <v>1591</v>
      </c>
      <c r="B685" s="34" t="s">
        <v>110</v>
      </c>
      <c r="C685" s="34" t="s">
        <v>1227</v>
      </c>
      <c r="D685" s="355" t="s">
        <v>2560</v>
      </c>
      <c r="E685" t="s">
        <v>2561</v>
      </c>
      <c r="F685" s="57">
        <v>0</v>
      </c>
      <c r="G685" s="57">
        <v>50000</v>
      </c>
      <c r="H685" s="1082">
        <f t="shared" si="35"/>
        <v>-50000</v>
      </c>
      <c r="I685" s="1333" t="s">
        <v>53</v>
      </c>
      <c r="J685" s="1334" t="str">
        <f>VLOOKUP(C685,Acc_Char!B:K,3,)</f>
        <v>NASTEC JSC</v>
      </c>
      <c r="K685" s="1334" t="str">
        <f>VLOOKUP(C685,Acc_Char!B:K,7,)</f>
        <v>Subsidiaries</v>
      </c>
      <c r="L685" s="1334" t="str">
        <f t="shared" si="36"/>
        <v>Operating expense</v>
      </c>
      <c r="M685" s="1335" t="str">
        <f>VLOOKUP(C685,Acc_Char!B:K,5,)</f>
        <v>VND</v>
      </c>
      <c r="N685" s="1335" t="str">
        <f>VLOOKUP(C685,Acc_Char!B:K,6,)</f>
        <v>Current Account</v>
      </c>
      <c r="O685" s="1336" t="str">
        <f>Summary!$B$4</f>
        <v>W1-2Jan26</v>
      </c>
      <c r="P685" s="1334" t="str">
        <f t="shared" si="37"/>
        <v>111002902469</v>
      </c>
    </row>
    <row r="686" spans="1:16">
      <c r="A686" t="s">
        <v>1591</v>
      </c>
      <c r="B686" s="34" t="s">
        <v>110</v>
      </c>
      <c r="C686" s="34" t="s">
        <v>555</v>
      </c>
      <c r="D686" s="355" t="s">
        <v>2562</v>
      </c>
      <c r="E686" t="s">
        <v>2561</v>
      </c>
      <c r="F686" s="57">
        <v>0</v>
      </c>
      <c r="G686" s="57">
        <v>25000</v>
      </c>
      <c r="H686" s="1082">
        <f t="shared" si="35"/>
        <v>-25000</v>
      </c>
      <c r="I686" s="1333" t="s">
        <v>53</v>
      </c>
      <c r="J686" s="1334" t="str">
        <f>VLOOKUP(C686,Acc_Char!B:K,3,)</f>
        <v>BWID DONG AN LID</v>
      </c>
      <c r="K686" s="1334" t="str">
        <f>VLOOKUP(C686,Acc_Char!B:K,7,)</f>
        <v>Subsidiaries</v>
      </c>
      <c r="L686" s="1334" t="str">
        <f t="shared" si="36"/>
        <v>Operating expense</v>
      </c>
      <c r="M686" s="1335" t="str">
        <f>VLOOKUP(C686,Acc_Char!B:K,5,)</f>
        <v>VND</v>
      </c>
      <c r="N686" s="1335" t="str">
        <f>VLOOKUP(C686,Acc_Char!B:K,6,)</f>
        <v>Current Account</v>
      </c>
      <c r="O686" s="1336" t="str">
        <f>Summary!$B$4</f>
        <v>W1-2Jan26</v>
      </c>
      <c r="P686" s="1334" t="str">
        <f t="shared" si="37"/>
        <v>114002807847</v>
      </c>
    </row>
    <row r="687" spans="1:16">
      <c r="A687" t="s">
        <v>1567</v>
      </c>
      <c r="B687" s="34" t="s">
        <v>112</v>
      </c>
      <c r="C687" s="34" t="s">
        <v>574</v>
      </c>
      <c r="D687" s="1400">
        <v>46029</v>
      </c>
      <c r="E687" t="s">
        <v>2563</v>
      </c>
      <c r="F687" s="57">
        <v>0</v>
      </c>
      <c r="G687" s="57">
        <v>1496000</v>
      </c>
      <c r="H687" s="1082">
        <f t="shared" si="35"/>
        <v>-1496000</v>
      </c>
      <c r="I687" s="1333" t="s">
        <v>53</v>
      </c>
      <c r="J687" s="1334" t="str">
        <f>VLOOKUP(C687,Acc_Char!B:K,3,)</f>
        <v>BW SUPLLY CHAIN CITY</v>
      </c>
      <c r="K687" s="1334" t="str">
        <f>VLOOKUP(C687,Acc_Char!B:K,7,)</f>
        <v>Subsidiaries</v>
      </c>
      <c r="L687" s="1334" t="str">
        <f t="shared" si="36"/>
        <v>Operating expense</v>
      </c>
      <c r="M687" s="1335" t="str">
        <f>VLOOKUP(C687,Acc_Char!B:K,5,)</f>
        <v>VND</v>
      </c>
      <c r="N687" s="1335" t="str">
        <f>VLOOKUP(C687,Acc_Char!B:K,6,)</f>
        <v>Current Account</v>
      </c>
      <c r="O687" s="1336" t="str">
        <f>Summary!$B$4</f>
        <v>W1-2Jan26</v>
      </c>
      <c r="P687" s="1334" t="str">
        <f t="shared" si="37"/>
        <v>1018291733</v>
      </c>
    </row>
    <row r="688" spans="1:16">
      <c r="A688" t="s">
        <v>1591</v>
      </c>
      <c r="B688" s="34" t="s">
        <v>114</v>
      </c>
      <c r="C688" s="34" t="s">
        <v>755</v>
      </c>
      <c r="D688" s="355" t="s">
        <v>2564</v>
      </c>
      <c r="E688" t="s">
        <v>2565</v>
      </c>
      <c r="F688" s="57">
        <v>2664032</v>
      </c>
      <c r="G688" s="57">
        <v>0</v>
      </c>
      <c r="H688" s="1082">
        <f t="shared" si="35"/>
        <v>2664032</v>
      </c>
      <c r="I688" s="1333" t="s">
        <v>39</v>
      </c>
      <c r="J688" s="1334" t="str">
        <f>VLOOKUP(C688,Acc_Char!B:K,3,)</f>
        <v>BAC TIEN PHONG</v>
      </c>
      <c r="K688" s="1334" t="str">
        <f>VLOOKUP(C688,Acc_Char!B:K,7,)</f>
        <v>Subsidiaries</v>
      </c>
      <c r="L688" s="1334" t="str">
        <f t="shared" si="36"/>
        <v>Receipt from tenants</v>
      </c>
      <c r="M688" s="1335" t="str">
        <f>VLOOKUP(C688,Acc_Char!B:K,5,)</f>
        <v>VND</v>
      </c>
      <c r="N688" s="1335" t="str">
        <f>VLOOKUP(C688,Acc_Char!B:K,6,)</f>
        <v>Current Account</v>
      </c>
      <c r="O688" s="1336" t="str">
        <f>Summary!$B$4</f>
        <v>W1-2Jan26</v>
      </c>
      <c r="P688" s="1334" t="str">
        <f t="shared" si="37"/>
        <v>2220757668</v>
      </c>
    </row>
    <row r="689" spans="1:17">
      <c r="A689" t="s">
        <v>1591</v>
      </c>
      <c r="B689" s="34" t="s">
        <v>114</v>
      </c>
      <c r="C689" s="34" t="s">
        <v>568</v>
      </c>
      <c r="D689" s="355" t="s">
        <v>2566</v>
      </c>
      <c r="E689" t="s">
        <v>2567</v>
      </c>
      <c r="F689" s="57">
        <v>3109467</v>
      </c>
      <c r="G689" s="57">
        <v>0</v>
      </c>
      <c r="H689" s="1082">
        <f t="shared" si="35"/>
        <v>3109467</v>
      </c>
      <c r="I689" s="1333" t="s">
        <v>39</v>
      </c>
      <c r="J689" s="1334" t="str">
        <f>VLOOKUP(C689,Acc_Char!B:K,3,)</f>
        <v>KIM TRUC DN</v>
      </c>
      <c r="K689" s="1334" t="str">
        <f>VLOOKUP(C689,Acc_Char!B:K,7,)</f>
        <v>Subsidiaries</v>
      </c>
      <c r="L689" s="1334" t="str">
        <f t="shared" si="36"/>
        <v>Receipt from tenants</v>
      </c>
      <c r="M689" s="1335" t="str">
        <f>VLOOKUP(C689,Acc_Char!B:K,5,)</f>
        <v>VND</v>
      </c>
      <c r="N689" s="1335" t="str">
        <f>VLOOKUP(C689,Acc_Char!B:K,6,)</f>
        <v>Current Account</v>
      </c>
      <c r="O689" s="1336" t="str">
        <f>Summary!$B$4</f>
        <v>W1-2Jan26</v>
      </c>
      <c r="P689" s="1334" t="str">
        <f t="shared" si="37"/>
        <v>1329397986</v>
      </c>
      <c r="Q689" s="1401"/>
    </row>
    <row r="690" spans="1:17">
      <c r="A690" t="s">
        <v>1591</v>
      </c>
      <c r="B690" s="34" t="s">
        <v>114</v>
      </c>
      <c r="C690" s="34" t="s">
        <v>517</v>
      </c>
      <c r="D690" s="355" t="s">
        <v>2568</v>
      </c>
      <c r="E690" t="s">
        <v>2569</v>
      </c>
      <c r="F690" s="57">
        <v>6358098</v>
      </c>
      <c r="G690" s="57">
        <v>0</v>
      </c>
      <c r="H690" s="1082">
        <f t="shared" si="35"/>
        <v>6358098</v>
      </c>
      <c r="I690" s="1333" t="s">
        <v>39</v>
      </c>
      <c r="J690" s="1334" t="str">
        <f>VLOOKUP(C690,Acc_Char!B:K,3,)</f>
        <v>BWID HAI DUONG 3</v>
      </c>
      <c r="K690" s="1334" t="str">
        <f>VLOOKUP(C690,Acc_Char!B:K,7,)</f>
        <v>Subsidiaries</v>
      </c>
      <c r="L690" s="1334" t="str">
        <f t="shared" si="36"/>
        <v>Receipt from tenants</v>
      </c>
      <c r="M690" s="1335" t="str">
        <f>VLOOKUP(C690,Acc_Char!B:K,5,)</f>
        <v>VND</v>
      </c>
      <c r="N690" s="1335" t="str">
        <f>VLOOKUP(C690,Acc_Char!B:K,6,)</f>
        <v>Current Account</v>
      </c>
      <c r="O690" s="1336" t="str">
        <f>Summary!$B$4</f>
        <v>W1-2Jan26</v>
      </c>
      <c r="P690" s="1334" t="str">
        <f t="shared" si="37"/>
        <v>2221133456</v>
      </c>
    </row>
    <row r="691" spans="1:17">
      <c r="A691" t="s">
        <v>1591</v>
      </c>
      <c r="B691" s="34" t="s">
        <v>114</v>
      </c>
      <c r="C691" s="34" t="s">
        <v>747</v>
      </c>
      <c r="D691" s="355" t="s">
        <v>2570</v>
      </c>
      <c r="E691" t="s">
        <v>2571</v>
      </c>
      <c r="F691" s="57">
        <v>464416324</v>
      </c>
      <c r="G691" s="57">
        <v>0</v>
      </c>
      <c r="H691" s="1082">
        <f t="shared" si="35"/>
        <v>464416324</v>
      </c>
      <c r="I691" s="1333" t="s">
        <v>39</v>
      </c>
      <c r="J691" s="1334" t="str">
        <f>VLOOKUP(C691,Acc_Char!B:K,3,)</f>
        <v>BW DONG HAI</v>
      </c>
      <c r="K691" s="1334" t="str">
        <f>VLOOKUP(C691,Acc_Char!B:K,7,)</f>
        <v>Subsidiaries</v>
      </c>
      <c r="L691" s="1334" t="str">
        <f t="shared" si="36"/>
        <v>Receipt from tenants</v>
      </c>
      <c r="M691" s="1335" t="str">
        <f>VLOOKUP(C691,Acc_Char!B:K,5,)</f>
        <v>VND</v>
      </c>
      <c r="N691" s="1335" t="str">
        <f>VLOOKUP(C691,Acc_Char!B:K,6,)</f>
        <v>Current Account</v>
      </c>
      <c r="O691" s="1336" t="str">
        <f>Summary!$B$4</f>
        <v>W1-2Jan26</v>
      </c>
      <c r="P691" s="1334" t="str">
        <f t="shared" si="37"/>
        <v>2220987979</v>
      </c>
    </row>
    <row r="692" spans="1:17">
      <c r="A692" t="s">
        <v>1591</v>
      </c>
      <c r="B692" s="34" t="s">
        <v>110</v>
      </c>
      <c r="C692" s="34" t="s">
        <v>507</v>
      </c>
      <c r="D692" s="355" t="s">
        <v>2572</v>
      </c>
      <c r="E692" t="s">
        <v>2573</v>
      </c>
      <c r="F692" s="57">
        <v>10817908</v>
      </c>
      <c r="G692" s="57">
        <v>0</v>
      </c>
      <c r="H692" s="1082">
        <f t="shared" si="35"/>
        <v>10817908</v>
      </c>
      <c r="I692" s="1333" t="s">
        <v>39</v>
      </c>
      <c r="J692" s="1334" t="str">
        <f>VLOOKUP(C692,Acc_Char!B:K,3,)</f>
        <v>BWID HAI DUONG 2</v>
      </c>
      <c r="K692" s="1334" t="str">
        <f>VLOOKUP(C692,Acc_Char!B:K,7,)</f>
        <v>Subsidiaries</v>
      </c>
      <c r="L692" s="1334" t="str">
        <f t="shared" si="36"/>
        <v>Receipt from tenants</v>
      </c>
      <c r="M692" s="1335" t="str">
        <f>VLOOKUP(C692,Acc_Char!B:K,5,)</f>
        <v>VND</v>
      </c>
      <c r="N692" s="1335" t="str">
        <f>VLOOKUP(C692,Acc_Char!B:K,6,)</f>
        <v>Current Account</v>
      </c>
      <c r="O692" s="1336" t="str">
        <f>Summary!$B$4</f>
        <v>W1-2Jan26</v>
      </c>
      <c r="P692" s="1334" t="str">
        <f t="shared" si="37"/>
        <v>118006028888</v>
      </c>
    </row>
    <row r="693" spans="1:17">
      <c r="A693" t="s">
        <v>1591</v>
      </c>
      <c r="B693" s="34" t="s">
        <v>110</v>
      </c>
      <c r="C693" s="34" t="s">
        <v>507</v>
      </c>
      <c r="D693" s="355" t="s">
        <v>2574</v>
      </c>
      <c r="E693" t="s">
        <v>2575</v>
      </c>
      <c r="F693" s="57">
        <v>2306442780</v>
      </c>
      <c r="G693" s="57">
        <v>0</v>
      </c>
      <c r="H693" s="1082">
        <f t="shared" si="35"/>
        <v>2306442780</v>
      </c>
      <c r="I693" s="1333" t="s">
        <v>39</v>
      </c>
      <c r="J693" s="1334" t="str">
        <f>VLOOKUP(C693,Acc_Char!B:K,3,)</f>
        <v>BWID HAI DUONG 2</v>
      </c>
      <c r="K693" s="1334" t="str">
        <f>VLOOKUP(C693,Acc_Char!B:K,7,)</f>
        <v>Subsidiaries</v>
      </c>
      <c r="L693" s="1334" t="str">
        <f t="shared" si="36"/>
        <v>Receipt from tenants</v>
      </c>
      <c r="M693" s="1335" t="str">
        <f>VLOOKUP(C693,Acc_Char!B:K,5,)</f>
        <v>VND</v>
      </c>
      <c r="N693" s="1335" t="str">
        <f>VLOOKUP(C693,Acc_Char!B:K,6,)</f>
        <v>Current Account</v>
      </c>
      <c r="O693" s="1336" t="str">
        <f>Summary!$B$4</f>
        <v>W1-2Jan26</v>
      </c>
      <c r="P693" s="1334" t="str">
        <f t="shared" si="37"/>
        <v>118006028888</v>
      </c>
    </row>
    <row r="694" spans="1:17">
      <c r="A694" t="s">
        <v>1591</v>
      </c>
      <c r="B694" s="34" t="s">
        <v>110</v>
      </c>
      <c r="C694" s="34" t="s">
        <v>610</v>
      </c>
      <c r="D694" s="355" t="s">
        <v>2576</v>
      </c>
      <c r="E694" t="s">
        <v>2577</v>
      </c>
      <c r="F694" s="57">
        <v>8000000000</v>
      </c>
      <c r="G694" s="57">
        <v>0</v>
      </c>
      <c r="H694" s="1082">
        <f t="shared" si="35"/>
        <v>8000000000</v>
      </c>
      <c r="I694" s="1333" t="s">
        <v>41</v>
      </c>
      <c r="J694" s="1334" t="str">
        <f>VLOOKUP(C694,Acc_Char!B:K,3,)</f>
        <v>BWID Tan Phu Trung</v>
      </c>
      <c r="K694" s="1334" t="str">
        <f>VLOOKUP(C694,Acc_Char!B:K,7,)</f>
        <v>Subsidiaries</v>
      </c>
      <c r="L694" s="1334" t="str">
        <f t="shared" si="36"/>
        <v>Internal transfer in</v>
      </c>
      <c r="M694" s="1335" t="str">
        <f>VLOOKUP(C694,Acc_Char!B:K,5,)</f>
        <v>VND</v>
      </c>
      <c r="N694" s="1335" t="str">
        <f>VLOOKUP(C694,Acc_Char!B:K,6,)</f>
        <v>Current Account</v>
      </c>
      <c r="O694" s="1336" t="str">
        <f>Summary!$B$4</f>
        <v>W1-2Jan26</v>
      </c>
      <c r="P694" s="1334" t="str">
        <f t="shared" si="37"/>
        <v>110610727979</v>
      </c>
    </row>
    <row r="695" spans="1:17">
      <c r="A695" t="s">
        <v>1591</v>
      </c>
      <c r="B695" s="34" t="s">
        <v>110</v>
      </c>
      <c r="C695" s="34" t="s">
        <v>795</v>
      </c>
      <c r="D695" s="355" t="s">
        <v>2578</v>
      </c>
      <c r="E695" t="s">
        <v>2579</v>
      </c>
      <c r="F695" s="57">
        <v>2268493</v>
      </c>
      <c r="G695" s="57">
        <v>0</v>
      </c>
      <c r="H695" s="1082">
        <f t="shared" si="35"/>
        <v>2268493</v>
      </c>
      <c r="I695" s="1333" t="s">
        <v>44</v>
      </c>
      <c r="J695" s="1334" t="str">
        <f>VLOOKUP(C695,Acc_Char!B:K,3,)</f>
        <v>HOLDCO5T</v>
      </c>
      <c r="K695" s="1334" t="str">
        <f>VLOOKUP(C695,Acc_Char!B:K,7,)</f>
        <v>Subsidiaries</v>
      </c>
      <c r="L695" s="1334" t="str">
        <f t="shared" si="36"/>
        <v>Other receipts</v>
      </c>
      <c r="M695" s="1335" t="str">
        <f>VLOOKUP(C695,Acc_Char!B:K,5,)</f>
        <v>VND</v>
      </c>
      <c r="N695" s="1335" t="str">
        <f>VLOOKUP(C695,Acc_Char!B:K,6,)</f>
        <v>Current Account</v>
      </c>
      <c r="O695" s="1336" t="str">
        <f>Summary!$B$4</f>
        <v>W1-2Jan26</v>
      </c>
      <c r="P695" s="1334" t="str">
        <f t="shared" si="37"/>
        <v>115648406666</v>
      </c>
    </row>
    <row r="696" spans="1:17">
      <c r="A696" t="s">
        <v>1591</v>
      </c>
      <c r="B696" s="34" t="s">
        <v>110</v>
      </c>
      <c r="C696" s="34" t="s">
        <v>702</v>
      </c>
      <c r="D696" s="355" t="s">
        <v>2580</v>
      </c>
      <c r="E696" t="s">
        <v>2581</v>
      </c>
      <c r="F696" s="57">
        <v>32273973</v>
      </c>
      <c r="G696" s="57">
        <v>0</v>
      </c>
      <c r="H696" s="1082">
        <f t="shared" si="35"/>
        <v>32273973</v>
      </c>
      <c r="I696" s="1333" t="s">
        <v>44</v>
      </c>
      <c r="J696" s="1334" t="str">
        <f>VLOOKUP(C696,Acc_Char!B:K,3,)</f>
        <v>BAU BANG 6</v>
      </c>
      <c r="K696" s="1334" t="str">
        <f>VLOOKUP(C696,Acc_Char!B:K,7,)</f>
        <v>Subsidiaries</v>
      </c>
      <c r="L696" s="1334" t="str">
        <f t="shared" si="36"/>
        <v>Other receipts</v>
      </c>
      <c r="M696" s="1335" t="str">
        <f>VLOOKUP(C696,Acc_Char!B:K,5,)</f>
        <v>VND</v>
      </c>
      <c r="N696" s="1335" t="str">
        <f>VLOOKUP(C696,Acc_Char!B:K,6,)</f>
        <v>Current Account</v>
      </c>
      <c r="O696" s="1336" t="str">
        <f>Summary!$B$4</f>
        <v>W1-2Jan26</v>
      </c>
      <c r="P696" s="1334" t="str">
        <f t="shared" si="37"/>
        <v>115624079999</v>
      </c>
    </row>
    <row r="697" spans="1:17">
      <c r="A697" t="s">
        <v>1591</v>
      </c>
      <c r="B697" s="34" t="s">
        <v>110</v>
      </c>
      <c r="C697" s="34" t="s">
        <v>863</v>
      </c>
      <c r="D697" s="355" t="s">
        <v>2580</v>
      </c>
      <c r="E697" t="s">
        <v>2582</v>
      </c>
      <c r="F697" s="57">
        <v>1815411</v>
      </c>
      <c r="G697" s="57">
        <v>0</v>
      </c>
      <c r="H697" s="1082">
        <f t="shared" si="35"/>
        <v>1815411</v>
      </c>
      <c r="I697" s="1333" t="s">
        <v>44</v>
      </c>
      <c r="J697" s="1334" t="str">
        <f>VLOOKUP(C697,Acc_Char!B:K,3,)</f>
        <v>WPJV 2B</v>
      </c>
      <c r="K697" s="1334" t="str">
        <f>VLOOKUP(C697,Acc_Char!B:K,7,)</f>
        <v>Subsidiaries</v>
      </c>
      <c r="L697" s="1334" t="str">
        <f t="shared" si="36"/>
        <v>Other receipts</v>
      </c>
      <c r="M697" s="1335" t="str">
        <f>VLOOKUP(C697,Acc_Char!B:K,5,)</f>
        <v>VND</v>
      </c>
      <c r="N697" s="1335" t="str">
        <f>VLOOKUP(C697,Acc_Char!B:K,6,)</f>
        <v>Current Account</v>
      </c>
      <c r="O697" s="1336" t="str">
        <f>Summary!$B$4</f>
        <v>W1-2Jan26</v>
      </c>
      <c r="P697" s="1334" t="str">
        <f t="shared" si="37"/>
        <v>113002949867</v>
      </c>
    </row>
    <row r="698" spans="1:17">
      <c r="A698" t="s">
        <v>1591</v>
      </c>
      <c r="B698" s="34" t="s">
        <v>110</v>
      </c>
      <c r="C698" s="34" t="s">
        <v>639</v>
      </c>
      <c r="D698" s="355" t="s">
        <v>2583</v>
      </c>
      <c r="E698" t="s">
        <v>2584</v>
      </c>
      <c r="F698" s="57">
        <v>2268493</v>
      </c>
      <c r="G698" s="57">
        <v>0</v>
      </c>
      <c r="H698" s="1082">
        <f t="shared" si="35"/>
        <v>2268493</v>
      </c>
      <c r="I698" s="1333" t="s">
        <v>44</v>
      </c>
      <c r="J698" s="1334" t="str">
        <f>VLOOKUP(C698,Acc_Char!B:K,3,)</f>
        <v>SPV5A</v>
      </c>
      <c r="K698" s="1334" t="str">
        <f>VLOOKUP(C698,Acc_Char!B:K,7,)</f>
        <v>Subsidiaries</v>
      </c>
      <c r="L698" s="1334" t="str">
        <f t="shared" si="36"/>
        <v>Other receipts</v>
      </c>
      <c r="M698" s="1335" t="str">
        <f>VLOOKUP(C698,Acc_Char!B:K,5,)</f>
        <v>VND</v>
      </c>
      <c r="N698" s="1335" t="str">
        <f>VLOOKUP(C698,Acc_Char!B:K,6,)</f>
        <v>Current Account</v>
      </c>
      <c r="O698" s="1336" t="str">
        <f>Summary!$B$4</f>
        <v>W1-2Jan26</v>
      </c>
      <c r="P698" s="1334" t="str">
        <f t="shared" si="37"/>
        <v>112609476868</v>
      </c>
    </row>
    <row r="699" spans="1:17">
      <c r="A699" t="s">
        <v>1567</v>
      </c>
      <c r="B699" s="34" t="s">
        <v>110</v>
      </c>
      <c r="C699" s="34" t="s">
        <v>1077</v>
      </c>
      <c r="D699" s="1400">
        <v>46023</v>
      </c>
      <c r="E699" t="s">
        <v>2585</v>
      </c>
      <c r="F699" s="57">
        <v>2268493</v>
      </c>
      <c r="G699" s="57">
        <v>0</v>
      </c>
      <c r="H699" s="1082">
        <f t="shared" si="35"/>
        <v>2268493</v>
      </c>
      <c r="I699" s="1333" t="s">
        <v>44</v>
      </c>
      <c r="J699" s="1334" t="str">
        <f>VLOOKUP(C699,Acc_Char!B:K,3,)</f>
        <v>PHUOC LOI</v>
      </c>
      <c r="K699" s="1334" t="str">
        <f>VLOOKUP(C699,Acc_Char!B:K,7,)</f>
        <v>Subsidiaries</v>
      </c>
      <c r="L699" s="1334" t="str">
        <f t="shared" si="36"/>
        <v>Other receipts</v>
      </c>
      <c r="M699" s="1335" t="str">
        <f>VLOOKUP(C699,Acc_Char!B:K,5,)</f>
        <v>VND</v>
      </c>
      <c r="N699" s="1335" t="str">
        <f>VLOOKUP(C699,Acc_Char!B:K,6,)</f>
        <v>Current Account</v>
      </c>
      <c r="O699" s="1336" t="str">
        <f>Summary!$B$4</f>
        <v>W1-2Jan26</v>
      </c>
      <c r="P699" s="1334" t="str">
        <f t="shared" si="37"/>
        <v>113002984859</v>
      </c>
    </row>
    <row r="700" spans="1:17">
      <c r="A700" t="s">
        <v>1591</v>
      </c>
      <c r="B700" s="34" t="s">
        <v>110</v>
      </c>
      <c r="C700" s="34" t="s">
        <v>692</v>
      </c>
      <c r="D700" s="355" t="s">
        <v>2583</v>
      </c>
      <c r="E700" t="s">
        <v>2586</v>
      </c>
      <c r="F700" s="57">
        <v>2268493</v>
      </c>
      <c r="G700" s="57">
        <v>0</v>
      </c>
      <c r="H700" s="1082">
        <f t="shared" si="35"/>
        <v>2268493</v>
      </c>
      <c r="I700" s="1333" t="s">
        <v>44</v>
      </c>
      <c r="J700" s="1334" t="str">
        <f>VLOOKUP(C700,Acc_Char!B:K,3,)</f>
        <v>HOLDCO5I</v>
      </c>
      <c r="K700" s="1334" t="str">
        <f>VLOOKUP(C700,Acc_Char!B:K,7,)</f>
        <v>Subsidiaries</v>
      </c>
      <c r="L700" s="1334" t="str">
        <f t="shared" si="36"/>
        <v>Other receipts</v>
      </c>
      <c r="M700" s="1335" t="str">
        <f>VLOOKUP(C700,Acc_Char!B:K,5,)</f>
        <v>VND</v>
      </c>
      <c r="N700" s="1335" t="str">
        <f>VLOOKUP(C700,Acc_Char!B:K,6,)</f>
        <v>Current Account</v>
      </c>
      <c r="O700" s="1336" t="str">
        <f>Summary!$B$4</f>
        <v>W1-2Jan26</v>
      </c>
      <c r="P700" s="1334" t="str">
        <f t="shared" si="37"/>
        <v>114627628888</v>
      </c>
    </row>
    <row r="701" spans="1:17">
      <c r="A701" t="s">
        <v>1591</v>
      </c>
      <c r="B701" s="34" t="s">
        <v>110</v>
      </c>
      <c r="C701" s="34" t="s">
        <v>717</v>
      </c>
      <c r="D701" s="355" t="s">
        <v>2587</v>
      </c>
      <c r="E701" t="s">
        <v>2588</v>
      </c>
      <c r="F701" s="57">
        <v>60513699</v>
      </c>
      <c r="G701" s="57">
        <v>0</v>
      </c>
      <c r="H701" s="1082">
        <f t="shared" si="35"/>
        <v>60513699</v>
      </c>
      <c r="I701" s="1333" t="s">
        <v>44</v>
      </c>
      <c r="J701" s="1334" t="str">
        <f>VLOOKUP(C701,Acc_Char!B:K,3,)</f>
        <v>BW BAU BANG 01</v>
      </c>
      <c r="K701" s="1334" t="str">
        <f>VLOOKUP(C701,Acc_Char!B:K,7,)</f>
        <v>Subsidiaries</v>
      </c>
      <c r="L701" s="1334" t="str">
        <f t="shared" si="36"/>
        <v>Other receipts</v>
      </c>
      <c r="M701" s="1335" t="str">
        <f>VLOOKUP(C701,Acc_Char!B:K,5,)</f>
        <v>VND</v>
      </c>
      <c r="N701" s="1335" t="str">
        <f>VLOOKUP(C701,Acc_Char!B:K,6,)</f>
        <v>Current Account</v>
      </c>
      <c r="O701" s="1336" t="str">
        <f>Summary!$B$4</f>
        <v>W1-2Jan26</v>
      </c>
      <c r="P701" s="1334" t="str">
        <f t="shared" si="37"/>
        <v>110002915294</v>
      </c>
    </row>
    <row r="702" spans="1:17">
      <c r="A702" t="s">
        <v>1591</v>
      </c>
      <c r="B702" s="34" t="s">
        <v>110</v>
      </c>
      <c r="C702" s="34" t="s">
        <v>631</v>
      </c>
      <c r="D702" s="355" t="s">
        <v>2589</v>
      </c>
      <c r="E702" t="s">
        <v>2590</v>
      </c>
      <c r="F702" s="57">
        <v>17694247</v>
      </c>
      <c r="G702" s="57">
        <v>0</v>
      </c>
      <c r="H702" s="1082">
        <f t="shared" ref="H702:H766" si="39">F702-G702</f>
        <v>17694247</v>
      </c>
      <c r="I702" s="1333" t="s">
        <v>44</v>
      </c>
      <c r="J702" s="1334" t="str">
        <f>VLOOKUP(C702,Acc_Char!B:K,3,)</f>
        <v>SPV4D</v>
      </c>
      <c r="K702" s="1334" t="str">
        <f>VLOOKUP(C702,Acc_Char!B:K,7,)</f>
        <v>Subsidiaries</v>
      </c>
      <c r="L702" s="1334" t="str">
        <f t="shared" si="36"/>
        <v>Other receipts</v>
      </c>
      <c r="M702" s="1335" t="str">
        <f>VLOOKUP(C702,Acc_Char!B:K,5,)</f>
        <v>VND</v>
      </c>
      <c r="N702" s="1335" t="str">
        <f>VLOOKUP(C702,Acc_Char!B:K,6,)</f>
        <v>Current Account</v>
      </c>
      <c r="O702" s="1336" t="str">
        <f>Summary!$B$4</f>
        <v>W1-2Jan26</v>
      </c>
      <c r="P702" s="1334" t="str">
        <f t="shared" si="37"/>
        <v>114604469999</v>
      </c>
    </row>
    <row r="703" spans="1:17">
      <c r="A703" t="s">
        <v>1591</v>
      </c>
      <c r="B703" s="34" t="s">
        <v>110</v>
      </c>
      <c r="C703" s="34" t="s">
        <v>564</v>
      </c>
      <c r="D703" s="355" t="s">
        <v>2589</v>
      </c>
      <c r="E703" t="s">
        <v>2591</v>
      </c>
      <c r="F703" s="57">
        <v>34027397</v>
      </c>
      <c r="G703" s="57">
        <v>0</v>
      </c>
      <c r="H703" s="1082">
        <f t="shared" si="39"/>
        <v>34027397</v>
      </c>
      <c r="I703" s="1333" t="s">
        <v>44</v>
      </c>
      <c r="J703" s="1334" t="str">
        <f>VLOOKUP(C703,Acc_Char!B:K,3,)</f>
        <v>IRE CONSULTANCY &amp; MANAGEMENT</v>
      </c>
      <c r="K703" s="1334" t="str">
        <f>VLOOKUP(C703,Acc_Char!B:K,7,)</f>
        <v>Subsidiaries</v>
      </c>
      <c r="L703" s="1334" t="str">
        <f t="shared" si="36"/>
        <v>Other receipts</v>
      </c>
      <c r="M703" s="1335" t="str">
        <f>VLOOKUP(C703,Acc_Char!B:K,5,)</f>
        <v>VND</v>
      </c>
      <c r="N703" s="1335" t="str">
        <f>VLOOKUP(C703,Acc_Char!B:K,6,)</f>
        <v>Current Account</v>
      </c>
      <c r="O703" s="1336" t="str">
        <f>Summary!$B$4</f>
        <v>W1-2Jan26</v>
      </c>
      <c r="P703" s="1334" t="str">
        <f t="shared" si="37"/>
        <v>113002864775</v>
      </c>
    </row>
    <row r="704" spans="1:17">
      <c r="A704" t="s">
        <v>1591</v>
      </c>
      <c r="B704" s="34" t="s">
        <v>110</v>
      </c>
      <c r="C704" s="34" t="s">
        <v>687</v>
      </c>
      <c r="D704" s="355" t="s">
        <v>2589</v>
      </c>
      <c r="E704" t="s">
        <v>2592</v>
      </c>
      <c r="F704" s="57">
        <v>2268493</v>
      </c>
      <c r="G704" s="57">
        <v>0</v>
      </c>
      <c r="H704" s="1082">
        <f t="shared" si="39"/>
        <v>2268493</v>
      </c>
      <c r="I704" s="1333" t="s">
        <v>44</v>
      </c>
      <c r="J704" s="1334" t="str">
        <f>VLOOKUP(C704,Acc_Char!B:K,3,)</f>
        <v>HOLDCO5G</v>
      </c>
      <c r="K704" s="1334" t="str">
        <f>VLOOKUP(C704,Acc_Char!B:K,7,)</f>
        <v>Subsidiaries</v>
      </c>
      <c r="L704" s="1334" t="str">
        <f t="shared" si="36"/>
        <v>Other receipts</v>
      </c>
      <c r="M704" s="1335" t="str">
        <f>VLOOKUP(C704,Acc_Char!B:K,5,)</f>
        <v>VND</v>
      </c>
      <c r="N704" s="1335" t="str">
        <f>VLOOKUP(C704,Acc_Char!B:K,6,)</f>
        <v>Current Account</v>
      </c>
      <c r="O704" s="1336" t="str">
        <f>Summary!$B$4</f>
        <v>W1-2Jan26</v>
      </c>
      <c r="P704" s="1334" t="str">
        <f t="shared" si="37"/>
        <v>116634859999</v>
      </c>
    </row>
    <row r="705" spans="1:16">
      <c r="A705" t="s">
        <v>1591</v>
      </c>
      <c r="B705" s="34" t="s">
        <v>110</v>
      </c>
      <c r="C705" s="34" t="s">
        <v>709</v>
      </c>
      <c r="D705" s="355" t="s">
        <v>2593</v>
      </c>
      <c r="E705" t="s">
        <v>2594</v>
      </c>
      <c r="F705" s="57">
        <v>48410959</v>
      </c>
      <c r="G705" s="57">
        <v>0</v>
      </c>
      <c r="H705" s="1082">
        <f t="shared" si="39"/>
        <v>48410959</v>
      </c>
      <c r="I705" s="1333" t="s">
        <v>44</v>
      </c>
      <c r="J705" s="1334" t="str">
        <f>VLOOKUP(C705,Acc_Char!B:K,3,)</f>
        <v>XENIA 2</v>
      </c>
      <c r="K705" s="1334" t="str">
        <f>VLOOKUP(C705,Acc_Char!B:K,7,)</f>
        <v>Subsidiaries</v>
      </c>
      <c r="L705" s="1334" t="str">
        <f t="shared" si="36"/>
        <v>Other receipts</v>
      </c>
      <c r="M705" s="1335" t="str">
        <f>VLOOKUP(C705,Acc_Char!B:K,5,)</f>
        <v>VND</v>
      </c>
      <c r="N705" s="1335" t="str">
        <f>VLOOKUP(C705,Acc_Char!B:K,6,)</f>
        <v>Current Account</v>
      </c>
      <c r="O705" s="1336" t="str">
        <f>Summary!$B$4</f>
        <v>W1-2Jan26</v>
      </c>
      <c r="P705" s="1334" t="str">
        <f t="shared" si="37"/>
        <v>118625469999</v>
      </c>
    </row>
    <row r="706" spans="1:16">
      <c r="A706" t="s">
        <v>1591</v>
      </c>
      <c r="B706" s="34" t="s">
        <v>110</v>
      </c>
      <c r="C706" s="34" t="s">
        <v>610</v>
      </c>
      <c r="D706" s="355" t="s">
        <v>2576</v>
      </c>
      <c r="E706" t="s">
        <v>2595</v>
      </c>
      <c r="F706" s="57">
        <v>61424658</v>
      </c>
      <c r="G706" s="57">
        <v>0</v>
      </c>
      <c r="H706" s="1082">
        <f t="shared" si="39"/>
        <v>61424658</v>
      </c>
      <c r="I706" s="1333" t="s">
        <v>44</v>
      </c>
      <c r="J706" s="1334" t="str">
        <f>VLOOKUP(C706,Acc_Char!B:K,3,)</f>
        <v>BWID Tan Phu Trung</v>
      </c>
      <c r="K706" s="1334" t="str">
        <f>VLOOKUP(C706,Acc_Char!B:K,7,)</f>
        <v>Subsidiaries</v>
      </c>
      <c r="L706" s="1334" t="str">
        <f t="shared" si="36"/>
        <v>Other receipts</v>
      </c>
      <c r="M706" s="1335" t="str">
        <f>VLOOKUP(C706,Acc_Char!B:K,5,)</f>
        <v>VND</v>
      </c>
      <c r="N706" s="1335" t="str">
        <f>VLOOKUP(C706,Acc_Char!B:K,6,)</f>
        <v>Current Account</v>
      </c>
      <c r="O706" s="1336" t="str">
        <f>Summary!$B$4</f>
        <v>W1-2Jan26</v>
      </c>
      <c r="P706" s="1334" t="str">
        <f t="shared" si="37"/>
        <v>110610727979</v>
      </c>
    </row>
    <row r="707" spans="1:16">
      <c r="A707" t="s">
        <v>1591</v>
      </c>
      <c r="B707" s="34" t="s">
        <v>110</v>
      </c>
      <c r="C707" s="34" t="s">
        <v>950</v>
      </c>
      <c r="D707" s="355" t="s">
        <v>2596</v>
      </c>
      <c r="E707" t="s">
        <v>2597</v>
      </c>
      <c r="F707" s="57">
        <v>19282192</v>
      </c>
      <c r="G707" s="57">
        <v>0</v>
      </c>
      <c r="H707" s="1082">
        <f t="shared" si="39"/>
        <v>19282192</v>
      </c>
      <c r="I707" s="1333" t="s">
        <v>44</v>
      </c>
      <c r="J707" s="1334" t="str">
        <f>VLOOKUP(C707,Acc_Char!B:K,3,)</f>
        <v>HOLDCO S5B</v>
      </c>
      <c r="K707" s="1334" t="str">
        <f>VLOOKUP(C707,Acc_Char!B:K,7,)</f>
        <v>Subsidiaries</v>
      </c>
      <c r="L707" s="1334" t="str">
        <f t="shared" si="36"/>
        <v>Other receipts</v>
      </c>
      <c r="M707" s="1335" t="str">
        <f>VLOOKUP(C707,Acc_Char!B:K,5,)</f>
        <v>VND</v>
      </c>
      <c r="N707" s="1335" t="str">
        <f>VLOOKUP(C707,Acc_Char!B:K,6,)</f>
        <v>Current Account</v>
      </c>
      <c r="O707" s="1336" t="str">
        <f>Summary!$B$4</f>
        <v>W1-2Jan26</v>
      </c>
      <c r="P707" s="1334" t="str">
        <f t="shared" si="37"/>
        <v>112627552222</v>
      </c>
    </row>
    <row r="708" spans="1:16">
      <c r="A708" t="s">
        <v>1591</v>
      </c>
      <c r="B708" s="34" t="s">
        <v>110</v>
      </c>
      <c r="C708" s="34" t="s">
        <v>797</v>
      </c>
      <c r="D708" s="355" t="s">
        <v>2596</v>
      </c>
      <c r="E708" t="s">
        <v>2598</v>
      </c>
      <c r="F708" s="57">
        <v>2268493</v>
      </c>
      <c r="G708" s="57">
        <v>0</v>
      </c>
      <c r="H708" s="1082">
        <f t="shared" si="39"/>
        <v>2268493</v>
      </c>
      <c r="I708" s="1333" t="s">
        <v>44</v>
      </c>
      <c r="J708" s="1334" t="str">
        <f>VLOOKUP(C708,Acc_Char!B:K,3,)</f>
        <v>HOLDCO5U</v>
      </c>
      <c r="K708" s="1334" t="str">
        <f>VLOOKUP(C708,Acc_Char!B:K,7,)</f>
        <v>Subsidiaries</v>
      </c>
      <c r="L708" s="1334" t="str">
        <f t="shared" si="36"/>
        <v>Other receipts</v>
      </c>
      <c r="M708" s="1335" t="str">
        <f>VLOOKUP(C708,Acc_Char!B:K,5,)</f>
        <v>VND</v>
      </c>
      <c r="N708" s="1335" t="str">
        <f>VLOOKUP(C708,Acc_Char!B:K,6,)</f>
        <v>Current Account</v>
      </c>
      <c r="O708" s="1336" t="str">
        <f>Summary!$B$4</f>
        <v>W1-2Jan26</v>
      </c>
      <c r="P708" s="1334" t="str">
        <f t="shared" si="37"/>
        <v>115648076666</v>
      </c>
    </row>
    <row r="709" spans="1:16">
      <c r="A709" t="s">
        <v>1567</v>
      </c>
      <c r="B709" s="34" t="s">
        <v>110</v>
      </c>
      <c r="C709" s="34" t="s">
        <v>988</v>
      </c>
      <c r="D709" s="1400">
        <v>46023</v>
      </c>
      <c r="E709" t="s">
        <v>2599</v>
      </c>
      <c r="F709" s="57">
        <v>2268493</v>
      </c>
      <c r="G709" s="57">
        <v>0</v>
      </c>
      <c r="H709" s="1082">
        <f t="shared" si="39"/>
        <v>2268493</v>
      </c>
      <c r="I709" s="1333" t="s">
        <v>44</v>
      </c>
      <c r="J709" s="1334" t="str">
        <f>VLOOKUP(C709,Acc_Char!B:K,3,)</f>
        <v>HOLDCO N4E</v>
      </c>
      <c r="K709" s="1334" t="str">
        <f>VLOOKUP(C709,Acc_Char!B:K,7,)</f>
        <v>Subsidiaries</v>
      </c>
      <c r="L709" s="1334" t="str">
        <f t="shared" ref="L709:L772" si="40">I709</f>
        <v>Other receipts</v>
      </c>
      <c r="M709" s="1335" t="str">
        <f>VLOOKUP(C709,Acc_Char!B:K,5,)</f>
        <v>VND</v>
      </c>
      <c r="N709" s="1335" t="str">
        <f>VLOOKUP(C709,Acc_Char!B:K,6,)</f>
        <v>Current Account</v>
      </c>
      <c r="O709" s="1336" t="str">
        <f>Summary!$B$4</f>
        <v>W1-2Jan26</v>
      </c>
      <c r="P709" s="1334" t="str">
        <f t="shared" ref="P709:P772" si="41">TEXT(C709,"0")</f>
        <v>117606776688</v>
      </c>
    </row>
    <row r="710" spans="1:16">
      <c r="A710" t="s">
        <v>1567</v>
      </c>
      <c r="B710" s="34" t="s">
        <v>110</v>
      </c>
      <c r="C710" s="34" t="s">
        <v>946</v>
      </c>
      <c r="D710" s="1400">
        <v>46023</v>
      </c>
      <c r="E710" t="s">
        <v>2600</v>
      </c>
      <c r="F710" s="57">
        <v>18147945</v>
      </c>
      <c r="G710" s="57">
        <v>0</v>
      </c>
      <c r="H710" s="1082">
        <f t="shared" si="39"/>
        <v>18147945</v>
      </c>
      <c r="I710" s="1333" t="s">
        <v>44</v>
      </c>
      <c r="J710" s="1334" t="str">
        <f>VLOOKUP(C710,Acc_Char!B:K,3,)</f>
        <v>HOLDCO S5A</v>
      </c>
      <c r="K710" s="1334" t="str">
        <f>VLOOKUP(C710,Acc_Char!B:K,7,)</f>
        <v>Subsidiaries</v>
      </c>
      <c r="L710" s="1334" t="str">
        <f t="shared" si="40"/>
        <v>Other receipts</v>
      </c>
      <c r="M710" s="1335" t="str">
        <f>VLOOKUP(C710,Acc_Char!B:K,5,)</f>
        <v>VND</v>
      </c>
      <c r="N710" s="1335" t="str">
        <f>VLOOKUP(C710,Acc_Char!B:K,6,)</f>
        <v>Current Account</v>
      </c>
      <c r="O710" s="1336" t="str">
        <f>Summary!$B$4</f>
        <v>W1-2Jan26</v>
      </c>
      <c r="P710" s="1334" t="str">
        <f t="shared" si="41"/>
        <v>110634551111</v>
      </c>
    </row>
    <row r="711" spans="1:16">
      <c r="A711" t="s">
        <v>1591</v>
      </c>
      <c r="B711" s="34" t="s">
        <v>110</v>
      </c>
      <c r="C711" s="34" t="s">
        <v>689</v>
      </c>
      <c r="D711" s="355" t="s">
        <v>2601</v>
      </c>
      <c r="E711" t="s">
        <v>2602</v>
      </c>
      <c r="F711" s="57">
        <v>2041644</v>
      </c>
      <c r="G711" s="57">
        <v>0</v>
      </c>
      <c r="H711" s="1082">
        <f t="shared" si="39"/>
        <v>2041644</v>
      </c>
      <c r="I711" s="1333" t="s">
        <v>44</v>
      </c>
      <c r="J711" s="1334" t="str">
        <f>VLOOKUP(C711,Acc_Char!B:K,3,)</f>
        <v>HOLDCO5H</v>
      </c>
      <c r="K711" s="1334" t="str">
        <f>VLOOKUP(C711,Acc_Char!B:K,7,)</f>
        <v>Subsidiaries</v>
      </c>
      <c r="L711" s="1334" t="str">
        <f t="shared" si="40"/>
        <v>Other receipts</v>
      </c>
      <c r="M711" s="1335" t="str">
        <f>VLOOKUP(C711,Acc_Char!B:K,5,)</f>
        <v>VND</v>
      </c>
      <c r="N711" s="1335" t="str">
        <f>VLOOKUP(C711,Acc_Char!B:K,6,)</f>
        <v>Current Account</v>
      </c>
      <c r="O711" s="1336" t="str">
        <f>Summary!$B$4</f>
        <v>W1-2Jan26</v>
      </c>
      <c r="P711" s="1334" t="str">
        <f t="shared" si="41"/>
        <v>114642759999</v>
      </c>
    </row>
    <row r="712" spans="1:16">
      <c r="A712" t="s">
        <v>1591</v>
      </c>
      <c r="B712" s="34" t="s">
        <v>110</v>
      </c>
      <c r="C712" s="34" t="s">
        <v>743</v>
      </c>
      <c r="D712" s="355" t="s">
        <v>2601</v>
      </c>
      <c r="E712" t="s">
        <v>2603</v>
      </c>
      <c r="F712" s="57">
        <v>2268493</v>
      </c>
      <c r="G712" s="57">
        <v>0</v>
      </c>
      <c r="H712" s="1082">
        <f t="shared" si="39"/>
        <v>2268493</v>
      </c>
      <c r="I712" s="1333" t="s">
        <v>44</v>
      </c>
      <c r="J712" s="1334" t="str">
        <f>VLOOKUP(C712,Acc_Char!B:K,3,)</f>
        <v>WPJV 2</v>
      </c>
      <c r="K712" s="1334" t="str">
        <f>VLOOKUP(C712,Acc_Char!B:K,7,)</f>
        <v>Subsidiaries</v>
      </c>
      <c r="L712" s="1334" t="str">
        <f t="shared" si="40"/>
        <v>Other receipts</v>
      </c>
      <c r="M712" s="1335" t="str">
        <f>VLOOKUP(C712,Acc_Char!B:K,5,)</f>
        <v>VND</v>
      </c>
      <c r="N712" s="1335" t="str">
        <f>VLOOKUP(C712,Acc_Char!B:K,6,)</f>
        <v>Current Account</v>
      </c>
      <c r="O712" s="1336" t="str">
        <f>Summary!$B$4</f>
        <v>W1-2Jan26</v>
      </c>
      <c r="P712" s="1334" t="str">
        <f t="shared" si="41"/>
        <v>117626306868</v>
      </c>
    </row>
    <row r="713" spans="1:16">
      <c r="A713" t="s">
        <v>1591</v>
      </c>
      <c r="B713" s="34" t="s">
        <v>110</v>
      </c>
      <c r="C713" s="34" t="s">
        <v>787</v>
      </c>
      <c r="D713" s="355" t="s">
        <v>2601</v>
      </c>
      <c r="E713" t="s">
        <v>2604</v>
      </c>
      <c r="F713" s="57">
        <v>18147945</v>
      </c>
      <c r="G713" s="57">
        <v>0</v>
      </c>
      <c r="H713" s="1082">
        <f t="shared" si="39"/>
        <v>18147945</v>
      </c>
      <c r="I713" s="1333" t="s">
        <v>44</v>
      </c>
      <c r="J713" s="1334" t="str">
        <f>VLOOKUP(C713,Acc_Char!B:K,3,)</f>
        <v>HOLDCO4X</v>
      </c>
      <c r="K713" s="1334" t="str">
        <f>VLOOKUP(C713,Acc_Char!B:K,7,)</f>
        <v>Subsidiaries</v>
      </c>
      <c r="L713" s="1334" t="str">
        <f t="shared" si="40"/>
        <v>Other receipts</v>
      </c>
      <c r="M713" s="1335" t="str">
        <f>VLOOKUP(C713,Acc_Char!B:K,5,)</f>
        <v>VND</v>
      </c>
      <c r="N713" s="1335" t="str">
        <f>VLOOKUP(C713,Acc_Char!B:K,6,)</f>
        <v>Current Account</v>
      </c>
      <c r="O713" s="1336" t="str">
        <f>Summary!$B$4</f>
        <v>W1-2Jan26</v>
      </c>
      <c r="P713" s="1334" t="str">
        <f t="shared" si="41"/>
        <v>110618512222</v>
      </c>
    </row>
    <row r="714" spans="1:16">
      <c r="A714" t="s">
        <v>1591</v>
      </c>
      <c r="B714" s="34" t="s">
        <v>110</v>
      </c>
      <c r="C714" s="34" t="s">
        <v>707</v>
      </c>
      <c r="D714" s="355" t="s">
        <v>2605</v>
      </c>
      <c r="E714" t="s">
        <v>2606</v>
      </c>
      <c r="F714" s="57">
        <v>52445205</v>
      </c>
      <c r="G714" s="57">
        <v>0</v>
      </c>
      <c r="H714" s="1082">
        <f t="shared" si="39"/>
        <v>52445205</v>
      </c>
      <c r="I714" s="1333" t="s">
        <v>44</v>
      </c>
      <c r="J714" s="1334" t="str">
        <f>VLOOKUP(C714,Acc_Char!B:K,3,)</f>
        <v>XENIA 1</v>
      </c>
      <c r="K714" s="1334" t="str">
        <f>VLOOKUP(C714,Acc_Char!B:K,7,)</f>
        <v>Subsidiaries</v>
      </c>
      <c r="L714" s="1334" t="str">
        <f t="shared" si="40"/>
        <v>Other receipts</v>
      </c>
      <c r="M714" s="1335" t="str">
        <f>VLOOKUP(C714,Acc_Char!B:K,5,)</f>
        <v>VND</v>
      </c>
      <c r="N714" s="1335" t="str">
        <f>VLOOKUP(C714,Acc_Char!B:K,6,)</f>
        <v>Current Account</v>
      </c>
      <c r="O714" s="1336" t="str">
        <f>Summary!$B$4</f>
        <v>W1-2Jan26</v>
      </c>
      <c r="P714" s="1334" t="str">
        <f t="shared" si="41"/>
        <v>116646026868</v>
      </c>
    </row>
    <row r="715" spans="1:16">
      <c r="A715" t="s">
        <v>1591</v>
      </c>
      <c r="B715" s="34" t="s">
        <v>110</v>
      </c>
      <c r="C715" s="34" t="s">
        <v>858</v>
      </c>
      <c r="D715" s="355" t="s">
        <v>2607</v>
      </c>
      <c r="E715" t="s">
        <v>2608</v>
      </c>
      <c r="F715" s="57">
        <v>12102740</v>
      </c>
      <c r="G715" s="57">
        <v>0</v>
      </c>
      <c r="H715" s="1082">
        <f t="shared" si="39"/>
        <v>12102740</v>
      </c>
      <c r="I715" s="1333" t="s">
        <v>44</v>
      </c>
      <c r="J715" s="1334" t="str">
        <f>VLOOKUP(C715,Acc_Char!B:K,3,)</f>
        <v>THUAN DAO</v>
      </c>
      <c r="K715" s="1334" t="str">
        <f>VLOOKUP(C715,Acc_Char!B:K,7,)</f>
        <v>Subsidiaries</v>
      </c>
      <c r="L715" s="1334" t="str">
        <f t="shared" si="40"/>
        <v>Other receipts</v>
      </c>
      <c r="M715" s="1335" t="str">
        <f>VLOOKUP(C715,Acc_Char!B:K,5,)</f>
        <v>VND</v>
      </c>
      <c r="N715" s="1335" t="str">
        <f>VLOOKUP(C715,Acc_Char!B:K,6,)</f>
        <v>Current Account</v>
      </c>
      <c r="O715" s="1336" t="str">
        <f>Summary!$B$4</f>
        <v>W1-2Jan26</v>
      </c>
      <c r="P715" s="1334" t="str">
        <f t="shared" si="41"/>
        <v>116002949864</v>
      </c>
    </row>
    <row r="716" spans="1:16">
      <c r="A716" t="s">
        <v>1591</v>
      </c>
      <c r="B716" s="34" t="s">
        <v>110</v>
      </c>
      <c r="C716" s="34" t="s">
        <v>860</v>
      </c>
      <c r="D716" s="355" t="s">
        <v>2609</v>
      </c>
      <c r="E716" t="s">
        <v>2610</v>
      </c>
      <c r="F716" s="57">
        <v>1815411</v>
      </c>
      <c r="G716" s="57">
        <v>0</v>
      </c>
      <c r="H716" s="1082">
        <f>F716-G716</f>
        <v>1815411</v>
      </c>
      <c r="I716" s="1333" t="s">
        <v>44</v>
      </c>
      <c r="J716" s="1334" t="str">
        <f>VLOOKUP(C716,Acc_Char!B:K,3,)</f>
        <v>WPJV 2A</v>
      </c>
      <c r="K716" s="1334" t="str">
        <f>VLOOKUP(C716,Acc_Char!B:K,7,)</f>
        <v>Subsidiaries</v>
      </c>
      <c r="L716" s="1334" t="str">
        <f t="shared" si="40"/>
        <v>Other receipts</v>
      </c>
      <c r="M716" s="1335" t="str">
        <f>VLOOKUP(C716,Acc_Char!B:K,5,)</f>
        <v>VND</v>
      </c>
      <c r="N716" s="1335" t="str">
        <f>VLOOKUP(C716,Acc_Char!B:K,6,)</f>
        <v>Current Account</v>
      </c>
      <c r="O716" s="1336" t="str">
        <f>Summary!$B$4</f>
        <v>W1-2Jan26</v>
      </c>
      <c r="P716" s="1334" t="str">
        <f t="shared" si="41"/>
        <v>111002949708</v>
      </c>
    </row>
    <row r="717" spans="1:16">
      <c r="A717" t="s">
        <v>1591</v>
      </c>
      <c r="B717" s="34" t="s">
        <v>110</v>
      </c>
      <c r="C717" s="34" t="s">
        <v>500</v>
      </c>
      <c r="D717" s="355" t="s">
        <v>2611</v>
      </c>
      <c r="E717" t="s">
        <v>2612</v>
      </c>
      <c r="F717" s="57">
        <v>64547945</v>
      </c>
      <c r="G717" s="57">
        <v>0</v>
      </c>
      <c r="H717" s="1082">
        <f t="shared" si="39"/>
        <v>64547945</v>
      </c>
      <c r="I717" s="1333" t="s">
        <v>44</v>
      </c>
      <c r="J717" s="1334" t="str">
        <f>VLOOKUP(C717,Acc_Char!B:K,3,)</f>
        <v>BWID HAI DUONG</v>
      </c>
      <c r="K717" s="1334" t="str">
        <f>VLOOKUP(C717,Acc_Char!B:K,7,)</f>
        <v>Subsidiaries</v>
      </c>
      <c r="L717" s="1334" t="str">
        <f t="shared" si="40"/>
        <v>Other receipts</v>
      </c>
      <c r="M717" s="1335" t="str">
        <f>VLOOKUP(C717,Acc_Char!B:K,5,)</f>
        <v>VND</v>
      </c>
      <c r="N717" s="1335" t="str">
        <f>VLOOKUP(C717,Acc_Char!B:K,6,)</f>
        <v>Current Account</v>
      </c>
      <c r="O717" s="1336" t="str">
        <f>Summary!$B$4</f>
        <v>W1-2Jan26</v>
      </c>
      <c r="P717" s="1334" t="str">
        <f t="shared" si="41"/>
        <v>111007158888</v>
      </c>
    </row>
    <row r="718" spans="1:16">
      <c r="A718" t="s">
        <v>1567</v>
      </c>
      <c r="B718" s="34" t="s">
        <v>110</v>
      </c>
      <c r="C718" s="34" t="s">
        <v>980</v>
      </c>
      <c r="D718" s="1400">
        <v>46023</v>
      </c>
      <c r="E718" t="s">
        <v>2613</v>
      </c>
      <c r="F718" s="57">
        <v>2268493</v>
      </c>
      <c r="G718" s="57">
        <v>0</v>
      </c>
      <c r="H718" s="1082">
        <f t="shared" si="39"/>
        <v>2268493</v>
      </c>
      <c r="I718" s="1333" t="s">
        <v>44</v>
      </c>
      <c r="J718" s="1334" t="str">
        <f>VLOOKUP(C718,Acc_Char!B:K,3,)</f>
        <v>HOLDCO N4A</v>
      </c>
      <c r="K718" s="1334" t="str">
        <f>VLOOKUP(C718,Acc_Char!B:K,7,)</f>
        <v>Subsidiaries</v>
      </c>
      <c r="L718" s="1334" t="str">
        <f t="shared" si="40"/>
        <v>Other receipts</v>
      </c>
      <c r="M718" s="1335" t="str">
        <f>VLOOKUP(C718,Acc_Char!B:K,5,)</f>
        <v>VND</v>
      </c>
      <c r="N718" s="1335" t="str">
        <f>VLOOKUP(C718,Acc_Char!B:K,6,)</f>
        <v>Current Account</v>
      </c>
      <c r="O718" s="1336" t="str">
        <f>Summary!$B$4</f>
        <v>W1-2Jan26</v>
      </c>
      <c r="P718" s="1334" t="str">
        <f t="shared" si="41"/>
        <v>119635596888</v>
      </c>
    </row>
    <row r="719" spans="1:16">
      <c r="A719" t="s">
        <v>1591</v>
      </c>
      <c r="B719" s="34" t="s">
        <v>110</v>
      </c>
      <c r="C719" s="34" t="s">
        <v>785</v>
      </c>
      <c r="D719" s="355" t="s">
        <v>2614</v>
      </c>
      <c r="E719" t="s">
        <v>2615</v>
      </c>
      <c r="F719" s="57">
        <v>2268493</v>
      </c>
      <c r="G719" s="57">
        <v>0</v>
      </c>
      <c r="H719" s="1082">
        <f t="shared" si="39"/>
        <v>2268493</v>
      </c>
      <c r="I719" s="1333" t="s">
        <v>44</v>
      </c>
      <c r="J719" s="1334" t="str">
        <f>VLOOKUP(C719,Acc_Char!B:K,3,)</f>
        <v>HOLDCO4W</v>
      </c>
      <c r="K719" s="1334" t="str">
        <f>VLOOKUP(C719,Acc_Char!B:K,7,)</f>
        <v>Subsidiaries</v>
      </c>
      <c r="L719" s="1334" t="str">
        <f t="shared" si="40"/>
        <v>Other receipts</v>
      </c>
      <c r="M719" s="1335" t="str">
        <f>VLOOKUP(C719,Acc_Char!B:K,5,)</f>
        <v>VND</v>
      </c>
      <c r="N719" s="1335" t="str">
        <f>VLOOKUP(C719,Acc_Char!B:K,6,)</f>
        <v>Current Account</v>
      </c>
      <c r="O719" s="1336" t="str">
        <f>Summary!$B$4</f>
        <v>W1-2Jan26</v>
      </c>
      <c r="P719" s="1334" t="str">
        <f t="shared" si="41"/>
        <v>116604476666</v>
      </c>
    </row>
    <row r="720" spans="1:16">
      <c r="A720" t="s">
        <v>1591</v>
      </c>
      <c r="B720" s="34" t="s">
        <v>110</v>
      </c>
      <c r="C720" s="34" t="s">
        <v>740</v>
      </c>
      <c r="D720" s="355" t="s">
        <v>2614</v>
      </c>
      <c r="E720" t="s">
        <v>2616</v>
      </c>
      <c r="F720" s="57">
        <v>6805479</v>
      </c>
      <c r="G720" s="57">
        <v>0</v>
      </c>
      <c r="H720" s="1082">
        <f t="shared" si="39"/>
        <v>6805479</v>
      </c>
      <c r="I720" s="1333" t="s">
        <v>44</v>
      </c>
      <c r="J720" s="1334" t="str">
        <f>VLOOKUP(C720,Acc_Char!B:K,3,)</f>
        <v>WPJV 1</v>
      </c>
      <c r="K720" s="1334" t="str">
        <f>VLOOKUP(C720,Acc_Char!B:K,7,)</f>
        <v>Subsidiaries</v>
      </c>
      <c r="L720" s="1334" t="str">
        <f t="shared" si="40"/>
        <v>Other receipts</v>
      </c>
      <c r="M720" s="1335" t="str">
        <f>VLOOKUP(C720,Acc_Char!B:K,5,)</f>
        <v>VND</v>
      </c>
      <c r="N720" s="1335" t="str">
        <f>VLOOKUP(C720,Acc_Char!B:K,6,)</f>
        <v>Current Account</v>
      </c>
      <c r="O720" s="1336" t="str">
        <f>Summary!$B$4</f>
        <v>W1-2Jan26</v>
      </c>
      <c r="P720" s="1334" t="str">
        <f t="shared" si="41"/>
        <v>110638056688</v>
      </c>
    </row>
    <row r="721" spans="1:17">
      <c r="A721" t="s">
        <v>1567</v>
      </c>
      <c r="B721" s="34" t="s">
        <v>110</v>
      </c>
      <c r="C721" s="34" t="s">
        <v>982</v>
      </c>
      <c r="D721" s="1400">
        <v>46023</v>
      </c>
      <c r="E721" t="s">
        <v>2617</v>
      </c>
      <c r="F721" s="57">
        <v>2268493</v>
      </c>
      <c r="G721" s="57">
        <v>0</v>
      </c>
      <c r="H721" s="1082">
        <f t="shared" si="39"/>
        <v>2268493</v>
      </c>
      <c r="I721" s="1333" t="s">
        <v>44</v>
      </c>
      <c r="J721" s="1334" t="str">
        <f>VLOOKUP(C721,Acc_Char!B:K,3,)</f>
        <v>HOLDCO N4B</v>
      </c>
      <c r="K721" s="1334" t="str">
        <f>VLOOKUP(C721,Acc_Char!B:K,7,)</f>
        <v>Subsidiaries</v>
      </c>
      <c r="L721" s="1334" t="str">
        <f t="shared" si="40"/>
        <v>Other receipts</v>
      </c>
      <c r="M721" s="1335" t="str">
        <f>VLOOKUP(C721,Acc_Char!B:K,5,)</f>
        <v>VND</v>
      </c>
      <c r="N721" s="1335" t="str">
        <f>VLOOKUP(C721,Acc_Char!B:K,6,)</f>
        <v>Current Account</v>
      </c>
      <c r="O721" s="1336" t="str">
        <f>Summary!$B$4</f>
        <v>W1-2Jan26</v>
      </c>
      <c r="P721" s="1334" t="str">
        <f t="shared" si="41"/>
        <v>112617216688</v>
      </c>
    </row>
    <row r="722" spans="1:17">
      <c r="A722" t="s">
        <v>1567</v>
      </c>
      <c r="B722" s="34" t="s">
        <v>110</v>
      </c>
      <c r="C722" s="34" t="s">
        <v>986</v>
      </c>
      <c r="D722" s="1400">
        <v>46023</v>
      </c>
      <c r="E722" t="s">
        <v>2618</v>
      </c>
      <c r="F722" s="57">
        <v>2268493</v>
      </c>
      <c r="G722" s="57">
        <v>0</v>
      </c>
      <c r="H722" s="1082">
        <f t="shared" si="39"/>
        <v>2268493</v>
      </c>
      <c r="I722" s="1333" t="s">
        <v>44</v>
      </c>
      <c r="J722" s="1334" t="str">
        <f>VLOOKUP(C722,Acc_Char!B:K,3,)</f>
        <v>HOLDCO N4D</v>
      </c>
      <c r="K722" s="1334" t="str">
        <f>VLOOKUP(C722,Acc_Char!B:K,7,)</f>
        <v>Subsidiaries</v>
      </c>
      <c r="L722" s="1334" t="str">
        <f t="shared" si="40"/>
        <v>Other receipts</v>
      </c>
      <c r="M722" s="1335" t="str">
        <f>VLOOKUP(C722,Acc_Char!B:K,5,)</f>
        <v>VND</v>
      </c>
      <c r="N722" s="1335" t="str">
        <f>VLOOKUP(C722,Acc_Char!B:K,6,)</f>
        <v>Current Account</v>
      </c>
      <c r="O722" s="1336" t="str">
        <f>Summary!$B$4</f>
        <v>W1-2Jan26</v>
      </c>
      <c r="P722" s="1334" t="str">
        <f t="shared" si="41"/>
        <v>110623508666</v>
      </c>
    </row>
    <row r="723" spans="1:17">
      <c r="A723" t="s">
        <v>1591</v>
      </c>
      <c r="B723" s="34" t="s">
        <v>110</v>
      </c>
      <c r="C723" s="34" t="s">
        <v>635</v>
      </c>
      <c r="D723" s="355" t="s">
        <v>2619</v>
      </c>
      <c r="E723" t="s">
        <v>2620</v>
      </c>
      <c r="F723" s="57">
        <v>9073973</v>
      </c>
      <c r="G723" s="57">
        <v>0</v>
      </c>
      <c r="H723" s="1082">
        <f t="shared" si="39"/>
        <v>9073973</v>
      </c>
      <c r="I723" s="1333" t="s">
        <v>44</v>
      </c>
      <c r="J723" s="1334" t="str">
        <f>VLOOKUP(C723,Acc_Char!B:K,3,)</f>
        <v>SPV4E</v>
      </c>
      <c r="K723" s="1334" t="str">
        <f>VLOOKUP(C723,Acc_Char!B:K,7,)</f>
        <v>Subsidiaries</v>
      </c>
      <c r="L723" s="1334" t="str">
        <f t="shared" si="40"/>
        <v>Other receipts</v>
      </c>
      <c r="M723" s="1335" t="str">
        <f>VLOOKUP(C723,Acc_Char!B:K,5,)</f>
        <v>VND</v>
      </c>
      <c r="N723" s="1335" t="str">
        <f>VLOOKUP(C723,Acc_Char!B:K,6,)</f>
        <v>Current Account</v>
      </c>
      <c r="O723" s="1336" t="str">
        <f>Summary!$B$4</f>
        <v>W1-2Jan26</v>
      </c>
      <c r="P723" s="1334" t="str">
        <f t="shared" si="41"/>
        <v>110619957777</v>
      </c>
    </row>
    <row r="724" spans="1:17">
      <c r="A724" t="s">
        <v>1591</v>
      </c>
      <c r="B724" s="34" t="s">
        <v>110</v>
      </c>
      <c r="C724" s="34" t="s">
        <v>791</v>
      </c>
      <c r="D724" s="355" t="s">
        <v>2619</v>
      </c>
      <c r="E724" t="s">
        <v>2621</v>
      </c>
      <c r="F724" s="57">
        <v>6805479</v>
      </c>
      <c r="G724" s="57">
        <v>0</v>
      </c>
      <c r="H724" s="1082">
        <f t="shared" si="39"/>
        <v>6805479</v>
      </c>
      <c r="I724" s="1333" t="s">
        <v>44</v>
      </c>
      <c r="J724" s="1334" t="str">
        <f>VLOOKUP(C724,Acc_Char!B:K,3,)</f>
        <v>HOLDCO5R</v>
      </c>
      <c r="K724" s="1334" t="str">
        <f>VLOOKUP(C724,Acc_Char!B:K,7,)</f>
        <v>Subsidiaries</v>
      </c>
      <c r="L724" s="1334" t="str">
        <f t="shared" si="40"/>
        <v>Other receipts</v>
      </c>
      <c r="M724" s="1335" t="str">
        <f>VLOOKUP(C724,Acc_Char!B:K,5,)</f>
        <v>VND</v>
      </c>
      <c r="N724" s="1335" t="str">
        <f>VLOOKUP(C724,Acc_Char!B:K,6,)</f>
        <v>Current Account</v>
      </c>
      <c r="O724" s="1336" t="str">
        <f>Summary!$B$4</f>
        <v>W1-2Jan26</v>
      </c>
      <c r="P724" s="1334" t="str">
        <f t="shared" si="41"/>
        <v>115648106666</v>
      </c>
    </row>
    <row r="725" spans="1:17">
      <c r="A725" t="s">
        <v>1591</v>
      </c>
      <c r="B725" s="34" t="s">
        <v>110</v>
      </c>
      <c r="C725" s="34" t="s">
        <v>952</v>
      </c>
      <c r="D725" s="355" t="s">
        <v>2622</v>
      </c>
      <c r="E725" t="s">
        <v>2623</v>
      </c>
      <c r="F725" s="57">
        <v>20416438</v>
      </c>
      <c r="G725" s="57">
        <v>0</v>
      </c>
      <c r="H725" s="1082">
        <f t="shared" si="39"/>
        <v>20416438</v>
      </c>
      <c r="I725" s="1333" t="s">
        <v>44</v>
      </c>
      <c r="J725" s="1334" t="str">
        <f>VLOOKUP(C725,Acc_Char!B:K,3,)</f>
        <v>HOLDCO S4E</v>
      </c>
      <c r="K725" s="1334" t="str">
        <f>VLOOKUP(C725,Acc_Char!B:K,7,)</f>
        <v>Subsidiaries</v>
      </c>
      <c r="L725" s="1334" t="str">
        <f t="shared" si="40"/>
        <v>Other receipts</v>
      </c>
      <c r="M725" s="1335" t="str">
        <f>VLOOKUP(C725,Acc_Char!B:K,5,)</f>
        <v>VND</v>
      </c>
      <c r="N725" s="1335" t="str">
        <f>VLOOKUP(C725,Acc_Char!B:K,6,)</f>
        <v>Current Account</v>
      </c>
      <c r="O725" s="1336" t="str">
        <f>Summary!$B$4</f>
        <v>W1-2Jan26</v>
      </c>
      <c r="P725" s="1334" t="str">
        <f t="shared" si="41"/>
        <v>110623441111</v>
      </c>
    </row>
    <row r="726" spans="1:17">
      <c r="A726" t="s">
        <v>1567</v>
      </c>
      <c r="B726" s="34" t="s">
        <v>292</v>
      </c>
      <c r="C726" s="34" t="s">
        <v>1065</v>
      </c>
      <c r="D726" s="1400">
        <v>46032</v>
      </c>
      <c r="E726" t="s">
        <v>2624</v>
      </c>
      <c r="F726" s="57">
        <v>4128739</v>
      </c>
      <c r="G726" s="57">
        <v>0</v>
      </c>
      <c r="H726" s="1082">
        <f t="shared" si="39"/>
        <v>4128739</v>
      </c>
      <c r="I726" s="1333" t="s">
        <v>39</v>
      </c>
      <c r="J726" s="1334" t="str">
        <f>VLOOKUP(C726,Acc_Char!B:K,3,)</f>
        <v>BWID THOI HOA 2</v>
      </c>
      <c r="K726" s="1334" t="str">
        <f>VLOOKUP(C726,Acc_Char!B:K,7,)</f>
        <v>Subsidiaries</v>
      </c>
      <c r="L726" s="1334" t="str">
        <f t="shared" si="40"/>
        <v>Receipt from tenants</v>
      </c>
      <c r="M726" s="1335" t="str">
        <f>VLOOKUP(C726,Acc_Char!B:K,5,)</f>
        <v>VND</v>
      </c>
      <c r="N726" s="1335" t="str">
        <f>VLOOKUP(C726,Acc_Char!B:K,6,)</f>
        <v>Current Account</v>
      </c>
      <c r="O726" s="1336" t="str">
        <f>Summary!$B$4</f>
        <v>W1-2Jan26</v>
      </c>
      <c r="P726" s="1334" t="str">
        <f t="shared" si="41"/>
        <v>105001540411</v>
      </c>
    </row>
    <row r="727" spans="1:17">
      <c r="A727" t="s">
        <v>1567</v>
      </c>
      <c r="B727" s="34" t="s">
        <v>292</v>
      </c>
      <c r="C727" s="34" t="s">
        <v>1065</v>
      </c>
      <c r="D727" s="1400">
        <v>46032</v>
      </c>
      <c r="E727" t="s">
        <v>2625</v>
      </c>
      <c r="F727" s="57">
        <v>401902712</v>
      </c>
      <c r="G727" s="57">
        <v>0</v>
      </c>
      <c r="H727" s="1082">
        <f t="shared" si="39"/>
        <v>401902712</v>
      </c>
      <c r="I727" s="1333" t="s">
        <v>39</v>
      </c>
      <c r="J727" s="1334" t="str">
        <f>VLOOKUP(C727,Acc_Char!B:K,3,)</f>
        <v>BWID THOI HOA 2</v>
      </c>
      <c r="K727" s="1334" t="str">
        <f>VLOOKUP(C727,Acc_Char!B:K,7,)</f>
        <v>Subsidiaries</v>
      </c>
      <c r="L727" s="1334" t="str">
        <f t="shared" si="40"/>
        <v>Receipt from tenants</v>
      </c>
      <c r="M727" s="1335" t="str">
        <f>VLOOKUP(C727,Acc_Char!B:K,5,)</f>
        <v>VND</v>
      </c>
      <c r="N727" s="1335" t="str">
        <f>VLOOKUP(C727,Acc_Char!B:K,6,)</f>
        <v>Current Account</v>
      </c>
      <c r="O727" s="1336" t="str">
        <f>Summary!$B$4</f>
        <v>W1-2Jan26</v>
      </c>
      <c r="P727" s="1334" t="str">
        <f t="shared" si="41"/>
        <v>105001540411</v>
      </c>
      <c r="Q727" s="1024"/>
    </row>
    <row r="728" spans="1:17">
      <c r="A728" t="s">
        <v>1567</v>
      </c>
      <c r="B728" s="34" t="s">
        <v>292</v>
      </c>
      <c r="C728" s="34" t="s">
        <v>1065</v>
      </c>
      <c r="D728" s="1400">
        <v>46031</v>
      </c>
      <c r="E728" t="s">
        <v>2626</v>
      </c>
      <c r="F728" s="57">
        <v>420790</v>
      </c>
      <c r="G728" s="57">
        <v>0</v>
      </c>
      <c r="H728" s="1082">
        <f t="shared" si="39"/>
        <v>420790</v>
      </c>
      <c r="I728" s="1333" t="s">
        <v>39</v>
      </c>
      <c r="J728" s="1334" t="str">
        <f>VLOOKUP(C728,Acc_Char!B:K,3,)</f>
        <v>BWID THOI HOA 2</v>
      </c>
      <c r="K728" s="1334" t="str">
        <f>VLOOKUP(C728,Acc_Char!B:K,7,)</f>
        <v>Subsidiaries</v>
      </c>
      <c r="L728" s="1334" t="str">
        <f t="shared" si="40"/>
        <v>Receipt from tenants</v>
      </c>
      <c r="M728" s="1335" t="str">
        <f>VLOOKUP(C728,Acc_Char!B:K,5,)</f>
        <v>VND</v>
      </c>
      <c r="N728" s="1335" t="str">
        <f>VLOOKUP(C728,Acc_Char!B:K,6,)</f>
        <v>Current Account</v>
      </c>
      <c r="O728" s="1336" t="str">
        <f>Summary!$B$4</f>
        <v>W1-2Jan26</v>
      </c>
      <c r="P728" s="1334" t="str">
        <f t="shared" si="41"/>
        <v>105001540411</v>
      </c>
      <c r="Q728" s="1024"/>
    </row>
    <row r="729" spans="1:17">
      <c r="A729" t="s">
        <v>1567</v>
      </c>
      <c r="B729" s="34" t="s">
        <v>292</v>
      </c>
      <c r="C729" s="34" t="s">
        <v>1065</v>
      </c>
      <c r="D729" s="1400">
        <v>46035</v>
      </c>
      <c r="E729" t="s">
        <v>2627</v>
      </c>
      <c r="F729" s="57">
        <v>110964439</v>
      </c>
      <c r="G729" s="57">
        <v>0</v>
      </c>
      <c r="H729" s="1082">
        <f t="shared" si="39"/>
        <v>110964439</v>
      </c>
      <c r="I729" s="1333" t="s">
        <v>39</v>
      </c>
      <c r="J729" s="1334" t="str">
        <f>VLOOKUP(C729,Acc_Char!B:K,3,)</f>
        <v>BWID THOI HOA 2</v>
      </c>
      <c r="K729" s="1334" t="str">
        <f>VLOOKUP(C729,Acc_Char!B:K,7,)</f>
        <v>Subsidiaries</v>
      </c>
      <c r="L729" s="1334" t="str">
        <f t="shared" si="40"/>
        <v>Receipt from tenants</v>
      </c>
      <c r="M729" s="1335" t="str">
        <f>VLOOKUP(C729,Acc_Char!B:K,5,)</f>
        <v>VND</v>
      </c>
      <c r="N729" s="1335" t="str">
        <f>VLOOKUP(C729,Acc_Char!B:K,6,)</f>
        <v>Current Account</v>
      </c>
      <c r="O729" s="1336" t="str">
        <f>Summary!$B$4</f>
        <v>W1-2Jan26</v>
      </c>
      <c r="P729" s="1334" t="str">
        <f t="shared" si="41"/>
        <v>105001540411</v>
      </c>
      <c r="Q729" s="1024"/>
    </row>
    <row r="730" spans="1:17">
      <c r="A730" t="s">
        <v>1567</v>
      </c>
      <c r="B730" s="34" t="s">
        <v>292</v>
      </c>
      <c r="C730" s="34" t="s">
        <v>1065</v>
      </c>
      <c r="D730" s="1400">
        <v>46035</v>
      </c>
      <c r="E730" t="s">
        <v>2628</v>
      </c>
      <c r="F730" s="57">
        <v>1215109017</v>
      </c>
      <c r="G730" s="57">
        <v>0</v>
      </c>
      <c r="H730" s="1082">
        <f t="shared" si="39"/>
        <v>1215109017</v>
      </c>
      <c r="I730" s="1333" t="s">
        <v>39</v>
      </c>
      <c r="J730" s="1334" t="str">
        <f>VLOOKUP(C730,Acc_Char!B:K,3,)</f>
        <v>BWID THOI HOA 2</v>
      </c>
      <c r="K730" s="1334" t="str">
        <f>VLOOKUP(C730,Acc_Char!B:K,7,)</f>
        <v>Subsidiaries</v>
      </c>
      <c r="L730" s="1334" t="str">
        <f t="shared" si="40"/>
        <v>Receipt from tenants</v>
      </c>
      <c r="M730" s="1335" t="str">
        <f>VLOOKUP(C730,Acc_Char!B:K,5,)</f>
        <v>VND</v>
      </c>
      <c r="N730" s="1335" t="str">
        <f>VLOOKUP(C730,Acc_Char!B:K,6,)</f>
        <v>Current Account</v>
      </c>
      <c r="O730" s="1336" t="str">
        <f>Summary!$B$4</f>
        <v>W1-2Jan26</v>
      </c>
      <c r="P730" s="1334" t="str">
        <f t="shared" si="41"/>
        <v>105001540411</v>
      </c>
    </row>
    <row r="731" spans="1:17">
      <c r="A731" t="s">
        <v>1567</v>
      </c>
      <c r="B731" s="34" t="s">
        <v>292</v>
      </c>
      <c r="C731" s="34" t="s">
        <v>1065</v>
      </c>
      <c r="D731" s="1400">
        <v>46029</v>
      </c>
      <c r="E731" t="s">
        <v>2629</v>
      </c>
      <c r="F731" s="57">
        <v>16200054</v>
      </c>
      <c r="G731" s="57">
        <v>0</v>
      </c>
      <c r="H731" s="1082">
        <f t="shared" si="39"/>
        <v>16200054</v>
      </c>
      <c r="I731" s="1333" t="s">
        <v>39</v>
      </c>
      <c r="J731" s="1334" t="str">
        <f>VLOOKUP(C731,Acc_Char!B:K,3,)</f>
        <v>BWID THOI HOA 2</v>
      </c>
      <c r="K731" s="1334" t="str">
        <f>VLOOKUP(C731,Acc_Char!B:K,7,)</f>
        <v>Subsidiaries</v>
      </c>
      <c r="L731" s="1334" t="str">
        <f t="shared" si="40"/>
        <v>Receipt from tenants</v>
      </c>
      <c r="M731" s="1335" t="str">
        <f>VLOOKUP(C731,Acc_Char!B:K,5,)</f>
        <v>VND</v>
      </c>
      <c r="N731" s="1335" t="str">
        <f>VLOOKUP(C731,Acc_Char!B:K,6,)</f>
        <v>Current Account</v>
      </c>
      <c r="O731" s="1336" t="str">
        <f>Summary!$B$4</f>
        <v>W1-2Jan26</v>
      </c>
      <c r="P731" s="1334" t="str">
        <f t="shared" si="41"/>
        <v>105001540411</v>
      </c>
    </row>
    <row r="732" spans="1:17">
      <c r="A732" t="s">
        <v>1567</v>
      </c>
      <c r="B732" s="34" t="s">
        <v>292</v>
      </c>
      <c r="C732" s="34" t="s">
        <v>1065</v>
      </c>
      <c r="D732" s="1400">
        <v>46029</v>
      </c>
      <c r="E732" s="1337" t="s">
        <v>2630</v>
      </c>
      <c r="F732" s="57">
        <v>1928619</v>
      </c>
      <c r="G732" s="57">
        <v>0</v>
      </c>
      <c r="H732" s="1082">
        <f t="shared" si="39"/>
        <v>1928619</v>
      </c>
      <c r="I732" s="1333" t="s">
        <v>39</v>
      </c>
      <c r="J732" s="1334" t="str">
        <f>VLOOKUP(C732,Acc_Char!B:K,3,)</f>
        <v>BWID THOI HOA 2</v>
      </c>
      <c r="K732" s="1334" t="str">
        <f>VLOOKUP(C732,Acc_Char!B:K,7,)</f>
        <v>Subsidiaries</v>
      </c>
      <c r="L732" s="1334" t="str">
        <f t="shared" si="40"/>
        <v>Receipt from tenants</v>
      </c>
      <c r="M732" s="1335" t="str">
        <f>VLOOKUP(C732,Acc_Char!B:K,5,)</f>
        <v>VND</v>
      </c>
      <c r="N732" s="1335" t="str">
        <f>VLOOKUP(C732,Acc_Char!B:K,6,)</f>
        <v>Current Account</v>
      </c>
      <c r="O732" s="1336" t="str">
        <f>Summary!$B$4</f>
        <v>W1-2Jan26</v>
      </c>
      <c r="P732" s="1334" t="str">
        <f t="shared" si="41"/>
        <v>105001540411</v>
      </c>
    </row>
    <row r="733" spans="1:17">
      <c r="A733" t="s">
        <v>1567</v>
      </c>
      <c r="B733" s="34" t="s">
        <v>292</v>
      </c>
      <c r="C733" s="34" t="s">
        <v>1065</v>
      </c>
      <c r="D733" s="1400">
        <v>46035</v>
      </c>
      <c r="E733" t="s">
        <v>2631</v>
      </c>
      <c r="F733" s="57">
        <v>340730049</v>
      </c>
      <c r="G733" s="57">
        <v>0</v>
      </c>
      <c r="H733" s="1082">
        <f t="shared" si="39"/>
        <v>340730049</v>
      </c>
      <c r="I733" t="s">
        <v>39</v>
      </c>
      <c r="J733" s="1334" t="str">
        <f>VLOOKUP(C733,Acc_Char!B:K,3,)</f>
        <v>BWID THOI HOA 2</v>
      </c>
      <c r="K733" s="1334" t="str">
        <f>VLOOKUP(C733,Acc_Char!B:K,7,)</f>
        <v>Subsidiaries</v>
      </c>
      <c r="L733" s="1334" t="str">
        <f t="shared" si="40"/>
        <v>Receipt from tenants</v>
      </c>
      <c r="M733" s="1335" t="str">
        <f>VLOOKUP(C733,Acc_Char!B:K,5,)</f>
        <v>VND</v>
      </c>
      <c r="N733" s="1335" t="str">
        <f>VLOOKUP(C733,Acc_Char!B:K,6,)</f>
        <v>Current Account</v>
      </c>
      <c r="O733" s="1336" t="str">
        <f>Summary!$B$4</f>
        <v>W1-2Jan26</v>
      </c>
      <c r="P733" s="1334" t="str">
        <f t="shared" si="41"/>
        <v>105001540411</v>
      </c>
    </row>
    <row r="734" spans="1:17">
      <c r="A734" t="s">
        <v>1567</v>
      </c>
      <c r="B734" s="34" t="s">
        <v>292</v>
      </c>
      <c r="C734" s="34" t="s">
        <v>1065</v>
      </c>
      <c r="D734" s="1400">
        <v>46035</v>
      </c>
      <c r="E734" t="s">
        <v>2632</v>
      </c>
      <c r="F734" s="57">
        <v>4715667879</v>
      </c>
      <c r="G734" s="57">
        <v>0</v>
      </c>
      <c r="H734" s="1082">
        <f t="shared" si="39"/>
        <v>4715667879</v>
      </c>
      <c r="I734" s="1333" t="s">
        <v>39</v>
      </c>
      <c r="J734" s="1334" t="str">
        <f>VLOOKUP(C734,Acc_Char!B:K,3,)</f>
        <v>BWID THOI HOA 2</v>
      </c>
      <c r="K734" s="1334" t="str">
        <f>VLOOKUP(C734,Acc_Char!B:K,7,)</f>
        <v>Subsidiaries</v>
      </c>
      <c r="L734" s="1334" t="str">
        <f t="shared" si="40"/>
        <v>Receipt from tenants</v>
      </c>
      <c r="M734" s="1335" t="str">
        <f>VLOOKUP(C734,Acc_Char!B:K,5,)</f>
        <v>VND</v>
      </c>
      <c r="N734" s="1335" t="str">
        <f>VLOOKUP(C734,Acc_Char!B:K,6,)</f>
        <v>Current Account</v>
      </c>
      <c r="O734" s="1336" t="str">
        <f>Summary!$B$4</f>
        <v>W1-2Jan26</v>
      </c>
      <c r="P734" s="1334" t="str">
        <f t="shared" si="41"/>
        <v>105001540411</v>
      </c>
    </row>
    <row r="735" spans="1:17">
      <c r="A735" t="s">
        <v>1567</v>
      </c>
      <c r="B735" s="34" t="s">
        <v>292</v>
      </c>
      <c r="C735" s="34" t="s">
        <v>1065</v>
      </c>
      <c r="D735" s="1400">
        <v>46029</v>
      </c>
      <c r="E735" t="s">
        <v>2633</v>
      </c>
      <c r="F735" s="57">
        <v>403257</v>
      </c>
      <c r="G735" s="57">
        <v>0</v>
      </c>
      <c r="H735" s="1082">
        <f t="shared" si="39"/>
        <v>403257</v>
      </c>
      <c r="I735" s="1333" t="s">
        <v>39</v>
      </c>
      <c r="J735" s="1334" t="str">
        <f>VLOOKUP(C735,Acc_Char!B:K,3,)</f>
        <v>BWID THOI HOA 2</v>
      </c>
      <c r="K735" s="1334" t="str">
        <f>VLOOKUP(C735,Acc_Char!B:K,7,)</f>
        <v>Subsidiaries</v>
      </c>
      <c r="L735" s="1334" t="str">
        <f t="shared" si="40"/>
        <v>Receipt from tenants</v>
      </c>
      <c r="M735" s="1335" t="str">
        <f>VLOOKUP(C735,Acc_Char!B:K,5,)</f>
        <v>VND</v>
      </c>
      <c r="N735" s="1335" t="str">
        <f>VLOOKUP(C735,Acc_Char!B:K,6,)</f>
        <v>Current Account</v>
      </c>
      <c r="O735" s="1336" t="str">
        <f>Summary!$B$4</f>
        <v>W1-2Jan26</v>
      </c>
      <c r="P735" s="1334" t="str">
        <f t="shared" si="41"/>
        <v>105001540411</v>
      </c>
    </row>
    <row r="736" spans="1:17">
      <c r="A736" t="s">
        <v>1567</v>
      </c>
      <c r="B736" s="34" t="s">
        <v>292</v>
      </c>
      <c r="C736" s="34" t="s">
        <v>1065</v>
      </c>
      <c r="D736" s="1400">
        <v>46029</v>
      </c>
      <c r="E736" t="s">
        <v>2634</v>
      </c>
      <c r="F736" s="57">
        <v>2452318692</v>
      </c>
      <c r="G736" s="57">
        <v>0</v>
      </c>
      <c r="H736" s="1082">
        <f t="shared" si="39"/>
        <v>2452318692</v>
      </c>
      <c r="I736" s="1333" t="s">
        <v>39</v>
      </c>
      <c r="J736" s="1334" t="str">
        <f>VLOOKUP(C736,Acc_Char!B:K,3,)</f>
        <v>BWID THOI HOA 2</v>
      </c>
      <c r="K736" s="1334" t="str">
        <f>VLOOKUP(C736,Acc_Char!B:K,7,)</f>
        <v>Subsidiaries</v>
      </c>
      <c r="L736" s="1334" t="str">
        <f t="shared" si="40"/>
        <v>Receipt from tenants</v>
      </c>
      <c r="M736" s="1335" t="str">
        <f>VLOOKUP(C736,Acc_Char!B:K,5,)</f>
        <v>VND</v>
      </c>
      <c r="N736" s="1335" t="str">
        <f>VLOOKUP(C736,Acc_Char!B:K,6,)</f>
        <v>Current Account</v>
      </c>
      <c r="O736" s="1336" t="str">
        <f>Summary!$B$4</f>
        <v>W1-2Jan26</v>
      </c>
      <c r="P736" s="1334" t="str">
        <f t="shared" si="41"/>
        <v>105001540411</v>
      </c>
    </row>
    <row r="737" spans="1:16">
      <c r="A737" t="s">
        <v>1567</v>
      </c>
      <c r="B737" s="34" t="s">
        <v>292</v>
      </c>
      <c r="C737" s="34" t="s">
        <v>1065</v>
      </c>
      <c r="D737" s="1400">
        <v>46030</v>
      </c>
      <c r="E737" t="s">
        <v>2635</v>
      </c>
      <c r="F737" s="57">
        <v>1577402112</v>
      </c>
      <c r="G737" s="57">
        <v>0</v>
      </c>
      <c r="H737" s="1082">
        <f t="shared" si="39"/>
        <v>1577402112</v>
      </c>
      <c r="I737" s="1333" t="s">
        <v>39</v>
      </c>
      <c r="J737" s="1334" t="str">
        <f>VLOOKUP(C737,Acc_Char!B:K,3,)</f>
        <v>BWID THOI HOA 2</v>
      </c>
      <c r="K737" s="1334" t="str">
        <f>VLOOKUP(C737,Acc_Char!B:K,7,)</f>
        <v>Subsidiaries</v>
      </c>
      <c r="L737" s="1334" t="str">
        <f t="shared" si="40"/>
        <v>Receipt from tenants</v>
      </c>
      <c r="M737" s="1335" t="str">
        <f>VLOOKUP(C737,Acc_Char!B:K,5,)</f>
        <v>VND</v>
      </c>
      <c r="N737" s="1335" t="str">
        <f>VLOOKUP(C737,Acc_Char!B:K,6,)</f>
        <v>Current Account</v>
      </c>
      <c r="O737" s="1336" t="str">
        <f>Summary!$B$4</f>
        <v>W1-2Jan26</v>
      </c>
      <c r="P737" s="1334" t="str">
        <f t="shared" si="41"/>
        <v>105001540411</v>
      </c>
    </row>
    <row r="738" spans="1:16">
      <c r="A738" t="s">
        <v>1567</v>
      </c>
      <c r="B738" s="34" t="s">
        <v>292</v>
      </c>
      <c r="C738" s="34" t="s">
        <v>1065</v>
      </c>
      <c r="D738" s="1400">
        <v>46027</v>
      </c>
      <c r="E738" t="s">
        <v>2636</v>
      </c>
      <c r="F738" s="57">
        <v>788701056</v>
      </c>
      <c r="G738" s="57">
        <v>0</v>
      </c>
      <c r="H738" s="1082">
        <f t="shared" si="39"/>
        <v>788701056</v>
      </c>
      <c r="I738" s="1333" t="s">
        <v>39</v>
      </c>
      <c r="J738" s="1334" t="str">
        <f>VLOOKUP(C738,Acc_Char!B:K,3,)</f>
        <v>BWID THOI HOA 2</v>
      </c>
      <c r="K738" s="1334" t="str">
        <f>VLOOKUP(C738,Acc_Char!B:K,7,)</f>
        <v>Subsidiaries</v>
      </c>
      <c r="L738" s="1334" t="str">
        <f t="shared" si="40"/>
        <v>Receipt from tenants</v>
      </c>
      <c r="M738" s="1335" t="str">
        <f>VLOOKUP(C738,Acc_Char!B:K,5,)</f>
        <v>VND</v>
      </c>
      <c r="N738" s="1335" t="str">
        <f>VLOOKUP(C738,Acc_Char!B:K,6,)</f>
        <v>Current Account</v>
      </c>
      <c r="O738" s="1336" t="str">
        <f>Summary!$B$4</f>
        <v>W1-2Jan26</v>
      </c>
      <c r="P738" s="1334" t="str">
        <f t="shared" si="41"/>
        <v>105001540411</v>
      </c>
    </row>
    <row r="739" spans="1:16">
      <c r="A739" t="s">
        <v>1567</v>
      </c>
      <c r="B739" s="34" t="s">
        <v>292</v>
      </c>
      <c r="C739" s="34" t="s">
        <v>1065</v>
      </c>
      <c r="D739" s="1400">
        <v>46027</v>
      </c>
      <c r="E739" t="s">
        <v>2637</v>
      </c>
      <c r="F739" s="57">
        <v>5388649</v>
      </c>
      <c r="G739" s="57">
        <v>0</v>
      </c>
      <c r="H739" s="1082">
        <f t="shared" si="39"/>
        <v>5388649</v>
      </c>
      <c r="I739" s="1333" t="s">
        <v>39</v>
      </c>
      <c r="J739" s="1334" t="str">
        <f>VLOOKUP(C739,Acc_Char!B:K,3,)</f>
        <v>BWID THOI HOA 2</v>
      </c>
      <c r="K739" s="1334" t="str">
        <f>VLOOKUP(C739,Acc_Char!B:K,7,)</f>
        <v>Subsidiaries</v>
      </c>
      <c r="L739" s="1334" t="str">
        <f t="shared" si="40"/>
        <v>Receipt from tenants</v>
      </c>
      <c r="M739" s="1335" t="str">
        <f>VLOOKUP(C739,Acc_Char!B:K,5,)</f>
        <v>VND</v>
      </c>
      <c r="N739" s="1335" t="str">
        <f>VLOOKUP(C739,Acc_Char!B:K,6,)</f>
        <v>Current Account</v>
      </c>
      <c r="O739" s="1336" t="str">
        <f>Summary!$B$4</f>
        <v>W1-2Jan26</v>
      </c>
      <c r="P739" s="1334" t="str">
        <f t="shared" si="41"/>
        <v>105001540411</v>
      </c>
    </row>
    <row r="740" spans="1:16">
      <c r="A740" t="s">
        <v>1567</v>
      </c>
      <c r="B740" s="34" t="s">
        <v>292</v>
      </c>
      <c r="C740" s="34" t="s">
        <v>1065</v>
      </c>
      <c r="D740" s="1400">
        <v>46028</v>
      </c>
      <c r="E740" t="s">
        <v>2638</v>
      </c>
      <c r="F740" s="57">
        <v>0</v>
      </c>
      <c r="G740" s="57">
        <v>33000</v>
      </c>
      <c r="H740" s="1082">
        <f t="shared" si="39"/>
        <v>-33000</v>
      </c>
      <c r="I740" s="1333" t="s">
        <v>53</v>
      </c>
      <c r="J740" s="1334" t="str">
        <f>VLOOKUP(C740,Acc_Char!B:K,3,)</f>
        <v>BWID THOI HOA 2</v>
      </c>
      <c r="K740" s="1334" t="str">
        <f>VLOOKUP(C740,Acc_Char!B:K,7,)</f>
        <v>Subsidiaries</v>
      </c>
      <c r="L740" s="1334" t="str">
        <f t="shared" si="40"/>
        <v>Operating expense</v>
      </c>
      <c r="M740" s="1335" t="str">
        <f>VLOOKUP(C740,Acc_Char!B:K,5,)</f>
        <v>VND</v>
      </c>
      <c r="N740" s="1335" t="str">
        <f>VLOOKUP(C740,Acc_Char!B:K,6,)</f>
        <v>Current Account</v>
      </c>
      <c r="O740" s="1336" t="str">
        <f>Summary!$B$4</f>
        <v>W1-2Jan26</v>
      </c>
      <c r="P740" s="1334" t="str">
        <f t="shared" si="41"/>
        <v>105001540411</v>
      </c>
    </row>
    <row r="741" spans="1:16">
      <c r="A741" t="s">
        <v>1567</v>
      </c>
      <c r="B741" s="34" t="s">
        <v>292</v>
      </c>
      <c r="C741" s="34" t="s">
        <v>1070</v>
      </c>
      <c r="D741" s="1400">
        <v>46028</v>
      </c>
      <c r="E741" t="s">
        <v>2638</v>
      </c>
      <c r="F741" s="57">
        <v>0</v>
      </c>
      <c r="G741" s="57">
        <v>33000</v>
      </c>
      <c r="H741" s="1082">
        <f t="shared" si="39"/>
        <v>-33000</v>
      </c>
      <c r="I741" s="1333" t="s">
        <v>53</v>
      </c>
      <c r="J741" s="1334" t="str">
        <f>VLOOKUP(C741,Acc_Char!B:K,3,)</f>
        <v>TAY NAM A</v>
      </c>
      <c r="K741" s="1334" t="str">
        <f>VLOOKUP(C741,Acc_Char!B:K,7,)</f>
        <v>Subsidiaries</v>
      </c>
      <c r="L741" s="1334" t="str">
        <f t="shared" si="40"/>
        <v>Operating expense</v>
      </c>
      <c r="M741" s="1335" t="str">
        <f>VLOOKUP(C741,Acc_Char!B:K,5,)</f>
        <v>VND</v>
      </c>
      <c r="N741" s="1335" t="str">
        <f>VLOOKUP(C741,Acc_Char!B:K,6,)</f>
        <v>Current Account</v>
      </c>
      <c r="O741" s="1336" t="str">
        <f>Summary!$B$4</f>
        <v>W1-2Jan26</v>
      </c>
      <c r="P741" s="1334" t="str">
        <f t="shared" si="41"/>
        <v>109001462412</v>
      </c>
    </row>
    <row r="742" spans="1:16">
      <c r="A742" t="s">
        <v>1567</v>
      </c>
      <c r="B742" s="34" t="s">
        <v>292</v>
      </c>
      <c r="C742" s="34" t="s">
        <v>972</v>
      </c>
      <c r="D742" s="1400">
        <v>46028</v>
      </c>
      <c r="E742" t="s">
        <v>2638</v>
      </c>
      <c r="F742" s="57">
        <v>0</v>
      </c>
      <c r="G742" s="57">
        <v>33000</v>
      </c>
      <c r="H742" s="1082">
        <f t="shared" si="39"/>
        <v>-33000</v>
      </c>
      <c r="I742" s="1333" t="s">
        <v>53</v>
      </c>
      <c r="J742" s="1334" t="str">
        <f>VLOOKUP(C742,Acc_Char!B:K,3,)</f>
        <v>BIEN HOA</v>
      </c>
      <c r="K742" s="1334" t="str">
        <f>VLOOKUP(C742,Acc_Char!B:K,7,)</f>
        <v>Subsidiaries</v>
      </c>
      <c r="L742" s="1334" t="str">
        <f t="shared" si="40"/>
        <v>Operating expense</v>
      </c>
      <c r="M742" s="1335" t="str">
        <f>VLOOKUP(C742,Acc_Char!B:K,5,)</f>
        <v>VND</v>
      </c>
      <c r="N742" s="1335" t="str">
        <f>VLOOKUP(C742,Acc_Char!B:K,6,)</f>
        <v>Current Account</v>
      </c>
      <c r="O742" s="1336" t="str">
        <f>Summary!$B$4</f>
        <v>W1-2Jan26</v>
      </c>
      <c r="P742" s="1334" t="str">
        <f t="shared" si="41"/>
        <v>102001123828</v>
      </c>
    </row>
    <row r="743" spans="1:16">
      <c r="A743" t="s">
        <v>1591</v>
      </c>
      <c r="B743" s="34" t="s">
        <v>110</v>
      </c>
      <c r="C743" s="34" t="s">
        <v>587</v>
      </c>
      <c r="D743" s="355" t="s">
        <v>2639</v>
      </c>
      <c r="E743" t="s">
        <v>2640</v>
      </c>
      <c r="F743" s="57">
        <v>0</v>
      </c>
      <c r="G743" s="57">
        <v>8290047</v>
      </c>
      <c r="H743" s="1082">
        <f t="shared" si="39"/>
        <v>-8290047</v>
      </c>
      <c r="I743" s="1333" t="s">
        <v>53</v>
      </c>
      <c r="J743" s="1334" t="str">
        <f>VLOOKUP(C743,Acc_Char!B:K,3,)</f>
        <v>SAO HOA</v>
      </c>
      <c r="K743" s="1334" t="str">
        <f>VLOOKUP(C743,Acc_Char!B:K,7,)</f>
        <v>VC3</v>
      </c>
      <c r="L743" s="1334" t="str">
        <f t="shared" si="40"/>
        <v>Operating expense</v>
      </c>
      <c r="M743" s="1335" t="str">
        <f>VLOOKUP(C743,Acc_Char!B:K,5,)</f>
        <v>VND</v>
      </c>
      <c r="N743" s="1335" t="str">
        <f>VLOOKUP(C743,Acc_Char!B:K,6,)</f>
        <v>Current Account</v>
      </c>
      <c r="O743" s="1336" t="str">
        <f>Summary!$B$4</f>
        <v>W1-2Jan26</v>
      </c>
      <c r="P743" s="1334" t="str">
        <f t="shared" si="41"/>
        <v>114002874189</v>
      </c>
    </row>
    <row r="744" spans="1:16">
      <c r="A744" t="s">
        <v>1591</v>
      </c>
      <c r="B744" s="34" t="s">
        <v>110</v>
      </c>
      <c r="C744" s="34" t="s">
        <v>715</v>
      </c>
      <c r="D744" s="355" t="s">
        <v>2547</v>
      </c>
      <c r="E744" t="s">
        <v>2641</v>
      </c>
      <c r="F744" s="57">
        <v>29752892</v>
      </c>
      <c r="G744" s="57">
        <v>0</v>
      </c>
      <c r="H744" s="1082">
        <f t="shared" si="39"/>
        <v>29752892</v>
      </c>
      <c r="I744" s="1333" t="s">
        <v>39</v>
      </c>
      <c r="J744" s="1334" t="str">
        <f>VLOOKUP(C744,Acc_Char!B:K,3,)</f>
        <v>BW MY PHUOC 3</v>
      </c>
      <c r="K744" s="1334" t="str">
        <f>VLOOKUP(C744,Acc_Char!B:K,7,)</f>
        <v>Subsidiaries</v>
      </c>
      <c r="L744" s="1334" t="str">
        <f t="shared" si="40"/>
        <v>Receipt from tenants</v>
      </c>
      <c r="M744" s="1335" t="str">
        <f>VLOOKUP(C744,Acc_Char!B:K,5,)</f>
        <v>VND</v>
      </c>
      <c r="N744" s="1335" t="str">
        <f>VLOOKUP(C744,Acc_Char!B:K,6,)</f>
        <v>Current Account</v>
      </c>
      <c r="O744" s="1336" t="str">
        <f>Summary!$B$4</f>
        <v>W1-2Jan26</v>
      </c>
      <c r="P744" s="1334" t="str">
        <f t="shared" si="41"/>
        <v>111002915309</v>
      </c>
    </row>
    <row r="745" spans="1:16">
      <c r="A745" t="s">
        <v>1591</v>
      </c>
      <c r="B745" s="34" t="s">
        <v>110</v>
      </c>
      <c r="C745" s="34" t="s">
        <v>666</v>
      </c>
      <c r="D745" s="355" t="s">
        <v>2642</v>
      </c>
      <c r="E745" t="s">
        <v>2643</v>
      </c>
      <c r="F745" s="57">
        <v>1167944778</v>
      </c>
      <c r="G745" s="57">
        <v>0</v>
      </c>
      <c r="H745" s="1082">
        <f t="shared" si="39"/>
        <v>1167944778</v>
      </c>
      <c r="I745" s="1333" t="s">
        <v>39</v>
      </c>
      <c r="J745" s="1334" t="str">
        <f>VLOOKUP(C745,Acc_Char!B:K,3,)</f>
        <v>BCI JSC</v>
      </c>
      <c r="K745" s="1334" t="str">
        <f>VLOOKUP(C745,Acc_Char!B:K,7,)</f>
        <v>Subsidiaries</v>
      </c>
      <c r="L745" s="1334" t="str">
        <f t="shared" si="40"/>
        <v>Receipt from tenants</v>
      </c>
      <c r="M745" s="1335" t="str">
        <f>VLOOKUP(C745,Acc_Char!B:K,5,)</f>
        <v>VND</v>
      </c>
      <c r="N745" s="1335" t="str">
        <f>VLOOKUP(C745,Acc_Char!B:K,6,)</f>
        <v>Current Account</v>
      </c>
      <c r="O745" s="1336" t="str">
        <f>Summary!$B$4</f>
        <v>W1-2Jan26</v>
      </c>
      <c r="P745" s="1334" t="str">
        <f t="shared" si="41"/>
        <v>114622278888</v>
      </c>
    </row>
    <row r="746" spans="1:16">
      <c r="A746" t="s">
        <v>1591</v>
      </c>
      <c r="B746" s="34" t="s">
        <v>110</v>
      </c>
      <c r="C746" s="34" t="s">
        <v>717</v>
      </c>
      <c r="D746" s="355" t="s">
        <v>2644</v>
      </c>
      <c r="E746" t="s">
        <v>2645</v>
      </c>
      <c r="F746" s="57">
        <v>922407750</v>
      </c>
      <c r="G746" s="57">
        <v>0</v>
      </c>
      <c r="H746" s="1082">
        <f t="shared" si="39"/>
        <v>922407750</v>
      </c>
      <c r="I746" s="1333" t="s">
        <v>39</v>
      </c>
      <c r="J746" s="1334" t="str">
        <f>VLOOKUP(C746,Acc_Char!B:K,3,)</f>
        <v>BW BAU BANG 01</v>
      </c>
      <c r="K746" s="1334" t="str">
        <f>VLOOKUP(C746,Acc_Char!B:K,7,)</f>
        <v>Subsidiaries</v>
      </c>
      <c r="L746" s="1334" t="str">
        <f t="shared" si="40"/>
        <v>Receipt from tenants</v>
      </c>
      <c r="M746" s="1335" t="str">
        <f>VLOOKUP(C746,Acc_Char!B:K,5,)</f>
        <v>VND</v>
      </c>
      <c r="N746" s="1335" t="str">
        <f>VLOOKUP(C746,Acc_Char!B:K,6,)</f>
        <v>Current Account</v>
      </c>
      <c r="O746" s="1336" t="str">
        <f>Summary!$B$4</f>
        <v>W1-2Jan26</v>
      </c>
      <c r="P746" s="1334" t="str">
        <f t="shared" si="41"/>
        <v>110002915294</v>
      </c>
    </row>
    <row r="747" spans="1:16">
      <c r="A747" t="s">
        <v>1591</v>
      </c>
      <c r="B747" s="34" t="s">
        <v>110</v>
      </c>
      <c r="C747" s="34" t="s">
        <v>717</v>
      </c>
      <c r="D747" s="355" t="s">
        <v>2646</v>
      </c>
      <c r="E747" t="s">
        <v>2647</v>
      </c>
      <c r="F747" s="57">
        <v>877323150</v>
      </c>
      <c r="G747" s="57">
        <v>0</v>
      </c>
      <c r="H747" s="1082">
        <f t="shared" si="39"/>
        <v>877323150</v>
      </c>
      <c r="I747" s="1333" t="s">
        <v>39</v>
      </c>
      <c r="J747" s="1334" t="str">
        <f>VLOOKUP(C747,Acc_Char!B:K,3,)</f>
        <v>BW BAU BANG 01</v>
      </c>
      <c r="K747" s="1334" t="str">
        <f>VLOOKUP(C747,Acc_Char!B:K,7,)</f>
        <v>Subsidiaries</v>
      </c>
      <c r="L747" s="1334" t="str">
        <f t="shared" si="40"/>
        <v>Receipt from tenants</v>
      </c>
      <c r="M747" s="1335" t="str">
        <f>VLOOKUP(C747,Acc_Char!B:K,5,)</f>
        <v>VND</v>
      </c>
      <c r="N747" s="1335" t="str">
        <f>VLOOKUP(C747,Acc_Char!B:K,6,)</f>
        <v>Current Account</v>
      </c>
      <c r="O747" s="1336" t="str">
        <f>Summary!$B$4</f>
        <v>W1-2Jan26</v>
      </c>
      <c r="P747" s="1334" t="str">
        <f t="shared" si="41"/>
        <v>110002915294</v>
      </c>
    </row>
    <row r="748" spans="1:16">
      <c r="A748" t="s">
        <v>1591</v>
      </c>
      <c r="B748" s="34" t="s">
        <v>110</v>
      </c>
      <c r="C748" s="34" t="s">
        <v>666</v>
      </c>
      <c r="D748" s="355" t="s">
        <v>2648</v>
      </c>
      <c r="E748" t="s">
        <v>2649</v>
      </c>
      <c r="F748" s="57">
        <v>0</v>
      </c>
      <c r="G748" s="57">
        <v>27447057</v>
      </c>
      <c r="H748" s="1082">
        <f t="shared" si="39"/>
        <v>-27447057</v>
      </c>
      <c r="I748" s="1333" t="s">
        <v>53</v>
      </c>
      <c r="J748" s="1334" t="str">
        <f>VLOOKUP(C748,Acc_Char!B:K,3,)</f>
        <v>BCI JSC</v>
      </c>
      <c r="K748" s="1334" t="str">
        <f>VLOOKUP(C748,Acc_Char!B:K,7,)</f>
        <v>Subsidiaries</v>
      </c>
      <c r="L748" s="1334" t="str">
        <f t="shared" si="40"/>
        <v>Operating expense</v>
      </c>
      <c r="M748" s="1335" t="str">
        <f>VLOOKUP(C748,Acc_Char!B:K,5,)</f>
        <v>VND</v>
      </c>
      <c r="N748" s="1335" t="str">
        <f>VLOOKUP(C748,Acc_Char!B:K,6,)</f>
        <v>Current Account</v>
      </c>
      <c r="O748" s="1336" t="str">
        <f>Summary!$B$4</f>
        <v>W1-2Jan26</v>
      </c>
      <c r="P748" s="1334" t="str">
        <f t="shared" si="41"/>
        <v>114622278888</v>
      </c>
    </row>
    <row r="749" spans="1:16">
      <c r="A749" t="s">
        <v>1591</v>
      </c>
      <c r="B749" s="34" t="s">
        <v>110</v>
      </c>
      <c r="C749" s="34" t="s">
        <v>666</v>
      </c>
      <c r="D749" s="355" t="s">
        <v>2650</v>
      </c>
      <c r="E749" t="s">
        <v>2651</v>
      </c>
      <c r="F749" s="57">
        <v>0</v>
      </c>
      <c r="G749" s="57">
        <v>14668802</v>
      </c>
      <c r="H749" s="1082">
        <f t="shared" si="39"/>
        <v>-14668802</v>
      </c>
      <c r="I749" s="1333" t="s">
        <v>53</v>
      </c>
      <c r="J749" s="1334" t="str">
        <f>VLOOKUP(C749,Acc_Char!B:K,3,)</f>
        <v>BCI JSC</v>
      </c>
      <c r="K749" s="1334" t="str">
        <f>VLOOKUP(C749,Acc_Char!B:K,7,)</f>
        <v>Subsidiaries</v>
      </c>
      <c r="L749" s="1334" t="str">
        <f t="shared" si="40"/>
        <v>Operating expense</v>
      </c>
      <c r="M749" s="1335" t="str">
        <f>VLOOKUP(C749,Acc_Char!B:K,5,)</f>
        <v>VND</v>
      </c>
      <c r="N749" s="1335" t="str">
        <f>VLOOKUP(C749,Acc_Char!B:K,6,)</f>
        <v>Current Account</v>
      </c>
      <c r="O749" s="1336" t="str">
        <f>Summary!$B$4</f>
        <v>W1-2Jan26</v>
      </c>
      <c r="P749" s="1334" t="str">
        <f t="shared" si="41"/>
        <v>114622278888</v>
      </c>
    </row>
    <row r="750" spans="1:16">
      <c r="A750" t="s">
        <v>1591</v>
      </c>
      <c r="B750" s="34" t="s">
        <v>110</v>
      </c>
      <c r="C750" s="34" t="s">
        <v>504</v>
      </c>
      <c r="D750" s="355" t="s">
        <v>2652</v>
      </c>
      <c r="E750" t="s">
        <v>2653</v>
      </c>
      <c r="F750" s="57">
        <v>0</v>
      </c>
      <c r="G750" s="57">
        <v>19829146</v>
      </c>
      <c r="H750" s="1082">
        <f t="shared" si="39"/>
        <v>-19829146</v>
      </c>
      <c r="I750" s="1333" t="s">
        <v>53</v>
      </c>
      <c r="J750" s="1334" t="str">
        <f>VLOOKUP(C750,Acc_Char!B:K,3,)</f>
        <v>BWID BAC NINH</v>
      </c>
      <c r="K750" s="1334" t="str">
        <f>VLOOKUP(C750,Acc_Char!B:K,7,)</f>
        <v>Subsidiaries</v>
      </c>
      <c r="L750" s="1334" t="str">
        <f t="shared" si="40"/>
        <v>Operating expense</v>
      </c>
      <c r="M750" s="1335" t="str">
        <f>VLOOKUP(C750,Acc_Char!B:K,5,)</f>
        <v>VND</v>
      </c>
      <c r="N750" s="1335" t="str">
        <f>VLOOKUP(C750,Acc_Char!B:K,6,)</f>
        <v>Current Account</v>
      </c>
      <c r="O750" s="1336" t="str">
        <f>Summary!$B$4</f>
        <v>W1-2Jan26</v>
      </c>
      <c r="P750" s="1334" t="str">
        <f t="shared" si="41"/>
        <v>118008108888</v>
      </c>
    </row>
    <row r="751" spans="1:16">
      <c r="A751" t="s">
        <v>1591</v>
      </c>
      <c r="B751" s="34" t="s">
        <v>110</v>
      </c>
      <c r="C751" s="34" t="s">
        <v>504</v>
      </c>
      <c r="D751" s="355" t="s">
        <v>2652</v>
      </c>
      <c r="E751" t="s">
        <v>2654</v>
      </c>
      <c r="F751" s="57">
        <v>0</v>
      </c>
      <c r="G751" s="57">
        <v>3020544</v>
      </c>
      <c r="H751" s="1082">
        <f t="shared" si="39"/>
        <v>-3020544</v>
      </c>
      <c r="I751" s="1333" t="s">
        <v>53</v>
      </c>
      <c r="J751" s="1334" t="str">
        <f>VLOOKUP(C751,Acc_Char!B:K,3,)</f>
        <v>BWID BAC NINH</v>
      </c>
      <c r="K751" s="1334" t="str">
        <f>VLOOKUP(C751,Acc_Char!B:K,7,)</f>
        <v>Subsidiaries</v>
      </c>
      <c r="L751" s="1334" t="str">
        <f t="shared" si="40"/>
        <v>Operating expense</v>
      </c>
      <c r="M751" s="1335" t="str">
        <f>VLOOKUP(C751,Acc_Char!B:K,5,)</f>
        <v>VND</v>
      </c>
      <c r="N751" s="1335" t="str">
        <f>VLOOKUP(C751,Acc_Char!B:K,6,)</f>
        <v>Current Account</v>
      </c>
      <c r="O751" s="1336" t="str">
        <f>Summary!$B$4</f>
        <v>W1-2Jan26</v>
      </c>
      <c r="P751" s="1334" t="str">
        <f t="shared" si="41"/>
        <v>118008108888</v>
      </c>
    </row>
    <row r="752" spans="1:16">
      <c r="A752" t="s">
        <v>1567</v>
      </c>
      <c r="B752" s="34" t="s">
        <v>110</v>
      </c>
      <c r="C752" s="34" t="s">
        <v>960</v>
      </c>
      <c r="D752" s="1400">
        <v>46082</v>
      </c>
      <c r="E752" t="s">
        <v>2655</v>
      </c>
      <c r="F752" s="57">
        <v>0</v>
      </c>
      <c r="G752" s="57">
        <v>10959840</v>
      </c>
      <c r="H752" s="1082">
        <f t="shared" si="39"/>
        <v>-10959840</v>
      </c>
      <c r="I752" s="1333" t="s">
        <v>53</v>
      </c>
      <c r="J752" s="1334" t="str">
        <f>VLOOKUP(C752,Acc_Char!B:K,3,)</f>
        <v>PHO NOI A</v>
      </c>
      <c r="K752" s="1334" t="str">
        <f>VLOOKUP(C752,Acc_Char!B:K,7,)</f>
        <v>Subsidiaries</v>
      </c>
      <c r="L752" s="1334" t="str">
        <f t="shared" si="40"/>
        <v>Operating expense</v>
      </c>
      <c r="M752" s="1335" t="str">
        <f>VLOOKUP(C752,Acc_Char!B:K,5,)</f>
        <v>VND</v>
      </c>
      <c r="N752" s="1335" t="str">
        <f>VLOOKUP(C752,Acc_Char!B:K,6,)</f>
        <v>Current Account</v>
      </c>
      <c r="O752" s="1336" t="str">
        <f>Summary!$B$4</f>
        <v>W1-2Jan26</v>
      </c>
      <c r="P752" s="1334" t="str">
        <f t="shared" si="41"/>
        <v>685603330999</v>
      </c>
    </row>
    <row r="753" spans="1:17">
      <c r="A753" t="s">
        <v>1567</v>
      </c>
      <c r="B753" s="34" t="s">
        <v>110</v>
      </c>
      <c r="C753" s="34" t="s">
        <v>960</v>
      </c>
      <c r="D753" s="1400">
        <v>46082</v>
      </c>
      <c r="E753" t="s">
        <v>2656</v>
      </c>
      <c r="F753" s="57">
        <v>0</v>
      </c>
      <c r="G753" s="57">
        <v>14511744</v>
      </c>
      <c r="H753" s="1082">
        <f t="shared" si="39"/>
        <v>-14511744</v>
      </c>
      <c r="I753" s="1333" t="s">
        <v>53</v>
      </c>
      <c r="J753" s="1334" t="str">
        <f>VLOOKUP(C753,Acc_Char!B:K,3,)</f>
        <v>PHO NOI A</v>
      </c>
      <c r="K753" s="1334" t="str">
        <f>VLOOKUP(C753,Acc_Char!B:K,7,)</f>
        <v>Subsidiaries</v>
      </c>
      <c r="L753" s="1334" t="str">
        <f t="shared" si="40"/>
        <v>Operating expense</v>
      </c>
      <c r="M753" s="1335" t="str">
        <f>VLOOKUP(C753,Acc_Char!B:K,5,)</f>
        <v>VND</v>
      </c>
      <c r="N753" s="1335" t="str">
        <f>VLOOKUP(C753,Acc_Char!B:K,6,)</f>
        <v>Current Account</v>
      </c>
      <c r="O753" s="1336" t="str">
        <f>Summary!$B$4</f>
        <v>W1-2Jan26</v>
      </c>
      <c r="P753" s="1334" t="str">
        <f t="shared" si="41"/>
        <v>685603330999</v>
      </c>
    </row>
    <row r="754" spans="1:17">
      <c r="A754" t="s">
        <v>1591</v>
      </c>
      <c r="B754" s="34" t="s">
        <v>110</v>
      </c>
      <c r="C754" s="34" t="s">
        <v>1048</v>
      </c>
      <c r="D754" s="355" t="s">
        <v>2657</v>
      </c>
      <c r="E754" t="s">
        <v>2658</v>
      </c>
      <c r="F754" s="57">
        <v>0</v>
      </c>
      <c r="G754" s="57">
        <v>20657398</v>
      </c>
      <c r="H754" s="1082">
        <f t="shared" si="39"/>
        <v>-20657398</v>
      </c>
      <c r="I754" s="1333" t="s">
        <v>53</v>
      </c>
      <c r="J754" s="1334" t="str">
        <f>VLOOKUP(C754,Acc_Char!B:K,3,)</f>
        <v>TAN DONG HIEP B ELECTRON</v>
      </c>
      <c r="K754" s="1334" t="str">
        <f>VLOOKUP(C754,Acc_Char!B:K,7,)</f>
        <v>Subsidiaries</v>
      </c>
      <c r="L754" s="1334" t="str">
        <f t="shared" si="40"/>
        <v>Operating expense</v>
      </c>
      <c r="M754" s="1335" t="str">
        <f>VLOOKUP(C754,Acc_Char!B:K,5,)</f>
        <v>VND</v>
      </c>
      <c r="N754" s="1335" t="str">
        <f>VLOOKUP(C754,Acc_Char!B:K,6,)</f>
        <v>Current Account</v>
      </c>
      <c r="O754" s="1336" t="str">
        <f>Summary!$B$4</f>
        <v>W1-2Jan26</v>
      </c>
      <c r="P754" s="1334" t="str">
        <f t="shared" si="41"/>
        <v>110002974996</v>
      </c>
    </row>
    <row r="755" spans="1:17">
      <c r="A755" t="s">
        <v>1591</v>
      </c>
      <c r="B755" s="34" t="s">
        <v>110</v>
      </c>
      <c r="C755" s="34" t="s">
        <v>1048</v>
      </c>
      <c r="D755" s="355" t="s">
        <v>2659</v>
      </c>
      <c r="E755" t="s">
        <v>2660</v>
      </c>
      <c r="F755" s="57">
        <v>0</v>
      </c>
      <c r="G755" s="57">
        <v>37036894</v>
      </c>
      <c r="H755" s="1082">
        <f t="shared" si="39"/>
        <v>-37036894</v>
      </c>
      <c r="I755" s="1333" t="s">
        <v>53</v>
      </c>
      <c r="J755" s="1334" t="str">
        <f>VLOOKUP(C755,Acc_Char!B:K,3,)</f>
        <v>TAN DONG HIEP B ELECTRON</v>
      </c>
      <c r="K755" s="1334" t="str">
        <f>VLOOKUP(C755,Acc_Char!B:K,7,)</f>
        <v>Subsidiaries</v>
      </c>
      <c r="L755" s="1334" t="str">
        <f t="shared" si="40"/>
        <v>Operating expense</v>
      </c>
      <c r="M755" s="1335" t="str">
        <f>VLOOKUP(C755,Acc_Char!B:K,5,)</f>
        <v>VND</v>
      </c>
      <c r="N755" s="1335" t="str">
        <f>VLOOKUP(C755,Acc_Char!B:K,6,)</f>
        <v>Current Account</v>
      </c>
      <c r="O755" s="1336" t="str">
        <f>Summary!$B$4</f>
        <v>W1-2Jan26</v>
      </c>
      <c r="P755" s="1334" t="str">
        <f t="shared" si="41"/>
        <v>110002974996</v>
      </c>
    </row>
    <row r="756" spans="1:17">
      <c r="A756" t="s">
        <v>1591</v>
      </c>
      <c r="B756" s="34" t="s">
        <v>110</v>
      </c>
      <c r="C756" s="34" t="s">
        <v>1048</v>
      </c>
      <c r="D756" s="355" t="s">
        <v>2661</v>
      </c>
      <c r="E756" t="s">
        <v>2662</v>
      </c>
      <c r="F756" s="57">
        <v>0</v>
      </c>
      <c r="G756" s="57">
        <v>141312300</v>
      </c>
      <c r="H756" s="1082">
        <f t="shared" si="39"/>
        <v>-141312300</v>
      </c>
      <c r="I756" s="1333" t="s">
        <v>53</v>
      </c>
      <c r="J756" s="1334" t="str">
        <f>VLOOKUP(C756,Acc_Char!B:K,3,)</f>
        <v>TAN DONG HIEP B ELECTRON</v>
      </c>
      <c r="K756" s="1334" t="str">
        <f>VLOOKUP(C756,Acc_Char!B:K,7,)</f>
        <v>Subsidiaries</v>
      </c>
      <c r="L756" s="1334" t="str">
        <f t="shared" si="40"/>
        <v>Operating expense</v>
      </c>
      <c r="M756" s="1335" t="str">
        <f>VLOOKUP(C756,Acc_Char!B:K,5,)</f>
        <v>VND</v>
      </c>
      <c r="N756" s="1335" t="str">
        <f>VLOOKUP(C756,Acc_Char!B:K,6,)</f>
        <v>Current Account</v>
      </c>
      <c r="O756" s="1336" t="str">
        <f>Summary!$B$4</f>
        <v>W1-2Jan26</v>
      </c>
      <c r="P756" s="1334" t="str">
        <f t="shared" si="41"/>
        <v>110002974996</v>
      </c>
    </row>
    <row r="757" spans="1:17">
      <c r="A757" t="s">
        <v>1591</v>
      </c>
      <c r="B757" s="34" t="s">
        <v>110</v>
      </c>
      <c r="C757" s="34" t="s">
        <v>1048</v>
      </c>
      <c r="D757" s="355" t="s">
        <v>2659</v>
      </c>
      <c r="E757" t="s">
        <v>2663</v>
      </c>
      <c r="F757" s="57">
        <v>0</v>
      </c>
      <c r="G757" s="57">
        <v>809343</v>
      </c>
      <c r="H757" s="1082">
        <f t="shared" si="39"/>
        <v>-809343</v>
      </c>
      <c r="I757" s="1333" t="s">
        <v>53</v>
      </c>
      <c r="J757" s="1334" t="str">
        <f>VLOOKUP(C757,Acc_Char!B:K,3,)</f>
        <v>TAN DONG HIEP B ELECTRON</v>
      </c>
      <c r="K757" s="1334" t="str">
        <f>VLOOKUP(C757,Acc_Char!B:K,7,)</f>
        <v>Subsidiaries</v>
      </c>
      <c r="L757" s="1334" t="str">
        <f t="shared" si="40"/>
        <v>Operating expense</v>
      </c>
      <c r="M757" s="1335" t="str">
        <f>VLOOKUP(C757,Acc_Char!B:K,5,)</f>
        <v>VND</v>
      </c>
      <c r="N757" s="1335" t="str">
        <f>VLOOKUP(C757,Acc_Char!B:K,6,)</f>
        <v>Current Account</v>
      </c>
      <c r="O757" s="1336" t="str">
        <f>Summary!$B$4</f>
        <v>W1-2Jan26</v>
      </c>
      <c r="P757" s="1334" t="str">
        <f t="shared" si="41"/>
        <v>110002974996</v>
      </c>
    </row>
    <row r="758" spans="1:17">
      <c r="A758" t="s">
        <v>1591</v>
      </c>
      <c r="B758" s="34" t="s">
        <v>110</v>
      </c>
      <c r="C758" s="34" t="s">
        <v>1048</v>
      </c>
      <c r="D758" s="355" t="s">
        <v>2664</v>
      </c>
      <c r="E758" t="s">
        <v>2665</v>
      </c>
      <c r="F758" s="57">
        <v>0</v>
      </c>
      <c r="G758" s="57">
        <v>1920918</v>
      </c>
      <c r="H758" s="1082">
        <f t="shared" si="39"/>
        <v>-1920918</v>
      </c>
      <c r="I758" s="1333" t="s">
        <v>53</v>
      </c>
      <c r="J758" s="1334" t="str">
        <f>VLOOKUP(C758,Acc_Char!B:K,3,)</f>
        <v>TAN DONG HIEP B ELECTRON</v>
      </c>
      <c r="K758" s="1334" t="str">
        <f>VLOOKUP(C758,Acc_Char!B:K,7,)</f>
        <v>Subsidiaries</v>
      </c>
      <c r="L758" s="1334" t="str">
        <f t="shared" si="40"/>
        <v>Operating expense</v>
      </c>
      <c r="M758" s="1335" t="str">
        <f>VLOOKUP(C758,Acc_Char!B:K,5,)</f>
        <v>VND</v>
      </c>
      <c r="N758" s="1335" t="str">
        <f>VLOOKUP(C758,Acc_Char!B:K,6,)</f>
        <v>Current Account</v>
      </c>
      <c r="O758" s="1336" t="str">
        <f>Summary!$B$4</f>
        <v>W1-2Jan26</v>
      </c>
      <c r="P758" s="1334" t="str">
        <f t="shared" si="41"/>
        <v>110002974996</v>
      </c>
    </row>
    <row r="759" spans="1:17">
      <c r="A759" t="s">
        <v>1591</v>
      </c>
      <c r="B759" s="34" t="s">
        <v>110</v>
      </c>
      <c r="C759" s="34" t="s">
        <v>555</v>
      </c>
      <c r="D759" s="355" t="s">
        <v>2666</v>
      </c>
      <c r="E759" t="s">
        <v>2667</v>
      </c>
      <c r="F759" s="57">
        <v>0</v>
      </c>
      <c r="G759" s="57">
        <v>167576072</v>
      </c>
      <c r="H759" s="1082">
        <f t="shared" si="39"/>
        <v>-167576072</v>
      </c>
      <c r="I759" s="1333" t="s">
        <v>53</v>
      </c>
      <c r="J759" s="1334" t="str">
        <f>VLOOKUP(C759,Acc_Char!B:K,3,)</f>
        <v>BWID DONG AN LID</v>
      </c>
      <c r="K759" s="1334" t="str">
        <f>VLOOKUP(C759,Acc_Char!B:K,7,)</f>
        <v>Subsidiaries</v>
      </c>
      <c r="L759" s="1334" t="str">
        <f t="shared" si="40"/>
        <v>Operating expense</v>
      </c>
      <c r="M759" s="1335" t="str">
        <f>VLOOKUP(C759,Acc_Char!B:K,5,)</f>
        <v>VND</v>
      </c>
      <c r="N759" s="1335" t="str">
        <f>VLOOKUP(C759,Acc_Char!B:K,6,)</f>
        <v>Current Account</v>
      </c>
      <c r="O759" s="1336" t="str">
        <f>Summary!$B$4</f>
        <v>W1-2Jan26</v>
      </c>
      <c r="P759" s="1334" t="str">
        <f t="shared" si="41"/>
        <v>114002807847</v>
      </c>
    </row>
    <row r="760" spans="1:17">
      <c r="A760" t="s">
        <v>1591</v>
      </c>
      <c r="B760" s="34" t="s">
        <v>110</v>
      </c>
      <c r="C760" s="34" t="s">
        <v>715</v>
      </c>
      <c r="D760" s="355" t="s">
        <v>2668</v>
      </c>
      <c r="E760" t="s">
        <v>2669</v>
      </c>
      <c r="F760" s="57">
        <v>0</v>
      </c>
      <c r="G760" s="57">
        <v>12128951</v>
      </c>
      <c r="H760" s="1082">
        <f t="shared" si="39"/>
        <v>-12128951</v>
      </c>
      <c r="I760" s="1333" t="s">
        <v>53</v>
      </c>
      <c r="J760" s="1334" t="str">
        <f>VLOOKUP(C760,Acc_Char!B:K,3,)</f>
        <v>BW MY PHUOC 3</v>
      </c>
      <c r="K760" s="1334" t="str">
        <f>VLOOKUP(C760,Acc_Char!B:K,7,)</f>
        <v>Subsidiaries</v>
      </c>
      <c r="L760" s="1334" t="str">
        <f t="shared" si="40"/>
        <v>Operating expense</v>
      </c>
      <c r="M760" s="1335" t="str">
        <f>VLOOKUP(C760,Acc_Char!B:K,5,)</f>
        <v>VND</v>
      </c>
      <c r="N760" s="1335" t="str">
        <f>VLOOKUP(C760,Acc_Char!B:K,6,)</f>
        <v>Current Account</v>
      </c>
      <c r="O760" s="1336" t="str">
        <f>Summary!$B$4</f>
        <v>W1-2Jan26</v>
      </c>
      <c r="P760" s="1334" t="str">
        <f t="shared" si="41"/>
        <v>111002915309</v>
      </c>
    </row>
    <row r="761" spans="1:17">
      <c r="A761" t="s">
        <v>1591</v>
      </c>
      <c r="B761" s="34" t="s">
        <v>110</v>
      </c>
      <c r="C761" s="34" t="s">
        <v>715</v>
      </c>
      <c r="D761" s="355" t="s">
        <v>2670</v>
      </c>
      <c r="E761" t="s">
        <v>2671</v>
      </c>
      <c r="F761" s="57">
        <v>0</v>
      </c>
      <c r="G761" s="57">
        <v>105075</v>
      </c>
      <c r="H761" s="1082">
        <f t="shared" si="39"/>
        <v>-105075</v>
      </c>
      <c r="I761" s="1333" t="s">
        <v>53</v>
      </c>
      <c r="J761" s="1334" t="str">
        <f>VLOOKUP(C761,Acc_Char!B:K,3,)</f>
        <v>BW MY PHUOC 3</v>
      </c>
      <c r="K761" s="1334" t="str">
        <f>VLOOKUP(C761,Acc_Char!B:K,7,)</f>
        <v>Subsidiaries</v>
      </c>
      <c r="L761" s="1334" t="str">
        <f t="shared" si="40"/>
        <v>Operating expense</v>
      </c>
      <c r="M761" s="1335" t="str">
        <f>VLOOKUP(C761,Acc_Char!B:K,5,)</f>
        <v>VND</v>
      </c>
      <c r="N761" s="1335" t="str">
        <f>VLOOKUP(C761,Acc_Char!B:K,6,)</f>
        <v>Current Account</v>
      </c>
      <c r="O761" s="1336" t="str">
        <f>Summary!$B$4</f>
        <v>W1-2Jan26</v>
      </c>
      <c r="P761" s="1334" t="str">
        <f t="shared" si="41"/>
        <v>111002915309</v>
      </c>
    </row>
    <row r="762" spans="1:17">
      <c r="A762" t="s">
        <v>1591</v>
      </c>
      <c r="B762" s="34" t="s">
        <v>110</v>
      </c>
      <c r="C762" s="34" t="s">
        <v>715</v>
      </c>
      <c r="D762" s="355" t="s">
        <v>2670</v>
      </c>
      <c r="E762" t="s">
        <v>2672</v>
      </c>
      <c r="F762" s="57">
        <v>0</v>
      </c>
      <c r="G762" s="57">
        <v>180278</v>
      </c>
      <c r="H762" s="1082">
        <f t="shared" si="39"/>
        <v>-180278</v>
      </c>
      <c r="I762" s="1333" t="s">
        <v>53</v>
      </c>
      <c r="J762" s="1334" t="str">
        <f>VLOOKUP(C762,Acc_Char!B:K,3,)</f>
        <v>BW MY PHUOC 3</v>
      </c>
      <c r="K762" s="1334" t="str">
        <f>VLOOKUP(C762,Acc_Char!B:K,7,)</f>
        <v>Subsidiaries</v>
      </c>
      <c r="L762" s="1334" t="str">
        <f t="shared" si="40"/>
        <v>Operating expense</v>
      </c>
      <c r="M762" s="1335" t="str">
        <f>VLOOKUP(C762,Acc_Char!B:K,5,)</f>
        <v>VND</v>
      </c>
      <c r="N762" s="1335" t="str">
        <f>VLOOKUP(C762,Acc_Char!B:K,6,)</f>
        <v>Current Account</v>
      </c>
      <c r="O762" s="1336" t="str">
        <f>Summary!$B$4</f>
        <v>W1-2Jan26</v>
      </c>
      <c r="P762" s="1334" t="str">
        <f t="shared" si="41"/>
        <v>111002915309</v>
      </c>
      <c r="Q762" s="1024"/>
    </row>
    <row r="763" spans="1:17">
      <c r="A763" t="s">
        <v>1591</v>
      </c>
      <c r="B763" s="34" t="s">
        <v>110</v>
      </c>
      <c r="C763" s="34" t="s">
        <v>715</v>
      </c>
      <c r="D763" s="355" t="s">
        <v>2668</v>
      </c>
      <c r="E763" t="s">
        <v>2673</v>
      </c>
      <c r="F763" s="57">
        <v>0</v>
      </c>
      <c r="G763" s="57">
        <v>41299626</v>
      </c>
      <c r="H763" s="1082">
        <f t="shared" si="39"/>
        <v>-41299626</v>
      </c>
      <c r="I763" s="1333" t="s">
        <v>53</v>
      </c>
      <c r="J763" s="1334" t="str">
        <f>VLOOKUP(C763,Acc_Char!B:K,3,)</f>
        <v>BW MY PHUOC 3</v>
      </c>
      <c r="K763" s="1334" t="str">
        <f>VLOOKUP(C763,Acc_Char!B:K,7,)</f>
        <v>Subsidiaries</v>
      </c>
      <c r="L763" s="1334" t="str">
        <f t="shared" si="40"/>
        <v>Operating expense</v>
      </c>
      <c r="M763" s="1335" t="str">
        <f>VLOOKUP(C763,Acc_Char!B:K,5,)</f>
        <v>VND</v>
      </c>
      <c r="N763" s="1335" t="str">
        <f>VLOOKUP(C763,Acc_Char!B:K,6,)</f>
        <v>Current Account</v>
      </c>
      <c r="O763" s="1336" t="str">
        <f>Summary!$B$4</f>
        <v>W1-2Jan26</v>
      </c>
      <c r="P763" s="1334" t="str">
        <f t="shared" si="41"/>
        <v>111002915309</v>
      </c>
      <c r="Q763" s="1401"/>
    </row>
    <row r="764" spans="1:17">
      <c r="A764" t="s">
        <v>1591</v>
      </c>
      <c r="B764" s="34" t="s">
        <v>110</v>
      </c>
      <c r="C764" s="34" t="s">
        <v>715</v>
      </c>
      <c r="D764" s="355" t="s">
        <v>2674</v>
      </c>
      <c r="E764" t="s">
        <v>2675</v>
      </c>
      <c r="F764" s="57">
        <v>0</v>
      </c>
      <c r="G764" s="57">
        <v>33123194</v>
      </c>
      <c r="H764" s="1082">
        <f t="shared" si="39"/>
        <v>-33123194</v>
      </c>
      <c r="I764" s="1333" t="s">
        <v>53</v>
      </c>
      <c r="J764" s="1334" t="str">
        <f>VLOOKUP(C764,Acc_Char!B:K,3,)</f>
        <v>BW MY PHUOC 3</v>
      </c>
      <c r="K764" s="1334" t="str">
        <f>VLOOKUP(C764,Acc_Char!B:K,7,)</f>
        <v>Subsidiaries</v>
      </c>
      <c r="L764" s="1334" t="str">
        <f t="shared" si="40"/>
        <v>Operating expense</v>
      </c>
      <c r="M764" s="1335" t="str">
        <f>VLOOKUP(C764,Acc_Char!B:K,5,)</f>
        <v>VND</v>
      </c>
      <c r="N764" s="1335" t="str">
        <f>VLOOKUP(C764,Acc_Char!B:K,6,)</f>
        <v>Current Account</v>
      </c>
      <c r="O764" s="1336" t="str">
        <f>Summary!$B$4</f>
        <v>W1-2Jan26</v>
      </c>
      <c r="P764" s="1334" t="str">
        <f t="shared" si="41"/>
        <v>111002915309</v>
      </c>
    </row>
    <row r="765" spans="1:17">
      <c r="A765" t="s">
        <v>1591</v>
      </c>
      <c r="B765" s="34" t="s">
        <v>110</v>
      </c>
      <c r="C765" s="34" t="s">
        <v>715</v>
      </c>
      <c r="D765" s="355" t="s">
        <v>2674</v>
      </c>
      <c r="E765" t="s">
        <v>2676</v>
      </c>
      <c r="F765" s="57">
        <v>0</v>
      </c>
      <c r="G765" s="57">
        <v>18150748</v>
      </c>
      <c r="H765" s="1082">
        <f t="shared" si="39"/>
        <v>-18150748</v>
      </c>
      <c r="I765" s="1333" t="s">
        <v>53</v>
      </c>
      <c r="J765" s="1334" t="str">
        <f>VLOOKUP(C765,Acc_Char!B:K,3,)</f>
        <v>BW MY PHUOC 3</v>
      </c>
      <c r="K765" s="1334" t="str">
        <f>VLOOKUP(C765,Acc_Char!B:K,7,)</f>
        <v>Subsidiaries</v>
      </c>
      <c r="L765" s="1334" t="str">
        <f t="shared" si="40"/>
        <v>Operating expense</v>
      </c>
      <c r="M765" s="1335" t="str">
        <f>VLOOKUP(C765,Acc_Char!B:K,5,)</f>
        <v>VND</v>
      </c>
      <c r="N765" s="1335" t="str">
        <f>VLOOKUP(C765,Acc_Char!B:K,6,)</f>
        <v>Current Account</v>
      </c>
      <c r="O765" s="1336" t="str">
        <f>Summary!$B$4</f>
        <v>W1-2Jan26</v>
      </c>
      <c r="P765" s="1334" t="str">
        <f t="shared" si="41"/>
        <v>111002915309</v>
      </c>
    </row>
    <row r="766" spans="1:17">
      <c r="A766" t="s">
        <v>1591</v>
      </c>
      <c r="B766" s="34" t="s">
        <v>110</v>
      </c>
      <c r="C766" s="34" t="s">
        <v>717</v>
      </c>
      <c r="D766" s="355" t="s">
        <v>2677</v>
      </c>
      <c r="E766" t="s">
        <v>2678</v>
      </c>
      <c r="F766" s="57">
        <v>0</v>
      </c>
      <c r="G766" s="57">
        <v>23574927</v>
      </c>
      <c r="H766" s="1082">
        <f t="shared" si="39"/>
        <v>-23574927</v>
      </c>
      <c r="I766" s="1333" t="s">
        <v>53</v>
      </c>
      <c r="J766" s="1334" t="str">
        <f>VLOOKUP(C766,Acc_Char!B:K,3,)</f>
        <v>BW BAU BANG 01</v>
      </c>
      <c r="K766" s="1334" t="str">
        <f>VLOOKUP(C766,Acc_Char!B:K,7,)</f>
        <v>Subsidiaries</v>
      </c>
      <c r="L766" s="1334" t="str">
        <f t="shared" si="40"/>
        <v>Operating expense</v>
      </c>
      <c r="M766" s="1335" t="str">
        <f>VLOOKUP(C766,Acc_Char!B:K,5,)</f>
        <v>VND</v>
      </c>
      <c r="N766" s="1335" t="str">
        <f>VLOOKUP(C766,Acc_Char!B:K,6,)</f>
        <v>Current Account</v>
      </c>
      <c r="O766" s="1336" t="str">
        <f>Summary!$B$4</f>
        <v>W1-2Jan26</v>
      </c>
      <c r="P766" s="1334" t="str">
        <f t="shared" si="41"/>
        <v>110002915294</v>
      </c>
    </row>
    <row r="767" spans="1:17">
      <c r="A767" t="s">
        <v>1591</v>
      </c>
      <c r="B767" s="34" t="s">
        <v>110</v>
      </c>
      <c r="C767" s="34" t="s">
        <v>717</v>
      </c>
      <c r="D767" s="355" t="s">
        <v>2679</v>
      </c>
      <c r="E767" t="s">
        <v>2680</v>
      </c>
      <c r="F767" s="57">
        <v>0</v>
      </c>
      <c r="G767" s="57">
        <v>8933</v>
      </c>
      <c r="H767" s="1082">
        <f t="shared" ref="H767:H830" si="42">F767-G767</f>
        <v>-8933</v>
      </c>
      <c r="I767" s="1333" t="s">
        <v>53</v>
      </c>
      <c r="J767" s="1334" t="str">
        <f>VLOOKUP(C767,Acc_Char!B:K,3,)</f>
        <v>BW BAU BANG 01</v>
      </c>
      <c r="K767" s="1334" t="str">
        <f>VLOOKUP(C767,Acc_Char!B:K,7,)</f>
        <v>Subsidiaries</v>
      </c>
      <c r="L767" s="1334" t="str">
        <f t="shared" si="40"/>
        <v>Operating expense</v>
      </c>
      <c r="M767" s="1335" t="str">
        <f>VLOOKUP(C767,Acc_Char!B:K,5,)</f>
        <v>VND</v>
      </c>
      <c r="N767" s="1335" t="str">
        <f>VLOOKUP(C767,Acc_Char!B:K,6,)</f>
        <v>Current Account</v>
      </c>
      <c r="O767" s="1336" t="str">
        <f>Summary!$B$4</f>
        <v>W1-2Jan26</v>
      </c>
      <c r="P767" s="1334" t="str">
        <f t="shared" si="41"/>
        <v>110002915294</v>
      </c>
    </row>
    <row r="768" spans="1:17">
      <c r="A768" t="s">
        <v>1591</v>
      </c>
      <c r="B768" s="34" t="s">
        <v>110</v>
      </c>
      <c r="C768" s="34" t="s">
        <v>717</v>
      </c>
      <c r="D768" s="355" t="s">
        <v>2679</v>
      </c>
      <c r="E768" t="s">
        <v>2681</v>
      </c>
      <c r="F768" s="57">
        <v>0</v>
      </c>
      <c r="G768" s="57">
        <v>1307655</v>
      </c>
      <c r="H768" s="1082">
        <f t="shared" si="42"/>
        <v>-1307655</v>
      </c>
      <c r="I768" s="1333" t="s">
        <v>53</v>
      </c>
      <c r="J768" s="1334" t="str">
        <f>VLOOKUP(C768,Acc_Char!B:K,3,)</f>
        <v>BW BAU BANG 01</v>
      </c>
      <c r="K768" s="1334" t="str">
        <f>VLOOKUP(C768,Acc_Char!B:K,7,)</f>
        <v>Subsidiaries</v>
      </c>
      <c r="L768" s="1334" t="str">
        <f t="shared" si="40"/>
        <v>Operating expense</v>
      </c>
      <c r="M768" s="1335" t="str">
        <f>VLOOKUP(C768,Acc_Char!B:K,5,)</f>
        <v>VND</v>
      </c>
      <c r="N768" s="1335" t="str">
        <f>VLOOKUP(C768,Acc_Char!B:K,6,)</f>
        <v>Current Account</v>
      </c>
      <c r="O768" s="1336" t="str">
        <f>Summary!$B$4</f>
        <v>W1-2Jan26</v>
      </c>
      <c r="P768" s="1334" t="str">
        <f t="shared" si="41"/>
        <v>110002915294</v>
      </c>
    </row>
    <row r="769" spans="1:16">
      <c r="A769" t="s">
        <v>1591</v>
      </c>
      <c r="B769" s="34" t="s">
        <v>110</v>
      </c>
      <c r="C769" s="34" t="s">
        <v>717</v>
      </c>
      <c r="D769" s="355" t="s">
        <v>2677</v>
      </c>
      <c r="E769" t="s">
        <v>2682</v>
      </c>
      <c r="F769" s="57">
        <v>0</v>
      </c>
      <c r="G769" s="57">
        <v>111542601</v>
      </c>
      <c r="H769" s="1082">
        <f t="shared" si="42"/>
        <v>-111542601</v>
      </c>
      <c r="I769" s="1333" t="s">
        <v>53</v>
      </c>
      <c r="J769" s="1334" t="str">
        <f>VLOOKUP(C769,Acc_Char!B:K,3,)</f>
        <v>BW BAU BANG 01</v>
      </c>
      <c r="K769" s="1334" t="str">
        <f>VLOOKUP(C769,Acc_Char!B:K,7,)</f>
        <v>Subsidiaries</v>
      </c>
      <c r="L769" s="1334" t="str">
        <f t="shared" si="40"/>
        <v>Operating expense</v>
      </c>
      <c r="M769" s="1335" t="str">
        <f>VLOOKUP(C769,Acc_Char!B:K,5,)</f>
        <v>VND</v>
      </c>
      <c r="N769" s="1335" t="str">
        <f>VLOOKUP(C769,Acc_Char!B:K,6,)</f>
        <v>Current Account</v>
      </c>
      <c r="O769" s="1336" t="str">
        <f>Summary!$B$4</f>
        <v>W1-2Jan26</v>
      </c>
      <c r="P769" s="1334" t="str">
        <f t="shared" si="41"/>
        <v>110002915294</v>
      </c>
    </row>
    <row r="770" spans="1:16">
      <c r="A770" t="s">
        <v>1591</v>
      </c>
      <c r="B770" s="34" t="s">
        <v>110</v>
      </c>
      <c r="C770" s="34" t="s">
        <v>717</v>
      </c>
      <c r="D770" s="355" t="s">
        <v>2679</v>
      </c>
      <c r="E770" t="s">
        <v>2683</v>
      </c>
      <c r="F770" s="57">
        <v>0</v>
      </c>
      <c r="G770" s="57">
        <v>9449492</v>
      </c>
      <c r="H770" s="1082">
        <f t="shared" si="42"/>
        <v>-9449492</v>
      </c>
      <c r="I770" s="1333" t="s">
        <v>53</v>
      </c>
      <c r="J770" s="1334" t="str">
        <f>VLOOKUP(C770,Acc_Char!B:K,3,)</f>
        <v>BW BAU BANG 01</v>
      </c>
      <c r="K770" s="1334" t="str">
        <f>VLOOKUP(C770,Acc_Char!B:K,7,)</f>
        <v>Subsidiaries</v>
      </c>
      <c r="L770" s="1334" t="str">
        <f t="shared" si="40"/>
        <v>Operating expense</v>
      </c>
      <c r="M770" s="1335" t="str">
        <f>VLOOKUP(C770,Acc_Char!B:K,5,)</f>
        <v>VND</v>
      </c>
      <c r="N770" s="1335" t="str">
        <f>VLOOKUP(C770,Acc_Char!B:K,6,)</f>
        <v>Current Account</v>
      </c>
      <c r="O770" s="1336" t="str">
        <f>Summary!$B$4</f>
        <v>W1-2Jan26</v>
      </c>
      <c r="P770" s="1334" t="str">
        <f t="shared" si="41"/>
        <v>110002915294</v>
      </c>
    </row>
    <row r="771" spans="1:16">
      <c r="A771" t="s">
        <v>1591</v>
      </c>
      <c r="B771" s="34" t="s">
        <v>110</v>
      </c>
      <c r="C771" s="34" t="s">
        <v>717</v>
      </c>
      <c r="D771" s="355" t="s">
        <v>2679</v>
      </c>
      <c r="E771" t="s">
        <v>2684</v>
      </c>
      <c r="F771" s="57">
        <v>0</v>
      </c>
      <c r="G771" s="57">
        <v>4633116</v>
      </c>
      <c r="H771" s="1082">
        <f t="shared" si="42"/>
        <v>-4633116</v>
      </c>
      <c r="I771" s="1333" t="s">
        <v>53</v>
      </c>
      <c r="J771" s="1334" t="str">
        <f>VLOOKUP(C771,Acc_Char!B:K,3,)</f>
        <v>BW BAU BANG 01</v>
      </c>
      <c r="K771" s="1334" t="str">
        <f>VLOOKUP(C771,Acc_Char!B:K,7,)</f>
        <v>Subsidiaries</v>
      </c>
      <c r="L771" s="1334" t="str">
        <f t="shared" si="40"/>
        <v>Operating expense</v>
      </c>
      <c r="M771" s="1335" t="str">
        <f>VLOOKUP(C771,Acc_Char!B:K,5,)</f>
        <v>VND</v>
      </c>
      <c r="N771" s="1335" t="str">
        <f>VLOOKUP(C771,Acc_Char!B:K,6,)</f>
        <v>Current Account</v>
      </c>
      <c r="O771" s="1336" t="str">
        <f>Summary!$B$4</f>
        <v>W1-2Jan26</v>
      </c>
      <c r="P771" s="1334" t="str">
        <f t="shared" si="41"/>
        <v>110002915294</v>
      </c>
    </row>
    <row r="772" spans="1:16">
      <c r="A772" t="s">
        <v>1591</v>
      </c>
      <c r="B772" s="34" t="s">
        <v>110</v>
      </c>
      <c r="C772" s="34" t="s">
        <v>717</v>
      </c>
      <c r="D772" s="355" t="s">
        <v>2677</v>
      </c>
      <c r="E772" t="s">
        <v>2685</v>
      </c>
      <c r="F772" s="57">
        <v>0</v>
      </c>
      <c r="G772" s="57">
        <v>53482</v>
      </c>
      <c r="H772" s="1082">
        <f t="shared" si="42"/>
        <v>-53482</v>
      </c>
      <c r="I772" s="1333" t="s">
        <v>53</v>
      </c>
      <c r="J772" s="1334" t="str">
        <f>VLOOKUP(C772,Acc_Char!B:K,3,)</f>
        <v>BW BAU BANG 01</v>
      </c>
      <c r="K772" s="1334" t="str">
        <f>VLOOKUP(C772,Acc_Char!B:K,7,)</f>
        <v>Subsidiaries</v>
      </c>
      <c r="L772" s="1334" t="str">
        <f t="shared" si="40"/>
        <v>Operating expense</v>
      </c>
      <c r="M772" s="1335" t="str">
        <f>VLOOKUP(C772,Acc_Char!B:K,5,)</f>
        <v>VND</v>
      </c>
      <c r="N772" s="1335" t="str">
        <f>VLOOKUP(C772,Acc_Char!B:K,6,)</f>
        <v>Current Account</v>
      </c>
      <c r="O772" s="1336" t="str">
        <f>Summary!$B$4</f>
        <v>W1-2Jan26</v>
      </c>
      <c r="P772" s="1334" t="str">
        <f t="shared" si="41"/>
        <v>110002915294</v>
      </c>
    </row>
    <row r="773" spans="1:16">
      <c r="A773" t="s">
        <v>1591</v>
      </c>
      <c r="B773" s="34" t="s">
        <v>110</v>
      </c>
      <c r="C773" s="34" t="s">
        <v>717</v>
      </c>
      <c r="D773" s="355" t="s">
        <v>2679</v>
      </c>
      <c r="E773" t="s">
        <v>2686</v>
      </c>
      <c r="F773" s="57">
        <v>0</v>
      </c>
      <c r="G773" s="57">
        <v>3769066</v>
      </c>
      <c r="H773" s="1082">
        <f t="shared" si="42"/>
        <v>-3769066</v>
      </c>
      <c r="I773" s="1333" t="s">
        <v>53</v>
      </c>
      <c r="J773" s="1334" t="str">
        <f>VLOOKUP(C773,Acc_Char!B:K,3,)</f>
        <v>BW BAU BANG 01</v>
      </c>
      <c r="K773" s="1334" t="str">
        <f>VLOOKUP(C773,Acc_Char!B:K,7,)</f>
        <v>Subsidiaries</v>
      </c>
      <c r="L773" s="1334" t="str">
        <f t="shared" ref="L773:L836" si="43">I773</f>
        <v>Operating expense</v>
      </c>
      <c r="M773" s="1335" t="str">
        <f>VLOOKUP(C773,Acc_Char!B:K,5,)</f>
        <v>VND</v>
      </c>
      <c r="N773" s="1335" t="str">
        <f>VLOOKUP(C773,Acc_Char!B:K,6,)</f>
        <v>Current Account</v>
      </c>
      <c r="O773" s="1336" t="str">
        <f>Summary!$B$4</f>
        <v>W1-2Jan26</v>
      </c>
      <c r="P773" s="1334" t="str">
        <f t="shared" ref="P773:P836" si="44">TEXT(C773,"0")</f>
        <v>110002915294</v>
      </c>
    </row>
    <row r="774" spans="1:16">
      <c r="A774" t="s">
        <v>1591</v>
      </c>
      <c r="B774" s="34" t="s">
        <v>110</v>
      </c>
      <c r="C774" s="34" t="s">
        <v>717</v>
      </c>
      <c r="D774" s="355" t="s">
        <v>2687</v>
      </c>
      <c r="E774" t="s">
        <v>2688</v>
      </c>
      <c r="F774" s="57">
        <v>0</v>
      </c>
      <c r="G774" s="57">
        <v>6689315</v>
      </c>
      <c r="H774" s="1082">
        <f t="shared" si="42"/>
        <v>-6689315</v>
      </c>
      <c r="I774" s="1333" t="s">
        <v>53</v>
      </c>
      <c r="J774" s="1334" t="str">
        <f>VLOOKUP(C774,Acc_Char!B:K,3,)</f>
        <v>BW BAU BANG 01</v>
      </c>
      <c r="K774" s="1334" t="str">
        <f>VLOOKUP(C774,Acc_Char!B:K,7,)</f>
        <v>Subsidiaries</v>
      </c>
      <c r="L774" s="1334" t="str">
        <f t="shared" si="43"/>
        <v>Operating expense</v>
      </c>
      <c r="M774" s="1335" t="str">
        <f>VLOOKUP(C774,Acc_Char!B:K,5,)</f>
        <v>VND</v>
      </c>
      <c r="N774" s="1335" t="str">
        <f>VLOOKUP(C774,Acc_Char!B:K,6,)</f>
        <v>Current Account</v>
      </c>
      <c r="O774" s="1336" t="str">
        <f>Summary!$B$4</f>
        <v>W1-2Jan26</v>
      </c>
      <c r="P774" s="1334" t="str">
        <f t="shared" si="44"/>
        <v>110002915294</v>
      </c>
    </row>
    <row r="775" spans="1:16">
      <c r="A775" t="s">
        <v>1591</v>
      </c>
      <c r="B775" s="34" t="s">
        <v>110</v>
      </c>
      <c r="C775" s="34" t="s">
        <v>717</v>
      </c>
      <c r="D775" s="355" t="s">
        <v>2687</v>
      </c>
      <c r="E775" t="s">
        <v>2689</v>
      </c>
      <c r="F775" s="57">
        <v>0</v>
      </c>
      <c r="G775" s="57">
        <v>211226</v>
      </c>
      <c r="H775" s="1082">
        <f t="shared" si="42"/>
        <v>-211226</v>
      </c>
      <c r="I775" s="1333" t="s">
        <v>53</v>
      </c>
      <c r="J775" s="1334" t="str">
        <f>VLOOKUP(C775,Acc_Char!B:K,3,)</f>
        <v>BW BAU BANG 01</v>
      </c>
      <c r="K775" s="1334" t="str">
        <f>VLOOKUP(C775,Acc_Char!B:K,7,)</f>
        <v>Subsidiaries</v>
      </c>
      <c r="L775" s="1334" t="str">
        <f t="shared" si="43"/>
        <v>Operating expense</v>
      </c>
      <c r="M775" s="1335" t="str">
        <f>VLOOKUP(C775,Acc_Char!B:K,5,)</f>
        <v>VND</v>
      </c>
      <c r="N775" s="1335" t="str">
        <f>VLOOKUP(C775,Acc_Char!B:K,6,)</f>
        <v>Current Account</v>
      </c>
      <c r="O775" s="1336" t="str">
        <f>Summary!$B$4</f>
        <v>W1-2Jan26</v>
      </c>
      <c r="P775" s="1334" t="str">
        <f t="shared" si="44"/>
        <v>110002915294</v>
      </c>
    </row>
    <row r="776" spans="1:16">
      <c r="A776" t="s">
        <v>1591</v>
      </c>
      <c r="B776" s="34" t="s">
        <v>110</v>
      </c>
      <c r="C776" s="34" t="s">
        <v>717</v>
      </c>
      <c r="D776" s="355" t="s">
        <v>2687</v>
      </c>
      <c r="E776" t="s">
        <v>2690</v>
      </c>
      <c r="F776" s="57">
        <v>0</v>
      </c>
      <c r="G776" s="57">
        <v>931500</v>
      </c>
      <c r="H776" s="1082">
        <f t="shared" si="42"/>
        <v>-931500</v>
      </c>
      <c r="I776" s="1333" t="s">
        <v>53</v>
      </c>
      <c r="J776" s="1334" t="str">
        <f>VLOOKUP(C776,Acc_Char!B:K,3,)</f>
        <v>BW BAU BANG 01</v>
      </c>
      <c r="K776" s="1334" t="str">
        <f>VLOOKUP(C776,Acc_Char!B:K,7,)</f>
        <v>Subsidiaries</v>
      </c>
      <c r="L776" s="1334" t="str">
        <f t="shared" si="43"/>
        <v>Operating expense</v>
      </c>
      <c r="M776" s="1335" t="str">
        <f>VLOOKUP(C776,Acc_Char!B:K,5,)</f>
        <v>VND</v>
      </c>
      <c r="N776" s="1335" t="str">
        <f>VLOOKUP(C776,Acc_Char!B:K,6,)</f>
        <v>Current Account</v>
      </c>
      <c r="O776" s="1336" t="str">
        <f>Summary!$B$4</f>
        <v>W1-2Jan26</v>
      </c>
      <c r="P776" s="1334" t="str">
        <f t="shared" si="44"/>
        <v>110002915294</v>
      </c>
    </row>
    <row r="777" spans="1:16">
      <c r="A777" t="s">
        <v>1591</v>
      </c>
      <c r="B777" s="34" t="s">
        <v>110</v>
      </c>
      <c r="C777" s="34" t="s">
        <v>717</v>
      </c>
      <c r="D777" s="355" t="s">
        <v>2677</v>
      </c>
      <c r="E777" t="s">
        <v>2691</v>
      </c>
      <c r="F777" s="57">
        <v>0</v>
      </c>
      <c r="G777" s="57">
        <v>6445338</v>
      </c>
      <c r="H777" s="1082">
        <f t="shared" si="42"/>
        <v>-6445338</v>
      </c>
      <c r="I777" s="1333" t="s">
        <v>53</v>
      </c>
      <c r="J777" s="1334" t="str">
        <f>VLOOKUP(C777,Acc_Char!B:K,3,)</f>
        <v>BW BAU BANG 01</v>
      </c>
      <c r="K777" s="1334" t="str">
        <f>VLOOKUP(C777,Acc_Char!B:K,7,)</f>
        <v>Subsidiaries</v>
      </c>
      <c r="L777" s="1334" t="str">
        <f t="shared" si="43"/>
        <v>Operating expense</v>
      </c>
      <c r="M777" s="1335" t="str">
        <f>VLOOKUP(C777,Acc_Char!B:K,5,)</f>
        <v>VND</v>
      </c>
      <c r="N777" s="1335" t="str">
        <f>VLOOKUP(C777,Acc_Char!B:K,6,)</f>
        <v>Current Account</v>
      </c>
      <c r="O777" s="1336" t="str">
        <f>Summary!$B$4</f>
        <v>W1-2Jan26</v>
      </c>
      <c r="P777" s="1334" t="str">
        <f t="shared" si="44"/>
        <v>110002915294</v>
      </c>
    </row>
    <row r="778" spans="1:16">
      <c r="A778" t="s">
        <v>1591</v>
      </c>
      <c r="B778" s="34" t="s">
        <v>110</v>
      </c>
      <c r="C778" s="34" t="s">
        <v>707</v>
      </c>
      <c r="D778" s="355" t="s">
        <v>2692</v>
      </c>
      <c r="E778" t="s">
        <v>2693</v>
      </c>
      <c r="F778" s="57">
        <v>0</v>
      </c>
      <c r="G778" s="57">
        <v>240815547</v>
      </c>
      <c r="H778" s="1082">
        <f t="shared" si="42"/>
        <v>-240815547</v>
      </c>
      <c r="I778" s="1333" t="s">
        <v>53</v>
      </c>
      <c r="J778" s="1334" t="str">
        <f>VLOOKUP(C778,Acc_Char!B:K,3,)</f>
        <v>XENIA 1</v>
      </c>
      <c r="K778" s="1334" t="str">
        <f>VLOOKUP(C778,Acc_Char!B:K,7,)</f>
        <v>Subsidiaries</v>
      </c>
      <c r="L778" s="1334" t="str">
        <f t="shared" si="43"/>
        <v>Operating expense</v>
      </c>
      <c r="M778" s="1335" t="str">
        <f>VLOOKUP(C778,Acc_Char!B:K,5,)</f>
        <v>VND</v>
      </c>
      <c r="N778" s="1335" t="str">
        <f>VLOOKUP(C778,Acc_Char!B:K,6,)</f>
        <v>Current Account</v>
      </c>
      <c r="O778" s="1336" t="str">
        <f>Summary!$B$4</f>
        <v>W1-2Jan26</v>
      </c>
      <c r="P778" s="1334" t="str">
        <f t="shared" si="44"/>
        <v>116646026868</v>
      </c>
    </row>
    <row r="779" spans="1:16">
      <c r="A779" t="s">
        <v>1591</v>
      </c>
      <c r="B779" s="34" t="s">
        <v>110</v>
      </c>
      <c r="C779" s="34" t="s">
        <v>707</v>
      </c>
      <c r="D779" s="355" t="s">
        <v>2694</v>
      </c>
      <c r="E779" t="s">
        <v>2695</v>
      </c>
      <c r="F779" s="57">
        <v>0</v>
      </c>
      <c r="G779" s="57">
        <v>111598298</v>
      </c>
      <c r="H779" s="1082">
        <f t="shared" si="42"/>
        <v>-111598298</v>
      </c>
      <c r="I779" s="1333" t="s">
        <v>53</v>
      </c>
      <c r="J779" s="1334" t="str">
        <f>VLOOKUP(C779,Acc_Char!B:K,3,)</f>
        <v>XENIA 1</v>
      </c>
      <c r="K779" s="1334" t="str">
        <f>VLOOKUP(C779,Acc_Char!B:K,7,)</f>
        <v>Subsidiaries</v>
      </c>
      <c r="L779" s="1334" t="str">
        <f t="shared" si="43"/>
        <v>Operating expense</v>
      </c>
      <c r="M779" s="1335" t="str">
        <f>VLOOKUP(C779,Acc_Char!B:K,5,)</f>
        <v>VND</v>
      </c>
      <c r="N779" s="1335" t="str">
        <f>VLOOKUP(C779,Acc_Char!B:K,6,)</f>
        <v>Current Account</v>
      </c>
      <c r="O779" s="1336" t="str">
        <f>Summary!$B$4</f>
        <v>W1-2Jan26</v>
      </c>
      <c r="P779" s="1334" t="str">
        <f t="shared" si="44"/>
        <v>116646026868</v>
      </c>
    </row>
    <row r="780" spans="1:16">
      <c r="A780" t="s">
        <v>1591</v>
      </c>
      <c r="B780" s="34" t="s">
        <v>110</v>
      </c>
      <c r="C780" s="34" t="s">
        <v>707</v>
      </c>
      <c r="D780" s="355" t="s">
        <v>2692</v>
      </c>
      <c r="E780" t="s">
        <v>2696</v>
      </c>
      <c r="F780" s="57">
        <v>0</v>
      </c>
      <c r="G780" s="57">
        <v>140311908</v>
      </c>
      <c r="H780" s="1082">
        <f t="shared" si="42"/>
        <v>-140311908</v>
      </c>
      <c r="I780" s="1333" t="s">
        <v>53</v>
      </c>
      <c r="J780" s="1334" t="str">
        <f>VLOOKUP(C780,Acc_Char!B:K,3,)</f>
        <v>XENIA 1</v>
      </c>
      <c r="K780" s="1334" t="str">
        <f>VLOOKUP(C780,Acc_Char!B:K,7,)</f>
        <v>Subsidiaries</v>
      </c>
      <c r="L780" s="1334" t="str">
        <f t="shared" si="43"/>
        <v>Operating expense</v>
      </c>
      <c r="M780" s="1335" t="str">
        <f>VLOOKUP(C780,Acc_Char!B:K,5,)</f>
        <v>VND</v>
      </c>
      <c r="N780" s="1335" t="str">
        <f>VLOOKUP(C780,Acc_Char!B:K,6,)</f>
        <v>Current Account</v>
      </c>
      <c r="O780" s="1336" t="str">
        <f>Summary!$B$4</f>
        <v>W1-2Jan26</v>
      </c>
      <c r="P780" s="1334" t="str">
        <f t="shared" si="44"/>
        <v>116646026868</v>
      </c>
    </row>
    <row r="781" spans="1:16">
      <c r="A781" t="s">
        <v>1591</v>
      </c>
      <c r="B781" s="34" t="s">
        <v>110</v>
      </c>
      <c r="C781" s="34" t="s">
        <v>709</v>
      </c>
      <c r="D781" s="355" t="s">
        <v>2697</v>
      </c>
      <c r="E781" t="s">
        <v>2698</v>
      </c>
      <c r="F781" s="57">
        <v>0</v>
      </c>
      <c r="G781" s="57">
        <v>50829701</v>
      </c>
      <c r="H781" s="1082">
        <f t="shared" si="42"/>
        <v>-50829701</v>
      </c>
      <c r="I781" s="1333" t="s">
        <v>53</v>
      </c>
      <c r="J781" s="1334" t="str">
        <f>VLOOKUP(C781,Acc_Char!B:K,3,)</f>
        <v>XENIA 2</v>
      </c>
      <c r="K781" s="1334" t="str">
        <f>VLOOKUP(C781,Acc_Char!B:K,7,)</f>
        <v>Subsidiaries</v>
      </c>
      <c r="L781" s="1334" t="str">
        <f t="shared" si="43"/>
        <v>Operating expense</v>
      </c>
      <c r="M781" s="1335" t="str">
        <f>VLOOKUP(C781,Acc_Char!B:K,5,)</f>
        <v>VND</v>
      </c>
      <c r="N781" s="1335" t="str">
        <f>VLOOKUP(C781,Acc_Char!B:K,6,)</f>
        <v>Current Account</v>
      </c>
      <c r="O781" s="1336" t="str">
        <f>Summary!$B$4</f>
        <v>W1-2Jan26</v>
      </c>
      <c r="P781" s="1334" t="str">
        <f t="shared" si="44"/>
        <v>118625469999</v>
      </c>
    </row>
    <row r="782" spans="1:16">
      <c r="A782" t="s">
        <v>1591</v>
      </c>
      <c r="B782" s="34" t="s">
        <v>110</v>
      </c>
      <c r="C782" s="34" t="s">
        <v>858</v>
      </c>
      <c r="D782" s="355" t="s">
        <v>2699</v>
      </c>
      <c r="E782" t="s">
        <v>2700</v>
      </c>
      <c r="F782" s="57">
        <v>0</v>
      </c>
      <c r="G782" s="57">
        <v>9502390</v>
      </c>
      <c r="H782" s="1082">
        <f t="shared" si="42"/>
        <v>-9502390</v>
      </c>
      <c r="I782" s="1333" t="s">
        <v>53</v>
      </c>
      <c r="J782" s="1334" t="str">
        <f>VLOOKUP(C782,Acc_Char!B:K,3,)</f>
        <v>THUAN DAO</v>
      </c>
      <c r="K782" s="1334" t="str">
        <f>VLOOKUP(C782,Acc_Char!B:K,7,)</f>
        <v>Subsidiaries</v>
      </c>
      <c r="L782" s="1334" t="str">
        <f t="shared" si="43"/>
        <v>Operating expense</v>
      </c>
      <c r="M782" s="1335" t="str">
        <f>VLOOKUP(C782,Acc_Char!B:K,5,)</f>
        <v>VND</v>
      </c>
      <c r="N782" s="1335" t="str">
        <f>VLOOKUP(C782,Acc_Char!B:K,6,)</f>
        <v>Current Account</v>
      </c>
      <c r="O782" s="1336" t="str">
        <f>Summary!$B$4</f>
        <v>W1-2Jan26</v>
      </c>
      <c r="P782" s="1334" t="str">
        <f t="shared" si="44"/>
        <v>116002949864</v>
      </c>
    </row>
    <row r="783" spans="1:16">
      <c r="A783" t="s">
        <v>1591</v>
      </c>
      <c r="B783" s="34" t="s">
        <v>110</v>
      </c>
      <c r="C783" s="34" t="s">
        <v>858</v>
      </c>
      <c r="D783" s="355" t="s">
        <v>2701</v>
      </c>
      <c r="E783" t="s">
        <v>2702</v>
      </c>
      <c r="F783" s="57">
        <v>0</v>
      </c>
      <c r="G783" s="57">
        <v>8468796</v>
      </c>
      <c r="H783" s="1082">
        <f t="shared" si="42"/>
        <v>-8468796</v>
      </c>
      <c r="I783" s="1333" t="s">
        <v>53</v>
      </c>
      <c r="J783" s="1334" t="str">
        <f>VLOOKUP(C783,Acc_Char!B:K,3,)</f>
        <v>THUAN DAO</v>
      </c>
      <c r="K783" s="1334" t="str">
        <f>VLOOKUP(C783,Acc_Char!B:K,7,)</f>
        <v>Subsidiaries</v>
      </c>
      <c r="L783" s="1334" t="str">
        <f t="shared" si="43"/>
        <v>Operating expense</v>
      </c>
      <c r="M783" s="1335" t="str">
        <f>VLOOKUP(C783,Acc_Char!B:K,5,)</f>
        <v>VND</v>
      </c>
      <c r="N783" s="1335" t="str">
        <f>VLOOKUP(C783,Acc_Char!B:K,6,)</f>
        <v>Current Account</v>
      </c>
      <c r="O783" s="1336" t="str">
        <f>Summary!$B$4</f>
        <v>W1-2Jan26</v>
      </c>
      <c r="P783" s="1334" t="str">
        <f t="shared" si="44"/>
        <v>116002949864</v>
      </c>
    </row>
    <row r="784" spans="1:16">
      <c r="A784" t="s">
        <v>1591</v>
      </c>
      <c r="B784" s="34" t="s">
        <v>110</v>
      </c>
      <c r="C784" s="34" t="s">
        <v>610</v>
      </c>
      <c r="D784" s="355" t="s">
        <v>2703</v>
      </c>
      <c r="E784" t="s">
        <v>2704</v>
      </c>
      <c r="F784" s="57">
        <v>0</v>
      </c>
      <c r="G784" s="57">
        <v>358585341</v>
      </c>
      <c r="H784" s="1082">
        <f t="shared" si="42"/>
        <v>-358585341</v>
      </c>
      <c r="I784" s="1333" t="s">
        <v>53</v>
      </c>
      <c r="J784" s="1334" t="str">
        <f>VLOOKUP(C784,Acc_Char!B:K,3,)</f>
        <v>BWID Tan Phu Trung</v>
      </c>
      <c r="K784" s="1334" t="str">
        <f>VLOOKUP(C784,Acc_Char!B:K,7,)</f>
        <v>Subsidiaries</v>
      </c>
      <c r="L784" s="1334" t="str">
        <f t="shared" si="43"/>
        <v>Operating expense</v>
      </c>
      <c r="M784" s="1335" t="str">
        <f>VLOOKUP(C784,Acc_Char!B:K,5,)</f>
        <v>VND</v>
      </c>
      <c r="N784" s="1335" t="str">
        <f>VLOOKUP(C784,Acc_Char!B:K,6,)</f>
        <v>Current Account</v>
      </c>
      <c r="O784" s="1336" t="str">
        <f>Summary!$B$4</f>
        <v>W1-2Jan26</v>
      </c>
      <c r="P784" s="1334" t="str">
        <f t="shared" si="44"/>
        <v>110610727979</v>
      </c>
    </row>
    <row r="785" spans="1:17">
      <c r="A785" t="s">
        <v>1591</v>
      </c>
      <c r="B785" s="34" t="s">
        <v>110</v>
      </c>
      <c r="C785" s="34" t="s">
        <v>610</v>
      </c>
      <c r="D785" s="355" t="s">
        <v>2705</v>
      </c>
      <c r="E785" t="s">
        <v>2706</v>
      </c>
      <c r="F785" s="57">
        <v>0</v>
      </c>
      <c r="G785" s="57">
        <v>391897284</v>
      </c>
      <c r="H785" s="1082">
        <f t="shared" si="42"/>
        <v>-391897284</v>
      </c>
      <c r="I785" s="1333" t="s">
        <v>53</v>
      </c>
      <c r="J785" s="1334" t="str">
        <f>VLOOKUP(C785,Acc_Char!B:K,3,)</f>
        <v>BWID Tan Phu Trung</v>
      </c>
      <c r="K785" s="1334" t="str">
        <f>VLOOKUP(C785,Acc_Char!B:K,7,)</f>
        <v>Subsidiaries</v>
      </c>
      <c r="L785" s="1334" t="str">
        <f t="shared" si="43"/>
        <v>Operating expense</v>
      </c>
      <c r="M785" s="1335" t="str">
        <f>VLOOKUP(C785,Acc_Char!B:K,5,)</f>
        <v>VND</v>
      </c>
      <c r="N785" s="1335" t="str">
        <f>VLOOKUP(C785,Acc_Char!B:K,6,)</f>
        <v>Current Account</v>
      </c>
      <c r="O785" s="1336" t="str">
        <f>Summary!$B$4</f>
        <v>W1-2Jan26</v>
      </c>
      <c r="P785" s="1334" t="str">
        <f t="shared" si="44"/>
        <v>110610727979</v>
      </c>
      <c r="Q785" s="1024"/>
    </row>
    <row r="786" spans="1:17">
      <c r="A786" t="s">
        <v>1591</v>
      </c>
      <c r="B786" s="34" t="s">
        <v>110</v>
      </c>
      <c r="C786" s="34" t="s">
        <v>851</v>
      </c>
      <c r="D786" s="355" t="s">
        <v>2707</v>
      </c>
      <c r="E786" t="s">
        <v>2708</v>
      </c>
      <c r="F786" s="57">
        <v>0</v>
      </c>
      <c r="G786" s="57">
        <v>282546669</v>
      </c>
      <c r="H786" s="1082">
        <f t="shared" si="42"/>
        <v>-282546669</v>
      </c>
      <c r="I786" s="1333" t="s">
        <v>53</v>
      </c>
      <c r="J786" s="1334" t="str">
        <f>VLOOKUP(C786,Acc_Char!B:K,3,)</f>
        <v>BWID Tan Phu Trung</v>
      </c>
      <c r="K786" s="1334" t="str">
        <f>VLOOKUP(C786,Acc_Char!B:K,7,)</f>
        <v>Subsidiaries</v>
      </c>
      <c r="L786" s="1334" t="str">
        <f t="shared" si="43"/>
        <v>Operating expense</v>
      </c>
      <c r="M786" s="1335" t="str">
        <f>VLOOKUP(C786,Acc_Char!B:K,5,)</f>
        <v>VND</v>
      </c>
      <c r="N786" s="1335" t="str">
        <f>VLOOKUP(C786,Acc_Char!B:K,6,)</f>
        <v>Current Account</v>
      </c>
      <c r="O786" s="1336" t="str">
        <f>Summary!$B$4</f>
        <v>W1-2Jan26</v>
      </c>
      <c r="P786" s="1334" t="str">
        <f t="shared" si="44"/>
        <v>117612416666</v>
      </c>
      <c r="Q786" s="1024"/>
    </row>
    <row r="787" spans="1:17">
      <c r="A787" t="s">
        <v>1591</v>
      </c>
      <c r="B787" s="34" t="s">
        <v>110</v>
      </c>
      <c r="C787" s="34" t="s">
        <v>851</v>
      </c>
      <c r="D787" s="355" t="s">
        <v>2709</v>
      </c>
      <c r="E787" t="s">
        <v>2710</v>
      </c>
      <c r="F787" s="57">
        <v>0</v>
      </c>
      <c r="G787" s="57">
        <v>319077902</v>
      </c>
      <c r="H787" s="1082">
        <f t="shared" si="42"/>
        <v>-319077902</v>
      </c>
      <c r="I787" s="1333" t="s">
        <v>53</v>
      </c>
      <c r="J787" s="1334" t="str">
        <f>VLOOKUP(C787,Acc_Char!B:K,3,)</f>
        <v>BWID Tan Phu Trung</v>
      </c>
      <c r="K787" s="1334" t="str">
        <f>VLOOKUP(C787,Acc_Char!B:K,7,)</f>
        <v>Subsidiaries</v>
      </c>
      <c r="L787" s="1334" t="str">
        <f t="shared" si="43"/>
        <v>Operating expense</v>
      </c>
      <c r="M787" s="1335" t="str">
        <f>VLOOKUP(C787,Acc_Char!B:K,5,)</f>
        <v>VND</v>
      </c>
      <c r="N787" s="1335" t="str">
        <f>VLOOKUP(C787,Acc_Char!B:K,6,)</f>
        <v>Current Account</v>
      </c>
      <c r="O787" s="1336" t="str">
        <f>Summary!$B$4</f>
        <v>W1-2Jan26</v>
      </c>
      <c r="P787" s="1334" t="str">
        <f t="shared" si="44"/>
        <v>117612416666</v>
      </c>
      <c r="Q787" s="1024"/>
    </row>
    <row r="788" spans="1:17">
      <c r="A788" t="s">
        <v>1591</v>
      </c>
      <c r="B788" s="34" t="s">
        <v>110</v>
      </c>
      <c r="C788" s="34" t="s">
        <v>669</v>
      </c>
      <c r="D788" s="355" t="s">
        <v>2711</v>
      </c>
      <c r="E788" t="s">
        <v>2712</v>
      </c>
      <c r="F788" s="57">
        <v>0</v>
      </c>
      <c r="G788" s="57">
        <v>4426102</v>
      </c>
      <c r="H788" s="1082">
        <f t="shared" si="42"/>
        <v>-4426102</v>
      </c>
      <c r="I788" s="1333" t="s">
        <v>53</v>
      </c>
      <c r="J788" s="1334" t="str">
        <f>VLOOKUP(C788,Acc_Char!B:K,3,)</f>
        <v>VINA PARTNERS INVESTMENT</v>
      </c>
      <c r="K788" s="1334" t="str">
        <f>VLOOKUP(C788,Acc_Char!B:K,7,)</f>
        <v>Subsidiaries</v>
      </c>
      <c r="L788" s="1334" t="str">
        <f t="shared" si="43"/>
        <v>Operating expense</v>
      </c>
      <c r="M788" s="1335" t="str">
        <f>VLOOKUP(C788,Acc_Char!B:K,5,)</f>
        <v>VND</v>
      </c>
      <c r="N788" s="1335" t="str">
        <f>VLOOKUP(C788,Acc_Char!B:K,6,)</f>
        <v>Current Account</v>
      </c>
      <c r="O788" s="1336" t="str">
        <f>Summary!$B$4</f>
        <v>W1-2Jan26</v>
      </c>
      <c r="P788" s="1334" t="str">
        <f t="shared" si="44"/>
        <v>111002902772</v>
      </c>
      <c r="Q788" s="1024"/>
    </row>
    <row r="789" spans="1:17">
      <c r="A789" t="s">
        <v>1591</v>
      </c>
      <c r="B789" s="34" t="s">
        <v>110</v>
      </c>
      <c r="C789" s="34" t="s">
        <v>669</v>
      </c>
      <c r="D789" s="355" t="s">
        <v>2713</v>
      </c>
      <c r="E789" t="s">
        <v>2714</v>
      </c>
      <c r="F789" s="57">
        <v>0</v>
      </c>
      <c r="G789" s="57">
        <v>4971228</v>
      </c>
      <c r="H789" s="1082">
        <f t="shared" si="42"/>
        <v>-4971228</v>
      </c>
      <c r="I789" s="1333" t="s">
        <v>53</v>
      </c>
      <c r="J789" s="1334" t="str">
        <f>VLOOKUP(C789,Acc_Char!B:K,3,)</f>
        <v>VINA PARTNERS INVESTMENT</v>
      </c>
      <c r="K789" s="1334" t="str">
        <f>VLOOKUP(C789,Acc_Char!B:K,7,)</f>
        <v>Subsidiaries</v>
      </c>
      <c r="L789" s="1334" t="str">
        <f t="shared" si="43"/>
        <v>Operating expense</v>
      </c>
      <c r="M789" s="1335" t="str">
        <f>VLOOKUP(C789,Acc_Char!B:K,5,)</f>
        <v>VND</v>
      </c>
      <c r="N789" s="1335" t="str">
        <f>VLOOKUP(C789,Acc_Char!B:K,6,)</f>
        <v>Current Account</v>
      </c>
      <c r="O789" s="1336" t="str">
        <f>Summary!$B$4</f>
        <v>W1-2Jan26</v>
      </c>
      <c r="P789" s="1334" t="str">
        <f t="shared" si="44"/>
        <v>111002902772</v>
      </c>
      <c r="Q789" s="1024"/>
    </row>
    <row r="790" spans="1:17">
      <c r="A790" t="s">
        <v>1591</v>
      </c>
      <c r="B790" s="34" t="s">
        <v>110</v>
      </c>
      <c r="C790" s="34" t="s">
        <v>669</v>
      </c>
      <c r="D790" s="355" t="s">
        <v>2715</v>
      </c>
      <c r="E790" t="s">
        <v>2716</v>
      </c>
      <c r="F790" s="57">
        <v>0</v>
      </c>
      <c r="G790" s="57">
        <v>2623255</v>
      </c>
      <c r="H790" s="1082">
        <f t="shared" si="42"/>
        <v>-2623255</v>
      </c>
      <c r="I790" s="1333" t="s">
        <v>53</v>
      </c>
      <c r="J790" s="1334" t="str">
        <f>VLOOKUP(C790,Acc_Char!B:K,3,)</f>
        <v>VINA PARTNERS INVESTMENT</v>
      </c>
      <c r="K790" s="1334" t="str">
        <f>VLOOKUP(C790,Acc_Char!B:K,7,)</f>
        <v>Subsidiaries</v>
      </c>
      <c r="L790" s="1334" t="str">
        <f t="shared" si="43"/>
        <v>Operating expense</v>
      </c>
      <c r="M790" s="1335" t="str">
        <f>VLOOKUP(C790,Acc_Char!B:K,5,)</f>
        <v>VND</v>
      </c>
      <c r="N790" s="1335" t="str">
        <f>VLOOKUP(C790,Acc_Char!B:K,6,)</f>
        <v>Current Account</v>
      </c>
      <c r="O790" s="1336" t="str">
        <f>Summary!$B$4</f>
        <v>W1-2Jan26</v>
      </c>
      <c r="P790" s="1334" t="str">
        <f t="shared" si="44"/>
        <v>111002902772</v>
      </c>
      <c r="Q790" s="1024"/>
    </row>
    <row r="791" spans="1:17">
      <c r="A791" t="s">
        <v>1591</v>
      </c>
      <c r="B791" s="34" t="s">
        <v>110</v>
      </c>
      <c r="C791" s="34" t="s">
        <v>669</v>
      </c>
      <c r="D791" s="355" t="s">
        <v>2717</v>
      </c>
      <c r="E791" t="s">
        <v>2718</v>
      </c>
      <c r="F791" s="57">
        <v>0</v>
      </c>
      <c r="G791" s="57">
        <v>2212985</v>
      </c>
      <c r="H791" s="1082">
        <f t="shared" si="42"/>
        <v>-2212985</v>
      </c>
      <c r="I791" s="1333" t="s">
        <v>53</v>
      </c>
      <c r="J791" s="1334" t="str">
        <f>VLOOKUP(C791,Acc_Char!B:K,3,)</f>
        <v>VINA PARTNERS INVESTMENT</v>
      </c>
      <c r="K791" s="1334" t="str">
        <f>VLOOKUP(C791,Acc_Char!B:K,7,)</f>
        <v>Subsidiaries</v>
      </c>
      <c r="L791" s="1334" t="str">
        <f t="shared" si="43"/>
        <v>Operating expense</v>
      </c>
      <c r="M791" s="1335" t="str">
        <f>VLOOKUP(C791,Acc_Char!B:K,5,)</f>
        <v>VND</v>
      </c>
      <c r="N791" s="1335" t="str">
        <f>VLOOKUP(C791,Acc_Char!B:K,6,)</f>
        <v>Current Account</v>
      </c>
      <c r="O791" s="1336" t="str">
        <f>Summary!$B$4</f>
        <v>W1-2Jan26</v>
      </c>
      <c r="P791" s="1334" t="str">
        <f t="shared" si="44"/>
        <v>111002902772</v>
      </c>
      <c r="Q791" s="1024"/>
    </row>
    <row r="792" spans="1:17">
      <c r="A792" t="s">
        <v>1591</v>
      </c>
      <c r="B792" s="34" t="s">
        <v>110</v>
      </c>
      <c r="C792" s="34" t="s">
        <v>500</v>
      </c>
      <c r="D792" s="355" t="s">
        <v>2719</v>
      </c>
      <c r="E792" t="s">
        <v>2720</v>
      </c>
      <c r="F792" s="57">
        <v>0</v>
      </c>
      <c r="G792" s="57">
        <v>61347218</v>
      </c>
      <c r="H792" s="1082">
        <f t="shared" si="42"/>
        <v>-61347218</v>
      </c>
      <c r="I792" s="1333" t="s">
        <v>53</v>
      </c>
      <c r="J792" s="1334" t="str">
        <f>VLOOKUP(C792,Acc_Char!B:K,3,)</f>
        <v>BWID HAI DUONG</v>
      </c>
      <c r="K792" s="1334" t="str">
        <f>VLOOKUP(C792,Acc_Char!B:K,7,)</f>
        <v>Subsidiaries</v>
      </c>
      <c r="L792" s="1334" t="str">
        <f t="shared" si="43"/>
        <v>Operating expense</v>
      </c>
      <c r="M792" s="1335" t="str">
        <f>VLOOKUP(C792,Acc_Char!B:K,5,)</f>
        <v>VND</v>
      </c>
      <c r="N792" s="1335" t="str">
        <f>VLOOKUP(C792,Acc_Char!B:K,6,)</f>
        <v>Current Account</v>
      </c>
      <c r="O792" s="1336" t="str">
        <f>Summary!$B$4</f>
        <v>W1-2Jan26</v>
      </c>
      <c r="P792" s="1334" t="str">
        <f t="shared" si="44"/>
        <v>111007158888</v>
      </c>
      <c r="Q792" s="1024"/>
    </row>
    <row r="793" spans="1:17">
      <c r="A793" t="s">
        <v>1591</v>
      </c>
      <c r="B793" s="34" t="s">
        <v>110</v>
      </c>
      <c r="C793" s="34" t="s">
        <v>507</v>
      </c>
      <c r="D793" s="355" t="s">
        <v>2721</v>
      </c>
      <c r="E793" t="s">
        <v>2722</v>
      </c>
      <c r="F793" s="57">
        <v>0</v>
      </c>
      <c r="G793" s="57">
        <v>55669075</v>
      </c>
      <c r="H793" s="1082">
        <f t="shared" si="42"/>
        <v>-55669075</v>
      </c>
      <c r="I793" s="1333" t="s">
        <v>53</v>
      </c>
      <c r="J793" s="1334" t="str">
        <f>VLOOKUP(C793,Acc_Char!B:K,3,)</f>
        <v>BWID HAI DUONG 2</v>
      </c>
      <c r="K793" s="1334" t="str">
        <f>VLOOKUP(C793,Acc_Char!B:K,7,)</f>
        <v>Subsidiaries</v>
      </c>
      <c r="L793" s="1334" t="str">
        <f t="shared" si="43"/>
        <v>Operating expense</v>
      </c>
      <c r="M793" s="1335" t="str">
        <f>VLOOKUP(C793,Acc_Char!B:K,5,)</f>
        <v>VND</v>
      </c>
      <c r="N793" s="1335" t="str">
        <f>VLOOKUP(C793,Acc_Char!B:K,6,)</f>
        <v>Current Account</v>
      </c>
      <c r="O793" s="1336" t="str">
        <f>Summary!$B$4</f>
        <v>W1-2Jan26</v>
      </c>
      <c r="P793" s="1334" t="str">
        <f t="shared" si="44"/>
        <v>118006028888</v>
      </c>
      <c r="Q793" s="1024"/>
    </row>
    <row r="794" spans="1:17">
      <c r="A794" t="s">
        <v>1591</v>
      </c>
      <c r="B794" s="34" t="s">
        <v>110</v>
      </c>
      <c r="C794" s="34" t="s">
        <v>555</v>
      </c>
      <c r="D794" s="355" t="s">
        <v>2723</v>
      </c>
      <c r="E794" t="s">
        <v>2724</v>
      </c>
      <c r="F794" s="57">
        <v>0</v>
      </c>
      <c r="G794" s="57">
        <v>5680080</v>
      </c>
      <c r="H794" s="1082">
        <f t="shared" si="42"/>
        <v>-5680080</v>
      </c>
      <c r="I794" s="1333" t="s">
        <v>53</v>
      </c>
      <c r="J794" s="1334" t="str">
        <f>VLOOKUP(C794,Acc_Char!B:K,3,)</f>
        <v>BWID DONG AN LID</v>
      </c>
      <c r="K794" s="1334" t="str">
        <f>VLOOKUP(C794,Acc_Char!B:K,7,)</f>
        <v>Subsidiaries</v>
      </c>
      <c r="L794" s="1334" t="str">
        <f t="shared" si="43"/>
        <v>Operating expense</v>
      </c>
      <c r="M794" s="1335" t="str">
        <f>VLOOKUP(C794,Acc_Char!B:K,5,)</f>
        <v>VND</v>
      </c>
      <c r="N794" s="1335" t="str">
        <f>VLOOKUP(C794,Acc_Char!B:K,6,)</f>
        <v>Current Account</v>
      </c>
      <c r="O794" s="1336" t="str">
        <f>Summary!$B$4</f>
        <v>W1-2Jan26</v>
      </c>
      <c r="P794" s="1334" t="str">
        <f t="shared" si="44"/>
        <v>114002807847</v>
      </c>
    </row>
    <row r="795" spans="1:17">
      <c r="A795" t="s">
        <v>1591</v>
      </c>
      <c r="B795" s="34" t="s">
        <v>110</v>
      </c>
      <c r="C795" s="34" t="s">
        <v>715</v>
      </c>
      <c r="D795" s="355" t="s">
        <v>2725</v>
      </c>
      <c r="E795" t="s">
        <v>2726</v>
      </c>
      <c r="F795" s="57">
        <v>0</v>
      </c>
      <c r="G795" s="57">
        <v>28980</v>
      </c>
      <c r="H795" s="1082">
        <f t="shared" si="42"/>
        <v>-28980</v>
      </c>
      <c r="I795" s="1333" t="s">
        <v>53</v>
      </c>
      <c r="J795" s="1334" t="str">
        <f>VLOOKUP(C795,Acc_Char!B:K,3,)</f>
        <v>BW MY PHUOC 3</v>
      </c>
      <c r="K795" s="1334" t="str">
        <f>VLOOKUP(C795,Acc_Char!B:K,7,)</f>
        <v>Subsidiaries</v>
      </c>
      <c r="L795" s="1334" t="str">
        <f t="shared" si="43"/>
        <v>Operating expense</v>
      </c>
      <c r="M795" s="1335" t="str">
        <f>VLOOKUP(C795,Acc_Char!B:K,5,)</f>
        <v>VND</v>
      </c>
      <c r="N795" s="1335" t="str">
        <f>VLOOKUP(C795,Acc_Char!B:K,6,)</f>
        <v>Current Account</v>
      </c>
      <c r="O795" s="1336" t="str">
        <f>Summary!$B$4</f>
        <v>W1-2Jan26</v>
      </c>
      <c r="P795" s="1334" t="str">
        <f t="shared" si="44"/>
        <v>111002915309</v>
      </c>
    </row>
    <row r="796" spans="1:17">
      <c r="A796" t="s">
        <v>1591</v>
      </c>
      <c r="B796" s="34" t="s">
        <v>110</v>
      </c>
      <c r="C796" s="34" t="s">
        <v>715</v>
      </c>
      <c r="D796" s="355" t="s">
        <v>2727</v>
      </c>
      <c r="E796" t="s">
        <v>2728</v>
      </c>
      <c r="F796" s="57">
        <v>0</v>
      </c>
      <c r="G796" s="57">
        <v>14490</v>
      </c>
      <c r="H796" s="1082">
        <f t="shared" si="42"/>
        <v>-14490</v>
      </c>
      <c r="I796" s="1333" t="s">
        <v>53</v>
      </c>
      <c r="J796" s="1334" t="str">
        <f>VLOOKUP(C796,Acc_Char!B:K,3,)</f>
        <v>BW MY PHUOC 3</v>
      </c>
      <c r="K796" s="1334" t="str">
        <f>VLOOKUP(C796,Acc_Char!B:K,7,)</f>
        <v>Subsidiaries</v>
      </c>
      <c r="L796" s="1334" t="str">
        <f t="shared" si="43"/>
        <v>Operating expense</v>
      </c>
      <c r="M796" s="1335" t="str">
        <f>VLOOKUP(C796,Acc_Char!B:K,5,)</f>
        <v>VND</v>
      </c>
      <c r="N796" s="1335" t="str">
        <f>VLOOKUP(C796,Acc_Char!B:K,6,)</f>
        <v>Current Account</v>
      </c>
      <c r="O796" s="1336" t="str">
        <f>Summary!$B$4</f>
        <v>W1-2Jan26</v>
      </c>
      <c r="P796" s="1334" t="str">
        <f t="shared" si="44"/>
        <v>111002915309</v>
      </c>
    </row>
    <row r="797" spans="1:17">
      <c r="A797" t="s">
        <v>1591</v>
      </c>
      <c r="B797" s="34" t="s">
        <v>110</v>
      </c>
      <c r="C797" s="34" t="s">
        <v>717</v>
      </c>
      <c r="D797" s="355" t="s">
        <v>2729</v>
      </c>
      <c r="E797" t="s">
        <v>2730</v>
      </c>
      <c r="F797" s="57">
        <v>0</v>
      </c>
      <c r="G797" s="57">
        <v>28980</v>
      </c>
      <c r="H797" s="1082">
        <f t="shared" si="42"/>
        <v>-28980</v>
      </c>
      <c r="I797" s="1333" t="s">
        <v>53</v>
      </c>
      <c r="J797" s="1334" t="str">
        <f>VLOOKUP(C797,Acc_Char!B:K,3,)</f>
        <v>BW BAU BANG 01</v>
      </c>
      <c r="K797" s="1334" t="str">
        <f>VLOOKUP(C797,Acc_Char!B:K,7,)</f>
        <v>Subsidiaries</v>
      </c>
      <c r="L797" s="1334" t="str">
        <f t="shared" si="43"/>
        <v>Operating expense</v>
      </c>
      <c r="M797" s="1335" t="str">
        <f>VLOOKUP(C797,Acc_Char!B:K,5,)</f>
        <v>VND</v>
      </c>
      <c r="N797" s="1335" t="str">
        <f>VLOOKUP(C797,Acc_Char!B:K,6,)</f>
        <v>Current Account</v>
      </c>
      <c r="O797" s="1336" t="str">
        <f>Summary!$B$4</f>
        <v>W1-2Jan26</v>
      </c>
      <c r="P797" s="1334" t="str">
        <f t="shared" si="44"/>
        <v>110002915294</v>
      </c>
    </row>
    <row r="798" spans="1:17">
      <c r="A798" t="s">
        <v>1591</v>
      </c>
      <c r="B798" s="34" t="s">
        <v>110</v>
      </c>
      <c r="C798" s="34" t="s">
        <v>717</v>
      </c>
      <c r="D798" s="355" t="s">
        <v>2731</v>
      </c>
      <c r="E798" t="s">
        <v>2732</v>
      </c>
      <c r="F798" s="57">
        <v>0</v>
      </c>
      <c r="G798" s="57">
        <v>72450</v>
      </c>
      <c r="H798" s="1082">
        <f t="shared" si="42"/>
        <v>-72450</v>
      </c>
      <c r="I798" s="1333" t="s">
        <v>53</v>
      </c>
      <c r="J798" s="1334" t="str">
        <f>VLOOKUP(C798,Acc_Char!B:K,3,)</f>
        <v>BW BAU BANG 01</v>
      </c>
      <c r="K798" s="1334" t="str">
        <f>VLOOKUP(C798,Acc_Char!B:K,7,)</f>
        <v>Subsidiaries</v>
      </c>
      <c r="L798" s="1334" t="str">
        <f t="shared" si="43"/>
        <v>Operating expense</v>
      </c>
      <c r="M798" s="1335" t="str">
        <f>VLOOKUP(C798,Acc_Char!B:K,5,)</f>
        <v>VND</v>
      </c>
      <c r="N798" s="1335" t="str">
        <f>VLOOKUP(C798,Acc_Char!B:K,6,)</f>
        <v>Current Account</v>
      </c>
      <c r="O798" s="1336" t="str">
        <f>Summary!$B$4</f>
        <v>W1-2Jan26</v>
      </c>
      <c r="P798" s="1334" t="str">
        <f t="shared" si="44"/>
        <v>110002915294</v>
      </c>
    </row>
    <row r="799" spans="1:17">
      <c r="A799" t="s">
        <v>1591</v>
      </c>
      <c r="B799" s="34" t="s">
        <v>110</v>
      </c>
      <c r="C799" s="34" t="s">
        <v>717</v>
      </c>
      <c r="D799" s="355" t="s">
        <v>2733</v>
      </c>
      <c r="E799" t="s">
        <v>2734</v>
      </c>
      <c r="F799" s="57">
        <v>0</v>
      </c>
      <c r="G799" s="57">
        <v>246330</v>
      </c>
      <c r="H799" s="1082">
        <f t="shared" si="42"/>
        <v>-246330</v>
      </c>
      <c r="I799" s="1333" t="s">
        <v>53</v>
      </c>
      <c r="J799" s="1334" t="str">
        <f>VLOOKUP(C799,Acc_Char!B:K,3,)</f>
        <v>BW BAU BANG 01</v>
      </c>
      <c r="K799" s="1334" t="str">
        <f>VLOOKUP(C799,Acc_Char!B:K,7,)</f>
        <v>Subsidiaries</v>
      </c>
      <c r="L799" s="1334" t="str">
        <f t="shared" si="43"/>
        <v>Operating expense</v>
      </c>
      <c r="M799" s="1335" t="str">
        <f>VLOOKUP(C799,Acc_Char!B:K,5,)</f>
        <v>VND</v>
      </c>
      <c r="N799" s="1335" t="str">
        <f>VLOOKUP(C799,Acc_Char!B:K,6,)</f>
        <v>Current Account</v>
      </c>
      <c r="O799" s="1336" t="str">
        <f>Summary!$B$4</f>
        <v>W1-2Jan26</v>
      </c>
      <c r="P799" s="1334" t="str">
        <f t="shared" si="44"/>
        <v>110002915294</v>
      </c>
      <c r="Q799" s="1024"/>
    </row>
    <row r="800" spans="1:17">
      <c r="A800" t="s">
        <v>1591</v>
      </c>
      <c r="B800" s="34" t="s">
        <v>110</v>
      </c>
      <c r="C800" s="34" t="s">
        <v>717</v>
      </c>
      <c r="D800" s="355" t="s">
        <v>2735</v>
      </c>
      <c r="E800" t="s">
        <v>2736</v>
      </c>
      <c r="F800" s="57">
        <v>0</v>
      </c>
      <c r="G800" s="57">
        <v>115920</v>
      </c>
      <c r="H800" s="1082">
        <f t="shared" si="42"/>
        <v>-115920</v>
      </c>
      <c r="I800" s="1333" t="s">
        <v>53</v>
      </c>
      <c r="J800" s="1334" t="str">
        <f>VLOOKUP(C800,Acc_Char!B:K,3,)</f>
        <v>BW BAU BANG 01</v>
      </c>
      <c r="K800" s="1334" t="str">
        <f>VLOOKUP(C800,Acc_Char!B:K,7,)</f>
        <v>Subsidiaries</v>
      </c>
      <c r="L800" s="1334" t="str">
        <f t="shared" si="43"/>
        <v>Operating expense</v>
      </c>
      <c r="M800" s="1335" t="str">
        <f>VLOOKUP(C800,Acc_Char!B:K,5,)</f>
        <v>VND</v>
      </c>
      <c r="N800" s="1335" t="str">
        <f>VLOOKUP(C800,Acc_Char!B:K,6,)</f>
        <v>Current Account</v>
      </c>
      <c r="O800" s="1336" t="str">
        <f>Summary!$B$4</f>
        <v>W1-2Jan26</v>
      </c>
      <c r="P800" s="1334" t="str">
        <f t="shared" si="44"/>
        <v>110002915294</v>
      </c>
      <c r="Q800" s="1024"/>
    </row>
    <row r="801" spans="1:17">
      <c r="A801" t="s">
        <v>1591</v>
      </c>
      <c r="B801" s="34" t="s">
        <v>110</v>
      </c>
      <c r="C801" s="34" t="s">
        <v>717</v>
      </c>
      <c r="D801" s="355" t="s">
        <v>2737</v>
      </c>
      <c r="E801" t="s">
        <v>2738</v>
      </c>
      <c r="F801" s="57">
        <v>0</v>
      </c>
      <c r="G801" s="57">
        <v>2680650</v>
      </c>
      <c r="H801" s="1082">
        <f t="shared" si="42"/>
        <v>-2680650</v>
      </c>
      <c r="I801" s="1333" t="s">
        <v>53</v>
      </c>
      <c r="J801" s="1334" t="str">
        <f>VLOOKUP(C801,Acc_Char!B:K,3,)</f>
        <v>BW BAU BANG 01</v>
      </c>
      <c r="K801" s="1334" t="str">
        <f>VLOOKUP(C801,Acc_Char!B:K,7,)</f>
        <v>Subsidiaries</v>
      </c>
      <c r="L801" s="1334" t="str">
        <f t="shared" si="43"/>
        <v>Operating expense</v>
      </c>
      <c r="M801" s="1335" t="str">
        <f>VLOOKUP(C801,Acc_Char!B:K,5,)</f>
        <v>VND</v>
      </c>
      <c r="N801" s="1335" t="str">
        <f>VLOOKUP(C801,Acc_Char!B:K,6,)</f>
        <v>Current Account</v>
      </c>
      <c r="O801" s="1336" t="str">
        <f>Summary!$B$4</f>
        <v>W1-2Jan26</v>
      </c>
      <c r="P801" s="1334" t="str">
        <f t="shared" si="44"/>
        <v>110002915294</v>
      </c>
      <c r="Q801" s="1024"/>
    </row>
    <row r="802" spans="1:17">
      <c r="A802" t="s">
        <v>1591</v>
      </c>
      <c r="B802" s="34" t="s">
        <v>110</v>
      </c>
      <c r="C802" s="34" t="s">
        <v>717</v>
      </c>
      <c r="D802" s="355" t="s">
        <v>2739</v>
      </c>
      <c r="E802" t="s">
        <v>2740</v>
      </c>
      <c r="F802" s="57">
        <v>0</v>
      </c>
      <c r="G802" s="57">
        <v>144900</v>
      </c>
      <c r="H802" s="1082">
        <f t="shared" si="42"/>
        <v>-144900</v>
      </c>
      <c r="I802" s="1333" t="s">
        <v>53</v>
      </c>
      <c r="J802" s="1334" t="str">
        <f>VLOOKUP(C802,Acc_Char!B:K,3,)</f>
        <v>BW BAU BANG 01</v>
      </c>
      <c r="K802" s="1334" t="str">
        <f>VLOOKUP(C802,Acc_Char!B:K,7,)</f>
        <v>Subsidiaries</v>
      </c>
      <c r="L802" s="1334" t="str">
        <f t="shared" si="43"/>
        <v>Operating expense</v>
      </c>
      <c r="M802" s="1335" t="str">
        <f>VLOOKUP(C802,Acc_Char!B:K,5,)</f>
        <v>VND</v>
      </c>
      <c r="N802" s="1335" t="str">
        <f>VLOOKUP(C802,Acc_Char!B:K,6,)</f>
        <v>Current Account</v>
      </c>
      <c r="O802" s="1336" t="str">
        <f>Summary!$B$4</f>
        <v>W1-2Jan26</v>
      </c>
      <c r="P802" s="1334" t="str">
        <f t="shared" si="44"/>
        <v>110002915294</v>
      </c>
      <c r="Q802" s="1024"/>
    </row>
    <row r="803" spans="1:17">
      <c r="A803" t="s">
        <v>1591</v>
      </c>
      <c r="B803" s="34" t="s">
        <v>110</v>
      </c>
      <c r="C803" s="34" t="s">
        <v>717</v>
      </c>
      <c r="D803" s="355" t="s">
        <v>2741</v>
      </c>
      <c r="E803" t="s">
        <v>2742</v>
      </c>
      <c r="F803" s="57">
        <v>0</v>
      </c>
      <c r="G803" s="57">
        <v>28980</v>
      </c>
      <c r="H803" s="1082">
        <f t="shared" si="42"/>
        <v>-28980</v>
      </c>
      <c r="I803" s="1333" t="s">
        <v>53</v>
      </c>
      <c r="J803" s="1334" t="str">
        <f>VLOOKUP(C803,Acc_Char!B:K,3,)</f>
        <v>BW BAU BANG 01</v>
      </c>
      <c r="K803" s="1334" t="str">
        <f>VLOOKUP(C803,Acc_Char!B:K,7,)</f>
        <v>Subsidiaries</v>
      </c>
      <c r="L803" s="1334" t="str">
        <f t="shared" si="43"/>
        <v>Operating expense</v>
      </c>
      <c r="M803" s="1335" t="str">
        <f>VLOOKUP(C803,Acc_Char!B:K,5,)</f>
        <v>VND</v>
      </c>
      <c r="N803" s="1335" t="str">
        <f>VLOOKUP(C803,Acc_Char!B:K,6,)</f>
        <v>Current Account</v>
      </c>
      <c r="O803" s="1336" t="str">
        <f>Summary!$B$4</f>
        <v>W1-2Jan26</v>
      </c>
      <c r="P803" s="1334" t="str">
        <f t="shared" si="44"/>
        <v>110002915294</v>
      </c>
      <c r="Q803" s="1024"/>
    </row>
    <row r="804" spans="1:17">
      <c r="A804" t="s">
        <v>1591</v>
      </c>
      <c r="B804" s="34" t="s">
        <v>110</v>
      </c>
      <c r="C804" s="34" t="s">
        <v>717</v>
      </c>
      <c r="D804" s="355" t="s">
        <v>2743</v>
      </c>
      <c r="E804" t="s">
        <v>2744</v>
      </c>
      <c r="F804" s="57">
        <v>0</v>
      </c>
      <c r="G804" s="57">
        <v>28980</v>
      </c>
      <c r="H804" s="1082">
        <f t="shared" si="42"/>
        <v>-28980</v>
      </c>
      <c r="I804" s="1333" t="s">
        <v>53</v>
      </c>
      <c r="J804" s="1334" t="str">
        <f>VLOOKUP(C804,Acc_Char!B:K,3,)</f>
        <v>BW BAU BANG 01</v>
      </c>
      <c r="K804" s="1334" t="str">
        <f>VLOOKUP(C804,Acc_Char!B:K,7,)</f>
        <v>Subsidiaries</v>
      </c>
      <c r="L804" s="1334" t="str">
        <f t="shared" si="43"/>
        <v>Operating expense</v>
      </c>
      <c r="M804" s="1335" t="str">
        <f>VLOOKUP(C804,Acc_Char!B:K,5,)</f>
        <v>VND</v>
      </c>
      <c r="N804" s="1335" t="str">
        <f>VLOOKUP(C804,Acc_Char!B:K,6,)</f>
        <v>Current Account</v>
      </c>
      <c r="O804" s="1336" t="str">
        <f>Summary!$B$4</f>
        <v>W1-2Jan26</v>
      </c>
      <c r="P804" s="1334" t="str">
        <f t="shared" si="44"/>
        <v>110002915294</v>
      </c>
    </row>
    <row r="805" spans="1:17">
      <c r="A805" t="s">
        <v>1591</v>
      </c>
      <c r="B805" s="34" t="s">
        <v>110</v>
      </c>
      <c r="C805" s="34" t="s">
        <v>717</v>
      </c>
      <c r="D805" s="355" t="s">
        <v>2745</v>
      </c>
      <c r="E805" t="s">
        <v>2746</v>
      </c>
      <c r="F805" s="57">
        <v>0</v>
      </c>
      <c r="G805" s="57">
        <v>28980</v>
      </c>
      <c r="H805" s="1082">
        <f t="shared" si="42"/>
        <v>-28980</v>
      </c>
      <c r="I805" s="1333" t="s">
        <v>53</v>
      </c>
      <c r="J805" s="1334" t="str">
        <f>VLOOKUP(C805,Acc_Char!B:K,3,)</f>
        <v>BW BAU BANG 01</v>
      </c>
      <c r="K805" s="1334" t="str">
        <f>VLOOKUP(C805,Acc_Char!B:K,7,)</f>
        <v>Subsidiaries</v>
      </c>
      <c r="L805" s="1334" t="str">
        <f t="shared" si="43"/>
        <v>Operating expense</v>
      </c>
      <c r="M805" s="1335" t="str">
        <f>VLOOKUP(C805,Acc_Char!B:K,5,)</f>
        <v>VND</v>
      </c>
      <c r="N805" s="1335" t="str">
        <f>VLOOKUP(C805,Acc_Char!B:K,6,)</f>
        <v>Current Account</v>
      </c>
      <c r="O805" s="1336" t="str">
        <f>Summary!$B$4</f>
        <v>W1-2Jan26</v>
      </c>
      <c r="P805" s="1334" t="str">
        <f t="shared" si="44"/>
        <v>110002915294</v>
      </c>
    </row>
    <row r="806" spans="1:17">
      <c r="A806" t="s">
        <v>1591</v>
      </c>
      <c r="B806" s="34" t="s">
        <v>110</v>
      </c>
      <c r="C806" s="34" t="s">
        <v>717</v>
      </c>
      <c r="D806" s="355" t="s">
        <v>2747</v>
      </c>
      <c r="E806" t="s">
        <v>2748</v>
      </c>
      <c r="F806" s="57">
        <v>0</v>
      </c>
      <c r="G806" s="57">
        <v>28980</v>
      </c>
      <c r="H806" s="1082">
        <f t="shared" si="42"/>
        <v>-28980</v>
      </c>
      <c r="I806" s="1333" t="s">
        <v>53</v>
      </c>
      <c r="J806" s="1334" t="str">
        <f>VLOOKUP(C806,Acc_Char!B:K,3,)</f>
        <v>BW BAU BANG 01</v>
      </c>
      <c r="K806" s="1334" t="str">
        <f>VLOOKUP(C806,Acc_Char!B:K,7,)</f>
        <v>Subsidiaries</v>
      </c>
      <c r="L806" s="1334" t="str">
        <f t="shared" si="43"/>
        <v>Operating expense</v>
      </c>
      <c r="M806" s="1335" t="str">
        <f>VLOOKUP(C806,Acc_Char!B:K,5,)</f>
        <v>VND</v>
      </c>
      <c r="N806" s="1335" t="str">
        <f>VLOOKUP(C806,Acc_Char!B:K,6,)</f>
        <v>Current Account</v>
      </c>
      <c r="O806" s="1336" t="str">
        <f>Summary!$B$4</f>
        <v>W1-2Jan26</v>
      </c>
      <c r="P806" s="1334" t="str">
        <f t="shared" si="44"/>
        <v>110002915294</v>
      </c>
    </row>
    <row r="807" spans="1:17">
      <c r="A807" t="s">
        <v>1591</v>
      </c>
      <c r="B807" s="34" t="s">
        <v>110</v>
      </c>
      <c r="C807" s="34" t="s">
        <v>717</v>
      </c>
      <c r="D807" s="355" t="s">
        <v>2749</v>
      </c>
      <c r="E807" t="s">
        <v>2750</v>
      </c>
      <c r="F807" s="57">
        <v>0</v>
      </c>
      <c r="G807" s="57">
        <v>275310</v>
      </c>
      <c r="H807" s="1082">
        <f t="shared" si="42"/>
        <v>-275310</v>
      </c>
      <c r="I807" s="1333" t="s">
        <v>53</v>
      </c>
      <c r="J807" s="1334" t="str">
        <f>VLOOKUP(C807,Acc_Char!B:K,3,)</f>
        <v>BW BAU BANG 01</v>
      </c>
      <c r="K807" s="1334" t="str">
        <f>VLOOKUP(C807,Acc_Char!B:K,7,)</f>
        <v>Subsidiaries</v>
      </c>
      <c r="L807" s="1334" t="str">
        <f t="shared" si="43"/>
        <v>Operating expense</v>
      </c>
      <c r="M807" s="1335" t="str">
        <f>VLOOKUP(C807,Acc_Char!B:K,5,)</f>
        <v>VND</v>
      </c>
      <c r="N807" s="1335" t="str">
        <f>VLOOKUP(C807,Acc_Char!B:K,6,)</f>
        <v>Current Account</v>
      </c>
      <c r="O807" s="1336" t="str">
        <f>Summary!$B$4</f>
        <v>W1-2Jan26</v>
      </c>
      <c r="P807" s="1334" t="str">
        <f t="shared" si="44"/>
        <v>110002915294</v>
      </c>
    </row>
    <row r="808" spans="1:17">
      <c r="A808" t="s">
        <v>1591</v>
      </c>
      <c r="B808" s="34" t="s">
        <v>110</v>
      </c>
      <c r="C808" s="34" t="s">
        <v>717</v>
      </c>
      <c r="D808" s="355" t="s">
        <v>2751</v>
      </c>
      <c r="E808" t="s">
        <v>2752</v>
      </c>
      <c r="F808" s="57">
        <v>0</v>
      </c>
      <c r="G808" s="57">
        <v>28980</v>
      </c>
      <c r="H808" s="1082">
        <f t="shared" si="42"/>
        <v>-28980</v>
      </c>
      <c r="I808" s="1333" t="s">
        <v>53</v>
      </c>
      <c r="J808" s="1334" t="str">
        <f>VLOOKUP(C808,Acc_Char!B:K,3,)</f>
        <v>BW BAU BANG 01</v>
      </c>
      <c r="K808" s="1334" t="str">
        <f>VLOOKUP(C808,Acc_Char!B:K,7,)</f>
        <v>Subsidiaries</v>
      </c>
      <c r="L808" s="1334" t="str">
        <f t="shared" si="43"/>
        <v>Operating expense</v>
      </c>
      <c r="M808" s="1335" t="str">
        <f>VLOOKUP(C808,Acc_Char!B:K,5,)</f>
        <v>VND</v>
      </c>
      <c r="N808" s="1335" t="str">
        <f>VLOOKUP(C808,Acc_Char!B:K,6,)</f>
        <v>Current Account</v>
      </c>
      <c r="O808" s="1336" t="str">
        <f>Summary!$B$4</f>
        <v>W1-2Jan26</v>
      </c>
      <c r="P808" s="1334" t="str">
        <f t="shared" si="44"/>
        <v>110002915294</v>
      </c>
    </row>
    <row r="809" spans="1:17">
      <c r="A809" t="s">
        <v>1591</v>
      </c>
      <c r="B809" s="34" t="s">
        <v>110</v>
      </c>
      <c r="C809" s="34" t="s">
        <v>717</v>
      </c>
      <c r="D809" s="355" t="s">
        <v>2753</v>
      </c>
      <c r="E809" t="s">
        <v>2754</v>
      </c>
      <c r="F809" s="57">
        <v>0</v>
      </c>
      <c r="G809" s="57">
        <v>202860</v>
      </c>
      <c r="H809" s="1082">
        <f t="shared" si="42"/>
        <v>-202860</v>
      </c>
      <c r="I809" s="1333" t="s">
        <v>53</v>
      </c>
      <c r="J809" s="1334" t="str">
        <f>VLOOKUP(C809,Acc_Char!B:K,3,)</f>
        <v>BW BAU BANG 01</v>
      </c>
      <c r="K809" s="1334" t="str">
        <f>VLOOKUP(C809,Acc_Char!B:K,7,)</f>
        <v>Subsidiaries</v>
      </c>
      <c r="L809" s="1334" t="str">
        <f t="shared" si="43"/>
        <v>Operating expense</v>
      </c>
      <c r="M809" s="1335" t="str">
        <f>VLOOKUP(C809,Acc_Char!B:K,5,)</f>
        <v>VND</v>
      </c>
      <c r="N809" s="1335" t="str">
        <f>VLOOKUP(C809,Acc_Char!B:K,6,)</f>
        <v>Current Account</v>
      </c>
      <c r="O809" s="1336" t="str">
        <f>Summary!$B$4</f>
        <v>W1-2Jan26</v>
      </c>
      <c r="P809" s="1334" t="str">
        <f t="shared" si="44"/>
        <v>110002915294</v>
      </c>
    </row>
    <row r="810" spans="1:17">
      <c r="A810" t="s">
        <v>1591</v>
      </c>
      <c r="B810" s="34" t="s">
        <v>110</v>
      </c>
      <c r="C810" s="34" t="s">
        <v>717</v>
      </c>
      <c r="D810" s="355" t="s">
        <v>2755</v>
      </c>
      <c r="E810" t="s">
        <v>2756</v>
      </c>
      <c r="F810" s="57">
        <v>0</v>
      </c>
      <c r="G810" s="57">
        <v>1173690</v>
      </c>
      <c r="H810" s="1082">
        <f t="shared" si="42"/>
        <v>-1173690</v>
      </c>
      <c r="I810" s="1333" t="s">
        <v>53</v>
      </c>
      <c r="J810" s="1334" t="str">
        <f>VLOOKUP(C810,Acc_Char!B:K,3,)</f>
        <v>BW BAU BANG 01</v>
      </c>
      <c r="K810" s="1334" t="str">
        <f>VLOOKUP(C810,Acc_Char!B:K,7,)</f>
        <v>Subsidiaries</v>
      </c>
      <c r="L810" s="1334" t="str">
        <f t="shared" si="43"/>
        <v>Operating expense</v>
      </c>
      <c r="M810" s="1335" t="str">
        <f>VLOOKUP(C810,Acc_Char!B:K,5,)</f>
        <v>VND</v>
      </c>
      <c r="N810" s="1335" t="str">
        <f>VLOOKUP(C810,Acc_Char!B:K,6,)</f>
        <v>Current Account</v>
      </c>
      <c r="O810" s="1336" t="str">
        <f>Summary!$B$4</f>
        <v>W1-2Jan26</v>
      </c>
      <c r="P810" s="1334" t="str">
        <f t="shared" si="44"/>
        <v>110002915294</v>
      </c>
    </row>
    <row r="811" spans="1:17">
      <c r="A811" t="s">
        <v>1591</v>
      </c>
      <c r="B811" s="34" t="s">
        <v>110</v>
      </c>
      <c r="C811" s="34" t="s">
        <v>717</v>
      </c>
      <c r="D811" s="355" t="s">
        <v>2757</v>
      </c>
      <c r="E811" t="s">
        <v>2758</v>
      </c>
      <c r="F811" s="57">
        <v>0</v>
      </c>
      <c r="G811" s="57">
        <v>130410</v>
      </c>
      <c r="H811" s="1082">
        <f t="shared" si="42"/>
        <v>-130410</v>
      </c>
      <c r="I811" s="1333" t="s">
        <v>53</v>
      </c>
      <c r="J811" s="1334" t="str">
        <f>VLOOKUP(C811,Acc_Char!B:K,3,)</f>
        <v>BW BAU BANG 01</v>
      </c>
      <c r="K811" s="1334" t="str">
        <f>VLOOKUP(C811,Acc_Char!B:K,7,)</f>
        <v>Subsidiaries</v>
      </c>
      <c r="L811" s="1334" t="str">
        <f t="shared" si="43"/>
        <v>Operating expense</v>
      </c>
      <c r="M811" s="1335" t="str">
        <f>VLOOKUP(C811,Acc_Char!B:K,5,)</f>
        <v>VND</v>
      </c>
      <c r="N811" s="1335" t="str">
        <f>VLOOKUP(C811,Acc_Char!B:K,6,)</f>
        <v>Current Account</v>
      </c>
      <c r="O811" s="1336" t="str">
        <f>Summary!$B$4</f>
        <v>W1-2Jan26</v>
      </c>
      <c r="P811" s="1334" t="str">
        <f t="shared" si="44"/>
        <v>110002915294</v>
      </c>
    </row>
    <row r="812" spans="1:17">
      <c r="A812" t="s">
        <v>1591</v>
      </c>
      <c r="B812" s="34" t="s">
        <v>110</v>
      </c>
      <c r="C812" s="34" t="s">
        <v>717</v>
      </c>
      <c r="D812" s="355" t="s">
        <v>2759</v>
      </c>
      <c r="E812" t="s">
        <v>2760</v>
      </c>
      <c r="F812" s="57">
        <v>0</v>
      </c>
      <c r="G812" s="57">
        <v>2666160</v>
      </c>
      <c r="H812" s="1082">
        <f t="shared" si="42"/>
        <v>-2666160</v>
      </c>
      <c r="I812" s="1333" t="s">
        <v>53</v>
      </c>
      <c r="J812" s="1334" t="str">
        <f>VLOOKUP(C812,Acc_Char!B:K,3,)</f>
        <v>BW BAU BANG 01</v>
      </c>
      <c r="K812" s="1334" t="str">
        <f>VLOOKUP(C812,Acc_Char!B:K,7,)</f>
        <v>Subsidiaries</v>
      </c>
      <c r="L812" s="1334" t="str">
        <f t="shared" si="43"/>
        <v>Operating expense</v>
      </c>
      <c r="M812" s="1335" t="str">
        <f>VLOOKUP(C812,Acc_Char!B:K,5,)</f>
        <v>VND</v>
      </c>
      <c r="N812" s="1335" t="str">
        <f>VLOOKUP(C812,Acc_Char!B:K,6,)</f>
        <v>Current Account</v>
      </c>
      <c r="O812" s="1336" t="str">
        <f>Summary!$B$4</f>
        <v>W1-2Jan26</v>
      </c>
      <c r="P812" s="1334" t="str">
        <f t="shared" si="44"/>
        <v>110002915294</v>
      </c>
    </row>
    <row r="813" spans="1:17">
      <c r="A813" t="s">
        <v>1591</v>
      </c>
      <c r="B813" s="34" t="s">
        <v>110</v>
      </c>
      <c r="C813" s="34" t="s">
        <v>1227</v>
      </c>
      <c r="D813" s="355" t="s">
        <v>2560</v>
      </c>
      <c r="E813" t="s">
        <v>2761</v>
      </c>
      <c r="F813" s="57">
        <v>0</v>
      </c>
      <c r="G813" s="57">
        <v>5000</v>
      </c>
      <c r="H813" s="1082">
        <f t="shared" si="42"/>
        <v>-5000</v>
      </c>
      <c r="I813" s="1333" t="s">
        <v>53</v>
      </c>
      <c r="J813" s="1334" t="str">
        <f>VLOOKUP(C813,Acc_Char!B:K,3,)</f>
        <v>NASTEC JSC</v>
      </c>
      <c r="K813" s="1334" t="str">
        <f>VLOOKUP(C813,Acc_Char!B:K,7,)</f>
        <v>Subsidiaries</v>
      </c>
      <c r="L813" s="1334" t="str">
        <f t="shared" si="43"/>
        <v>Operating expense</v>
      </c>
      <c r="M813" s="1335" t="str">
        <f>VLOOKUP(C813,Acc_Char!B:K,5,)</f>
        <v>VND</v>
      </c>
      <c r="N813" s="1335" t="str">
        <f>VLOOKUP(C813,Acc_Char!B:K,6,)</f>
        <v>Current Account</v>
      </c>
      <c r="O813" s="1336" t="str">
        <f>Summary!$B$4</f>
        <v>W1-2Jan26</v>
      </c>
      <c r="P813" s="1334" t="str">
        <f t="shared" si="44"/>
        <v>111002902469</v>
      </c>
    </row>
    <row r="814" spans="1:17">
      <c r="A814" t="s">
        <v>1591</v>
      </c>
      <c r="B814" s="34" t="s">
        <v>110</v>
      </c>
      <c r="C814" s="34" t="s">
        <v>1227</v>
      </c>
      <c r="D814" s="355" t="s">
        <v>2556</v>
      </c>
      <c r="E814" t="s">
        <v>2761</v>
      </c>
      <c r="F814" s="57">
        <v>0</v>
      </c>
      <c r="G814" s="57">
        <v>5000</v>
      </c>
      <c r="H814" s="1082">
        <f t="shared" si="42"/>
        <v>-5000</v>
      </c>
      <c r="I814" s="1333" t="s">
        <v>53</v>
      </c>
      <c r="J814" s="1334" t="str">
        <f>VLOOKUP(C814,Acc_Char!B:K,3,)</f>
        <v>NASTEC JSC</v>
      </c>
      <c r="K814" s="1334" t="str">
        <f>VLOOKUP(C814,Acc_Char!B:K,7,)</f>
        <v>Subsidiaries</v>
      </c>
      <c r="L814" s="1334" t="str">
        <f t="shared" si="43"/>
        <v>Operating expense</v>
      </c>
      <c r="M814" s="1335" t="str">
        <f>VLOOKUP(C814,Acc_Char!B:K,5,)</f>
        <v>VND</v>
      </c>
      <c r="N814" s="1335" t="str">
        <f>VLOOKUP(C814,Acc_Char!B:K,6,)</f>
        <v>Current Account</v>
      </c>
      <c r="O814" s="1336" t="str">
        <f>Summary!$B$4</f>
        <v>W1-2Jan26</v>
      </c>
      <c r="P814" s="1334" t="str">
        <f t="shared" si="44"/>
        <v>111002902469</v>
      </c>
    </row>
    <row r="815" spans="1:17">
      <c r="A815" t="s">
        <v>1591</v>
      </c>
      <c r="B815" s="34" t="s">
        <v>110</v>
      </c>
      <c r="C815" s="34" t="s">
        <v>555</v>
      </c>
      <c r="D815" s="355" t="s">
        <v>2562</v>
      </c>
      <c r="E815" t="s">
        <v>2761</v>
      </c>
      <c r="F815" s="57">
        <v>0</v>
      </c>
      <c r="G815" s="57">
        <v>2500</v>
      </c>
      <c r="H815" s="1283">
        <f t="shared" si="42"/>
        <v>-2500</v>
      </c>
      <c r="I815" s="1333" t="s">
        <v>53</v>
      </c>
      <c r="J815" s="1334" t="str">
        <f>VLOOKUP(C815,Acc_Char!B:K,3,)</f>
        <v>BWID DONG AN LID</v>
      </c>
      <c r="K815" s="1334" t="str">
        <f>VLOOKUP(C815,Acc_Char!B:K,7,)</f>
        <v>Subsidiaries</v>
      </c>
      <c r="L815" s="1334" t="str">
        <f t="shared" si="43"/>
        <v>Operating expense</v>
      </c>
      <c r="M815" s="1335" t="str">
        <f>VLOOKUP(C815,Acc_Char!B:K,5,)</f>
        <v>VND</v>
      </c>
      <c r="N815" s="1335" t="str">
        <f>VLOOKUP(C815,Acc_Char!B:K,6,)</f>
        <v>Current Account</v>
      </c>
      <c r="O815" s="1336" t="str">
        <f>Summary!$B$4</f>
        <v>W1-2Jan26</v>
      </c>
      <c r="P815" s="1334" t="str">
        <f t="shared" si="44"/>
        <v>114002807847</v>
      </c>
    </row>
    <row r="816" spans="1:17">
      <c r="A816" t="s">
        <v>1591</v>
      </c>
      <c r="B816" s="34" t="s">
        <v>110</v>
      </c>
      <c r="C816" s="34" t="s">
        <v>700</v>
      </c>
      <c r="D816" s="355" t="s">
        <v>2762</v>
      </c>
      <c r="E816" t="s">
        <v>2763</v>
      </c>
      <c r="F816" s="57">
        <v>123268656344</v>
      </c>
      <c r="G816" s="57">
        <v>0</v>
      </c>
      <c r="H816" s="1082">
        <f t="shared" si="42"/>
        <v>123268656344</v>
      </c>
      <c r="I816" s="1333" t="s">
        <v>41</v>
      </c>
      <c r="J816" s="1334" t="str">
        <f>VLOOKUP(C816,Acc_Char!B:K,3,)</f>
        <v>BAU BANG 5</v>
      </c>
      <c r="K816" s="1334" t="str">
        <f>VLOOKUP(C816,Acc_Char!B:K,7,)</f>
        <v>Subsidiaries</v>
      </c>
      <c r="L816" s="1334" t="str">
        <f t="shared" si="43"/>
        <v>Internal transfer in</v>
      </c>
      <c r="M816" s="1335" t="str">
        <f>VLOOKUP(C816,Acc_Char!B:K,5,)</f>
        <v>VND</v>
      </c>
      <c r="N816" s="1335" t="str">
        <f>VLOOKUP(C816,Acc_Char!B:K,6,)</f>
        <v>Current Account</v>
      </c>
      <c r="O816" s="1336" t="str">
        <f>Summary!$B$4</f>
        <v>W1-2Jan26</v>
      </c>
      <c r="P816" s="1334" t="str">
        <f t="shared" si="44"/>
        <v>112604409888</v>
      </c>
    </row>
    <row r="817" spans="1:16">
      <c r="A817" t="s">
        <v>1591</v>
      </c>
      <c r="B817" s="34" t="s">
        <v>110</v>
      </c>
      <c r="C817" s="34" t="s">
        <v>587</v>
      </c>
      <c r="D817" s="355" t="s">
        <v>2762</v>
      </c>
      <c r="E817" t="s">
        <v>2763</v>
      </c>
      <c r="F817" s="57">
        <v>0</v>
      </c>
      <c r="G817" s="57">
        <v>123268656344</v>
      </c>
      <c r="H817" s="1082">
        <f t="shared" si="42"/>
        <v>-123268656344</v>
      </c>
      <c r="I817" s="1333" t="s">
        <v>59</v>
      </c>
      <c r="J817" s="1334" t="str">
        <f>VLOOKUP(C817,Acc_Char!B:K,3,)</f>
        <v>SAO HOA</v>
      </c>
      <c r="K817" s="1334" t="str">
        <f>VLOOKUP(C817,Acc_Char!B:K,7,)</f>
        <v>VC3</v>
      </c>
      <c r="L817" s="1334" t="str">
        <f t="shared" si="43"/>
        <v>Internal transfer out</v>
      </c>
      <c r="M817" s="1335" t="str">
        <f>VLOOKUP(C817,Acc_Char!B:K,5,)</f>
        <v>VND</v>
      </c>
      <c r="N817" s="1335" t="str">
        <f>VLOOKUP(C817,Acc_Char!B:K,6,)</f>
        <v>Current Account</v>
      </c>
      <c r="O817" s="1336" t="str">
        <f>Summary!$B$4</f>
        <v>W1-2Jan26</v>
      </c>
      <c r="P817" s="1334" t="str">
        <f t="shared" si="44"/>
        <v>114002874189</v>
      </c>
    </row>
    <row r="818" spans="1:16">
      <c r="A818" t="s">
        <v>1591</v>
      </c>
      <c r="B818" s="34" t="s">
        <v>110</v>
      </c>
      <c r="C818" s="34" t="s">
        <v>587</v>
      </c>
      <c r="D818" s="355" t="s">
        <v>2331</v>
      </c>
      <c r="E818" t="s">
        <v>2764</v>
      </c>
      <c r="F818" s="57">
        <v>0</v>
      </c>
      <c r="G818" s="57">
        <v>10691886</v>
      </c>
      <c r="H818" s="1082">
        <f t="shared" si="42"/>
        <v>-10691886</v>
      </c>
      <c r="I818" s="1333" t="s">
        <v>53</v>
      </c>
      <c r="J818" s="1334" t="str">
        <f>VLOOKUP(C818,Acc_Char!B:K,3,)</f>
        <v>SAO HOA</v>
      </c>
      <c r="K818" s="1334" t="str">
        <f>VLOOKUP(C818,Acc_Char!B:K,7,)</f>
        <v>VC3</v>
      </c>
      <c r="L818" s="1334" t="str">
        <f t="shared" si="43"/>
        <v>Operating expense</v>
      </c>
      <c r="M818" s="1335" t="str">
        <f>VLOOKUP(C818,Acc_Char!B:K,5,)</f>
        <v>VND</v>
      </c>
      <c r="N818" s="1335" t="str">
        <f>VLOOKUP(C818,Acc_Char!B:K,6,)</f>
        <v>Current Account</v>
      </c>
      <c r="O818" s="1336" t="str">
        <f>Summary!$B$4</f>
        <v>W1-2Jan26</v>
      </c>
      <c r="P818" s="1334" t="str">
        <f t="shared" si="44"/>
        <v>114002874189</v>
      </c>
    </row>
    <row r="819" spans="1:16">
      <c r="A819" t="s">
        <v>1591</v>
      </c>
      <c r="B819" s="34" t="s">
        <v>110</v>
      </c>
      <c r="C819" s="34" t="s">
        <v>587</v>
      </c>
      <c r="D819" s="355" t="s">
        <v>2352</v>
      </c>
      <c r="E819" t="s">
        <v>2765</v>
      </c>
      <c r="F819" s="57">
        <v>0</v>
      </c>
      <c r="G819" s="57">
        <v>3529000</v>
      </c>
      <c r="H819" s="1082">
        <f t="shared" si="42"/>
        <v>-3529000</v>
      </c>
      <c r="I819" s="1333" t="s">
        <v>53</v>
      </c>
      <c r="J819" s="1334" t="str">
        <f>VLOOKUP(C819,Acc_Char!B:K,3,)</f>
        <v>SAO HOA</v>
      </c>
      <c r="K819" s="1334" t="str">
        <f>VLOOKUP(C819,Acc_Char!B:K,7,)</f>
        <v>VC3</v>
      </c>
      <c r="L819" s="1334" t="str">
        <f t="shared" si="43"/>
        <v>Operating expense</v>
      </c>
      <c r="M819" s="1335" t="str">
        <f>VLOOKUP(C819,Acc_Char!B:K,5,)</f>
        <v>VND</v>
      </c>
      <c r="N819" s="1335" t="str">
        <f>VLOOKUP(C819,Acc_Char!B:K,6,)</f>
        <v>Current Account</v>
      </c>
      <c r="O819" s="1336" t="str">
        <f>Summary!$B$4</f>
        <v>W1-2Jan26</v>
      </c>
      <c r="P819" s="1334" t="str">
        <f t="shared" si="44"/>
        <v>114002874189</v>
      </c>
    </row>
    <row r="820" spans="1:16">
      <c r="A820" t="s">
        <v>1591</v>
      </c>
      <c r="B820" s="34" t="s">
        <v>110</v>
      </c>
      <c r="C820" s="34" t="s">
        <v>587</v>
      </c>
      <c r="D820" s="355" t="s">
        <v>2331</v>
      </c>
      <c r="E820" t="s">
        <v>2766</v>
      </c>
      <c r="F820" s="57">
        <v>0</v>
      </c>
      <c r="G820" s="57">
        <v>4087800</v>
      </c>
      <c r="H820" s="1082">
        <f t="shared" si="42"/>
        <v>-4087800</v>
      </c>
      <c r="I820" s="1333" t="s">
        <v>53</v>
      </c>
      <c r="J820" s="1334" t="str">
        <f>VLOOKUP(C820,Acc_Char!B:K,3,)</f>
        <v>SAO HOA</v>
      </c>
      <c r="K820" s="1334" t="str">
        <f>VLOOKUP(C820,Acc_Char!B:K,7,)</f>
        <v>VC3</v>
      </c>
      <c r="L820" s="1334" t="str">
        <f t="shared" si="43"/>
        <v>Operating expense</v>
      </c>
      <c r="M820" s="1335" t="str">
        <f>VLOOKUP(C820,Acc_Char!B:K,5,)</f>
        <v>VND</v>
      </c>
      <c r="N820" s="1335" t="str">
        <f>VLOOKUP(C820,Acc_Char!B:K,6,)</f>
        <v>Current Account</v>
      </c>
      <c r="O820" s="1336" t="str">
        <f>Summary!$B$4</f>
        <v>W1-2Jan26</v>
      </c>
      <c r="P820" s="1334" t="str">
        <f t="shared" si="44"/>
        <v>114002874189</v>
      </c>
    </row>
    <row r="821" spans="1:16">
      <c r="A821" t="s">
        <v>1567</v>
      </c>
      <c r="B821" s="34" t="s">
        <v>112</v>
      </c>
      <c r="C821" s="34" t="s">
        <v>1408</v>
      </c>
      <c r="D821" s="1400">
        <v>46036</v>
      </c>
      <c r="E821" t="s">
        <v>2767</v>
      </c>
      <c r="F821" s="57">
        <v>0</v>
      </c>
      <c r="G821" s="57">
        <v>2092168227</v>
      </c>
      <c r="H821" s="1082">
        <f t="shared" si="42"/>
        <v>-2092168227</v>
      </c>
      <c r="I821" s="1333" t="s">
        <v>22</v>
      </c>
      <c r="J821" s="1334" t="str">
        <f>VLOOKUP(C821,Acc_Char!B:K,3,)</f>
        <v>LONG BINH</v>
      </c>
      <c r="K821" s="1334" t="str">
        <f>VLOOKUP(C821,Acc_Char!B:K,7,)</f>
        <v>Subsidiaries</v>
      </c>
      <c r="L821" s="1334" t="str">
        <f t="shared" si="43"/>
        <v>Construction expense</v>
      </c>
      <c r="M821" s="1335" t="str">
        <f>VLOOKUP(C821,Acc_Char!B:K,5,)</f>
        <v>VND</v>
      </c>
      <c r="N821" s="1335" t="str">
        <f>VLOOKUP(C821,Acc_Char!B:K,6,)</f>
        <v>Current Account</v>
      </c>
      <c r="O821" s="1336" t="str">
        <f>Summary!$B$4</f>
        <v>W1-2Jan26</v>
      </c>
      <c r="P821" s="1334" t="str">
        <f t="shared" si="44"/>
        <v>1060629524</v>
      </c>
    </row>
    <row r="822" spans="1:16">
      <c r="A822" t="s">
        <v>1567</v>
      </c>
      <c r="B822" s="34" t="s">
        <v>112</v>
      </c>
      <c r="C822" s="34" t="s">
        <v>574</v>
      </c>
      <c r="D822" s="1400">
        <v>46035</v>
      </c>
      <c r="E822" t="s">
        <v>2768</v>
      </c>
      <c r="F822" s="57">
        <v>0</v>
      </c>
      <c r="G822" s="57">
        <v>1000000</v>
      </c>
      <c r="H822" s="1082">
        <f t="shared" si="42"/>
        <v>-1000000</v>
      </c>
      <c r="I822" s="1333" t="s">
        <v>53</v>
      </c>
      <c r="J822" s="1334" t="str">
        <f>VLOOKUP(C822,Acc_Char!B:K,3,)</f>
        <v>BW SUPLLY CHAIN CITY</v>
      </c>
      <c r="K822" s="1334" t="str">
        <f>VLOOKUP(C822,Acc_Char!B:K,7,)</f>
        <v>Subsidiaries</v>
      </c>
      <c r="L822" s="1334" t="str">
        <f t="shared" si="43"/>
        <v>Operating expense</v>
      </c>
      <c r="M822" s="1335" t="str">
        <f>VLOOKUP(C822,Acc_Char!B:K,5,)</f>
        <v>VND</v>
      </c>
      <c r="N822" s="1335" t="str">
        <f>VLOOKUP(C822,Acc_Char!B:K,6,)</f>
        <v>Current Account</v>
      </c>
      <c r="O822" s="1336" t="str">
        <f>Summary!$B$4</f>
        <v>W1-2Jan26</v>
      </c>
      <c r="P822" s="1334" t="str">
        <f t="shared" si="44"/>
        <v>1018291733</v>
      </c>
    </row>
    <row r="823" spans="1:16">
      <c r="A823" t="s">
        <v>1567</v>
      </c>
      <c r="B823" s="34" t="s">
        <v>112</v>
      </c>
      <c r="C823" s="34" t="s">
        <v>574</v>
      </c>
      <c r="D823" s="1400">
        <v>46035</v>
      </c>
      <c r="E823" t="s">
        <v>2769</v>
      </c>
      <c r="F823" s="57">
        <v>0</v>
      </c>
      <c r="G823" s="57">
        <v>14575000</v>
      </c>
      <c r="H823" s="1082">
        <f t="shared" si="42"/>
        <v>-14575000</v>
      </c>
      <c r="I823" s="1333" t="s">
        <v>53</v>
      </c>
      <c r="J823" s="1334" t="str">
        <f>VLOOKUP(C823,Acc_Char!B:K,3,)</f>
        <v>BW SUPLLY CHAIN CITY</v>
      </c>
      <c r="K823" s="1334" t="str">
        <f>VLOOKUP(C823,Acc_Char!B:K,7,)</f>
        <v>Subsidiaries</v>
      </c>
      <c r="L823" s="1334" t="str">
        <f t="shared" si="43"/>
        <v>Operating expense</v>
      </c>
      <c r="M823" s="1335" t="str">
        <f>VLOOKUP(C823,Acc_Char!B:K,5,)</f>
        <v>VND</v>
      </c>
      <c r="N823" s="1335" t="str">
        <f>VLOOKUP(C823,Acc_Char!B:K,6,)</f>
        <v>Current Account</v>
      </c>
      <c r="O823" s="1336" t="str">
        <f>Summary!$B$4</f>
        <v>W1-2Jan26</v>
      </c>
      <c r="P823" s="1334" t="str">
        <f t="shared" si="44"/>
        <v>1018291733</v>
      </c>
    </row>
    <row r="824" spans="1:16">
      <c r="A824" t="s">
        <v>1567</v>
      </c>
      <c r="B824" s="34" t="s">
        <v>112</v>
      </c>
      <c r="C824" s="34" t="s">
        <v>574</v>
      </c>
      <c r="D824" s="1400">
        <v>46035</v>
      </c>
      <c r="E824" t="s">
        <v>2770</v>
      </c>
      <c r="F824" s="57">
        <v>0</v>
      </c>
      <c r="G824" s="57">
        <v>46224000</v>
      </c>
      <c r="H824" s="1082">
        <f t="shared" si="42"/>
        <v>-46224000</v>
      </c>
      <c r="I824" s="1333" t="s">
        <v>53</v>
      </c>
      <c r="J824" s="1334" t="str">
        <f>VLOOKUP(C824,Acc_Char!B:K,3,)</f>
        <v>BW SUPLLY CHAIN CITY</v>
      </c>
      <c r="K824" s="1334" t="str">
        <f>VLOOKUP(C824,Acc_Char!B:K,7,)</f>
        <v>Subsidiaries</v>
      </c>
      <c r="L824" s="1334" t="str">
        <f t="shared" si="43"/>
        <v>Operating expense</v>
      </c>
      <c r="M824" s="1335" t="str">
        <f>VLOOKUP(C824,Acc_Char!B:K,5,)</f>
        <v>VND</v>
      </c>
      <c r="N824" s="1335" t="str">
        <f>VLOOKUP(C824,Acc_Char!B:K,6,)</f>
        <v>Current Account</v>
      </c>
      <c r="O824" s="1336" t="str">
        <f>Summary!$B$4</f>
        <v>W1-2Jan26</v>
      </c>
      <c r="P824" s="1334" t="str">
        <f t="shared" si="44"/>
        <v>1018291733</v>
      </c>
    </row>
    <row r="825" spans="1:16">
      <c r="A825" t="s">
        <v>1567</v>
      </c>
      <c r="B825" s="34" t="s">
        <v>112</v>
      </c>
      <c r="C825" s="34" t="s">
        <v>574</v>
      </c>
      <c r="D825" s="1400">
        <v>46035</v>
      </c>
      <c r="E825" t="s">
        <v>2771</v>
      </c>
      <c r="F825" s="57">
        <v>0</v>
      </c>
      <c r="G825" s="57">
        <v>540400000</v>
      </c>
      <c r="H825" s="1082">
        <f t="shared" si="42"/>
        <v>-540400000</v>
      </c>
      <c r="I825" s="1333" t="s">
        <v>22</v>
      </c>
      <c r="J825" s="1334" t="str">
        <f>VLOOKUP(C825,Acc_Char!B:K,3,)</f>
        <v>BW SUPLLY CHAIN CITY</v>
      </c>
      <c r="K825" s="1334" t="str">
        <f>VLOOKUP(C825,Acc_Char!B:K,7,)</f>
        <v>Subsidiaries</v>
      </c>
      <c r="L825" s="1334" t="str">
        <f t="shared" si="43"/>
        <v>Construction expense</v>
      </c>
      <c r="M825" s="1335" t="str">
        <f>VLOOKUP(C825,Acc_Char!B:K,5,)</f>
        <v>VND</v>
      </c>
      <c r="N825" s="1335" t="str">
        <f>VLOOKUP(C825,Acc_Char!B:K,6,)</f>
        <v>Current Account</v>
      </c>
      <c r="O825" s="1336" t="str">
        <f>Summary!$B$4</f>
        <v>W1-2Jan26</v>
      </c>
      <c r="P825" s="1334" t="str">
        <f t="shared" si="44"/>
        <v>1018291733</v>
      </c>
    </row>
    <row r="826" spans="1:16">
      <c r="A826" t="s">
        <v>1567</v>
      </c>
      <c r="B826" s="34" t="s">
        <v>112</v>
      </c>
      <c r="C826" s="34" t="s">
        <v>574</v>
      </c>
      <c r="D826" s="1400">
        <v>46035</v>
      </c>
      <c r="E826" t="s">
        <v>2772</v>
      </c>
      <c r="F826" s="57">
        <v>0</v>
      </c>
      <c r="G826" s="57">
        <v>25326000</v>
      </c>
      <c r="H826" s="1082">
        <f t="shared" si="42"/>
        <v>-25326000</v>
      </c>
      <c r="I826" s="1333" t="s">
        <v>53</v>
      </c>
      <c r="J826" s="1334" t="str">
        <f>VLOOKUP(C826,Acc_Char!B:K,3,)</f>
        <v>BW SUPLLY CHAIN CITY</v>
      </c>
      <c r="K826" s="1334" t="str">
        <f>VLOOKUP(C826,Acc_Char!B:K,7,)</f>
        <v>Subsidiaries</v>
      </c>
      <c r="L826" s="1334" t="str">
        <f t="shared" si="43"/>
        <v>Operating expense</v>
      </c>
      <c r="M826" s="1335" t="str">
        <f>VLOOKUP(C826,Acc_Char!B:K,5,)</f>
        <v>VND</v>
      </c>
      <c r="N826" s="1335" t="str">
        <f>VLOOKUP(C826,Acc_Char!B:K,6,)</f>
        <v>Current Account</v>
      </c>
      <c r="O826" s="1336" t="str">
        <f>Summary!$B$4</f>
        <v>W1-2Jan26</v>
      </c>
      <c r="P826" s="1334" t="str">
        <f t="shared" si="44"/>
        <v>1018291733</v>
      </c>
    </row>
    <row r="827" spans="1:16">
      <c r="A827" t="s">
        <v>1567</v>
      </c>
      <c r="B827" s="34" t="s">
        <v>112</v>
      </c>
      <c r="C827" s="34" t="s">
        <v>574</v>
      </c>
      <c r="D827" s="1400">
        <v>46035</v>
      </c>
      <c r="E827" t="s">
        <v>2773</v>
      </c>
      <c r="F827" s="57">
        <v>0</v>
      </c>
      <c r="G827" s="57">
        <v>21902400</v>
      </c>
      <c r="H827" s="1082">
        <f t="shared" si="42"/>
        <v>-21902400</v>
      </c>
      <c r="I827" s="1333" t="s">
        <v>53</v>
      </c>
      <c r="J827" s="1334" t="str">
        <f>VLOOKUP(C827,Acc_Char!B:K,3,)</f>
        <v>BW SUPLLY CHAIN CITY</v>
      </c>
      <c r="K827" s="1334" t="str">
        <f>VLOOKUP(C827,Acc_Char!B:K,7,)</f>
        <v>Subsidiaries</v>
      </c>
      <c r="L827" s="1334" t="str">
        <f t="shared" si="43"/>
        <v>Operating expense</v>
      </c>
      <c r="M827" s="1335" t="str">
        <f>VLOOKUP(C827,Acc_Char!B:K,5,)</f>
        <v>VND</v>
      </c>
      <c r="N827" s="1335" t="str">
        <f>VLOOKUP(C827,Acc_Char!B:K,6,)</f>
        <v>Current Account</v>
      </c>
      <c r="O827" s="1336" t="str">
        <f>Summary!$B$4</f>
        <v>W1-2Jan26</v>
      </c>
      <c r="P827" s="1334" t="str">
        <f t="shared" si="44"/>
        <v>1018291733</v>
      </c>
    </row>
    <row r="828" spans="1:16">
      <c r="A828" t="s">
        <v>1567</v>
      </c>
      <c r="B828" s="34" t="s">
        <v>112</v>
      </c>
      <c r="C828" s="34" t="s">
        <v>574</v>
      </c>
      <c r="D828" s="1400">
        <v>46035</v>
      </c>
      <c r="E828" t="s">
        <v>2774</v>
      </c>
      <c r="F828" s="57">
        <v>0</v>
      </c>
      <c r="G828" s="57">
        <v>144900</v>
      </c>
      <c r="H828" s="1082">
        <f t="shared" si="42"/>
        <v>-144900</v>
      </c>
      <c r="I828" s="1333" t="s">
        <v>53</v>
      </c>
      <c r="J828" s="1334" t="str">
        <f>VLOOKUP(C828,Acc_Char!B:K,3,)</f>
        <v>BW SUPLLY CHAIN CITY</v>
      </c>
      <c r="K828" s="1334" t="str">
        <f>VLOOKUP(C828,Acc_Char!B:K,7,)</f>
        <v>Subsidiaries</v>
      </c>
      <c r="L828" s="1334" t="str">
        <f t="shared" si="43"/>
        <v>Operating expense</v>
      </c>
      <c r="M828" s="1335" t="str">
        <f>VLOOKUP(C828,Acc_Char!B:K,5,)</f>
        <v>VND</v>
      </c>
      <c r="N828" s="1335" t="str">
        <f>VLOOKUP(C828,Acc_Char!B:K,6,)</f>
        <v>Current Account</v>
      </c>
      <c r="O828" s="1336" t="str">
        <f>Summary!$B$4</f>
        <v>W1-2Jan26</v>
      </c>
      <c r="P828" s="1334" t="str">
        <f t="shared" si="44"/>
        <v>1018291733</v>
      </c>
    </row>
    <row r="829" spans="1:16">
      <c r="A829" t="s">
        <v>1567</v>
      </c>
      <c r="B829" s="34" t="s">
        <v>112</v>
      </c>
      <c r="C829" s="34" t="s">
        <v>574</v>
      </c>
      <c r="D829" s="1400">
        <v>46035</v>
      </c>
      <c r="E829" t="s">
        <v>2775</v>
      </c>
      <c r="F829" s="57">
        <v>0</v>
      </c>
      <c r="G829" s="57">
        <v>177932516</v>
      </c>
      <c r="H829" s="1082">
        <f t="shared" si="42"/>
        <v>-177932516</v>
      </c>
      <c r="I829" s="1333" t="s">
        <v>53</v>
      </c>
      <c r="J829" s="1334" t="str">
        <f>VLOOKUP(C829,Acc_Char!B:K,3,)</f>
        <v>BW SUPLLY CHAIN CITY</v>
      </c>
      <c r="K829" s="1334" t="str">
        <f>VLOOKUP(C829,Acc_Char!B:K,7,)</f>
        <v>Subsidiaries</v>
      </c>
      <c r="L829" s="1334" t="str">
        <f t="shared" si="43"/>
        <v>Operating expense</v>
      </c>
      <c r="M829" s="1335" t="str">
        <f>VLOOKUP(C829,Acc_Char!B:K,5,)</f>
        <v>VND</v>
      </c>
      <c r="N829" s="1335" t="str">
        <f>VLOOKUP(C829,Acc_Char!B:K,6,)</f>
        <v>Current Account</v>
      </c>
      <c r="O829" s="1336" t="str">
        <f>Summary!$B$4</f>
        <v>W1-2Jan26</v>
      </c>
      <c r="P829" s="1334" t="str">
        <f t="shared" si="44"/>
        <v>1018291733</v>
      </c>
    </row>
    <row r="830" spans="1:16">
      <c r="A830" t="s">
        <v>1567</v>
      </c>
      <c r="B830" s="34" t="s">
        <v>112</v>
      </c>
      <c r="C830" s="34" t="s">
        <v>574</v>
      </c>
      <c r="D830" s="1400">
        <v>46035</v>
      </c>
      <c r="E830" t="s">
        <v>2776</v>
      </c>
      <c r="F830" s="57">
        <v>0</v>
      </c>
      <c r="G830" s="57">
        <v>9385200</v>
      </c>
      <c r="H830" s="1082">
        <f t="shared" si="42"/>
        <v>-9385200</v>
      </c>
      <c r="I830" s="1333" t="s">
        <v>53</v>
      </c>
      <c r="J830" s="1334" t="str">
        <f>VLOOKUP(C830,Acc_Char!B:K,3,)</f>
        <v>BW SUPLLY CHAIN CITY</v>
      </c>
      <c r="K830" s="1334" t="str">
        <f>VLOOKUP(C830,Acc_Char!B:K,7,)</f>
        <v>Subsidiaries</v>
      </c>
      <c r="L830" s="1334" t="str">
        <f t="shared" si="43"/>
        <v>Operating expense</v>
      </c>
      <c r="M830" s="1335" t="str">
        <f>VLOOKUP(C830,Acc_Char!B:K,5,)</f>
        <v>VND</v>
      </c>
      <c r="N830" s="1335" t="str">
        <f>VLOOKUP(C830,Acc_Char!B:K,6,)</f>
        <v>Current Account</v>
      </c>
      <c r="O830" s="1336" t="str">
        <f>Summary!$B$4</f>
        <v>W1-2Jan26</v>
      </c>
      <c r="P830" s="1334" t="str">
        <f t="shared" si="44"/>
        <v>1018291733</v>
      </c>
    </row>
    <row r="831" spans="1:16">
      <c r="A831" t="s">
        <v>1567</v>
      </c>
      <c r="B831" s="34" t="s">
        <v>112</v>
      </c>
      <c r="C831" s="34" t="s">
        <v>574</v>
      </c>
      <c r="D831" s="1400">
        <v>46035</v>
      </c>
      <c r="E831" t="s">
        <v>2777</v>
      </c>
      <c r="F831" s="57">
        <v>0</v>
      </c>
      <c r="G831" s="57">
        <v>2214000</v>
      </c>
      <c r="H831" s="1082">
        <f t="shared" ref="H831:H873" si="45">F831-G831</f>
        <v>-2214000</v>
      </c>
      <c r="I831" s="1333" t="s">
        <v>53</v>
      </c>
      <c r="J831" s="1334" t="str">
        <f>VLOOKUP(C831,Acc_Char!B:K,3,)</f>
        <v>BW SUPLLY CHAIN CITY</v>
      </c>
      <c r="K831" s="1334" t="str">
        <f>VLOOKUP(C831,Acc_Char!B:K,7,)</f>
        <v>Subsidiaries</v>
      </c>
      <c r="L831" s="1334" t="str">
        <f t="shared" si="43"/>
        <v>Operating expense</v>
      </c>
      <c r="M831" s="1335" t="str">
        <f>VLOOKUP(C831,Acc_Char!B:K,5,)</f>
        <v>VND</v>
      </c>
      <c r="N831" s="1335" t="str">
        <f>VLOOKUP(C831,Acc_Char!B:K,6,)</f>
        <v>Current Account</v>
      </c>
      <c r="O831" s="1336" t="str">
        <f>Summary!$B$4</f>
        <v>W1-2Jan26</v>
      </c>
      <c r="P831" s="1334" t="str">
        <f t="shared" si="44"/>
        <v>1018291733</v>
      </c>
    </row>
    <row r="832" spans="1:16">
      <c r="A832" t="s">
        <v>1567</v>
      </c>
      <c r="B832" s="34" t="s">
        <v>112</v>
      </c>
      <c r="C832" s="34" t="s">
        <v>1252</v>
      </c>
      <c r="D832" s="1400">
        <v>46035</v>
      </c>
      <c r="E832" t="s">
        <v>2778</v>
      </c>
      <c r="F832" s="57">
        <v>0</v>
      </c>
      <c r="G832" s="57">
        <v>52220540</v>
      </c>
      <c r="H832" s="1082">
        <f t="shared" si="45"/>
        <v>-52220540</v>
      </c>
      <c r="I832" s="1333" t="s">
        <v>53</v>
      </c>
      <c r="J832" s="1334" t="str">
        <f>VLOOKUP(C832,Acc_Char!B:K,3,)</f>
        <v>BWID THOI HOA</v>
      </c>
      <c r="K832" s="1334" t="str">
        <f>VLOOKUP(C832,Acc_Char!B:K,7,)</f>
        <v>Subsidiaries</v>
      </c>
      <c r="L832" s="1334" t="str">
        <f t="shared" si="43"/>
        <v>Operating expense</v>
      </c>
      <c r="M832" s="1335" t="str">
        <f>VLOOKUP(C832,Acc_Char!B:K,5,)</f>
        <v>VND</v>
      </c>
      <c r="N832" s="1335" t="str">
        <f>VLOOKUP(C832,Acc_Char!B:K,6,)</f>
        <v>Current Account</v>
      </c>
      <c r="O832" s="1336" t="str">
        <f>Summary!$B$4</f>
        <v>W1-2Jan26</v>
      </c>
      <c r="P832" s="1334" t="str">
        <f t="shared" si="44"/>
        <v>1057270760</v>
      </c>
    </row>
    <row r="833" spans="1:16">
      <c r="A833" t="s">
        <v>1567</v>
      </c>
      <c r="B833" s="34" t="s">
        <v>112</v>
      </c>
      <c r="C833" s="34" t="s">
        <v>1252</v>
      </c>
      <c r="D833" s="1400">
        <v>46035</v>
      </c>
      <c r="E833" t="s">
        <v>2779</v>
      </c>
      <c r="F833" s="57">
        <v>0</v>
      </c>
      <c r="G833" s="57">
        <v>2020155</v>
      </c>
      <c r="H833" s="1082">
        <f t="shared" si="45"/>
        <v>-2020155</v>
      </c>
      <c r="I833" s="1333" t="s">
        <v>53</v>
      </c>
      <c r="J833" s="1334" t="str">
        <f>VLOOKUP(C833,Acc_Char!B:K,3,)</f>
        <v>BWID THOI HOA</v>
      </c>
      <c r="K833" s="1334" t="str">
        <f>VLOOKUP(C833,Acc_Char!B:K,7,)</f>
        <v>Subsidiaries</v>
      </c>
      <c r="L833" s="1334" t="str">
        <f t="shared" si="43"/>
        <v>Operating expense</v>
      </c>
      <c r="M833" s="1335" t="str">
        <f>VLOOKUP(C833,Acc_Char!B:K,5,)</f>
        <v>VND</v>
      </c>
      <c r="N833" s="1335" t="str">
        <f>VLOOKUP(C833,Acc_Char!B:K,6,)</f>
        <v>Current Account</v>
      </c>
      <c r="O833" s="1336" t="str">
        <f>Summary!$B$4</f>
        <v>W1-2Jan26</v>
      </c>
      <c r="P833" s="1334" t="str">
        <f t="shared" si="44"/>
        <v>1057270760</v>
      </c>
    </row>
    <row r="834" spans="1:16">
      <c r="A834" t="s">
        <v>1567</v>
      </c>
      <c r="B834" s="34" t="s">
        <v>112</v>
      </c>
      <c r="C834" s="34" t="s">
        <v>529</v>
      </c>
      <c r="D834" s="1400">
        <v>46035</v>
      </c>
      <c r="E834" t="s">
        <v>2780</v>
      </c>
      <c r="F834" s="57">
        <v>0</v>
      </c>
      <c r="G834" s="57">
        <v>5292000</v>
      </c>
      <c r="H834" s="1082">
        <f t="shared" si="45"/>
        <v>-5292000</v>
      </c>
      <c r="I834" s="1333" t="s">
        <v>53</v>
      </c>
      <c r="J834" s="1334" t="str">
        <f>VLOOKUP(C834,Acc_Char!B:K,3,)</f>
        <v>BWID LOGISTICS TAN UYEN</v>
      </c>
      <c r="K834" s="1334" t="str">
        <f>VLOOKUP(C834,Acc_Char!B:K,7,)</f>
        <v>Subsidiaries</v>
      </c>
      <c r="L834" s="1334" t="str">
        <f t="shared" si="43"/>
        <v>Operating expense</v>
      </c>
      <c r="M834" s="1335" t="str">
        <f>VLOOKUP(C834,Acc_Char!B:K,5,)</f>
        <v>VND</v>
      </c>
      <c r="N834" s="1335" t="str">
        <f>VLOOKUP(C834,Acc_Char!B:K,6,)</f>
        <v>Current Account</v>
      </c>
      <c r="O834" s="1336" t="str">
        <f>Summary!$B$4</f>
        <v>W1-2Jan26</v>
      </c>
      <c r="P834" s="1334" t="str">
        <f t="shared" si="44"/>
        <v>1018776868</v>
      </c>
    </row>
    <row r="835" spans="1:16">
      <c r="A835" t="s">
        <v>1567</v>
      </c>
      <c r="B835" s="34" t="s">
        <v>112</v>
      </c>
      <c r="C835" s="34" t="s">
        <v>529</v>
      </c>
      <c r="D835" s="1400">
        <v>46035</v>
      </c>
      <c r="E835" t="s">
        <v>2781</v>
      </c>
      <c r="F835" s="57">
        <v>0</v>
      </c>
      <c r="G835" s="57">
        <v>47544840</v>
      </c>
      <c r="H835" s="1082">
        <f t="shared" si="45"/>
        <v>-47544840</v>
      </c>
      <c r="I835" s="1333" t="s">
        <v>53</v>
      </c>
      <c r="J835" s="1334" t="str">
        <f>VLOOKUP(C835,Acc_Char!B:K,3,)</f>
        <v>BWID LOGISTICS TAN UYEN</v>
      </c>
      <c r="K835" s="1334" t="str">
        <f>VLOOKUP(C835,Acc_Char!B:K,7,)</f>
        <v>Subsidiaries</v>
      </c>
      <c r="L835" s="1334" t="str">
        <f t="shared" si="43"/>
        <v>Operating expense</v>
      </c>
      <c r="M835" s="1335" t="str">
        <f>VLOOKUP(C835,Acc_Char!B:K,5,)</f>
        <v>VND</v>
      </c>
      <c r="N835" s="1335" t="str">
        <f>VLOOKUP(C835,Acc_Char!B:K,6,)</f>
        <v>Current Account</v>
      </c>
      <c r="O835" s="1336" t="str">
        <f>Summary!$B$4</f>
        <v>W1-2Jan26</v>
      </c>
      <c r="P835" s="1334" t="str">
        <f t="shared" si="44"/>
        <v>1018776868</v>
      </c>
    </row>
    <row r="836" spans="1:16">
      <c r="A836" t="s">
        <v>1567</v>
      </c>
      <c r="B836" s="34" t="s">
        <v>112</v>
      </c>
      <c r="C836" s="34" t="s">
        <v>514</v>
      </c>
      <c r="D836" s="1400">
        <v>46035</v>
      </c>
      <c r="E836" t="s">
        <v>2782</v>
      </c>
      <c r="F836" s="57">
        <v>0</v>
      </c>
      <c r="G836" s="57">
        <v>14575000</v>
      </c>
      <c r="H836" s="1082">
        <f t="shared" si="45"/>
        <v>-14575000</v>
      </c>
      <c r="I836" s="1333" t="s">
        <v>53</v>
      </c>
      <c r="J836" s="1334" t="str">
        <f>VLOOKUP(C836,Acc_Char!B:K,3,)</f>
        <v>BWID NHON TRACH</v>
      </c>
      <c r="K836" s="1334" t="str">
        <f>VLOOKUP(C836,Acc_Char!B:K,7,)</f>
        <v>Subsidiaries</v>
      </c>
      <c r="L836" s="1334" t="str">
        <f t="shared" si="43"/>
        <v>Operating expense</v>
      </c>
      <c r="M836" s="1335" t="str">
        <f>VLOOKUP(C836,Acc_Char!B:K,5,)</f>
        <v>VND</v>
      </c>
      <c r="N836" s="1335" t="str">
        <f>VLOOKUP(C836,Acc_Char!B:K,6,)</f>
        <v>Current Account</v>
      </c>
      <c r="O836" s="1336" t="str">
        <f>Summary!$B$4</f>
        <v>W1-2Jan26</v>
      </c>
      <c r="P836" s="1334" t="str">
        <f t="shared" si="44"/>
        <v>71001286959</v>
      </c>
    </row>
    <row r="837" spans="1:16">
      <c r="A837" t="s">
        <v>1567</v>
      </c>
      <c r="B837" s="34" t="s">
        <v>112</v>
      </c>
      <c r="C837" s="34" t="s">
        <v>514</v>
      </c>
      <c r="D837" s="1400">
        <v>46035</v>
      </c>
      <c r="E837" t="s">
        <v>2783</v>
      </c>
      <c r="F837" s="57">
        <v>0</v>
      </c>
      <c r="G837" s="57">
        <v>30618000</v>
      </c>
      <c r="H837" s="1082">
        <f t="shared" si="45"/>
        <v>-30618000</v>
      </c>
      <c r="I837" s="1333" t="s">
        <v>53</v>
      </c>
      <c r="J837" s="1334" t="str">
        <f>VLOOKUP(C837,Acc_Char!B:K,3,)</f>
        <v>BWID NHON TRACH</v>
      </c>
      <c r="K837" s="1334" t="str">
        <f>VLOOKUP(C837,Acc_Char!B:K,7,)</f>
        <v>Subsidiaries</v>
      </c>
      <c r="L837" s="1334" t="str">
        <f t="shared" ref="L837:L900" si="46">I837</f>
        <v>Operating expense</v>
      </c>
      <c r="M837" s="1335" t="str">
        <f>VLOOKUP(C837,Acc_Char!B:K,5,)</f>
        <v>VND</v>
      </c>
      <c r="N837" s="1335" t="str">
        <f>VLOOKUP(C837,Acc_Char!B:K,6,)</f>
        <v>Current Account</v>
      </c>
      <c r="O837" s="1336" t="str">
        <f>Summary!$B$4</f>
        <v>W1-2Jan26</v>
      </c>
      <c r="P837" s="1334" t="str">
        <f t="shared" ref="P837:P900" si="47">TEXT(C837,"0")</f>
        <v>71001286959</v>
      </c>
    </row>
    <row r="838" spans="1:16">
      <c r="A838" t="s">
        <v>1567</v>
      </c>
      <c r="B838" s="34" t="s">
        <v>112</v>
      </c>
      <c r="C838" s="34" t="s">
        <v>809</v>
      </c>
      <c r="D838" s="1400">
        <v>46037</v>
      </c>
      <c r="E838" t="s">
        <v>2784</v>
      </c>
      <c r="F838" s="57">
        <v>0</v>
      </c>
      <c r="G838" s="57">
        <v>74358000</v>
      </c>
      <c r="H838" s="1082">
        <f t="shared" si="45"/>
        <v>-74358000</v>
      </c>
      <c r="I838" s="1333" t="s">
        <v>53</v>
      </c>
      <c r="J838" s="1334" t="str">
        <f>VLOOKUP(C838,Acc_Char!B:K,3,)</f>
        <v>BW SAIGON LOGISTICS</v>
      </c>
      <c r="K838" s="1334" t="str">
        <f>VLOOKUP(C838,Acc_Char!B:K,7,)</f>
        <v>Subsidiaries</v>
      </c>
      <c r="L838" s="1334" t="str">
        <f t="shared" si="46"/>
        <v>Operating expense</v>
      </c>
      <c r="M838" s="1335" t="str">
        <f>VLOOKUP(C838,Acc_Char!B:K,5,)</f>
        <v>VND</v>
      </c>
      <c r="N838" s="1335" t="str">
        <f>VLOOKUP(C838,Acc_Char!B:K,6,)</f>
        <v>Current Account</v>
      </c>
      <c r="O838" s="1336" t="str">
        <f>Summary!$B$4</f>
        <v>W1-2Jan26</v>
      </c>
      <c r="P838" s="1334" t="str">
        <f t="shared" si="47"/>
        <v>1038935148</v>
      </c>
    </row>
    <row r="839" spans="1:16">
      <c r="A839" t="s">
        <v>1567</v>
      </c>
      <c r="B839" s="34" t="s">
        <v>112</v>
      </c>
      <c r="C839" s="34" t="s">
        <v>809</v>
      </c>
      <c r="D839" s="1400">
        <v>46035</v>
      </c>
      <c r="E839" t="s">
        <v>2785</v>
      </c>
      <c r="F839" s="57">
        <v>112692685</v>
      </c>
      <c r="G839" s="57">
        <v>0</v>
      </c>
      <c r="H839" s="1082">
        <f t="shared" si="45"/>
        <v>112692685</v>
      </c>
      <c r="I839" s="1333" t="s">
        <v>39</v>
      </c>
      <c r="J839" s="1334" t="str">
        <f>VLOOKUP(C839,Acc_Char!B:K,3,)</f>
        <v>BW SAIGON LOGISTICS</v>
      </c>
      <c r="K839" s="1334" t="str">
        <f>VLOOKUP(C839,Acc_Char!B:K,7,)</f>
        <v>Subsidiaries</v>
      </c>
      <c r="L839" s="1334" t="str">
        <f t="shared" si="46"/>
        <v>Receipt from tenants</v>
      </c>
      <c r="M839" s="1335" t="str">
        <f>VLOOKUP(C839,Acc_Char!B:K,5,)</f>
        <v>VND</v>
      </c>
      <c r="N839" s="1335" t="str">
        <f>VLOOKUP(C839,Acc_Char!B:K,6,)</f>
        <v>Current Account</v>
      </c>
      <c r="O839" s="1336" t="str">
        <f>Summary!$B$4</f>
        <v>W1-2Jan26</v>
      </c>
      <c r="P839" s="1334" t="str">
        <f t="shared" si="47"/>
        <v>1038935148</v>
      </c>
    </row>
    <row r="840" spans="1:16">
      <c r="A840" t="s">
        <v>1567</v>
      </c>
      <c r="B840" s="34" t="s">
        <v>112</v>
      </c>
      <c r="C840" s="34" t="s">
        <v>809</v>
      </c>
      <c r="D840" s="1400">
        <v>46035</v>
      </c>
      <c r="E840" t="s">
        <v>2786</v>
      </c>
      <c r="F840" s="57">
        <v>1890461</v>
      </c>
      <c r="G840" s="57">
        <v>0</v>
      </c>
      <c r="H840" s="1082">
        <f t="shared" si="45"/>
        <v>1890461</v>
      </c>
      <c r="I840" s="1333" t="s">
        <v>39</v>
      </c>
      <c r="J840" s="1334" t="str">
        <f>VLOOKUP(C840,Acc_Char!B:K,3,)</f>
        <v>BW SAIGON LOGISTICS</v>
      </c>
      <c r="K840" s="1334" t="str">
        <f>VLOOKUP(C840,Acc_Char!B:K,7,)</f>
        <v>Subsidiaries</v>
      </c>
      <c r="L840" s="1334" t="str">
        <f t="shared" si="46"/>
        <v>Receipt from tenants</v>
      </c>
      <c r="M840" s="1335" t="str">
        <f>VLOOKUP(C840,Acc_Char!B:K,5,)</f>
        <v>VND</v>
      </c>
      <c r="N840" s="1335" t="str">
        <f>VLOOKUP(C840,Acc_Char!B:K,6,)</f>
        <v>Current Account</v>
      </c>
      <c r="O840" s="1336" t="str">
        <f>Summary!$B$4</f>
        <v>W1-2Jan26</v>
      </c>
      <c r="P840" s="1334" t="str">
        <f t="shared" si="47"/>
        <v>1038935148</v>
      </c>
    </row>
    <row r="841" spans="1:16">
      <c r="A841" t="s">
        <v>1567</v>
      </c>
      <c r="B841" s="34" t="s">
        <v>112</v>
      </c>
      <c r="C841" s="34" t="s">
        <v>762</v>
      </c>
      <c r="D841" s="1400">
        <v>46028</v>
      </c>
      <c r="E841" t="s">
        <v>2787</v>
      </c>
      <c r="F841" s="57">
        <v>0</v>
      </c>
      <c r="G841" s="57">
        <v>106495790</v>
      </c>
      <c r="H841" s="1082">
        <f t="shared" si="45"/>
        <v>-106495790</v>
      </c>
      <c r="I841" s="1333" t="s">
        <v>53</v>
      </c>
      <c r="J841" s="1334" t="str">
        <f>VLOOKUP(C841,Acc_Char!B:K,3,)</f>
        <v>THUAN THANH 3B</v>
      </c>
      <c r="K841" s="1334" t="str">
        <f>VLOOKUP(C841,Acc_Char!B:K,7,)</f>
        <v>Subsidiaries</v>
      </c>
      <c r="L841" s="1334" t="str">
        <f t="shared" si="46"/>
        <v>Operating expense</v>
      </c>
      <c r="M841" s="1335" t="str">
        <f>VLOOKUP(C841,Acc_Char!B:K,5,)</f>
        <v>VND</v>
      </c>
      <c r="N841" s="1335" t="str">
        <f>VLOOKUP(C841,Acc_Char!B:K,6,)</f>
        <v>Current Account</v>
      </c>
      <c r="O841" s="1336" t="str">
        <f>Summary!$B$4</f>
        <v>W1-2Jan26</v>
      </c>
      <c r="P841" s="1334" t="str">
        <f t="shared" si="47"/>
        <v>9020128888</v>
      </c>
    </row>
    <row r="842" spans="1:16">
      <c r="A842" t="s">
        <v>1567</v>
      </c>
      <c r="B842" s="34" t="s">
        <v>112</v>
      </c>
      <c r="C842" s="34" t="s">
        <v>809</v>
      </c>
      <c r="D842" s="1400">
        <v>46028</v>
      </c>
      <c r="E842" t="s">
        <v>2788</v>
      </c>
      <c r="F842" s="57">
        <v>0</v>
      </c>
      <c r="G842" s="57">
        <v>15524540</v>
      </c>
      <c r="H842" s="1082">
        <f t="shared" si="45"/>
        <v>-15524540</v>
      </c>
      <c r="I842" s="1333" t="s">
        <v>53</v>
      </c>
      <c r="J842" s="1334" t="str">
        <f>VLOOKUP(C842,Acc_Char!B:K,3,)</f>
        <v>BW SAIGON LOGISTICS</v>
      </c>
      <c r="K842" s="1334" t="str">
        <f>VLOOKUP(C842,Acc_Char!B:K,7,)</f>
        <v>Subsidiaries</v>
      </c>
      <c r="L842" s="1334" t="str">
        <f t="shared" si="46"/>
        <v>Operating expense</v>
      </c>
      <c r="M842" s="1335" t="str">
        <f>VLOOKUP(C842,Acc_Char!B:K,5,)</f>
        <v>VND</v>
      </c>
      <c r="N842" s="1335" t="str">
        <f>VLOOKUP(C842,Acc_Char!B:K,6,)</f>
        <v>Current Account</v>
      </c>
      <c r="O842" s="1336" t="str">
        <f>Summary!$B$4</f>
        <v>W1-2Jan26</v>
      </c>
      <c r="P842" s="1334" t="str">
        <f t="shared" si="47"/>
        <v>1038935148</v>
      </c>
    </row>
    <row r="843" spans="1:16">
      <c r="A843" t="s">
        <v>1567</v>
      </c>
      <c r="B843" s="34" t="s">
        <v>112</v>
      </c>
      <c r="C843" s="34" t="s">
        <v>1076</v>
      </c>
      <c r="D843" s="1400">
        <v>46035</v>
      </c>
      <c r="E843" t="s">
        <v>2789</v>
      </c>
      <c r="F843" s="57">
        <v>0</v>
      </c>
      <c r="G843" s="57">
        <v>14595900</v>
      </c>
      <c r="H843" s="1082">
        <f t="shared" si="45"/>
        <v>-14595900</v>
      </c>
      <c r="I843" s="1333" t="s">
        <v>53</v>
      </c>
      <c r="J843" s="1334" t="str">
        <f>VLOOKUP(C843,Acc_Char!B:K,3,)</f>
        <v>BW NAM HAI</v>
      </c>
      <c r="K843" s="1334" t="str">
        <f>VLOOKUP(C843,Acc_Char!B:K,7,)</f>
        <v>Subsidiaries</v>
      </c>
      <c r="L843" s="1334" t="str">
        <f t="shared" si="46"/>
        <v>Operating expense</v>
      </c>
      <c r="M843" s="1335" t="str">
        <f>VLOOKUP(C843,Acc_Char!B:K,5,)</f>
        <v>VND</v>
      </c>
      <c r="N843" s="1335" t="str">
        <f>VLOOKUP(C843,Acc_Char!B:K,6,)</f>
        <v>Current Account</v>
      </c>
      <c r="O843" s="1336" t="str">
        <f>Summary!$B$4</f>
        <v>W1-2Jan26</v>
      </c>
      <c r="P843" s="1334" t="str">
        <f t="shared" si="47"/>
        <v>1048666263</v>
      </c>
    </row>
    <row r="844" spans="1:16">
      <c r="A844" t="s">
        <v>1567</v>
      </c>
      <c r="B844" s="34" t="s">
        <v>112</v>
      </c>
      <c r="C844" s="34" t="s">
        <v>762</v>
      </c>
      <c r="D844" s="1400">
        <v>46028</v>
      </c>
      <c r="E844" t="s">
        <v>2790</v>
      </c>
      <c r="F844" s="57">
        <v>0</v>
      </c>
      <c r="G844" s="57">
        <v>65007700</v>
      </c>
      <c r="H844" s="1082">
        <f t="shared" si="45"/>
        <v>-65007700</v>
      </c>
      <c r="I844" s="1333" t="s">
        <v>53</v>
      </c>
      <c r="J844" s="1334" t="str">
        <f>VLOOKUP(C844,Acc_Char!B:K,3,)</f>
        <v>THUAN THANH 3B</v>
      </c>
      <c r="K844" s="1334" t="str">
        <f>VLOOKUP(C844,Acc_Char!B:K,7,)</f>
        <v>Subsidiaries</v>
      </c>
      <c r="L844" s="1334" t="str">
        <f t="shared" si="46"/>
        <v>Operating expense</v>
      </c>
      <c r="M844" s="1335" t="str">
        <f>VLOOKUP(C844,Acc_Char!B:K,5,)</f>
        <v>VND</v>
      </c>
      <c r="N844" s="1335" t="str">
        <f>VLOOKUP(C844,Acc_Char!B:K,6,)</f>
        <v>Current Account</v>
      </c>
      <c r="O844" s="1336" t="str">
        <f>Summary!$B$4</f>
        <v>W1-2Jan26</v>
      </c>
      <c r="P844" s="1334" t="str">
        <f t="shared" si="47"/>
        <v>9020128888</v>
      </c>
    </row>
    <row r="845" spans="1:16">
      <c r="A845" t="s">
        <v>1567</v>
      </c>
      <c r="B845" s="34" t="s">
        <v>112</v>
      </c>
      <c r="C845" s="34" t="s">
        <v>762</v>
      </c>
      <c r="D845" s="1400">
        <v>46028</v>
      </c>
      <c r="E845" t="s">
        <v>2791</v>
      </c>
      <c r="F845" s="57">
        <v>0</v>
      </c>
      <c r="G845" s="57">
        <v>40775972</v>
      </c>
      <c r="H845" s="1082">
        <f t="shared" si="45"/>
        <v>-40775972</v>
      </c>
      <c r="I845" s="1333" t="s">
        <v>53</v>
      </c>
      <c r="J845" s="1334" t="str">
        <f>VLOOKUP(C845,Acc_Char!B:K,3,)</f>
        <v>THUAN THANH 3B</v>
      </c>
      <c r="K845" s="1334" t="str">
        <f>VLOOKUP(C845,Acc_Char!B:K,7,)</f>
        <v>Subsidiaries</v>
      </c>
      <c r="L845" s="1334" t="str">
        <f t="shared" si="46"/>
        <v>Operating expense</v>
      </c>
      <c r="M845" s="1335" t="str">
        <f>VLOOKUP(C845,Acc_Char!B:K,5,)</f>
        <v>VND</v>
      </c>
      <c r="N845" s="1335" t="str">
        <f>VLOOKUP(C845,Acc_Char!B:K,6,)</f>
        <v>Current Account</v>
      </c>
      <c r="O845" s="1336" t="str">
        <f>Summary!$B$4</f>
        <v>W1-2Jan26</v>
      </c>
      <c r="P845" s="1334" t="str">
        <f t="shared" si="47"/>
        <v>9020128888</v>
      </c>
    </row>
    <row r="846" spans="1:16">
      <c r="A846" t="s">
        <v>1567</v>
      </c>
      <c r="B846" s="34" t="s">
        <v>112</v>
      </c>
      <c r="C846" s="34" t="s">
        <v>802</v>
      </c>
      <c r="D846" s="1400">
        <v>46035</v>
      </c>
      <c r="E846" t="s">
        <v>2792</v>
      </c>
      <c r="F846" s="57">
        <v>0</v>
      </c>
      <c r="G846" s="57">
        <v>18170900</v>
      </c>
      <c r="H846" s="1082">
        <f t="shared" si="45"/>
        <v>-18170900</v>
      </c>
      <c r="I846" s="1333" t="s">
        <v>53</v>
      </c>
      <c r="J846" s="1334" t="str">
        <f>VLOOKUP(C846,Acc_Char!B:K,3,)</f>
        <v>BW NAM HAI</v>
      </c>
      <c r="K846" s="1334" t="str">
        <f>VLOOKUP(C846,Acc_Char!B:K,7,)</f>
        <v>Subsidiaries</v>
      </c>
      <c r="L846" s="1334" t="str">
        <f t="shared" si="46"/>
        <v>Operating expense</v>
      </c>
      <c r="M846" s="1335" t="str">
        <f>VLOOKUP(C846,Acc_Char!B:K,5,)</f>
        <v>VND</v>
      </c>
      <c r="N846" s="1335" t="str">
        <f>VLOOKUP(C846,Acc_Char!B:K,6,)</f>
        <v>Current Account</v>
      </c>
      <c r="O846" s="1336" t="str">
        <f>Summary!$B$4</f>
        <v>W1-2Jan26</v>
      </c>
      <c r="P846" s="1334" t="str">
        <f t="shared" si="47"/>
        <v>9020108888</v>
      </c>
    </row>
    <row r="847" spans="1:16">
      <c r="A847" t="s">
        <v>1567</v>
      </c>
      <c r="B847" s="34" t="s">
        <v>112</v>
      </c>
      <c r="C847" s="34" t="s">
        <v>574</v>
      </c>
      <c r="D847" s="1400">
        <v>46036</v>
      </c>
      <c r="E847" t="s">
        <v>2793</v>
      </c>
      <c r="F847" s="57">
        <v>0</v>
      </c>
      <c r="G847" s="57">
        <v>4247382159</v>
      </c>
      <c r="H847" s="1082">
        <f t="shared" si="45"/>
        <v>-4247382159</v>
      </c>
      <c r="I847" s="1333" t="s">
        <v>59</v>
      </c>
      <c r="J847" s="1334" t="str">
        <f>VLOOKUP(C847,Acc_Char!B:K,3,)</f>
        <v>BW SUPLLY CHAIN CITY</v>
      </c>
      <c r="K847" s="1334" t="str">
        <f>VLOOKUP(C847,Acc_Char!B:K,7,)</f>
        <v>Subsidiaries</v>
      </c>
      <c r="L847" s="1334" t="str">
        <f t="shared" si="46"/>
        <v>Internal transfer out</v>
      </c>
      <c r="M847" s="1335" t="str">
        <f>VLOOKUP(C847,Acc_Char!B:K,5,)</f>
        <v>VND</v>
      </c>
      <c r="N847" s="1335" t="str">
        <f>VLOOKUP(C847,Acc_Char!B:K,6,)</f>
        <v>Current Account</v>
      </c>
      <c r="O847" s="1336" t="str">
        <f>Summary!$B$4</f>
        <v>W1-2Jan26</v>
      </c>
      <c r="P847" s="1334" t="str">
        <f t="shared" si="47"/>
        <v>1018291733</v>
      </c>
    </row>
    <row r="848" spans="1:16">
      <c r="A848" t="s">
        <v>1567</v>
      </c>
      <c r="B848" s="34" t="s">
        <v>112</v>
      </c>
      <c r="C848" s="34" t="s">
        <v>762</v>
      </c>
      <c r="D848" s="1400">
        <v>46028</v>
      </c>
      <c r="E848" t="s">
        <v>2794</v>
      </c>
      <c r="F848" s="57">
        <v>0</v>
      </c>
      <c r="G848" s="57">
        <v>28735700</v>
      </c>
      <c r="H848" s="1082">
        <f t="shared" si="45"/>
        <v>-28735700</v>
      </c>
      <c r="I848" s="1333" t="s">
        <v>53</v>
      </c>
      <c r="J848" s="1334" t="str">
        <f>VLOOKUP(C848,Acc_Char!B:K,3,)</f>
        <v>THUAN THANH 3B</v>
      </c>
      <c r="K848" s="1334" t="str">
        <f>VLOOKUP(C848,Acc_Char!B:K,7,)</f>
        <v>Subsidiaries</v>
      </c>
      <c r="L848" s="1334" t="str">
        <f t="shared" si="46"/>
        <v>Operating expense</v>
      </c>
      <c r="M848" s="1335" t="str">
        <f>VLOOKUP(C848,Acc_Char!B:K,5,)</f>
        <v>VND</v>
      </c>
      <c r="N848" s="1335" t="str">
        <f>VLOOKUP(C848,Acc_Char!B:K,6,)</f>
        <v>Current Account</v>
      </c>
      <c r="O848" s="1336" t="str">
        <f>Summary!$B$4</f>
        <v>W1-2Jan26</v>
      </c>
      <c r="P848" s="1334" t="str">
        <f t="shared" si="47"/>
        <v>9020128888</v>
      </c>
    </row>
    <row r="849" spans="1:16">
      <c r="A849" t="s">
        <v>1567</v>
      </c>
      <c r="B849" s="34" t="s">
        <v>112</v>
      </c>
      <c r="C849" s="34" t="s">
        <v>514</v>
      </c>
      <c r="D849" s="1400">
        <v>46029</v>
      </c>
      <c r="E849" t="s">
        <v>2795</v>
      </c>
      <c r="F849" s="57">
        <v>0</v>
      </c>
      <c r="G849" s="57">
        <v>55621977</v>
      </c>
      <c r="H849" s="1082">
        <f t="shared" si="45"/>
        <v>-55621977</v>
      </c>
      <c r="I849" s="1333" t="s">
        <v>53</v>
      </c>
      <c r="J849" s="1334" t="str">
        <f>VLOOKUP(C849,Acc_Char!B:K,3,)</f>
        <v>BWID NHON TRACH</v>
      </c>
      <c r="K849" s="1334" t="str">
        <f>VLOOKUP(C849,Acc_Char!B:K,7,)</f>
        <v>Subsidiaries</v>
      </c>
      <c r="L849" s="1334" t="str">
        <f t="shared" si="46"/>
        <v>Operating expense</v>
      </c>
      <c r="M849" s="1335" t="str">
        <f>VLOOKUP(C849,Acc_Char!B:K,5,)</f>
        <v>VND</v>
      </c>
      <c r="N849" s="1335" t="str">
        <f>VLOOKUP(C849,Acc_Char!B:K,6,)</f>
        <v>Current Account</v>
      </c>
      <c r="O849" s="1336" t="str">
        <f>Summary!$B$4</f>
        <v>W1-2Jan26</v>
      </c>
      <c r="P849" s="1334" t="str">
        <f t="shared" si="47"/>
        <v>71001286959</v>
      </c>
    </row>
    <row r="850" spans="1:16">
      <c r="A850" t="s">
        <v>1567</v>
      </c>
      <c r="B850" s="34" t="s">
        <v>112</v>
      </c>
      <c r="C850" s="34" t="s">
        <v>514</v>
      </c>
      <c r="D850" s="1400">
        <v>46035</v>
      </c>
      <c r="E850" t="s">
        <v>2796</v>
      </c>
      <c r="F850" s="57">
        <v>0</v>
      </c>
      <c r="G850" s="57">
        <v>34930000</v>
      </c>
      <c r="H850" s="1082">
        <f t="shared" si="45"/>
        <v>-34930000</v>
      </c>
      <c r="I850" s="1333" t="s">
        <v>53</v>
      </c>
      <c r="J850" s="1334" t="str">
        <f>VLOOKUP(C850,Acc_Char!B:K,3,)</f>
        <v>BWID NHON TRACH</v>
      </c>
      <c r="K850" s="1334" t="str">
        <f>VLOOKUP(C850,Acc_Char!B:K,7,)</f>
        <v>Subsidiaries</v>
      </c>
      <c r="L850" s="1334" t="str">
        <f t="shared" si="46"/>
        <v>Operating expense</v>
      </c>
      <c r="M850" s="1335" t="str">
        <f>VLOOKUP(C850,Acc_Char!B:K,5,)</f>
        <v>VND</v>
      </c>
      <c r="N850" s="1335" t="str">
        <f>VLOOKUP(C850,Acc_Char!B:K,6,)</f>
        <v>Current Account</v>
      </c>
      <c r="O850" s="1336" t="str">
        <f>Summary!$B$4</f>
        <v>W1-2Jan26</v>
      </c>
      <c r="P850" s="1334" t="str">
        <f t="shared" si="47"/>
        <v>71001286959</v>
      </c>
    </row>
    <row r="851" spans="1:16">
      <c r="A851" t="s">
        <v>1567</v>
      </c>
      <c r="B851" s="34" t="s">
        <v>112</v>
      </c>
      <c r="C851" s="34" t="s">
        <v>762</v>
      </c>
      <c r="D851" s="1400">
        <v>46028</v>
      </c>
      <c r="E851" t="s">
        <v>2797</v>
      </c>
      <c r="F851" s="57">
        <v>0</v>
      </c>
      <c r="G851" s="57">
        <v>2929900</v>
      </c>
      <c r="H851" s="1082">
        <f t="shared" si="45"/>
        <v>-2929900</v>
      </c>
      <c r="I851" s="1333" t="s">
        <v>53</v>
      </c>
      <c r="J851" s="1334" t="str">
        <f>VLOOKUP(C851,Acc_Char!B:K,3,)</f>
        <v>THUAN THANH 3B</v>
      </c>
      <c r="K851" s="1334" t="str">
        <f>VLOOKUP(C851,Acc_Char!B:K,7,)</f>
        <v>Subsidiaries</v>
      </c>
      <c r="L851" s="1334" t="str">
        <f t="shared" si="46"/>
        <v>Operating expense</v>
      </c>
      <c r="M851" s="1335" t="str">
        <f>VLOOKUP(C851,Acc_Char!B:K,5,)</f>
        <v>VND</v>
      </c>
      <c r="N851" s="1335" t="str">
        <f>VLOOKUP(C851,Acc_Char!B:K,6,)</f>
        <v>Current Account</v>
      </c>
      <c r="O851" s="1336" t="str">
        <f>Summary!$B$4</f>
        <v>W1-2Jan26</v>
      </c>
      <c r="P851" s="1334" t="str">
        <f t="shared" si="47"/>
        <v>9020128888</v>
      </c>
    </row>
    <row r="852" spans="1:16">
      <c r="A852" t="s">
        <v>1567</v>
      </c>
      <c r="B852" s="34" t="s">
        <v>112</v>
      </c>
      <c r="C852" s="34" t="s">
        <v>1075</v>
      </c>
      <c r="D852" s="1400">
        <v>46028</v>
      </c>
      <c r="E852" t="s">
        <v>2798</v>
      </c>
      <c r="F852" s="57">
        <v>0</v>
      </c>
      <c r="G852" s="57">
        <v>100020900</v>
      </c>
      <c r="H852" s="1082">
        <f t="shared" si="45"/>
        <v>-100020900</v>
      </c>
      <c r="I852" s="1333" t="s">
        <v>53</v>
      </c>
      <c r="J852" s="1334" t="str">
        <f>VLOOKUP(C852,Acc_Char!B:K,3,)</f>
        <v>PHUC DIEN</v>
      </c>
      <c r="K852" s="1334" t="str">
        <f>VLOOKUP(C852,Acc_Char!B:K,7,)</f>
        <v>Subsidiaries</v>
      </c>
      <c r="L852" s="1334" t="str">
        <f t="shared" si="46"/>
        <v>Operating expense</v>
      </c>
      <c r="M852" s="1335" t="str">
        <f>VLOOKUP(C852,Acc_Char!B:K,5,)</f>
        <v>VND</v>
      </c>
      <c r="N852" s="1335" t="str">
        <f>VLOOKUP(C852,Acc_Char!B:K,6,)</f>
        <v>Current Account</v>
      </c>
      <c r="O852" s="1336" t="str">
        <f>Summary!$B$4</f>
        <v>W1-2Jan26</v>
      </c>
      <c r="P852" s="1334" t="str">
        <f t="shared" si="47"/>
        <v>6080146666</v>
      </c>
    </row>
    <row r="853" spans="1:16">
      <c r="A853" t="s">
        <v>1567</v>
      </c>
      <c r="B853" s="34" t="s">
        <v>112</v>
      </c>
      <c r="C853" s="34" t="s">
        <v>1000</v>
      </c>
      <c r="D853" s="1400">
        <v>46028</v>
      </c>
      <c r="E853" t="s">
        <v>2799</v>
      </c>
      <c r="F853" s="57">
        <v>0</v>
      </c>
      <c r="G853" s="57">
        <v>2968700</v>
      </c>
      <c r="H853" s="1082">
        <f t="shared" si="45"/>
        <v>-2968700</v>
      </c>
      <c r="I853" s="1333" t="s">
        <v>53</v>
      </c>
      <c r="J853" s="1334" t="str">
        <f>VLOOKUP(C853,Acc_Char!B:K,3,)</f>
        <v>THUAN THANH 3B</v>
      </c>
      <c r="K853" s="1334" t="str">
        <f>VLOOKUP(C853,Acc_Char!B:K,7,)</f>
        <v>Subsidiaries</v>
      </c>
      <c r="L853" s="1334" t="str">
        <f t="shared" si="46"/>
        <v>Operating expense</v>
      </c>
      <c r="M853" s="1335" t="str">
        <f>VLOOKUP(C853,Acc_Char!B:K,5,)</f>
        <v>VND</v>
      </c>
      <c r="N853" s="1335" t="str">
        <f>VLOOKUP(C853,Acc_Char!B:K,6,)</f>
        <v>Current Account</v>
      </c>
      <c r="O853" s="1336" t="str">
        <f>Summary!$B$4</f>
        <v>W1-2Jan26</v>
      </c>
      <c r="P853" s="1334" t="str">
        <f t="shared" si="47"/>
        <v>3243126666</v>
      </c>
    </row>
    <row r="854" spans="1:16">
      <c r="A854" t="s">
        <v>1567</v>
      </c>
      <c r="B854" s="34" t="s">
        <v>112</v>
      </c>
      <c r="C854" s="34" t="s">
        <v>1076</v>
      </c>
      <c r="D854" s="1400">
        <v>46035</v>
      </c>
      <c r="E854" t="s">
        <v>2800</v>
      </c>
      <c r="F854" s="57">
        <v>0</v>
      </c>
      <c r="G854" s="57">
        <v>81420900</v>
      </c>
      <c r="H854" s="1082">
        <f t="shared" si="45"/>
        <v>-81420900</v>
      </c>
      <c r="I854" t="s">
        <v>53</v>
      </c>
      <c r="J854" s="1334" t="str">
        <f>VLOOKUP(C854,Acc_Char!B:K,3,)</f>
        <v>BW NAM HAI</v>
      </c>
      <c r="K854" s="1334" t="str">
        <f>VLOOKUP(C854,Acc_Char!B:K,7,)</f>
        <v>Subsidiaries</v>
      </c>
      <c r="L854" s="1334" t="str">
        <f t="shared" si="46"/>
        <v>Operating expense</v>
      </c>
      <c r="M854" s="1335" t="str">
        <f>VLOOKUP(C854,Acc_Char!B:K,5,)</f>
        <v>VND</v>
      </c>
      <c r="N854" s="1335" t="str">
        <f>VLOOKUP(C854,Acc_Char!B:K,6,)</f>
        <v>Current Account</v>
      </c>
      <c r="O854" s="1336" t="str">
        <f>Summary!$B$4</f>
        <v>W1-2Jan26</v>
      </c>
      <c r="P854" s="1334" t="str">
        <f t="shared" si="47"/>
        <v>1048666263</v>
      </c>
    </row>
    <row r="855" spans="1:16" ht="28.8">
      <c r="A855" s="103" t="s">
        <v>1567</v>
      </c>
      <c r="B855" s="460" t="s">
        <v>112</v>
      </c>
      <c r="C855" s="460" t="s">
        <v>762</v>
      </c>
      <c r="D855" s="1388">
        <v>46028</v>
      </c>
      <c r="E855" s="1392" t="s">
        <v>2801</v>
      </c>
      <c r="F855" s="1383">
        <v>0</v>
      </c>
      <c r="G855" s="1383">
        <v>27061940</v>
      </c>
      <c r="H855" s="1082">
        <f t="shared" si="45"/>
        <v>-27061940</v>
      </c>
      <c r="I855" s="1333" t="s">
        <v>53</v>
      </c>
      <c r="J855" s="1334" t="str">
        <f>VLOOKUP(C855,Acc_Char!B:K,3,)</f>
        <v>THUAN THANH 3B</v>
      </c>
      <c r="K855" s="1334" t="str">
        <f>VLOOKUP(C855,Acc_Char!B:K,7,)</f>
        <v>Subsidiaries</v>
      </c>
      <c r="L855" s="1334" t="str">
        <f t="shared" si="46"/>
        <v>Operating expense</v>
      </c>
      <c r="M855" s="1335" t="str">
        <f>VLOOKUP(C855,Acc_Char!B:K,5,)</f>
        <v>VND</v>
      </c>
      <c r="N855" s="1335" t="str">
        <f>VLOOKUP(C855,Acc_Char!B:K,6,)</f>
        <v>Current Account</v>
      </c>
      <c r="O855" s="1336" t="str">
        <f>Summary!$B$4</f>
        <v>W1-2Jan26</v>
      </c>
      <c r="P855" s="1334" t="str">
        <f t="shared" si="47"/>
        <v>9020128888</v>
      </c>
    </row>
    <row r="856" spans="1:16">
      <c r="A856" t="s">
        <v>1567</v>
      </c>
      <c r="B856" s="34" t="s">
        <v>112</v>
      </c>
      <c r="C856" s="34" t="s">
        <v>1000</v>
      </c>
      <c r="D856" s="1400">
        <v>46028</v>
      </c>
      <c r="E856" t="s">
        <v>2802</v>
      </c>
      <c r="F856" s="57">
        <v>0</v>
      </c>
      <c r="G856" s="57">
        <v>210634749</v>
      </c>
      <c r="H856" s="1082">
        <f t="shared" si="45"/>
        <v>-210634749</v>
      </c>
      <c r="I856" s="1333" t="s">
        <v>53</v>
      </c>
      <c r="J856" s="1334" t="str">
        <f>VLOOKUP(C856,Acc_Char!B:K,3,)</f>
        <v>THUAN THANH 3B</v>
      </c>
      <c r="K856" s="1334" t="str">
        <f>VLOOKUP(C856,Acc_Char!B:K,7,)</f>
        <v>Subsidiaries</v>
      </c>
      <c r="L856" s="1334" t="str">
        <f t="shared" si="46"/>
        <v>Operating expense</v>
      </c>
      <c r="M856" s="1335" t="str">
        <f>VLOOKUP(C856,Acc_Char!B:K,5,)</f>
        <v>VND</v>
      </c>
      <c r="N856" s="1335" t="str">
        <f>VLOOKUP(C856,Acc_Char!B:K,6,)</f>
        <v>Current Account</v>
      </c>
      <c r="O856" s="1336" t="str">
        <f>Summary!$B$4</f>
        <v>W1-2Jan26</v>
      </c>
      <c r="P856" s="1334" t="str">
        <f t="shared" si="47"/>
        <v>3243126666</v>
      </c>
    </row>
    <row r="857" spans="1:16">
      <c r="A857" t="s">
        <v>1567</v>
      </c>
      <c r="B857" s="34" t="s">
        <v>112</v>
      </c>
      <c r="C857" s="34" t="s">
        <v>809</v>
      </c>
      <c r="D857" s="1400">
        <v>46037</v>
      </c>
      <c r="E857" t="s">
        <v>2803</v>
      </c>
      <c r="F857" s="57">
        <v>0</v>
      </c>
      <c r="G857" s="57">
        <v>46008000</v>
      </c>
      <c r="H857" s="1082">
        <f t="shared" si="45"/>
        <v>-46008000</v>
      </c>
      <c r="I857" s="1333" t="s">
        <v>53</v>
      </c>
      <c r="J857" s="1334" t="str">
        <f>VLOOKUP(C857,Acc_Char!B:K,3,)</f>
        <v>BW SAIGON LOGISTICS</v>
      </c>
      <c r="K857" s="1334" t="str">
        <f>VLOOKUP(C857,Acc_Char!B:K,7,)</f>
        <v>Subsidiaries</v>
      </c>
      <c r="L857" s="1334" t="str">
        <f t="shared" si="46"/>
        <v>Operating expense</v>
      </c>
      <c r="M857" s="1335" t="str">
        <f>VLOOKUP(C857,Acc_Char!B:K,5,)</f>
        <v>VND</v>
      </c>
      <c r="N857" s="1335" t="str">
        <f>VLOOKUP(C857,Acc_Char!B:K,6,)</f>
        <v>Current Account</v>
      </c>
      <c r="O857" s="1336" t="str">
        <f>Summary!$B$4</f>
        <v>W1-2Jan26</v>
      </c>
      <c r="P857" s="1334" t="str">
        <f t="shared" si="47"/>
        <v>1038935148</v>
      </c>
    </row>
    <row r="858" spans="1:16">
      <c r="A858" t="s">
        <v>1567</v>
      </c>
      <c r="B858" s="34" t="s">
        <v>112</v>
      </c>
      <c r="C858" s="34" t="s">
        <v>1076</v>
      </c>
      <c r="D858" s="1400">
        <v>46035</v>
      </c>
      <c r="E858" t="s">
        <v>2804</v>
      </c>
      <c r="F858" s="57">
        <v>0</v>
      </c>
      <c r="G858" s="57">
        <v>11053613</v>
      </c>
      <c r="H858" s="1082">
        <f t="shared" si="45"/>
        <v>-11053613</v>
      </c>
      <c r="I858" s="1333" t="s">
        <v>53</v>
      </c>
      <c r="J858" s="1334" t="str">
        <f>VLOOKUP(C858,Acc_Char!B:K,3,)</f>
        <v>BW NAM HAI</v>
      </c>
      <c r="K858" s="1334" t="str">
        <f>VLOOKUP(C858,Acc_Char!B:K,7,)</f>
        <v>Subsidiaries</v>
      </c>
      <c r="L858" s="1334" t="str">
        <f t="shared" si="46"/>
        <v>Operating expense</v>
      </c>
      <c r="M858" s="1335" t="str">
        <f>VLOOKUP(C858,Acc_Char!B:K,5,)</f>
        <v>VND</v>
      </c>
      <c r="N858" s="1335" t="str">
        <f>VLOOKUP(C858,Acc_Char!B:K,6,)</f>
        <v>Current Account</v>
      </c>
      <c r="O858" s="1336" t="str">
        <f>Summary!$B$4</f>
        <v>W1-2Jan26</v>
      </c>
      <c r="P858" s="1334" t="str">
        <f t="shared" si="47"/>
        <v>1048666263</v>
      </c>
    </row>
    <row r="859" spans="1:16">
      <c r="A859" t="s">
        <v>1567</v>
      </c>
      <c r="B859" s="34" t="s">
        <v>112</v>
      </c>
      <c r="C859" s="34" t="s">
        <v>1000</v>
      </c>
      <c r="D859" s="1400">
        <v>46028</v>
      </c>
      <c r="E859" t="s">
        <v>2805</v>
      </c>
      <c r="F859" s="57">
        <v>0</v>
      </c>
      <c r="G859" s="57">
        <v>8998940</v>
      </c>
      <c r="H859" s="1082">
        <f t="shared" si="45"/>
        <v>-8998940</v>
      </c>
      <c r="I859" s="1333" t="s">
        <v>53</v>
      </c>
      <c r="J859" s="1334" t="str">
        <f>VLOOKUP(C859,Acc_Char!B:K,3,)</f>
        <v>THUAN THANH 3B</v>
      </c>
      <c r="K859" s="1334" t="str">
        <f>VLOOKUP(C859,Acc_Char!B:K,7,)</f>
        <v>Subsidiaries</v>
      </c>
      <c r="L859" s="1334" t="str">
        <f t="shared" si="46"/>
        <v>Operating expense</v>
      </c>
      <c r="M859" s="1335" t="str">
        <f>VLOOKUP(C859,Acc_Char!B:K,5,)</f>
        <v>VND</v>
      </c>
      <c r="N859" s="1335" t="str">
        <f>VLOOKUP(C859,Acc_Char!B:K,6,)</f>
        <v>Current Account</v>
      </c>
      <c r="O859" s="1336" t="str">
        <f>Summary!$B$4</f>
        <v>W1-2Jan26</v>
      </c>
      <c r="P859" s="1334" t="str">
        <f t="shared" si="47"/>
        <v>3243126666</v>
      </c>
    </row>
    <row r="860" spans="1:16">
      <c r="A860" t="s">
        <v>1567</v>
      </c>
      <c r="B860" s="34" t="s">
        <v>112</v>
      </c>
      <c r="C860" s="34" t="s">
        <v>574</v>
      </c>
      <c r="D860" s="1400">
        <v>46029</v>
      </c>
      <c r="E860" t="s">
        <v>2806</v>
      </c>
      <c r="F860" s="57">
        <v>0</v>
      </c>
      <c r="G860" s="57">
        <v>42075000</v>
      </c>
      <c r="H860" s="1082">
        <f t="shared" si="45"/>
        <v>-42075000</v>
      </c>
      <c r="I860" s="1333" t="s">
        <v>59</v>
      </c>
      <c r="J860" s="1334" t="str">
        <f>VLOOKUP(C860,Acc_Char!B:K,3,)</f>
        <v>BW SUPLLY CHAIN CITY</v>
      </c>
      <c r="K860" s="1334" t="str">
        <f>VLOOKUP(C860,Acc_Char!B:K,7,)</f>
        <v>Subsidiaries</v>
      </c>
      <c r="L860" s="1334" t="str">
        <f t="shared" si="46"/>
        <v>Internal transfer out</v>
      </c>
      <c r="M860" s="1335" t="str">
        <f>VLOOKUP(C860,Acc_Char!B:K,5,)</f>
        <v>VND</v>
      </c>
      <c r="N860" s="1335" t="str">
        <f>VLOOKUP(C860,Acc_Char!B:K,6,)</f>
        <v>Current Account</v>
      </c>
      <c r="O860" s="1336" t="str">
        <f>Summary!$B$4</f>
        <v>W1-2Jan26</v>
      </c>
      <c r="P860" s="1334" t="str">
        <f t="shared" si="47"/>
        <v>1018291733</v>
      </c>
    </row>
    <row r="861" spans="1:16">
      <c r="A861" t="s">
        <v>1567</v>
      </c>
      <c r="B861" s="34" t="s">
        <v>112</v>
      </c>
      <c r="C861" s="34" t="s">
        <v>1000</v>
      </c>
      <c r="D861" s="1400">
        <v>46028</v>
      </c>
      <c r="E861" t="s">
        <v>2807</v>
      </c>
      <c r="F861" s="57">
        <v>0</v>
      </c>
      <c r="G861" s="57">
        <v>14232620</v>
      </c>
      <c r="H861" s="1082">
        <f t="shared" si="45"/>
        <v>-14232620</v>
      </c>
      <c r="I861" t="s">
        <v>53</v>
      </c>
      <c r="J861" s="1334" t="str">
        <f>VLOOKUP(C861,Acc_Char!B:K,3,)</f>
        <v>THUAN THANH 3B</v>
      </c>
      <c r="K861" s="1334" t="str">
        <f>VLOOKUP(C861,Acc_Char!B:K,7,)</f>
        <v>Subsidiaries</v>
      </c>
      <c r="L861" s="1334" t="str">
        <f t="shared" si="46"/>
        <v>Operating expense</v>
      </c>
      <c r="M861" s="1335" t="str">
        <f>VLOOKUP(C861,Acc_Char!B:K,5,)</f>
        <v>VND</v>
      </c>
      <c r="N861" s="1335" t="str">
        <f>VLOOKUP(C861,Acc_Char!B:K,6,)</f>
        <v>Current Account</v>
      </c>
      <c r="O861" s="1336" t="str">
        <f>Summary!$B$4</f>
        <v>W1-2Jan26</v>
      </c>
      <c r="P861" s="1334" t="str">
        <f t="shared" si="47"/>
        <v>3243126666</v>
      </c>
    </row>
    <row r="862" spans="1:16">
      <c r="A862" t="s">
        <v>1567</v>
      </c>
      <c r="B862" s="34" t="s">
        <v>112</v>
      </c>
      <c r="C862" s="34" t="s">
        <v>1000</v>
      </c>
      <c r="D862" s="1400">
        <v>46028</v>
      </c>
      <c r="E862" t="s">
        <v>2808</v>
      </c>
      <c r="F862" s="57">
        <v>0</v>
      </c>
      <c r="G862" s="57">
        <v>20658993</v>
      </c>
      <c r="H862" s="1082">
        <f t="shared" si="45"/>
        <v>-20658993</v>
      </c>
      <c r="I862" t="s">
        <v>53</v>
      </c>
      <c r="J862" s="1334" t="str">
        <f>VLOOKUP(C862,Acc_Char!B:K,3,)</f>
        <v>THUAN THANH 3B</v>
      </c>
      <c r="K862" s="1334" t="str">
        <f>VLOOKUP(C862,Acc_Char!B:K,7,)</f>
        <v>Subsidiaries</v>
      </c>
      <c r="L862" s="1334" t="str">
        <f t="shared" si="46"/>
        <v>Operating expense</v>
      </c>
      <c r="M862" s="1335" t="str">
        <f>VLOOKUP(C862,Acc_Char!B:K,5,)</f>
        <v>VND</v>
      </c>
      <c r="N862" s="1335" t="str">
        <f>VLOOKUP(C862,Acc_Char!B:K,6,)</f>
        <v>Current Account</v>
      </c>
      <c r="O862" s="1336" t="str">
        <f>Summary!$B$4</f>
        <v>W1-2Jan26</v>
      </c>
      <c r="P862" s="1334" t="str">
        <f t="shared" si="47"/>
        <v>3243126666</v>
      </c>
    </row>
    <row r="863" spans="1:16">
      <c r="A863" t="s">
        <v>1591</v>
      </c>
      <c r="B863" s="34" t="s">
        <v>110</v>
      </c>
      <c r="C863" s="34" t="s">
        <v>504</v>
      </c>
      <c r="D863" s="355" t="s">
        <v>2809</v>
      </c>
      <c r="E863" t="s">
        <v>2810</v>
      </c>
      <c r="F863" s="57">
        <v>221916884</v>
      </c>
      <c r="G863" s="57">
        <v>0</v>
      </c>
      <c r="H863" s="1082">
        <f t="shared" si="45"/>
        <v>221916884</v>
      </c>
      <c r="I863" t="s">
        <v>39</v>
      </c>
      <c r="J863" s="1334" t="str">
        <f>VLOOKUP(C863,Acc_Char!B:K,3,)</f>
        <v>BWID BAC NINH</v>
      </c>
      <c r="K863" s="1334" t="str">
        <f>VLOOKUP(C863,Acc_Char!B:K,7,)</f>
        <v>Subsidiaries</v>
      </c>
      <c r="L863" s="1334" t="str">
        <f t="shared" si="46"/>
        <v>Receipt from tenants</v>
      </c>
      <c r="M863" s="1335" t="str">
        <f>VLOOKUP(C863,Acc_Char!B:K,5,)</f>
        <v>VND</v>
      </c>
      <c r="N863" s="1335" t="str">
        <f>VLOOKUP(C863,Acc_Char!B:K,6,)</f>
        <v>Current Account</v>
      </c>
      <c r="O863" s="1336" t="str">
        <f>Summary!$B$4</f>
        <v>W1-2Jan26</v>
      </c>
      <c r="P863" s="1334" t="str">
        <f t="shared" si="47"/>
        <v>118008108888</v>
      </c>
    </row>
    <row r="864" spans="1:16">
      <c r="A864" t="s">
        <v>1591</v>
      </c>
      <c r="B864" s="34" t="s">
        <v>110</v>
      </c>
      <c r="C864" s="34" t="s">
        <v>775</v>
      </c>
      <c r="D864" s="355" t="s">
        <v>2811</v>
      </c>
      <c r="E864" t="s">
        <v>2812</v>
      </c>
      <c r="F864" s="57">
        <v>0</v>
      </c>
      <c r="G864" s="57">
        <v>1638408974</v>
      </c>
      <c r="H864" s="1082">
        <f t="shared" si="45"/>
        <v>-1638408974</v>
      </c>
      <c r="I864" t="s">
        <v>53</v>
      </c>
      <c r="J864" s="1334" t="str">
        <f>VLOOKUP(C864,Acc_Char!B:K,3,)</f>
        <v>HOLDCO4T</v>
      </c>
      <c r="K864" s="1334" t="str">
        <f>VLOOKUP(C864,Acc_Char!B:K,7,)</f>
        <v>Subsidiaries</v>
      </c>
      <c r="L864" s="1334" t="str">
        <f t="shared" si="46"/>
        <v>Operating expense</v>
      </c>
      <c r="M864" s="1335" t="str">
        <f>VLOOKUP(C864,Acc_Char!B:K,5,)</f>
        <v>VND</v>
      </c>
      <c r="N864" s="1335" t="str">
        <f>VLOOKUP(C864,Acc_Char!B:K,6,)</f>
        <v>Current Account</v>
      </c>
      <c r="O864" s="1336" t="str">
        <f>Summary!$B$4</f>
        <v>W1-2Jan26</v>
      </c>
      <c r="P864" s="1334" t="str">
        <f t="shared" si="47"/>
        <v>115648146666</v>
      </c>
    </row>
    <row r="865" spans="1:16" ht="28.8">
      <c r="A865" s="103" t="s">
        <v>1567</v>
      </c>
      <c r="B865" s="460" t="s">
        <v>112</v>
      </c>
      <c r="C865" s="460" t="s">
        <v>574</v>
      </c>
      <c r="D865" s="1388">
        <v>46027</v>
      </c>
      <c r="E865" s="1392" t="s">
        <v>2813</v>
      </c>
      <c r="F865" s="1383">
        <v>38446070</v>
      </c>
      <c r="G865" s="1383">
        <v>0</v>
      </c>
      <c r="H865" s="1082">
        <f t="shared" si="45"/>
        <v>38446070</v>
      </c>
      <c r="I865" s="103" t="s">
        <v>39</v>
      </c>
      <c r="J865" s="1334" t="str">
        <f>VLOOKUP(C865,Acc_Char!B:K,3,)</f>
        <v>BW SUPLLY CHAIN CITY</v>
      </c>
      <c r="K865" s="1334" t="str">
        <f>VLOOKUP(C865,Acc_Char!B:K,7,)</f>
        <v>Subsidiaries</v>
      </c>
      <c r="L865" s="1334" t="str">
        <f t="shared" si="46"/>
        <v>Receipt from tenants</v>
      </c>
      <c r="M865" s="1335" t="str">
        <f>VLOOKUP(C865,Acc_Char!B:K,5,)</f>
        <v>VND</v>
      </c>
      <c r="N865" s="1335" t="str">
        <f>VLOOKUP(C865,Acc_Char!B:K,6,)</f>
        <v>Current Account</v>
      </c>
      <c r="O865" s="1336" t="str">
        <f>Summary!$B$4</f>
        <v>W1-2Jan26</v>
      </c>
      <c r="P865" s="1334" t="str">
        <f t="shared" si="47"/>
        <v>1018291733</v>
      </c>
    </row>
    <row r="866" spans="1:16">
      <c r="A866" t="s">
        <v>1567</v>
      </c>
      <c r="B866" s="34" t="s">
        <v>112</v>
      </c>
      <c r="C866" s="34" t="s">
        <v>574</v>
      </c>
      <c r="D866" s="1400">
        <v>46030</v>
      </c>
      <c r="E866" t="s">
        <v>2814</v>
      </c>
      <c r="F866" s="57">
        <v>366334692</v>
      </c>
      <c r="G866" s="57">
        <v>0</v>
      </c>
      <c r="H866" s="1082">
        <f t="shared" si="45"/>
        <v>366334692</v>
      </c>
      <c r="I866" t="s">
        <v>39</v>
      </c>
      <c r="J866" s="1334" t="str">
        <f>VLOOKUP(C866,Acc_Char!B:K,3,)</f>
        <v>BW SUPLLY CHAIN CITY</v>
      </c>
      <c r="K866" s="1334" t="str">
        <f>VLOOKUP(C866,Acc_Char!B:K,7,)</f>
        <v>Subsidiaries</v>
      </c>
      <c r="L866" s="1334" t="str">
        <f t="shared" si="46"/>
        <v>Receipt from tenants</v>
      </c>
      <c r="M866" s="1335" t="str">
        <f>VLOOKUP(C866,Acc_Char!B:K,5,)</f>
        <v>VND</v>
      </c>
      <c r="N866" s="1335" t="str">
        <f>VLOOKUP(C866,Acc_Char!B:K,6,)</f>
        <v>Current Account</v>
      </c>
      <c r="O866" s="1336" t="str">
        <f>Summary!$B$4</f>
        <v>W1-2Jan26</v>
      </c>
      <c r="P866" s="1334" t="str">
        <f t="shared" si="47"/>
        <v>1018291733</v>
      </c>
    </row>
    <row r="867" spans="1:16">
      <c r="A867" t="s">
        <v>1591</v>
      </c>
      <c r="B867" s="34" t="s">
        <v>110</v>
      </c>
      <c r="C867" s="34" t="s">
        <v>562</v>
      </c>
      <c r="D867" s="355" t="s">
        <v>2815</v>
      </c>
      <c r="E867" t="s">
        <v>2816</v>
      </c>
      <c r="F867" s="57">
        <v>2222367</v>
      </c>
      <c r="G867" s="57">
        <v>0</v>
      </c>
      <c r="H867" s="1082">
        <f t="shared" si="45"/>
        <v>2222367</v>
      </c>
      <c r="I867" s="1333" t="s">
        <v>39</v>
      </c>
      <c r="J867" s="1334" t="str">
        <f>VLOOKUP(C867,Acc_Char!B:K,3,)</f>
        <v>HANOI MANAGEMENT SERVICES</v>
      </c>
      <c r="K867" s="1334" t="str">
        <f>VLOOKUP(C867,Acc_Char!B:K,7,)</f>
        <v>Subsidiaries</v>
      </c>
      <c r="L867" s="1334" t="str">
        <f t="shared" si="46"/>
        <v>Receipt from tenants</v>
      </c>
      <c r="M867" s="1335" t="str">
        <f>VLOOKUP(C867,Acc_Char!B:K,5,)</f>
        <v>VND</v>
      </c>
      <c r="N867" s="1335" t="str">
        <f>VLOOKUP(C867,Acc_Char!B:K,6,)</f>
        <v>Current Account</v>
      </c>
      <c r="O867" s="1336" t="str">
        <f>Summary!$B$4</f>
        <v>W1-2Jan26</v>
      </c>
      <c r="P867" s="1334" t="str">
        <f t="shared" si="47"/>
        <v>110002855448</v>
      </c>
    </row>
    <row r="868" spans="1:16">
      <c r="A868" t="s">
        <v>1591</v>
      </c>
      <c r="B868" s="34" t="s">
        <v>110</v>
      </c>
      <c r="C868" s="34" t="s">
        <v>713</v>
      </c>
      <c r="D868" s="355" t="s">
        <v>2817</v>
      </c>
      <c r="E868" t="s">
        <v>2818</v>
      </c>
      <c r="F868" s="57">
        <v>0</v>
      </c>
      <c r="G868" s="57">
        <v>372246840</v>
      </c>
      <c r="H868" s="1082">
        <f t="shared" si="45"/>
        <v>-372246840</v>
      </c>
      <c r="I868" s="1333" t="s">
        <v>22</v>
      </c>
      <c r="J868" s="1334" t="str">
        <f>VLOOKUP(C868,Acc_Char!B:K,3,)</f>
        <v>WINLOCK 2B</v>
      </c>
      <c r="K868" s="1334" t="str">
        <f>VLOOKUP(C868,Acc_Char!B:K,7,)</f>
        <v>Subsidiaries</v>
      </c>
      <c r="L868" s="1334" t="str">
        <f t="shared" si="46"/>
        <v>Construction expense</v>
      </c>
      <c r="M868" s="1335" t="str">
        <f>VLOOKUP(C868,Acc_Char!B:K,5,)</f>
        <v>VND</v>
      </c>
      <c r="N868" s="1335" t="str">
        <f>VLOOKUP(C868,Acc_Char!B:K,6,)</f>
        <v>Current Account</v>
      </c>
      <c r="O868" s="1336" t="str">
        <f>Summary!$B$4</f>
        <v>W1-2Jan26</v>
      </c>
      <c r="P868" s="1334" t="str">
        <f t="shared" si="47"/>
        <v>119642069999</v>
      </c>
    </row>
    <row r="869" spans="1:16">
      <c r="A869" t="s">
        <v>1591</v>
      </c>
      <c r="B869" s="34" t="s">
        <v>110</v>
      </c>
      <c r="C869" s="34" t="s">
        <v>669</v>
      </c>
      <c r="D869" s="355" t="s">
        <v>2819</v>
      </c>
      <c r="E869" t="s">
        <v>2820</v>
      </c>
      <c r="F869" s="57">
        <v>892168200</v>
      </c>
      <c r="G869" s="57">
        <v>0</v>
      </c>
      <c r="H869" s="1082">
        <f t="shared" si="45"/>
        <v>892168200</v>
      </c>
      <c r="I869" s="1333" t="s">
        <v>39</v>
      </c>
      <c r="J869" s="1334" t="str">
        <f>VLOOKUP(C869,Acc_Char!B:K,3,)</f>
        <v>VINA PARTNERS INVESTMENT</v>
      </c>
      <c r="K869" s="1334" t="str">
        <f>VLOOKUP(C869,Acc_Char!B:K,7,)</f>
        <v>Subsidiaries</v>
      </c>
      <c r="L869" s="1334" t="str">
        <f t="shared" si="46"/>
        <v>Receipt from tenants</v>
      </c>
      <c r="M869" s="1335" t="str">
        <f>VLOOKUP(C869,Acc_Char!B:K,5,)</f>
        <v>VND</v>
      </c>
      <c r="N869" s="1335" t="str">
        <f>VLOOKUP(C869,Acc_Char!B:K,6,)</f>
        <v>Current Account</v>
      </c>
      <c r="O869" s="1336" t="str">
        <f>Summary!$B$4</f>
        <v>W1-2Jan26</v>
      </c>
      <c r="P869" s="1334" t="str">
        <f t="shared" si="47"/>
        <v>111002902772</v>
      </c>
    </row>
    <row r="870" spans="1:16">
      <c r="A870" t="s">
        <v>1591</v>
      </c>
      <c r="B870" s="34" t="s">
        <v>110</v>
      </c>
      <c r="C870" s="34" t="s">
        <v>669</v>
      </c>
      <c r="D870" s="355" t="s">
        <v>2821</v>
      </c>
      <c r="E870" t="s">
        <v>2822</v>
      </c>
      <c r="F870" s="57">
        <v>2361917070</v>
      </c>
      <c r="G870" s="57">
        <v>0</v>
      </c>
      <c r="H870" s="1082">
        <f t="shared" si="45"/>
        <v>2361917070</v>
      </c>
      <c r="I870" s="1333" t="s">
        <v>39</v>
      </c>
      <c r="J870" s="1334" t="str">
        <f>VLOOKUP(C870,Acc_Char!B:K,3,)</f>
        <v>VINA PARTNERS INVESTMENT</v>
      </c>
      <c r="K870" s="1334" t="str">
        <f>VLOOKUP(C870,Acc_Char!B:K,7,)</f>
        <v>Subsidiaries</v>
      </c>
      <c r="L870" s="1334" t="str">
        <f t="shared" si="46"/>
        <v>Receipt from tenants</v>
      </c>
      <c r="M870" s="1335" t="str">
        <f>VLOOKUP(C870,Acc_Char!B:K,5,)</f>
        <v>VND</v>
      </c>
      <c r="N870" s="1335" t="str">
        <f>VLOOKUP(C870,Acc_Char!B:K,6,)</f>
        <v>Current Account</v>
      </c>
      <c r="O870" s="1336" t="str">
        <f>Summary!$B$4</f>
        <v>W1-2Jan26</v>
      </c>
      <c r="P870" s="1334" t="str">
        <f t="shared" si="47"/>
        <v>111002902772</v>
      </c>
    </row>
    <row r="871" spans="1:16">
      <c r="A871" t="s">
        <v>1591</v>
      </c>
      <c r="B871" s="34" t="s">
        <v>110</v>
      </c>
      <c r="C871" s="34" t="s">
        <v>669</v>
      </c>
      <c r="D871" s="355" t="s">
        <v>2821</v>
      </c>
      <c r="E871" t="s">
        <v>2823</v>
      </c>
      <c r="F871" s="57">
        <v>17287103</v>
      </c>
      <c r="G871" s="57">
        <v>0</v>
      </c>
      <c r="H871" s="1082">
        <f t="shared" si="45"/>
        <v>17287103</v>
      </c>
      <c r="I871" s="1333" t="s">
        <v>39</v>
      </c>
      <c r="J871" s="1334" t="str">
        <f>VLOOKUP(C871,Acc_Char!B:K,3,)</f>
        <v>VINA PARTNERS INVESTMENT</v>
      </c>
      <c r="K871" s="1334" t="str">
        <f>VLOOKUP(C871,Acc_Char!B:K,7,)</f>
        <v>Subsidiaries</v>
      </c>
      <c r="L871" s="1334" t="str">
        <f t="shared" si="46"/>
        <v>Receipt from tenants</v>
      </c>
      <c r="M871" s="1335" t="str">
        <f>VLOOKUP(C871,Acc_Char!B:K,5,)</f>
        <v>VND</v>
      </c>
      <c r="N871" s="1335" t="str">
        <f>VLOOKUP(C871,Acc_Char!B:K,6,)</f>
        <v>Current Account</v>
      </c>
      <c r="O871" s="1336" t="str">
        <f>Summary!$B$4</f>
        <v>W1-2Jan26</v>
      </c>
      <c r="P871" s="1334" t="str">
        <f t="shared" si="47"/>
        <v>111002902772</v>
      </c>
    </row>
    <row r="872" spans="1:16">
      <c r="A872" t="s">
        <v>1591</v>
      </c>
      <c r="B872" s="34" t="s">
        <v>110</v>
      </c>
      <c r="C872" s="34" t="s">
        <v>669</v>
      </c>
      <c r="D872" s="355" t="s">
        <v>2821</v>
      </c>
      <c r="E872" t="s">
        <v>2824</v>
      </c>
      <c r="F872" s="57">
        <v>1025846081</v>
      </c>
      <c r="G872" s="57">
        <v>0</v>
      </c>
      <c r="H872" s="1082">
        <f t="shared" si="45"/>
        <v>1025846081</v>
      </c>
      <c r="I872" s="1333" t="s">
        <v>39</v>
      </c>
      <c r="J872" s="1334" t="str">
        <f>VLOOKUP(C872,Acc_Char!B:K,3,)</f>
        <v>VINA PARTNERS INVESTMENT</v>
      </c>
      <c r="K872" s="1334" t="str">
        <f>VLOOKUP(C872,Acc_Char!B:K,7,)</f>
        <v>Subsidiaries</v>
      </c>
      <c r="L872" s="1334" t="str">
        <f t="shared" si="46"/>
        <v>Receipt from tenants</v>
      </c>
      <c r="M872" s="1335" t="str">
        <f>VLOOKUP(C872,Acc_Char!B:K,5,)</f>
        <v>VND</v>
      </c>
      <c r="N872" s="1335" t="str">
        <f>VLOOKUP(C872,Acc_Char!B:K,6,)</f>
        <v>Current Account</v>
      </c>
      <c r="O872" s="1336" t="str">
        <f>Summary!$B$4</f>
        <v>W1-2Jan26</v>
      </c>
      <c r="P872" s="1334" t="str">
        <f t="shared" si="47"/>
        <v>111002902772</v>
      </c>
    </row>
    <row r="873" spans="1:16">
      <c r="A873" t="s">
        <v>1591</v>
      </c>
      <c r="B873" s="34" t="s">
        <v>110</v>
      </c>
      <c r="C873" s="34" t="s">
        <v>669</v>
      </c>
      <c r="D873" s="355" t="s">
        <v>2821</v>
      </c>
      <c r="E873" t="s">
        <v>2825</v>
      </c>
      <c r="F873" s="57">
        <v>1278990900</v>
      </c>
      <c r="G873" s="57">
        <v>0</v>
      </c>
      <c r="H873" s="1082">
        <f t="shared" si="45"/>
        <v>1278990900</v>
      </c>
      <c r="I873" s="1333" t="s">
        <v>39</v>
      </c>
      <c r="J873" s="1334" t="str">
        <f>VLOOKUP(C873,Acc_Char!B:K,3,)</f>
        <v>VINA PARTNERS INVESTMENT</v>
      </c>
      <c r="K873" s="1334" t="str">
        <f>VLOOKUP(C873,Acc_Char!B:K,7,)</f>
        <v>Subsidiaries</v>
      </c>
      <c r="L873" s="1334" t="str">
        <f t="shared" si="46"/>
        <v>Receipt from tenants</v>
      </c>
      <c r="M873" s="1335" t="str">
        <f>VLOOKUP(C873,Acc_Char!B:K,5,)</f>
        <v>VND</v>
      </c>
      <c r="N873" s="1335" t="str">
        <f>VLOOKUP(C873,Acc_Char!B:K,6,)</f>
        <v>Current Account</v>
      </c>
      <c r="O873" s="1336" t="str">
        <f>Summary!$B$4</f>
        <v>W1-2Jan26</v>
      </c>
      <c r="P873" s="1334" t="str">
        <f t="shared" si="47"/>
        <v>111002902772</v>
      </c>
    </row>
    <row r="874" spans="1:16">
      <c r="A874" s="1018" t="s">
        <v>1567</v>
      </c>
      <c r="B874" s="460" t="s">
        <v>112</v>
      </c>
      <c r="C874" s="1092">
        <v>1062775110</v>
      </c>
      <c r="D874" s="1389">
        <v>46030</v>
      </c>
      <c r="E874" s="1339" t="s">
        <v>1680</v>
      </c>
      <c r="F874" s="1311">
        <v>0</v>
      </c>
      <c r="G874" s="1311">
        <v>600000000000</v>
      </c>
      <c r="H874" s="1082">
        <f t="shared" ref="H874:H880" si="48">F874-G874</f>
        <v>-600000000000</v>
      </c>
      <c r="I874" s="1333" t="s">
        <v>59</v>
      </c>
      <c r="J874" s="1334" t="e">
        <f>VLOOKUP(C874,Acc_Char!B:K,3,)</f>
        <v>#N/A</v>
      </c>
      <c r="K874" s="1334" t="e">
        <f>VLOOKUP(C874,Acc_Char!B:K,7,)</f>
        <v>#N/A</v>
      </c>
      <c r="L874" s="1334" t="str">
        <f t="shared" si="46"/>
        <v>Internal transfer out</v>
      </c>
      <c r="M874" s="1335" t="e">
        <f>VLOOKUP(C874,Acc_Char!B:K,5,)</f>
        <v>#N/A</v>
      </c>
      <c r="N874" s="1335" t="e">
        <f>VLOOKUP(C874,Acc_Char!B:K,6,)</f>
        <v>#N/A</v>
      </c>
      <c r="O874" s="1336" t="str">
        <f>Summary!$B$4</f>
        <v>W1-2Jan26</v>
      </c>
      <c r="P874" s="1334" t="str">
        <f t="shared" si="47"/>
        <v>1062775110</v>
      </c>
    </row>
    <row r="875" spans="1:16">
      <c r="A875" s="1018" t="s">
        <v>1567</v>
      </c>
      <c r="B875" s="460" t="s">
        <v>198</v>
      </c>
      <c r="C875" s="1092" t="s">
        <v>1456</v>
      </c>
      <c r="D875" s="1389">
        <v>46143</v>
      </c>
      <c r="E875" s="1339" t="s">
        <v>1456</v>
      </c>
      <c r="F875" s="1311">
        <v>0</v>
      </c>
      <c r="G875" s="1311">
        <v>30000000000</v>
      </c>
      <c r="H875" s="1082">
        <f t="shared" si="48"/>
        <v>-30000000000</v>
      </c>
      <c r="I875" s="1333" t="s">
        <v>59</v>
      </c>
      <c r="J875" s="1334" t="str">
        <f>VLOOKUP(C875,Acc_Char!B:K,3,)</f>
        <v>BWID BINH DUONG</v>
      </c>
      <c r="K875" s="1334" t="str">
        <f>VLOOKUP(C875,Acc_Char!B:K,7,)</f>
        <v>BWID JSC</v>
      </c>
      <c r="L875" s="1334" t="str">
        <f t="shared" si="46"/>
        <v>Internal transfer out</v>
      </c>
      <c r="M875" s="1335" t="str">
        <f>VLOOKUP(C875,Acc_Char!B:K,5,)</f>
        <v>VND</v>
      </c>
      <c r="N875" s="1335" t="str">
        <f>VLOOKUP(C875,Acc_Char!B:K,6,)</f>
        <v>Saving Account</v>
      </c>
      <c r="O875" s="1336" t="str">
        <f>Summary!$B$4</f>
        <v>W1-2Jan26</v>
      </c>
      <c r="P875" s="1334" t="str">
        <f t="shared" si="47"/>
        <v>7003600017398</v>
      </c>
    </row>
    <row r="876" spans="1:16">
      <c r="A876" s="1018" t="s">
        <v>1591</v>
      </c>
      <c r="B876" s="1335" t="s">
        <v>110</v>
      </c>
      <c r="C876" s="1092" t="s">
        <v>1459</v>
      </c>
      <c r="D876" s="1389" t="s">
        <v>1818</v>
      </c>
      <c r="E876" s="1334" t="s">
        <v>1819</v>
      </c>
      <c r="F876" s="1311">
        <v>0</v>
      </c>
      <c r="G876" s="1312">
        <v>3000000000</v>
      </c>
      <c r="H876" s="1283">
        <f t="shared" si="48"/>
        <v>-3000000000</v>
      </c>
      <c r="I876" s="1333" t="s">
        <v>59</v>
      </c>
      <c r="J876" s="1334" t="str">
        <f>VLOOKUP(C876,Acc_Char!B:K,3,)</f>
        <v>THUAN DAO</v>
      </c>
      <c r="K876" s="1334" t="str">
        <f>VLOOKUP(C876,Acc_Char!B:K,7,)</f>
        <v>Subsidiaries</v>
      </c>
      <c r="L876" s="1334" t="str">
        <f t="shared" si="46"/>
        <v>Internal transfer out</v>
      </c>
      <c r="M876" s="1335" t="str">
        <f>VLOOKUP(C876,Acc_Char!B:K,5,)</f>
        <v>VND</v>
      </c>
      <c r="N876" s="1335" t="str">
        <f>VLOOKUP(C876,Acc_Char!B:K,6,)</f>
        <v>Saving Account</v>
      </c>
      <c r="O876" s="1336" t="str">
        <f>Summary!$B$4</f>
        <v>W1-2Jan26</v>
      </c>
      <c r="P876" s="1334" t="str">
        <f t="shared" si="47"/>
        <v>215000489959</v>
      </c>
    </row>
    <row r="877" spans="1:16">
      <c r="A877" t="s">
        <v>1591</v>
      </c>
      <c r="B877" s="34" t="s">
        <v>110</v>
      </c>
      <c r="C877" s="34" t="s">
        <v>1484</v>
      </c>
      <c r="D877" s="1389" t="s">
        <v>2139</v>
      </c>
      <c r="E877" t="s">
        <v>2140</v>
      </c>
      <c r="F877" s="1311">
        <v>0</v>
      </c>
      <c r="G877" s="57">
        <v>38000000000</v>
      </c>
      <c r="H877" s="1082">
        <f t="shared" si="48"/>
        <v>-38000000000</v>
      </c>
      <c r="I877" s="1333" t="s">
        <v>59</v>
      </c>
      <c r="J877" s="1334" t="str">
        <f>VLOOKUP(C877,Acc_Char!B:K,3,)</f>
        <v>SAO HOA</v>
      </c>
      <c r="K877" s="1334" t="str">
        <f>VLOOKUP(C877,Acc_Char!B:K,7,)</f>
        <v>VC3</v>
      </c>
      <c r="L877" s="1334" t="str">
        <f t="shared" si="46"/>
        <v>Internal transfer out</v>
      </c>
      <c r="M877" s="1335" t="str">
        <f>VLOOKUP(C877,Acc_Char!B:K,5,)</f>
        <v>VND</v>
      </c>
      <c r="N877" s="1335" t="str">
        <f>VLOOKUP(C877,Acc_Char!B:K,6,)</f>
        <v>Saving Account</v>
      </c>
      <c r="O877" s="1336" t="str">
        <f>Summary!$B$4</f>
        <v>W1-2Jan26</v>
      </c>
      <c r="P877" s="1334" t="str">
        <f t="shared" si="47"/>
        <v>517360839</v>
      </c>
    </row>
    <row r="878" spans="1:16">
      <c r="A878" t="s">
        <v>1591</v>
      </c>
      <c r="B878" s="34" t="s">
        <v>110</v>
      </c>
      <c r="C878" s="34" t="s">
        <v>1486</v>
      </c>
      <c r="D878" s="1389" t="s">
        <v>2143</v>
      </c>
      <c r="E878" t="s">
        <v>2144</v>
      </c>
      <c r="F878" s="1311">
        <v>0</v>
      </c>
      <c r="G878" s="57">
        <v>62000000000</v>
      </c>
      <c r="H878" s="1082">
        <f t="shared" si="48"/>
        <v>-62000000000</v>
      </c>
      <c r="I878" s="1333" t="s">
        <v>59</v>
      </c>
      <c r="J878" s="1334" t="str">
        <f>VLOOKUP(C878,Acc_Char!B:K,3,)</f>
        <v>SAO HOA</v>
      </c>
      <c r="K878" s="1334" t="str">
        <f>VLOOKUP(C878,Acc_Char!B:K,7,)</f>
        <v>VC3</v>
      </c>
      <c r="L878" s="1334" t="str">
        <f t="shared" si="46"/>
        <v>Internal transfer out</v>
      </c>
      <c r="M878" s="1335" t="str">
        <f>VLOOKUP(C878,Acc_Char!B:K,5,)</f>
        <v>VND</v>
      </c>
      <c r="N878" s="1335" t="str">
        <f>VLOOKUP(C878,Acc_Char!B:K,6,)</f>
        <v>Saving Account</v>
      </c>
      <c r="O878" s="1336" t="str">
        <f>Summary!$B$4</f>
        <v>W1-2Jan26</v>
      </c>
      <c r="P878" s="1334" t="str">
        <f t="shared" si="47"/>
        <v>517364729</v>
      </c>
    </row>
    <row r="879" spans="1:16">
      <c r="A879" t="s">
        <v>1591</v>
      </c>
      <c r="B879" s="34" t="s">
        <v>110</v>
      </c>
      <c r="C879" s="34" t="s">
        <v>1458</v>
      </c>
      <c r="D879" s="355" t="s">
        <v>2514</v>
      </c>
      <c r="E879" t="s">
        <v>2515</v>
      </c>
      <c r="F879" s="1311">
        <v>0</v>
      </c>
      <c r="G879" s="57">
        <v>8000000000</v>
      </c>
      <c r="H879" s="1082">
        <f t="shared" si="48"/>
        <v>-8000000000</v>
      </c>
      <c r="I879" s="1333" t="s">
        <v>59</v>
      </c>
      <c r="J879" s="1334" t="str">
        <f>VLOOKUP(C879,Acc_Char!B:K,3,)</f>
        <v>BAU BANG 6</v>
      </c>
      <c r="K879" s="1334" t="str">
        <f>VLOOKUP(C879,Acc_Char!B:K,7,)</f>
        <v>Subsidiaries</v>
      </c>
      <c r="L879" s="1334" t="str">
        <f t="shared" si="46"/>
        <v>Internal transfer out</v>
      </c>
      <c r="M879" s="1335" t="str">
        <f>VLOOKUP(C879,Acc_Char!B:K,5,)</f>
        <v>VND</v>
      </c>
      <c r="N879" s="1335" t="str">
        <f>VLOOKUP(C879,Acc_Char!B:K,6,)</f>
        <v>Saving Account</v>
      </c>
      <c r="O879" s="1336" t="str">
        <f>Summary!$B$4</f>
        <v>W1-2Jan26</v>
      </c>
      <c r="P879" s="1334" t="str">
        <f t="shared" si="47"/>
        <v>210000490002</v>
      </c>
    </row>
    <row r="880" spans="1:16">
      <c r="A880" t="s">
        <v>1591</v>
      </c>
      <c r="B880" s="34" t="s">
        <v>110</v>
      </c>
      <c r="C880" s="34" t="s">
        <v>1462</v>
      </c>
      <c r="D880" s="355" t="s">
        <v>2576</v>
      </c>
      <c r="E880" t="s">
        <v>2577</v>
      </c>
      <c r="F880" s="1311">
        <v>0</v>
      </c>
      <c r="G880" s="57">
        <v>8000000000</v>
      </c>
      <c r="H880" s="1082">
        <f t="shared" si="48"/>
        <v>-8000000000</v>
      </c>
      <c r="I880" s="1333" t="s">
        <v>59</v>
      </c>
      <c r="J880" s="1334" t="str">
        <f>VLOOKUP(C880,Acc_Char!B:K,3,)</f>
        <v>BWID Tan Phu Trung</v>
      </c>
      <c r="K880" s="1334" t="str">
        <f>VLOOKUP(C880,Acc_Char!B:K,7,)</f>
        <v>Subsidiaries</v>
      </c>
      <c r="L880" s="1334" t="str">
        <f t="shared" si="46"/>
        <v>Internal transfer out</v>
      </c>
      <c r="M880" s="1335" t="str">
        <f>VLOOKUP(C880,Acc_Char!B:K,5,)</f>
        <v>VND</v>
      </c>
      <c r="N880" s="1335" t="str">
        <f>VLOOKUP(C880,Acc_Char!B:K,6,)</f>
        <v>Saving Account</v>
      </c>
      <c r="O880" s="1336" t="str">
        <f>Summary!$B$4</f>
        <v>W1-2Jan26</v>
      </c>
      <c r="P880" s="1334" t="str">
        <f t="shared" si="47"/>
        <v>212000491600</v>
      </c>
    </row>
    <row r="881" spans="1:17">
      <c r="A881" s="1018" t="s">
        <v>1567</v>
      </c>
      <c r="B881" s="460" t="s">
        <v>198</v>
      </c>
      <c r="C881" s="1092" t="s">
        <v>1523</v>
      </c>
      <c r="D881" s="1389">
        <v>46174</v>
      </c>
      <c r="E881" s="1339" t="s">
        <v>1523</v>
      </c>
      <c r="F881" s="1311">
        <v>30000000000</v>
      </c>
      <c r="G881" s="1311">
        <v>0</v>
      </c>
      <c r="H881" s="1283">
        <v>-30000000000</v>
      </c>
      <c r="I881" s="1333" t="s">
        <v>41</v>
      </c>
      <c r="J881" s="1334" t="str">
        <f>VLOOKUP(C881,Acc_Char!B:K,3,)</f>
        <v>BWID BINH DUONG</v>
      </c>
      <c r="K881" s="1334" t="str">
        <f>VLOOKUP(C881,Acc_Char!B:K,7,)</f>
        <v>BWID JSC</v>
      </c>
      <c r="L881" s="1334" t="str">
        <f t="shared" si="46"/>
        <v>Internal transfer in</v>
      </c>
      <c r="M881" s="1335" t="str">
        <f>VLOOKUP(C881,Acc_Char!B:K,5,)</f>
        <v>VND</v>
      </c>
      <c r="N881" s="1335" t="str">
        <f>VLOOKUP(C881,Acc_Char!B:K,6,)</f>
        <v>Saving Account</v>
      </c>
      <c r="O881" s="1336" t="str">
        <f>Summary!$B$4</f>
        <v>W1-2Jan26</v>
      </c>
      <c r="P881" s="1334" t="str">
        <f t="shared" si="47"/>
        <v>7003600018001</v>
      </c>
    </row>
    <row r="882" spans="1:17" ht="28.8">
      <c r="A882" s="1018" t="s">
        <v>1567</v>
      </c>
      <c r="B882" s="460" t="s">
        <v>112</v>
      </c>
      <c r="C882" s="1092" t="s">
        <v>1522</v>
      </c>
      <c r="D882" s="1389">
        <v>46030</v>
      </c>
      <c r="E882" s="1396" t="s">
        <v>1686</v>
      </c>
      <c r="F882" s="1311">
        <v>260000000000</v>
      </c>
      <c r="G882" s="1311">
        <v>0</v>
      </c>
      <c r="H882" s="1283">
        <v>-260000000000</v>
      </c>
      <c r="I882" s="1333" t="s">
        <v>41</v>
      </c>
      <c r="J882" s="1334" t="str">
        <f>VLOOKUP(C882,Acc_Char!B:K,3,)</f>
        <v>SAO HOA</v>
      </c>
      <c r="K882" s="1334" t="str">
        <f>VLOOKUP(C882,Acc_Char!B:K,7,)</f>
        <v>VC3</v>
      </c>
      <c r="L882" s="1334" t="str">
        <f t="shared" si="46"/>
        <v>Internal transfer in</v>
      </c>
      <c r="M882" s="1335" t="str">
        <f>VLOOKUP(C882,Acc_Char!B:K,5,)</f>
        <v>VND</v>
      </c>
      <c r="N882" s="1335" t="str">
        <f>VLOOKUP(C882,Acc_Char!B:K,6,)</f>
        <v>Saving Account</v>
      </c>
      <c r="O882" s="1336" t="str">
        <f>Summary!$B$4</f>
        <v>W1-2Jan26</v>
      </c>
      <c r="P882" s="1334" t="str">
        <f t="shared" si="47"/>
        <v>1063637349</v>
      </c>
    </row>
    <row r="883" spans="1:17">
      <c r="A883" s="1018" t="s">
        <v>1591</v>
      </c>
      <c r="B883" s="1335" t="s">
        <v>110</v>
      </c>
      <c r="C883" s="1092" t="s">
        <v>1524</v>
      </c>
      <c r="D883" s="1389" t="s">
        <v>1839</v>
      </c>
      <c r="E883" s="1334" t="s">
        <v>1840</v>
      </c>
      <c r="F883" s="1312">
        <v>50000000000</v>
      </c>
      <c r="G883" s="1311">
        <v>0</v>
      </c>
      <c r="H883" s="1283">
        <v>-50000000000</v>
      </c>
      <c r="I883" s="1333" t="s">
        <v>41</v>
      </c>
      <c r="J883" s="1334" t="str">
        <f>VLOOKUP(C883,Acc_Char!B:K,3,)</f>
        <v>SAO HOA</v>
      </c>
      <c r="K883" s="1334" t="str">
        <f>VLOOKUP(C883,Acc_Char!B:K,7,)</f>
        <v>VC3</v>
      </c>
      <c r="L883" s="1334" t="str">
        <f t="shared" si="46"/>
        <v>Internal transfer in</v>
      </c>
      <c r="M883" s="1335" t="str">
        <f>VLOOKUP(C883,Acc_Char!B:K,5,)</f>
        <v>VND</v>
      </c>
      <c r="N883" s="1335" t="str">
        <f>VLOOKUP(C883,Acc_Char!B:K,6,)</f>
        <v>Saving Account</v>
      </c>
      <c r="O883" s="1336" t="str">
        <f>Summary!$B$4</f>
        <v>W1-2Jan26</v>
      </c>
      <c r="P883" s="1334" t="str">
        <f t="shared" si="47"/>
        <v>219000505208</v>
      </c>
    </row>
    <row r="884" spans="1:17">
      <c r="A884" s="34" t="s">
        <v>1567</v>
      </c>
      <c r="B884" s="34" t="s">
        <v>114</v>
      </c>
      <c r="C884" s="34" t="s">
        <v>756</v>
      </c>
      <c r="D884" s="1346">
        <v>46030</v>
      </c>
      <c r="E884" t="s">
        <v>2826</v>
      </c>
      <c r="F884" s="57">
        <v>0</v>
      </c>
      <c r="G884" s="57">
        <v>55000</v>
      </c>
      <c r="H884" s="1082">
        <f t="shared" ref="H884:H933" si="49">F884-G884</f>
        <v>-55000</v>
      </c>
      <c r="I884" s="1333" t="s">
        <v>53</v>
      </c>
      <c r="J884" s="1334" t="str">
        <f>VLOOKUP(C884,Acc_Char!B:K,3,)</f>
        <v>DELIWAY</v>
      </c>
      <c r="K884" s="1334" t="str">
        <f>VLOOKUP(C884,Acc_Char!B:K,7,)</f>
        <v>Subsidiaries</v>
      </c>
      <c r="L884" s="1334" t="str">
        <f t="shared" si="46"/>
        <v>Operating expense</v>
      </c>
      <c r="M884" s="1335" t="str">
        <f>VLOOKUP(C884,Acc_Char!B:K,5,)</f>
        <v>VND</v>
      </c>
      <c r="N884" s="1335" t="str">
        <f>VLOOKUP(C884,Acc_Char!B:K,6,)</f>
        <v>Current Account</v>
      </c>
      <c r="O884" s="1336" t="str">
        <f>Summary!$B$4</f>
        <v>W1-2Jan26</v>
      </c>
      <c r="P884" s="1334" t="str">
        <f t="shared" si="47"/>
        <v>2225191094</v>
      </c>
      <c r="Q884" s="1024"/>
    </row>
    <row r="885" spans="1:17">
      <c r="A885" s="34" t="s">
        <v>1567</v>
      </c>
      <c r="B885" s="34" t="s">
        <v>114</v>
      </c>
      <c r="C885" s="1354" t="s">
        <v>898</v>
      </c>
      <c r="D885" s="355" t="s">
        <v>2827</v>
      </c>
      <c r="E885" t="s">
        <v>2828</v>
      </c>
      <c r="F885" s="57">
        <v>8808242058</v>
      </c>
      <c r="G885" s="57">
        <v>0</v>
      </c>
      <c r="H885" s="1082">
        <f t="shared" si="49"/>
        <v>8808242058</v>
      </c>
      <c r="I885" s="1333" t="s">
        <v>39</v>
      </c>
      <c r="J885" s="1334" t="str">
        <f>VLOOKUP(C885,Acc_Char!B:K,3,)</f>
        <v>YEN PHONG PROJECT CO</v>
      </c>
      <c r="K885" s="1334" t="str">
        <f>VLOOKUP(C885,Acc_Char!B:K,7,)</f>
        <v>Subsidiaries</v>
      </c>
      <c r="L885" s="1334" t="str">
        <f t="shared" si="46"/>
        <v>Receipt from tenants</v>
      </c>
      <c r="M885" s="1335" t="str">
        <f>VLOOKUP(C885,Acc_Char!B:K,5,)</f>
        <v>VND</v>
      </c>
      <c r="N885" s="1335" t="str">
        <f>VLOOKUP(C885,Acc_Char!B:K,6,)</f>
        <v>Current Account</v>
      </c>
      <c r="O885" s="1336" t="str">
        <f>Summary!$B$4</f>
        <v>W1-2Jan26</v>
      </c>
      <c r="P885" s="1334" t="str">
        <f t="shared" si="47"/>
        <v>8660004066</v>
      </c>
      <c r="Q885" s="1024"/>
    </row>
    <row r="886" spans="1:17">
      <c r="A886" s="34" t="s">
        <v>1567</v>
      </c>
      <c r="B886" s="34" t="s">
        <v>114</v>
      </c>
      <c r="C886" s="1354" t="s">
        <v>898</v>
      </c>
      <c r="D886" s="355" t="s">
        <v>2827</v>
      </c>
      <c r="E886" t="s">
        <v>2829</v>
      </c>
      <c r="F886" s="57">
        <v>100000000</v>
      </c>
      <c r="G886" s="57">
        <v>0</v>
      </c>
      <c r="H886" s="1082">
        <f t="shared" si="49"/>
        <v>100000000</v>
      </c>
      <c r="I886" s="1333" t="s">
        <v>39</v>
      </c>
      <c r="J886" s="1334" t="str">
        <f>VLOOKUP(C886,Acc_Char!B:K,3,)</f>
        <v>YEN PHONG PROJECT CO</v>
      </c>
      <c r="K886" s="1334" t="str">
        <f>VLOOKUP(C886,Acc_Char!B:K,7,)</f>
        <v>Subsidiaries</v>
      </c>
      <c r="L886" s="1334" t="str">
        <f t="shared" si="46"/>
        <v>Receipt from tenants</v>
      </c>
      <c r="M886" s="1335" t="str">
        <f>VLOOKUP(C886,Acc_Char!B:K,5,)</f>
        <v>VND</v>
      </c>
      <c r="N886" s="1335" t="str">
        <f>VLOOKUP(C886,Acc_Char!B:K,6,)</f>
        <v>Current Account</v>
      </c>
      <c r="O886" s="1336" t="str">
        <f>Summary!$B$4</f>
        <v>W1-2Jan26</v>
      </c>
      <c r="P886" s="1334" t="str">
        <f t="shared" si="47"/>
        <v>8660004066</v>
      </c>
      <c r="Q886" s="1024"/>
    </row>
    <row r="887" spans="1:17">
      <c r="A887" s="34" t="s">
        <v>1567</v>
      </c>
      <c r="B887" s="34" t="s">
        <v>114</v>
      </c>
      <c r="C887" s="1354" t="s">
        <v>898</v>
      </c>
      <c r="D887" s="355" t="s">
        <v>2830</v>
      </c>
      <c r="E887" t="s">
        <v>2831</v>
      </c>
      <c r="F887" s="57">
        <v>90000000</v>
      </c>
      <c r="G887" s="57">
        <v>0</v>
      </c>
      <c r="H887" s="1082">
        <f t="shared" si="49"/>
        <v>90000000</v>
      </c>
      <c r="I887" s="1333" t="s">
        <v>39</v>
      </c>
      <c r="J887" s="1334" t="str">
        <f>VLOOKUP(C887,Acc_Char!B:K,3,)</f>
        <v>YEN PHONG PROJECT CO</v>
      </c>
      <c r="K887" s="1334" t="str">
        <f>VLOOKUP(C887,Acc_Char!B:K,7,)</f>
        <v>Subsidiaries</v>
      </c>
      <c r="L887" s="1334" t="str">
        <f t="shared" si="46"/>
        <v>Receipt from tenants</v>
      </c>
      <c r="M887" s="1335" t="str">
        <f>VLOOKUP(C887,Acc_Char!B:K,5,)</f>
        <v>VND</v>
      </c>
      <c r="N887" s="1335" t="str">
        <f>VLOOKUP(C887,Acc_Char!B:K,6,)</f>
        <v>Current Account</v>
      </c>
      <c r="O887" s="1336" t="str">
        <f>Summary!$B$4</f>
        <v>W1-2Jan26</v>
      </c>
      <c r="P887" s="1334" t="str">
        <f t="shared" si="47"/>
        <v>8660004066</v>
      </c>
    </row>
    <row r="888" spans="1:17">
      <c r="A888" s="34" t="s">
        <v>1567</v>
      </c>
      <c r="B888" s="34" t="s">
        <v>114</v>
      </c>
      <c r="C888" s="1354" t="s">
        <v>898</v>
      </c>
      <c r="D888" s="355" t="s">
        <v>2832</v>
      </c>
      <c r="E888" t="s">
        <v>2833</v>
      </c>
      <c r="F888" s="57">
        <v>0</v>
      </c>
      <c r="G888" s="57">
        <v>86747360</v>
      </c>
      <c r="H888" s="1082">
        <f t="shared" si="49"/>
        <v>-86747360</v>
      </c>
      <c r="I888" s="1333" t="s">
        <v>53</v>
      </c>
      <c r="J888" s="1334" t="str">
        <f>VLOOKUP(C888,Acc_Char!B:K,3,)</f>
        <v>YEN PHONG PROJECT CO</v>
      </c>
      <c r="K888" s="1334" t="str">
        <f>VLOOKUP(C888,Acc_Char!B:K,7,)</f>
        <v>Subsidiaries</v>
      </c>
      <c r="L888" s="1334" t="str">
        <f t="shared" si="46"/>
        <v>Operating expense</v>
      </c>
      <c r="M888" s="1335" t="str">
        <f>VLOOKUP(C888,Acc_Char!B:K,5,)</f>
        <v>VND</v>
      </c>
      <c r="N888" s="1335" t="str">
        <f>VLOOKUP(C888,Acc_Char!B:K,6,)</f>
        <v>Current Account</v>
      </c>
      <c r="O888" s="1336" t="str">
        <f>Summary!$B$4</f>
        <v>W1-2Jan26</v>
      </c>
      <c r="P888" s="1334" t="str">
        <f t="shared" si="47"/>
        <v>8660004066</v>
      </c>
    </row>
    <row r="889" spans="1:17">
      <c r="A889" s="34" t="s">
        <v>1567</v>
      </c>
      <c r="B889" s="34" t="s">
        <v>114</v>
      </c>
      <c r="C889" s="1354" t="s">
        <v>898</v>
      </c>
      <c r="D889" s="355" t="s">
        <v>2832</v>
      </c>
      <c r="E889" t="s">
        <v>2834</v>
      </c>
      <c r="F889" s="57">
        <v>0</v>
      </c>
      <c r="G889" s="57">
        <v>81787266</v>
      </c>
      <c r="H889" s="1082">
        <f t="shared" si="49"/>
        <v>-81787266</v>
      </c>
      <c r="I889" s="1333" t="s">
        <v>53</v>
      </c>
      <c r="J889" s="1334" t="str">
        <f>VLOOKUP(C889,Acc_Char!B:K,3,)</f>
        <v>YEN PHONG PROJECT CO</v>
      </c>
      <c r="K889" s="1334" t="str">
        <f>VLOOKUP(C889,Acc_Char!B:K,7,)</f>
        <v>Subsidiaries</v>
      </c>
      <c r="L889" s="1334" t="str">
        <f t="shared" si="46"/>
        <v>Operating expense</v>
      </c>
      <c r="M889" s="1335" t="str">
        <f>VLOOKUP(C889,Acc_Char!B:K,5,)</f>
        <v>VND</v>
      </c>
      <c r="N889" s="1335" t="str">
        <f>VLOOKUP(C889,Acc_Char!B:K,6,)</f>
        <v>Current Account</v>
      </c>
      <c r="O889" s="1336" t="str">
        <f>Summary!$B$4</f>
        <v>W1-2Jan26</v>
      </c>
      <c r="P889" s="1334" t="str">
        <f t="shared" si="47"/>
        <v>8660004066</v>
      </c>
    </row>
    <row r="890" spans="1:17">
      <c r="A890" s="34" t="s">
        <v>1567</v>
      </c>
      <c r="B890" s="34" t="s">
        <v>114</v>
      </c>
      <c r="C890" s="1354" t="s">
        <v>898</v>
      </c>
      <c r="D890" s="355" t="s">
        <v>2835</v>
      </c>
      <c r="E890" t="s">
        <v>2836</v>
      </c>
      <c r="F890" s="57">
        <v>0</v>
      </c>
      <c r="G890" s="57">
        <v>55000</v>
      </c>
      <c r="H890" s="1283">
        <f t="shared" si="49"/>
        <v>-55000</v>
      </c>
      <c r="I890" s="1333" t="s">
        <v>53</v>
      </c>
      <c r="J890" s="1334" t="str">
        <f>VLOOKUP(C890,Acc_Char!B:K,3,)</f>
        <v>YEN PHONG PROJECT CO</v>
      </c>
      <c r="K890" s="1334" t="str">
        <f>VLOOKUP(C890,Acc_Char!B:K,7,)</f>
        <v>Subsidiaries</v>
      </c>
      <c r="L890" s="1334" t="str">
        <f t="shared" si="46"/>
        <v>Operating expense</v>
      </c>
      <c r="M890" s="1335" t="str">
        <f>VLOOKUP(C890,Acc_Char!B:K,5,)</f>
        <v>VND</v>
      </c>
      <c r="N890" s="1335" t="str">
        <f>VLOOKUP(C890,Acc_Char!B:K,6,)</f>
        <v>Current Account</v>
      </c>
      <c r="O890" s="1336" t="str">
        <f>Summary!$B$4</f>
        <v>W1-2Jan26</v>
      </c>
      <c r="P890" s="1334" t="str">
        <f t="shared" si="47"/>
        <v>8660004066</v>
      </c>
    </row>
    <row r="891" spans="1:17">
      <c r="A891" s="34" t="s">
        <v>1567</v>
      </c>
      <c r="B891" s="34" t="s">
        <v>114</v>
      </c>
      <c r="C891" s="1354" t="s">
        <v>898</v>
      </c>
      <c r="D891" s="355" t="s">
        <v>2837</v>
      </c>
      <c r="E891" t="s">
        <v>2838</v>
      </c>
      <c r="F891" s="57">
        <v>0</v>
      </c>
      <c r="G891" s="57">
        <v>154922637</v>
      </c>
      <c r="H891" s="1082">
        <f t="shared" si="49"/>
        <v>-154922637</v>
      </c>
      <c r="I891" s="1333" t="s">
        <v>53</v>
      </c>
      <c r="J891" s="1334" t="str">
        <f>VLOOKUP(C891,Acc_Char!B:K,3,)</f>
        <v>YEN PHONG PROJECT CO</v>
      </c>
      <c r="K891" s="1334" t="str">
        <f>VLOOKUP(C891,Acc_Char!B:K,7,)</f>
        <v>Subsidiaries</v>
      </c>
      <c r="L891" s="1334" t="str">
        <f t="shared" si="46"/>
        <v>Operating expense</v>
      </c>
      <c r="M891" s="1335" t="str">
        <f>VLOOKUP(C891,Acc_Char!B:K,5,)</f>
        <v>VND</v>
      </c>
      <c r="N891" s="1335" t="str">
        <f>VLOOKUP(C891,Acc_Char!B:K,6,)</f>
        <v>Current Account</v>
      </c>
      <c r="O891" s="1336" t="str">
        <f>Summary!$B$4</f>
        <v>W1-2Jan26</v>
      </c>
      <c r="P891" s="1334" t="str">
        <f t="shared" si="47"/>
        <v>8660004066</v>
      </c>
      <c r="Q891" s="1024"/>
    </row>
    <row r="892" spans="1:17">
      <c r="A892" s="34" t="s">
        <v>1567</v>
      </c>
      <c r="B892" s="34" t="s">
        <v>198</v>
      </c>
      <c r="C892" s="34" t="s">
        <v>533</v>
      </c>
      <c r="D892" s="1402">
        <v>46031.612500000003</v>
      </c>
      <c r="E892" t="s">
        <v>2839</v>
      </c>
      <c r="F892" s="57">
        <v>33252248</v>
      </c>
      <c r="G892" s="57">
        <v>0</v>
      </c>
      <c r="H892" s="1082">
        <f t="shared" si="49"/>
        <v>33252248</v>
      </c>
      <c r="I892" s="1333" t="s">
        <v>39</v>
      </c>
      <c r="J892" s="1334" t="str">
        <f>VLOOKUP(C892,Acc_Char!B:K,3,)</f>
        <v>BW SAI GON</v>
      </c>
      <c r="K892" s="1334" t="str">
        <f>VLOOKUP(C892,Acc_Char!B:K,7,)</f>
        <v>Subsidiaries</v>
      </c>
      <c r="L892" s="1334" t="str">
        <f t="shared" si="46"/>
        <v>Receipt from tenants</v>
      </c>
      <c r="M892" s="1335" t="str">
        <f>VLOOKUP(C892,Acc_Char!B:K,5,)</f>
        <v>VND</v>
      </c>
      <c r="N892" s="1335" t="str">
        <f>VLOOKUP(C892,Acc_Char!B:K,6,)</f>
        <v>Current Account</v>
      </c>
      <c r="O892" s="1336" t="str">
        <f>Summary!$B$4</f>
        <v>W1-2Jan26</v>
      </c>
      <c r="P892" s="1334" t="str">
        <f t="shared" si="47"/>
        <v>7000800107177</v>
      </c>
    </row>
    <row r="893" spans="1:17">
      <c r="A893" s="34" t="s">
        <v>1567</v>
      </c>
      <c r="B893" s="34" t="s">
        <v>198</v>
      </c>
      <c r="C893" s="34" t="s">
        <v>533</v>
      </c>
      <c r="D893" s="1402">
        <v>46027.043055555558</v>
      </c>
      <c r="E893" s="1403" t="s">
        <v>1412</v>
      </c>
      <c r="F893" s="57">
        <v>18217808</v>
      </c>
      <c r="G893" s="57">
        <v>0</v>
      </c>
      <c r="H893" s="1082">
        <f t="shared" si="49"/>
        <v>18217808</v>
      </c>
      <c r="I893" s="1333" t="s">
        <v>39</v>
      </c>
      <c r="J893" s="1334" t="str">
        <f>VLOOKUP(C893,Acc_Char!B:K,3,)</f>
        <v>BW SAI GON</v>
      </c>
      <c r="K893" s="1334" t="str">
        <f>VLOOKUP(C893,Acc_Char!B:K,7,)</f>
        <v>Subsidiaries</v>
      </c>
      <c r="L893" s="1334" t="str">
        <f t="shared" si="46"/>
        <v>Receipt from tenants</v>
      </c>
      <c r="M893" s="1335" t="str">
        <f>VLOOKUP(C893,Acc_Char!B:K,5,)</f>
        <v>VND</v>
      </c>
      <c r="N893" s="1335" t="str">
        <f>VLOOKUP(C893,Acc_Char!B:K,6,)</f>
        <v>Current Account</v>
      </c>
      <c r="O893" s="1336" t="str">
        <f>Summary!$B$4</f>
        <v>W1-2Jan26</v>
      </c>
      <c r="P893" s="1334" t="str">
        <f t="shared" si="47"/>
        <v>7000800107177</v>
      </c>
    </row>
    <row r="894" spans="1:17">
      <c r="A894" s="34" t="s">
        <v>1567</v>
      </c>
      <c r="B894" s="34" t="s">
        <v>199</v>
      </c>
      <c r="C894" s="34" t="s">
        <v>1035</v>
      </c>
      <c r="D894" s="1346">
        <v>46027</v>
      </c>
      <c r="E894" t="s">
        <v>2840</v>
      </c>
      <c r="F894" s="57">
        <v>224868817</v>
      </c>
      <c r="G894" s="57">
        <v>0</v>
      </c>
      <c r="H894" s="1283">
        <f t="shared" ref="H894:H900" si="50">F894-G894</f>
        <v>224868817</v>
      </c>
      <c r="I894" s="1333" t="s">
        <v>39</v>
      </c>
      <c r="J894" s="1334" t="str">
        <f>VLOOKUP(C894,Acc_Char!B:K,3,)</f>
        <v>BW SUPLLY CHAIN CITY</v>
      </c>
      <c r="K894" s="1334" t="str">
        <f>VLOOKUP(C894,Acc_Char!B:K,7,)</f>
        <v>Subsidiaries</v>
      </c>
      <c r="L894" s="1334" t="str">
        <f t="shared" si="46"/>
        <v>Receipt from tenants</v>
      </c>
      <c r="M894" s="1335" t="str">
        <f>VLOOKUP(C894,Acc_Char!B:K,5,)</f>
        <v>VND</v>
      </c>
      <c r="N894" s="1335" t="str">
        <f>VLOOKUP(C894,Acc_Char!B:K,6,)</f>
        <v>Current Account</v>
      </c>
      <c r="O894" s="1336" t="str">
        <f>Summary!$B$4</f>
        <v>W1-2Jan26</v>
      </c>
      <c r="P894" s="1334" t="str">
        <f t="shared" si="47"/>
        <v>19040114651012</v>
      </c>
      <c r="Q894" s="1024"/>
    </row>
    <row r="895" spans="1:17">
      <c r="A895" s="34" t="s">
        <v>1567</v>
      </c>
      <c r="B895" s="34" t="s">
        <v>199</v>
      </c>
      <c r="C895" s="34" t="s">
        <v>1035</v>
      </c>
      <c r="D895" s="1346">
        <v>46027</v>
      </c>
      <c r="E895" t="s">
        <v>2841</v>
      </c>
      <c r="F895" s="57">
        <v>282518344</v>
      </c>
      <c r="G895" s="57">
        <v>0</v>
      </c>
      <c r="H895" s="1283">
        <f t="shared" si="50"/>
        <v>282518344</v>
      </c>
      <c r="I895" s="1333" t="s">
        <v>39</v>
      </c>
      <c r="J895" s="1334" t="str">
        <f>VLOOKUP(C895,Acc_Char!B:K,3,)</f>
        <v>BW SUPLLY CHAIN CITY</v>
      </c>
      <c r="K895" s="1334" t="str">
        <f>VLOOKUP(C895,Acc_Char!B:K,7,)</f>
        <v>Subsidiaries</v>
      </c>
      <c r="L895" s="1334" t="str">
        <f t="shared" si="46"/>
        <v>Receipt from tenants</v>
      </c>
      <c r="M895" s="1335" t="str">
        <f>VLOOKUP(C895,Acc_Char!B:K,5,)</f>
        <v>VND</v>
      </c>
      <c r="N895" s="1335" t="str">
        <f>VLOOKUP(C895,Acc_Char!B:K,6,)</f>
        <v>Current Account</v>
      </c>
      <c r="O895" s="1336" t="str">
        <f>Summary!$B$4</f>
        <v>W1-2Jan26</v>
      </c>
      <c r="P895" s="1334" t="str">
        <f t="shared" si="47"/>
        <v>19040114651012</v>
      </c>
      <c r="Q895" s="1024"/>
    </row>
    <row r="896" spans="1:17">
      <c r="A896" s="34" t="s">
        <v>1567</v>
      </c>
      <c r="B896" s="34" t="s">
        <v>199</v>
      </c>
      <c r="C896" s="34" t="s">
        <v>1035</v>
      </c>
      <c r="D896" s="1346">
        <v>46027</v>
      </c>
      <c r="E896" t="s">
        <v>2841</v>
      </c>
      <c r="F896" s="57">
        <v>282518345</v>
      </c>
      <c r="G896" s="57">
        <v>0</v>
      </c>
      <c r="H896" s="1283">
        <f t="shared" si="50"/>
        <v>282518345</v>
      </c>
      <c r="I896" s="1333" t="s">
        <v>39</v>
      </c>
      <c r="J896" s="1334" t="str">
        <f>VLOOKUP(C896,Acc_Char!B:K,3,)</f>
        <v>BW SUPLLY CHAIN CITY</v>
      </c>
      <c r="K896" s="1334" t="str">
        <f>VLOOKUP(C896,Acc_Char!B:K,7,)</f>
        <v>Subsidiaries</v>
      </c>
      <c r="L896" s="1334" t="str">
        <f t="shared" si="46"/>
        <v>Receipt from tenants</v>
      </c>
      <c r="M896" s="1335" t="str">
        <f>VLOOKUP(C896,Acc_Char!B:K,5,)</f>
        <v>VND</v>
      </c>
      <c r="N896" s="1335" t="str">
        <f>VLOOKUP(C896,Acc_Char!B:K,6,)</f>
        <v>Current Account</v>
      </c>
      <c r="O896" s="1336" t="str">
        <f>Summary!$B$4</f>
        <v>W1-2Jan26</v>
      </c>
      <c r="P896" s="1334" t="str">
        <f t="shared" si="47"/>
        <v>19040114651012</v>
      </c>
      <c r="Q896" s="1024"/>
    </row>
    <row r="897" spans="1:17">
      <c r="A897" s="34" t="s">
        <v>1567</v>
      </c>
      <c r="B897" s="34" t="s">
        <v>199</v>
      </c>
      <c r="C897" s="34" t="s">
        <v>1035</v>
      </c>
      <c r="D897" s="1346">
        <v>46027</v>
      </c>
      <c r="E897" t="s">
        <v>2842</v>
      </c>
      <c r="F897" s="57">
        <v>210174188</v>
      </c>
      <c r="G897" s="57">
        <v>0</v>
      </c>
      <c r="H897" s="1283">
        <f t="shared" si="50"/>
        <v>210174188</v>
      </c>
      <c r="I897" s="1333" t="s">
        <v>39</v>
      </c>
      <c r="J897" s="1334" t="str">
        <f>VLOOKUP(C897,Acc_Char!B:K,3,)</f>
        <v>BW SUPLLY CHAIN CITY</v>
      </c>
      <c r="K897" s="1334" t="str">
        <f>VLOOKUP(C897,Acc_Char!B:K,7,)</f>
        <v>Subsidiaries</v>
      </c>
      <c r="L897" s="1334" t="str">
        <f t="shared" si="46"/>
        <v>Receipt from tenants</v>
      </c>
      <c r="M897" s="1335" t="str">
        <f>VLOOKUP(C897,Acc_Char!B:K,5,)</f>
        <v>VND</v>
      </c>
      <c r="N897" s="1335" t="str">
        <f>VLOOKUP(C897,Acc_Char!B:K,6,)</f>
        <v>Current Account</v>
      </c>
      <c r="O897" s="1336" t="str">
        <f>Summary!$B$4</f>
        <v>W1-2Jan26</v>
      </c>
      <c r="P897" s="1334" t="str">
        <f t="shared" si="47"/>
        <v>19040114651012</v>
      </c>
      <c r="Q897" s="1024"/>
    </row>
    <row r="898" spans="1:17">
      <c r="A898" s="34" t="s">
        <v>1567</v>
      </c>
      <c r="B898" s="34" t="s">
        <v>199</v>
      </c>
      <c r="C898" s="34" t="s">
        <v>1035</v>
      </c>
      <c r="D898" s="1346">
        <v>46028</v>
      </c>
      <c r="E898" t="s">
        <v>2843</v>
      </c>
      <c r="F898" s="57">
        <v>154182600</v>
      </c>
      <c r="G898" s="57">
        <v>0</v>
      </c>
      <c r="H898" s="1283">
        <f t="shared" si="50"/>
        <v>154182600</v>
      </c>
      <c r="I898" s="1333" t="s">
        <v>39</v>
      </c>
      <c r="J898" s="1334" t="str">
        <f>VLOOKUP(C898,Acc_Char!B:K,3,)</f>
        <v>BW SUPLLY CHAIN CITY</v>
      </c>
      <c r="K898" s="1334" t="str">
        <f>VLOOKUP(C898,Acc_Char!B:K,7,)</f>
        <v>Subsidiaries</v>
      </c>
      <c r="L898" s="1334" t="str">
        <f t="shared" si="46"/>
        <v>Receipt from tenants</v>
      </c>
      <c r="M898" s="1335" t="str">
        <f>VLOOKUP(C898,Acc_Char!B:K,5,)</f>
        <v>VND</v>
      </c>
      <c r="N898" s="1335" t="str">
        <f>VLOOKUP(C898,Acc_Char!B:K,6,)</f>
        <v>Current Account</v>
      </c>
      <c r="O898" s="1336" t="str">
        <f>Summary!$B$4</f>
        <v>W1-2Jan26</v>
      </c>
      <c r="P898" s="1334" t="str">
        <f t="shared" si="47"/>
        <v>19040114651012</v>
      </c>
      <c r="Q898" s="1024"/>
    </row>
    <row r="899" spans="1:17">
      <c r="A899" s="34" t="s">
        <v>1567</v>
      </c>
      <c r="B899" s="34" t="s">
        <v>199</v>
      </c>
      <c r="C899" s="34" t="s">
        <v>1035</v>
      </c>
      <c r="D899" s="1346">
        <v>46029</v>
      </c>
      <c r="E899" t="s">
        <v>2844</v>
      </c>
      <c r="F899" s="57">
        <v>224608307</v>
      </c>
      <c r="G899" s="57">
        <v>0</v>
      </c>
      <c r="H899" s="1283">
        <f t="shared" si="50"/>
        <v>224608307</v>
      </c>
      <c r="I899" s="1333" t="s">
        <v>39</v>
      </c>
      <c r="J899" s="1334" t="str">
        <f>VLOOKUP(C899,Acc_Char!B:K,3,)</f>
        <v>BW SUPLLY CHAIN CITY</v>
      </c>
      <c r="K899" s="1334" t="str">
        <f>VLOOKUP(C899,Acc_Char!B:K,7,)</f>
        <v>Subsidiaries</v>
      </c>
      <c r="L899" s="1334" t="str">
        <f t="shared" si="46"/>
        <v>Receipt from tenants</v>
      </c>
      <c r="M899" s="1335" t="str">
        <f>VLOOKUP(C899,Acc_Char!B:K,5,)</f>
        <v>VND</v>
      </c>
      <c r="N899" s="1335" t="str">
        <f>VLOOKUP(C899,Acc_Char!B:K,6,)</f>
        <v>Current Account</v>
      </c>
      <c r="O899" s="1336" t="str">
        <f>Summary!$B$4</f>
        <v>W1-2Jan26</v>
      </c>
      <c r="P899" s="1334" t="str">
        <f t="shared" si="47"/>
        <v>19040114651012</v>
      </c>
      <c r="Q899" s="1024"/>
    </row>
    <row r="900" spans="1:17">
      <c r="A900" s="34" t="s">
        <v>1567</v>
      </c>
      <c r="B900" s="34" t="s">
        <v>199</v>
      </c>
      <c r="C900" s="34" t="s">
        <v>1035</v>
      </c>
      <c r="D900" s="1346">
        <v>46029</v>
      </c>
      <c r="E900" t="s">
        <v>2845</v>
      </c>
      <c r="F900" s="57">
        <v>466027848</v>
      </c>
      <c r="G900" s="57">
        <v>0</v>
      </c>
      <c r="H900" s="1283">
        <f t="shared" si="50"/>
        <v>466027848</v>
      </c>
      <c r="I900" s="1333" t="s">
        <v>39</v>
      </c>
      <c r="J900" s="1334" t="str">
        <f>VLOOKUP(C900,Acc_Char!B:K,3,)</f>
        <v>BW SUPLLY CHAIN CITY</v>
      </c>
      <c r="K900" s="1334" t="str">
        <f>VLOOKUP(C900,Acc_Char!B:K,7,)</f>
        <v>Subsidiaries</v>
      </c>
      <c r="L900" s="1334" t="str">
        <f t="shared" si="46"/>
        <v>Receipt from tenants</v>
      </c>
      <c r="M900" s="1335" t="str">
        <f>VLOOKUP(C900,Acc_Char!B:K,5,)</f>
        <v>VND</v>
      </c>
      <c r="N900" s="1335" t="str">
        <f>VLOOKUP(C900,Acc_Char!B:K,6,)</f>
        <v>Current Account</v>
      </c>
      <c r="O900" s="1336" t="str">
        <f>Summary!$B$4</f>
        <v>W1-2Jan26</v>
      </c>
      <c r="P900" s="1334" t="str">
        <f t="shared" si="47"/>
        <v>19040114651012</v>
      </c>
      <c r="Q900" s="1024"/>
    </row>
    <row r="901" spans="1:17">
      <c r="A901" s="34" t="s">
        <v>1567</v>
      </c>
      <c r="B901" s="34" t="s">
        <v>199</v>
      </c>
      <c r="C901" s="34" t="s">
        <v>1035</v>
      </c>
      <c r="D901" s="1346">
        <v>46029</v>
      </c>
      <c r="E901" t="s">
        <v>2846</v>
      </c>
      <c r="F901" s="57">
        <v>519283950</v>
      </c>
      <c r="G901" s="57">
        <v>0</v>
      </c>
      <c r="H901" s="1082">
        <f t="shared" si="49"/>
        <v>519283950</v>
      </c>
      <c r="I901" s="1333" t="s">
        <v>39</v>
      </c>
      <c r="J901" s="1334" t="str">
        <f>VLOOKUP(C901,Acc_Char!B:K,3,)</f>
        <v>BW SUPLLY CHAIN CITY</v>
      </c>
      <c r="K901" s="1334" t="str">
        <f>VLOOKUP(C901,Acc_Char!B:K,7,)</f>
        <v>Subsidiaries</v>
      </c>
      <c r="L901" s="1334" t="str">
        <f t="shared" ref="L901:L964" si="51">I901</f>
        <v>Receipt from tenants</v>
      </c>
      <c r="M901" s="1335" t="str">
        <f>VLOOKUP(C901,Acc_Char!B:K,5,)</f>
        <v>VND</v>
      </c>
      <c r="N901" s="1335" t="str">
        <f>VLOOKUP(C901,Acc_Char!B:K,6,)</f>
        <v>Current Account</v>
      </c>
      <c r="O901" s="1336" t="str">
        <f>Summary!$B$4</f>
        <v>W1-2Jan26</v>
      </c>
      <c r="P901" s="1334" t="str">
        <f t="shared" ref="P901:P964" si="52">TEXT(C901,"0")</f>
        <v>19040114651012</v>
      </c>
    </row>
    <row r="902" spans="1:17">
      <c r="A902" s="34" t="s">
        <v>1567</v>
      </c>
      <c r="B902" s="34" t="s">
        <v>199</v>
      </c>
      <c r="C902" s="34" t="s">
        <v>1035</v>
      </c>
      <c r="D902" s="1346">
        <v>46030</v>
      </c>
      <c r="E902" t="s">
        <v>2847</v>
      </c>
      <c r="F902" s="57">
        <v>300000000</v>
      </c>
      <c r="G902" s="57">
        <v>0</v>
      </c>
      <c r="H902" s="1082">
        <f t="shared" si="49"/>
        <v>300000000</v>
      </c>
      <c r="I902" s="1333" t="s">
        <v>39</v>
      </c>
      <c r="J902" s="1334" t="str">
        <f>VLOOKUP(C902,Acc_Char!B:K,3,)</f>
        <v>BW SUPLLY CHAIN CITY</v>
      </c>
      <c r="K902" s="1334" t="str">
        <f>VLOOKUP(C902,Acc_Char!B:K,7,)</f>
        <v>Subsidiaries</v>
      </c>
      <c r="L902" s="1334" t="str">
        <f t="shared" si="51"/>
        <v>Receipt from tenants</v>
      </c>
      <c r="M902" s="1335" t="str">
        <f>VLOOKUP(C902,Acc_Char!B:K,5,)</f>
        <v>VND</v>
      </c>
      <c r="N902" s="1335" t="str">
        <f>VLOOKUP(C902,Acc_Char!B:K,6,)</f>
        <v>Current Account</v>
      </c>
      <c r="O902" s="1336" t="str">
        <f>Summary!$B$4</f>
        <v>W1-2Jan26</v>
      </c>
      <c r="P902" s="1334" t="str">
        <f t="shared" si="52"/>
        <v>19040114651012</v>
      </c>
    </row>
    <row r="903" spans="1:17">
      <c r="A903" s="34" t="s">
        <v>1567</v>
      </c>
      <c r="B903" s="34" t="s">
        <v>199</v>
      </c>
      <c r="C903" s="34" t="s">
        <v>1035</v>
      </c>
      <c r="D903" s="1346">
        <v>46030</v>
      </c>
      <c r="E903" t="s">
        <v>2848</v>
      </c>
      <c r="F903" s="57">
        <v>369580137</v>
      </c>
      <c r="G903" s="57">
        <v>0</v>
      </c>
      <c r="H903" s="1082">
        <f t="shared" si="49"/>
        <v>369580137</v>
      </c>
      <c r="I903" s="1333" t="s">
        <v>39</v>
      </c>
      <c r="J903" s="1334" t="str">
        <f>VLOOKUP(C903,Acc_Char!B:K,3,)</f>
        <v>BW SUPLLY CHAIN CITY</v>
      </c>
      <c r="K903" s="1334" t="str">
        <f>VLOOKUP(C903,Acc_Char!B:K,7,)</f>
        <v>Subsidiaries</v>
      </c>
      <c r="L903" s="1334" t="str">
        <f t="shared" si="51"/>
        <v>Receipt from tenants</v>
      </c>
      <c r="M903" s="1335" t="str">
        <f>VLOOKUP(C903,Acc_Char!B:K,5,)</f>
        <v>VND</v>
      </c>
      <c r="N903" s="1335" t="str">
        <f>VLOOKUP(C903,Acc_Char!B:K,6,)</f>
        <v>Current Account</v>
      </c>
      <c r="O903" s="1336" t="str">
        <f>Summary!$B$4</f>
        <v>W1-2Jan26</v>
      </c>
      <c r="P903" s="1334" t="str">
        <f t="shared" si="52"/>
        <v>19040114651012</v>
      </c>
    </row>
    <row r="904" spans="1:17">
      <c r="A904" s="34" t="s">
        <v>1567</v>
      </c>
      <c r="B904" s="34" t="s">
        <v>199</v>
      </c>
      <c r="C904" s="34" t="s">
        <v>1035</v>
      </c>
      <c r="D904" s="1346">
        <v>46030</v>
      </c>
      <c r="E904" t="s">
        <v>2849</v>
      </c>
      <c r="F904" s="57">
        <v>152547805</v>
      </c>
      <c r="G904" s="57">
        <v>0</v>
      </c>
      <c r="H904" s="1082">
        <f t="shared" si="49"/>
        <v>152547805</v>
      </c>
      <c r="I904" s="1333" t="s">
        <v>39</v>
      </c>
      <c r="J904" s="1334" t="str">
        <f>VLOOKUP(C904,Acc_Char!B:K,3,)</f>
        <v>BW SUPLLY CHAIN CITY</v>
      </c>
      <c r="K904" s="1334" t="str">
        <f>VLOOKUP(C904,Acc_Char!B:K,7,)</f>
        <v>Subsidiaries</v>
      </c>
      <c r="L904" s="1334" t="str">
        <f t="shared" si="51"/>
        <v>Receipt from tenants</v>
      </c>
      <c r="M904" s="1335" t="str">
        <f>VLOOKUP(C904,Acc_Char!B:K,5,)</f>
        <v>VND</v>
      </c>
      <c r="N904" s="1335" t="str">
        <f>VLOOKUP(C904,Acc_Char!B:K,6,)</f>
        <v>Current Account</v>
      </c>
      <c r="O904" s="1336" t="str">
        <f>Summary!$B$4</f>
        <v>W1-2Jan26</v>
      </c>
      <c r="P904" s="1334" t="str">
        <f t="shared" si="52"/>
        <v>19040114651012</v>
      </c>
    </row>
    <row r="905" spans="1:17">
      <c r="A905" s="34" t="s">
        <v>1567</v>
      </c>
      <c r="B905" s="34" t="s">
        <v>199</v>
      </c>
      <c r="C905" s="34" t="s">
        <v>1035</v>
      </c>
      <c r="D905" s="1346">
        <v>46030</v>
      </c>
      <c r="E905" t="s">
        <v>2850</v>
      </c>
      <c r="F905" s="57">
        <v>156270400</v>
      </c>
      <c r="G905" s="57">
        <v>0</v>
      </c>
      <c r="H905" s="1082">
        <f t="shared" si="49"/>
        <v>156270400</v>
      </c>
      <c r="I905" s="1333" t="s">
        <v>39</v>
      </c>
      <c r="J905" s="1334" t="str">
        <f>VLOOKUP(C905,Acc_Char!B:K,3,)</f>
        <v>BW SUPLLY CHAIN CITY</v>
      </c>
      <c r="K905" s="1334" t="str">
        <f>VLOOKUP(C905,Acc_Char!B:K,7,)</f>
        <v>Subsidiaries</v>
      </c>
      <c r="L905" s="1334" t="str">
        <f t="shared" si="51"/>
        <v>Receipt from tenants</v>
      </c>
      <c r="M905" s="1335" t="str">
        <f>VLOOKUP(C905,Acc_Char!B:K,5,)</f>
        <v>VND</v>
      </c>
      <c r="N905" s="1335" t="str">
        <f>VLOOKUP(C905,Acc_Char!B:K,6,)</f>
        <v>Current Account</v>
      </c>
      <c r="O905" s="1336" t="str">
        <f>Summary!$B$4</f>
        <v>W1-2Jan26</v>
      </c>
      <c r="P905" s="1334" t="str">
        <f t="shared" si="52"/>
        <v>19040114651012</v>
      </c>
    </row>
    <row r="906" spans="1:17">
      <c r="A906" s="34" t="s">
        <v>1567</v>
      </c>
      <c r="B906" s="34" t="s">
        <v>199</v>
      </c>
      <c r="C906" s="34" t="s">
        <v>1035</v>
      </c>
      <c r="D906" s="1346">
        <v>46031</v>
      </c>
      <c r="E906" t="s">
        <v>2851</v>
      </c>
      <c r="F906" s="57">
        <v>700684539</v>
      </c>
      <c r="G906" s="57">
        <v>0</v>
      </c>
      <c r="H906" s="1082">
        <f t="shared" si="49"/>
        <v>700684539</v>
      </c>
      <c r="I906" s="1333" t="s">
        <v>39</v>
      </c>
      <c r="J906" s="1334" t="str">
        <f>VLOOKUP(C906,Acc_Char!B:K,3,)</f>
        <v>BW SUPLLY CHAIN CITY</v>
      </c>
      <c r="K906" s="1334" t="str">
        <f>VLOOKUP(C906,Acc_Char!B:K,7,)</f>
        <v>Subsidiaries</v>
      </c>
      <c r="L906" s="1334" t="str">
        <f t="shared" si="51"/>
        <v>Receipt from tenants</v>
      </c>
      <c r="M906" s="1335" t="str">
        <f>VLOOKUP(C906,Acc_Char!B:K,5,)</f>
        <v>VND</v>
      </c>
      <c r="N906" s="1335" t="str">
        <f>VLOOKUP(C906,Acc_Char!B:K,6,)</f>
        <v>Current Account</v>
      </c>
      <c r="O906" s="1336" t="str">
        <f>Summary!$B$4</f>
        <v>W1-2Jan26</v>
      </c>
      <c r="P906" s="1334" t="str">
        <f t="shared" si="52"/>
        <v>19040114651012</v>
      </c>
    </row>
    <row r="907" spans="1:17">
      <c r="A907" s="34" t="s">
        <v>1567</v>
      </c>
      <c r="B907" s="34" t="s">
        <v>199</v>
      </c>
      <c r="C907" s="34" t="s">
        <v>1035</v>
      </c>
      <c r="D907" s="1346">
        <v>46031</v>
      </c>
      <c r="E907" t="s">
        <v>2852</v>
      </c>
      <c r="F907" s="57">
        <v>835538508</v>
      </c>
      <c r="G907" s="57">
        <v>0</v>
      </c>
      <c r="H907" s="1082">
        <f t="shared" si="49"/>
        <v>835538508</v>
      </c>
      <c r="I907" s="1333" t="s">
        <v>39</v>
      </c>
      <c r="J907" s="1334" t="str">
        <f>VLOOKUP(C907,Acc_Char!B:K,3,)</f>
        <v>BW SUPLLY CHAIN CITY</v>
      </c>
      <c r="K907" s="1334" t="str">
        <f>VLOOKUP(C907,Acc_Char!B:K,7,)</f>
        <v>Subsidiaries</v>
      </c>
      <c r="L907" s="1334" t="str">
        <f t="shared" si="51"/>
        <v>Receipt from tenants</v>
      </c>
      <c r="M907" s="1335" t="str">
        <f>VLOOKUP(C907,Acc_Char!B:K,5,)</f>
        <v>VND</v>
      </c>
      <c r="N907" s="1335" t="str">
        <f>VLOOKUP(C907,Acc_Char!B:K,6,)</f>
        <v>Current Account</v>
      </c>
      <c r="O907" s="1336" t="str">
        <f>Summary!$B$4</f>
        <v>W1-2Jan26</v>
      </c>
      <c r="P907" s="1334" t="str">
        <f t="shared" si="52"/>
        <v>19040114651012</v>
      </c>
    </row>
    <row r="908" spans="1:17">
      <c r="A908" s="34" t="s">
        <v>1567</v>
      </c>
      <c r="B908" s="34" t="s">
        <v>199</v>
      </c>
      <c r="C908" s="34" t="s">
        <v>1035</v>
      </c>
      <c r="D908" s="1346">
        <v>46031</v>
      </c>
      <c r="E908" t="s">
        <v>2853</v>
      </c>
      <c r="F908" s="57">
        <v>466027848</v>
      </c>
      <c r="G908" s="57">
        <v>0</v>
      </c>
      <c r="H908" s="1082">
        <f t="shared" si="49"/>
        <v>466027848</v>
      </c>
      <c r="I908" s="1333" t="s">
        <v>39</v>
      </c>
      <c r="J908" s="1334" t="str">
        <f>VLOOKUP(C908,Acc_Char!B:K,3,)</f>
        <v>BW SUPLLY CHAIN CITY</v>
      </c>
      <c r="K908" s="1334" t="str">
        <f>VLOOKUP(C908,Acc_Char!B:K,7,)</f>
        <v>Subsidiaries</v>
      </c>
      <c r="L908" s="1334" t="str">
        <f t="shared" si="51"/>
        <v>Receipt from tenants</v>
      </c>
      <c r="M908" s="1335" t="str">
        <f>VLOOKUP(C908,Acc_Char!B:K,5,)</f>
        <v>VND</v>
      </c>
      <c r="N908" s="1335" t="str">
        <f>VLOOKUP(C908,Acc_Char!B:K,6,)</f>
        <v>Current Account</v>
      </c>
      <c r="O908" s="1336" t="str">
        <f>Summary!$B$4</f>
        <v>W1-2Jan26</v>
      </c>
      <c r="P908" s="1334" t="str">
        <f t="shared" si="52"/>
        <v>19040114651012</v>
      </c>
    </row>
    <row r="909" spans="1:17">
      <c r="A909" s="34" t="s">
        <v>1567</v>
      </c>
      <c r="B909" s="34" t="s">
        <v>199</v>
      </c>
      <c r="C909" s="34" t="s">
        <v>1035</v>
      </c>
      <c r="D909" s="1346">
        <v>46031</v>
      </c>
      <c r="E909" t="s">
        <v>2854</v>
      </c>
      <c r="F909" s="57">
        <v>150570258</v>
      </c>
      <c r="G909" s="57">
        <v>0</v>
      </c>
      <c r="H909" s="1082">
        <f t="shared" si="49"/>
        <v>150570258</v>
      </c>
      <c r="I909" s="1333" t="s">
        <v>39</v>
      </c>
      <c r="J909" s="1334" t="str">
        <f>VLOOKUP(C909,Acc_Char!B:K,3,)</f>
        <v>BW SUPLLY CHAIN CITY</v>
      </c>
      <c r="K909" s="1334" t="str">
        <f>VLOOKUP(C909,Acc_Char!B:K,7,)</f>
        <v>Subsidiaries</v>
      </c>
      <c r="L909" s="1334" t="str">
        <f t="shared" si="51"/>
        <v>Receipt from tenants</v>
      </c>
      <c r="M909" s="1335" t="str">
        <f>VLOOKUP(C909,Acc_Char!B:K,5,)</f>
        <v>VND</v>
      </c>
      <c r="N909" s="1335" t="str">
        <f>VLOOKUP(C909,Acc_Char!B:K,6,)</f>
        <v>Current Account</v>
      </c>
      <c r="O909" s="1336" t="str">
        <f>Summary!$B$4</f>
        <v>W1-2Jan26</v>
      </c>
      <c r="P909" s="1334" t="str">
        <f t="shared" si="52"/>
        <v>19040114651012</v>
      </c>
    </row>
    <row r="910" spans="1:17">
      <c r="A910" s="34" t="s">
        <v>1567</v>
      </c>
      <c r="B910" s="34" t="s">
        <v>199</v>
      </c>
      <c r="C910" s="34" t="s">
        <v>1035</v>
      </c>
      <c r="D910" s="1346">
        <v>46031</v>
      </c>
      <c r="E910" t="s">
        <v>2855</v>
      </c>
      <c r="F910" s="57">
        <v>898400118</v>
      </c>
      <c r="G910" s="57">
        <v>0</v>
      </c>
      <c r="H910" s="1082">
        <f t="shared" si="49"/>
        <v>898400118</v>
      </c>
      <c r="I910" s="1333" t="s">
        <v>39</v>
      </c>
      <c r="J910" s="1334" t="str">
        <f>VLOOKUP(C910,Acc_Char!B:K,3,)</f>
        <v>BW SUPLLY CHAIN CITY</v>
      </c>
      <c r="K910" s="1334" t="str">
        <f>VLOOKUP(C910,Acc_Char!B:K,7,)</f>
        <v>Subsidiaries</v>
      </c>
      <c r="L910" s="1334" t="str">
        <f t="shared" si="51"/>
        <v>Receipt from tenants</v>
      </c>
      <c r="M910" s="1335" t="str">
        <f>VLOOKUP(C910,Acc_Char!B:K,5,)</f>
        <v>VND</v>
      </c>
      <c r="N910" s="1335" t="str">
        <f>VLOOKUP(C910,Acc_Char!B:K,6,)</f>
        <v>Current Account</v>
      </c>
      <c r="O910" s="1336" t="str">
        <f>Summary!$B$4</f>
        <v>W1-2Jan26</v>
      </c>
      <c r="P910" s="1334" t="str">
        <f t="shared" si="52"/>
        <v>19040114651012</v>
      </c>
    </row>
    <row r="911" spans="1:17">
      <c r="A911" s="34" t="s">
        <v>1567</v>
      </c>
      <c r="B911" s="34" t="s">
        <v>199</v>
      </c>
      <c r="C911" s="34" t="s">
        <v>1035</v>
      </c>
      <c r="D911" s="1346">
        <v>46032</v>
      </c>
      <c r="E911" t="s">
        <v>2856</v>
      </c>
      <c r="F911" s="57">
        <v>150584720</v>
      </c>
      <c r="G911" s="57">
        <v>0</v>
      </c>
      <c r="H911" s="1082">
        <f t="shared" si="49"/>
        <v>150584720</v>
      </c>
      <c r="I911" s="1333" t="s">
        <v>39</v>
      </c>
      <c r="J911" s="1334" t="str">
        <f>VLOOKUP(C911,Acc_Char!B:K,3,)</f>
        <v>BW SUPLLY CHAIN CITY</v>
      </c>
      <c r="K911" s="1334" t="str">
        <f>VLOOKUP(C911,Acc_Char!B:K,7,)</f>
        <v>Subsidiaries</v>
      </c>
      <c r="L911" s="1334" t="str">
        <f t="shared" si="51"/>
        <v>Receipt from tenants</v>
      </c>
      <c r="M911" s="1335" t="str">
        <f>VLOOKUP(C911,Acc_Char!B:K,5,)</f>
        <v>VND</v>
      </c>
      <c r="N911" s="1335" t="str">
        <f>VLOOKUP(C911,Acc_Char!B:K,6,)</f>
        <v>Current Account</v>
      </c>
      <c r="O911" s="1336" t="str">
        <f>Summary!$B$4</f>
        <v>W1-2Jan26</v>
      </c>
      <c r="P911" s="1334" t="str">
        <f t="shared" si="52"/>
        <v>19040114651012</v>
      </c>
    </row>
    <row r="912" spans="1:17">
      <c r="A912" s="34" t="s">
        <v>1567</v>
      </c>
      <c r="B912" s="34" t="s">
        <v>199</v>
      </c>
      <c r="C912" s="34" t="s">
        <v>1035</v>
      </c>
      <c r="D912" s="1346">
        <v>46032</v>
      </c>
      <c r="E912" t="s">
        <v>2857</v>
      </c>
      <c r="F912" s="57">
        <v>160642020</v>
      </c>
      <c r="G912" s="57">
        <v>0</v>
      </c>
      <c r="H912" s="1082">
        <f t="shared" si="49"/>
        <v>160642020</v>
      </c>
      <c r="I912" s="1333" t="s">
        <v>39</v>
      </c>
      <c r="J912" s="1334" t="str">
        <f>VLOOKUP(C912,Acc_Char!B:K,3,)</f>
        <v>BW SUPLLY CHAIN CITY</v>
      </c>
      <c r="K912" s="1334" t="str">
        <f>VLOOKUP(C912,Acc_Char!B:K,7,)</f>
        <v>Subsidiaries</v>
      </c>
      <c r="L912" s="1334" t="str">
        <f t="shared" si="51"/>
        <v>Receipt from tenants</v>
      </c>
      <c r="M912" s="1335" t="str">
        <f>VLOOKUP(C912,Acc_Char!B:K,5,)</f>
        <v>VND</v>
      </c>
      <c r="N912" s="1335" t="str">
        <f>VLOOKUP(C912,Acc_Char!B:K,6,)</f>
        <v>Current Account</v>
      </c>
      <c r="O912" s="1336" t="str">
        <f>Summary!$B$4</f>
        <v>W1-2Jan26</v>
      </c>
      <c r="P912" s="1334" t="str">
        <f t="shared" si="52"/>
        <v>19040114651012</v>
      </c>
    </row>
    <row r="913" spans="1:16">
      <c r="A913" s="34" t="s">
        <v>1567</v>
      </c>
      <c r="B913" s="34" t="s">
        <v>199</v>
      </c>
      <c r="C913" s="34" t="s">
        <v>1035</v>
      </c>
      <c r="D913" s="1346">
        <v>46034</v>
      </c>
      <c r="E913" t="s">
        <v>2858</v>
      </c>
      <c r="F913" s="57">
        <v>2023042</v>
      </c>
      <c r="G913" s="57">
        <v>0</v>
      </c>
      <c r="H913" s="1082">
        <f t="shared" si="49"/>
        <v>2023042</v>
      </c>
      <c r="I913" s="1333" t="s">
        <v>39</v>
      </c>
      <c r="J913" s="1334" t="str">
        <f>VLOOKUP(C913,Acc_Char!B:K,3,)</f>
        <v>BW SUPLLY CHAIN CITY</v>
      </c>
      <c r="K913" s="1334" t="str">
        <f>VLOOKUP(C913,Acc_Char!B:K,7,)</f>
        <v>Subsidiaries</v>
      </c>
      <c r="L913" s="1334" t="str">
        <f t="shared" si="51"/>
        <v>Receipt from tenants</v>
      </c>
      <c r="M913" s="1335" t="str">
        <f>VLOOKUP(C913,Acc_Char!B:K,5,)</f>
        <v>VND</v>
      </c>
      <c r="N913" s="1335" t="str">
        <f>VLOOKUP(C913,Acc_Char!B:K,6,)</f>
        <v>Current Account</v>
      </c>
      <c r="O913" s="1336" t="str">
        <f>Summary!$B$4</f>
        <v>W1-2Jan26</v>
      </c>
      <c r="P913" s="1334" t="str">
        <f t="shared" si="52"/>
        <v>19040114651012</v>
      </c>
    </row>
    <row r="914" spans="1:16">
      <c r="A914" s="34" t="s">
        <v>1567</v>
      </c>
      <c r="B914" s="34" t="s">
        <v>199</v>
      </c>
      <c r="C914" s="34" t="s">
        <v>1035</v>
      </c>
      <c r="D914" s="1346">
        <v>46034</v>
      </c>
      <c r="E914" t="s">
        <v>2859</v>
      </c>
      <c r="F914" s="57">
        <v>1138514852</v>
      </c>
      <c r="G914" s="57">
        <v>0</v>
      </c>
      <c r="H914" s="1082">
        <f t="shared" si="49"/>
        <v>1138514852</v>
      </c>
      <c r="I914" s="1333" t="s">
        <v>39</v>
      </c>
      <c r="J914" s="1334" t="str">
        <f>VLOOKUP(C914,Acc_Char!B:K,3,)</f>
        <v>BW SUPLLY CHAIN CITY</v>
      </c>
      <c r="K914" s="1334" t="str">
        <f>VLOOKUP(C914,Acc_Char!B:K,7,)</f>
        <v>Subsidiaries</v>
      </c>
      <c r="L914" s="1334" t="str">
        <f t="shared" si="51"/>
        <v>Receipt from tenants</v>
      </c>
      <c r="M914" s="1335" t="str">
        <f>VLOOKUP(C914,Acc_Char!B:K,5,)</f>
        <v>VND</v>
      </c>
      <c r="N914" s="1335" t="str">
        <f>VLOOKUP(C914,Acc_Char!B:K,6,)</f>
        <v>Current Account</v>
      </c>
      <c r="O914" s="1336" t="str">
        <f>Summary!$B$4</f>
        <v>W1-2Jan26</v>
      </c>
      <c r="P914" s="1334" t="str">
        <f t="shared" si="52"/>
        <v>19040114651012</v>
      </c>
    </row>
    <row r="915" spans="1:16">
      <c r="A915" s="34" t="s">
        <v>1567</v>
      </c>
      <c r="B915" s="34" t="s">
        <v>199</v>
      </c>
      <c r="C915" s="34" t="s">
        <v>1035</v>
      </c>
      <c r="D915" s="1346">
        <v>46034</v>
      </c>
      <c r="E915" t="s">
        <v>2860</v>
      </c>
      <c r="F915" s="57">
        <v>563927964</v>
      </c>
      <c r="G915" s="57">
        <v>0</v>
      </c>
      <c r="H915" s="1082">
        <f t="shared" si="49"/>
        <v>563927964</v>
      </c>
      <c r="I915" s="1333" t="s">
        <v>39</v>
      </c>
      <c r="J915" s="1334" t="str">
        <f>VLOOKUP(C915,Acc_Char!B:K,3,)</f>
        <v>BW SUPLLY CHAIN CITY</v>
      </c>
      <c r="K915" s="1334" t="str">
        <f>VLOOKUP(C915,Acc_Char!B:K,7,)</f>
        <v>Subsidiaries</v>
      </c>
      <c r="L915" s="1334" t="str">
        <f t="shared" si="51"/>
        <v>Receipt from tenants</v>
      </c>
      <c r="M915" s="1335" t="str">
        <f>VLOOKUP(C915,Acc_Char!B:K,5,)</f>
        <v>VND</v>
      </c>
      <c r="N915" s="1335" t="str">
        <f>VLOOKUP(C915,Acc_Char!B:K,6,)</f>
        <v>Current Account</v>
      </c>
      <c r="O915" s="1336" t="str">
        <f>Summary!$B$4</f>
        <v>W1-2Jan26</v>
      </c>
      <c r="P915" s="1334" t="str">
        <f t="shared" si="52"/>
        <v>19040114651012</v>
      </c>
    </row>
    <row r="916" spans="1:16">
      <c r="A916" s="34" t="s">
        <v>1567</v>
      </c>
      <c r="B916" s="34" t="s">
        <v>199</v>
      </c>
      <c r="C916" s="34" t="s">
        <v>1035</v>
      </c>
      <c r="D916" s="1346">
        <v>46035</v>
      </c>
      <c r="E916" t="s">
        <v>2861</v>
      </c>
      <c r="F916" s="57">
        <v>755923088</v>
      </c>
      <c r="G916" s="57">
        <v>0</v>
      </c>
      <c r="H916" s="1082">
        <f t="shared" si="49"/>
        <v>755923088</v>
      </c>
      <c r="I916" s="1333" t="s">
        <v>39</v>
      </c>
      <c r="J916" s="1334" t="str">
        <f>VLOOKUP(C916,Acc_Char!B:K,3,)</f>
        <v>BW SUPLLY CHAIN CITY</v>
      </c>
      <c r="K916" s="1334" t="str">
        <f>VLOOKUP(C916,Acc_Char!B:K,7,)</f>
        <v>Subsidiaries</v>
      </c>
      <c r="L916" s="1334" t="str">
        <f t="shared" si="51"/>
        <v>Receipt from tenants</v>
      </c>
      <c r="M916" s="1335" t="str">
        <f>VLOOKUP(C916,Acc_Char!B:K,5,)</f>
        <v>VND</v>
      </c>
      <c r="N916" s="1335" t="str">
        <f>VLOOKUP(C916,Acc_Char!B:K,6,)</f>
        <v>Current Account</v>
      </c>
      <c r="O916" s="1336" t="str">
        <f>Summary!$B$4</f>
        <v>W1-2Jan26</v>
      </c>
      <c r="P916" s="1334" t="str">
        <f t="shared" si="52"/>
        <v>19040114651012</v>
      </c>
    </row>
    <row r="917" spans="1:16">
      <c r="A917" s="34" t="s">
        <v>1567</v>
      </c>
      <c r="B917" s="34" t="s">
        <v>199</v>
      </c>
      <c r="C917" s="34" t="s">
        <v>1035</v>
      </c>
      <c r="D917" s="1346">
        <v>46035</v>
      </c>
      <c r="E917" t="s">
        <v>2862</v>
      </c>
      <c r="F917" s="57">
        <v>758161969</v>
      </c>
      <c r="G917" s="57">
        <v>0</v>
      </c>
      <c r="H917" s="1082">
        <f t="shared" si="49"/>
        <v>758161969</v>
      </c>
      <c r="I917" s="1333" t="s">
        <v>39</v>
      </c>
      <c r="J917" s="1334" t="str">
        <f>VLOOKUP(C917,Acc_Char!B:K,3,)</f>
        <v>BW SUPLLY CHAIN CITY</v>
      </c>
      <c r="K917" s="1334" t="str">
        <f>VLOOKUP(C917,Acc_Char!B:K,7,)</f>
        <v>Subsidiaries</v>
      </c>
      <c r="L917" s="1334" t="str">
        <f t="shared" si="51"/>
        <v>Receipt from tenants</v>
      </c>
      <c r="M917" s="1335" t="str">
        <f>VLOOKUP(C917,Acc_Char!B:K,5,)</f>
        <v>VND</v>
      </c>
      <c r="N917" s="1335" t="str">
        <f>VLOOKUP(C917,Acc_Char!B:K,6,)</f>
        <v>Current Account</v>
      </c>
      <c r="O917" s="1336" t="str">
        <f>Summary!$B$4</f>
        <v>W1-2Jan26</v>
      </c>
      <c r="P917" s="1334" t="str">
        <f t="shared" si="52"/>
        <v>19040114651012</v>
      </c>
    </row>
    <row r="918" spans="1:16">
      <c r="A918" s="34" t="s">
        <v>1567</v>
      </c>
      <c r="B918" s="34" t="s">
        <v>199</v>
      </c>
      <c r="C918" s="34" t="s">
        <v>1035</v>
      </c>
      <c r="D918" s="1346">
        <v>46035</v>
      </c>
      <c r="E918" t="s">
        <v>2863</v>
      </c>
      <c r="F918" s="57">
        <v>213178746</v>
      </c>
      <c r="G918" s="57">
        <v>0</v>
      </c>
      <c r="H918" s="1283">
        <f t="shared" si="49"/>
        <v>213178746</v>
      </c>
      <c r="I918" s="1333" t="s">
        <v>39</v>
      </c>
      <c r="J918" s="1334" t="str">
        <f>VLOOKUP(C918,Acc_Char!B:K,3,)</f>
        <v>BW SUPLLY CHAIN CITY</v>
      </c>
      <c r="K918" s="1334" t="str">
        <f>VLOOKUP(C918,Acc_Char!B:K,7,)</f>
        <v>Subsidiaries</v>
      </c>
      <c r="L918" s="1334" t="str">
        <f t="shared" si="51"/>
        <v>Receipt from tenants</v>
      </c>
      <c r="M918" s="1335" t="str">
        <f>VLOOKUP(C918,Acc_Char!B:K,5,)</f>
        <v>VND</v>
      </c>
      <c r="N918" s="1335" t="str">
        <f>VLOOKUP(C918,Acc_Char!B:K,6,)</f>
        <v>Current Account</v>
      </c>
      <c r="O918" s="1336" t="str">
        <f>Summary!$B$4</f>
        <v>W1-2Jan26</v>
      </c>
      <c r="P918" s="1334" t="str">
        <f t="shared" si="52"/>
        <v>19040114651012</v>
      </c>
    </row>
    <row r="919" spans="1:16">
      <c r="A919" s="34" t="s">
        <v>1567</v>
      </c>
      <c r="B919" s="34" t="s">
        <v>199</v>
      </c>
      <c r="C919" s="34" t="s">
        <v>1035</v>
      </c>
      <c r="D919" s="1346">
        <v>46035</v>
      </c>
      <c r="E919" t="s">
        <v>2864</v>
      </c>
      <c r="F919" s="57">
        <v>155356277</v>
      </c>
      <c r="G919" s="57">
        <v>0</v>
      </c>
      <c r="H919" s="1283">
        <f>F919-G919</f>
        <v>155356277</v>
      </c>
      <c r="I919" s="1333" t="s">
        <v>39</v>
      </c>
      <c r="J919" s="1334" t="str">
        <f>VLOOKUP(C919,Acc_Char!B:K,3,)</f>
        <v>BW SUPLLY CHAIN CITY</v>
      </c>
      <c r="K919" s="1334" t="str">
        <f>VLOOKUP(C919,Acc_Char!B:K,7,)</f>
        <v>Subsidiaries</v>
      </c>
      <c r="L919" s="1334" t="str">
        <f t="shared" si="51"/>
        <v>Receipt from tenants</v>
      </c>
      <c r="M919" s="1335" t="str">
        <f>VLOOKUP(C919,Acc_Char!B:K,5,)</f>
        <v>VND</v>
      </c>
      <c r="N919" s="1335" t="str">
        <f>VLOOKUP(C919,Acc_Char!B:K,6,)</f>
        <v>Current Account</v>
      </c>
      <c r="O919" s="1336" t="str">
        <f>Summary!$B$4</f>
        <v>W1-2Jan26</v>
      </c>
      <c r="P919" s="1334" t="str">
        <f t="shared" si="52"/>
        <v>19040114651012</v>
      </c>
    </row>
    <row r="920" spans="1:16" s="1334" customFormat="1">
      <c r="A920" s="34" t="s">
        <v>1567</v>
      </c>
      <c r="B920" s="34" t="s">
        <v>199</v>
      </c>
      <c r="C920" s="34" t="s">
        <v>1035</v>
      </c>
      <c r="D920" s="1346">
        <v>46036</v>
      </c>
      <c r="E920" s="1342" t="s">
        <v>2865</v>
      </c>
      <c r="F920" s="1344">
        <v>489763503</v>
      </c>
      <c r="G920" s="57">
        <v>0</v>
      </c>
      <c r="H920" s="1082">
        <f t="shared" si="49"/>
        <v>489763503</v>
      </c>
      <c r="I920" s="1333" t="s">
        <v>39</v>
      </c>
      <c r="J920" s="1334" t="str">
        <f>VLOOKUP(C920,Acc_Char!B:K,3,)</f>
        <v>BW SUPLLY CHAIN CITY</v>
      </c>
      <c r="K920" s="1334" t="str">
        <f>VLOOKUP(C920,Acc_Char!B:K,7,)</f>
        <v>Subsidiaries</v>
      </c>
      <c r="L920" s="1334" t="str">
        <f t="shared" si="51"/>
        <v>Receipt from tenants</v>
      </c>
      <c r="M920" s="1335" t="str">
        <f>VLOOKUP(C920,Acc_Char!B:K,5,)</f>
        <v>VND</v>
      </c>
      <c r="N920" s="1335" t="str">
        <f>VLOOKUP(C920,Acc_Char!B:K,6,)</f>
        <v>Current Account</v>
      </c>
      <c r="O920" s="1336" t="str">
        <f>Summary!$B$4</f>
        <v>W1-2Jan26</v>
      </c>
      <c r="P920" s="1334" t="str">
        <f t="shared" si="52"/>
        <v>19040114651012</v>
      </c>
    </row>
    <row r="921" spans="1:16">
      <c r="A921" s="34" t="s">
        <v>1567</v>
      </c>
      <c r="B921" s="34" t="s">
        <v>199</v>
      </c>
      <c r="C921" s="34" t="s">
        <v>1035</v>
      </c>
      <c r="D921" s="1346">
        <v>46036</v>
      </c>
      <c r="E921" t="s">
        <v>2866</v>
      </c>
      <c r="F921" s="57">
        <v>620955120</v>
      </c>
      <c r="G921" s="57">
        <v>0</v>
      </c>
      <c r="H921" s="1082">
        <f t="shared" si="49"/>
        <v>620955120</v>
      </c>
      <c r="I921" s="1333" t="s">
        <v>39</v>
      </c>
      <c r="J921" s="1334" t="str">
        <f>VLOOKUP(C921,Acc_Char!B:K,3,)</f>
        <v>BW SUPLLY CHAIN CITY</v>
      </c>
      <c r="K921" s="1334" t="str">
        <f>VLOOKUP(C921,Acc_Char!B:K,7,)</f>
        <v>Subsidiaries</v>
      </c>
      <c r="L921" s="1334" t="str">
        <f t="shared" si="51"/>
        <v>Receipt from tenants</v>
      </c>
      <c r="M921" s="1335" t="str">
        <f>VLOOKUP(C921,Acc_Char!B:K,5,)</f>
        <v>VND</v>
      </c>
      <c r="N921" s="1335" t="str">
        <f>VLOOKUP(C921,Acc_Char!B:K,6,)</f>
        <v>Current Account</v>
      </c>
      <c r="O921" s="1336" t="str">
        <f>Summary!$B$4</f>
        <v>W1-2Jan26</v>
      </c>
      <c r="P921" s="1334" t="str">
        <f t="shared" si="52"/>
        <v>19040114651012</v>
      </c>
    </row>
    <row r="922" spans="1:16">
      <c r="A922" s="34" t="s">
        <v>1567</v>
      </c>
      <c r="B922" s="34" t="s">
        <v>199</v>
      </c>
      <c r="C922" s="34" t="s">
        <v>1035</v>
      </c>
      <c r="D922" s="1346">
        <v>46037</v>
      </c>
      <c r="E922" t="s">
        <v>2867</v>
      </c>
      <c r="F922" s="57">
        <v>196626</v>
      </c>
      <c r="G922" s="57">
        <v>0</v>
      </c>
      <c r="H922" s="1082">
        <f t="shared" si="49"/>
        <v>196626</v>
      </c>
      <c r="I922" s="1333" t="s">
        <v>39</v>
      </c>
      <c r="J922" s="1334" t="str">
        <f>VLOOKUP(C922,Acc_Char!B:K,3,)</f>
        <v>BW SUPLLY CHAIN CITY</v>
      </c>
      <c r="K922" s="1334" t="str">
        <f>VLOOKUP(C922,Acc_Char!B:K,7,)</f>
        <v>Subsidiaries</v>
      </c>
      <c r="L922" s="1334" t="str">
        <f t="shared" si="51"/>
        <v>Receipt from tenants</v>
      </c>
      <c r="M922" s="1335" t="str">
        <f>VLOOKUP(C922,Acc_Char!B:K,5,)</f>
        <v>VND</v>
      </c>
      <c r="N922" s="1335" t="str">
        <f>VLOOKUP(C922,Acc_Char!B:K,6,)</f>
        <v>Current Account</v>
      </c>
      <c r="O922" s="1336" t="str">
        <f>Summary!$B$4</f>
        <v>W1-2Jan26</v>
      </c>
      <c r="P922" s="1334" t="str">
        <f t="shared" si="52"/>
        <v>19040114651012</v>
      </c>
    </row>
    <row r="923" spans="1:16">
      <c r="A923" s="34" t="s">
        <v>1567</v>
      </c>
      <c r="B923" s="34" t="s">
        <v>199</v>
      </c>
      <c r="C923" s="34" t="s">
        <v>1035</v>
      </c>
      <c r="D923" s="1346">
        <v>46037</v>
      </c>
      <c r="E923" t="s">
        <v>2868</v>
      </c>
      <c r="F923" s="57">
        <v>979266690</v>
      </c>
      <c r="G923" s="57">
        <v>0</v>
      </c>
      <c r="H923" s="1082">
        <f t="shared" si="49"/>
        <v>979266690</v>
      </c>
      <c r="I923" s="1333" t="s">
        <v>39</v>
      </c>
      <c r="J923" s="1334" t="str">
        <f>VLOOKUP(C923,Acc_Char!B:K,3,)</f>
        <v>BW SUPLLY CHAIN CITY</v>
      </c>
      <c r="K923" s="1334" t="str">
        <f>VLOOKUP(C923,Acc_Char!B:K,7,)</f>
        <v>Subsidiaries</v>
      </c>
      <c r="L923" s="1334" t="str">
        <f t="shared" si="51"/>
        <v>Receipt from tenants</v>
      </c>
      <c r="M923" s="1335" t="str">
        <f>VLOOKUP(C923,Acc_Char!B:K,5,)</f>
        <v>VND</v>
      </c>
      <c r="N923" s="1335" t="str">
        <f>VLOOKUP(C923,Acc_Char!B:K,6,)</f>
        <v>Current Account</v>
      </c>
      <c r="O923" s="1336" t="str">
        <f>Summary!$B$4</f>
        <v>W1-2Jan26</v>
      </c>
      <c r="P923" s="1334" t="str">
        <f t="shared" si="52"/>
        <v>19040114651012</v>
      </c>
    </row>
    <row r="924" spans="1:16">
      <c r="A924" s="34" t="s">
        <v>1567</v>
      </c>
      <c r="B924" s="34" t="s">
        <v>199</v>
      </c>
      <c r="C924" s="34" t="s">
        <v>1035</v>
      </c>
      <c r="D924" s="1346">
        <v>46037</v>
      </c>
      <c r="E924" t="s">
        <v>2869</v>
      </c>
      <c r="F924" s="57">
        <v>265308747</v>
      </c>
      <c r="G924" s="57">
        <v>0</v>
      </c>
      <c r="H924" s="1082">
        <f t="shared" si="49"/>
        <v>265308747</v>
      </c>
      <c r="I924" s="1333" t="s">
        <v>39</v>
      </c>
      <c r="J924" s="1334" t="str">
        <f>VLOOKUP(C924,Acc_Char!B:K,3,)</f>
        <v>BW SUPLLY CHAIN CITY</v>
      </c>
      <c r="K924" s="1334" t="str">
        <f>VLOOKUP(C924,Acc_Char!B:K,7,)</f>
        <v>Subsidiaries</v>
      </c>
      <c r="L924" s="1334" t="str">
        <f t="shared" si="51"/>
        <v>Receipt from tenants</v>
      </c>
      <c r="M924" s="1335" t="str">
        <f>VLOOKUP(C924,Acc_Char!B:K,5,)</f>
        <v>VND</v>
      </c>
      <c r="N924" s="1335" t="str">
        <f>VLOOKUP(C924,Acc_Char!B:K,6,)</f>
        <v>Current Account</v>
      </c>
      <c r="O924" s="1336" t="str">
        <f>Summary!$B$4</f>
        <v>W1-2Jan26</v>
      </c>
      <c r="P924" s="1334" t="str">
        <f t="shared" si="52"/>
        <v>19040114651012</v>
      </c>
    </row>
    <row r="925" spans="1:16">
      <c r="A925" s="34" t="s">
        <v>1567</v>
      </c>
      <c r="B925" s="34" t="s">
        <v>1586</v>
      </c>
      <c r="C925" s="34" t="s">
        <v>1366</v>
      </c>
      <c r="D925" s="1346">
        <v>46037</v>
      </c>
      <c r="E925" s="17" t="s">
        <v>2870</v>
      </c>
      <c r="F925" s="57">
        <v>6</v>
      </c>
      <c r="G925" s="57">
        <v>0</v>
      </c>
      <c r="H925" s="1082">
        <f t="shared" si="49"/>
        <v>6</v>
      </c>
      <c r="I925" s="1333" t="s">
        <v>44</v>
      </c>
      <c r="J925" s="1334" t="str">
        <f>VLOOKUP(C925,Acc_Char!B:K,3,)</f>
        <v>BW MY PHUOC 3</v>
      </c>
      <c r="K925" s="1334" t="str">
        <f>VLOOKUP(C925,Acc_Char!B:K,7,)</f>
        <v>Subsidiaries</v>
      </c>
      <c r="L925" s="1334" t="str">
        <f t="shared" si="51"/>
        <v>Other receipts</v>
      </c>
      <c r="M925" s="1335" t="str">
        <f>VLOOKUP(C925,Acc_Char!B:K,5,)</f>
        <v>VND</v>
      </c>
      <c r="N925" s="1335" t="str">
        <f>VLOOKUP(C925,Acc_Char!B:K,6,)</f>
        <v>Current Account</v>
      </c>
      <c r="O925" s="1336" t="str">
        <f>Summary!$B$4</f>
        <v>W1-2Jan26</v>
      </c>
      <c r="P925" s="1334" t="str">
        <f t="shared" si="52"/>
        <v>100700488698</v>
      </c>
    </row>
    <row r="926" spans="1:16">
      <c r="A926" s="34" t="s">
        <v>1567</v>
      </c>
      <c r="B926" s="34" t="s">
        <v>2871</v>
      </c>
      <c r="C926" s="1354" t="s">
        <v>1253</v>
      </c>
      <c r="D926" s="355" t="s">
        <v>2356</v>
      </c>
      <c r="E926" t="s">
        <v>2357</v>
      </c>
      <c r="F926" s="57">
        <v>8169196640</v>
      </c>
      <c r="G926" s="57">
        <v>0</v>
      </c>
      <c r="H926" s="1082">
        <f t="shared" si="49"/>
        <v>8169196640</v>
      </c>
      <c r="I926" s="1333" t="s">
        <v>41</v>
      </c>
      <c r="J926" s="1334" t="str">
        <f>VLOOKUP(C926,Acc_Char!B:K,3,)</f>
        <v>BWID Tan Phu Trung</v>
      </c>
      <c r="K926" s="1334" t="str">
        <f>VLOOKUP(C926,Acc_Char!B:K,7,)</f>
        <v>Subsidiaries</v>
      </c>
      <c r="L926" s="1334" t="str">
        <f t="shared" si="51"/>
        <v>Internal transfer in</v>
      </c>
      <c r="M926" s="1335" t="str">
        <f>VLOOKUP(C926,Acc_Char!B:K,5,)</f>
        <v>VND</v>
      </c>
      <c r="N926" s="1335" t="str">
        <f>VLOOKUP(C926,Acc_Char!B:K,6,)</f>
        <v>Current Account</v>
      </c>
      <c r="O926" s="1336" t="str">
        <f>Summary!$B$4</f>
        <v>W1-2Jan26</v>
      </c>
      <c r="P926" s="1334" t="str">
        <f t="shared" si="52"/>
        <v>870007065</v>
      </c>
    </row>
    <row r="927" spans="1:16">
      <c r="A927" s="34" t="s">
        <v>1567</v>
      </c>
      <c r="B927" s="34" t="s">
        <v>2871</v>
      </c>
      <c r="C927" s="1354" t="s">
        <v>1255</v>
      </c>
      <c r="D927" s="355" t="s">
        <v>2358</v>
      </c>
      <c r="E927" t="s">
        <v>2359</v>
      </c>
      <c r="F927" s="57">
        <v>6426947481</v>
      </c>
      <c r="G927" s="57">
        <v>0</v>
      </c>
      <c r="H927" s="1082">
        <f t="shared" si="49"/>
        <v>6426947481</v>
      </c>
      <c r="I927" s="1333" t="s">
        <v>41</v>
      </c>
      <c r="J927" s="1334" t="str">
        <f>VLOOKUP(C927,Acc_Char!B:K,3,)</f>
        <v>BWID Tan Phu Trung</v>
      </c>
      <c r="K927" s="1334" t="str">
        <f>VLOOKUP(C927,Acc_Char!B:K,7,)</f>
        <v>Subsidiaries</v>
      </c>
      <c r="L927" s="1334" t="str">
        <f t="shared" si="51"/>
        <v>Internal transfer in</v>
      </c>
      <c r="M927" s="1335" t="str">
        <f>VLOOKUP(C927,Acc_Char!B:K,5,)</f>
        <v>VND</v>
      </c>
      <c r="N927" s="1335" t="str">
        <f>VLOOKUP(C927,Acc_Char!B:K,6,)</f>
        <v>Current Account</v>
      </c>
      <c r="O927" s="1336" t="str">
        <f>Summary!$B$4</f>
        <v>W1-2Jan26</v>
      </c>
      <c r="P927" s="1334" t="str">
        <f t="shared" si="52"/>
        <v>870007070</v>
      </c>
    </row>
    <row r="928" spans="1:16">
      <c r="A928" s="34" t="s">
        <v>1567</v>
      </c>
      <c r="B928" s="34" t="s">
        <v>116</v>
      </c>
      <c r="C928" s="34" t="s">
        <v>1039</v>
      </c>
      <c r="D928" s="1346">
        <v>46027</v>
      </c>
      <c r="E928" t="s">
        <v>2872</v>
      </c>
      <c r="F928" s="57">
        <v>0</v>
      </c>
      <c r="G928" s="57">
        <v>55000</v>
      </c>
      <c r="H928" s="1082">
        <f t="shared" si="49"/>
        <v>-55000</v>
      </c>
      <c r="I928" s="1334" t="s">
        <v>53</v>
      </c>
      <c r="J928" s="1334" t="str">
        <f>VLOOKUP(C928,Acc_Char!B:K,3,)</f>
        <v>SUPPLY CHAIN 2A</v>
      </c>
      <c r="K928" s="1334" t="str">
        <f>VLOOKUP(C928,Acc_Char!B:K,7,)</f>
        <v>Subsidiaries</v>
      </c>
      <c r="L928" s="1334" t="str">
        <f t="shared" si="51"/>
        <v>Operating expense</v>
      </c>
      <c r="M928" s="1335" t="str">
        <f>VLOOKUP(C928,Acc_Char!B:K,5,)</f>
        <v>VND</v>
      </c>
      <c r="N928" s="1335" t="str">
        <f>VLOOKUP(C928,Acc_Char!B:K,6,)</f>
        <v>Current Account</v>
      </c>
      <c r="O928" s="1336" t="str">
        <f>Summary!$B$4</f>
        <v>W1-2Jan26</v>
      </c>
      <c r="P928" s="1334" t="str">
        <f t="shared" si="52"/>
        <v>184072</v>
      </c>
    </row>
    <row r="929" spans="1:16">
      <c r="A929" s="34" t="s">
        <v>1567</v>
      </c>
      <c r="B929" s="34" t="s">
        <v>116</v>
      </c>
      <c r="C929" s="34" t="s">
        <v>623</v>
      </c>
      <c r="D929" s="1346">
        <v>46027</v>
      </c>
      <c r="E929" t="s">
        <v>2872</v>
      </c>
      <c r="F929" s="57">
        <v>0</v>
      </c>
      <c r="G929" s="57">
        <v>55000</v>
      </c>
      <c r="H929" s="1082">
        <f t="shared" si="49"/>
        <v>-55000</v>
      </c>
      <c r="I929" s="1334" t="s">
        <v>53</v>
      </c>
      <c r="J929" s="1334" t="str">
        <f>VLOOKUP(C929,Acc_Char!B:K,3,)</f>
        <v>SPV4A</v>
      </c>
      <c r="K929" s="1334" t="str">
        <f>VLOOKUP(C929,Acc_Char!B:K,7,)</f>
        <v>Subsidiaries</v>
      </c>
      <c r="L929" s="1334" t="str">
        <f t="shared" si="51"/>
        <v>Operating expense</v>
      </c>
      <c r="M929" s="1335" t="str">
        <f>VLOOKUP(C929,Acc_Char!B:K,5,)</f>
        <v>VND</v>
      </c>
      <c r="N929" s="1335" t="str">
        <f>VLOOKUP(C929,Acc_Char!B:K,6,)</f>
        <v>Current Account</v>
      </c>
      <c r="O929" s="1336" t="str">
        <f>Summary!$B$4</f>
        <v>W1-2Jan26</v>
      </c>
      <c r="P929" s="1334" t="str">
        <f t="shared" si="52"/>
        <v>10100020695008</v>
      </c>
    </row>
    <row r="930" spans="1:16">
      <c r="A930" s="34" t="s">
        <v>1567</v>
      </c>
      <c r="B930" s="34" t="s">
        <v>116</v>
      </c>
      <c r="C930" s="34" t="s">
        <v>1038</v>
      </c>
      <c r="D930" s="1346">
        <v>46027</v>
      </c>
      <c r="E930" t="s">
        <v>2872</v>
      </c>
      <c r="F930" s="57">
        <v>0</v>
      </c>
      <c r="G930" s="57">
        <v>55000</v>
      </c>
      <c r="H930" s="1082">
        <f t="shared" si="49"/>
        <v>-55000</v>
      </c>
      <c r="I930" s="1334" t="s">
        <v>53</v>
      </c>
      <c r="J930" s="1334" t="str">
        <f>VLOOKUP(C930,Acc_Char!B:K,3,)</f>
        <v>BAU BANG 5</v>
      </c>
      <c r="K930" s="1334" t="str">
        <f>VLOOKUP(C930,Acc_Char!B:K,7,)</f>
        <v>Subsidiaries</v>
      </c>
      <c r="L930" s="1334" t="str">
        <f t="shared" si="51"/>
        <v>Operating expense</v>
      </c>
      <c r="M930" s="1335" t="str">
        <f>VLOOKUP(C930,Acc_Char!B:K,5,)</f>
        <v>VND</v>
      </c>
      <c r="N930" s="1335" t="str">
        <f>VLOOKUP(C930,Acc_Char!B:K,6,)</f>
        <v>Current Account</v>
      </c>
      <c r="O930" s="1336" t="str">
        <f>Summary!$B$4</f>
        <v>W1-2Jan26</v>
      </c>
      <c r="P930" s="1334" t="str">
        <f t="shared" si="52"/>
        <v>703520</v>
      </c>
    </row>
    <row r="931" spans="1:16">
      <c r="A931" s="34" t="s">
        <v>1567</v>
      </c>
      <c r="B931" s="34" t="s">
        <v>116</v>
      </c>
      <c r="C931" s="34" t="s">
        <v>523</v>
      </c>
      <c r="D931" s="1346">
        <v>46025</v>
      </c>
      <c r="E931" t="s">
        <v>2873</v>
      </c>
      <c r="F931" s="57">
        <v>0</v>
      </c>
      <c r="G931" s="57">
        <v>38058558</v>
      </c>
      <c r="H931" s="1082">
        <f t="shared" si="49"/>
        <v>-38058558</v>
      </c>
      <c r="I931" s="1334" t="s">
        <v>53</v>
      </c>
      <c r="J931" s="1334" t="str">
        <f>VLOOKUP(C931,Acc_Char!B:K,3,)</f>
        <v>BWID THOI HOA 2</v>
      </c>
      <c r="K931" s="1334" t="str">
        <f>VLOOKUP(C931,Acc_Char!B:K,7,)</f>
        <v>Subsidiaries</v>
      </c>
      <c r="L931" s="1334" t="str">
        <f t="shared" si="51"/>
        <v>Operating expense</v>
      </c>
      <c r="M931" s="1335" t="str">
        <f>VLOOKUP(C931,Acc_Char!B:K,5,)</f>
        <v>VND</v>
      </c>
      <c r="N931" s="1335" t="str">
        <f>VLOOKUP(C931,Acc_Char!B:K,6,)</f>
        <v>Current Account</v>
      </c>
      <c r="O931" s="1336" t="str">
        <f>Summary!$B$4</f>
        <v>W1-2Jan26</v>
      </c>
      <c r="P931" s="1334" t="str">
        <f t="shared" si="52"/>
        <v>10100014966008</v>
      </c>
    </row>
    <row r="932" spans="1:16">
      <c r="A932" s="34" t="s">
        <v>1567</v>
      </c>
      <c r="B932" s="34" t="s">
        <v>116</v>
      </c>
      <c r="C932" s="34" t="s">
        <v>523</v>
      </c>
      <c r="D932" s="1346">
        <v>46025</v>
      </c>
      <c r="E932" t="s">
        <v>2874</v>
      </c>
      <c r="F932" s="57">
        <v>0</v>
      </c>
      <c r="G932" s="57">
        <v>5510624</v>
      </c>
      <c r="H932" s="1082">
        <f t="shared" si="49"/>
        <v>-5510624</v>
      </c>
      <c r="I932" s="1334" t="s">
        <v>53</v>
      </c>
      <c r="J932" s="1334" t="str">
        <f>VLOOKUP(C932,Acc_Char!B:K,3,)</f>
        <v>BWID THOI HOA 2</v>
      </c>
      <c r="K932" s="1334" t="str">
        <f>VLOOKUP(C932,Acc_Char!B:K,7,)</f>
        <v>Subsidiaries</v>
      </c>
      <c r="L932" s="1334" t="str">
        <f t="shared" si="51"/>
        <v>Operating expense</v>
      </c>
      <c r="M932" s="1335" t="str">
        <f>VLOOKUP(C932,Acc_Char!B:K,5,)</f>
        <v>VND</v>
      </c>
      <c r="N932" s="1335" t="str">
        <f>VLOOKUP(C932,Acc_Char!B:K,6,)</f>
        <v>Current Account</v>
      </c>
      <c r="O932" s="1336" t="str">
        <f>Summary!$B$4</f>
        <v>W1-2Jan26</v>
      </c>
      <c r="P932" s="1334" t="str">
        <f t="shared" si="52"/>
        <v>10100014966008</v>
      </c>
    </row>
    <row r="933" spans="1:16">
      <c r="A933" s="34" t="s">
        <v>1567</v>
      </c>
      <c r="B933" s="34" t="s">
        <v>116</v>
      </c>
      <c r="C933" s="34" t="s">
        <v>523</v>
      </c>
      <c r="D933" s="1346">
        <v>46025</v>
      </c>
      <c r="E933" t="s">
        <v>2875</v>
      </c>
      <c r="F933" s="57">
        <v>0</v>
      </c>
      <c r="G933" s="57">
        <v>24803241</v>
      </c>
      <c r="H933" s="1082">
        <f t="shared" si="49"/>
        <v>-24803241</v>
      </c>
      <c r="I933" s="1334" t="s">
        <v>53</v>
      </c>
      <c r="J933" s="1334" t="str">
        <f>VLOOKUP(C933,Acc_Char!B:K,3,)</f>
        <v>BWID THOI HOA 2</v>
      </c>
      <c r="K933" s="1334" t="str">
        <f>VLOOKUP(C933,Acc_Char!B:K,7,)</f>
        <v>Subsidiaries</v>
      </c>
      <c r="L933" s="1334" t="str">
        <f t="shared" si="51"/>
        <v>Operating expense</v>
      </c>
      <c r="M933" s="1335" t="str">
        <f>VLOOKUP(C933,Acc_Char!B:K,5,)</f>
        <v>VND</v>
      </c>
      <c r="N933" s="1335" t="str">
        <f>VLOOKUP(C933,Acc_Char!B:K,6,)</f>
        <v>Current Account</v>
      </c>
      <c r="O933" s="1336" t="str">
        <f>Summary!$B$4</f>
        <v>W1-2Jan26</v>
      </c>
      <c r="P933" s="1334" t="str">
        <f t="shared" si="52"/>
        <v>10100014966008</v>
      </c>
    </row>
    <row r="934" spans="1:16">
      <c r="A934" s="34" t="s">
        <v>1567</v>
      </c>
      <c r="B934" s="34" t="s">
        <v>116</v>
      </c>
      <c r="C934" s="34" t="s">
        <v>523</v>
      </c>
      <c r="D934" s="1346">
        <v>46025</v>
      </c>
      <c r="E934" t="s">
        <v>2876</v>
      </c>
      <c r="F934" s="57">
        <v>0</v>
      </c>
      <c r="G934" s="57">
        <v>108456613</v>
      </c>
      <c r="H934" s="1082">
        <f t="shared" ref="H934:H997" si="53">F934-G934</f>
        <v>-108456613</v>
      </c>
      <c r="I934" s="1334" t="s">
        <v>53</v>
      </c>
      <c r="J934" s="1334" t="str">
        <f>VLOOKUP(C934,Acc_Char!B:K,3,)</f>
        <v>BWID THOI HOA 2</v>
      </c>
      <c r="K934" s="1334" t="str">
        <f>VLOOKUP(C934,Acc_Char!B:K,7,)</f>
        <v>Subsidiaries</v>
      </c>
      <c r="L934" s="1334" t="str">
        <f t="shared" si="51"/>
        <v>Operating expense</v>
      </c>
      <c r="M934" s="1335" t="str">
        <f>VLOOKUP(C934,Acc_Char!B:K,5,)</f>
        <v>VND</v>
      </c>
      <c r="N934" s="1335" t="str">
        <f>VLOOKUP(C934,Acc_Char!B:K,6,)</f>
        <v>Current Account</v>
      </c>
      <c r="O934" s="1336" t="str">
        <f>Summary!$B$4</f>
        <v>W1-2Jan26</v>
      </c>
      <c r="P934" s="1334" t="str">
        <f t="shared" si="52"/>
        <v>10100014966008</v>
      </c>
    </row>
    <row r="935" spans="1:16">
      <c r="A935" s="34" t="s">
        <v>1567</v>
      </c>
      <c r="B935" s="34" t="s">
        <v>116</v>
      </c>
      <c r="C935" s="34" t="s">
        <v>523</v>
      </c>
      <c r="D935" s="1346">
        <v>46025</v>
      </c>
      <c r="E935" t="s">
        <v>2877</v>
      </c>
      <c r="F935" s="57">
        <v>0</v>
      </c>
      <c r="G935" s="57">
        <v>158992600</v>
      </c>
      <c r="H935" s="1082">
        <f t="shared" si="53"/>
        <v>-158992600</v>
      </c>
      <c r="I935" s="1334" t="s">
        <v>53</v>
      </c>
      <c r="J935" s="1334" t="str">
        <f>VLOOKUP(C935,Acc_Char!B:K,3,)</f>
        <v>BWID THOI HOA 2</v>
      </c>
      <c r="K935" s="1334" t="str">
        <f>VLOOKUP(C935,Acc_Char!B:K,7,)</f>
        <v>Subsidiaries</v>
      </c>
      <c r="L935" s="1334" t="str">
        <f t="shared" si="51"/>
        <v>Operating expense</v>
      </c>
      <c r="M935" s="1335" t="str">
        <f>VLOOKUP(C935,Acc_Char!B:K,5,)</f>
        <v>VND</v>
      </c>
      <c r="N935" s="1335" t="str">
        <f>VLOOKUP(C935,Acc_Char!B:K,6,)</f>
        <v>Current Account</v>
      </c>
      <c r="O935" s="1336" t="str">
        <f>Summary!$B$4</f>
        <v>W1-2Jan26</v>
      </c>
      <c r="P935" s="1334" t="str">
        <f t="shared" si="52"/>
        <v>10100014966008</v>
      </c>
    </row>
    <row r="936" spans="1:16">
      <c r="A936" s="34" t="s">
        <v>1567</v>
      </c>
      <c r="B936" s="34" t="s">
        <v>116</v>
      </c>
      <c r="C936" s="34" t="s">
        <v>523</v>
      </c>
      <c r="D936" s="1346">
        <v>46025</v>
      </c>
      <c r="E936" t="s">
        <v>2878</v>
      </c>
      <c r="F936" s="57">
        <v>0</v>
      </c>
      <c r="G936" s="57">
        <v>851476</v>
      </c>
      <c r="H936" s="1082">
        <f t="shared" si="53"/>
        <v>-851476</v>
      </c>
      <c r="I936" s="1334" t="s">
        <v>53</v>
      </c>
      <c r="J936" s="1334" t="str">
        <f>VLOOKUP(C936,Acc_Char!B:K,3,)</f>
        <v>BWID THOI HOA 2</v>
      </c>
      <c r="K936" s="1334" t="str">
        <f>VLOOKUP(C936,Acc_Char!B:K,7,)</f>
        <v>Subsidiaries</v>
      </c>
      <c r="L936" s="1334" t="str">
        <f t="shared" si="51"/>
        <v>Operating expense</v>
      </c>
      <c r="M936" s="1335" t="str">
        <f>VLOOKUP(C936,Acc_Char!B:K,5,)</f>
        <v>VND</v>
      </c>
      <c r="N936" s="1335" t="str">
        <f>VLOOKUP(C936,Acc_Char!B:K,6,)</f>
        <v>Current Account</v>
      </c>
      <c r="O936" s="1336" t="str">
        <f>Summary!$B$4</f>
        <v>W1-2Jan26</v>
      </c>
      <c r="P936" s="1334" t="str">
        <f t="shared" si="52"/>
        <v>10100014966008</v>
      </c>
    </row>
    <row r="937" spans="1:16">
      <c r="A937" s="34" t="s">
        <v>1567</v>
      </c>
      <c r="B937" s="34" t="s">
        <v>116</v>
      </c>
      <c r="C937" s="34" t="s">
        <v>523</v>
      </c>
      <c r="D937" s="1346">
        <v>46025</v>
      </c>
      <c r="E937" t="s">
        <v>2879</v>
      </c>
      <c r="F937" s="57">
        <v>0</v>
      </c>
      <c r="G937" s="57">
        <v>3262507</v>
      </c>
      <c r="H937" s="1082">
        <f t="shared" ref="H937" si="54">F937-G937</f>
        <v>-3262507</v>
      </c>
      <c r="I937" s="1334" t="s">
        <v>53</v>
      </c>
      <c r="J937" s="1334" t="str">
        <f>VLOOKUP(C937,Acc_Char!B:K,3,)</f>
        <v>BWID THOI HOA 2</v>
      </c>
      <c r="K937" s="1334" t="str">
        <f>VLOOKUP(C937,Acc_Char!B:K,7,)</f>
        <v>Subsidiaries</v>
      </c>
      <c r="L937" s="1334" t="str">
        <f t="shared" si="51"/>
        <v>Operating expense</v>
      </c>
      <c r="M937" s="1335" t="str">
        <f>VLOOKUP(C937,Acc_Char!B:K,5,)</f>
        <v>VND</v>
      </c>
      <c r="N937" s="1335" t="str">
        <f>VLOOKUP(C937,Acc_Char!B:K,6,)</f>
        <v>Current Account</v>
      </c>
      <c r="O937" s="1336" t="str">
        <f>Summary!$B$4</f>
        <v>W1-2Jan26</v>
      </c>
      <c r="P937" s="1334" t="str">
        <f t="shared" si="52"/>
        <v>10100014966008</v>
      </c>
    </row>
    <row r="938" spans="1:16">
      <c r="A938" s="34" t="s">
        <v>1567</v>
      </c>
      <c r="B938" s="34" t="s">
        <v>116</v>
      </c>
      <c r="C938" s="34" t="s">
        <v>523</v>
      </c>
      <c r="D938" s="1346">
        <v>46025</v>
      </c>
      <c r="E938" t="s">
        <v>2880</v>
      </c>
      <c r="F938" s="57">
        <v>0</v>
      </c>
      <c r="G938" s="57">
        <v>1582321</v>
      </c>
      <c r="H938" s="1082">
        <f t="shared" si="53"/>
        <v>-1582321</v>
      </c>
      <c r="I938" s="1334" t="s">
        <v>53</v>
      </c>
      <c r="J938" s="1334" t="str">
        <f>VLOOKUP(C938,Acc_Char!B:K,3,)</f>
        <v>BWID THOI HOA 2</v>
      </c>
      <c r="K938" s="1334" t="str">
        <f>VLOOKUP(C938,Acc_Char!B:K,7,)</f>
        <v>Subsidiaries</v>
      </c>
      <c r="L938" s="1334" t="str">
        <f t="shared" si="51"/>
        <v>Operating expense</v>
      </c>
      <c r="M938" s="1335" t="str">
        <f>VLOOKUP(C938,Acc_Char!B:K,5,)</f>
        <v>VND</v>
      </c>
      <c r="N938" s="1335" t="str">
        <f>VLOOKUP(C938,Acc_Char!B:K,6,)</f>
        <v>Current Account</v>
      </c>
      <c r="O938" s="1336" t="str">
        <f>Summary!$B$4</f>
        <v>W1-2Jan26</v>
      </c>
      <c r="P938" s="1334" t="str">
        <f t="shared" si="52"/>
        <v>10100014966008</v>
      </c>
    </row>
    <row r="939" spans="1:16">
      <c r="A939" s="34" t="s">
        <v>1567</v>
      </c>
      <c r="B939" s="34" t="s">
        <v>116</v>
      </c>
      <c r="C939" s="34" t="s">
        <v>523</v>
      </c>
      <c r="D939" s="1346">
        <v>46030</v>
      </c>
      <c r="E939" t="s">
        <v>2881</v>
      </c>
      <c r="F939" s="57">
        <v>0</v>
      </c>
      <c r="G939" s="57">
        <v>85761480</v>
      </c>
      <c r="H939" s="1082">
        <f t="shared" si="53"/>
        <v>-85761480</v>
      </c>
      <c r="I939" s="1334" t="s">
        <v>53</v>
      </c>
      <c r="J939" s="1334" t="str">
        <f>VLOOKUP(C939,Acc_Char!B:K,3,)</f>
        <v>BWID THOI HOA 2</v>
      </c>
      <c r="K939" s="1334" t="str">
        <f>VLOOKUP(C939,Acc_Char!B:K,7,)</f>
        <v>Subsidiaries</v>
      </c>
      <c r="L939" s="1334" t="str">
        <f t="shared" si="51"/>
        <v>Operating expense</v>
      </c>
      <c r="M939" s="1335" t="str">
        <f>VLOOKUP(C939,Acc_Char!B:K,5,)</f>
        <v>VND</v>
      </c>
      <c r="N939" s="1335" t="str">
        <f>VLOOKUP(C939,Acc_Char!B:K,6,)</f>
        <v>Current Account</v>
      </c>
      <c r="O939" s="1336" t="str">
        <f>Summary!$B$4</f>
        <v>W1-2Jan26</v>
      </c>
      <c r="P939" s="1334" t="str">
        <f t="shared" si="52"/>
        <v>10100014966008</v>
      </c>
    </row>
    <row r="940" spans="1:16">
      <c r="A940" s="34" t="s">
        <v>1567</v>
      </c>
      <c r="B940" s="34" t="s">
        <v>116</v>
      </c>
      <c r="C940" s="34" t="s">
        <v>1037</v>
      </c>
      <c r="D940" s="1346">
        <v>46027</v>
      </c>
      <c r="E940" t="s">
        <v>2872</v>
      </c>
      <c r="F940" s="57">
        <v>0</v>
      </c>
      <c r="G940" s="57">
        <v>55000</v>
      </c>
      <c r="H940" s="1082">
        <f t="shared" si="53"/>
        <v>-55000</v>
      </c>
      <c r="I940" s="1334" t="s">
        <v>53</v>
      </c>
      <c r="J940" s="1334" t="str">
        <f>VLOOKUP(C940,Acc_Char!B:K,3,)</f>
        <v>SONGTHAN LID</v>
      </c>
      <c r="K940" s="1334" t="str">
        <f>VLOOKUP(C940,Acc_Char!B:K,7,)</f>
        <v>Subsidiaries</v>
      </c>
      <c r="L940" s="1334" t="str">
        <f t="shared" si="51"/>
        <v>Operating expense</v>
      </c>
      <c r="M940" s="1335" t="str">
        <f>VLOOKUP(C940,Acc_Char!B:K,5,)</f>
        <v>VND</v>
      </c>
      <c r="N940" s="1335" t="str">
        <f>VLOOKUP(C940,Acc_Char!B:K,6,)</f>
        <v>Current Account</v>
      </c>
      <c r="O940" s="1336" t="str">
        <f>Summary!$B$4</f>
        <v>W1-2Jan26</v>
      </c>
      <c r="P940" s="1334" t="str">
        <f t="shared" si="52"/>
        <v>10101568686868</v>
      </c>
    </row>
    <row r="941" spans="1:16">
      <c r="A941" s="34" t="s">
        <v>1567</v>
      </c>
      <c r="B941" s="34" t="s">
        <v>116</v>
      </c>
      <c r="C941" s="34" t="s">
        <v>1040</v>
      </c>
      <c r="D941" s="1346">
        <v>46027</v>
      </c>
      <c r="E941" t="s">
        <v>2872</v>
      </c>
      <c r="F941" s="57">
        <v>0</v>
      </c>
      <c r="G941" s="57">
        <v>55000</v>
      </c>
      <c r="H941" s="1082">
        <f t="shared" si="53"/>
        <v>-55000</v>
      </c>
      <c r="I941" s="1334" t="s">
        <v>53</v>
      </c>
      <c r="J941" s="1334" t="str">
        <f>VLOOKUP(C941,Acc_Char!B:K,3,)</f>
        <v>DELIWAY</v>
      </c>
      <c r="K941" s="1334" t="str">
        <f>VLOOKUP(C941,Acc_Char!B:K,7,)</f>
        <v>Subsidiaries</v>
      </c>
      <c r="L941" s="1334" t="str">
        <f t="shared" si="51"/>
        <v>Operating expense</v>
      </c>
      <c r="M941" s="1335" t="str">
        <f>VLOOKUP(C941,Acc_Char!B:K,5,)</f>
        <v>VND</v>
      </c>
      <c r="N941" s="1335" t="str">
        <f>VLOOKUP(C941,Acc_Char!B:K,6,)</f>
        <v>Current Account</v>
      </c>
      <c r="O941" s="1336" t="str">
        <f>Summary!$B$4</f>
        <v>W1-2Jan26</v>
      </c>
      <c r="P941" s="1334" t="str">
        <f t="shared" si="52"/>
        <v>295018</v>
      </c>
    </row>
    <row r="942" spans="1:16">
      <c r="A942" s="34" t="s">
        <v>1567</v>
      </c>
      <c r="B942" s="34" t="s">
        <v>198</v>
      </c>
      <c r="C942" s="1092" t="s">
        <v>498</v>
      </c>
      <c r="D942" s="1346">
        <v>46053</v>
      </c>
      <c r="E942" t="s">
        <v>2870</v>
      </c>
      <c r="F942" s="57">
        <v>25058</v>
      </c>
      <c r="G942" s="57">
        <v>0</v>
      </c>
      <c r="H942" s="1082">
        <f t="shared" si="53"/>
        <v>25058</v>
      </c>
      <c r="I942" s="1345" t="s">
        <v>44</v>
      </c>
      <c r="J942" s="1334" t="str">
        <f>VLOOKUP(C942,Acc_Char!B:K,3,)</f>
        <v>BWID BINH DUONG</v>
      </c>
      <c r="K942" s="1334" t="str">
        <f>VLOOKUP(C942,Acc_Char!B:K,7,)</f>
        <v>BWID JSC</v>
      </c>
      <c r="L942" s="1334" t="str">
        <f t="shared" si="51"/>
        <v>Other receipts</v>
      </c>
      <c r="M942" s="1335" t="str">
        <f>VLOOKUP(C942,Acc_Char!B:K,5,)</f>
        <v>VND</v>
      </c>
      <c r="N942" s="1335" t="str">
        <f>VLOOKUP(C942,Acc_Char!B:K,6,)</f>
        <v>Current Account</v>
      </c>
      <c r="O942" s="1336" t="str">
        <f>Summary!$B$4</f>
        <v>W1-2Jan26</v>
      </c>
      <c r="P942" s="1334" t="str">
        <f t="shared" si="52"/>
        <v>7000800107577</v>
      </c>
    </row>
    <row r="943" spans="1:16">
      <c r="A943" s="34" t="s">
        <v>1567</v>
      </c>
      <c r="B943" s="34" t="s">
        <v>198</v>
      </c>
      <c r="C943" s="1354" t="s">
        <v>1009</v>
      </c>
      <c r="D943" s="1346">
        <v>46053</v>
      </c>
      <c r="E943" t="s">
        <v>2870</v>
      </c>
      <c r="F943" s="57">
        <v>0</v>
      </c>
      <c r="G943" s="57">
        <v>25058</v>
      </c>
      <c r="H943" s="1082">
        <f t="shared" si="53"/>
        <v>-25058</v>
      </c>
      <c r="I943" s="1345" t="s">
        <v>53</v>
      </c>
      <c r="J943" s="1334" t="str">
        <f>VLOOKUP(C943,Acc_Char!B:K,3,)</f>
        <v>BWID BINH DUONG</v>
      </c>
      <c r="K943" s="1334" t="str">
        <f>VLOOKUP(C943,Acc_Char!B:K,7,)</f>
        <v>BWID JSC</v>
      </c>
      <c r="L943" s="1334" t="str">
        <f t="shared" si="51"/>
        <v>Operating expense</v>
      </c>
      <c r="M943" s="1335" t="str">
        <f>VLOOKUP(C943,Acc_Char!B:K,5,)</f>
        <v>USD</v>
      </c>
      <c r="N943" s="1335" t="str">
        <f>VLOOKUP(C943,Acc_Char!B:K,6,)</f>
        <v>Current Account</v>
      </c>
      <c r="O943" s="1336" t="str">
        <f>Summary!$B$4</f>
        <v>W1-2Jan26</v>
      </c>
      <c r="P943" s="1334" t="str">
        <f t="shared" si="52"/>
        <v>07000800107577_1</v>
      </c>
    </row>
    <row r="944" spans="1:16">
      <c r="A944"/>
      <c r="B944" s="34"/>
      <c r="C944" s="34"/>
      <c r="D944" s="355"/>
      <c r="E944"/>
      <c r="F944" s="57"/>
      <c r="G944" s="57"/>
      <c r="H944" s="1082">
        <f t="shared" si="53"/>
        <v>0</v>
      </c>
      <c r="I944"/>
      <c r="J944" s="1334" t="e">
        <f>VLOOKUP(C944,Acc_Char!B:K,3,)</f>
        <v>#N/A</v>
      </c>
      <c r="K944" s="1334" t="e">
        <f>VLOOKUP(C944,Acc_Char!B:K,7,)</f>
        <v>#N/A</v>
      </c>
      <c r="L944" s="1334">
        <f t="shared" si="51"/>
        <v>0</v>
      </c>
      <c r="M944" s="1335" t="e">
        <f>VLOOKUP(C944,Acc_Char!B:K,5,)</f>
        <v>#N/A</v>
      </c>
      <c r="N944" s="1335" t="e">
        <f>VLOOKUP(C944,Acc_Char!B:K,6,)</f>
        <v>#N/A</v>
      </c>
      <c r="O944" s="1336" t="str">
        <f>Summary!$B$4</f>
        <v>W1-2Jan26</v>
      </c>
      <c r="P944" s="1334" t="str">
        <f t="shared" si="52"/>
        <v>0</v>
      </c>
    </row>
    <row r="945" spans="1:16">
      <c r="A945"/>
      <c r="B945" s="34"/>
      <c r="C945" s="34"/>
      <c r="D945" s="355"/>
      <c r="E945"/>
      <c r="F945" s="57"/>
      <c r="G945" s="57"/>
      <c r="H945" s="1082">
        <f t="shared" si="53"/>
        <v>0</v>
      </c>
      <c r="I945" s="1345"/>
      <c r="J945" s="1334" t="e">
        <f>VLOOKUP(C945,Acc_Char!B:K,3,)</f>
        <v>#N/A</v>
      </c>
      <c r="K945" s="1334" t="e">
        <f>VLOOKUP(C945,Acc_Char!B:K,7,)</f>
        <v>#N/A</v>
      </c>
      <c r="L945" s="1334">
        <f t="shared" si="51"/>
        <v>0</v>
      </c>
      <c r="M945" s="1335" t="e">
        <f>VLOOKUP(C945,Acc_Char!B:K,5,)</f>
        <v>#N/A</v>
      </c>
      <c r="N945" s="1335" t="e">
        <f>VLOOKUP(C945,Acc_Char!B:K,6,)</f>
        <v>#N/A</v>
      </c>
      <c r="O945" s="1336" t="str">
        <f>Summary!$B$4</f>
        <v>W1-2Jan26</v>
      </c>
      <c r="P945" s="1334" t="str">
        <f t="shared" si="52"/>
        <v>0</v>
      </c>
    </row>
    <row r="946" spans="1:16">
      <c r="A946"/>
      <c r="B946" s="34"/>
      <c r="C946" s="34"/>
      <c r="D946" s="355"/>
      <c r="E946"/>
      <c r="F946" s="57"/>
      <c r="G946" s="57"/>
      <c r="H946" s="1082">
        <f t="shared" si="53"/>
        <v>0</v>
      </c>
      <c r="I946" s="1333"/>
      <c r="J946" s="1334" t="e">
        <f>VLOOKUP(C946,Acc_Char!B:K,3,)</f>
        <v>#N/A</v>
      </c>
      <c r="K946" s="1334" t="e">
        <f>VLOOKUP(C946,Acc_Char!B:K,7,)</f>
        <v>#N/A</v>
      </c>
      <c r="L946" s="1334">
        <f t="shared" si="51"/>
        <v>0</v>
      </c>
      <c r="M946" s="1335" t="e">
        <f>VLOOKUP(C946,Acc_Char!B:K,5,)</f>
        <v>#N/A</v>
      </c>
      <c r="N946" s="1335" t="e">
        <f>VLOOKUP(C946,Acc_Char!B:K,6,)</f>
        <v>#N/A</v>
      </c>
      <c r="O946" s="1336" t="str">
        <f>Summary!$B$4</f>
        <v>W1-2Jan26</v>
      </c>
      <c r="P946" s="1334" t="str">
        <f t="shared" si="52"/>
        <v>0</v>
      </c>
    </row>
    <row r="947" spans="1:16">
      <c r="A947"/>
      <c r="B947" s="34"/>
      <c r="C947" s="34"/>
      <c r="D947" s="355"/>
      <c r="E947"/>
      <c r="F947" s="57"/>
      <c r="G947" s="57"/>
      <c r="H947" s="1082">
        <f t="shared" si="53"/>
        <v>0</v>
      </c>
      <c r="I947" s="1333"/>
      <c r="J947" s="1334" t="e">
        <f>VLOOKUP(C947,Acc_Char!B:K,3,)</f>
        <v>#N/A</v>
      </c>
      <c r="K947" s="1334" t="e">
        <f>VLOOKUP(C947,Acc_Char!B:K,7,)</f>
        <v>#N/A</v>
      </c>
      <c r="L947" s="1334">
        <f t="shared" si="51"/>
        <v>0</v>
      </c>
      <c r="M947" s="1335" t="e">
        <f>VLOOKUP(C947,Acc_Char!B:K,5,)</f>
        <v>#N/A</v>
      </c>
      <c r="N947" s="1335" t="e">
        <f>VLOOKUP(C947,Acc_Char!B:K,6,)</f>
        <v>#N/A</v>
      </c>
      <c r="O947" s="1336" t="str">
        <f>Summary!$B$4</f>
        <v>W1-2Jan26</v>
      </c>
      <c r="P947" s="1334" t="str">
        <f t="shared" si="52"/>
        <v>0</v>
      </c>
    </row>
    <row r="948" spans="1:16">
      <c r="A948"/>
      <c r="B948" s="34"/>
      <c r="C948" s="34"/>
      <c r="D948" s="355"/>
      <c r="E948"/>
      <c r="F948" s="57"/>
      <c r="G948" s="57"/>
      <c r="H948" s="1082">
        <f t="shared" si="53"/>
        <v>0</v>
      </c>
      <c r="I948" s="1333"/>
      <c r="J948" s="1334" t="e">
        <f>VLOOKUP(C948,Acc_Char!B:K,3,)</f>
        <v>#N/A</v>
      </c>
      <c r="K948" s="1334" t="e">
        <f>VLOOKUP(C948,Acc_Char!B:K,7,)</f>
        <v>#N/A</v>
      </c>
      <c r="L948" s="1334">
        <f t="shared" si="51"/>
        <v>0</v>
      </c>
      <c r="M948" s="1335" t="e">
        <f>VLOOKUP(C948,Acc_Char!B:K,5,)</f>
        <v>#N/A</v>
      </c>
      <c r="N948" s="1335" t="e">
        <f>VLOOKUP(C948,Acc_Char!B:K,6,)</f>
        <v>#N/A</v>
      </c>
      <c r="O948" s="1336" t="str">
        <f>Summary!$B$4</f>
        <v>W1-2Jan26</v>
      </c>
      <c r="P948" s="1334" t="str">
        <f t="shared" si="52"/>
        <v>0</v>
      </c>
    </row>
    <row r="949" spans="1:16">
      <c r="A949"/>
      <c r="B949" s="34"/>
      <c r="C949" s="34"/>
      <c r="D949" s="355"/>
      <c r="E949"/>
      <c r="F949" s="57"/>
      <c r="G949" s="57"/>
      <c r="H949" s="1082">
        <f t="shared" si="53"/>
        <v>0</v>
      </c>
      <c r="I949" s="1333"/>
      <c r="J949" s="1334" t="e">
        <f>VLOOKUP(C949,Acc_Char!B:K,3,)</f>
        <v>#N/A</v>
      </c>
      <c r="K949" s="1334" t="e">
        <f>VLOOKUP(C949,Acc_Char!B:K,7,)</f>
        <v>#N/A</v>
      </c>
      <c r="L949" s="1334">
        <f t="shared" si="51"/>
        <v>0</v>
      </c>
      <c r="M949" s="1335" t="e">
        <f>VLOOKUP(C949,Acc_Char!B:K,5,)</f>
        <v>#N/A</v>
      </c>
      <c r="N949" s="1335" t="e">
        <f>VLOOKUP(C949,Acc_Char!B:K,6,)</f>
        <v>#N/A</v>
      </c>
      <c r="O949" s="1336" t="str">
        <f>Summary!$B$4</f>
        <v>W1-2Jan26</v>
      </c>
      <c r="P949" s="1334" t="str">
        <f t="shared" si="52"/>
        <v>0</v>
      </c>
    </row>
    <row r="950" spans="1:16">
      <c r="A950"/>
      <c r="B950" s="34"/>
      <c r="C950" s="34"/>
      <c r="D950" s="355"/>
      <c r="E950"/>
      <c r="F950" s="57"/>
      <c r="G950" s="57"/>
      <c r="H950" s="1082">
        <f t="shared" si="53"/>
        <v>0</v>
      </c>
      <c r="I950" s="1333"/>
      <c r="J950" s="1334" t="e">
        <f>VLOOKUP(C950,Acc_Char!B:K,3,)</f>
        <v>#N/A</v>
      </c>
      <c r="K950" s="1334" t="e">
        <f>VLOOKUP(C950,Acc_Char!B:K,7,)</f>
        <v>#N/A</v>
      </c>
      <c r="L950" s="1334">
        <f t="shared" si="51"/>
        <v>0</v>
      </c>
      <c r="M950" s="1335" t="e">
        <f>VLOOKUP(C950,Acc_Char!B:K,5,)</f>
        <v>#N/A</v>
      </c>
      <c r="N950" s="1335" t="e">
        <f>VLOOKUP(C950,Acc_Char!B:K,6,)</f>
        <v>#N/A</v>
      </c>
      <c r="O950" s="1336" t="str">
        <f>Summary!$B$4</f>
        <v>W1-2Jan26</v>
      </c>
      <c r="P950" s="1334" t="str">
        <f t="shared" si="52"/>
        <v>0</v>
      </c>
    </row>
    <row r="951" spans="1:16">
      <c r="A951"/>
      <c r="B951" s="34"/>
      <c r="C951" s="34"/>
      <c r="D951" s="355"/>
      <c r="E951"/>
      <c r="F951" s="57"/>
      <c r="G951" s="57"/>
      <c r="H951" s="1082">
        <f t="shared" si="53"/>
        <v>0</v>
      </c>
      <c r="I951" s="1333"/>
      <c r="J951" s="1334" t="e">
        <f>VLOOKUP(C951,Acc_Char!B:K,3,)</f>
        <v>#N/A</v>
      </c>
      <c r="K951" s="1334" t="e">
        <f>VLOOKUP(C951,Acc_Char!B:K,7,)</f>
        <v>#N/A</v>
      </c>
      <c r="L951" s="1334">
        <f t="shared" si="51"/>
        <v>0</v>
      </c>
      <c r="M951" s="1335" t="e">
        <f>VLOOKUP(C951,Acc_Char!B:K,5,)</f>
        <v>#N/A</v>
      </c>
      <c r="N951" s="1335" t="e">
        <f>VLOOKUP(C951,Acc_Char!B:K,6,)</f>
        <v>#N/A</v>
      </c>
      <c r="O951" s="1336" t="str">
        <f>Summary!$B$4</f>
        <v>W1-2Jan26</v>
      </c>
      <c r="P951" s="1334" t="str">
        <f t="shared" si="52"/>
        <v>0</v>
      </c>
    </row>
    <row r="952" spans="1:16">
      <c r="A952"/>
      <c r="B952" s="34"/>
      <c r="C952" s="34"/>
      <c r="D952" s="355"/>
      <c r="E952"/>
      <c r="F952" s="57"/>
      <c r="G952" s="57"/>
      <c r="H952" s="1082">
        <f t="shared" si="53"/>
        <v>0</v>
      </c>
      <c r="I952" s="1333"/>
      <c r="J952" s="1334" t="e">
        <f>VLOOKUP(C952,Acc_Char!B:K,3,)</f>
        <v>#N/A</v>
      </c>
      <c r="K952" s="1334" t="e">
        <f>VLOOKUP(C952,Acc_Char!B:K,7,)</f>
        <v>#N/A</v>
      </c>
      <c r="L952" s="1334">
        <f t="shared" si="51"/>
        <v>0</v>
      </c>
      <c r="M952" s="1335" t="e">
        <f>VLOOKUP(C952,Acc_Char!B:K,5,)</f>
        <v>#N/A</v>
      </c>
      <c r="N952" s="1335" t="e">
        <f>VLOOKUP(C952,Acc_Char!B:K,6,)</f>
        <v>#N/A</v>
      </c>
      <c r="O952" s="1336" t="str">
        <f>Summary!$B$4</f>
        <v>W1-2Jan26</v>
      </c>
      <c r="P952" s="1334" t="str">
        <f t="shared" si="52"/>
        <v>0</v>
      </c>
    </row>
    <row r="953" spans="1:16">
      <c r="A953"/>
      <c r="B953" s="34"/>
      <c r="C953" s="34"/>
      <c r="D953" s="355"/>
      <c r="E953"/>
      <c r="F953" s="57"/>
      <c r="G953" s="57"/>
      <c r="H953" s="1082">
        <f t="shared" si="53"/>
        <v>0</v>
      </c>
      <c r="I953"/>
      <c r="J953" s="1334" t="e">
        <f>VLOOKUP(C953,Acc_Char!B:K,3,)</f>
        <v>#N/A</v>
      </c>
      <c r="K953" s="1334" t="e">
        <f>VLOOKUP(C953,Acc_Char!B:K,7,)</f>
        <v>#N/A</v>
      </c>
      <c r="L953" s="1334">
        <f t="shared" si="51"/>
        <v>0</v>
      </c>
      <c r="M953" s="1335" t="e">
        <f>VLOOKUP(C953,Acc_Char!B:K,5,)</f>
        <v>#N/A</v>
      </c>
      <c r="N953" s="1335" t="e">
        <f>VLOOKUP(C953,Acc_Char!B:K,6,)</f>
        <v>#N/A</v>
      </c>
      <c r="O953" s="1336" t="str">
        <f>Summary!$B$4</f>
        <v>W1-2Jan26</v>
      </c>
      <c r="P953" s="1334" t="str">
        <f t="shared" si="52"/>
        <v>0</v>
      </c>
    </row>
    <row r="954" spans="1:16">
      <c r="A954"/>
      <c r="B954" s="34"/>
      <c r="C954" s="34"/>
      <c r="D954" s="355"/>
      <c r="E954"/>
      <c r="F954" s="57"/>
      <c r="G954" s="57"/>
      <c r="H954" s="1082">
        <f t="shared" si="53"/>
        <v>0</v>
      </c>
      <c r="I954" s="1333"/>
      <c r="J954" s="1334" t="e">
        <f>VLOOKUP(C954,Acc_Char!B:K,3,)</f>
        <v>#N/A</v>
      </c>
      <c r="K954" s="1334" t="e">
        <f>VLOOKUP(C954,Acc_Char!B:K,7,)</f>
        <v>#N/A</v>
      </c>
      <c r="L954" s="1334">
        <f t="shared" si="51"/>
        <v>0</v>
      </c>
      <c r="M954" s="1335" t="e">
        <f>VLOOKUP(C954,Acc_Char!B:K,5,)</f>
        <v>#N/A</v>
      </c>
      <c r="N954" s="1335" t="e">
        <f>VLOOKUP(C954,Acc_Char!B:K,6,)</f>
        <v>#N/A</v>
      </c>
      <c r="O954" s="1336" t="str">
        <f>Summary!$B$4</f>
        <v>W1-2Jan26</v>
      </c>
      <c r="P954" s="1334" t="str">
        <f t="shared" si="52"/>
        <v>0</v>
      </c>
    </row>
    <row r="955" spans="1:16">
      <c r="A955"/>
      <c r="B955" s="34"/>
      <c r="C955" s="34"/>
      <c r="D955" s="355"/>
      <c r="E955"/>
      <c r="F955" s="57"/>
      <c r="G955" s="57"/>
      <c r="H955" s="1082">
        <f t="shared" si="53"/>
        <v>0</v>
      </c>
      <c r="I955" s="1345"/>
      <c r="J955" s="1334" t="e">
        <f>VLOOKUP(C955,Acc_Char!B:K,3,)</f>
        <v>#N/A</v>
      </c>
      <c r="K955" s="1334" t="e">
        <f>VLOOKUP(C955,Acc_Char!B:K,7,)</f>
        <v>#N/A</v>
      </c>
      <c r="L955" s="1334">
        <f t="shared" si="51"/>
        <v>0</v>
      </c>
      <c r="M955" s="1335" t="e">
        <f>VLOOKUP(C955,Acc_Char!B:K,5,)</f>
        <v>#N/A</v>
      </c>
      <c r="N955" s="1335" t="e">
        <f>VLOOKUP(C955,Acc_Char!B:K,6,)</f>
        <v>#N/A</v>
      </c>
      <c r="O955" s="1336" t="str">
        <f>Summary!$B$4</f>
        <v>W1-2Jan26</v>
      </c>
      <c r="P955" s="1334" t="str">
        <f t="shared" si="52"/>
        <v>0</v>
      </c>
    </row>
    <row r="956" spans="1:16">
      <c r="A956"/>
      <c r="B956" s="34"/>
      <c r="C956" s="34"/>
      <c r="D956" s="355"/>
      <c r="E956"/>
      <c r="F956" s="57"/>
      <c r="G956" s="57"/>
      <c r="H956" s="1082">
        <f t="shared" si="53"/>
        <v>0</v>
      </c>
      <c r="I956" s="1333"/>
      <c r="J956" s="1334" t="e">
        <f>VLOOKUP(C956,Acc_Char!B:K,3,)</f>
        <v>#N/A</v>
      </c>
      <c r="K956" s="1334" t="e">
        <f>VLOOKUP(C956,Acc_Char!B:K,7,)</f>
        <v>#N/A</v>
      </c>
      <c r="L956" s="1334">
        <f t="shared" si="51"/>
        <v>0</v>
      </c>
      <c r="M956" s="1335" t="e">
        <f>VLOOKUP(C956,Acc_Char!B:K,5,)</f>
        <v>#N/A</v>
      </c>
      <c r="N956" s="1335" t="e">
        <f>VLOOKUP(C956,Acc_Char!B:K,6,)</f>
        <v>#N/A</v>
      </c>
      <c r="O956" s="1336" t="str">
        <f>Summary!$B$4</f>
        <v>W1-2Jan26</v>
      </c>
      <c r="P956" s="1334" t="str">
        <f t="shared" si="52"/>
        <v>0</v>
      </c>
    </row>
    <row r="957" spans="1:16">
      <c r="A957"/>
      <c r="B957" s="34"/>
      <c r="C957" s="34"/>
      <c r="D957" s="355"/>
      <c r="E957"/>
      <c r="F957" s="57"/>
      <c r="G957" s="57"/>
      <c r="H957" s="1082">
        <f t="shared" si="53"/>
        <v>0</v>
      </c>
      <c r="I957" s="1333"/>
      <c r="J957" s="1334" t="e">
        <f>VLOOKUP(C957,Acc_Char!B:K,3,)</f>
        <v>#N/A</v>
      </c>
      <c r="K957" s="1334" t="e">
        <f>VLOOKUP(C957,Acc_Char!B:K,7,)</f>
        <v>#N/A</v>
      </c>
      <c r="L957" s="1334">
        <f t="shared" si="51"/>
        <v>0</v>
      </c>
      <c r="M957" s="1335" t="e">
        <f>VLOOKUP(C957,Acc_Char!B:K,5,)</f>
        <v>#N/A</v>
      </c>
      <c r="N957" s="1335" t="e">
        <f>VLOOKUP(C957,Acc_Char!B:K,6,)</f>
        <v>#N/A</v>
      </c>
      <c r="O957" s="1336" t="str">
        <f>Summary!$B$4</f>
        <v>W1-2Jan26</v>
      </c>
      <c r="P957" s="1334" t="str">
        <f t="shared" si="52"/>
        <v>0</v>
      </c>
    </row>
    <row r="958" spans="1:16">
      <c r="A958"/>
      <c r="B958" s="34"/>
      <c r="C958" s="34"/>
      <c r="D958" s="355"/>
      <c r="E958"/>
      <c r="F958" s="57"/>
      <c r="G958" s="57"/>
      <c r="H958" s="1082">
        <f t="shared" si="53"/>
        <v>0</v>
      </c>
      <c r="I958" s="1333"/>
      <c r="J958" s="1334" t="e">
        <f>VLOOKUP(C958,Acc_Char!B:K,3,)</f>
        <v>#N/A</v>
      </c>
      <c r="K958" s="1334" t="e">
        <f>VLOOKUP(C958,Acc_Char!B:K,7,)</f>
        <v>#N/A</v>
      </c>
      <c r="L958" s="1334">
        <f t="shared" si="51"/>
        <v>0</v>
      </c>
      <c r="M958" s="1335" t="e">
        <f>VLOOKUP(C958,Acc_Char!B:K,5,)</f>
        <v>#N/A</v>
      </c>
      <c r="N958" s="1335" t="e">
        <f>VLOOKUP(C958,Acc_Char!B:K,6,)</f>
        <v>#N/A</v>
      </c>
      <c r="O958" s="1336" t="str">
        <f>Summary!$B$4</f>
        <v>W1-2Jan26</v>
      </c>
      <c r="P958" s="1334" t="str">
        <f t="shared" si="52"/>
        <v>0</v>
      </c>
    </row>
    <row r="959" spans="1:16">
      <c r="A959"/>
      <c r="B959" s="34"/>
      <c r="C959" s="34"/>
      <c r="D959" s="355"/>
      <c r="E959"/>
      <c r="F959" s="57"/>
      <c r="G959" s="57"/>
      <c r="H959" s="1082">
        <f t="shared" si="53"/>
        <v>0</v>
      </c>
      <c r="I959" s="1333"/>
      <c r="J959" s="1334" t="e">
        <f>VLOOKUP(C959,Acc_Char!B:K,3,)</f>
        <v>#N/A</v>
      </c>
      <c r="K959" s="1334" t="e">
        <f>VLOOKUP(C959,Acc_Char!B:K,7,)</f>
        <v>#N/A</v>
      </c>
      <c r="L959" s="1334">
        <f t="shared" si="51"/>
        <v>0</v>
      </c>
      <c r="M959" s="1335" t="e">
        <f>VLOOKUP(C959,Acc_Char!B:K,5,)</f>
        <v>#N/A</v>
      </c>
      <c r="N959" s="1335" t="e">
        <f>VLOOKUP(C959,Acc_Char!B:K,6,)</f>
        <v>#N/A</v>
      </c>
      <c r="O959" s="1336" t="str">
        <f>Summary!$B$4</f>
        <v>W1-2Jan26</v>
      </c>
      <c r="P959" s="1334" t="str">
        <f t="shared" si="52"/>
        <v>0</v>
      </c>
    </row>
    <row r="960" spans="1:16">
      <c r="A960"/>
      <c r="B960" s="34"/>
      <c r="C960" s="34"/>
      <c r="D960" s="355"/>
      <c r="E960"/>
      <c r="F960" s="57"/>
      <c r="G960" s="57"/>
      <c r="H960" s="1082">
        <f t="shared" si="53"/>
        <v>0</v>
      </c>
      <c r="I960" s="1345"/>
      <c r="J960" s="1334" t="e">
        <f>VLOOKUP(C960,Acc_Char!B:K,3,)</f>
        <v>#N/A</v>
      </c>
      <c r="K960" s="1334" t="e">
        <f>VLOOKUP(C960,Acc_Char!B:K,7,)</f>
        <v>#N/A</v>
      </c>
      <c r="L960" s="1334">
        <f t="shared" si="51"/>
        <v>0</v>
      </c>
      <c r="M960" s="1335" t="e">
        <f>VLOOKUP(C960,Acc_Char!B:K,5,)</f>
        <v>#N/A</v>
      </c>
      <c r="N960" s="1335" t="e">
        <f>VLOOKUP(C960,Acc_Char!B:K,6,)</f>
        <v>#N/A</v>
      </c>
      <c r="O960" s="1336" t="str">
        <f>Summary!$B$4</f>
        <v>W1-2Jan26</v>
      </c>
      <c r="P960" s="1334" t="str">
        <f t="shared" si="52"/>
        <v>0</v>
      </c>
    </row>
    <row r="961" spans="1:17">
      <c r="A961"/>
      <c r="B961" s="34"/>
      <c r="C961" s="34"/>
      <c r="D961" s="355"/>
      <c r="E961"/>
      <c r="F961" s="57"/>
      <c r="G961" s="57"/>
      <c r="H961" s="1082">
        <f t="shared" si="53"/>
        <v>0</v>
      </c>
      <c r="I961" s="1333"/>
      <c r="J961" s="1334" t="e">
        <f>VLOOKUP(C961,Acc_Char!B:K,3,)</f>
        <v>#N/A</v>
      </c>
      <c r="K961" s="1334" t="e">
        <f>VLOOKUP(C961,Acc_Char!B:K,7,)</f>
        <v>#N/A</v>
      </c>
      <c r="L961" s="1334">
        <f t="shared" si="51"/>
        <v>0</v>
      </c>
      <c r="M961" s="1335" t="e">
        <f>VLOOKUP(C961,Acc_Char!B:K,5,)</f>
        <v>#N/A</v>
      </c>
      <c r="N961" s="1335" t="e">
        <f>VLOOKUP(C961,Acc_Char!B:K,6,)</f>
        <v>#N/A</v>
      </c>
      <c r="O961" s="1336" t="str">
        <f>Summary!$B$4</f>
        <v>W1-2Jan26</v>
      </c>
      <c r="P961" s="1334" t="str">
        <f t="shared" si="52"/>
        <v>0</v>
      </c>
    </row>
    <row r="962" spans="1:17">
      <c r="A962"/>
      <c r="B962" s="34"/>
      <c r="C962" s="34"/>
      <c r="D962" s="355"/>
      <c r="E962"/>
      <c r="F962" s="57"/>
      <c r="G962" s="57"/>
      <c r="H962" s="1082">
        <f t="shared" si="53"/>
        <v>0</v>
      </c>
      <c r="I962"/>
      <c r="J962" s="1334" t="e">
        <f>VLOOKUP(C962,Acc_Char!B:K,3,)</f>
        <v>#N/A</v>
      </c>
      <c r="K962" s="1334" t="e">
        <f>VLOOKUP(C962,Acc_Char!B:K,7,)</f>
        <v>#N/A</v>
      </c>
      <c r="L962" s="1334">
        <f t="shared" si="51"/>
        <v>0</v>
      </c>
      <c r="M962" s="1335" t="e">
        <f>VLOOKUP(C962,Acc_Char!B:K,5,)</f>
        <v>#N/A</v>
      </c>
      <c r="N962" s="1335" t="e">
        <f>VLOOKUP(C962,Acc_Char!B:K,6,)</f>
        <v>#N/A</v>
      </c>
      <c r="O962" s="1336" t="str">
        <f>Summary!$B$4</f>
        <v>W1-2Jan26</v>
      </c>
      <c r="P962" s="1334" t="str">
        <f t="shared" si="52"/>
        <v>0</v>
      </c>
    </row>
    <row r="963" spans="1:17">
      <c r="A963"/>
      <c r="B963" s="34"/>
      <c r="C963" s="34"/>
      <c r="D963" s="355"/>
      <c r="E963"/>
      <c r="F963" s="57"/>
      <c r="G963" s="57"/>
      <c r="H963" s="1082">
        <f t="shared" si="53"/>
        <v>0</v>
      </c>
      <c r="I963" s="47"/>
      <c r="J963" s="1334" t="e">
        <f>VLOOKUP(C963,Acc_Char!B:K,3,)</f>
        <v>#N/A</v>
      </c>
      <c r="K963" s="1334" t="e">
        <f>VLOOKUP(C963,Acc_Char!B:K,7,)</f>
        <v>#N/A</v>
      </c>
      <c r="L963" s="1334">
        <f t="shared" si="51"/>
        <v>0</v>
      </c>
      <c r="M963" s="1335" t="e">
        <f>VLOOKUP(C963,Acc_Char!B:K,5,)</f>
        <v>#N/A</v>
      </c>
      <c r="N963" s="1335" t="e">
        <f>VLOOKUP(C963,Acc_Char!B:K,6,)</f>
        <v>#N/A</v>
      </c>
      <c r="O963" s="1336" t="str">
        <f>Summary!$B$4</f>
        <v>W1-2Jan26</v>
      </c>
      <c r="P963" s="1334" t="str">
        <f t="shared" si="52"/>
        <v>0</v>
      </c>
    </row>
    <row r="964" spans="1:17">
      <c r="A964"/>
      <c r="B964" s="34"/>
      <c r="C964" s="34"/>
      <c r="D964" s="355"/>
      <c r="E964"/>
      <c r="F964" s="57"/>
      <c r="G964" s="57"/>
      <c r="H964" s="1082">
        <f t="shared" si="53"/>
        <v>0</v>
      </c>
      <c r="I964" s="47"/>
      <c r="J964" s="1334" t="e">
        <f>VLOOKUP(C964,Acc_Char!B:K,3,)</f>
        <v>#N/A</v>
      </c>
      <c r="K964" s="1334" t="e">
        <f>VLOOKUP(C964,Acc_Char!B:K,7,)</f>
        <v>#N/A</v>
      </c>
      <c r="L964" s="1334">
        <f t="shared" si="51"/>
        <v>0</v>
      </c>
      <c r="M964" s="1335" t="e">
        <f>VLOOKUP(C964,Acc_Char!B:K,5,)</f>
        <v>#N/A</v>
      </c>
      <c r="N964" s="1335" t="e">
        <f>VLOOKUP(C964,Acc_Char!B:K,6,)</f>
        <v>#N/A</v>
      </c>
      <c r="O964" s="1336" t="str">
        <f>Summary!$B$4</f>
        <v>W1-2Jan26</v>
      </c>
      <c r="P964" s="1334" t="str">
        <f t="shared" si="52"/>
        <v>0</v>
      </c>
      <c r="Q964" s="1024"/>
    </row>
    <row r="965" spans="1:17">
      <c r="A965"/>
      <c r="B965" s="34"/>
      <c r="C965" s="34"/>
      <c r="D965" s="355"/>
      <c r="E965"/>
      <c r="F965" s="57"/>
      <c r="G965" s="57"/>
      <c r="H965" s="1082">
        <f t="shared" si="53"/>
        <v>0</v>
      </c>
      <c r="I965" s="47"/>
      <c r="J965" s="1334" t="e">
        <f>VLOOKUP(C965,Acc_Char!B:K,3,)</f>
        <v>#N/A</v>
      </c>
      <c r="K965" s="1334" t="e">
        <f>VLOOKUP(C965,Acc_Char!B:K,7,)</f>
        <v>#N/A</v>
      </c>
      <c r="L965" s="1334">
        <f t="shared" ref="L965:L1028" si="55">I965</f>
        <v>0</v>
      </c>
      <c r="M965" s="1335" t="e">
        <f>VLOOKUP(C965,Acc_Char!B:K,5,)</f>
        <v>#N/A</v>
      </c>
      <c r="N965" s="1335" t="e">
        <f>VLOOKUP(C965,Acc_Char!B:K,6,)</f>
        <v>#N/A</v>
      </c>
      <c r="O965" s="1336" t="str">
        <f>Summary!$B$4</f>
        <v>W1-2Jan26</v>
      </c>
      <c r="P965" s="1334" t="str">
        <f t="shared" ref="P965:P1028" si="56">TEXT(C965,"0")</f>
        <v>0</v>
      </c>
      <c r="Q965" s="1024"/>
    </row>
    <row r="966" spans="1:17">
      <c r="A966"/>
      <c r="B966" s="34"/>
      <c r="C966" s="34"/>
      <c r="D966" s="355"/>
      <c r="E966"/>
      <c r="F966" s="57"/>
      <c r="G966" s="57"/>
      <c r="H966" s="1082">
        <f t="shared" si="53"/>
        <v>0</v>
      </c>
      <c r="I966" s="47"/>
      <c r="J966" s="1334" t="e">
        <f>VLOOKUP(C966,Acc_Char!B:K,3,)</f>
        <v>#N/A</v>
      </c>
      <c r="K966" s="1334" t="e">
        <f>VLOOKUP(C966,Acc_Char!B:K,7,)</f>
        <v>#N/A</v>
      </c>
      <c r="L966" s="1334">
        <f t="shared" si="55"/>
        <v>0</v>
      </c>
      <c r="M966" s="1335" t="e">
        <f>VLOOKUP(C966,Acc_Char!B:K,5,)</f>
        <v>#N/A</v>
      </c>
      <c r="N966" s="1335" t="e">
        <f>VLOOKUP(C966,Acc_Char!B:K,6,)</f>
        <v>#N/A</v>
      </c>
      <c r="O966" s="1336" t="str">
        <f>Summary!$B$4</f>
        <v>W1-2Jan26</v>
      </c>
      <c r="P966" s="1334" t="str">
        <f t="shared" si="56"/>
        <v>0</v>
      </c>
      <c r="Q966" s="1024"/>
    </row>
    <row r="967" spans="1:17">
      <c r="A967"/>
      <c r="B967" s="34"/>
      <c r="C967" s="34"/>
      <c r="D967" s="355"/>
      <c r="E967"/>
      <c r="F967" s="57"/>
      <c r="G967" s="57"/>
      <c r="H967" s="1082">
        <f t="shared" si="53"/>
        <v>0</v>
      </c>
      <c r="I967" s="47"/>
      <c r="J967" s="1334" t="e">
        <f>VLOOKUP(C967,Acc_Char!B:K,3,)</f>
        <v>#N/A</v>
      </c>
      <c r="K967" s="1334" t="e">
        <f>VLOOKUP(C967,Acc_Char!B:K,7,)</f>
        <v>#N/A</v>
      </c>
      <c r="L967" s="1334">
        <f t="shared" si="55"/>
        <v>0</v>
      </c>
      <c r="M967" s="1335" t="e">
        <f>VLOOKUP(C967,Acc_Char!B:K,5,)</f>
        <v>#N/A</v>
      </c>
      <c r="N967" s="1335" t="e">
        <f>VLOOKUP(C967,Acc_Char!B:K,6,)</f>
        <v>#N/A</v>
      </c>
      <c r="O967" s="1336" t="str">
        <f>Summary!$B$4</f>
        <v>W1-2Jan26</v>
      </c>
      <c r="P967" s="1334" t="str">
        <f t="shared" si="56"/>
        <v>0</v>
      </c>
      <c r="Q967" s="1024"/>
    </row>
    <row r="968" spans="1:17">
      <c r="A968"/>
      <c r="B968" s="34"/>
      <c r="C968" s="34"/>
      <c r="D968" s="355"/>
      <c r="E968"/>
      <c r="F968" s="57"/>
      <c r="G968" s="57"/>
      <c r="H968" s="1082">
        <f t="shared" si="53"/>
        <v>0</v>
      </c>
      <c r="I968" s="47"/>
      <c r="J968" s="1334" t="e">
        <f>VLOOKUP(C968,Acc_Char!B:K,3,)</f>
        <v>#N/A</v>
      </c>
      <c r="K968" s="1334" t="e">
        <f>VLOOKUP(C968,Acc_Char!B:K,7,)</f>
        <v>#N/A</v>
      </c>
      <c r="L968" s="1334">
        <f t="shared" si="55"/>
        <v>0</v>
      </c>
      <c r="M968" s="1335" t="e">
        <f>VLOOKUP(C968,Acc_Char!B:K,5,)</f>
        <v>#N/A</v>
      </c>
      <c r="N968" s="1335" t="e">
        <f>VLOOKUP(C968,Acc_Char!B:K,6,)</f>
        <v>#N/A</v>
      </c>
      <c r="O968" s="1336" t="str">
        <f>Summary!$B$4</f>
        <v>W1-2Jan26</v>
      </c>
      <c r="P968" s="1334" t="str">
        <f t="shared" si="56"/>
        <v>0</v>
      </c>
    </row>
    <row r="969" spans="1:17">
      <c r="A969"/>
      <c r="B969" s="34"/>
      <c r="C969" s="34"/>
      <c r="D969" s="355"/>
      <c r="E969"/>
      <c r="F969" s="57"/>
      <c r="G969" s="57"/>
      <c r="H969" s="1082">
        <f t="shared" si="53"/>
        <v>0</v>
      </c>
      <c r="I969" s="47"/>
      <c r="J969" s="1334" t="e">
        <f>VLOOKUP(C969,Acc_Char!B:K,3,)</f>
        <v>#N/A</v>
      </c>
      <c r="K969" s="1334" t="e">
        <f>VLOOKUP(C969,Acc_Char!B:K,7,)</f>
        <v>#N/A</v>
      </c>
      <c r="L969" s="1334">
        <f t="shared" si="55"/>
        <v>0</v>
      </c>
      <c r="M969" s="1335" t="e">
        <f>VLOOKUP(C969,Acc_Char!B:K,5,)</f>
        <v>#N/A</v>
      </c>
      <c r="N969" s="1335" t="e">
        <f>VLOOKUP(C969,Acc_Char!B:K,6,)</f>
        <v>#N/A</v>
      </c>
      <c r="O969" s="1336" t="str">
        <f>Summary!$B$4</f>
        <v>W1-2Jan26</v>
      </c>
      <c r="P969" s="1334" t="str">
        <f t="shared" si="56"/>
        <v>0</v>
      </c>
    </row>
    <row r="970" spans="1:17">
      <c r="A970"/>
      <c r="B970" s="34"/>
      <c r="C970" s="34"/>
      <c r="D970" s="355"/>
      <c r="E970"/>
      <c r="F970" s="57"/>
      <c r="G970" s="57"/>
      <c r="H970" s="1082">
        <f t="shared" si="53"/>
        <v>0</v>
      </c>
      <c r="I970" s="47"/>
      <c r="J970" s="1334" t="e">
        <f>VLOOKUP(C970,Acc_Char!B:K,3,)</f>
        <v>#N/A</v>
      </c>
      <c r="K970" s="1334" t="e">
        <f>VLOOKUP(C970,Acc_Char!B:K,7,)</f>
        <v>#N/A</v>
      </c>
      <c r="L970" s="1334">
        <f t="shared" si="55"/>
        <v>0</v>
      </c>
      <c r="M970" s="1335" t="e">
        <f>VLOOKUP(C970,Acc_Char!B:K,5,)</f>
        <v>#N/A</v>
      </c>
      <c r="N970" s="1335" t="e">
        <f>VLOOKUP(C970,Acc_Char!B:K,6,)</f>
        <v>#N/A</v>
      </c>
      <c r="O970" s="1336" t="str">
        <f>Summary!$B$4</f>
        <v>W1-2Jan26</v>
      </c>
      <c r="P970" s="1334" t="str">
        <f t="shared" si="56"/>
        <v>0</v>
      </c>
    </row>
    <row r="971" spans="1:17">
      <c r="A971"/>
      <c r="B971" s="34"/>
      <c r="C971" s="34"/>
      <c r="D971" s="355"/>
      <c r="E971"/>
      <c r="F971" s="57"/>
      <c r="G971" s="57"/>
      <c r="H971" s="1082">
        <f t="shared" si="53"/>
        <v>0</v>
      </c>
      <c r="I971" s="47"/>
      <c r="J971" s="1334" t="e">
        <f>VLOOKUP(C971,Acc_Char!B:K,3,)</f>
        <v>#N/A</v>
      </c>
      <c r="K971" s="1334" t="e">
        <f>VLOOKUP(C971,Acc_Char!B:K,7,)</f>
        <v>#N/A</v>
      </c>
      <c r="L971" s="1334">
        <f t="shared" si="55"/>
        <v>0</v>
      </c>
      <c r="M971" s="1335" t="e">
        <f>VLOOKUP(C971,Acc_Char!B:K,5,)</f>
        <v>#N/A</v>
      </c>
      <c r="N971" s="1335" t="e">
        <f>VLOOKUP(C971,Acc_Char!B:K,6,)</f>
        <v>#N/A</v>
      </c>
      <c r="O971" s="1336" t="str">
        <f>Summary!$B$4</f>
        <v>W1-2Jan26</v>
      </c>
      <c r="P971" s="1334" t="str">
        <f t="shared" si="56"/>
        <v>0</v>
      </c>
    </row>
    <row r="972" spans="1:17">
      <c r="A972"/>
      <c r="B972" s="34"/>
      <c r="C972" s="34"/>
      <c r="D972" s="355"/>
      <c r="E972"/>
      <c r="F972" s="57"/>
      <c r="G972" s="57"/>
      <c r="H972" s="1082">
        <f t="shared" si="53"/>
        <v>0</v>
      </c>
      <c r="I972" s="47"/>
      <c r="J972" s="1334" t="e">
        <f>VLOOKUP(C972,Acc_Char!B:K,3,)</f>
        <v>#N/A</v>
      </c>
      <c r="K972" s="1334" t="e">
        <f>VLOOKUP(C972,Acc_Char!B:K,7,)</f>
        <v>#N/A</v>
      </c>
      <c r="L972" s="1334">
        <f t="shared" si="55"/>
        <v>0</v>
      </c>
      <c r="M972" s="1335" t="e">
        <f>VLOOKUP(C972,Acc_Char!B:K,5,)</f>
        <v>#N/A</v>
      </c>
      <c r="N972" s="1335" t="e">
        <f>VLOOKUP(C972,Acc_Char!B:K,6,)</f>
        <v>#N/A</v>
      </c>
      <c r="O972" s="1336" t="str">
        <f>Summary!$B$4</f>
        <v>W1-2Jan26</v>
      </c>
      <c r="P972" s="1334" t="str">
        <f t="shared" si="56"/>
        <v>0</v>
      </c>
    </row>
    <row r="973" spans="1:17">
      <c r="A973"/>
      <c r="B973" s="34"/>
      <c r="C973" s="34"/>
      <c r="D973" s="355"/>
      <c r="E973"/>
      <c r="F973" s="57"/>
      <c r="G973" s="57"/>
      <c r="H973" s="1082">
        <f t="shared" si="53"/>
        <v>0</v>
      </c>
      <c r="I973" s="47"/>
      <c r="J973" s="1334" t="e">
        <f>VLOOKUP(C973,Acc_Char!B:K,3,)</f>
        <v>#N/A</v>
      </c>
      <c r="K973" s="1334" t="e">
        <f>VLOOKUP(C973,Acc_Char!B:K,7,)</f>
        <v>#N/A</v>
      </c>
      <c r="L973" s="1334">
        <f t="shared" si="55"/>
        <v>0</v>
      </c>
      <c r="M973" s="1335" t="e">
        <f>VLOOKUP(C973,Acc_Char!B:K,5,)</f>
        <v>#N/A</v>
      </c>
      <c r="N973" s="1335" t="e">
        <f>VLOOKUP(C973,Acc_Char!B:K,6,)</f>
        <v>#N/A</v>
      </c>
      <c r="O973" s="1336" t="str">
        <f>Summary!$B$4</f>
        <v>W1-2Jan26</v>
      </c>
      <c r="P973" s="1334" t="str">
        <f t="shared" si="56"/>
        <v>0</v>
      </c>
    </row>
    <row r="974" spans="1:17">
      <c r="A974"/>
      <c r="B974" s="34"/>
      <c r="C974" s="34"/>
      <c r="D974" s="355"/>
      <c r="E974" s="1346"/>
      <c r="F974" s="57"/>
      <c r="G974" s="57"/>
      <c r="H974" s="1082">
        <f t="shared" si="53"/>
        <v>0</v>
      </c>
      <c r="I974" s="47"/>
      <c r="J974" s="1334" t="e">
        <f>VLOOKUP(C974,Acc_Char!B:K,3,)</f>
        <v>#N/A</v>
      </c>
      <c r="K974" s="1334" t="e">
        <f>VLOOKUP(C974,Acc_Char!B:K,7,)</f>
        <v>#N/A</v>
      </c>
      <c r="L974" s="1334">
        <f t="shared" si="55"/>
        <v>0</v>
      </c>
      <c r="M974" s="1335" t="e">
        <f>VLOOKUP(C974,Acc_Char!B:K,5,)</f>
        <v>#N/A</v>
      </c>
      <c r="N974" s="1335" t="e">
        <f>VLOOKUP(C974,Acc_Char!B:K,6,)</f>
        <v>#N/A</v>
      </c>
      <c r="O974" s="1336" t="str">
        <f>Summary!$B$4</f>
        <v>W1-2Jan26</v>
      </c>
      <c r="P974" s="1334" t="str">
        <f t="shared" si="56"/>
        <v>0</v>
      </c>
    </row>
    <row r="975" spans="1:17">
      <c r="A975"/>
      <c r="B975" s="34"/>
      <c r="C975" s="34"/>
      <c r="D975" s="355"/>
      <c r="E975" s="1346"/>
      <c r="F975" s="57"/>
      <c r="G975" s="57"/>
      <c r="H975" s="1082">
        <f t="shared" si="53"/>
        <v>0</v>
      </c>
      <c r="I975" s="47"/>
      <c r="J975" s="1334" t="e">
        <f>VLOOKUP(C975,Acc_Char!B:K,3,)</f>
        <v>#N/A</v>
      </c>
      <c r="K975" s="1334" t="e">
        <f>VLOOKUP(C975,Acc_Char!B:K,7,)</f>
        <v>#N/A</v>
      </c>
      <c r="L975" s="1334">
        <f t="shared" si="55"/>
        <v>0</v>
      </c>
      <c r="M975" s="1335" t="e">
        <f>VLOOKUP(C975,Acc_Char!B:K,5,)</f>
        <v>#N/A</v>
      </c>
      <c r="N975" s="1335" t="e">
        <f>VLOOKUP(C975,Acc_Char!B:K,6,)</f>
        <v>#N/A</v>
      </c>
      <c r="O975" s="1336" t="str">
        <f>Summary!$B$4</f>
        <v>W1-2Jan26</v>
      </c>
      <c r="P975" s="1334" t="str">
        <f t="shared" si="56"/>
        <v>0</v>
      </c>
    </row>
    <row r="976" spans="1:17">
      <c r="A976"/>
      <c r="B976" s="34"/>
      <c r="C976" s="34"/>
      <c r="D976" s="355"/>
      <c r="E976" s="1346"/>
      <c r="F976" s="57"/>
      <c r="G976" s="57"/>
      <c r="H976" s="1082">
        <f t="shared" si="53"/>
        <v>0</v>
      </c>
      <c r="I976" s="47"/>
      <c r="J976" s="1334" t="e">
        <f>VLOOKUP(C976,Acc_Char!B:K,3,)</f>
        <v>#N/A</v>
      </c>
      <c r="K976" s="1334" t="e">
        <f>VLOOKUP(C976,Acc_Char!B:K,7,)</f>
        <v>#N/A</v>
      </c>
      <c r="L976" s="1334">
        <f t="shared" si="55"/>
        <v>0</v>
      </c>
      <c r="M976" s="1335" t="e">
        <f>VLOOKUP(C976,Acc_Char!B:K,5,)</f>
        <v>#N/A</v>
      </c>
      <c r="N976" s="1335" t="e">
        <f>VLOOKUP(C976,Acc_Char!B:K,6,)</f>
        <v>#N/A</v>
      </c>
      <c r="O976" s="1336" t="str">
        <f>Summary!$B$4</f>
        <v>W1-2Jan26</v>
      </c>
      <c r="P976" s="1334" t="str">
        <f t="shared" si="56"/>
        <v>0</v>
      </c>
    </row>
    <row r="977" spans="1:16">
      <c r="A977"/>
      <c r="B977" s="34"/>
      <c r="C977" s="34"/>
      <c r="D977" s="355"/>
      <c r="E977" s="1346"/>
      <c r="F977" s="57"/>
      <c r="G977" s="57"/>
      <c r="H977" s="1082">
        <f t="shared" si="53"/>
        <v>0</v>
      </c>
      <c r="I977" s="47"/>
      <c r="J977" s="1334" t="e">
        <f>VLOOKUP(C977,Acc_Char!B:K,3,)</f>
        <v>#N/A</v>
      </c>
      <c r="K977" s="1334" t="e">
        <f>VLOOKUP(C977,Acc_Char!B:K,7,)</f>
        <v>#N/A</v>
      </c>
      <c r="L977" s="1334">
        <f t="shared" si="55"/>
        <v>0</v>
      </c>
      <c r="M977" s="1335" t="e">
        <f>VLOOKUP(C977,Acc_Char!B:K,5,)</f>
        <v>#N/A</v>
      </c>
      <c r="N977" s="1335" t="e">
        <f>VLOOKUP(C977,Acc_Char!B:K,6,)</f>
        <v>#N/A</v>
      </c>
      <c r="O977" s="1336" t="str">
        <f>Summary!$B$4</f>
        <v>W1-2Jan26</v>
      </c>
      <c r="P977" s="1334" t="str">
        <f t="shared" si="56"/>
        <v>0</v>
      </c>
    </row>
    <row r="978" spans="1:16">
      <c r="A978"/>
      <c r="B978" s="34"/>
      <c r="C978" s="34"/>
      <c r="D978" s="355"/>
      <c r="E978" s="1346"/>
      <c r="F978" s="57"/>
      <c r="G978" s="57"/>
      <c r="H978" s="1082">
        <f t="shared" si="53"/>
        <v>0</v>
      </c>
      <c r="I978" s="1333"/>
      <c r="J978" s="1334" t="e">
        <f>VLOOKUP(C978,Acc_Char!B:K,3,)</f>
        <v>#N/A</v>
      </c>
      <c r="K978" s="1334" t="e">
        <f>VLOOKUP(C978,Acc_Char!B:K,7,)</f>
        <v>#N/A</v>
      </c>
      <c r="L978" s="1334">
        <f t="shared" si="55"/>
        <v>0</v>
      </c>
      <c r="M978" s="1335" t="e">
        <f>VLOOKUP(C978,Acc_Char!B:K,5,)</f>
        <v>#N/A</v>
      </c>
      <c r="N978" s="1335" t="e">
        <f>VLOOKUP(C978,Acc_Char!B:K,6,)</f>
        <v>#N/A</v>
      </c>
      <c r="O978" s="1336" t="str">
        <f>Summary!$B$4</f>
        <v>W1-2Jan26</v>
      </c>
      <c r="P978" s="1334" t="str">
        <f t="shared" si="56"/>
        <v>0</v>
      </c>
    </row>
    <row r="979" spans="1:16">
      <c r="A979"/>
      <c r="B979" s="34"/>
      <c r="C979" s="34"/>
      <c r="D979" s="355"/>
      <c r="E979" s="1346"/>
      <c r="F979" s="57"/>
      <c r="G979" s="57"/>
      <c r="H979" s="1082">
        <f t="shared" si="53"/>
        <v>0</v>
      </c>
      <c r="I979" s="47"/>
      <c r="J979" s="1334" t="e">
        <f>VLOOKUP(C979,Acc_Char!B:K,3,)</f>
        <v>#N/A</v>
      </c>
      <c r="K979" s="1334" t="e">
        <f>VLOOKUP(C979,Acc_Char!B:K,7,)</f>
        <v>#N/A</v>
      </c>
      <c r="L979" s="1334">
        <f t="shared" si="55"/>
        <v>0</v>
      </c>
      <c r="M979" s="1335" t="e">
        <f>VLOOKUP(C979,Acc_Char!B:K,5,)</f>
        <v>#N/A</v>
      </c>
      <c r="N979" s="1335" t="e">
        <f>VLOOKUP(C979,Acc_Char!B:K,6,)</f>
        <v>#N/A</v>
      </c>
      <c r="O979" s="1336" t="str">
        <f>Summary!$B$4</f>
        <v>W1-2Jan26</v>
      </c>
      <c r="P979" s="1334" t="str">
        <f t="shared" si="56"/>
        <v>0</v>
      </c>
    </row>
    <row r="980" spans="1:16">
      <c r="A980"/>
      <c r="B980" s="34"/>
      <c r="C980" s="34"/>
      <c r="D980" s="355"/>
      <c r="E980" s="1346"/>
      <c r="F980" s="57"/>
      <c r="G980" s="57"/>
      <c r="H980" s="1082">
        <f t="shared" si="53"/>
        <v>0</v>
      </c>
      <c r="I980" s="47"/>
      <c r="J980" s="1334" t="e">
        <f>VLOOKUP(C980,Acc_Char!B:K,3,)</f>
        <v>#N/A</v>
      </c>
      <c r="K980" s="1334" t="e">
        <f>VLOOKUP(C980,Acc_Char!B:K,7,)</f>
        <v>#N/A</v>
      </c>
      <c r="L980" s="1334">
        <f t="shared" si="55"/>
        <v>0</v>
      </c>
      <c r="M980" s="1335" t="e">
        <f>VLOOKUP(C980,Acc_Char!B:K,5,)</f>
        <v>#N/A</v>
      </c>
      <c r="N980" s="1335" t="e">
        <f>VLOOKUP(C980,Acc_Char!B:K,6,)</f>
        <v>#N/A</v>
      </c>
      <c r="O980" s="1336" t="str">
        <f>Summary!$B$4</f>
        <v>W1-2Jan26</v>
      </c>
      <c r="P980" s="1334" t="str">
        <f t="shared" si="56"/>
        <v>0</v>
      </c>
    </row>
    <row r="981" spans="1:16">
      <c r="A981"/>
      <c r="B981" s="34"/>
      <c r="C981" s="34"/>
      <c r="D981" s="355"/>
      <c r="E981" s="1346"/>
      <c r="F981" s="57"/>
      <c r="G981" s="57"/>
      <c r="H981" s="1082">
        <f t="shared" si="53"/>
        <v>0</v>
      </c>
      <c r="I981" s="47"/>
      <c r="J981" s="1334" t="e">
        <f>VLOOKUP(C981,Acc_Char!B:K,3,)</f>
        <v>#N/A</v>
      </c>
      <c r="K981" s="1334" t="e">
        <f>VLOOKUP(C981,Acc_Char!B:K,7,)</f>
        <v>#N/A</v>
      </c>
      <c r="L981" s="1334">
        <f t="shared" si="55"/>
        <v>0</v>
      </c>
      <c r="M981" s="1335" t="e">
        <f>VLOOKUP(C981,Acc_Char!B:K,5,)</f>
        <v>#N/A</v>
      </c>
      <c r="N981" s="1335" t="e">
        <f>VLOOKUP(C981,Acc_Char!B:K,6,)</f>
        <v>#N/A</v>
      </c>
      <c r="O981" s="1336" t="str">
        <f>Summary!$B$4</f>
        <v>W1-2Jan26</v>
      </c>
      <c r="P981" s="1334" t="str">
        <f t="shared" si="56"/>
        <v>0</v>
      </c>
    </row>
    <row r="982" spans="1:16">
      <c r="A982"/>
      <c r="B982" s="34"/>
      <c r="C982" s="34"/>
      <c r="D982" s="355"/>
      <c r="E982" s="1346"/>
      <c r="F982" s="57"/>
      <c r="G982" s="57"/>
      <c r="H982" s="1082">
        <f t="shared" si="53"/>
        <v>0</v>
      </c>
      <c r="I982" s="47"/>
      <c r="J982" s="1334" t="e">
        <f>VLOOKUP(C982,Acc_Char!B:K,3,)</f>
        <v>#N/A</v>
      </c>
      <c r="K982" s="1334" t="e">
        <f>VLOOKUP(C982,Acc_Char!B:K,7,)</f>
        <v>#N/A</v>
      </c>
      <c r="L982" s="1334">
        <f t="shared" si="55"/>
        <v>0</v>
      </c>
      <c r="M982" s="1335" t="e">
        <f>VLOOKUP(C982,Acc_Char!B:K,5,)</f>
        <v>#N/A</v>
      </c>
      <c r="N982" s="1335" t="e">
        <f>VLOOKUP(C982,Acc_Char!B:K,6,)</f>
        <v>#N/A</v>
      </c>
      <c r="O982" s="1336" t="str">
        <f>Summary!$B$4</f>
        <v>W1-2Jan26</v>
      </c>
      <c r="P982" s="1334" t="str">
        <f t="shared" si="56"/>
        <v>0</v>
      </c>
    </row>
    <row r="983" spans="1:16">
      <c r="A983"/>
      <c r="B983" s="34"/>
      <c r="C983" s="34"/>
      <c r="D983" s="355"/>
      <c r="E983" s="1346"/>
      <c r="F983" s="57"/>
      <c r="G983" s="57"/>
      <c r="H983" s="1082">
        <f t="shared" si="53"/>
        <v>0</v>
      </c>
      <c r="I983" s="47"/>
      <c r="J983" s="1334" t="e">
        <f>VLOOKUP(C983,Acc_Char!B:K,3,)</f>
        <v>#N/A</v>
      </c>
      <c r="K983" s="1334" t="e">
        <f>VLOOKUP(C983,Acc_Char!B:K,7,)</f>
        <v>#N/A</v>
      </c>
      <c r="L983" s="1334">
        <f t="shared" si="55"/>
        <v>0</v>
      </c>
      <c r="M983" s="1335" t="e">
        <f>VLOOKUP(C983,Acc_Char!B:K,5,)</f>
        <v>#N/A</v>
      </c>
      <c r="N983" s="1335" t="e">
        <f>VLOOKUP(C983,Acc_Char!B:K,6,)</f>
        <v>#N/A</v>
      </c>
      <c r="O983" s="1336" t="str">
        <f>Summary!$B$4</f>
        <v>W1-2Jan26</v>
      </c>
      <c r="P983" s="1334" t="str">
        <f t="shared" si="56"/>
        <v>0</v>
      </c>
    </row>
    <row r="984" spans="1:16">
      <c r="A984"/>
      <c r="B984" s="34"/>
      <c r="C984" s="34"/>
      <c r="D984" s="355"/>
      <c r="E984" s="1346"/>
      <c r="F984" s="57"/>
      <c r="G984" s="57"/>
      <c r="H984" s="1082">
        <f t="shared" si="53"/>
        <v>0</v>
      </c>
      <c r="I984" s="47"/>
      <c r="J984" s="1334" t="e">
        <f>VLOOKUP(C984,Acc_Char!B:K,3,)</f>
        <v>#N/A</v>
      </c>
      <c r="K984" s="1334" t="e">
        <f>VLOOKUP(C984,Acc_Char!B:K,7,)</f>
        <v>#N/A</v>
      </c>
      <c r="L984" s="1334">
        <f t="shared" si="55"/>
        <v>0</v>
      </c>
      <c r="M984" s="1335" t="e">
        <f>VLOOKUP(C984,Acc_Char!B:K,5,)</f>
        <v>#N/A</v>
      </c>
      <c r="N984" s="1335" t="e">
        <f>VLOOKUP(C984,Acc_Char!B:K,6,)</f>
        <v>#N/A</v>
      </c>
      <c r="O984" s="1336" t="str">
        <f>Summary!$B$4</f>
        <v>W1-2Jan26</v>
      </c>
      <c r="P984" s="1334" t="str">
        <f t="shared" si="56"/>
        <v>0</v>
      </c>
    </row>
    <row r="985" spans="1:16">
      <c r="A985"/>
      <c r="B985" s="34"/>
      <c r="C985" s="34"/>
      <c r="D985" s="355"/>
      <c r="E985" s="1346"/>
      <c r="F985" s="57"/>
      <c r="G985" s="57"/>
      <c r="H985" s="1082">
        <f t="shared" si="53"/>
        <v>0</v>
      </c>
      <c r="I985" s="47"/>
      <c r="J985" s="1334" t="e">
        <f>VLOOKUP(C985,Acc_Char!B:K,3,)</f>
        <v>#N/A</v>
      </c>
      <c r="K985" s="1334" t="e">
        <f>VLOOKUP(C985,Acc_Char!B:K,7,)</f>
        <v>#N/A</v>
      </c>
      <c r="L985" s="1334">
        <f t="shared" si="55"/>
        <v>0</v>
      </c>
      <c r="M985" s="1335" t="e">
        <f>VLOOKUP(C985,Acc_Char!B:K,5,)</f>
        <v>#N/A</v>
      </c>
      <c r="N985" s="1335" t="e">
        <f>VLOOKUP(C985,Acc_Char!B:K,6,)</f>
        <v>#N/A</v>
      </c>
      <c r="O985" s="1336" t="str">
        <f>Summary!$B$4</f>
        <v>W1-2Jan26</v>
      </c>
      <c r="P985" s="1334" t="str">
        <f t="shared" si="56"/>
        <v>0</v>
      </c>
    </row>
    <row r="986" spans="1:16">
      <c r="A986"/>
      <c r="B986" s="34"/>
      <c r="C986" s="34"/>
      <c r="D986" s="355"/>
      <c r="E986" s="1346"/>
      <c r="F986" s="57"/>
      <c r="G986" s="57"/>
      <c r="H986" s="1082">
        <f t="shared" si="53"/>
        <v>0</v>
      </c>
      <c r="I986" s="1333"/>
      <c r="J986" s="1334" t="e">
        <f>VLOOKUP(C986,Acc_Char!B:K,3,)</f>
        <v>#N/A</v>
      </c>
      <c r="K986" s="1334" t="e">
        <f>VLOOKUP(C986,Acc_Char!B:K,7,)</f>
        <v>#N/A</v>
      </c>
      <c r="L986" s="1334">
        <f t="shared" si="55"/>
        <v>0</v>
      </c>
      <c r="M986" s="1335" t="e">
        <f>VLOOKUP(C986,Acc_Char!B:K,5,)</f>
        <v>#N/A</v>
      </c>
      <c r="N986" s="1335" t="e">
        <f>VLOOKUP(C986,Acc_Char!B:K,6,)</f>
        <v>#N/A</v>
      </c>
      <c r="O986" s="1336" t="str">
        <f>Summary!$B$4</f>
        <v>W1-2Jan26</v>
      </c>
      <c r="P986" s="1334" t="str">
        <f t="shared" si="56"/>
        <v>0</v>
      </c>
    </row>
    <row r="987" spans="1:16">
      <c r="A987"/>
      <c r="B987" s="34"/>
      <c r="C987" s="34"/>
      <c r="D987" s="355"/>
      <c r="E987" s="1346"/>
      <c r="F987" s="57"/>
      <c r="G987" s="57"/>
      <c r="H987" s="1082">
        <f t="shared" si="53"/>
        <v>0</v>
      </c>
      <c r="I987" s="1333"/>
      <c r="J987" s="1334" t="e">
        <f>VLOOKUP(C987,Acc_Char!B:K,3,)</f>
        <v>#N/A</v>
      </c>
      <c r="K987" s="1334" t="e">
        <f>VLOOKUP(C987,Acc_Char!B:K,7,)</f>
        <v>#N/A</v>
      </c>
      <c r="L987" s="1334">
        <f t="shared" si="55"/>
        <v>0</v>
      </c>
      <c r="M987" s="1335" t="e">
        <f>VLOOKUP(C987,Acc_Char!B:K,5,)</f>
        <v>#N/A</v>
      </c>
      <c r="N987" s="1335" t="e">
        <f>VLOOKUP(C987,Acc_Char!B:K,6,)</f>
        <v>#N/A</v>
      </c>
      <c r="O987" s="1336" t="str">
        <f>Summary!$B$4</f>
        <v>W1-2Jan26</v>
      </c>
      <c r="P987" s="1334" t="str">
        <f t="shared" si="56"/>
        <v>0</v>
      </c>
    </row>
    <row r="988" spans="1:16">
      <c r="A988"/>
      <c r="B988" s="34"/>
      <c r="C988" s="34"/>
      <c r="D988" s="355"/>
      <c r="E988" s="1346"/>
      <c r="F988" s="57"/>
      <c r="G988" s="57"/>
      <c r="H988" s="1082">
        <f t="shared" si="53"/>
        <v>0</v>
      </c>
      <c r="I988" s="1333"/>
      <c r="J988" s="1334" t="e">
        <f>VLOOKUP(C988,Acc_Char!B:K,3,)</f>
        <v>#N/A</v>
      </c>
      <c r="K988" s="1334" t="e">
        <f>VLOOKUP(C988,Acc_Char!B:K,7,)</f>
        <v>#N/A</v>
      </c>
      <c r="L988" s="1334">
        <f t="shared" si="55"/>
        <v>0</v>
      </c>
      <c r="M988" s="1335" t="e">
        <f>VLOOKUP(C988,Acc_Char!B:K,5,)</f>
        <v>#N/A</v>
      </c>
      <c r="N988" s="1335" t="e">
        <f>VLOOKUP(C988,Acc_Char!B:K,6,)</f>
        <v>#N/A</v>
      </c>
      <c r="O988" s="1336" t="str">
        <f>Summary!$B$4</f>
        <v>W1-2Jan26</v>
      </c>
      <c r="P988" s="1334" t="str">
        <f t="shared" si="56"/>
        <v>0</v>
      </c>
    </row>
    <row r="989" spans="1:16">
      <c r="A989"/>
      <c r="B989" s="34"/>
      <c r="C989" s="34"/>
      <c r="D989" s="355"/>
      <c r="E989" s="1346"/>
      <c r="F989" s="57"/>
      <c r="G989" s="57"/>
      <c r="H989" s="1082">
        <f t="shared" si="53"/>
        <v>0</v>
      </c>
      <c r="I989" s="1333"/>
      <c r="J989" s="1334" t="e">
        <f>VLOOKUP(C989,Acc_Char!B:K,3,)</f>
        <v>#N/A</v>
      </c>
      <c r="K989" s="1334" t="e">
        <f>VLOOKUP(C989,Acc_Char!B:K,7,)</f>
        <v>#N/A</v>
      </c>
      <c r="L989" s="1334">
        <f t="shared" si="55"/>
        <v>0</v>
      </c>
      <c r="M989" s="1335" t="e">
        <f>VLOOKUP(C989,Acc_Char!B:K,5,)</f>
        <v>#N/A</v>
      </c>
      <c r="N989" s="1335" t="e">
        <f>VLOOKUP(C989,Acc_Char!B:K,6,)</f>
        <v>#N/A</v>
      </c>
      <c r="O989" s="1336" t="str">
        <f>Summary!$B$4</f>
        <v>W1-2Jan26</v>
      </c>
      <c r="P989" s="1334" t="str">
        <f t="shared" si="56"/>
        <v>0</v>
      </c>
    </row>
    <row r="990" spans="1:16">
      <c r="A990"/>
      <c r="B990" s="34"/>
      <c r="C990" s="34"/>
      <c r="D990" s="355"/>
      <c r="E990" s="1346"/>
      <c r="F990" s="57"/>
      <c r="G990" s="57"/>
      <c r="H990" s="1082">
        <f t="shared" si="53"/>
        <v>0</v>
      </c>
      <c r="I990" s="1333"/>
      <c r="J990" s="1334" t="e">
        <f>VLOOKUP(C990,Acc_Char!B:K,3,)</f>
        <v>#N/A</v>
      </c>
      <c r="K990" s="1334" t="e">
        <f>VLOOKUP(C990,Acc_Char!B:K,7,)</f>
        <v>#N/A</v>
      </c>
      <c r="L990" s="1334">
        <f t="shared" si="55"/>
        <v>0</v>
      </c>
      <c r="M990" s="1335" t="e">
        <f>VLOOKUP(C990,Acc_Char!B:K,5,)</f>
        <v>#N/A</v>
      </c>
      <c r="N990" s="1335" t="e">
        <f>VLOOKUP(C990,Acc_Char!B:K,6,)</f>
        <v>#N/A</v>
      </c>
      <c r="O990" s="1336" t="str">
        <f>Summary!$B$4</f>
        <v>W1-2Jan26</v>
      </c>
      <c r="P990" s="1334" t="str">
        <f t="shared" si="56"/>
        <v>0</v>
      </c>
    </row>
    <row r="991" spans="1:16">
      <c r="A991"/>
      <c r="B991" s="34"/>
      <c r="C991" s="34"/>
      <c r="D991" s="355"/>
      <c r="E991"/>
      <c r="F991" s="57"/>
      <c r="G991" s="57"/>
      <c r="H991" s="1082">
        <f t="shared" si="53"/>
        <v>0</v>
      </c>
      <c r="I991" s="1333"/>
      <c r="J991" s="1334" t="e">
        <f>VLOOKUP(C991,Acc_Char!B:K,3,)</f>
        <v>#N/A</v>
      </c>
      <c r="K991" s="1334" t="e">
        <f>VLOOKUP(C991,Acc_Char!B:K,7,)</f>
        <v>#N/A</v>
      </c>
      <c r="L991" s="1334">
        <f t="shared" si="55"/>
        <v>0</v>
      </c>
      <c r="M991" s="1335" t="e">
        <f>VLOOKUP(C991,Acc_Char!B:K,5,)</f>
        <v>#N/A</v>
      </c>
      <c r="N991" s="1335" t="e">
        <f>VLOOKUP(C991,Acc_Char!B:K,6,)</f>
        <v>#N/A</v>
      </c>
      <c r="O991" s="1336" t="str">
        <f>Summary!$B$4</f>
        <v>W1-2Jan26</v>
      </c>
      <c r="P991" s="1334" t="str">
        <f t="shared" si="56"/>
        <v>0</v>
      </c>
    </row>
    <row r="992" spans="1:16">
      <c r="A992"/>
      <c r="B992" s="34"/>
      <c r="C992" s="34"/>
      <c r="D992" s="355"/>
      <c r="E992"/>
      <c r="F992" s="57"/>
      <c r="G992" s="57"/>
      <c r="H992" s="1082">
        <f t="shared" si="53"/>
        <v>0</v>
      </c>
      <c r="I992" s="47"/>
      <c r="J992" s="1334" t="e">
        <f>VLOOKUP(C992,Acc_Char!B:K,3,)</f>
        <v>#N/A</v>
      </c>
      <c r="K992" s="1334" t="e">
        <f>VLOOKUP(C992,Acc_Char!B:K,7,)</f>
        <v>#N/A</v>
      </c>
      <c r="L992" s="1334">
        <f t="shared" si="55"/>
        <v>0</v>
      </c>
      <c r="M992" s="1335" t="e">
        <f>VLOOKUP(C992,Acc_Char!B:K,5,)</f>
        <v>#N/A</v>
      </c>
      <c r="N992" s="1335" t="e">
        <f>VLOOKUP(C992,Acc_Char!B:K,6,)</f>
        <v>#N/A</v>
      </c>
      <c r="O992" s="1336" t="str">
        <f>Summary!$B$4</f>
        <v>W1-2Jan26</v>
      </c>
      <c r="P992" s="1334" t="str">
        <f t="shared" si="56"/>
        <v>0</v>
      </c>
    </row>
    <row r="993" spans="1:17">
      <c r="A993"/>
      <c r="B993" s="34"/>
      <c r="C993" s="34"/>
      <c r="D993" s="355"/>
      <c r="E993"/>
      <c r="F993" s="57"/>
      <c r="G993" s="57"/>
      <c r="H993" s="1082">
        <f t="shared" si="53"/>
        <v>0</v>
      </c>
      <c r="I993" s="1333"/>
      <c r="J993" s="1334" t="e">
        <f>VLOOKUP(C993,Acc_Char!B:K,3,)</f>
        <v>#N/A</v>
      </c>
      <c r="K993" s="1334" t="e">
        <f>VLOOKUP(C993,Acc_Char!B:K,7,)</f>
        <v>#N/A</v>
      </c>
      <c r="L993" s="1334">
        <f t="shared" si="55"/>
        <v>0</v>
      </c>
      <c r="M993" s="1335" t="e">
        <f>VLOOKUP(C993,Acc_Char!B:K,5,)</f>
        <v>#N/A</v>
      </c>
      <c r="N993" s="1335" t="e">
        <f>VLOOKUP(C993,Acc_Char!B:K,6,)</f>
        <v>#N/A</v>
      </c>
      <c r="O993" s="1336" t="str">
        <f>Summary!$B$4</f>
        <v>W1-2Jan26</v>
      </c>
      <c r="P993" s="1334" t="str">
        <f t="shared" si="56"/>
        <v>0</v>
      </c>
    </row>
    <row r="994" spans="1:17">
      <c r="A994"/>
      <c r="B994" s="34"/>
      <c r="C994" s="34"/>
      <c r="D994" s="355"/>
      <c r="E994"/>
      <c r="F994" s="57"/>
      <c r="G994" s="57"/>
      <c r="H994" s="1082">
        <f t="shared" si="53"/>
        <v>0</v>
      </c>
      <c r="I994" s="1333"/>
      <c r="J994" s="1334" t="e">
        <f>VLOOKUP(C994,Acc_Char!B:K,3,)</f>
        <v>#N/A</v>
      </c>
      <c r="K994" s="1334" t="e">
        <f>VLOOKUP(C994,Acc_Char!B:K,7,)</f>
        <v>#N/A</v>
      </c>
      <c r="L994" s="1334">
        <f t="shared" si="55"/>
        <v>0</v>
      </c>
      <c r="M994" s="1335" t="e">
        <f>VLOOKUP(C994,Acc_Char!B:K,5,)</f>
        <v>#N/A</v>
      </c>
      <c r="N994" s="1335" t="e">
        <f>VLOOKUP(C994,Acc_Char!B:K,6,)</f>
        <v>#N/A</v>
      </c>
      <c r="O994" s="1336" t="str">
        <f>Summary!$B$4</f>
        <v>W1-2Jan26</v>
      </c>
      <c r="P994" s="1334" t="str">
        <f t="shared" si="56"/>
        <v>0</v>
      </c>
      <c r="Q994" s="1024"/>
    </row>
    <row r="995" spans="1:17">
      <c r="A995"/>
      <c r="B995" s="34"/>
      <c r="C995" s="34"/>
      <c r="D995" s="355"/>
      <c r="E995"/>
      <c r="F995" s="57"/>
      <c r="G995" s="57"/>
      <c r="H995" s="1082">
        <f t="shared" si="53"/>
        <v>0</v>
      </c>
      <c r="I995" s="1333"/>
      <c r="J995" s="1334" t="e">
        <f>VLOOKUP(C995,Acc_Char!B:K,3,)</f>
        <v>#N/A</v>
      </c>
      <c r="K995" s="1334" t="e">
        <f>VLOOKUP(C995,Acc_Char!B:K,7,)</f>
        <v>#N/A</v>
      </c>
      <c r="L995" s="1334">
        <f t="shared" si="55"/>
        <v>0</v>
      </c>
      <c r="M995" s="1335" t="e">
        <f>VLOOKUP(C995,Acc_Char!B:K,5,)</f>
        <v>#N/A</v>
      </c>
      <c r="N995" s="1335" t="e">
        <f>VLOOKUP(C995,Acc_Char!B:K,6,)</f>
        <v>#N/A</v>
      </c>
      <c r="O995" s="1336" t="str">
        <f>Summary!$B$4</f>
        <v>W1-2Jan26</v>
      </c>
      <c r="P995" s="1334" t="str">
        <f t="shared" si="56"/>
        <v>0</v>
      </c>
    </row>
    <row r="996" spans="1:17">
      <c r="A996"/>
      <c r="B996" s="34"/>
      <c r="C996" s="34"/>
      <c r="D996" s="355"/>
      <c r="E996"/>
      <c r="F996" s="57"/>
      <c r="G996" s="57"/>
      <c r="H996" s="1082">
        <f t="shared" si="53"/>
        <v>0</v>
      </c>
      <c r="I996" s="1333"/>
      <c r="J996" s="1334" t="e">
        <f>VLOOKUP(C996,Acc_Char!B:K,3,)</f>
        <v>#N/A</v>
      </c>
      <c r="K996" s="1334" t="e">
        <f>VLOOKUP(C996,Acc_Char!B:K,7,)</f>
        <v>#N/A</v>
      </c>
      <c r="L996" s="1334">
        <f t="shared" si="55"/>
        <v>0</v>
      </c>
      <c r="M996" s="1335" t="e">
        <f>VLOOKUP(C996,Acc_Char!B:K,5,)</f>
        <v>#N/A</v>
      </c>
      <c r="N996" s="1335" t="e">
        <f>VLOOKUP(C996,Acc_Char!B:K,6,)</f>
        <v>#N/A</v>
      </c>
      <c r="O996" s="1336" t="str">
        <f>Summary!$B$4</f>
        <v>W1-2Jan26</v>
      </c>
      <c r="P996" s="1334" t="str">
        <f t="shared" si="56"/>
        <v>0</v>
      </c>
    </row>
    <row r="997" spans="1:17">
      <c r="A997"/>
      <c r="B997" s="34"/>
      <c r="C997" s="34"/>
      <c r="D997" s="355"/>
      <c r="E997"/>
      <c r="F997" s="57"/>
      <c r="G997" s="57"/>
      <c r="H997" s="1082">
        <f t="shared" si="53"/>
        <v>0</v>
      </c>
      <c r="I997" s="1333"/>
      <c r="J997" s="1334" t="e">
        <f>VLOOKUP(C997,Acc_Char!B:K,3,)</f>
        <v>#N/A</v>
      </c>
      <c r="K997" s="1334" t="e">
        <f>VLOOKUP(C997,Acc_Char!B:K,7,)</f>
        <v>#N/A</v>
      </c>
      <c r="L997" s="1334">
        <f t="shared" si="55"/>
        <v>0</v>
      </c>
      <c r="M997" s="1335" t="e">
        <f>VLOOKUP(C997,Acc_Char!B:K,5,)</f>
        <v>#N/A</v>
      </c>
      <c r="N997" s="1335" t="e">
        <f>VLOOKUP(C997,Acc_Char!B:K,6,)</f>
        <v>#N/A</v>
      </c>
      <c r="O997" s="1336" t="str">
        <f>Summary!$B$4</f>
        <v>W1-2Jan26</v>
      </c>
      <c r="P997" s="1334" t="str">
        <f t="shared" si="56"/>
        <v>0</v>
      </c>
    </row>
    <row r="998" spans="1:17">
      <c r="A998"/>
      <c r="B998" s="34"/>
      <c r="C998" s="34"/>
      <c r="D998" s="355"/>
      <c r="E998"/>
      <c r="F998" s="57"/>
      <c r="G998" s="57"/>
      <c r="H998" s="1082">
        <f t="shared" ref="H998:H1061" si="57">F998-G998</f>
        <v>0</v>
      </c>
      <c r="I998" s="1333"/>
      <c r="J998" s="1334" t="e">
        <f>VLOOKUP(C998,Acc_Char!B:K,3,)</f>
        <v>#N/A</v>
      </c>
      <c r="K998" s="1334" t="e">
        <f>VLOOKUP(C998,Acc_Char!B:K,7,)</f>
        <v>#N/A</v>
      </c>
      <c r="L998" s="1334">
        <f t="shared" si="55"/>
        <v>0</v>
      </c>
      <c r="M998" s="1335" t="e">
        <f>VLOOKUP(C998,Acc_Char!B:K,5,)</f>
        <v>#N/A</v>
      </c>
      <c r="N998" s="1335" t="e">
        <f>VLOOKUP(C998,Acc_Char!B:K,6,)</f>
        <v>#N/A</v>
      </c>
      <c r="O998" s="1336" t="str">
        <f>Summary!$B$4</f>
        <v>W1-2Jan26</v>
      </c>
      <c r="P998" s="1334" t="str">
        <f t="shared" si="56"/>
        <v>0</v>
      </c>
    </row>
    <row r="999" spans="1:17">
      <c r="A999"/>
      <c r="B999" s="34"/>
      <c r="C999" s="34"/>
      <c r="D999" s="355"/>
      <c r="E999"/>
      <c r="F999" s="57"/>
      <c r="G999" s="57"/>
      <c r="H999" s="1082">
        <f t="shared" si="57"/>
        <v>0</v>
      </c>
      <c r="I999" s="1333"/>
      <c r="J999" s="1334" t="e">
        <f>VLOOKUP(C999,Acc_Char!B:K,3,)</f>
        <v>#N/A</v>
      </c>
      <c r="K999" s="1334" t="e">
        <f>VLOOKUP(C999,Acc_Char!B:K,7,)</f>
        <v>#N/A</v>
      </c>
      <c r="L999" s="1334">
        <f t="shared" si="55"/>
        <v>0</v>
      </c>
      <c r="M999" s="1335" t="e">
        <f>VLOOKUP(C999,Acc_Char!B:K,5,)</f>
        <v>#N/A</v>
      </c>
      <c r="N999" s="1335" t="e">
        <f>VLOOKUP(C999,Acc_Char!B:K,6,)</f>
        <v>#N/A</v>
      </c>
      <c r="O999" s="1336" t="str">
        <f>Summary!$B$4</f>
        <v>W1-2Jan26</v>
      </c>
      <c r="P999" s="1334" t="str">
        <f t="shared" si="56"/>
        <v>0</v>
      </c>
    </row>
    <row r="1000" spans="1:17">
      <c r="A1000"/>
      <c r="B1000" s="34"/>
      <c r="C1000" s="34"/>
      <c r="D1000" s="355"/>
      <c r="E1000"/>
      <c r="F1000" s="57"/>
      <c r="G1000" s="57"/>
      <c r="H1000" s="1082">
        <f t="shared" si="57"/>
        <v>0</v>
      </c>
      <c r="I1000" s="1333"/>
      <c r="J1000" s="1334" t="e">
        <f>VLOOKUP(C1000,Acc_Char!B:K,3,)</f>
        <v>#N/A</v>
      </c>
      <c r="K1000" s="1334" t="e">
        <f>VLOOKUP(C1000,Acc_Char!B:K,7,)</f>
        <v>#N/A</v>
      </c>
      <c r="L1000" s="1334">
        <f t="shared" si="55"/>
        <v>0</v>
      </c>
      <c r="M1000" s="1335" t="e">
        <f>VLOOKUP(C1000,Acc_Char!B:K,5,)</f>
        <v>#N/A</v>
      </c>
      <c r="N1000" s="1335" t="e">
        <f>VLOOKUP(C1000,Acc_Char!B:K,6,)</f>
        <v>#N/A</v>
      </c>
      <c r="O1000" s="1336" t="str">
        <f>Summary!$B$4</f>
        <v>W1-2Jan26</v>
      </c>
      <c r="P1000" s="1334" t="str">
        <f t="shared" si="56"/>
        <v>0</v>
      </c>
    </row>
    <row r="1001" spans="1:17">
      <c r="A1001"/>
      <c r="B1001" s="34"/>
      <c r="C1001" s="34"/>
      <c r="D1001" s="355"/>
      <c r="E1001"/>
      <c r="F1001" s="57"/>
      <c r="G1001" s="57"/>
      <c r="H1001" s="1082">
        <f t="shared" si="57"/>
        <v>0</v>
      </c>
      <c r="I1001" s="1333"/>
      <c r="J1001" s="1334" t="e">
        <f>VLOOKUP(C1001,Acc_Char!B:K,3,)</f>
        <v>#N/A</v>
      </c>
      <c r="K1001" s="1334" t="e">
        <f>VLOOKUP(C1001,Acc_Char!B:K,7,)</f>
        <v>#N/A</v>
      </c>
      <c r="L1001" s="1334">
        <f t="shared" si="55"/>
        <v>0</v>
      </c>
      <c r="M1001" s="1335" t="e">
        <f>VLOOKUP(C1001,Acc_Char!B:K,5,)</f>
        <v>#N/A</v>
      </c>
      <c r="N1001" s="1335" t="e">
        <f>VLOOKUP(C1001,Acc_Char!B:K,6,)</f>
        <v>#N/A</v>
      </c>
      <c r="O1001" s="1336" t="str">
        <f>Summary!$B$4</f>
        <v>W1-2Jan26</v>
      </c>
      <c r="P1001" s="1334" t="str">
        <f t="shared" si="56"/>
        <v>0</v>
      </c>
    </row>
    <row r="1002" spans="1:17">
      <c r="A1002"/>
      <c r="B1002" s="34"/>
      <c r="C1002" s="34"/>
      <c r="D1002" s="355"/>
      <c r="E1002"/>
      <c r="F1002" s="57"/>
      <c r="G1002" s="57"/>
      <c r="H1002" s="1082">
        <f t="shared" si="57"/>
        <v>0</v>
      </c>
      <c r="I1002" s="1333"/>
      <c r="J1002" s="1334" t="e">
        <f>VLOOKUP(C1002,Acc_Char!B:K,3,)</f>
        <v>#N/A</v>
      </c>
      <c r="K1002" s="1334" t="e">
        <f>VLOOKUP(C1002,Acc_Char!B:K,7,)</f>
        <v>#N/A</v>
      </c>
      <c r="L1002" s="1334">
        <f t="shared" si="55"/>
        <v>0</v>
      </c>
      <c r="M1002" s="1335" t="e">
        <f>VLOOKUP(C1002,Acc_Char!B:K,5,)</f>
        <v>#N/A</v>
      </c>
      <c r="N1002" s="1335" t="e">
        <f>VLOOKUP(C1002,Acc_Char!B:K,6,)</f>
        <v>#N/A</v>
      </c>
      <c r="O1002" s="1336" t="str">
        <f>Summary!$B$4</f>
        <v>W1-2Jan26</v>
      </c>
      <c r="P1002" s="1334" t="str">
        <f t="shared" si="56"/>
        <v>0</v>
      </c>
    </row>
    <row r="1003" spans="1:17">
      <c r="A1003"/>
      <c r="B1003" s="34"/>
      <c r="C1003" s="34"/>
      <c r="D1003" s="355"/>
      <c r="E1003"/>
      <c r="F1003" s="57"/>
      <c r="G1003" s="57"/>
      <c r="H1003" s="1082">
        <f t="shared" si="57"/>
        <v>0</v>
      </c>
      <c r="I1003" s="1333"/>
      <c r="J1003" s="1334" t="e">
        <f>VLOOKUP(C1003,Acc_Char!B:K,3,)</f>
        <v>#N/A</v>
      </c>
      <c r="K1003" s="1334" t="e">
        <f>VLOOKUP(C1003,Acc_Char!B:K,7,)</f>
        <v>#N/A</v>
      </c>
      <c r="L1003" s="1334">
        <f t="shared" si="55"/>
        <v>0</v>
      </c>
      <c r="M1003" s="1335" t="e">
        <f>VLOOKUP(C1003,Acc_Char!B:K,5,)</f>
        <v>#N/A</v>
      </c>
      <c r="N1003" s="1335" t="e">
        <f>VLOOKUP(C1003,Acc_Char!B:K,6,)</f>
        <v>#N/A</v>
      </c>
      <c r="O1003" s="1336" t="str">
        <f>Summary!$B$4</f>
        <v>W1-2Jan26</v>
      </c>
      <c r="P1003" s="1334" t="str">
        <f t="shared" si="56"/>
        <v>0</v>
      </c>
    </row>
    <row r="1004" spans="1:17">
      <c r="A1004"/>
      <c r="B1004" s="34"/>
      <c r="C1004" s="34"/>
      <c r="D1004" s="355"/>
      <c r="E1004"/>
      <c r="F1004" s="57"/>
      <c r="G1004" s="57"/>
      <c r="H1004" s="1082">
        <f t="shared" si="57"/>
        <v>0</v>
      </c>
      <c r="I1004" s="1333"/>
      <c r="J1004" s="1334" t="e">
        <f>VLOOKUP(C1004,Acc_Char!B:K,3,)</f>
        <v>#N/A</v>
      </c>
      <c r="K1004" s="1334" t="e">
        <f>VLOOKUP(C1004,Acc_Char!B:K,7,)</f>
        <v>#N/A</v>
      </c>
      <c r="L1004" s="1334">
        <f t="shared" si="55"/>
        <v>0</v>
      </c>
      <c r="M1004" s="1335" t="e">
        <f>VLOOKUP(C1004,Acc_Char!B:K,5,)</f>
        <v>#N/A</v>
      </c>
      <c r="N1004" s="1335" t="e">
        <f>VLOOKUP(C1004,Acc_Char!B:K,6,)</f>
        <v>#N/A</v>
      </c>
      <c r="O1004" s="1336" t="str">
        <f>Summary!$B$4</f>
        <v>W1-2Jan26</v>
      </c>
      <c r="P1004" s="1334" t="str">
        <f t="shared" si="56"/>
        <v>0</v>
      </c>
    </row>
    <row r="1005" spans="1:17">
      <c r="A1005"/>
      <c r="B1005" s="34"/>
      <c r="C1005" s="34"/>
      <c r="D1005" s="355"/>
      <c r="E1005"/>
      <c r="F1005" s="57"/>
      <c r="G1005" s="57"/>
      <c r="H1005" s="1082">
        <f t="shared" si="57"/>
        <v>0</v>
      </c>
      <c r="I1005" s="1333"/>
      <c r="J1005" s="1334" t="e">
        <f>VLOOKUP(C1005,Acc_Char!B:K,3,)</f>
        <v>#N/A</v>
      </c>
      <c r="K1005" s="1334" t="e">
        <f>VLOOKUP(C1005,Acc_Char!B:K,7,)</f>
        <v>#N/A</v>
      </c>
      <c r="L1005" s="1334">
        <f t="shared" si="55"/>
        <v>0</v>
      </c>
      <c r="M1005" s="1335" t="e">
        <f>VLOOKUP(C1005,Acc_Char!B:K,5,)</f>
        <v>#N/A</v>
      </c>
      <c r="N1005" s="1335" t="e">
        <f>VLOOKUP(C1005,Acc_Char!B:K,6,)</f>
        <v>#N/A</v>
      </c>
      <c r="O1005" s="1336" t="str">
        <f>Summary!$B$4</f>
        <v>W1-2Jan26</v>
      </c>
      <c r="P1005" s="1334" t="str">
        <f t="shared" si="56"/>
        <v>0</v>
      </c>
    </row>
    <row r="1006" spans="1:17">
      <c r="A1006"/>
      <c r="B1006" s="34"/>
      <c r="C1006" s="34"/>
      <c r="D1006" s="355"/>
      <c r="E1006"/>
      <c r="F1006" s="57"/>
      <c r="G1006" s="57"/>
      <c r="H1006" s="1082">
        <f t="shared" si="57"/>
        <v>0</v>
      </c>
      <c r="I1006" s="1333"/>
      <c r="J1006" s="1334" t="e">
        <f>VLOOKUP(C1006,Acc_Char!B:K,3,)</f>
        <v>#N/A</v>
      </c>
      <c r="K1006" s="1334" t="e">
        <f>VLOOKUP(C1006,Acc_Char!B:K,7,)</f>
        <v>#N/A</v>
      </c>
      <c r="L1006" s="1334">
        <f t="shared" si="55"/>
        <v>0</v>
      </c>
      <c r="M1006" s="1335" t="e">
        <f>VLOOKUP(C1006,Acc_Char!B:K,5,)</f>
        <v>#N/A</v>
      </c>
      <c r="N1006" s="1335" t="e">
        <f>VLOOKUP(C1006,Acc_Char!B:K,6,)</f>
        <v>#N/A</v>
      </c>
      <c r="O1006" s="1336" t="str">
        <f>Summary!$B$4</f>
        <v>W1-2Jan26</v>
      </c>
      <c r="P1006" s="1334" t="str">
        <f t="shared" si="56"/>
        <v>0</v>
      </c>
    </row>
    <row r="1007" spans="1:17">
      <c r="A1007"/>
      <c r="B1007" s="34"/>
      <c r="C1007" s="34"/>
      <c r="D1007" s="355"/>
      <c r="E1007"/>
      <c r="F1007" s="57"/>
      <c r="G1007" s="57"/>
      <c r="H1007" s="1082">
        <f t="shared" si="57"/>
        <v>0</v>
      </c>
      <c r="I1007" s="1333"/>
      <c r="J1007" s="1334" t="e">
        <f>VLOOKUP(C1007,Acc_Char!B:K,3,)</f>
        <v>#N/A</v>
      </c>
      <c r="K1007" s="1334" t="e">
        <f>VLOOKUP(C1007,Acc_Char!B:K,7,)</f>
        <v>#N/A</v>
      </c>
      <c r="L1007" s="1334">
        <f t="shared" si="55"/>
        <v>0</v>
      </c>
      <c r="M1007" s="1335" t="e">
        <f>VLOOKUP(C1007,Acc_Char!B:K,5,)</f>
        <v>#N/A</v>
      </c>
      <c r="N1007" s="1335" t="e">
        <f>VLOOKUP(C1007,Acc_Char!B:K,6,)</f>
        <v>#N/A</v>
      </c>
      <c r="O1007" s="1336" t="str">
        <f>Summary!$B$4</f>
        <v>W1-2Jan26</v>
      </c>
      <c r="P1007" s="1334" t="str">
        <f t="shared" si="56"/>
        <v>0</v>
      </c>
    </row>
    <row r="1008" spans="1:17">
      <c r="A1008"/>
      <c r="B1008" s="34"/>
      <c r="C1008" s="34"/>
      <c r="D1008" s="355"/>
      <c r="E1008"/>
      <c r="F1008" s="57"/>
      <c r="G1008" s="57"/>
      <c r="H1008" s="1082">
        <f t="shared" si="57"/>
        <v>0</v>
      </c>
      <c r="I1008" s="1333"/>
      <c r="J1008" s="1334" t="e">
        <f>VLOOKUP(C1008,Acc_Char!B:K,3,)</f>
        <v>#N/A</v>
      </c>
      <c r="K1008" s="1334" t="e">
        <f>VLOOKUP(C1008,Acc_Char!B:K,7,)</f>
        <v>#N/A</v>
      </c>
      <c r="L1008" s="1334">
        <f t="shared" si="55"/>
        <v>0</v>
      </c>
      <c r="M1008" s="1335" t="e">
        <f>VLOOKUP(C1008,Acc_Char!B:K,5,)</f>
        <v>#N/A</v>
      </c>
      <c r="N1008" s="1335" t="e">
        <f>VLOOKUP(C1008,Acc_Char!B:K,6,)</f>
        <v>#N/A</v>
      </c>
      <c r="O1008" s="1336" t="str">
        <f>Summary!$B$4</f>
        <v>W1-2Jan26</v>
      </c>
      <c r="P1008" s="1334" t="str">
        <f t="shared" si="56"/>
        <v>0</v>
      </c>
    </row>
    <row r="1009" spans="1:16">
      <c r="A1009"/>
      <c r="B1009" s="34"/>
      <c r="C1009" s="34"/>
      <c r="D1009" s="355"/>
      <c r="E1009"/>
      <c r="F1009" s="57"/>
      <c r="G1009" s="57"/>
      <c r="H1009" s="1082">
        <f t="shared" si="57"/>
        <v>0</v>
      </c>
      <c r="I1009" s="1333"/>
      <c r="J1009" s="1334" t="e">
        <f>VLOOKUP(C1009,Acc_Char!B:K,3,)</f>
        <v>#N/A</v>
      </c>
      <c r="K1009" s="1334" t="e">
        <f>VLOOKUP(C1009,Acc_Char!B:K,7,)</f>
        <v>#N/A</v>
      </c>
      <c r="L1009" s="1334">
        <f t="shared" si="55"/>
        <v>0</v>
      </c>
      <c r="M1009" s="1335" t="e">
        <f>VLOOKUP(C1009,Acc_Char!B:K,5,)</f>
        <v>#N/A</v>
      </c>
      <c r="N1009" s="1335" t="e">
        <f>VLOOKUP(C1009,Acc_Char!B:K,6,)</f>
        <v>#N/A</v>
      </c>
      <c r="O1009" s="1336" t="str">
        <f>Summary!$B$4</f>
        <v>W1-2Jan26</v>
      </c>
      <c r="P1009" s="1334" t="str">
        <f t="shared" si="56"/>
        <v>0</v>
      </c>
    </row>
    <row r="1010" spans="1:16">
      <c r="A1010"/>
      <c r="B1010" s="34"/>
      <c r="C1010" s="34"/>
      <c r="D1010" s="355"/>
      <c r="E1010"/>
      <c r="F1010" s="57"/>
      <c r="G1010" s="57"/>
      <c r="H1010" s="1082">
        <f t="shared" si="57"/>
        <v>0</v>
      </c>
      <c r="I1010" s="1333"/>
      <c r="J1010" s="1334" t="e">
        <f>VLOOKUP(C1010,Acc_Char!B:K,3,)</f>
        <v>#N/A</v>
      </c>
      <c r="K1010" s="1334" t="e">
        <f>VLOOKUP(C1010,Acc_Char!B:K,7,)</f>
        <v>#N/A</v>
      </c>
      <c r="L1010" s="1334">
        <f t="shared" si="55"/>
        <v>0</v>
      </c>
      <c r="M1010" s="1335" t="e">
        <f>VLOOKUP(C1010,Acc_Char!B:K,5,)</f>
        <v>#N/A</v>
      </c>
      <c r="N1010" s="1335" t="e">
        <f>VLOOKUP(C1010,Acc_Char!B:K,6,)</f>
        <v>#N/A</v>
      </c>
      <c r="O1010" s="1336" t="str">
        <f>Summary!$B$4</f>
        <v>W1-2Jan26</v>
      </c>
      <c r="P1010" s="1334" t="str">
        <f t="shared" si="56"/>
        <v>0</v>
      </c>
    </row>
    <row r="1011" spans="1:16">
      <c r="A1011"/>
      <c r="B1011" s="34"/>
      <c r="C1011" s="34"/>
      <c r="D1011" s="355"/>
      <c r="E1011"/>
      <c r="F1011" s="57"/>
      <c r="G1011" s="57"/>
      <c r="H1011" s="1082">
        <f t="shared" si="57"/>
        <v>0</v>
      </c>
      <c r="I1011" s="1333"/>
      <c r="J1011" s="1334" t="e">
        <f>VLOOKUP(C1011,Acc_Char!B:K,3,)</f>
        <v>#N/A</v>
      </c>
      <c r="K1011" s="1334" t="e">
        <f>VLOOKUP(C1011,Acc_Char!B:K,7,)</f>
        <v>#N/A</v>
      </c>
      <c r="L1011" s="1334">
        <f t="shared" si="55"/>
        <v>0</v>
      </c>
      <c r="M1011" s="1335" t="e">
        <f>VLOOKUP(C1011,Acc_Char!B:K,5,)</f>
        <v>#N/A</v>
      </c>
      <c r="N1011" s="1335" t="e">
        <f>VLOOKUP(C1011,Acc_Char!B:K,6,)</f>
        <v>#N/A</v>
      </c>
      <c r="O1011" s="1336" t="str">
        <f>Summary!$B$4</f>
        <v>W1-2Jan26</v>
      </c>
      <c r="P1011" s="1334" t="str">
        <f t="shared" si="56"/>
        <v>0</v>
      </c>
    </row>
    <row r="1012" spans="1:16">
      <c r="A1012"/>
      <c r="B1012" s="34"/>
      <c r="C1012" s="34"/>
      <c r="D1012" s="355"/>
      <c r="E1012"/>
      <c r="F1012" s="57"/>
      <c r="G1012" s="57"/>
      <c r="H1012" s="1082">
        <f t="shared" si="57"/>
        <v>0</v>
      </c>
      <c r="I1012" s="1333"/>
      <c r="J1012" s="1334" t="e">
        <f>VLOOKUP(C1012,Acc_Char!B:K,3,)</f>
        <v>#N/A</v>
      </c>
      <c r="K1012" s="1334" t="e">
        <f>VLOOKUP(C1012,Acc_Char!B:K,7,)</f>
        <v>#N/A</v>
      </c>
      <c r="L1012" s="1334">
        <f t="shared" si="55"/>
        <v>0</v>
      </c>
      <c r="M1012" s="1335" t="e">
        <f>VLOOKUP(C1012,Acc_Char!B:K,5,)</f>
        <v>#N/A</v>
      </c>
      <c r="N1012" s="1335" t="e">
        <f>VLOOKUP(C1012,Acc_Char!B:K,6,)</f>
        <v>#N/A</v>
      </c>
      <c r="O1012" s="1336" t="str">
        <f>Summary!$B$4</f>
        <v>W1-2Jan26</v>
      </c>
      <c r="P1012" s="1334" t="str">
        <f t="shared" si="56"/>
        <v>0</v>
      </c>
    </row>
    <row r="1013" spans="1:16">
      <c r="A1013"/>
      <c r="B1013" s="34"/>
      <c r="C1013" s="34"/>
      <c r="D1013" s="355"/>
      <c r="E1013"/>
      <c r="F1013" s="57"/>
      <c r="G1013" s="57"/>
      <c r="H1013" s="1082">
        <f t="shared" si="57"/>
        <v>0</v>
      </c>
      <c r="I1013" s="1333"/>
      <c r="J1013" s="1334" t="e">
        <f>VLOOKUP(C1013,Acc_Char!B:K,3,)</f>
        <v>#N/A</v>
      </c>
      <c r="K1013" s="1334" t="e">
        <f>VLOOKUP(C1013,Acc_Char!B:K,7,)</f>
        <v>#N/A</v>
      </c>
      <c r="L1013" s="1334">
        <f t="shared" si="55"/>
        <v>0</v>
      </c>
      <c r="M1013" s="1335" t="e">
        <f>VLOOKUP(C1013,Acc_Char!B:K,5,)</f>
        <v>#N/A</v>
      </c>
      <c r="N1013" s="1335" t="e">
        <f>VLOOKUP(C1013,Acc_Char!B:K,6,)</f>
        <v>#N/A</v>
      </c>
      <c r="O1013" s="1336" t="str">
        <f>Summary!$B$4</f>
        <v>W1-2Jan26</v>
      </c>
      <c r="P1013" s="1334" t="str">
        <f t="shared" si="56"/>
        <v>0</v>
      </c>
    </row>
    <row r="1014" spans="1:16">
      <c r="A1014"/>
      <c r="B1014" s="34"/>
      <c r="C1014" s="34"/>
      <c r="D1014" s="355"/>
      <c r="E1014"/>
      <c r="F1014" s="57"/>
      <c r="G1014" s="57"/>
      <c r="H1014" s="1082">
        <f t="shared" si="57"/>
        <v>0</v>
      </c>
      <c r="I1014" s="47"/>
      <c r="J1014" s="1334" t="e">
        <f>VLOOKUP(C1014,Acc_Char!B:K,3,)</f>
        <v>#N/A</v>
      </c>
      <c r="K1014" s="1334" t="e">
        <f>VLOOKUP(C1014,Acc_Char!B:K,7,)</f>
        <v>#N/A</v>
      </c>
      <c r="L1014" s="1334">
        <f t="shared" si="55"/>
        <v>0</v>
      </c>
      <c r="M1014" s="1335" t="e">
        <f>VLOOKUP(C1014,Acc_Char!B:K,5,)</f>
        <v>#N/A</v>
      </c>
      <c r="N1014" s="1335" t="e">
        <f>VLOOKUP(C1014,Acc_Char!B:K,6,)</f>
        <v>#N/A</v>
      </c>
      <c r="O1014" s="1336" t="str">
        <f>Summary!$B$4</f>
        <v>W1-2Jan26</v>
      </c>
      <c r="P1014" s="1334" t="str">
        <f t="shared" si="56"/>
        <v>0</v>
      </c>
    </row>
    <row r="1015" spans="1:16">
      <c r="A1015"/>
      <c r="B1015" s="34"/>
      <c r="C1015" s="34"/>
      <c r="D1015" s="355"/>
      <c r="E1015"/>
      <c r="F1015" s="57"/>
      <c r="G1015" s="57"/>
      <c r="H1015" s="1082">
        <f t="shared" si="57"/>
        <v>0</v>
      </c>
      <c r="I1015" s="47"/>
      <c r="J1015" s="1334" t="e">
        <f>VLOOKUP(C1015,Acc_Char!B:K,3,)</f>
        <v>#N/A</v>
      </c>
      <c r="K1015" s="1334" t="e">
        <f>VLOOKUP(C1015,Acc_Char!B:K,7,)</f>
        <v>#N/A</v>
      </c>
      <c r="L1015" s="1334">
        <f t="shared" si="55"/>
        <v>0</v>
      </c>
      <c r="M1015" s="1335" t="e">
        <f>VLOOKUP(C1015,Acc_Char!B:K,5,)</f>
        <v>#N/A</v>
      </c>
      <c r="N1015" s="1335" t="e">
        <f>VLOOKUP(C1015,Acc_Char!B:K,6,)</f>
        <v>#N/A</v>
      </c>
      <c r="O1015" s="1336" t="str">
        <f>Summary!$B$4</f>
        <v>W1-2Jan26</v>
      </c>
      <c r="P1015" s="1334" t="str">
        <f t="shared" si="56"/>
        <v>0</v>
      </c>
    </row>
    <row r="1016" spans="1:16">
      <c r="A1016"/>
      <c r="B1016" s="34"/>
      <c r="C1016" s="34"/>
      <c r="D1016" s="355"/>
      <c r="E1016"/>
      <c r="F1016" s="57"/>
      <c r="G1016" s="57"/>
      <c r="H1016" s="1347">
        <f t="shared" si="57"/>
        <v>0</v>
      </c>
      <c r="J1016" s="1334" t="e">
        <f>VLOOKUP(C1016,Acc_Char!B:K,3,)</f>
        <v>#N/A</v>
      </c>
      <c r="K1016" s="1334" t="e">
        <f>VLOOKUP(C1016,Acc_Char!B:K,7,)</f>
        <v>#N/A</v>
      </c>
      <c r="L1016" s="1334">
        <f t="shared" si="55"/>
        <v>0</v>
      </c>
      <c r="M1016" s="1335" t="e">
        <f>VLOOKUP(C1016,Acc_Char!B:K,5,)</f>
        <v>#N/A</v>
      </c>
      <c r="N1016" s="1335" t="e">
        <f>VLOOKUP(C1016,Acc_Char!B:K,6,)</f>
        <v>#N/A</v>
      </c>
      <c r="O1016" s="1336" t="str">
        <f>Summary!$B$4</f>
        <v>W1-2Jan26</v>
      </c>
      <c r="P1016" s="1334" t="str">
        <f t="shared" si="56"/>
        <v>0</v>
      </c>
    </row>
    <row r="1017" spans="1:16">
      <c r="A1017"/>
      <c r="B1017" s="34"/>
      <c r="C1017" s="34"/>
      <c r="D1017" s="355"/>
      <c r="E1017"/>
      <c r="F1017" s="57"/>
      <c r="G1017" s="57"/>
      <c r="H1017" s="1082">
        <f t="shared" si="57"/>
        <v>0</v>
      </c>
      <c r="I1017" s="1333"/>
      <c r="J1017" s="1334" t="e">
        <f>VLOOKUP(C1017,Acc_Char!B:K,3,)</f>
        <v>#N/A</v>
      </c>
      <c r="K1017" s="1334" t="e">
        <f>VLOOKUP(C1017,Acc_Char!B:K,7,)</f>
        <v>#N/A</v>
      </c>
      <c r="L1017" s="1334">
        <f t="shared" si="55"/>
        <v>0</v>
      </c>
      <c r="M1017" s="1335" t="e">
        <f>VLOOKUP(C1017,Acc_Char!B:K,5,)</f>
        <v>#N/A</v>
      </c>
      <c r="N1017" s="1335" t="e">
        <f>VLOOKUP(C1017,Acc_Char!B:K,6,)</f>
        <v>#N/A</v>
      </c>
      <c r="O1017" s="1336" t="str">
        <f>Summary!$B$4</f>
        <v>W1-2Jan26</v>
      </c>
      <c r="P1017" s="1334" t="str">
        <f t="shared" si="56"/>
        <v>0</v>
      </c>
    </row>
    <row r="1018" spans="1:16">
      <c r="A1018"/>
      <c r="B1018" s="34"/>
      <c r="C1018" s="34"/>
      <c r="D1018" s="355"/>
      <c r="E1018"/>
      <c r="F1018" s="57"/>
      <c r="G1018" s="57"/>
      <c r="H1018" s="1082">
        <f t="shared" si="57"/>
        <v>0</v>
      </c>
      <c r="I1018" s="1333"/>
      <c r="J1018" s="1334" t="e">
        <f>VLOOKUP(C1018,Acc_Char!B:K,3,)</f>
        <v>#N/A</v>
      </c>
      <c r="K1018" s="1334" t="e">
        <f>VLOOKUP(C1018,Acc_Char!B:K,7,)</f>
        <v>#N/A</v>
      </c>
      <c r="L1018" s="1334">
        <f t="shared" si="55"/>
        <v>0</v>
      </c>
      <c r="M1018" s="1335" t="e">
        <f>VLOOKUP(C1018,Acc_Char!B:K,5,)</f>
        <v>#N/A</v>
      </c>
      <c r="N1018" s="1335" t="e">
        <f>VLOOKUP(C1018,Acc_Char!B:K,6,)</f>
        <v>#N/A</v>
      </c>
      <c r="O1018" s="1336" t="str">
        <f>Summary!$B$4</f>
        <v>W1-2Jan26</v>
      </c>
      <c r="P1018" s="1334" t="str">
        <f t="shared" si="56"/>
        <v>0</v>
      </c>
    </row>
    <row r="1019" spans="1:16">
      <c r="A1019"/>
      <c r="B1019" s="34"/>
      <c r="C1019" s="34"/>
      <c r="D1019" s="355"/>
      <c r="E1019"/>
      <c r="F1019" s="57"/>
      <c r="G1019" s="57"/>
      <c r="H1019" s="1082">
        <f t="shared" si="57"/>
        <v>0</v>
      </c>
      <c r="J1019" s="1334" t="e">
        <f>VLOOKUP(C1019,Acc_Char!B:K,3,)</f>
        <v>#N/A</v>
      </c>
      <c r="K1019" s="1334" t="e">
        <f>VLOOKUP(C1019,Acc_Char!B:K,7,)</f>
        <v>#N/A</v>
      </c>
      <c r="L1019" s="1334">
        <f t="shared" si="55"/>
        <v>0</v>
      </c>
      <c r="M1019" s="1335" t="e">
        <f>VLOOKUP(C1019,Acc_Char!B:K,5,)</f>
        <v>#N/A</v>
      </c>
      <c r="N1019" s="1335" t="e">
        <f>VLOOKUP(C1019,Acc_Char!B:K,6,)</f>
        <v>#N/A</v>
      </c>
      <c r="O1019" s="1336" t="str">
        <f>Summary!$B$4</f>
        <v>W1-2Jan26</v>
      </c>
      <c r="P1019" s="1334" t="str">
        <f t="shared" si="56"/>
        <v>0</v>
      </c>
    </row>
    <row r="1020" spans="1:16">
      <c r="A1020"/>
      <c r="B1020" s="34"/>
      <c r="C1020" s="34"/>
      <c r="D1020" s="355"/>
      <c r="E1020"/>
      <c r="F1020" s="57"/>
      <c r="G1020" s="57"/>
      <c r="H1020" s="1082">
        <f t="shared" si="57"/>
        <v>0</v>
      </c>
      <c r="I1020" s="1333"/>
      <c r="J1020" s="1334" t="e">
        <f>VLOOKUP(C1020,Acc_Char!B:K,3,)</f>
        <v>#N/A</v>
      </c>
      <c r="K1020" s="1334" t="e">
        <f>VLOOKUP(C1020,Acc_Char!B:K,7,)</f>
        <v>#N/A</v>
      </c>
      <c r="L1020" s="1334">
        <f t="shared" si="55"/>
        <v>0</v>
      </c>
      <c r="M1020" s="1335" t="e">
        <f>VLOOKUP(C1020,Acc_Char!B:K,5,)</f>
        <v>#N/A</v>
      </c>
      <c r="N1020" s="1335" t="e">
        <f>VLOOKUP(C1020,Acc_Char!B:K,6,)</f>
        <v>#N/A</v>
      </c>
      <c r="O1020" s="1336" t="str">
        <f>Summary!$B$4</f>
        <v>W1-2Jan26</v>
      </c>
      <c r="P1020" s="1334" t="str">
        <f t="shared" si="56"/>
        <v>0</v>
      </c>
    </row>
    <row r="1021" spans="1:16">
      <c r="A1021"/>
      <c r="B1021" s="34"/>
      <c r="C1021" s="34"/>
      <c r="D1021" s="355"/>
      <c r="E1021"/>
      <c r="F1021" s="57"/>
      <c r="G1021" s="57"/>
      <c r="H1021" s="1082">
        <f t="shared" si="57"/>
        <v>0</v>
      </c>
      <c r="I1021" s="1333"/>
      <c r="J1021" s="1334" t="e">
        <f>VLOOKUP(C1021,Acc_Char!B:K,3,)</f>
        <v>#N/A</v>
      </c>
      <c r="K1021" s="1334" t="e">
        <f>VLOOKUP(C1021,Acc_Char!B:K,7,)</f>
        <v>#N/A</v>
      </c>
      <c r="L1021" s="1334">
        <f t="shared" si="55"/>
        <v>0</v>
      </c>
      <c r="M1021" s="1335" t="e">
        <f>VLOOKUP(C1021,Acc_Char!B:K,5,)</f>
        <v>#N/A</v>
      </c>
      <c r="N1021" s="1335" t="e">
        <f>VLOOKUP(C1021,Acc_Char!B:K,6,)</f>
        <v>#N/A</v>
      </c>
      <c r="O1021" s="1336" t="str">
        <f>Summary!$B$4</f>
        <v>W1-2Jan26</v>
      </c>
      <c r="P1021" s="1334" t="str">
        <f t="shared" si="56"/>
        <v>0</v>
      </c>
    </row>
    <row r="1022" spans="1:16">
      <c r="A1022"/>
      <c r="B1022" s="34"/>
      <c r="C1022" s="34"/>
      <c r="D1022" s="355"/>
      <c r="E1022"/>
      <c r="F1022" s="57"/>
      <c r="G1022" s="57"/>
      <c r="H1022" s="1082">
        <f t="shared" si="57"/>
        <v>0</v>
      </c>
      <c r="J1022" s="1334" t="e">
        <f>VLOOKUP(C1022,Acc_Char!B:K,3,)</f>
        <v>#N/A</v>
      </c>
      <c r="K1022" s="1334" t="e">
        <f>VLOOKUP(C1022,Acc_Char!B:K,7,)</f>
        <v>#N/A</v>
      </c>
      <c r="L1022" s="1334">
        <f t="shared" si="55"/>
        <v>0</v>
      </c>
      <c r="M1022" s="1335" t="e">
        <f>VLOOKUP(C1022,Acc_Char!B:K,5,)</f>
        <v>#N/A</v>
      </c>
      <c r="N1022" s="1335" t="e">
        <f>VLOOKUP(C1022,Acc_Char!B:K,6,)</f>
        <v>#N/A</v>
      </c>
      <c r="O1022" s="1336" t="str">
        <f>Summary!$B$4</f>
        <v>W1-2Jan26</v>
      </c>
      <c r="P1022" s="1334" t="str">
        <f t="shared" si="56"/>
        <v>0</v>
      </c>
    </row>
    <row r="1023" spans="1:16">
      <c r="A1023"/>
      <c r="B1023" s="34"/>
      <c r="C1023" s="34"/>
      <c r="D1023" s="355"/>
      <c r="E1023"/>
      <c r="F1023" s="57"/>
      <c r="G1023" s="57"/>
      <c r="H1023" s="1082">
        <f t="shared" si="57"/>
        <v>0</v>
      </c>
      <c r="I1023" s="1333"/>
      <c r="J1023" s="1334" t="e">
        <f>VLOOKUP(C1023,Acc_Char!B:K,3,)</f>
        <v>#N/A</v>
      </c>
      <c r="K1023" s="1334" t="e">
        <f>VLOOKUP(C1023,Acc_Char!B:K,7,)</f>
        <v>#N/A</v>
      </c>
      <c r="L1023" s="1334">
        <f t="shared" si="55"/>
        <v>0</v>
      </c>
      <c r="M1023" s="1335" t="e">
        <f>VLOOKUP(C1023,Acc_Char!B:K,5,)</f>
        <v>#N/A</v>
      </c>
      <c r="N1023" s="1335" t="e">
        <f>VLOOKUP(C1023,Acc_Char!B:K,6,)</f>
        <v>#N/A</v>
      </c>
      <c r="O1023" s="1336" t="str">
        <f>Summary!$B$4</f>
        <v>W1-2Jan26</v>
      </c>
      <c r="P1023" s="1334" t="str">
        <f t="shared" si="56"/>
        <v>0</v>
      </c>
    </row>
    <row r="1024" spans="1:16">
      <c r="A1024"/>
      <c r="B1024" s="34"/>
      <c r="C1024" s="34"/>
      <c r="D1024" s="355"/>
      <c r="E1024"/>
      <c r="F1024" s="57"/>
      <c r="G1024" s="57"/>
      <c r="H1024" s="1082">
        <f t="shared" si="57"/>
        <v>0</v>
      </c>
      <c r="I1024" s="1333"/>
      <c r="J1024" s="1334" t="e">
        <f>VLOOKUP(C1024,Acc_Char!B:K,3,)</f>
        <v>#N/A</v>
      </c>
      <c r="K1024" s="1334" t="e">
        <f>VLOOKUP(C1024,Acc_Char!B:K,7,)</f>
        <v>#N/A</v>
      </c>
      <c r="L1024" s="1334">
        <f t="shared" si="55"/>
        <v>0</v>
      </c>
      <c r="M1024" s="1335" t="e">
        <f>VLOOKUP(C1024,Acc_Char!B:K,5,)</f>
        <v>#N/A</v>
      </c>
      <c r="N1024" s="1335" t="e">
        <f>VLOOKUP(C1024,Acc_Char!B:K,6,)</f>
        <v>#N/A</v>
      </c>
      <c r="O1024" s="1336" t="str">
        <f>Summary!$B$4</f>
        <v>W1-2Jan26</v>
      </c>
      <c r="P1024" s="1334" t="str">
        <f t="shared" si="56"/>
        <v>0</v>
      </c>
    </row>
    <row r="1025" spans="1:16">
      <c r="A1025"/>
      <c r="B1025" s="34"/>
      <c r="C1025" s="34"/>
      <c r="D1025" s="355"/>
      <c r="E1025"/>
      <c r="F1025" s="57"/>
      <c r="G1025" s="57"/>
      <c r="H1025" s="1082">
        <f t="shared" si="57"/>
        <v>0</v>
      </c>
      <c r="I1025" s="1333"/>
      <c r="J1025" s="1334" t="e">
        <f>VLOOKUP(C1025,Acc_Char!B:K,3,)</f>
        <v>#N/A</v>
      </c>
      <c r="K1025" s="1334" t="e">
        <f>VLOOKUP(C1025,Acc_Char!B:K,7,)</f>
        <v>#N/A</v>
      </c>
      <c r="L1025" s="1334">
        <f t="shared" si="55"/>
        <v>0</v>
      </c>
      <c r="M1025" s="1335" t="e">
        <f>VLOOKUP(C1025,Acc_Char!B:K,5,)</f>
        <v>#N/A</v>
      </c>
      <c r="N1025" s="1335" t="e">
        <f>VLOOKUP(C1025,Acc_Char!B:K,6,)</f>
        <v>#N/A</v>
      </c>
      <c r="O1025" s="1336" t="str">
        <f>Summary!$B$4</f>
        <v>W1-2Jan26</v>
      </c>
      <c r="P1025" s="1334" t="str">
        <f t="shared" si="56"/>
        <v>0</v>
      </c>
    </row>
    <row r="1026" spans="1:16">
      <c r="A1026"/>
      <c r="B1026" s="34"/>
      <c r="C1026" s="34"/>
      <c r="D1026" s="355"/>
      <c r="E1026"/>
      <c r="F1026" s="57"/>
      <c r="G1026" s="57"/>
      <c r="H1026" s="1082">
        <f t="shared" si="57"/>
        <v>0</v>
      </c>
      <c r="I1026" s="1333"/>
      <c r="J1026" s="1334" t="e">
        <f>VLOOKUP(C1026,Acc_Char!B:K,3,)</f>
        <v>#N/A</v>
      </c>
      <c r="K1026" s="1334" t="e">
        <f>VLOOKUP(C1026,Acc_Char!B:K,7,)</f>
        <v>#N/A</v>
      </c>
      <c r="L1026" s="1334">
        <f t="shared" si="55"/>
        <v>0</v>
      </c>
      <c r="M1026" s="1335" t="e">
        <f>VLOOKUP(C1026,Acc_Char!B:K,5,)</f>
        <v>#N/A</v>
      </c>
      <c r="N1026" s="1335" t="e">
        <f>VLOOKUP(C1026,Acc_Char!B:K,6,)</f>
        <v>#N/A</v>
      </c>
      <c r="O1026" s="1336" t="str">
        <f>Summary!$B$4</f>
        <v>W1-2Jan26</v>
      </c>
      <c r="P1026" s="1334" t="str">
        <f t="shared" si="56"/>
        <v>0</v>
      </c>
    </row>
    <row r="1027" spans="1:16">
      <c r="A1027"/>
      <c r="B1027" s="34"/>
      <c r="C1027" s="34"/>
      <c r="D1027" s="355"/>
      <c r="E1027"/>
      <c r="F1027" s="57"/>
      <c r="G1027" s="57"/>
      <c r="H1027" s="1082">
        <f t="shared" si="57"/>
        <v>0</v>
      </c>
      <c r="I1027" s="1333"/>
      <c r="J1027" s="1334" t="e">
        <f>VLOOKUP(C1027,Acc_Char!B:K,3,)</f>
        <v>#N/A</v>
      </c>
      <c r="K1027" s="1334" t="e">
        <f>VLOOKUP(C1027,Acc_Char!B:K,7,)</f>
        <v>#N/A</v>
      </c>
      <c r="L1027" s="1334">
        <f t="shared" si="55"/>
        <v>0</v>
      </c>
      <c r="M1027" s="1335" t="e">
        <f>VLOOKUP(C1027,Acc_Char!B:K,5,)</f>
        <v>#N/A</v>
      </c>
      <c r="N1027" s="1335" t="e">
        <f>VLOOKUP(C1027,Acc_Char!B:K,6,)</f>
        <v>#N/A</v>
      </c>
      <c r="O1027" s="1336" t="str">
        <f>Summary!$B$4</f>
        <v>W1-2Jan26</v>
      </c>
      <c r="P1027" s="1334" t="str">
        <f t="shared" si="56"/>
        <v>0</v>
      </c>
    </row>
    <row r="1028" spans="1:16">
      <c r="A1028"/>
      <c r="B1028" s="34"/>
      <c r="C1028" s="34"/>
      <c r="D1028" s="355"/>
      <c r="E1028"/>
      <c r="F1028" s="57"/>
      <c r="G1028" s="57"/>
      <c r="H1028" s="1082">
        <f t="shared" si="57"/>
        <v>0</v>
      </c>
      <c r="I1028" s="1333"/>
      <c r="J1028" s="1334" t="e">
        <f>VLOOKUP(C1028,Acc_Char!B:K,3,)</f>
        <v>#N/A</v>
      </c>
      <c r="K1028" s="1334" t="e">
        <f>VLOOKUP(C1028,Acc_Char!B:K,7,)</f>
        <v>#N/A</v>
      </c>
      <c r="L1028" s="1334">
        <f t="shared" si="55"/>
        <v>0</v>
      </c>
      <c r="M1028" s="1335" t="e">
        <f>VLOOKUP(C1028,Acc_Char!B:K,5,)</f>
        <v>#N/A</v>
      </c>
      <c r="N1028" s="1335" t="e">
        <f>VLOOKUP(C1028,Acc_Char!B:K,6,)</f>
        <v>#N/A</v>
      </c>
      <c r="O1028" s="1336" t="str">
        <f>Summary!$B$4</f>
        <v>W1-2Jan26</v>
      </c>
      <c r="P1028" s="1334" t="str">
        <f t="shared" si="56"/>
        <v>0</v>
      </c>
    </row>
    <row r="1029" spans="1:16">
      <c r="A1029"/>
      <c r="B1029" s="34"/>
      <c r="C1029" s="34"/>
      <c r="D1029" s="355"/>
      <c r="E1029"/>
      <c r="F1029" s="57"/>
      <c r="G1029" s="57"/>
      <c r="H1029" s="1082">
        <f t="shared" si="57"/>
        <v>0</v>
      </c>
      <c r="I1029" s="1333"/>
      <c r="J1029" s="1334" t="e">
        <f>VLOOKUP(C1029,Acc_Char!B:K,3,)</f>
        <v>#N/A</v>
      </c>
      <c r="K1029" s="1334" t="e">
        <f>VLOOKUP(C1029,Acc_Char!B:K,7,)</f>
        <v>#N/A</v>
      </c>
      <c r="L1029" s="1334">
        <f t="shared" ref="L1029:L1092" si="58">I1029</f>
        <v>0</v>
      </c>
      <c r="M1029" s="1335" t="e">
        <f>VLOOKUP(C1029,Acc_Char!B:K,5,)</f>
        <v>#N/A</v>
      </c>
      <c r="N1029" s="1335" t="e">
        <f>VLOOKUP(C1029,Acc_Char!B:K,6,)</f>
        <v>#N/A</v>
      </c>
      <c r="O1029" s="1336" t="str">
        <f>Summary!$B$4</f>
        <v>W1-2Jan26</v>
      </c>
      <c r="P1029" s="1334" t="str">
        <f t="shared" ref="P1029:P1092" si="59">TEXT(C1029,"0")</f>
        <v>0</v>
      </c>
    </row>
    <row r="1030" spans="1:16">
      <c r="A1030"/>
      <c r="B1030" s="34"/>
      <c r="C1030" s="34"/>
      <c r="D1030" s="355"/>
      <c r="E1030"/>
      <c r="F1030" s="57"/>
      <c r="G1030" s="57"/>
      <c r="H1030" s="1082">
        <f t="shared" si="57"/>
        <v>0</v>
      </c>
      <c r="I1030" s="1333"/>
      <c r="J1030" s="1334" t="e">
        <f>VLOOKUP(C1030,Acc_Char!B:K,3,)</f>
        <v>#N/A</v>
      </c>
      <c r="K1030" s="1334" t="e">
        <f>VLOOKUP(C1030,Acc_Char!B:K,7,)</f>
        <v>#N/A</v>
      </c>
      <c r="L1030" s="1334">
        <f t="shared" si="58"/>
        <v>0</v>
      </c>
      <c r="M1030" s="1335" t="e">
        <f>VLOOKUP(C1030,Acc_Char!B:K,5,)</f>
        <v>#N/A</v>
      </c>
      <c r="N1030" s="1335" t="e">
        <f>VLOOKUP(C1030,Acc_Char!B:K,6,)</f>
        <v>#N/A</v>
      </c>
      <c r="O1030" s="1336" t="str">
        <f>Summary!$B$4</f>
        <v>W1-2Jan26</v>
      </c>
      <c r="P1030" s="1334" t="str">
        <f t="shared" si="59"/>
        <v>0</v>
      </c>
    </row>
    <row r="1031" spans="1:16">
      <c r="A1031"/>
      <c r="B1031" s="34"/>
      <c r="C1031" s="34"/>
      <c r="D1031" s="355"/>
      <c r="E1031"/>
      <c r="F1031" s="57"/>
      <c r="G1031" s="57"/>
      <c r="H1031" s="1082">
        <f t="shared" si="57"/>
        <v>0</v>
      </c>
      <c r="I1031" s="1333"/>
      <c r="J1031" s="1334" t="e">
        <f>VLOOKUP(C1031,Acc_Char!B:K,3,)</f>
        <v>#N/A</v>
      </c>
      <c r="K1031" s="1334" t="e">
        <f>VLOOKUP(C1031,Acc_Char!B:K,7,)</f>
        <v>#N/A</v>
      </c>
      <c r="L1031" s="1334">
        <f t="shared" si="58"/>
        <v>0</v>
      </c>
      <c r="M1031" s="1335" t="e">
        <f>VLOOKUP(C1031,Acc_Char!B:K,5,)</f>
        <v>#N/A</v>
      </c>
      <c r="N1031" s="1335" t="e">
        <f>VLOOKUP(C1031,Acc_Char!B:K,6,)</f>
        <v>#N/A</v>
      </c>
      <c r="O1031" s="1336" t="str">
        <f>Summary!$B$4</f>
        <v>W1-2Jan26</v>
      </c>
      <c r="P1031" s="1334" t="str">
        <f t="shared" si="59"/>
        <v>0</v>
      </c>
    </row>
    <row r="1032" spans="1:16">
      <c r="A1032"/>
      <c r="B1032" s="34"/>
      <c r="C1032" s="34"/>
      <c r="D1032" s="355"/>
      <c r="E1032"/>
      <c r="F1032" s="57"/>
      <c r="G1032" s="57"/>
      <c r="H1032" s="1082">
        <f t="shared" si="57"/>
        <v>0</v>
      </c>
      <c r="I1032" s="1333"/>
      <c r="J1032" s="1334" t="e">
        <f>VLOOKUP(C1032,Acc_Char!B:K,3,)</f>
        <v>#N/A</v>
      </c>
      <c r="K1032" s="1334" t="e">
        <f>VLOOKUP(C1032,Acc_Char!B:K,7,)</f>
        <v>#N/A</v>
      </c>
      <c r="L1032" s="1334">
        <f t="shared" si="58"/>
        <v>0</v>
      </c>
      <c r="M1032" s="1335" t="e">
        <f>VLOOKUP(C1032,Acc_Char!B:K,5,)</f>
        <v>#N/A</v>
      </c>
      <c r="N1032" s="1335" t="e">
        <f>VLOOKUP(C1032,Acc_Char!B:K,6,)</f>
        <v>#N/A</v>
      </c>
      <c r="O1032" s="1336" t="str">
        <f>Summary!$B$4</f>
        <v>W1-2Jan26</v>
      </c>
      <c r="P1032" s="1334" t="str">
        <f t="shared" si="59"/>
        <v>0</v>
      </c>
    </row>
    <row r="1033" spans="1:16">
      <c r="A1033"/>
      <c r="B1033" s="34"/>
      <c r="C1033" s="34"/>
      <c r="D1033" s="355"/>
      <c r="E1033"/>
      <c r="F1033" s="57"/>
      <c r="G1033" s="57"/>
      <c r="H1033" s="1082">
        <f t="shared" si="57"/>
        <v>0</v>
      </c>
      <c r="I1033" s="1333"/>
      <c r="J1033" s="1334" t="e">
        <f>VLOOKUP(C1033,Acc_Char!B:K,3,)</f>
        <v>#N/A</v>
      </c>
      <c r="K1033" s="1334" t="e">
        <f>VLOOKUP(C1033,Acc_Char!B:K,7,)</f>
        <v>#N/A</v>
      </c>
      <c r="L1033" s="1334">
        <f t="shared" si="58"/>
        <v>0</v>
      </c>
      <c r="M1033" s="1335" t="e">
        <f>VLOOKUP(C1033,Acc_Char!B:K,5,)</f>
        <v>#N/A</v>
      </c>
      <c r="N1033" s="1335" t="e">
        <f>VLOOKUP(C1033,Acc_Char!B:K,6,)</f>
        <v>#N/A</v>
      </c>
      <c r="O1033" s="1336" t="str">
        <f>Summary!$B$4</f>
        <v>W1-2Jan26</v>
      </c>
      <c r="P1033" s="1334" t="str">
        <f t="shared" si="59"/>
        <v>0</v>
      </c>
    </row>
    <row r="1034" spans="1:16">
      <c r="A1034"/>
      <c r="B1034" s="34"/>
      <c r="C1034" s="34"/>
      <c r="D1034" s="355"/>
      <c r="E1034"/>
      <c r="F1034" s="57"/>
      <c r="G1034" s="57"/>
      <c r="H1034" s="1082">
        <f t="shared" si="57"/>
        <v>0</v>
      </c>
      <c r="I1034" s="1333"/>
      <c r="J1034" s="1334" t="e">
        <f>VLOOKUP(C1034,Acc_Char!B:K,3,)</f>
        <v>#N/A</v>
      </c>
      <c r="K1034" s="1334" t="e">
        <f>VLOOKUP(C1034,Acc_Char!B:K,7,)</f>
        <v>#N/A</v>
      </c>
      <c r="L1034" s="1334">
        <f t="shared" si="58"/>
        <v>0</v>
      </c>
      <c r="M1034" s="1335" t="e">
        <f>VLOOKUP(C1034,Acc_Char!B:K,5,)</f>
        <v>#N/A</v>
      </c>
      <c r="N1034" s="1335" t="e">
        <f>VLOOKUP(C1034,Acc_Char!B:K,6,)</f>
        <v>#N/A</v>
      </c>
      <c r="O1034" s="1336" t="str">
        <f>Summary!$B$4</f>
        <v>W1-2Jan26</v>
      </c>
      <c r="P1034" s="1334" t="str">
        <f t="shared" si="59"/>
        <v>0</v>
      </c>
    </row>
    <row r="1035" spans="1:16">
      <c r="A1035"/>
      <c r="B1035" s="34"/>
      <c r="C1035" s="34"/>
      <c r="D1035" s="355"/>
      <c r="E1035"/>
      <c r="F1035" s="57"/>
      <c r="G1035" s="57"/>
      <c r="H1035" s="1082">
        <f t="shared" si="57"/>
        <v>0</v>
      </c>
      <c r="I1035" s="1333"/>
      <c r="J1035" s="1334" t="e">
        <f>VLOOKUP(C1035,Acc_Char!B:K,3,)</f>
        <v>#N/A</v>
      </c>
      <c r="K1035" s="1334" t="e">
        <f>VLOOKUP(C1035,Acc_Char!B:K,7,)</f>
        <v>#N/A</v>
      </c>
      <c r="L1035" s="1334">
        <f t="shared" si="58"/>
        <v>0</v>
      </c>
      <c r="M1035" s="1335" t="e">
        <f>VLOOKUP(C1035,Acc_Char!B:K,5,)</f>
        <v>#N/A</v>
      </c>
      <c r="N1035" s="1335" t="e">
        <f>VLOOKUP(C1035,Acc_Char!B:K,6,)</f>
        <v>#N/A</v>
      </c>
      <c r="O1035" s="1336" t="str">
        <f>Summary!$B$4</f>
        <v>W1-2Jan26</v>
      </c>
      <c r="P1035" s="1334" t="str">
        <f t="shared" si="59"/>
        <v>0</v>
      </c>
    </row>
    <row r="1036" spans="1:16">
      <c r="A1036"/>
      <c r="B1036" s="34"/>
      <c r="C1036" s="34"/>
      <c r="D1036" s="355"/>
      <c r="E1036"/>
      <c r="F1036" s="57"/>
      <c r="G1036" s="57"/>
      <c r="H1036" s="1082">
        <f t="shared" si="57"/>
        <v>0</v>
      </c>
      <c r="I1036" s="1333"/>
      <c r="J1036" s="1334" t="e">
        <f>VLOOKUP(C1036,Acc_Char!B:K,3,)</f>
        <v>#N/A</v>
      </c>
      <c r="K1036" s="1334" t="e">
        <f>VLOOKUP(C1036,Acc_Char!B:K,7,)</f>
        <v>#N/A</v>
      </c>
      <c r="L1036" s="1334">
        <f t="shared" si="58"/>
        <v>0</v>
      </c>
      <c r="M1036" s="1335" t="e">
        <f>VLOOKUP(C1036,Acc_Char!B:K,5,)</f>
        <v>#N/A</v>
      </c>
      <c r="N1036" s="1335" t="e">
        <f>VLOOKUP(C1036,Acc_Char!B:K,6,)</f>
        <v>#N/A</v>
      </c>
      <c r="O1036" s="1336" t="str">
        <f>Summary!$B$4</f>
        <v>W1-2Jan26</v>
      </c>
      <c r="P1036" s="1334" t="str">
        <f t="shared" si="59"/>
        <v>0</v>
      </c>
    </row>
    <row r="1037" spans="1:16">
      <c r="A1037"/>
      <c r="B1037" s="34"/>
      <c r="C1037" s="34"/>
      <c r="D1037" s="355"/>
      <c r="E1037"/>
      <c r="F1037" s="57"/>
      <c r="G1037" s="57"/>
      <c r="H1037" s="1082">
        <f t="shared" si="57"/>
        <v>0</v>
      </c>
      <c r="I1037" s="1333"/>
      <c r="J1037" s="1334" t="e">
        <f>VLOOKUP(C1037,Acc_Char!B:K,3,)</f>
        <v>#N/A</v>
      </c>
      <c r="K1037" s="1334" t="e">
        <f>VLOOKUP(C1037,Acc_Char!B:K,7,)</f>
        <v>#N/A</v>
      </c>
      <c r="L1037" s="1334">
        <f t="shared" si="58"/>
        <v>0</v>
      </c>
      <c r="M1037" s="1335" t="e">
        <f>VLOOKUP(C1037,Acc_Char!B:K,5,)</f>
        <v>#N/A</v>
      </c>
      <c r="N1037" s="1335" t="e">
        <f>VLOOKUP(C1037,Acc_Char!B:K,6,)</f>
        <v>#N/A</v>
      </c>
      <c r="O1037" s="1336" t="str">
        <f>Summary!$B$4</f>
        <v>W1-2Jan26</v>
      </c>
      <c r="P1037" s="1334" t="str">
        <f t="shared" si="59"/>
        <v>0</v>
      </c>
    </row>
    <row r="1038" spans="1:16">
      <c r="A1038"/>
      <c r="B1038" s="34"/>
      <c r="C1038" s="34"/>
      <c r="D1038" s="355"/>
      <c r="E1038"/>
      <c r="F1038" s="57"/>
      <c r="G1038" s="57"/>
      <c r="H1038" s="1082">
        <f t="shared" si="57"/>
        <v>0</v>
      </c>
      <c r="I1038" s="1333"/>
      <c r="J1038" s="1334" t="e">
        <f>VLOOKUP(C1038,Acc_Char!B:K,3,)</f>
        <v>#N/A</v>
      </c>
      <c r="K1038" s="1334" t="e">
        <f>VLOOKUP(C1038,Acc_Char!B:K,7,)</f>
        <v>#N/A</v>
      </c>
      <c r="L1038" s="1334">
        <f t="shared" si="58"/>
        <v>0</v>
      </c>
      <c r="M1038" s="1335" t="e">
        <f>VLOOKUP(C1038,Acc_Char!B:K,5,)</f>
        <v>#N/A</v>
      </c>
      <c r="N1038" s="1335" t="e">
        <f>VLOOKUP(C1038,Acc_Char!B:K,6,)</f>
        <v>#N/A</v>
      </c>
      <c r="O1038" s="1336" t="str">
        <f>Summary!$B$4</f>
        <v>W1-2Jan26</v>
      </c>
      <c r="P1038" s="1334" t="str">
        <f t="shared" si="59"/>
        <v>0</v>
      </c>
    </row>
    <row r="1039" spans="1:16">
      <c r="A1039"/>
      <c r="B1039" s="34"/>
      <c r="C1039" s="34"/>
      <c r="D1039" s="355"/>
      <c r="E1039"/>
      <c r="F1039" s="57"/>
      <c r="G1039" s="57"/>
      <c r="H1039" s="1082">
        <f t="shared" si="57"/>
        <v>0</v>
      </c>
      <c r="I1039" s="1333"/>
      <c r="J1039" s="1334" t="e">
        <f>VLOOKUP(C1039,Acc_Char!B:K,3,)</f>
        <v>#N/A</v>
      </c>
      <c r="K1039" s="1334" t="e">
        <f>VLOOKUP(C1039,Acc_Char!B:K,7,)</f>
        <v>#N/A</v>
      </c>
      <c r="L1039" s="1334">
        <f t="shared" si="58"/>
        <v>0</v>
      </c>
      <c r="M1039" s="1335" t="e">
        <f>VLOOKUP(C1039,Acc_Char!B:K,5,)</f>
        <v>#N/A</v>
      </c>
      <c r="N1039" s="1335" t="e">
        <f>VLOOKUP(C1039,Acc_Char!B:K,6,)</f>
        <v>#N/A</v>
      </c>
      <c r="O1039" s="1336" t="str">
        <f>Summary!$B$4</f>
        <v>W1-2Jan26</v>
      </c>
      <c r="P1039" s="1334" t="str">
        <f t="shared" si="59"/>
        <v>0</v>
      </c>
    </row>
    <row r="1040" spans="1:16">
      <c r="A1040"/>
      <c r="B1040" s="34"/>
      <c r="C1040" s="34"/>
      <c r="D1040" s="355"/>
      <c r="E1040"/>
      <c r="F1040" s="57"/>
      <c r="G1040" s="57"/>
      <c r="H1040" s="1082">
        <f t="shared" si="57"/>
        <v>0</v>
      </c>
      <c r="I1040" s="1333"/>
      <c r="J1040" s="1334" t="e">
        <f>VLOOKUP(C1040,Acc_Char!B:K,3,)</f>
        <v>#N/A</v>
      </c>
      <c r="K1040" s="1334" t="e">
        <f>VLOOKUP(C1040,Acc_Char!B:K,7,)</f>
        <v>#N/A</v>
      </c>
      <c r="L1040" s="1334">
        <f t="shared" si="58"/>
        <v>0</v>
      </c>
      <c r="M1040" s="1335" t="e">
        <f>VLOOKUP(C1040,Acc_Char!B:K,5,)</f>
        <v>#N/A</v>
      </c>
      <c r="N1040" s="1335" t="e">
        <f>VLOOKUP(C1040,Acc_Char!B:K,6,)</f>
        <v>#N/A</v>
      </c>
      <c r="O1040" s="1336" t="str">
        <f>Summary!$B$4</f>
        <v>W1-2Jan26</v>
      </c>
      <c r="P1040" s="1334" t="str">
        <f t="shared" si="59"/>
        <v>0</v>
      </c>
    </row>
    <row r="1041" spans="1:16">
      <c r="A1041"/>
      <c r="B1041" s="34"/>
      <c r="C1041" s="34"/>
      <c r="D1041" s="355"/>
      <c r="E1041"/>
      <c r="F1041" s="57"/>
      <c r="G1041" s="57"/>
      <c r="H1041" s="1082">
        <f t="shared" si="57"/>
        <v>0</v>
      </c>
      <c r="I1041" s="1333"/>
      <c r="J1041" s="1334" t="e">
        <f>VLOOKUP(C1041,Acc_Char!B:K,3,)</f>
        <v>#N/A</v>
      </c>
      <c r="K1041" s="1334" t="e">
        <f>VLOOKUP(C1041,Acc_Char!B:K,7,)</f>
        <v>#N/A</v>
      </c>
      <c r="L1041" s="1334">
        <f t="shared" si="58"/>
        <v>0</v>
      </c>
      <c r="M1041" s="1335" t="e">
        <f>VLOOKUP(C1041,Acc_Char!B:K,5,)</f>
        <v>#N/A</v>
      </c>
      <c r="N1041" s="1335" t="e">
        <f>VLOOKUP(C1041,Acc_Char!B:K,6,)</f>
        <v>#N/A</v>
      </c>
      <c r="O1041" s="1336" t="str">
        <f>Summary!$B$4</f>
        <v>W1-2Jan26</v>
      </c>
      <c r="P1041" s="1334" t="str">
        <f t="shared" si="59"/>
        <v>0</v>
      </c>
    </row>
    <row r="1042" spans="1:16">
      <c r="A1042"/>
      <c r="B1042" s="34"/>
      <c r="C1042" s="34"/>
      <c r="D1042" s="355"/>
      <c r="E1042"/>
      <c r="F1042" s="57"/>
      <c r="G1042" s="57"/>
      <c r="H1042" s="1082">
        <f t="shared" si="57"/>
        <v>0</v>
      </c>
      <c r="I1042" s="1333"/>
      <c r="J1042" s="1334" t="e">
        <f>VLOOKUP(C1042,Acc_Char!B:K,3,)</f>
        <v>#N/A</v>
      </c>
      <c r="K1042" s="1334" t="e">
        <f>VLOOKUP(C1042,Acc_Char!B:K,7,)</f>
        <v>#N/A</v>
      </c>
      <c r="L1042" s="1334">
        <f t="shared" si="58"/>
        <v>0</v>
      </c>
      <c r="M1042" s="1335" t="e">
        <f>VLOOKUP(C1042,Acc_Char!B:K,5,)</f>
        <v>#N/A</v>
      </c>
      <c r="N1042" s="1335" t="e">
        <f>VLOOKUP(C1042,Acc_Char!B:K,6,)</f>
        <v>#N/A</v>
      </c>
      <c r="O1042" s="1336" t="str">
        <f>Summary!$B$4</f>
        <v>W1-2Jan26</v>
      </c>
      <c r="P1042" s="1334" t="str">
        <f t="shared" si="59"/>
        <v>0</v>
      </c>
    </row>
    <row r="1043" spans="1:16">
      <c r="A1043"/>
      <c r="B1043" s="34"/>
      <c r="C1043" s="34"/>
      <c r="D1043" s="355"/>
      <c r="E1043"/>
      <c r="F1043" s="57"/>
      <c r="G1043" s="57"/>
      <c r="H1043" s="1082">
        <f t="shared" si="57"/>
        <v>0</v>
      </c>
      <c r="I1043" s="1333"/>
      <c r="J1043" s="1334" t="e">
        <f>VLOOKUP(C1043,Acc_Char!B:K,3,)</f>
        <v>#N/A</v>
      </c>
      <c r="K1043" s="1334" t="e">
        <f>VLOOKUP(C1043,Acc_Char!B:K,7,)</f>
        <v>#N/A</v>
      </c>
      <c r="L1043" s="1334">
        <f t="shared" si="58"/>
        <v>0</v>
      </c>
      <c r="M1043" s="1335" t="e">
        <f>VLOOKUP(C1043,Acc_Char!B:K,5,)</f>
        <v>#N/A</v>
      </c>
      <c r="N1043" s="1335" t="e">
        <f>VLOOKUP(C1043,Acc_Char!B:K,6,)</f>
        <v>#N/A</v>
      </c>
      <c r="O1043" s="1336" t="str">
        <f>Summary!$B$4</f>
        <v>W1-2Jan26</v>
      </c>
      <c r="P1043" s="1334" t="str">
        <f t="shared" si="59"/>
        <v>0</v>
      </c>
    </row>
    <row r="1044" spans="1:16">
      <c r="A1044"/>
      <c r="B1044" s="34"/>
      <c r="C1044" s="34"/>
      <c r="D1044" s="355"/>
      <c r="E1044"/>
      <c r="F1044" s="57"/>
      <c r="G1044" s="57"/>
      <c r="H1044" s="1082">
        <f t="shared" si="57"/>
        <v>0</v>
      </c>
      <c r="I1044" s="1333"/>
      <c r="J1044" s="1334" t="e">
        <f>VLOOKUP(C1044,Acc_Char!B:K,3,)</f>
        <v>#N/A</v>
      </c>
      <c r="K1044" s="1334" t="e">
        <f>VLOOKUP(C1044,Acc_Char!B:K,7,)</f>
        <v>#N/A</v>
      </c>
      <c r="L1044" s="1334">
        <f t="shared" si="58"/>
        <v>0</v>
      </c>
      <c r="M1044" s="1335" t="e">
        <f>VLOOKUP(C1044,Acc_Char!B:K,5,)</f>
        <v>#N/A</v>
      </c>
      <c r="N1044" s="1335" t="e">
        <f>VLOOKUP(C1044,Acc_Char!B:K,6,)</f>
        <v>#N/A</v>
      </c>
      <c r="O1044" s="1336" t="str">
        <f>Summary!$B$4</f>
        <v>W1-2Jan26</v>
      </c>
      <c r="P1044" s="1334" t="str">
        <f t="shared" si="59"/>
        <v>0</v>
      </c>
    </row>
    <row r="1045" spans="1:16">
      <c r="A1045"/>
      <c r="B1045" s="34"/>
      <c r="C1045" s="34"/>
      <c r="D1045" s="355"/>
      <c r="E1045"/>
      <c r="F1045" s="57"/>
      <c r="G1045" s="57"/>
      <c r="H1045" s="1082">
        <f t="shared" si="57"/>
        <v>0</v>
      </c>
      <c r="I1045" s="1333"/>
      <c r="J1045" s="1334" t="e">
        <f>VLOOKUP(C1045,Acc_Char!B:K,3,)</f>
        <v>#N/A</v>
      </c>
      <c r="K1045" s="1334" t="e">
        <f>VLOOKUP(C1045,Acc_Char!B:K,7,)</f>
        <v>#N/A</v>
      </c>
      <c r="L1045" s="1334">
        <f t="shared" si="58"/>
        <v>0</v>
      </c>
      <c r="M1045" s="1335" t="e">
        <f>VLOOKUP(C1045,Acc_Char!B:K,5,)</f>
        <v>#N/A</v>
      </c>
      <c r="N1045" s="1335" t="e">
        <f>VLOOKUP(C1045,Acc_Char!B:K,6,)</f>
        <v>#N/A</v>
      </c>
      <c r="O1045" s="1336" t="str">
        <f>Summary!$B$4</f>
        <v>W1-2Jan26</v>
      </c>
      <c r="P1045" s="1334" t="str">
        <f t="shared" si="59"/>
        <v>0</v>
      </c>
    </row>
    <row r="1046" spans="1:16">
      <c r="A1046"/>
      <c r="B1046" s="34"/>
      <c r="C1046" s="34"/>
      <c r="D1046" s="355"/>
      <c r="E1046"/>
      <c r="F1046" s="57"/>
      <c r="G1046" s="57"/>
      <c r="H1046" s="1082">
        <f t="shared" si="57"/>
        <v>0</v>
      </c>
      <c r="I1046"/>
      <c r="J1046" s="1334" t="e">
        <f>VLOOKUP(C1046,Acc_Char!B:K,3,)</f>
        <v>#N/A</v>
      </c>
      <c r="K1046" s="1334" t="e">
        <f>VLOOKUP(C1046,Acc_Char!B:K,7,)</f>
        <v>#N/A</v>
      </c>
      <c r="L1046" s="1334">
        <f t="shared" si="58"/>
        <v>0</v>
      </c>
      <c r="M1046" s="1335" t="e">
        <f>VLOOKUP(C1046,Acc_Char!B:K,5,)</f>
        <v>#N/A</v>
      </c>
      <c r="N1046" s="1335" t="e">
        <f>VLOOKUP(C1046,Acc_Char!B:K,6,)</f>
        <v>#N/A</v>
      </c>
      <c r="O1046" s="1336" t="str">
        <f>Summary!$B$4</f>
        <v>W1-2Jan26</v>
      </c>
      <c r="P1046" s="1334" t="str">
        <f t="shared" si="59"/>
        <v>0</v>
      </c>
    </row>
    <row r="1047" spans="1:16">
      <c r="A1047"/>
      <c r="B1047" s="34"/>
      <c r="C1047" s="34"/>
      <c r="D1047" s="355"/>
      <c r="E1047"/>
      <c r="F1047" s="57"/>
      <c r="G1047" s="57"/>
      <c r="H1047" s="1082">
        <f t="shared" si="57"/>
        <v>0</v>
      </c>
      <c r="I1047" s="1333"/>
      <c r="J1047" s="1334" t="e">
        <f>VLOOKUP(C1047,Acc_Char!B:K,3,)</f>
        <v>#N/A</v>
      </c>
      <c r="K1047" s="1334" t="e">
        <f>VLOOKUP(C1047,Acc_Char!B:K,7,)</f>
        <v>#N/A</v>
      </c>
      <c r="L1047" s="1334">
        <f t="shared" si="58"/>
        <v>0</v>
      </c>
      <c r="M1047" s="1335" t="e">
        <f>VLOOKUP(C1047,Acc_Char!B:K,5,)</f>
        <v>#N/A</v>
      </c>
      <c r="N1047" s="1335" t="e">
        <f>VLOOKUP(C1047,Acc_Char!B:K,6,)</f>
        <v>#N/A</v>
      </c>
      <c r="O1047" s="1336" t="str">
        <f>Summary!$B$4</f>
        <v>W1-2Jan26</v>
      </c>
      <c r="P1047" s="1334" t="str">
        <f t="shared" si="59"/>
        <v>0</v>
      </c>
    </row>
    <row r="1048" spans="1:16">
      <c r="A1048"/>
      <c r="B1048" s="34"/>
      <c r="C1048" s="34"/>
      <c r="D1048" s="355"/>
      <c r="E1048"/>
      <c r="F1048" s="57"/>
      <c r="G1048" s="57"/>
      <c r="H1048" s="1082">
        <f t="shared" si="57"/>
        <v>0</v>
      </c>
      <c r="I1048" s="1333"/>
      <c r="J1048" s="1334" t="e">
        <f>VLOOKUP(C1048,Acc_Char!B:K,3,)</f>
        <v>#N/A</v>
      </c>
      <c r="K1048" s="1334" t="e">
        <f>VLOOKUP(C1048,Acc_Char!B:K,7,)</f>
        <v>#N/A</v>
      </c>
      <c r="L1048" s="1334">
        <f t="shared" si="58"/>
        <v>0</v>
      </c>
      <c r="M1048" s="1335" t="e">
        <f>VLOOKUP(C1048,Acc_Char!B:K,5,)</f>
        <v>#N/A</v>
      </c>
      <c r="N1048" s="1335" t="e">
        <f>VLOOKUP(C1048,Acc_Char!B:K,6,)</f>
        <v>#N/A</v>
      </c>
      <c r="O1048" s="1336" t="str">
        <f>Summary!$B$4</f>
        <v>W1-2Jan26</v>
      </c>
      <c r="P1048" s="1334" t="str">
        <f t="shared" si="59"/>
        <v>0</v>
      </c>
    </row>
    <row r="1049" spans="1:16">
      <c r="A1049"/>
      <c r="B1049" s="34"/>
      <c r="C1049" s="34"/>
      <c r="D1049" s="355"/>
      <c r="E1049"/>
      <c r="F1049" s="57"/>
      <c r="G1049" s="57"/>
      <c r="H1049" s="1082">
        <f t="shared" si="57"/>
        <v>0</v>
      </c>
      <c r="J1049" s="1334" t="e">
        <f>VLOOKUP(C1049,Acc_Char!B:K,3,)</f>
        <v>#N/A</v>
      </c>
      <c r="K1049" s="1334" t="e">
        <f>VLOOKUP(C1049,Acc_Char!B:K,7,)</f>
        <v>#N/A</v>
      </c>
      <c r="L1049" s="1334">
        <f t="shared" si="58"/>
        <v>0</v>
      </c>
      <c r="M1049" s="1335" t="e">
        <f>VLOOKUP(C1049,Acc_Char!B:K,5,)</f>
        <v>#N/A</v>
      </c>
      <c r="N1049" s="1335" t="e">
        <f>VLOOKUP(C1049,Acc_Char!B:K,6,)</f>
        <v>#N/A</v>
      </c>
      <c r="O1049" s="1336" t="str">
        <f>Summary!$B$4</f>
        <v>W1-2Jan26</v>
      </c>
      <c r="P1049" s="1334" t="str">
        <f t="shared" si="59"/>
        <v>0</v>
      </c>
    </row>
    <row r="1050" spans="1:16">
      <c r="A1050"/>
      <c r="B1050" s="34"/>
      <c r="C1050" s="34"/>
      <c r="D1050" s="355"/>
      <c r="E1050"/>
      <c r="F1050" s="57"/>
      <c r="G1050" s="57"/>
      <c r="H1050" s="1082">
        <f t="shared" si="57"/>
        <v>0</v>
      </c>
      <c r="I1050" s="1333"/>
      <c r="J1050" s="1334" t="e">
        <f>VLOOKUP(C1050,Acc_Char!B:K,3,)</f>
        <v>#N/A</v>
      </c>
      <c r="K1050" s="1334" t="e">
        <f>VLOOKUP(C1050,Acc_Char!B:K,7,)</f>
        <v>#N/A</v>
      </c>
      <c r="L1050" s="1334">
        <f t="shared" si="58"/>
        <v>0</v>
      </c>
      <c r="M1050" s="1335" t="e">
        <f>VLOOKUP(C1050,Acc_Char!B:K,5,)</f>
        <v>#N/A</v>
      </c>
      <c r="N1050" s="1335" t="e">
        <f>VLOOKUP(C1050,Acc_Char!B:K,6,)</f>
        <v>#N/A</v>
      </c>
      <c r="O1050" s="1336" t="str">
        <f>Summary!$B$4</f>
        <v>W1-2Jan26</v>
      </c>
      <c r="P1050" s="1334" t="str">
        <f t="shared" si="59"/>
        <v>0</v>
      </c>
    </row>
    <row r="1051" spans="1:16">
      <c r="A1051"/>
      <c r="B1051" s="34"/>
      <c r="C1051" s="34"/>
      <c r="D1051" s="355"/>
      <c r="E1051"/>
      <c r="F1051" s="57"/>
      <c r="G1051" s="57"/>
      <c r="H1051" s="1082">
        <f t="shared" si="57"/>
        <v>0</v>
      </c>
      <c r="I1051" s="1333"/>
      <c r="J1051" s="1334" t="e">
        <f>VLOOKUP(C1051,Acc_Char!B:K,3,)</f>
        <v>#N/A</v>
      </c>
      <c r="K1051" s="1334" t="e">
        <f>VLOOKUP(C1051,Acc_Char!B:K,7,)</f>
        <v>#N/A</v>
      </c>
      <c r="L1051" s="1334">
        <f t="shared" si="58"/>
        <v>0</v>
      </c>
      <c r="M1051" s="1335" t="e">
        <f>VLOOKUP(C1051,Acc_Char!B:K,5,)</f>
        <v>#N/A</v>
      </c>
      <c r="N1051" s="1335" t="e">
        <f>VLOOKUP(C1051,Acc_Char!B:K,6,)</f>
        <v>#N/A</v>
      </c>
      <c r="O1051" s="1336" t="str">
        <f>Summary!$B$4</f>
        <v>W1-2Jan26</v>
      </c>
      <c r="P1051" s="1334" t="str">
        <f t="shared" si="59"/>
        <v>0</v>
      </c>
    </row>
    <row r="1052" spans="1:16">
      <c r="A1052"/>
      <c r="B1052" s="34"/>
      <c r="C1052" s="34"/>
      <c r="D1052" s="355"/>
      <c r="E1052"/>
      <c r="F1052" s="57"/>
      <c r="G1052" s="57"/>
      <c r="H1052" s="1082">
        <f t="shared" si="57"/>
        <v>0</v>
      </c>
      <c r="J1052" s="1334" t="e">
        <f>VLOOKUP(C1052,Acc_Char!B:K,3,)</f>
        <v>#N/A</v>
      </c>
      <c r="K1052" s="1334" t="e">
        <f>VLOOKUP(C1052,Acc_Char!B:K,7,)</f>
        <v>#N/A</v>
      </c>
      <c r="L1052" s="1334">
        <f t="shared" si="58"/>
        <v>0</v>
      </c>
      <c r="M1052" s="1335" t="e">
        <f>VLOOKUP(C1052,Acc_Char!B:K,5,)</f>
        <v>#N/A</v>
      </c>
      <c r="N1052" s="1335" t="e">
        <f>VLOOKUP(C1052,Acc_Char!B:K,6,)</f>
        <v>#N/A</v>
      </c>
      <c r="O1052" s="1336" t="str">
        <f>Summary!$B$4</f>
        <v>W1-2Jan26</v>
      </c>
      <c r="P1052" s="1334" t="str">
        <f t="shared" si="59"/>
        <v>0</v>
      </c>
    </row>
    <row r="1053" spans="1:16">
      <c r="A1053"/>
      <c r="B1053" s="34"/>
      <c r="C1053" s="34"/>
      <c r="D1053" s="355"/>
      <c r="E1053"/>
      <c r="F1053" s="57"/>
      <c r="G1053" s="57"/>
      <c r="H1053" s="1082">
        <f t="shared" si="57"/>
        <v>0</v>
      </c>
      <c r="J1053" s="1334" t="e">
        <f>VLOOKUP(C1053,Acc_Char!B:K,3,)</f>
        <v>#N/A</v>
      </c>
      <c r="K1053" s="1334" t="e">
        <f>VLOOKUP(C1053,Acc_Char!B:K,7,)</f>
        <v>#N/A</v>
      </c>
      <c r="L1053" s="1334">
        <f t="shared" si="58"/>
        <v>0</v>
      </c>
      <c r="M1053" s="1335" t="e">
        <f>VLOOKUP(C1053,Acc_Char!B:K,5,)</f>
        <v>#N/A</v>
      </c>
      <c r="N1053" s="1335" t="e">
        <f>VLOOKUP(C1053,Acc_Char!B:K,6,)</f>
        <v>#N/A</v>
      </c>
      <c r="O1053" s="1336" t="str">
        <f>Summary!$B$4</f>
        <v>W1-2Jan26</v>
      </c>
      <c r="P1053" s="1334" t="str">
        <f t="shared" si="59"/>
        <v>0</v>
      </c>
    </row>
    <row r="1054" spans="1:16">
      <c r="A1054"/>
      <c r="B1054" s="34"/>
      <c r="C1054" s="34"/>
      <c r="D1054" s="355"/>
      <c r="E1054"/>
      <c r="F1054" s="57"/>
      <c r="G1054" s="57"/>
      <c r="H1054" s="1082">
        <f t="shared" si="57"/>
        <v>0</v>
      </c>
      <c r="I1054" s="1333"/>
      <c r="J1054" s="1334" t="e">
        <f>VLOOKUP(C1054,Acc_Char!B:K,3,)</f>
        <v>#N/A</v>
      </c>
      <c r="K1054" s="1334" t="e">
        <f>VLOOKUP(C1054,Acc_Char!B:K,7,)</f>
        <v>#N/A</v>
      </c>
      <c r="L1054" s="1334">
        <f t="shared" si="58"/>
        <v>0</v>
      </c>
      <c r="M1054" s="1335" t="e">
        <f>VLOOKUP(C1054,Acc_Char!B:K,5,)</f>
        <v>#N/A</v>
      </c>
      <c r="N1054" s="1335" t="e">
        <f>VLOOKUP(C1054,Acc_Char!B:K,6,)</f>
        <v>#N/A</v>
      </c>
      <c r="O1054" s="1336" t="str">
        <f>Summary!$B$4</f>
        <v>W1-2Jan26</v>
      </c>
      <c r="P1054" s="1334" t="str">
        <f t="shared" si="59"/>
        <v>0</v>
      </c>
    </row>
    <row r="1055" spans="1:16">
      <c r="A1055"/>
      <c r="B1055" s="34"/>
      <c r="C1055" s="34"/>
      <c r="D1055" s="355"/>
      <c r="E1055"/>
      <c r="F1055" s="57"/>
      <c r="G1055" s="57"/>
      <c r="H1055" s="1082">
        <f t="shared" si="57"/>
        <v>0</v>
      </c>
      <c r="I1055" s="1333"/>
      <c r="J1055" s="1334" t="e">
        <f>VLOOKUP(C1055,Acc_Char!B:K,3,)</f>
        <v>#N/A</v>
      </c>
      <c r="K1055" s="1334" t="e">
        <f>VLOOKUP(C1055,Acc_Char!B:K,7,)</f>
        <v>#N/A</v>
      </c>
      <c r="L1055" s="1334">
        <f t="shared" si="58"/>
        <v>0</v>
      </c>
      <c r="M1055" s="1335" t="e">
        <f>VLOOKUP(C1055,Acc_Char!B:K,5,)</f>
        <v>#N/A</v>
      </c>
      <c r="N1055" s="1335" t="e">
        <f>VLOOKUP(C1055,Acc_Char!B:K,6,)</f>
        <v>#N/A</v>
      </c>
      <c r="O1055" s="1336" t="str">
        <f>Summary!$B$4</f>
        <v>W1-2Jan26</v>
      </c>
      <c r="P1055" s="1334" t="str">
        <f t="shared" si="59"/>
        <v>0</v>
      </c>
    </row>
    <row r="1056" spans="1:16">
      <c r="A1056"/>
      <c r="B1056" s="34"/>
      <c r="C1056" s="34"/>
      <c r="D1056" s="355"/>
      <c r="E1056"/>
      <c r="F1056" s="57"/>
      <c r="G1056" s="57"/>
      <c r="H1056" s="1082">
        <f t="shared" si="57"/>
        <v>0</v>
      </c>
      <c r="I1056" s="1333"/>
      <c r="J1056" s="1334" t="e">
        <f>VLOOKUP(C1056,Acc_Char!B:K,3,)</f>
        <v>#N/A</v>
      </c>
      <c r="K1056" s="1334" t="e">
        <f>VLOOKUP(C1056,Acc_Char!B:K,7,)</f>
        <v>#N/A</v>
      </c>
      <c r="L1056" s="1334">
        <f t="shared" si="58"/>
        <v>0</v>
      </c>
      <c r="M1056" s="1335" t="e">
        <f>VLOOKUP(C1056,Acc_Char!B:K,5,)</f>
        <v>#N/A</v>
      </c>
      <c r="N1056" s="1335" t="e">
        <f>VLOOKUP(C1056,Acc_Char!B:K,6,)</f>
        <v>#N/A</v>
      </c>
      <c r="O1056" s="1336" t="str">
        <f>Summary!$B$4</f>
        <v>W1-2Jan26</v>
      </c>
      <c r="P1056" s="1334" t="str">
        <f t="shared" si="59"/>
        <v>0</v>
      </c>
    </row>
    <row r="1057" spans="1:17">
      <c r="A1057"/>
      <c r="B1057" s="34"/>
      <c r="C1057" s="34"/>
      <c r="D1057" s="355"/>
      <c r="E1057"/>
      <c r="F1057" s="57"/>
      <c r="G1057" s="57"/>
      <c r="H1057" s="1082">
        <f t="shared" si="57"/>
        <v>0</v>
      </c>
      <c r="I1057" s="1333"/>
      <c r="J1057" s="1334" t="e">
        <f>VLOOKUP(C1057,Acc_Char!B:K,3,)</f>
        <v>#N/A</v>
      </c>
      <c r="K1057" s="1334" t="e">
        <f>VLOOKUP(C1057,Acc_Char!B:K,7,)</f>
        <v>#N/A</v>
      </c>
      <c r="L1057" s="1334">
        <f t="shared" si="58"/>
        <v>0</v>
      </c>
      <c r="M1057" s="1335" t="e">
        <f>VLOOKUP(C1057,Acc_Char!B:K,5,)</f>
        <v>#N/A</v>
      </c>
      <c r="N1057" s="1335" t="e">
        <f>VLOOKUP(C1057,Acc_Char!B:K,6,)</f>
        <v>#N/A</v>
      </c>
      <c r="O1057" s="1336" t="str">
        <f>Summary!$B$4</f>
        <v>W1-2Jan26</v>
      </c>
      <c r="P1057" s="1334" t="str">
        <f t="shared" si="59"/>
        <v>0</v>
      </c>
      <c r="Q1057" s="1024"/>
    </row>
    <row r="1058" spans="1:17">
      <c r="A1058"/>
      <c r="B1058" s="34"/>
      <c r="C1058" s="34"/>
      <c r="D1058" s="355"/>
      <c r="E1058"/>
      <c r="F1058" s="57"/>
      <c r="G1058" s="57"/>
      <c r="H1058" s="1082">
        <f t="shared" si="57"/>
        <v>0</v>
      </c>
      <c r="I1058" s="1333"/>
      <c r="J1058" s="1334" t="e">
        <f>VLOOKUP(C1058,Acc_Char!B:K,3,)</f>
        <v>#N/A</v>
      </c>
      <c r="K1058" s="1334" t="e">
        <f>VLOOKUP(C1058,Acc_Char!B:K,7,)</f>
        <v>#N/A</v>
      </c>
      <c r="L1058" s="1334">
        <f t="shared" si="58"/>
        <v>0</v>
      </c>
      <c r="M1058" s="1335" t="e">
        <f>VLOOKUP(C1058,Acc_Char!B:K,5,)</f>
        <v>#N/A</v>
      </c>
      <c r="N1058" s="1335" t="e">
        <f>VLOOKUP(C1058,Acc_Char!B:K,6,)</f>
        <v>#N/A</v>
      </c>
      <c r="O1058" s="1336" t="str">
        <f>Summary!$B$4</f>
        <v>W1-2Jan26</v>
      </c>
      <c r="P1058" s="1334" t="str">
        <f t="shared" si="59"/>
        <v>0</v>
      </c>
      <c r="Q1058" s="1024"/>
    </row>
    <row r="1059" spans="1:17">
      <c r="A1059"/>
      <c r="B1059" s="34"/>
      <c r="C1059" s="34"/>
      <c r="D1059" s="355"/>
      <c r="E1059"/>
      <c r="F1059" s="57"/>
      <c r="G1059" s="57"/>
      <c r="H1059" s="1082">
        <f t="shared" si="57"/>
        <v>0</v>
      </c>
      <c r="I1059" s="1333"/>
      <c r="J1059" s="1334" t="e">
        <f>VLOOKUP(C1059,Acc_Char!B:K,3,)</f>
        <v>#N/A</v>
      </c>
      <c r="K1059" s="1334" t="e">
        <f>VLOOKUP(C1059,Acc_Char!B:K,7,)</f>
        <v>#N/A</v>
      </c>
      <c r="L1059" s="1334">
        <f t="shared" si="58"/>
        <v>0</v>
      </c>
      <c r="M1059" s="1335" t="e">
        <f>VLOOKUP(C1059,Acc_Char!B:K,5,)</f>
        <v>#N/A</v>
      </c>
      <c r="N1059" s="1335" t="e">
        <f>VLOOKUP(C1059,Acc_Char!B:K,6,)</f>
        <v>#N/A</v>
      </c>
      <c r="O1059" s="1336" t="str">
        <f>Summary!$B$4</f>
        <v>W1-2Jan26</v>
      </c>
      <c r="P1059" s="1334" t="str">
        <f t="shared" si="59"/>
        <v>0</v>
      </c>
      <c r="Q1059" s="1024"/>
    </row>
    <row r="1060" spans="1:17">
      <c r="A1060"/>
      <c r="B1060" s="34"/>
      <c r="C1060" s="34"/>
      <c r="D1060" s="355"/>
      <c r="E1060"/>
      <c r="F1060" s="57"/>
      <c r="G1060" s="57"/>
      <c r="H1060" s="1082">
        <f t="shared" si="57"/>
        <v>0</v>
      </c>
      <c r="I1060" s="1333"/>
      <c r="J1060" s="1334" t="e">
        <f>VLOOKUP(C1060,Acc_Char!B:K,3,)</f>
        <v>#N/A</v>
      </c>
      <c r="K1060" s="1334" t="e">
        <f>VLOOKUP(C1060,Acc_Char!B:K,7,)</f>
        <v>#N/A</v>
      </c>
      <c r="L1060" s="1334">
        <f t="shared" si="58"/>
        <v>0</v>
      </c>
      <c r="M1060" s="1335" t="e">
        <f>VLOOKUP(C1060,Acc_Char!B:K,5,)</f>
        <v>#N/A</v>
      </c>
      <c r="N1060" s="1335" t="e">
        <f>VLOOKUP(C1060,Acc_Char!B:K,6,)</f>
        <v>#N/A</v>
      </c>
      <c r="O1060" s="1336" t="str">
        <f>Summary!$B$4</f>
        <v>W1-2Jan26</v>
      </c>
      <c r="P1060" s="1334" t="str">
        <f t="shared" si="59"/>
        <v>0</v>
      </c>
    </row>
    <row r="1061" spans="1:17">
      <c r="A1061"/>
      <c r="B1061" s="34"/>
      <c r="C1061" s="34"/>
      <c r="D1061" s="355"/>
      <c r="E1061"/>
      <c r="F1061" s="57"/>
      <c r="G1061" s="57"/>
      <c r="H1061" s="1082">
        <f t="shared" si="57"/>
        <v>0</v>
      </c>
      <c r="I1061" s="1333"/>
      <c r="J1061" s="1334" t="e">
        <f>VLOOKUP(C1061,Acc_Char!B:K,3,)</f>
        <v>#N/A</v>
      </c>
      <c r="K1061" s="1334" t="e">
        <f>VLOOKUP(C1061,Acc_Char!B:K,7,)</f>
        <v>#N/A</v>
      </c>
      <c r="L1061" s="1334">
        <f t="shared" si="58"/>
        <v>0</v>
      </c>
      <c r="M1061" s="1335" t="e">
        <f>VLOOKUP(C1061,Acc_Char!B:K,5,)</f>
        <v>#N/A</v>
      </c>
      <c r="N1061" s="1335" t="e">
        <f>VLOOKUP(C1061,Acc_Char!B:K,6,)</f>
        <v>#N/A</v>
      </c>
      <c r="O1061" s="1336" t="str">
        <f>Summary!$B$4</f>
        <v>W1-2Jan26</v>
      </c>
      <c r="P1061" s="1334" t="str">
        <f t="shared" si="59"/>
        <v>0</v>
      </c>
    </row>
    <row r="1062" spans="1:17">
      <c r="A1062"/>
      <c r="B1062" s="34"/>
      <c r="C1062" s="34"/>
      <c r="D1062" s="355"/>
      <c r="E1062"/>
      <c r="F1062" s="57"/>
      <c r="G1062" s="57"/>
      <c r="H1062" s="1082">
        <f t="shared" ref="H1062:H1126" si="60">F1062-G1062</f>
        <v>0</v>
      </c>
      <c r="I1062" s="1333"/>
      <c r="J1062" s="1334" t="e">
        <f>VLOOKUP(C1062,Acc_Char!B:K,3,)</f>
        <v>#N/A</v>
      </c>
      <c r="K1062" s="1334" t="e">
        <f>VLOOKUP(C1062,Acc_Char!B:K,7,)</f>
        <v>#N/A</v>
      </c>
      <c r="L1062" s="1334">
        <f t="shared" si="58"/>
        <v>0</v>
      </c>
      <c r="M1062" s="1335" t="e">
        <f>VLOOKUP(C1062,Acc_Char!B:K,5,)</f>
        <v>#N/A</v>
      </c>
      <c r="N1062" s="1335" t="e">
        <f>VLOOKUP(C1062,Acc_Char!B:K,6,)</f>
        <v>#N/A</v>
      </c>
      <c r="O1062" s="1336" t="str">
        <f>Summary!$B$4</f>
        <v>W1-2Jan26</v>
      </c>
      <c r="P1062" s="1334" t="str">
        <f t="shared" si="59"/>
        <v>0</v>
      </c>
    </row>
    <row r="1063" spans="1:17">
      <c r="A1063"/>
      <c r="B1063" s="34"/>
      <c r="C1063" s="34"/>
      <c r="D1063" s="355"/>
      <c r="E1063"/>
      <c r="F1063" s="57"/>
      <c r="G1063" s="57"/>
      <c r="H1063" s="1082">
        <f t="shared" si="60"/>
        <v>0</v>
      </c>
      <c r="I1063" s="1333"/>
      <c r="J1063" s="1334" t="e">
        <f>VLOOKUP(C1063,Acc_Char!B:K,3,)</f>
        <v>#N/A</v>
      </c>
      <c r="K1063" s="1334" t="e">
        <f>VLOOKUP(C1063,Acc_Char!B:K,7,)</f>
        <v>#N/A</v>
      </c>
      <c r="L1063" s="1334">
        <f t="shared" si="58"/>
        <v>0</v>
      </c>
      <c r="M1063" s="1335" t="e">
        <f>VLOOKUP(C1063,Acc_Char!B:K,5,)</f>
        <v>#N/A</v>
      </c>
      <c r="N1063" s="1335" t="e">
        <f>VLOOKUP(C1063,Acc_Char!B:K,6,)</f>
        <v>#N/A</v>
      </c>
      <c r="O1063" s="1336" t="str">
        <f>Summary!$B$4</f>
        <v>W1-2Jan26</v>
      </c>
      <c r="P1063" s="1334" t="str">
        <f t="shared" si="59"/>
        <v>0</v>
      </c>
    </row>
    <row r="1064" spans="1:17">
      <c r="A1064"/>
      <c r="B1064" s="34"/>
      <c r="C1064" s="34"/>
      <c r="D1064" s="355"/>
      <c r="E1064"/>
      <c r="F1064" s="57"/>
      <c r="G1064" s="57"/>
      <c r="H1064" s="1082">
        <f t="shared" si="60"/>
        <v>0</v>
      </c>
      <c r="I1064" s="1333"/>
      <c r="J1064" s="1334" t="e">
        <f>VLOOKUP(C1064,Acc_Char!B:K,3,)</f>
        <v>#N/A</v>
      </c>
      <c r="K1064" s="1334" t="e">
        <f>VLOOKUP(C1064,Acc_Char!B:K,7,)</f>
        <v>#N/A</v>
      </c>
      <c r="L1064" s="1334">
        <f t="shared" si="58"/>
        <v>0</v>
      </c>
      <c r="M1064" s="1335" t="e">
        <f>VLOOKUP(C1064,Acc_Char!B:K,5,)</f>
        <v>#N/A</v>
      </c>
      <c r="N1064" s="1335" t="e">
        <f>VLOOKUP(C1064,Acc_Char!B:K,6,)</f>
        <v>#N/A</v>
      </c>
      <c r="O1064" s="1336" t="str">
        <f>Summary!$B$4</f>
        <v>W1-2Jan26</v>
      </c>
      <c r="P1064" s="1334" t="str">
        <f t="shared" si="59"/>
        <v>0</v>
      </c>
    </row>
    <row r="1065" spans="1:17">
      <c r="A1065"/>
      <c r="B1065" s="34"/>
      <c r="C1065" s="34"/>
      <c r="D1065" s="355"/>
      <c r="E1065"/>
      <c r="F1065" s="57"/>
      <c r="G1065" s="57"/>
      <c r="H1065" s="1082">
        <f t="shared" si="60"/>
        <v>0</v>
      </c>
      <c r="I1065" s="1333"/>
      <c r="J1065" s="1334" t="e">
        <f>VLOOKUP(C1065,Acc_Char!B:K,3,)</f>
        <v>#N/A</v>
      </c>
      <c r="K1065" s="1334" t="e">
        <f>VLOOKUP(C1065,Acc_Char!B:K,7,)</f>
        <v>#N/A</v>
      </c>
      <c r="L1065" s="1334">
        <f t="shared" si="58"/>
        <v>0</v>
      </c>
      <c r="M1065" s="1335" t="e">
        <f>VLOOKUP(C1065,Acc_Char!B:K,5,)</f>
        <v>#N/A</v>
      </c>
      <c r="N1065" s="1335" t="e">
        <f>VLOOKUP(C1065,Acc_Char!B:K,6,)</f>
        <v>#N/A</v>
      </c>
      <c r="O1065" s="1336" t="str">
        <f>Summary!$B$4</f>
        <v>W1-2Jan26</v>
      </c>
      <c r="P1065" s="1334" t="str">
        <f t="shared" si="59"/>
        <v>0</v>
      </c>
    </row>
    <row r="1066" spans="1:17">
      <c r="A1066"/>
      <c r="B1066" s="34"/>
      <c r="C1066" s="34"/>
      <c r="D1066" s="355"/>
      <c r="E1066"/>
      <c r="F1066" s="57"/>
      <c r="G1066" s="57"/>
      <c r="H1066" s="1082">
        <f t="shared" si="60"/>
        <v>0</v>
      </c>
      <c r="I1066" s="1333"/>
      <c r="J1066" s="1334" t="e">
        <f>VLOOKUP(C1066,Acc_Char!B:K,3,)</f>
        <v>#N/A</v>
      </c>
      <c r="K1066" s="1334" t="e">
        <f>VLOOKUP(C1066,Acc_Char!B:K,7,)</f>
        <v>#N/A</v>
      </c>
      <c r="L1066" s="1334">
        <f t="shared" si="58"/>
        <v>0</v>
      </c>
      <c r="M1066" s="1335" t="e">
        <f>VLOOKUP(C1066,Acc_Char!B:K,5,)</f>
        <v>#N/A</v>
      </c>
      <c r="N1066" s="1335" t="e">
        <f>VLOOKUP(C1066,Acc_Char!B:K,6,)</f>
        <v>#N/A</v>
      </c>
      <c r="O1066" s="1336" t="str">
        <f>Summary!$B$4</f>
        <v>W1-2Jan26</v>
      </c>
      <c r="P1066" s="1334" t="str">
        <f t="shared" si="59"/>
        <v>0</v>
      </c>
    </row>
    <row r="1067" spans="1:17">
      <c r="A1067"/>
      <c r="B1067" s="34"/>
      <c r="C1067" s="34"/>
      <c r="D1067" s="355"/>
      <c r="E1067"/>
      <c r="F1067" s="57"/>
      <c r="G1067" s="57"/>
      <c r="H1067" s="1082">
        <f t="shared" si="60"/>
        <v>0</v>
      </c>
      <c r="I1067" s="1333"/>
      <c r="J1067" s="1334" t="e">
        <f>VLOOKUP(C1067,Acc_Char!B:K,3,)</f>
        <v>#N/A</v>
      </c>
      <c r="K1067" s="1334" t="e">
        <f>VLOOKUP(C1067,Acc_Char!B:K,7,)</f>
        <v>#N/A</v>
      </c>
      <c r="L1067" s="1334">
        <f t="shared" si="58"/>
        <v>0</v>
      </c>
      <c r="M1067" s="1335" t="e">
        <f>VLOOKUP(C1067,Acc_Char!B:K,5,)</f>
        <v>#N/A</v>
      </c>
      <c r="N1067" s="1335" t="e">
        <f>VLOOKUP(C1067,Acc_Char!B:K,6,)</f>
        <v>#N/A</v>
      </c>
      <c r="O1067" s="1336" t="str">
        <f>Summary!$B$4</f>
        <v>W1-2Jan26</v>
      </c>
      <c r="P1067" s="1334" t="str">
        <f t="shared" si="59"/>
        <v>0</v>
      </c>
    </row>
    <row r="1068" spans="1:17">
      <c r="A1068"/>
      <c r="B1068" s="34"/>
      <c r="C1068" s="34"/>
      <c r="D1068" s="355"/>
      <c r="E1068"/>
      <c r="F1068" s="57"/>
      <c r="G1068" s="57"/>
      <c r="H1068" s="1082">
        <f t="shared" si="60"/>
        <v>0</v>
      </c>
      <c r="I1068" s="1333"/>
      <c r="J1068" s="1334" t="e">
        <f>VLOOKUP(C1068,Acc_Char!B:K,3,)</f>
        <v>#N/A</v>
      </c>
      <c r="K1068" s="1334" t="e">
        <f>VLOOKUP(C1068,Acc_Char!B:K,7,)</f>
        <v>#N/A</v>
      </c>
      <c r="L1068" s="1334">
        <f t="shared" si="58"/>
        <v>0</v>
      </c>
      <c r="M1068" s="1335" t="e">
        <f>VLOOKUP(C1068,Acc_Char!B:K,5,)</f>
        <v>#N/A</v>
      </c>
      <c r="N1068" s="1335" t="e">
        <f>VLOOKUP(C1068,Acc_Char!B:K,6,)</f>
        <v>#N/A</v>
      </c>
      <c r="O1068" s="1336" t="str">
        <f>Summary!$B$4</f>
        <v>W1-2Jan26</v>
      </c>
      <c r="P1068" s="1334" t="str">
        <f t="shared" si="59"/>
        <v>0</v>
      </c>
    </row>
    <row r="1069" spans="1:17">
      <c r="A1069"/>
      <c r="B1069" s="34"/>
      <c r="C1069" s="34"/>
      <c r="D1069" s="355"/>
      <c r="E1069"/>
      <c r="F1069" s="57"/>
      <c r="G1069" s="57"/>
      <c r="H1069" s="1082">
        <f t="shared" si="60"/>
        <v>0</v>
      </c>
      <c r="I1069" s="1333"/>
      <c r="J1069" s="1334" t="e">
        <f>VLOOKUP(C1069,Acc_Char!B:K,3,)</f>
        <v>#N/A</v>
      </c>
      <c r="K1069" s="1334" t="e">
        <f>VLOOKUP(C1069,Acc_Char!B:K,7,)</f>
        <v>#N/A</v>
      </c>
      <c r="L1069" s="1334">
        <f t="shared" si="58"/>
        <v>0</v>
      </c>
      <c r="M1069" s="1335" t="e">
        <f>VLOOKUP(C1069,Acc_Char!B:K,5,)</f>
        <v>#N/A</v>
      </c>
      <c r="N1069" s="1335" t="e">
        <f>VLOOKUP(C1069,Acc_Char!B:K,6,)</f>
        <v>#N/A</v>
      </c>
      <c r="O1069" s="1336" t="str">
        <f>Summary!$B$4</f>
        <v>W1-2Jan26</v>
      </c>
      <c r="P1069" s="1334" t="str">
        <f t="shared" si="59"/>
        <v>0</v>
      </c>
    </row>
    <row r="1070" spans="1:17">
      <c r="A1070"/>
      <c r="B1070" s="34"/>
      <c r="C1070" s="34"/>
      <c r="D1070" s="355"/>
      <c r="E1070"/>
      <c r="F1070" s="57"/>
      <c r="G1070" s="57"/>
      <c r="H1070" s="1082">
        <f t="shared" si="60"/>
        <v>0</v>
      </c>
      <c r="I1070" s="1333"/>
      <c r="J1070" s="1334" t="e">
        <f>VLOOKUP(C1070,Acc_Char!B:K,3,)</f>
        <v>#N/A</v>
      </c>
      <c r="K1070" s="1334" t="e">
        <f>VLOOKUP(C1070,Acc_Char!B:K,7,)</f>
        <v>#N/A</v>
      </c>
      <c r="L1070" s="1334">
        <f t="shared" si="58"/>
        <v>0</v>
      </c>
      <c r="M1070" s="1335" t="e">
        <f>VLOOKUP(C1070,Acc_Char!B:K,5,)</f>
        <v>#N/A</v>
      </c>
      <c r="N1070" s="1335" t="e">
        <f>VLOOKUP(C1070,Acc_Char!B:K,6,)</f>
        <v>#N/A</v>
      </c>
      <c r="O1070" s="1336" t="str">
        <f>Summary!$B$4</f>
        <v>W1-2Jan26</v>
      </c>
      <c r="P1070" s="1334" t="str">
        <f t="shared" si="59"/>
        <v>0</v>
      </c>
    </row>
    <row r="1071" spans="1:17">
      <c r="A1071"/>
      <c r="B1071" s="34"/>
      <c r="C1071" s="34"/>
      <c r="D1071" s="355"/>
      <c r="E1071"/>
      <c r="F1071" s="57"/>
      <c r="G1071" s="57"/>
      <c r="H1071" s="1082">
        <f t="shared" si="60"/>
        <v>0</v>
      </c>
      <c r="I1071" s="1333"/>
      <c r="J1071" s="1334" t="e">
        <f>VLOOKUP(C1071,Acc_Char!B:K,3,)</f>
        <v>#N/A</v>
      </c>
      <c r="K1071" s="1334" t="e">
        <f>VLOOKUP(C1071,Acc_Char!B:K,7,)</f>
        <v>#N/A</v>
      </c>
      <c r="L1071" s="1334">
        <f t="shared" si="58"/>
        <v>0</v>
      </c>
      <c r="M1071" s="1335" t="e">
        <f>VLOOKUP(C1071,Acc_Char!B:K,5,)</f>
        <v>#N/A</v>
      </c>
      <c r="N1071" s="1335" t="e">
        <f>VLOOKUP(C1071,Acc_Char!B:K,6,)</f>
        <v>#N/A</v>
      </c>
      <c r="O1071" s="1336" t="str">
        <f>Summary!$B$4</f>
        <v>W1-2Jan26</v>
      </c>
      <c r="P1071" s="1334" t="str">
        <f t="shared" si="59"/>
        <v>0</v>
      </c>
    </row>
    <row r="1072" spans="1:17">
      <c r="A1072"/>
      <c r="B1072" s="34"/>
      <c r="C1072" s="34"/>
      <c r="D1072" s="355"/>
      <c r="E1072"/>
      <c r="F1072" s="57"/>
      <c r="G1072" s="57"/>
      <c r="H1072" s="1082">
        <f t="shared" si="60"/>
        <v>0</v>
      </c>
      <c r="I1072" s="1333"/>
      <c r="J1072" s="1334" t="e">
        <f>VLOOKUP(C1072,Acc_Char!B:K,3,)</f>
        <v>#N/A</v>
      </c>
      <c r="K1072" s="1334" t="e">
        <f>VLOOKUP(C1072,Acc_Char!B:K,7,)</f>
        <v>#N/A</v>
      </c>
      <c r="L1072" s="1334">
        <f t="shared" si="58"/>
        <v>0</v>
      </c>
      <c r="M1072" s="1335" t="e">
        <f>VLOOKUP(C1072,Acc_Char!B:K,5,)</f>
        <v>#N/A</v>
      </c>
      <c r="N1072" s="1335" t="e">
        <f>VLOOKUP(C1072,Acc_Char!B:K,6,)</f>
        <v>#N/A</v>
      </c>
      <c r="O1072" s="1336" t="str">
        <f>Summary!$B$4</f>
        <v>W1-2Jan26</v>
      </c>
      <c r="P1072" s="1334" t="str">
        <f t="shared" si="59"/>
        <v>0</v>
      </c>
    </row>
    <row r="1073" spans="1:17">
      <c r="A1073"/>
      <c r="B1073" s="34"/>
      <c r="C1073" s="34"/>
      <c r="D1073" s="355"/>
      <c r="E1073"/>
      <c r="F1073" s="57"/>
      <c r="G1073" s="57"/>
      <c r="H1073" s="1082">
        <f t="shared" si="60"/>
        <v>0</v>
      </c>
      <c r="I1073" s="1333"/>
      <c r="J1073" s="1334" t="e">
        <f>VLOOKUP(C1073,Acc_Char!B:K,3,)</f>
        <v>#N/A</v>
      </c>
      <c r="K1073" s="1334" t="e">
        <f>VLOOKUP(C1073,Acc_Char!B:K,7,)</f>
        <v>#N/A</v>
      </c>
      <c r="L1073" s="1334">
        <f t="shared" si="58"/>
        <v>0</v>
      </c>
      <c r="M1073" s="1335" t="e">
        <f>VLOOKUP(C1073,Acc_Char!B:K,5,)</f>
        <v>#N/A</v>
      </c>
      <c r="N1073" s="1335" t="e">
        <f>VLOOKUP(C1073,Acc_Char!B:K,6,)</f>
        <v>#N/A</v>
      </c>
      <c r="O1073" s="1336" t="str">
        <f>Summary!$B$4</f>
        <v>W1-2Jan26</v>
      </c>
      <c r="P1073" s="1334" t="str">
        <f t="shared" si="59"/>
        <v>0</v>
      </c>
    </row>
    <row r="1074" spans="1:17">
      <c r="A1074"/>
      <c r="B1074" s="34"/>
      <c r="C1074" s="34"/>
      <c r="D1074" s="355"/>
      <c r="E1074"/>
      <c r="F1074" s="57"/>
      <c r="G1074" s="57"/>
      <c r="H1074" s="1082">
        <f t="shared" si="60"/>
        <v>0</v>
      </c>
      <c r="I1074" s="1333"/>
      <c r="J1074" s="1334" t="e">
        <f>VLOOKUP(C1074,Acc_Char!B:K,3,)</f>
        <v>#N/A</v>
      </c>
      <c r="K1074" s="1334" t="e">
        <f>VLOOKUP(C1074,Acc_Char!B:K,7,)</f>
        <v>#N/A</v>
      </c>
      <c r="L1074" s="1334">
        <f t="shared" si="58"/>
        <v>0</v>
      </c>
      <c r="M1074" s="1335" t="e">
        <f>VLOOKUP(C1074,Acc_Char!B:K,5,)</f>
        <v>#N/A</v>
      </c>
      <c r="N1074" s="1335" t="e">
        <f>VLOOKUP(C1074,Acc_Char!B:K,6,)</f>
        <v>#N/A</v>
      </c>
      <c r="O1074" s="1336" t="str">
        <f>Summary!$B$4</f>
        <v>W1-2Jan26</v>
      </c>
      <c r="P1074" s="1334" t="str">
        <f t="shared" si="59"/>
        <v>0</v>
      </c>
    </row>
    <row r="1075" spans="1:17">
      <c r="A1075"/>
      <c r="B1075" s="34"/>
      <c r="C1075" s="34"/>
      <c r="D1075" s="355"/>
      <c r="E1075"/>
      <c r="F1075" s="57"/>
      <c r="G1075" s="57"/>
      <c r="H1075" s="1082">
        <f t="shared" si="60"/>
        <v>0</v>
      </c>
      <c r="I1075" s="1333"/>
      <c r="J1075" s="1334" t="e">
        <f>VLOOKUP(C1075,Acc_Char!B:K,3,)</f>
        <v>#N/A</v>
      </c>
      <c r="K1075" s="1334" t="e">
        <f>VLOOKUP(C1075,Acc_Char!B:K,7,)</f>
        <v>#N/A</v>
      </c>
      <c r="L1075" s="1334">
        <f t="shared" si="58"/>
        <v>0</v>
      </c>
      <c r="M1075" s="1335" t="e">
        <f>VLOOKUP(C1075,Acc_Char!B:K,5,)</f>
        <v>#N/A</v>
      </c>
      <c r="N1075" s="1335" t="e">
        <f>VLOOKUP(C1075,Acc_Char!B:K,6,)</f>
        <v>#N/A</v>
      </c>
      <c r="O1075" s="1336" t="str">
        <f>Summary!$B$4</f>
        <v>W1-2Jan26</v>
      </c>
      <c r="P1075" s="1334" t="str">
        <f t="shared" si="59"/>
        <v>0</v>
      </c>
    </row>
    <row r="1076" spans="1:17">
      <c r="A1076"/>
      <c r="B1076" s="34"/>
      <c r="C1076" s="34"/>
      <c r="D1076" s="355"/>
      <c r="E1076"/>
      <c r="F1076" s="57"/>
      <c r="G1076" s="57"/>
      <c r="H1076" s="1082">
        <f t="shared" si="60"/>
        <v>0</v>
      </c>
      <c r="I1076" s="1333"/>
      <c r="J1076" s="1334" t="e">
        <f>VLOOKUP(C1076,Acc_Char!B:K,3,)</f>
        <v>#N/A</v>
      </c>
      <c r="K1076" s="1334" t="e">
        <f>VLOOKUP(C1076,Acc_Char!B:K,7,)</f>
        <v>#N/A</v>
      </c>
      <c r="L1076" s="1334">
        <f t="shared" si="58"/>
        <v>0</v>
      </c>
      <c r="M1076" s="1335" t="e">
        <f>VLOOKUP(C1076,Acc_Char!B:K,5,)</f>
        <v>#N/A</v>
      </c>
      <c r="N1076" s="1335" t="e">
        <f>VLOOKUP(C1076,Acc_Char!B:K,6,)</f>
        <v>#N/A</v>
      </c>
      <c r="O1076" s="1336" t="str">
        <f>Summary!$B$4</f>
        <v>W1-2Jan26</v>
      </c>
      <c r="P1076" s="1334" t="str">
        <f t="shared" si="59"/>
        <v>0</v>
      </c>
    </row>
    <row r="1077" spans="1:17">
      <c r="A1077"/>
      <c r="B1077" s="34"/>
      <c r="C1077" s="34"/>
      <c r="D1077" s="355"/>
      <c r="E1077"/>
      <c r="F1077" s="57"/>
      <c r="G1077" s="57"/>
      <c r="H1077" s="1082">
        <f t="shared" si="60"/>
        <v>0</v>
      </c>
      <c r="I1077" s="1333"/>
      <c r="J1077" s="1334" t="e">
        <f>VLOOKUP(C1077,Acc_Char!B:K,3,)</f>
        <v>#N/A</v>
      </c>
      <c r="K1077" s="1334" t="e">
        <f>VLOOKUP(C1077,Acc_Char!B:K,7,)</f>
        <v>#N/A</v>
      </c>
      <c r="L1077" s="1334">
        <f t="shared" si="58"/>
        <v>0</v>
      </c>
      <c r="M1077" s="1335" t="e">
        <f>VLOOKUP(C1077,Acc_Char!B:K,5,)</f>
        <v>#N/A</v>
      </c>
      <c r="N1077" s="1335" t="e">
        <f>VLOOKUP(C1077,Acc_Char!B:K,6,)</f>
        <v>#N/A</v>
      </c>
      <c r="O1077" s="1336" t="str">
        <f>Summary!$B$4</f>
        <v>W1-2Jan26</v>
      </c>
      <c r="P1077" s="1334" t="str">
        <f t="shared" si="59"/>
        <v>0</v>
      </c>
    </row>
    <row r="1078" spans="1:17">
      <c r="A1078"/>
      <c r="B1078" s="34"/>
      <c r="C1078" s="34"/>
      <c r="D1078" s="355"/>
      <c r="E1078"/>
      <c r="F1078" s="57"/>
      <c r="G1078" s="57"/>
      <c r="H1078" s="1082">
        <f t="shared" si="60"/>
        <v>0</v>
      </c>
      <c r="I1078" s="1333"/>
      <c r="J1078" s="1334" t="e">
        <f>VLOOKUP(C1078,Acc_Char!B:K,3,)</f>
        <v>#N/A</v>
      </c>
      <c r="K1078" s="1334" t="e">
        <f>VLOOKUP(C1078,Acc_Char!B:K,7,)</f>
        <v>#N/A</v>
      </c>
      <c r="L1078" s="1334">
        <f t="shared" si="58"/>
        <v>0</v>
      </c>
      <c r="M1078" s="1335" t="e">
        <f>VLOOKUP(C1078,Acc_Char!B:K,5,)</f>
        <v>#N/A</v>
      </c>
      <c r="N1078" s="1335" t="e">
        <f>VLOOKUP(C1078,Acc_Char!B:K,6,)</f>
        <v>#N/A</v>
      </c>
      <c r="O1078" s="1336" t="str">
        <f>Summary!$B$4</f>
        <v>W1-2Jan26</v>
      </c>
      <c r="P1078" s="1334" t="str">
        <f t="shared" si="59"/>
        <v>0</v>
      </c>
    </row>
    <row r="1079" spans="1:17">
      <c r="A1079"/>
      <c r="B1079" s="34"/>
      <c r="C1079" s="34"/>
      <c r="D1079" s="355"/>
      <c r="E1079"/>
      <c r="F1079" s="57"/>
      <c r="G1079" s="57"/>
      <c r="H1079" s="1082">
        <f t="shared" si="60"/>
        <v>0</v>
      </c>
      <c r="I1079" s="1333"/>
      <c r="J1079" s="1334" t="e">
        <f>VLOOKUP(C1079,Acc_Char!B:K,3,)</f>
        <v>#N/A</v>
      </c>
      <c r="K1079" s="1334" t="e">
        <f>VLOOKUP(C1079,Acc_Char!B:K,7,)</f>
        <v>#N/A</v>
      </c>
      <c r="L1079" s="1334">
        <f t="shared" si="58"/>
        <v>0</v>
      </c>
      <c r="M1079" s="1335" t="e">
        <f>VLOOKUP(C1079,Acc_Char!B:K,5,)</f>
        <v>#N/A</v>
      </c>
      <c r="N1079" s="1335" t="e">
        <f>VLOOKUP(C1079,Acc_Char!B:K,6,)</f>
        <v>#N/A</v>
      </c>
      <c r="O1079" s="1336" t="str">
        <f>Summary!$B$4</f>
        <v>W1-2Jan26</v>
      </c>
      <c r="P1079" s="1334" t="str">
        <f t="shared" si="59"/>
        <v>0</v>
      </c>
    </row>
    <row r="1080" spans="1:17">
      <c r="A1080"/>
      <c r="B1080" s="34"/>
      <c r="C1080" s="34"/>
      <c r="D1080" s="355"/>
      <c r="E1080"/>
      <c r="F1080" s="57"/>
      <c r="G1080" s="57"/>
      <c r="H1080" s="1082">
        <f t="shared" si="60"/>
        <v>0</v>
      </c>
      <c r="I1080" s="1333"/>
      <c r="J1080" s="1334" t="e">
        <f>VLOOKUP(C1080,Acc_Char!B:K,3,)</f>
        <v>#N/A</v>
      </c>
      <c r="K1080" s="1334" t="e">
        <f>VLOOKUP(C1080,Acc_Char!B:K,7,)</f>
        <v>#N/A</v>
      </c>
      <c r="L1080" s="1334">
        <f t="shared" si="58"/>
        <v>0</v>
      </c>
      <c r="M1080" s="1335" t="e">
        <f>VLOOKUP(C1080,Acc_Char!B:K,5,)</f>
        <v>#N/A</v>
      </c>
      <c r="N1080" s="1335" t="e">
        <f>VLOOKUP(C1080,Acc_Char!B:K,6,)</f>
        <v>#N/A</v>
      </c>
      <c r="O1080" s="1336" t="str">
        <f>Summary!$B$4</f>
        <v>W1-2Jan26</v>
      </c>
      <c r="P1080" s="1334" t="str">
        <f t="shared" si="59"/>
        <v>0</v>
      </c>
      <c r="Q1080" s="1024"/>
    </row>
    <row r="1081" spans="1:17">
      <c r="A1081"/>
      <c r="B1081" s="34"/>
      <c r="C1081" s="34"/>
      <c r="D1081" s="355"/>
      <c r="E1081"/>
      <c r="F1081" s="57"/>
      <c r="G1081" s="57"/>
      <c r="H1081" s="1082">
        <f t="shared" si="60"/>
        <v>0</v>
      </c>
      <c r="I1081" s="1333"/>
      <c r="J1081" s="1334" t="e">
        <f>VLOOKUP(C1081,Acc_Char!B:K,3,)</f>
        <v>#N/A</v>
      </c>
      <c r="K1081" s="1334" t="e">
        <f>VLOOKUP(C1081,Acc_Char!B:K,7,)</f>
        <v>#N/A</v>
      </c>
      <c r="L1081" s="1334">
        <f t="shared" si="58"/>
        <v>0</v>
      </c>
      <c r="M1081" s="1335" t="e">
        <f>VLOOKUP(C1081,Acc_Char!B:K,5,)</f>
        <v>#N/A</v>
      </c>
      <c r="N1081" s="1335" t="e">
        <f>VLOOKUP(C1081,Acc_Char!B:K,6,)</f>
        <v>#N/A</v>
      </c>
      <c r="O1081" s="1336" t="str">
        <f>Summary!$B$4</f>
        <v>W1-2Jan26</v>
      </c>
      <c r="P1081" s="1334" t="str">
        <f t="shared" si="59"/>
        <v>0</v>
      </c>
      <c r="Q1081" s="1024"/>
    </row>
    <row r="1082" spans="1:17">
      <c r="A1082"/>
      <c r="B1082" s="34"/>
      <c r="C1082" s="34"/>
      <c r="D1082" s="355"/>
      <c r="E1082"/>
      <c r="F1082" s="57"/>
      <c r="G1082" s="57"/>
      <c r="H1082" s="1082">
        <f t="shared" si="60"/>
        <v>0</v>
      </c>
      <c r="I1082" s="1333"/>
      <c r="J1082" s="1334" t="e">
        <f>VLOOKUP(C1082,Acc_Char!B:K,3,)</f>
        <v>#N/A</v>
      </c>
      <c r="K1082" s="1334" t="e">
        <f>VLOOKUP(C1082,Acc_Char!B:K,7,)</f>
        <v>#N/A</v>
      </c>
      <c r="L1082" s="1334">
        <f t="shared" si="58"/>
        <v>0</v>
      </c>
      <c r="M1082" s="1335" t="e">
        <f>VLOOKUP(C1082,Acc_Char!B:K,5,)</f>
        <v>#N/A</v>
      </c>
      <c r="N1082" s="1335" t="e">
        <f>VLOOKUP(C1082,Acc_Char!B:K,6,)</f>
        <v>#N/A</v>
      </c>
      <c r="O1082" s="1336" t="str">
        <f>Summary!$B$4</f>
        <v>W1-2Jan26</v>
      </c>
      <c r="P1082" s="1334" t="str">
        <f t="shared" si="59"/>
        <v>0</v>
      </c>
    </row>
    <row r="1083" spans="1:17">
      <c r="A1083"/>
      <c r="B1083" s="34"/>
      <c r="C1083" s="34"/>
      <c r="D1083" s="355"/>
      <c r="E1083"/>
      <c r="F1083" s="57"/>
      <c r="G1083" s="57"/>
      <c r="H1083" s="1082">
        <f t="shared" si="60"/>
        <v>0</v>
      </c>
      <c r="I1083" s="1333"/>
      <c r="J1083" s="1334" t="e">
        <f>VLOOKUP(C1083,Acc_Char!B:K,3,)</f>
        <v>#N/A</v>
      </c>
      <c r="K1083" s="1334" t="e">
        <f>VLOOKUP(C1083,Acc_Char!B:K,7,)</f>
        <v>#N/A</v>
      </c>
      <c r="L1083" s="1334">
        <f t="shared" si="58"/>
        <v>0</v>
      </c>
      <c r="M1083" s="1335" t="e">
        <f>VLOOKUP(C1083,Acc_Char!B:K,5,)</f>
        <v>#N/A</v>
      </c>
      <c r="N1083" s="1335" t="e">
        <f>VLOOKUP(C1083,Acc_Char!B:K,6,)</f>
        <v>#N/A</v>
      </c>
      <c r="O1083" s="1336" t="str">
        <f>Summary!$B$4</f>
        <v>W1-2Jan26</v>
      </c>
      <c r="P1083" s="1334" t="str">
        <f t="shared" si="59"/>
        <v>0</v>
      </c>
    </row>
    <row r="1084" spans="1:17">
      <c r="A1084"/>
      <c r="B1084" s="34"/>
      <c r="C1084" s="34"/>
      <c r="D1084" s="355"/>
      <c r="E1084"/>
      <c r="F1084" s="57"/>
      <c r="G1084" s="57"/>
      <c r="H1084" s="1082">
        <f t="shared" si="60"/>
        <v>0</v>
      </c>
      <c r="I1084" s="1333"/>
      <c r="J1084" s="1334" t="e">
        <f>VLOOKUP(C1084,Acc_Char!B:K,3,)</f>
        <v>#N/A</v>
      </c>
      <c r="K1084" s="1334" t="e">
        <f>VLOOKUP(C1084,Acc_Char!B:K,7,)</f>
        <v>#N/A</v>
      </c>
      <c r="L1084" s="1334">
        <f t="shared" si="58"/>
        <v>0</v>
      </c>
      <c r="M1084" s="1335" t="e">
        <f>VLOOKUP(C1084,Acc_Char!B:K,5,)</f>
        <v>#N/A</v>
      </c>
      <c r="N1084" s="1335" t="e">
        <f>VLOOKUP(C1084,Acc_Char!B:K,6,)</f>
        <v>#N/A</v>
      </c>
      <c r="O1084" s="1336" t="str">
        <f>Summary!$B$4</f>
        <v>W1-2Jan26</v>
      </c>
      <c r="P1084" s="1334" t="str">
        <f t="shared" si="59"/>
        <v>0</v>
      </c>
    </row>
    <row r="1085" spans="1:17">
      <c r="A1085"/>
      <c r="B1085" s="34"/>
      <c r="C1085" s="34"/>
      <c r="D1085" s="355"/>
      <c r="E1085"/>
      <c r="F1085" s="57"/>
      <c r="G1085" s="57"/>
      <c r="H1085" s="1082">
        <f t="shared" si="60"/>
        <v>0</v>
      </c>
      <c r="I1085" s="1333"/>
      <c r="J1085" s="1334" t="e">
        <f>VLOOKUP(C1085,Acc_Char!B:K,3,)</f>
        <v>#N/A</v>
      </c>
      <c r="K1085" s="1334" t="e">
        <f>VLOOKUP(C1085,Acc_Char!B:K,7,)</f>
        <v>#N/A</v>
      </c>
      <c r="L1085" s="1334">
        <f t="shared" si="58"/>
        <v>0</v>
      </c>
      <c r="M1085" s="1335" t="e">
        <f>VLOOKUP(C1085,Acc_Char!B:K,5,)</f>
        <v>#N/A</v>
      </c>
      <c r="N1085" s="1335" t="e">
        <f>VLOOKUP(C1085,Acc_Char!B:K,6,)</f>
        <v>#N/A</v>
      </c>
      <c r="O1085" s="1336" t="str">
        <f>Summary!$B$4</f>
        <v>W1-2Jan26</v>
      </c>
      <c r="P1085" s="1334" t="str">
        <f t="shared" si="59"/>
        <v>0</v>
      </c>
    </row>
    <row r="1086" spans="1:17">
      <c r="A1086"/>
      <c r="B1086" s="34"/>
      <c r="C1086" s="34"/>
      <c r="D1086" s="355"/>
      <c r="E1086"/>
      <c r="F1086" s="57"/>
      <c r="G1086" s="57"/>
      <c r="H1086" s="1082">
        <f t="shared" si="60"/>
        <v>0</v>
      </c>
      <c r="I1086" s="1333"/>
      <c r="J1086" s="1334" t="e">
        <f>VLOOKUP(C1086,Acc_Char!B:K,3,)</f>
        <v>#N/A</v>
      </c>
      <c r="K1086" s="1334" t="e">
        <f>VLOOKUP(C1086,Acc_Char!B:K,7,)</f>
        <v>#N/A</v>
      </c>
      <c r="L1086" s="1334">
        <f t="shared" si="58"/>
        <v>0</v>
      </c>
      <c r="M1086" s="1335" t="e">
        <f>VLOOKUP(C1086,Acc_Char!B:K,5,)</f>
        <v>#N/A</v>
      </c>
      <c r="N1086" s="1335" t="e">
        <f>VLOOKUP(C1086,Acc_Char!B:K,6,)</f>
        <v>#N/A</v>
      </c>
      <c r="O1086" s="1336" t="str">
        <f>Summary!$B$4</f>
        <v>W1-2Jan26</v>
      </c>
      <c r="P1086" s="1334" t="str">
        <f t="shared" si="59"/>
        <v>0</v>
      </c>
    </row>
    <row r="1087" spans="1:17">
      <c r="A1087"/>
      <c r="B1087" s="34"/>
      <c r="C1087" s="34"/>
      <c r="D1087" s="355"/>
      <c r="E1087"/>
      <c r="F1087" s="57"/>
      <c r="G1087" s="57"/>
      <c r="H1087" s="1082">
        <f t="shared" si="60"/>
        <v>0</v>
      </c>
      <c r="I1087" s="1333"/>
      <c r="J1087" s="1334" t="e">
        <f>VLOOKUP(C1087,Acc_Char!B:K,3,)</f>
        <v>#N/A</v>
      </c>
      <c r="K1087" s="1334" t="e">
        <f>VLOOKUP(C1087,Acc_Char!B:K,7,)</f>
        <v>#N/A</v>
      </c>
      <c r="L1087" s="1334">
        <f t="shared" si="58"/>
        <v>0</v>
      </c>
      <c r="M1087" s="1335" t="e">
        <f>VLOOKUP(C1087,Acc_Char!B:K,5,)</f>
        <v>#N/A</v>
      </c>
      <c r="N1087" s="1335" t="e">
        <f>VLOOKUP(C1087,Acc_Char!B:K,6,)</f>
        <v>#N/A</v>
      </c>
      <c r="O1087" s="1336" t="str">
        <f>Summary!$B$4</f>
        <v>W1-2Jan26</v>
      </c>
      <c r="P1087" s="1334" t="str">
        <f t="shared" si="59"/>
        <v>0</v>
      </c>
    </row>
    <row r="1088" spans="1:17">
      <c r="A1088"/>
      <c r="B1088" s="34"/>
      <c r="C1088" s="34"/>
      <c r="D1088" s="355"/>
      <c r="E1088"/>
      <c r="F1088" s="57"/>
      <c r="G1088" s="57"/>
      <c r="H1088" s="1082">
        <f t="shared" si="60"/>
        <v>0</v>
      </c>
      <c r="I1088" s="1333"/>
      <c r="J1088" s="1334" t="e">
        <f>VLOOKUP(C1088,Acc_Char!B:K,3,)</f>
        <v>#N/A</v>
      </c>
      <c r="K1088" s="1334" t="e">
        <f>VLOOKUP(C1088,Acc_Char!B:K,7,)</f>
        <v>#N/A</v>
      </c>
      <c r="L1088" s="1334">
        <f t="shared" si="58"/>
        <v>0</v>
      </c>
      <c r="M1088" s="1335" t="e">
        <f>VLOOKUP(C1088,Acc_Char!B:K,5,)</f>
        <v>#N/A</v>
      </c>
      <c r="N1088" s="1335" t="e">
        <f>VLOOKUP(C1088,Acc_Char!B:K,6,)</f>
        <v>#N/A</v>
      </c>
      <c r="O1088" s="1336" t="str">
        <f>Summary!$B$4</f>
        <v>W1-2Jan26</v>
      </c>
      <c r="P1088" s="1334" t="str">
        <f t="shared" si="59"/>
        <v>0</v>
      </c>
    </row>
    <row r="1089" spans="1:16">
      <c r="A1089"/>
      <c r="B1089" s="34"/>
      <c r="C1089" s="34"/>
      <c r="D1089" s="355"/>
      <c r="E1089"/>
      <c r="F1089" s="57"/>
      <c r="G1089" s="57"/>
      <c r="H1089" s="1082">
        <f t="shared" si="60"/>
        <v>0</v>
      </c>
      <c r="I1089" s="1333"/>
      <c r="J1089" s="1334" t="e">
        <f>VLOOKUP(C1089,Acc_Char!B:K,3,)</f>
        <v>#N/A</v>
      </c>
      <c r="K1089" s="1334" t="e">
        <f>VLOOKUP(C1089,Acc_Char!B:K,7,)</f>
        <v>#N/A</v>
      </c>
      <c r="L1089" s="1334">
        <f t="shared" si="58"/>
        <v>0</v>
      </c>
      <c r="M1089" s="1335" t="e">
        <f>VLOOKUP(C1089,Acc_Char!B:K,5,)</f>
        <v>#N/A</v>
      </c>
      <c r="N1089" s="1335" t="e">
        <f>VLOOKUP(C1089,Acc_Char!B:K,6,)</f>
        <v>#N/A</v>
      </c>
      <c r="O1089" s="1336" t="str">
        <f>Summary!$B$4</f>
        <v>W1-2Jan26</v>
      </c>
      <c r="P1089" s="1334" t="str">
        <f t="shared" si="59"/>
        <v>0</v>
      </c>
    </row>
    <row r="1090" spans="1:16">
      <c r="A1090"/>
      <c r="B1090" s="34"/>
      <c r="C1090" s="34"/>
      <c r="D1090" s="355"/>
      <c r="E1090"/>
      <c r="F1090" s="57"/>
      <c r="G1090" s="57"/>
      <c r="H1090" s="1082">
        <f t="shared" si="60"/>
        <v>0</v>
      </c>
      <c r="I1090" s="1333"/>
      <c r="J1090" s="1334" t="e">
        <f>VLOOKUP(C1090,Acc_Char!B:K,3,)</f>
        <v>#N/A</v>
      </c>
      <c r="K1090" s="1334" t="e">
        <f>VLOOKUP(C1090,Acc_Char!B:K,7,)</f>
        <v>#N/A</v>
      </c>
      <c r="L1090" s="1334">
        <f t="shared" si="58"/>
        <v>0</v>
      </c>
      <c r="M1090" s="1335" t="e">
        <f>VLOOKUP(C1090,Acc_Char!B:K,5,)</f>
        <v>#N/A</v>
      </c>
      <c r="N1090" s="1335" t="e">
        <f>VLOOKUP(C1090,Acc_Char!B:K,6,)</f>
        <v>#N/A</v>
      </c>
      <c r="O1090" s="1336" t="str">
        <f>Summary!$B$4</f>
        <v>W1-2Jan26</v>
      </c>
      <c r="P1090" s="1334" t="str">
        <f t="shared" si="59"/>
        <v>0</v>
      </c>
    </row>
    <row r="1091" spans="1:16">
      <c r="A1091"/>
      <c r="B1091" s="34"/>
      <c r="C1091" s="34"/>
      <c r="D1091" s="355"/>
      <c r="E1091"/>
      <c r="F1091" s="57"/>
      <c r="G1091" s="57"/>
      <c r="H1091" s="1082">
        <f t="shared" si="60"/>
        <v>0</v>
      </c>
      <c r="I1091" s="1333"/>
      <c r="J1091" s="1334" t="e">
        <f>VLOOKUP(C1091,Acc_Char!B:K,3,)</f>
        <v>#N/A</v>
      </c>
      <c r="K1091" s="1334" t="e">
        <f>VLOOKUP(C1091,Acc_Char!B:K,7,)</f>
        <v>#N/A</v>
      </c>
      <c r="L1091" s="1334">
        <f t="shared" si="58"/>
        <v>0</v>
      </c>
      <c r="M1091" s="1335" t="e">
        <f>VLOOKUP(C1091,Acc_Char!B:K,5,)</f>
        <v>#N/A</v>
      </c>
      <c r="N1091" s="1335" t="e">
        <f>VLOOKUP(C1091,Acc_Char!B:K,6,)</f>
        <v>#N/A</v>
      </c>
      <c r="O1091" s="1336" t="str">
        <f>Summary!$B$4</f>
        <v>W1-2Jan26</v>
      </c>
      <c r="P1091" s="1334" t="str">
        <f t="shared" si="59"/>
        <v>0</v>
      </c>
    </row>
    <row r="1092" spans="1:16">
      <c r="A1092"/>
      <c r="B1092" s="34"/>
      <c r="C1092" s="34"/>
      <c r="D1092" s="355"/>
      <c r="E1092"/>
      <c r="F1092" s="57"/>
      <c r="G1092" s="57"/>
      <c r="H1092" s="1082">
        <f t="shared" si="60"/>
        <v>0</v>
      </c>
      <c r="I1092" s="1333"/>
      <c r="J1092" s="1334" t="e">
        <f>VLOOKUP(C1092,Acc_Char!B:K,3,)</f>
        <v>#N/A</v>
      </c>
      <c r="K1092" s="1334" t="e">
        <f>VLOOKUP(C1092,Acc_Char!B:K,7,)</f>
        <v>#N/A</v>
      </c>
      <c r="L1092" s="1334">
        <f t="shared" si="58"/>
        <v>0</v>
      </c>
      <c r="M1092" s="1335" t="e">
        <f>VLOOKUP(C1092,Acc_Char!B:K,5,)</f>
        <v>#N/A</v>
      </c>
      <c r="N1092" s="1335" t="e">
        <f>VLOOKUP(C1092,Acc_Char!B:K,6,)</f>
        <v>#N/A</v>
      </c>
      <c r="O1092" s="1336" t="str">
        <f>Summary!$B$4</f>
        <v>W1-2Jan26</v>
      </c>
      <c r="P1092" s="1334" t="str">
        <f t="shared" si="59"/>
        <v>0</v>
      </c>
    </row>
    <row r="1093" spans="1:16">
      <c r="A1093"/>
      <c r="B1093" s="34"/>
      <c r="C1093" s="34"/>
      <c r="D1093" s="355"/>
      <c r="E1093"/>
      <c r="F1093" s="57"/>
      <c r="G1093" s="57"/>
      <c r="H1093" s="1082">
        <f t="shared" si="60"/>
        <v>0</v>
      </c>
      <c r="I1093"/>
      <c r="J1093" s="1334" t="e">
        <f>VLOOKUP(C1093,Acc_Char!B:K,3,)</f>
        <v>#N/A</v>
      </c>
      <c r="K1093" s="1334" t="e">
        <f>VLOOKUP(C1093,Acc_Char!B:K,7,)</f>
        <v>#N/A</v>
      </c>
      <c r="L1093" s="1334">
        <f t="shared" ref="L1093:L1156" si="61">I1093</f>
        <v>0</v>
      </c>
      <c r="M1093" s="1335" t="e">
        <f>VLOOKUP(C1093,Acc_Char!B:K,5,)</f>
        <v>#N/A</v>
      </c>
      <c r="N1093" s="1335" t="e">
        <f>VLOOKUP(C1093,Acc_Char!B:K,6,)</f>
        <v>#N/A</v>
      </c>
      <c r="O1093" s="1336" t="str">
        <f>Summary!$B$4</f>
        <v>W1-2Jan26</v>
      </c>
      <c r="P1093" s="1334" t="str">
        <f t="shared" ref="P1093:P1156" si="62">TEXT(C1093,"0")</f>
        <v>0</v>
      </c>
    </row>
    <row r="1094" spans="1:16">
      <c r="A1094"/>
      <c r="B1094" s="34"/>
      <c r="C1094" s="34"/>
      <c r="D1094" s="355"/>
      <c r="E1094"/>
      <c r="F1094" s="57"/>
      <c r="G1094" s="57"/>
      <c r="H1094" s="1082">
        <f t="shared" si="60"/>
        <v>0</v>
      </c>
      <c r="I1094" s="1333"/>
      <c r="J1094" s="1334" t="e">
        <f>VLOOKUP(C1094,Acc_Char!B:K,3,)</f>
        <v>#N/A</v>
      </c>
      <c r="K1094" s="1334" t="e">
        <f>VLOOKUP(C1094,Acc_Char!B:K,7,)</f>
        <v>#N/A</v>
      </c>
      <c r="L1094" s="1334">
        <f t="shared" si="61"/>
        <v>0</v>
      </c>
      <c r="M1094" s="1335" t="e">
        <f>VLOOKUP(C1094,Acc_Char!B:K,5,)</f>
        <v>#N/A</v>
      </c>
      <c r="N1094" s="1335" t="e">
        <f>VLOOKUP(C1094,Acc_Char!B:K,6,)</f>
        <v>#N/A</v>
      </c>
      <c r="O1094" s="1336" t="str">
        <f>Summary!$B$4</f>
        <v>W1-2Jan26</v>
      </c>
      <c r="P1094" s="1334" t="str">
        <f t="shared" si="62"/>
        <v>0</v>
      </c>
    </row>
    <row r="1095" spans="1:16">
      <c r="A1095"/>
      <c r="B1095" s="34"/>
      <c r="C1095" s="34"/>
      <c r="D1095" s="355"/>
      <c r="E1095"/>
      <c r="F1095" s="57"/>
      <c r="G1095" s="57"/>
      <c r="H1095" s="1082">
        <f t="shared" si="60"/>
        <v>0</v>
      </c>
      <c r="I1095" s="1333"/>
      <c r="J1095" s="1334" t="e">
        <f>VLOOKUP(C1095,Acc_Char!B:K,3,)</f>
        <v>#N/A</v>
      </c>
      <c r="K1095" s="1334" t="e">
        <f>VLOOKUP(C1095,Acc_Char!B:K,7,)</f>
        <v>#N/A</v>
      </c>
      <c r="L1095" s="1334">
        <f t="shared" si="61"/>
        <v>0</v>
      </c>
      <c r="M1095" s="1335" t="e">
        <f>VLOOKUP(C1095,Acc_Char!B:K,5,)</f>
        <v>#N/A</v>
      </c>
      <c r="N1095" s="1335" t="e">
        <f>VLOOKUP(C1095,Acc_Char!B:K,6,)</f>
        <v>#N/A</v>
      </c>
      <c r="O1095" s="1336" t="str">
        <f>Summary!$B$4</f>
        <v>W1-2Jan26</v>
      </c>
      <c r="P1095" s="1334" t="str">
        <f t="shared" si="62"/>
        <v>0</v>
      </c>
    </row>
    <row r="1096" spans="1:16">
      <c r="A1096"/>
      <c r="B1096" s="34"/>
      <c r="C1096" s="34"/>
      <c r="D1096" s="355"/>
      <c r="E1096"/>
      <c r="F1096" s="57"/>
      <c r="G1096" s="57"/>
      <c r="H1096" s="1082">
        <f t="shared" si="60"/>
        <v>0</v>
      </c>
      <c r="I1096" s="1333"/>
      <c r="J1096" s="1334" t="e">
        <f>VLOOKUP(C1096,Acc_Char!B:K,3,)</f>
        <v>#N/A</v>
      </c>
      <c r="K1096" s="1334" t="e">
        <f>VLOOKUP(C1096,Acc_Char!B:K,7,)</f>
        <v>#N/A</v>
      </c>
      <c r="L1096" s="1334">
        <f t="shared" si="61"/>
        <v>0</v>
      </c>
      <c r="M1096" s="1335" t="e">
        <f>VLOOKUP(C1096,Acc_Char!B:K,5,)</f>
        <v>#N/A</v>
      </c>
      <c r="N1096" s="1335" t="e">
        <f>VLOOKUP(C1096,Acc_Char!B:K,6,)</f>
        <v>#N/A</v>
      </c>
      <c r="O1096" s="1336" t="str">
        <f>Summary!$B$4</f>
        <v>W1-2Jan26</v>
      </c>
      <c r="P1096" s="1334" t="str">
        <f t="shared" si="62"/>
        <v>0</v>
      </c>
    </row>
    <row r="1097" spans="1:16">
      <c r="A1097"/>
      <c r="B1097" s="34"/>
      <c r="C1097" s="34"/>
      <c r="D1097" s="355"/>
      <c r="E1097"/>
      <c r="F1097" s="57"/>
      <c r="G1097" s="57"/>
      <c r="H1097" s="1082">
        <f t="shared" si="60"/>
        <v>0</v>
      </c>
      <c r="I1097" s="1333"/>
      <c r="J1097" s="1334" t="e">
        <f>VLOOKUP(C1097,Acc_Char!B:K,3,)</f>
        <v>#N/A</v>
      </c>
      <c r="K1097" s="1334" t="e">
        <f>VLOOKUP(C1097,Acc_Char!B:K,7,)</f>
        <v>#N/A</v>
      </c>
      <c r="L1097" s="1334">
        <f t="shared" si="61"/>
        <v>0</v>
      </c>
      <c r="M1097" s="1335" t="e">
        <f>VLOOKUP(C1097,Acc_Char!B:K,5,)</f>
        <v>#N/A</v>
      </c>
      <c r="N1097" s="1335" t="e">
        <f>VLOOKUP(C1097,Acc_Char!B:K,6,)</f>
        <v>#N/A</v>
      </c>
      <c r="O1097" s="1336" t="str">
        <f>Summary!$B$4</f>
        <v>W1-2Jan26</v>
      </c>
      <c r="P1097" s="1334" t="str">
        <f t="shared" si="62"/>
        <v>0</v>
      </c>
    </row>
    <row r="1098" spans="1:16">
      <c r="A1098"/>
      <c r="B1098" s="34"/>
      <c r="C1098" s="34"/>
      <c r="D1098" s="355"/>
      <c r="E1098"/>
      <c r="F1098" s="57"/>
      <c r="G1098" s="57"/>
      <c r="H1098" s="1082">
        <f t="shared" si="60"/>
        <v>0</v>
      </c>
      <c r="I1098" s="1333"/>
      <c r="J1098" s="1334" t="e">
        <f>VLOOKUP(C1098,Acc_Char!B:K,3,)</f>
        <v>#N/A</v>
      </c>
      <c r="K1098" s="1334" t="e">
        <f>VLOOKUP(C1098,Acc_Char!B:K,7,)</f>
        <v>#N/A</v>
      </c>
      <c r="L1098" s="1334">
        <f t="shared" si="61"/>
        <v>0</v>
      </c>
      <c r="M1098" s="1335" t="e">
        <f>VLOOKUP(C1098,Acc_Char!B:K,5,)</f>
        <v>#N/A</v>
      </c>
      <c r="N1098" s="1335" t="e">
        <f>VLOOKUP(C1098,Acc_Char!B:K,6,)</f>
        <v>#N/A</v>
      </c>
      <c r="O1098" s="1336" t="str">
        <f>Summary!$B$4</f>
        <v>W1-2Jan26</v>
      </c>
      <c r="P1098" s="1334" t="str">
        <f t="shared" si="62"/>
        <v>0</v>
      </c>
    </row>
    <row r="1099" spans="1:16">
      <c r="A1099"/>
      <c r="B1099" s="34"/>
      <c r="C1099" s="34"/>
      <c r="D1099" s="355"/>
      <c r="E1099"/>
      <c r="F1099" s="57"/>
      <c r="G1099" s="57"/>
      <c r="H1099" s="1082">
        <f t="shared" si="60"/>
        <v>0</v>
      </c>
      <c r="I1099"/>
      <c r="J1099" s="1334" t="e">
        <f>VLOOKUP(C1099,Acc_Char!B:K,3,)</f>
        <v>#N/A</v>
      </c>
      <c r="K1099" s="1334" t="e">
        <f>VLOOKUP(C1099,Acc_Char!B:K,7,)</f>
        <v>#N/A</v>
      </c>
      <c r="L1099" s="1334">
        <f t="shared" si="61"/>
        <v>0</v>
      </c>
      <c r="M1099" s="1335" t="e">
        <f>VLOOKUP(C1099,Acc_Char!B:K,5,)</f>
        <v>#N/A</v>
      </c>
      <c r="N1099" s="1335" t="e">
        <f>VLOOKUP(C1099,Acc_Char!B:K,6,)</f>
        <v>#N/A</v>
      </c>
      <c r="O1099" s="1336" t="str">
        <f>Summary!$B$4</f>
        <v>W1-2Jan26</v>
      </c>
      <c r="P1099" s="1334" t="str">
        <f t="shared" si="62"/>
        <v>0</v>
      </c>
    </row>
    <row r="1100" spans="1:16">
      <c r="A1100"/>
      <c r="B1100" s="34"/>
      <c r="C1100" s="34"/>
      <c r="D1100" s="355"/>
      <c r="E1100"/>
      <c r="F1100" s="57"/>
      <c r="G1100" s="57"/>
      <c r="H1100" s="1082">
        <f t="shared" si="60"/>
        <v>0</v>
      </c>
      <c r="I1100" s="1333"/>
      <c r="J1100" s="1334" t="e">
        <f>VLOOKUP(C1100,Acc_Char!B:K,3,)</f>
        <v>#N/A</v>
      </c>
      <c r="K1100" s="1334" t="e">
        <f>VLOOKUP(C1100,Acc_Char!B:K,7,)</f>
        <v>#N/A</v>
      </c>
      <c r="L1100" s="1334">
        <f t="shared" si="61"/>
        <v>0</v>
      </c>
      <c r="M1100" s="1335" t="e">
        <f>VLOOKUP(C1100,Acc_Char!B:K,5,)</f>
        <v>#N/A</v>
      </c>
      <c r="N1100" s="1335" t="e">
        <f>VLOOKUP(C1100,Acc_Char!B:K,6,)</f>
        <v>#N/A</v>
      </c>
      <c r="O1100" s="1336" t="str">
        <f>Summary!$B$4</f>
        <v>W1-2Jan26</v>
      </c>
      <c r="P1100" s="1334" t="str">
        <f t="shared" si="62"/>
        <v>0</v>
      </c>
    </row>
    <row r="1101" spans="1:16">
      <c r="A1101"/>
      <c r="B1101" s="34"/>
      <c r="C1101" s="34"/>
      <c r="D1101" s="355"/>
      <c r="E1101"/>
      <c r="F1101" s="57"/>
      <c r="G1101" s="57"/>
      <c r="H1101" s="1082">
        <f t="shared" si="60"/>
        <v>0</v>
      </c>
      <c r="I1101" s="1333"/>
      <c r="J1101" s="1334" t="e">
        <f>VLOOKUP(C1101,Acc_Char!B:K,3,)</f>
        <v>#N/A</v>
      </c>
      <c r="K1101" s="1334" t="e">
        <f>VLOOKUP(C1101,Acc_Char!B:K,7,)</f>
        <v>#N/A</v>
      </c>
      <c r="L1101" s="1334">
        <f t="shared" si="61"/>
        <v>0</v>
      </c>
      <c r="M1101" s="1335" t="e">
        <f>VLOOKUP(C1101,Acc_Char!B:K,5,)</f>
        <v>#N/A</v>
      </c>
      <c r="N1101" s="1335" t="e">
        <f>VLOOKUP(C1101,Acc_Char!B:K,6,)</f>
        <v>#N/A</v>
      </c>
      <c r="O1101" s="1336" t="str">
        <f>Summary!$B$4</f>
        <v>W1-2Jan26</v>
      </c>
      <c r="P1101" s="1334" t="str">
        <f t="shared" si="62"/>
        <v>0</v>
      </c>
    </row>
    <row r="1102" spans="1:16">
      <c r="A1102"/>
      <c r="B1102" s="34"/>
      <c r="C1102" s="34"/>
      <c r="D1102" s="355"/>
      <c r="E1102"/>
      <c r="F1102" s="57"/>
      <c r="G1102" s="57"/>
      <c r="H1102" s="1082">
        <f t="shared" si="60"/>
        <v>0</v>
      </c>
      <c r="I1102" s="1333"/>
      <c r="J1102" s="1334" t="e">
        <f>VLOOKUP(C1102,Acc_Char!B:K,3,)</f>
        <v>#N/A</v>
      </c>
      <c r="K1102" s="1334" t="e">
        <f>VLOOKUP(C1102,Acc_Char!B:K,7,)</f>
        <v>#N/A</v>
      </c>
      <c r="L1102" s="1334">
        <f t="shared" si="61"/>
        <v>0</v>
      </c>
      <c r="M1102" s="1335" t="e">
        <f>VLOOKUP(C1102,Acc_Char!B:K,5,)</f>
        <v>#N/A</v>
      </c>
      <c r="N1102" s="1335" t="e">
        <f>VLOOKUP(C1102,Acc_Char!B:K,6,)</f>
        <v>#N/A</v>
      </c>
      <c r="O1102" s="1336" t="str">
        <f>Summary!$B$4</f>
        <v>W1-2Jan26</v>
      </c>
      <c r="P1102" s="1334" t="str">
        <f t="shared" si="62"/>
        <v>0</v>
      </c>
    </row>
    <row r="1103" spans="1:16">
      <c r="A1103"/>
      <c r="B1103" s="34"/>
      <c r="C1103" s="34"/>
      <c r="D1103" s="355"/>
      <c r="E1103"/>
      <c r="F1103" s="57"/>
      <c r="G1103" s="57"/>
      <c r="H1103" s="1082">
        <f t="shared" si="60"/>
        <v>0</v>
      </c>
      <c r="I1103" s="1333"/>
      <c r="J1103" s="1334" t="e">
        <f>VLOOKUP(C1103,Acc_Char!B:K,3,)</f>
        <v>#N/A</v>
      </c>
      <c r="K1103" s="1334" t="e">
        <f>VLOOKUP(C1103,Acc_Char!B:K,7,)</f>
        <v>#N/A</v>
      </c>
      <c r="L1103" s="1334">
        <f t="shared" si="61"/>
        <v>0</v>
      </c>
      <c r="M1103" s="1335" t="e">
        <f>VLOOKUP(C1103,Acc_Char!B:K,5,)</f>
        <v>#N/A</v>
      </c>
      <c r="N1103" s="1335" t="e">
        <f>VLOOKUP(C1103,Acc_Char!B:K,6,)</f>
        <v>#N/A</v>
      </c>
      <c r="O1103" s="1336" t="str">
        <f>Summary!$B$4</f>
        <v>W1-2Jan26</v>
      </c>
      <c r="P1103" s="1334" t="str">
        <f t="shared" si="62"/>
        <v>0</v>
      </c>
    </row>
    <row r="1104" spans="1:16">
      <c r="A1104"/>
      <c r="B1104" s="34"/>
      <c r="C1104" s="34"/>
      <c r="D1104" s="355"/>
      <c r="E1104"/>
      <c r="F1104" s="57"/>
      <c r="G1104" s="57"/>
      <c r="H1104" s="1082">
        <f t="shared" si="60"/>
        <v>0</v>
      </c>
      <c r="I1104" s="1333"/>
      <c r="J1104" s="1334" t="e">
        <f>VLOOKUP(C1104,Acc_Char!B:K,3,)</f>
        <v>#N/A</v>
      </c>
      <c r="K1104" s="1334" t="e">
        <f>VLOOKUP(C1104,Acc_Char!B:K,7,)</f>
        <v>#N/A</v>
      </c>
      <c r="L1104" s="1334">
        <f t="shared" si="61"/>
        <v>0</v>
      </c>
      <c r="M1104" s="1335" t="e">
        <f>VLOOKUP(C1104,Acc_Char!B:K,5,)</f>
        <v>#N/A</v>
      </c>
      <c r="N1104" s="1335" t="e">
        <f>VLOOKUP(C1104,Acc_Char!B:K,6,)</f>
        <v>#N/A</v>
      </c>
      <c r="O1104" s="1336" t="str">
        <f>Summary!$B$4</f>
        <v>W1-2Jan26</v>
      </c>
      <c r="P1104" s="1334" t="str">
        <f t="shared" si="62"/>
        <v>0</v>
      </c>
    </row>
    <row r="1105" spans="1:17">
      <c r="A1105"/>
      <c r="B1105" s="34"/>
      <c r="C1105" s="1343"/>
      <c r="D1105" s="1391"/>
      <c r="E1105" s="1342"/>
      <c r="F1105" s="57"/>
      <c r="G1105" s="57"/>
      <c r="H1105" s="1082">
        <f>F1105-G1105</f>
        <v>0</v>
      </c>
      <c r="I1105" s="1333"/>
      <c r="J1105" s="1334" t="e">
        <f>VLOOKUP(C1105,Acc_Char!B:K,3,)</f>
        <v>#N/A</v>
      </c>
      <c r="K1105" s="1334" t="e">
        <f>VLOOKUP(C1105,Acc_Char!B:K,7,)</f>
        <v>#N/A</v>
      </c>
      <c r="L1105" s="1334">
        <f t="shared" si="61"/>
        <v>0</v>
      </c>
      <c r="M1105" s="1335" t="e">
        <f>VLOOKUP(C1105,Acc_Char!B:K,5,)</f>
        <v>#N/A</v>
      </c>
      <c r="N1105" s="1335" t="e">
        <f>VLOOKUP(C1105,Acc_Char!B:K,6,)</f>
        <v>#N/A</v>
      </c>
      <c r="O1105" s="1336" t="str">
        <f>Summary!$B$4</f>
        <v>W1-2Jan26</v>
      </c>
      <c r="P1105" s="1334" t="str">
        <f t="shared" si="62"/>
        <v>0</v>
      </c>
    </row>
    <row r="1106" spans="1:17" s="1334" customFormat="1">
      <c r="A1106" s="1342"/>
      <c r="B1106" s="1343"/>
      <c r="C1106" s="1343"/>
      <c r="D1106" s="1391"/>
      <c r="E1106" s="1342"/>
      <c r="F1106" s="1344"/>
      <c r="G1106" s="1344"/>
      <c r="H1106" s="1082">
        <f t="shared" si="60"/>
        <v>0</v>
      </c>
      <c r="I1106" s="1342"/>
      <c r="J1106" s="1334" t="e">
        <f>VLOOKUP(C1106,Acc_Char!B:K,3,)</f>
        <v>#N/A</v>
      </c>
      <c r="K1106" s="1334" t="e">
        <f>VLOOKUP(C1106,Acc_Char!B:K,7,)</f>
        <v>#N/A</v>
      </c>
      <c r="L1106" s="1334">
        <f t="shared" si="61"/>
        <v>0</v>
      </c>
      <c r="M1106" s="1335" t="e">
        <f>VLOOKUP(C1106,Acc_Char!B:K,5,)</f>
        <v>#N/A</v>
      </c>
      <c r="N1106" s="1335" t="e">
        <f>VLOOKUP(C1106,Acc_Char!B:K,6,)</f>
        <v>#N/A</v>
      </c>
      <c r="O1106" s="1336" t="str">
        <f>Summary!$B$4</f>
        <v>W1-2Jan26</v>
      </c>
      <c r="P1106" s="1334" t="str">
        <f t="shared" si="62"/>
        <v>0</v>
      </c>
    </row>
    <row r="1107" spans="1:17">
      <c r="A1107"/>
      <c r="B1107" s="34"/>
      <c r="C1107" s="34"/>
      <c r="D1107" s="355"/>
      <c r="E1107"/>
      <c r="F1107" s="57"/>
      <c r="G1107" s="57"/>
      <c r="H1107" s="1082">
        <f t="shared" si="60"/>
        <v>0</v>
      </c>
      <c r="I1107"/>
      <c r="J1107" s="1334" t="e">
        <f>VLOOKUP(C1107,Acc_Char!B:K,3,)</f>
        <v>#N/A</v>
      </c>
      <c r="K1107" s="1334" t="e">
        <f>VLOOKUP(C1107,Acc_Char!B:K,7,)</f>
        <v>#N/A</v>
      </c>
      <c r="L1107" s="1334">
        <f t="shared" si="61"/>
        <v>0</v>
      </c>
      <c r="M1107" s="1335" t="e">
        <f>VLOOKUP(C1107,Acc_Char!B:K,5,)</f>
        <v>#N/A</v>
      </c>
      <c r="N1107" s="1335" t="e">
        <f>VLOOKUP(C1107,Acc_Char!B:K,6,)</f>
        <v>#N/A</v>
      </c>
      <c r="O1107" s="1336" t="str">
        <f>Summary!$B$4</f>
        <v>W1-2Jan26</v>
      </c>
      <c r="P1107" s="1334" t="str">
        <f t="shared" si="62"/>
        <v>0</v>
      </c>
      <c r="Q1107" s="1024"/>
    </row>
    <row r="1108" spans="1:17">
      <c r="A1108"/>
      <c r="B1108" s="34"/>
      <c r="C1108" s="34"/>
      <c r="D1108" s="355"/>
      <c r="E1108"/>
      <c r="F1108" s="57"/>
      <c r="G1108" s="57"/>
      <c r="H1108" s="1082">
        <f t="shared" si="60"/>
        <v>0</v>
      </c>
      <c r="I1108" s="1333"/>
      <c r="J1108" s="1334" t="e">
        <f>VLOOKUP(C1108,Acc_Char!B:K,3,)</f>
        <v>#N/A</v>
      </c>
      <c r="K1108" s="1334" t="e">
        <f>VLOOKUP(C1108,Acc_Char!B:K,7,)</f>
        <v>#N/A</v>
      </c>
      <c r="L1108" s="1334">
        <f t="shared" si="61"/>
        <v>0</v>
      </c>
      <c r="M1108" s="1335" t="e">
        <f>VLOOKUP(C1108,Acc_Char!B:K,5,)</f>
        <v>#N/A</v>
      </c>
      <c r="N1108" s="1335" t="e">
        <f>VLOOKUP(C1108,Acc_Char!B:K,6,)</f>
        <v>#N/A</v>
      </c>
      <c r="O1108" s="1336" t="str">
        <f>Summary!$B$4</f>
        <v>W1-2Jan26</v>
      </c>
      <c r="P1108" s="1334" t="str">
        <f t="shared" si="62"/>
        <v>0</v>
      </c>
    </row>
    <row r="1109" spans="1:17">
      <c r="A1109"/>
      <c r="B1109" s="34"/>
      <c r="C1109" s="34"/>
      <c r="D1109" s="355"/>
      <c r="E1109"/>
      <c r="F1109" s="57"/>
      <c r="G1109" s="57"/>
      <c r="H1109" s="1082">
        <f t="shared" si="60"/>
        <v>0</v>
      </c>
      <c r="I1109" s="1333"/>
      <c r="J1109" s="1334" t="e">
        <f>VLOOKUP(C1109,Acc_Char!B:K,3,)</f>
        <v>#N/A</v>
      </c>
      <c r="K1109" s="1334" t="e">
        <f>VLOOKUP(C1109,Acc_Char!B:K,7,)</f>
        <v>#N/A</v>
      </c>
      <c r="L1109" s="1334">
        <f t="shared" si="61"/>
        <v>0</v>
      </c>
      <c r="M1109" s="1335" t="e">
        <f>VLOOKUP(C1109,Acc_Char!B:K,5,)</f>
        <v>#N/A</v>
      </c>
      <c r="N1109" s="1335" t="e">
        <f>VLOOKUP(C1109,Acc_Char!B:K,6,)</f>
        <v>#N/A</v>
      </c>
      <c r="O1109" s="1336" t="str">
        <f>Summary!$B$4</f>
        <v>W1-2Jan26</v>
      </c>
      <c r="P1109" s="1334" t="str">
        <f t="shared" si="62"/>
        <v>0</v>
      </c>
    </row>
    <row r="1110" spans="1:17">
      <c r="A1110"/>
      <c r="B1110" s="34"/>
      <c r="C1110" s="34"/>
      <c r="D1110" s="355"/>
      <c r="E1110"/>
      <c r="F1110" s="57"/>
      <c r="G1110" s="57"/>
      <c r="H1110" s="1082">
        <f t="shared" si="60"/>
        <v>0</v>
      </c>
      <c r="I1110"/>
      <c r="J1110" s="1334" t="e">
        <f>VLOOKUP(C1110,Acc_Char!B:K,3,)</f>
        <v>#N/A</v>
      </c>
      <c r="K1110" s="1334" t="e">
        <f>VLOOKUP(C1110,Acc_Char!B:K,7,)</f>
        <v>#N/A</v>
      </c>
      <c r="L1110" s="1334">
        <f t="shared" si="61"/>
        <v>0</v>
      </c>
      <c r="M1110" s="1335" t="e">
        <f>VLOOKUP(C1110,Acc_Char!B:K,5,)</f>
        <v>#N/A</v>
      </c>
      <c r="N1110" s="1335" t="e">
        <f>VLOOKUP(C1110,Acc_Char!B:K,6,)</f>
        <v>#N/A</v>
      </c>
      <c r="O1110" s="1336" t="str">
        <f>Summary!$B$4</f>
        <v>W1-2Jan26</v>
      </c>
      <c r="P1110" s="1334" t="str">
        <f t="shared" si="62"/>
        <v>0</v>
      </c>
    </row>
    <row r="1111" spans="1:17">
      <c r="A1111"/>
      <c r="B1111" s="34"/>
      <c r="C1111" s="34"/>
      <c r="D1111" s="355"/>
      <c r="E1111"/>
      <c r="F1111" s="57"/>
      <c r="G1111" s="57"/>
      <c r="H1111" s="1082">
        <f t="shared" si="60"/>
        <v>0</v>
      </c>
      <c r="I1111"/>
      <c r="J1111" s="1334" t="e">
        <f>VLOOKUP(C1111,Acc_Char!B:K,3,)</f>
        <v>#N/A</v>
      </c>
      <c r="K1111" s="1334" t="e">
        <f>VLOOKUP(C1111,Acc_Char!B:K,7,)</f>
        <v>#N/A</v>
      </c>
      <c r="L1111" s="1334">
        <f t="shared" si="61"/>
        <v>0</v>
      </c>
      <c r="M1111" s="1335" t="e">
        <f>VLOOKUP(C1111,Acc_Char!B:K,5,)</f>
        <v>#N/A</v>
      </c>
      <c r="N1111" s="1335" t="e">
        <f>VLOOKUP(C1111,Acc_Char!B:K,6,)</f>
        <v>#N/A</v>
      </c>
      <c r="O1111" s="1336" t="str">
        <f>Summary!$B$4</f>
        <v>W1-2Jan26</v>
      </c>
      <c r="P1111" s="1334" t="str">
        <f t="shared" si="62"/>
        <v>0</v>
      </c>
    </row>
    <row r="1112" spans="1:17">
      <c r="A1112"/>
      <c r="B1112" s="34"/>
      <c r="C1112" s="34"/>
      <c r="D1112" s="355"/>
      <c r="E1112"/>
      <c r="F1112" s="57"/>
      <c r="G1112" s="57"/>
      <c r="H1112" s="1082">
        <f t="shared" si="60"/>
        <v>0</v>
      </c>
      <c r="I1112"/>
      <c r="J1112" s="1334" t="e">
        <f>VLOOKUP(C1112,Acc_Char!B:K,3,)</f>
        <v>#N/A</v>
      </c>
      <c r="K1112" s="1334" t="e">
        <f>VLOOKUP(C1112,Acc_Char!B:K,7,)</f>
        <v>#N/A</v>
      </c>
      <c r="L1112" s="1334">
        <f t="shared" si="61"/>
        <v>0</v>
      </c>
      <c r="M1112" s="1335" t="e">
        <f>VLOOKUP(C1112,Acc_Char!B:K,5,)</f>
        <v>#N/A</v>
      </c>
      <c r="N1112" s="1335" t="e">
        <f>VLOOKUP(C1112,Acc_Char!B:K,6,)</f>
        <v>#N/A</v>
      </c>
      <c r="O1112" s="1336" t="str">
        <f>Summary!$B$4</f>
        <v>W1-2Jan26</v>
      </c>
      <c r="P1112" s="1334" t="str">
        <f t="shared" si="62"/>
        <v>0</v>
      </c>
    </row>
    <row r="1113" spans="1:17">
      <c r="A1113"/>
      <c r="B1113" s="34"/>
      <c r="C1113" s="34"/>
      <c r="D1113" s="355"/>
      <c r="E1113"/>
      <c r="F1113" s="57"/>
      <c r="G1113" s="57"/>
      <c r="H1113" s="1082">
        <f t="shared" si="60"/>
        <v>0</v>
      </c>
      <c r="I1113" s="1333"/>
      <c r="J1113" s="1334" t="e">
        <f>VLOOKUP(C1113,Acc_Char!B:K,3,)</f>
        <v>#N/A</v>
      </c>
      <c r="K1113" s="1334" t="e">
        <f>VLOOKUP(C1113,Acc_Char!B:K,7,)</f>
        <v>#N/A</v>
      </c>
      <c r="L1113" s="1334">
        <f t="shared" si="61"/>
        <v>0</v>
      </c>
      <c r="M1113" s="1335" t="e">
        <f>VLOOKUP(C1113,Acc_Char!B:K,5,)</f>
        <v>#N/A</v>
      </c>
      <c r="N1113" s="1335" t="e">
        <f>VLOOKUP(C1113,Acc_Char!B:K,6,)</f>
        <v>#N/A</v>
      </c>
      <c r="O1113" s="1336" t="str">
        <f>Summary!$B$4</f>
        <v>W1-2Jan26</v>
      </c>
      <c r="P1113" s="1334" t="str">
        <f t="shared" si="62"/>
        <v>0</v>
      </c>
    </row>
    <row r="1114" spans="1:17">
      <c r="A1114"/>
      <c r="B1114" s="34"/>
      <c r="C1114" s="34"/>
      <c r="D1114" s="355"/>
      <c r="E1114"/>
      <c r="F1114" s="57"/>
      <c r="G1114" s="57"/>
      <c r="H1114" s="1082">
        <f t="shared" si="60"/>
        <v>0</v>
      </c>
      <c r="I1114" s="1333"/>
      <c r="J1114" s="1334" t="e">
        <f>VLOOKUP(C1114,Acc_Char!B:K,3,)</f>
        <v>#N/A</v>
      </c>
      <c r="K1114" s="1334" t="e">
        <f>VLOOKUP(C1114,Acc_Char!B:K,7,)</f>
        <v>#N/A</v>
      </c>
      <c r="L1114" s="1334">
        <f t="shared" si="61"/>
        <v>0</v>
      </c>
      <c r="M1114" s="1335" t="e">
        <f>VLOOKUP(C1114,Acc_Char!B:K,5,)</f>
        <v>#N/A</v>
      </c>
      <c r="N1114" s="1335" t="e">
        <f>VLOOKUP(C1114,Acc_Char!B:K,6,)</f>
        <v>#N/A</v>
      </c>
      <c r="O1114" s="1336" t="str">
        <f>Summary!$B$4</f>
        <v>W1-2Jan26</v>
      </c>
      <c r="P1114" s="1334" t="str">
        <f t="shared" si="62"/>
        <v>0</v>
      </c>
    </row>
    <row r="1115" spans="1:17">
      <c r="A1115"/>
      <c r="B1115" s="34"/>
      <c r="C1115" s="34"/>
      <c r="D1115" s="355"/>
      <c r="E1115"/>
      <c r="F1115" s="57"/>
      <c r="G1115" s="57"/>
      <c r="H1115" s="1082">
        <f t="shared" si="60"/>
        <v>0</v>
      </c>
      <c r="J1115" s="1334" t="e">
        <f>VLOOKUP(C1115,Acc_Char!B:K,3,)</f>
        <v>#N/A</v>
      </c>
      <c r="K1115" s="1334" t="e">
        <f>VLOOKUP(C1115,Acc_Char!B:K,7,)</f>
        <v>#N/A</v>
      </c>
      <c r="L1115" s="1334">
        <f t="shared" si="61"/>
        <v>0</v>
      </c>
      <c r="M1115" s="1335" t="e">
        <f>VLOOKUP(C1115,Acc_Char!B:K,5,)</f>
        <v>#N/A</v>
      </c>
      <c r="N1115" s="1335" t="e">
        <f>VLOOKUP(C1115,Acc_Char!B:K,6,)</f>
        <v>#N/A</v>
      </c>
      <c r="O1115" s="1336" t="str">
        <f>Summary!$B$4</f>
        <v>W1-2Jan26</v>
      </c>
      <c r="P1115" s="1334" t="str">
        <f t="shared" si="62"/>
        <v>0</v>
      </c>
    </row>
    <row r="1116" spans="1:17">
      <c r="A1116"/>
      <c r="B1116" s="34"/>
      <c r="C1116" s="34"/>
      <c r="D1116" s="355"/>
      <c r="E1116"/>
      <c r="F1116" s="57"/>
      <c r="G1116" s="57"/>
      <c r="H1116" s="1082">
        <f t="shared" si="60"/>
        <v>0</v>
      </c>
      <c r="I1116" s="1333"/>
      <c r="J1116" s="1334" t="e">
        <f>VLOOKUP(C1116,Acc_Char!B:K,3,)</f>
        <v>#N/A</v>
      </c>
      <c r="K1116" s="1334" t="e">
        <f>VLOOKUP(C1116,Acc_Char!B:K,7,)</f>
        <v>#N/A</v>
      </c>
      <c r="L1116" s="1334">
        <f t="shared" si="61"/>
        <v>0</v>
      </c>
      <c r="M1116" s="1335" t="e">
        <f>VLOOKUP(C1116,Acc_Char!B:K,5,)</f>
        <v>#N/A</v>
      </c>
      <c r="N1116" s="1335" t="e">
        <f>VLOOKUP(C1116,Acc_Char!B:K,6,)</f>
        <v>#N/A</v>
      </c>
      <c r="O1116" s="1336" t="str">
        <f>Summary!$B$4</f>
        <v>W1-2Jan26</v>
      </c>
      <c r="P1116" s="1334" t="str">
        <f t="shared" si="62"/>
        <v>0</v>
      </c>
    </row>
    <row r="1117" spans="1:17">
      <c r="A1117"/>
      <c r="B1117" s="34"/>
      <c r="C1117" s="34"/>
      <c r="D1117" s="355"/>
      <c r="E1117"/>
      <c r="F1117" s="57"/>
      <c r="G1117" s="57"/>
      <c r="H1117" s="1082">
        <f t="shared" si="60"/>
        <v>0</v>
      </c>
      <c r="I1117" s="1333"/>
      <c r="J1117" s="1334" t="e">
        <f>VLOOKUP(C1117,Acc_Char!B:K,3,)</f>
        <v>#N/A</v>
      </c>
      <c r="K1117" s="1334" t="e">
        <f>VLOOKUP(C1117,Acc_Char!B:K,7,)</f>
        <v>#N/A</v>
      </c>
      <c r="L1117" s="1334">
        <f t="shared" si="61"/>
        <v>0</v>
      </c>
      <c r="M1117" s="1335" t="e">
        <f>VLOOKUP(C1117,Acc_Char!B:K,5,)</f>
        <v>#N/A</v>
      </c>
      <c r="N1117" s="1335" t="e">
        <f>VLOOKUP(C1117,Acc_Char!B:K,6,)</f>
        <v>#N/A</v>
      </c>
      <c r="O1117" s="1336" t="str">
        <f>Summary!$B$4</f>
        <v>W1-2Jan26</v>
      </c>
      <c r="P1117" s="1334" t="str">
        <f t="shared" si="62"/>
        <v>0</v>
      </c>
    </row>
    <row r="1118" spans="1:17">
      <c r="A1118"/>
      <c r="B1118" s="34"/>
      <c r="C1118" s="34"/>
      <c r="D1118" s="355"/>
      <c r="E1118"/>
      <c r="F1118" s="57"/>
      <c r="G1118" s="57"/>
      <c r="H1118" s="1082">
        <f t="shared" si="60"/>
        <v>0</v>
      </c>
      <c r="I1118" s="1333"/>
      <c r="J1118" s="1334" t="e">
        <f>VLOOKUP(C1118,Acc_Char!B:K,3,)</f>
        <v>#N/A</v>
      </c>
      <c r="K1118" s="1334" t="e">
        <f>VLOOKUP(C1118,Acc_Char!B:K,7,)</f>
        <v>#N/A</v>
      </c>
      <c r="L1118" s="1334">
        <f t="shared" si="61"/>
        <v>0</v>
      </c>
      <c r="M1118" s="1335" t="e">
        <f>VLOOKUP(C1118,Acc_Char!B:K,5,)</f>
        <v>#N/A</v>
      </c>
      <c r="N1118" s="1335" t="e">
        <f>VLOOKUP(C1118,Acc_Char!B:K,6,)</f>
        <v>#N/A</v>
      </c>
      <c r="O1118" s="1336" t="str">
        <f>Summary!$B$4</f>
        <v>W1-2Jan26</v>
      </c>
      <c r="P1118" s="1334" t="str">
        <f t="shared" si="62"/>
        <v>0</v>
      </c>
    </row>
    <row r="1119" spans="1:17">
      <c r="A1119"/>
      <c r="B1119" s="34"/>
      <c r="C1119" s="34"/>
      <c r="D1119" s="355"/>
      <c r="E1119"/>
      <c r="F1119" s="57"/>
      <c r="G1119" s="57"/>
      <c r="H1119" s="1082">
        <f t="shared" si="60"/>
        <v>0</v>
      </c>
      <c r="I1119" s="1333"/>
      <c r="J1119" s="1334" t="e">
        <f>VLOOKUP(C1119,Acc_Char!B:K,3,)</f>
        <v>#N/A</v>
      </c>
      <c r="K1119" s="1334" t="e">
        <f>VLOOKUP(C1119,Acc_Char!B:K,7,)</f>
        <v>#N/A</v>
      </c>
      <c r="L1119" s="1334">
        <f t="shared" si="61"/>
        <v>0</v>
      </c>
      <c r="M1119" s="1335" t="e">
        <f>VLOOKUP(C1119,Acc_Char!B:K,5,)</f>
        <v>#N/A</v>
      </c>
      <c r="N1119" s="1335" t="e">
        <f>VLOOKUP(C1119,Acc_Char!B:K,6,)</f>
        <v>#N/A</v>
      </c>
      <c r="O1119" s="1336" t="str">
        <f>Summary!$B$4</f>
        <v>W1-2Jan26</v>
      </c>
      <c r="P1119" s="1334" t="str">
        <f t="shared" si="62"/>
        <v>0</v>
      </c>
    </row>
    <row r="1120" spans="1:17">
      <c r="A1120"/>
      <c r="B1120" s="34"/>
      <c r="C1120" s="34"/>
      <c r="D1120" s="355"/>
      <c r="E1120"/>
      <c r="F1120" s="57"/>
      <c r="G1120" s="57"/>
      <c r="H1120" s="1082">
        <f t="shared" si="60"/>
        <v>0</v>
      </c>
      <c r="I1120" s="1333"/>
      <c r="J1120" s="1334" t="e">
        <f>VLOOKUP(C1120,Acc_Char!B:K,3,)</f>
        <v>#N/A</v>
      </c>
      <c r="K1120" s="1334" t="e">
        <f>VLOOKUP(C1120,Acc_Char!B:K,7,)</f>
        <v>#N/A</v>
      </c>
      <c r="L1120" s="1334">
        <f t="shared" si="61"/>
        <v>0</v>
      </c>
      <c r="M1120" s="1335" t="e">
        <f>VLOOKUP(C1120,Acc_Char!B:K,5,)</f>
        <v>#N/A</v>
      </c>
      <c r="N1120" s="1335" t="e">
        <f>VLOOKUP(C1120,Acc_Char!B:K,6,)</f>
        <v>#N/A</v>
      </c>
      <c r="O1120" s="1336" t="str">
        <f>Summary!$B$4</f>
        <v>W1-2Jan26</v>
      </c>
      <c r="P1120" s="1334" t="str">
        <f t="shared" si="62"/>
        <v>0</v>
      </c>
    </row>
    <row r="1121" spans="1:17">
      <c r="A1121"/>
      <c r="B1121" s="34"/>
      <c r="C1121" s="34"/>
      <c r="D1121" s="355"/>
      <c r="E1121"/>
      <c r="F1121" s="57"/>
      <c r="G1121" s="57"/>
      <c r="H1121" s="1082">
        <f t="shared" si="60"/>
        <v>0</v>
      </c>
      <c r="I1121" s="1333"/>
      <c r="J1121" s="1334" t="e">
        <f>VLOOKUP(C1121,Acc_Char!B:K,3,)</f>
        <v>#N/A</v>
      </c>
      <c r="K1121" s="1334" t="e">
        <f>VLOOKUP(C1121,Acc_Char!B:K,7,)</f>
        <v>#N/A</v>
      </c>
      <c r="L1121" s="1334">
        <f t="shared" si="61"/>
        <v>0</v>
      </c>
      <c r="M1121" s="1335" t="e">
        <f>VLOOKUP(C1121,Acc_Char!B:K,5,)</f>
        <v>#N/A</v>
      </c>
      <c r="N1121" s="1335" t="e">
        <f>VLOOKUP(C1121,Acc_Char!B:K,6,)</f>
        <v>#N/A</v>
      </c>
      <c r="O1121" s="1336" t="str">
        <f>Summary!$B$4</f>
        <v>W1-2Jan26</v>
      </c>
      <c r="P1121" s="1334" t="str">
        <f t="shared" si="62"/>
        <v>0</v>
      </c>
    </row>
    <row r="1122" spans="1:17">
      <c r="A1122"/>
      <c r="B1122" s="34"/>
      <c r="C1122" s="34"/>
      <c r="D1122" s="355"/>
      <c r="E1122"/>
      <c r="F1122" s="57"/>
      <c r="G1122" s="57"/>
      <c r="H1122" s="1082">
        <f t="shared" si="60"/>
        <v>0</v>
      </c>
      <c r="I1122" s="1333"/>
      <c r="J1122" s="1334" t="e">
        <f>VLOOKUP(C1122,Acc_Char!B:K,3,)</f>
        <v>#N/A</v>
      </c>
      <c r="K1122" s="1334" t="e">
        <f>VLOOKUP(C1122,Acc_Char!B:K,7,)</f>
        <v>#N/A</v>
      </c>
      <c r="L1122" s="1334">
        <f t="shared" si="61"/>
        <v>0</v>
      </c>
      <c r="M1122" s="1335" t="e">
        <f>VLOOKUP(C1122,Acc_Char!B:K,5,)</f>
        <v>#N/A</v>
      </c>
      <c r="N1122" s="1335" t="e">
        <f>VLOOKUP(C1122,Acc_Char!B:K,6,)</f>
        <v>#N/A</v>
      </c>
      <c r="O1122" s="1336" t="str">
        <f>Summary!$B$4</f>
        <v>W1-2Jan26</v>
      </c>
      <c r="P1122" s="1334" t="str">
        <f t="shared" si="62"/>
        <v>0</v>
      </c>
    </row>
    <row r="1123" spans="1:17">
      <c r="A1123"/>
      <c r="B1123" s="34"/>
      <c r="C1123" s="34"/>
      <c r="D1123" s="355"/>
      <c r="E1123"/>
      <c r="F1123" s="57"/>
      <c r="G1123" s="57"/>
      <c r="H1123" s="1082">
        <f t="shared" si="60"/>
        <v>0</v>
      </c>
      <c r="I1123"/>
      <c r="J1123" s="1334" t="e">
        <f>VLOOKUP(C1123,Acc_Char!B:K,3,)</f>
        <v>#N/A</v>
      </c>
      <c r="K1123" s="1334" t="e">
        <f>VLOOKUP(C1123,Acc_Char!B:K,7,)</f>
        <v>#N/A</v>
      </c>
      <c r="L1123" s="1334">
        <f t="shared" si="61"/>
        <v>0</v>
      </c>
      <c r="M1123" s="1335" t="e">
        <f>VLOOKUP(C1123,Acc_Char!B:K,5,)</f>
        <v>#N/A</v>
      </c>
      <c r="N1123" s="1335" t="e">
        <f>VLOOKUP(C1123,Acc_Char!B:K,6,)</f>
        <v>#N/A</v>
      </c>
      <c r="O1123" s="1336" t="str">
        <f>Summary!$B$4</f>
        <v>W1-2Jan26</v>
      </c>
      <c r="P1123" s="1334" t="str">
        <f t="shared" si="62"/>
        <v>0</v>
      </c>
    </row>
    <row r="1124" spans="1:17">
      <c r="A1124"/>
      <c r="B1124" s="34"/>
      <c r="C1124" s="34"/>
      <c r="D1124" s="355"/>
      <c r="E1124"/>
      <c r="F1124" s="57"/>
      <c r="G1124" s="57"/>
      <c r="H1124" s="1082">
        <f t="shared" si="60"/>
        <v>0</v>
      </c>
      <c r="I1124" s="1333"/>
      <c r="J1124" s="1334" t="e">
        <f>VLOOKUP(C1124,Acc_Char!B:K,3,)</f>
        <v>#N/A</v>
      </c>
      <c r="K1124" s="1334" t="e">
        <f>VLOOKUP(C1124,Acc_Char!B:K,7,)</f>
        <v>#N/A</v>
      </c>
      <c r="L1124" s="1334">
        <f t="shared" si="61"/>
        <v>0</v>
      </c>
      <c r="M1124" s="1335" t="e">
        <f>VLOOKUP(C1124,Acc_Char!B:K,5,)</f>
        <v>#N/A</v>
      </c>
      <c r="N1124" s="1335" t="e">
        <f>VLOOKUP(C1124,Acc_Char!B:K,6,)</f>
        <v>#N/A</v>
      </c>
      <c r="O1124" s="1336" t="str">
        <f>Summary!$B$4</f>
        <v>W1-2Jan26</v>
      </c>
      <c r="P1124" s="1334" t="str">
        <f t="shared" si="62"/>
        <v>0</v>
      </c>
    </row>
    <row r="1125" spans="1:17">
      <c r="A1125"/>
      <c r="B1125" s="34"/>
      <c r="C1125" s="34"/>
      <c r="D1125" s="355"/>
      <c r="E1125"/>
      <c r="F1125" s="57"/>
      <c r="G1125" s="57"/>
      <c r="H1125" s="1082">
        <f t="shared" si="60"/>
        <v>0</v>
      </c>
      <c r="I1125" s="1333"/>
      <c r="J1125" s="1334" t="e">
        <f>VLOOKUP(C1125,Acc_Char!B:K,3,)</f>
        <v>#N/A</v>
      </c>
      <c r="K1125" s="1334" t="e">
        <f>VLOOKUP(C1125,Acc_Char!B:K,7,)</f>
        <v>#N/A</v>
      </c>
      <c r="L1125" s="1334">
        <f t="shared" si="61"/>
        <v>0</v>
      </c>
      <c r="M1125" s="1335" t="e">
        <f>VLOOKUP(C1125,Acc_Char!B:K,5,)</f>
        <v>#N/A</v>
      </c>
      <c r="N1125" s="1335" t="e">
        <f>VLOOKUP(C1125,Acc_Char!B:K,6,)</f>
        <v>#N/A</v>
      </c>
      <c r="O1125" s="1336" t="str">
        <f>Summary!$B$4</f>
        <v>W1-2Jan26</v>
      </c>
      <c r="P1125" s="1334" t="str">
        <f t="shared" si="62"/>
        <v>0</v>
      </c>
    </row>
    <row r="1126" spans="1:17">
      <c r="A1126"/>
      <c r="B1126" s="34"/>
      <c r="C1126" s="34"/>
      <c r="D1126" s="355"/>
      <c r="E1126"/>
      <c r="F1126" s="57"/>
      <c r="G1126" s="57"/>
      <c r="H1126" s="1082">
        <f t="shared" si="60"/>
        <v>0</v>
      </c>
      <c r="I1126" s="1333"/>
      <c r="J1126" s="1334" t="e">
        <f>VLOOKUP(C1126,Acc_Char!B:K,3,)</f>
        <v>#N/A</v>
      </c>
      <c r="K1126" s="1334" t="e">
        <f>VLOOKUP(C1126,Acc_Char!B:K,7,)</f>
        <v>#N/A</v>
      </c>
      <c r="L1126" s="1334">
        <f t="shared" si="61"/>
        <v>0</v>
      </c>
      <c r="M1126" s="1335" t="e">
        <f>VLOOKUP(C1126,Acc_Char!B:K,5,)</f>
        <v>#N/A</v>
      </c>
      <c r="N1126" s="1335" t="e">
        <f>VLOOKUP(C1126,Acc_Char!B:K,6,)</f>
        <v>#N/A</v>
      </c>
      <c r="O1126" s="1336" t="str">
        <f>Summary!$B$4</f>
        <v>W1-2Jan26</v>
      </c>
      <c r="P1126" s="1334" t="str">
        <f t="shared" si="62"/>
        <v>0</v>
      </c>
    </row>
    <row r="1127" spans="1:17">
      <c r="A1127"/>
      <c r="B1127" s="34"/>
      <c r="C1127" s="34"/>
      <c r="D1127" s="355"/>
      <c r="E1127"/>
      <c r="F1127" s="57"/>
      <c r="G1127" s="57"/>
      <c r="H1127" s="1082">
        <f t="shared" ref="H1127:H1190" si="63">F1127-G1127</f>
        <v>0</v>
      </c>
      <c r="I1127"/>
      <c r="J1127" s="1334" t="e">
        <f>VLOOKUP(C1127,Acc_Char!B:K,3,)</f>
        <v>#N/A</v>
      </c>
      <c r="K1127" s="1334" t="e">
        <f>VLOOKUP(C1127,Acc_Char!B:K,7,)</f>
        <v>#N/A</v>
      </c>
      <c r="L1127" s="1334">
        <f t="shared" si="61"/>
        <v>0</v>
      </c>
      <c r="M1127" s="1335" t="e">
        <f>VLOOKUP(C1127,Acc_Char!B:K,5,)</f>
        <v>#N/A</v>
      </c>
      <c r="N1127" s="1335" t="e">
        <f>VLOOKUP(C1127,Acc_Char!B:K,6,)</f>
        <v>#N/A</v>
      </c>
      <c r="O1127" s="1336" t="str">
        <f>Summary!$B$4</f>
        <v>W1-2Jan26</v>
      </c>
      <c r="P1127" s="1334" t="str">
        <f t="shared" si="62"/>
        <v>0</v>
      </c>
    </row>
    <row r="1128" spans="1:17">
      <c r="A1128"/>
      <c r="B1128" s="34"/>
      <c r="C1128" s="34"/>
      <c r="D1128" s="355"/>
      <c r="E1128"/>
      <c r="F1128" s="57"/>
      <c r="G1128" s="57"/>
      <c r="H1128" s="1082">
        <f t="shared" si="63"/>
        <v>0</v>
      </c>
      <c r="I1128" s="1333"/>
      <c r="J1128" s="1334" t="e">
        <f>VLOOKUP(C1128,Acc_Char!B:K,3,)</f>
        <v>#N/A</v>
      </c>
      <c r="K1128" s="1334" t="e">
        <f>VLOOKUP(C1128,Acc_Char!B:K,7,)</f>
        <v>#N/A</v>
      </c>
      <c r="L1128" s="1334">
        <f t="shared" si="61"/>
        <v>0</v>
      </c>
      <c r="M1128" s="1335" t="e">
        <f>VLOOKUP(C1128,Acc_Char!B:K,5,)</f>
        <v>#N/A</v>
      </c>
      <c r="N1128" s="1335" t="e">
        <f>VLOOKUP(C1128,Acc_Char!B:K,6,)</f>
        <v>#N/A</v>
      </c>
      <c r="O1128" s="1336" t="str">
        <f>Summary!$B$4</f>
        <v>W1-2Jan26</v>
      </c>
      <c r="P1128" s="1334" t="str">
        <f t="shared" si="62"/>
        <v>0</v>
      </c>
    </row>
    <row r="1129" spans="1:17">
      <c r="A1129"/>
      <c r="B1129" s="34"/>
      <c r="C1129" s="34"/>
      <c r="D1129" s="355"/>
      <c r="E1129"/>
      <c r="F1129" s="57"/>
      <c r="G1129" s="57"/>
      <c r="H1129" s="1082">
        <f t="shared" si="63"/>
        <v>0</v>
      </c>
      <c r="J1129" s="1334" t="e">
        <f>VLOOKUP(C1129,Acc_Char!B:K,3,)</f>
        <v>#N/A</v>
      </c>
      <c r="K1129" s="1334" t="e">
        <f>VLOOKUP(C1129,Acc_Char!B:K,7,)</f>
        <v>#N/A</v>
      </c>
      <c r="L1129" s="1334">
        <f t="shared" si="61"/>
        <v>0</v>
      </c>
      <c r="M1129" s="1335" t="e">
        <f>VLOOKUP(C1129,Acc_Char!B:K,5,)</f>
        <v>#N/A</v>
      </c>
      <c r="N1129" s="1335" t="e">
        <f>VLOOKUP(C1129,Acc_Char!B:K,6,)</f>
        <v>#N/A</v>
      </c>
      <c r="O1129" s="1336" t="str">
        <f>Summary!$B$4</f>
        <v>W1-2Jan26</v>
      </c>
      <c r="P1129" s="1334" t="str">
        <f t="shared" si="62"/>
        <v>0</v>
      </c>
    </row>
    <row r="1130" spans="1:17">
      <c r="A1130"/>
      <c r="B1130" s="34"/>
      <c r="C1130" s="34"/>
      <c r="D1130" s="355"/>
      <c r="E1130"/>
      <c r="F1130" s="57"/>
      <c r="G1130" s="57"/>
      <c r="H1130" s="1082">
        <f t="shared" si="63"/>
        <v>0</v>
      </c>
      <c r="J1130" s="1334" t="e">
        <f>VLOOKUP(C1130,Acc_Char!B:K,3,)</f>
        <v>#N/A</v>
      </c>
      <c r="K1130" s="1334" t="e">
        <f>VLOOKUP(C1130,Acc_Char!B:K,7,)</f>
        <v>#N/A</v>
      </c>
      <c r="L1130" s="1334">
        <f t="shared" si="61"/>
        <v>0</v>
      </c>
      <c r="M1130" s="1335" t="e">
        <f>VLOOKUP(C1130,Acc_Char!B:K,5,)</f>
        <v>#N/A</v>
      </c>
      <c r="N1130" s="1335" t="e">
        <f>VLOOKUP(C1130,Acc_Char!B:K,6,)</f>
        <v>#N/A</v>
      </c>
      <c r="O1130" s="1336" t="str">
        <f>Summary!$B$4</f>
        <v>W1-2Jan26</v>
      </c>
      <c r="P1130" s="1334" t="str">
        <f t="shared" si="62"/>
        <v>0</v>
      </c>
    </row>
    <row r="1131" spans="1:17">
      <c r="A1131"/>
      <c r="B1131" s="34"/>
      <c r="C1131" s="34"/>
      <c r="D1131" s="355"/>
      <c r="E1131"/>
      <c r="F1131" s="57"/>
      <c r="G1131" s="57"/>
      <c r="H1131" s="1082">
        <f t="shared" si="63"/>
        <v>0</v>
      </c>
      <c r="I1131"/>
      <c r="J1131" s="1334" t="e">
        <f>VLOOKUP(C1131,Acc_Char!B:K,3,)</f>
        <v>#N/A</v>
      </c>
      <c r="K1131" s="1334" t="e">
        <f>VLOOKUP(C1131,Acc_Char!B:K,7,)</f>
        <v>#N/A</v>
      </c>
      <c r="L1131" s="1334">
        <f t="shared" si="61"/>
        <v>0</v>
      </c>
      <c r="M1131" s="1335" t="e">
        <f>VLOOKUP(C1131,Acc_Char!B:K,5,)</f>
        <v>#N/A</v>
      </c>
      <c r="N1131" s="1335" t="e">
        <f>VLOOKUP(C1131,Acc_Char!B:K,6,)</f>
        <v>#N/A</v>
      </c>
      <c r="O1131" s="1336" t="str">
        <f>Summary!$B$4</f>
        <v>W1-2Jan26</v>
      </c>
      <c r="P1131" s="1334" t="str">
        <f t="shared" si="62"/>
        <v>0</v>
      </c>
    </row>
    <row r="1132" spans="1:17">
      <c r="A1132"/>
      <c r="B1132" s="34"/>
      <c r="C1132" s="34"/>
      <c r="D1132" s="355"/>
      <c r="E1132"/>
      <c r="F1132" s="57"/>
      <c r="G1132" s="57"/>
      <c r="H1132" s="1082">
        <f t="shared" si="63"/>
        <v>0</v>
      </c>
      <c r="I1132" s="1333"/>
      <c r="J1132" s="1334" t="e">
        <f>VLOOKUP(C1132,Acc_Char!B:K,3,)</f>
        <v>#N/A</v>
      </c>
      <c r="K1132" s="1334" t="e">
        <f>VLOOKUP(C1132,Acc_Char!B:K,7,)</f>
        <v>#N/A</v>
      </c>
      <c r="L1132" s="1334">
        <f t="shared" si="61"/>
        <v>0</v>
      </c>
      <c r="M1132" s="1335" t="e">
        <f>VLOOKUP(C1132,Acc_Char!B:K,5,)</f>
        <v>#N/A</v>
      </c>
      <c r="N1132" s="1335" t="e">
        <f>VLOOKUP(C1132,Acc_Char!B:K,6,)</f>
        <v>#N/A</v>
      </c>
      <c r="O1132" s="1336" t="str">
        <f>Summary!$B$4</f>
        <v>W1-2Jan26</v>
      </c>
      <c r="P1132" s="1334" t="str">
        <f t="shared" si="62"/>
        <v>0</v>
      </c>
    </row>
    <row r="1133" spans="1:17">
      <c r="A1133"/>
      <c r="B1133" s="34"/>
      <c r="C1133" s="34"/>
      <c r="D1133" s="355"/>
      <c r="E1133"/>
      <c r="F1133" s="57"/>
      <c r="G1133" s="57"/>
      <c r="H1133" s="1082">
        <f t="shared" si="63"/>
        <v>0</v>
      </c>
      <c r="I1133" s="1333"/>
      <c r="J1133" s="1334" t="e">
        <f>VLOOKUP(C1133,Acc_Char!B:K,3,)</f>
        <v>#N/A</v>
      </c>
      <c r="K1133" s="1334" t="e">
        <f>VLOOKUP(C1133,Acc_Char!B:K,7,)</f>
        <v>#N/A</v>
      </c>
      <c r="L1133" s="1334">
        <f t="shared" si="61"/>
        <v>0</v>
      </c>
      <c r="M1133" s="1335" t="e">
        <f>VLOOKUP(C1133,Acc_Char!B:K,5,)</f>
        <v>#N/A</v>
      </c>
      <c r="N1133" s="1335" t="e">
        <f>VLOOKUP(C1133,Acc_Char!B:K,6,)</f>
        <v>#N/A</v>
      </c>
      <c r="O1133" s="1336" t="str">
        <f>Summary!$B$4</f>
        <v>W1-2Jan26</v>
      </c>
      <c r="P1133" s="1334" t="str">
        <f t="shared" si="62"/>
        <v>0</v>
      </c>
      <c r="Q1133" s="1024"/>
    </row>
    <row r="1134" spans="1:17">
      <c r="A1134"/>
      <c r="B1134" s="34"/>
      <c r="C1134" s="34"/>
      <c r="D1134" s="355"/>
      <c r="E1134"/>
      <c r="F1134" s="57"/>
      <c r="G1134" s="57"/>
      <c r="H1134" s="1082">
        <f t="shared" si="63"/>
        <v>0</v>
      </c>
      <c r="I1134" s="1333"/>
      <c r="J1134" s="1334" t="e">
        <f>VLOOKUP(C1134,Acc_Char!B:K,3,)</f>
        <v>#N/A</v>
      </c>
      <c r="K1134" s="1334" t="e">
        <f>VLOOKUP(C1134,Acc_Char!B:K,7,)</f>
        <v>#N/A</v>
      </c>
      <c r="L1134" s="1334">
        <f t="shared" si="61"/>
        <v>0</v>
      </c>
      <c r="M1134" s="1335" t="e">
        <f>VLOOKUP(C1134,Acc_Char!B:K,5,)</f>
        <v>#N/A</v>
      </c>
      <c r="N1134" s="1335" t="e">
        <f>VLOOKUP(C1134,Acc_Char!B:K,6,)</f>
        <v>#N/A</v>
      </c>
      <c r="O1134" s="1336" t="str">
        <f>Summary!$B$4</f>
        <v>W1-2Jan26</v>
      </c>
      <c r="P1134" s="1334" t="str">
        <f t="shared" si="62"/>
        <v>0</v>
      </c>
    </row>
    <row r="1135" spans="1:17">
      <c r="A1135"/>
      <c r="B1135" s="34"/>
      <c r="C1135" s="34"/>
      <c r="D1135" s="355"/>
      <c r="E1135"/>
      <c r="F1135" s="57"/>
      <c r="G1135" s="57"/>
      <c r="H1135" s="1082">
        <f t="shared" si="63"/>
        <v>0</v>
      </c>
      <c r="I1135" s="1333"/>
      <c r="J1135" s="1334" t="e">
        <f>VLOOKUP(C1135,Acc_Char!B:K,3,)</f>
        <v>#N/A</v>
      </c>
      <c r="K1135" s="1334" t="e">
        <f>VLOOKUP(C1135,Acc_Char!B:K,7,)</f>
        <v>#N/A</v>
      </c>
      <c r="L1135" s="1334">
        <f t="shared" si="61"/>
        <v>0</v>
      </c>
      <c r="M1135" s="1335" t="e">
        <f>VLOOKUP(C1135,Acc_Char!B:K,5,)</f>
        <v>#N/A</v>
      </c>
      <c r="N1135" s="1335" t="e">
        <f>VLOOKUP(C1135,Acc_Char!B:K,6,)</f>
        <v>#N/A</v>
      </c>
      <c r="O1135" s="1336" t="str">
        <f>Summary!$B$4</f>
        <v>W1-2Jan26</v>
      </c>
      <c r="P1135" s="1334" t="str">
        <f t="shared" si="62"/>
        <v>0</v>
      </c>
    </row>
    <row r="1136" spans="1:17">
      <c r="A1136"/>
      <c r="B1136" s="34"/>
      <c r="C1136" s="34"/>
      <c r="D1136" s="355"/>
      <c r="E1136"/>
      <c r="F1136" s="57"/>
      <c r="G1136" s="57"/>
      <c r="H1136" s="1082">
        <f t="shared" si="63"/>
        <v>0</v>
      </c>
      <c r="I1136" s="1333"/>
      <c r="J1136" s="1334" t="e">
        <f>VLOOKUP(C1136,Acc_Char!B:K,3,)</f>
        <v>#N/A</v>
      </c>
      <c r="K1136" s="1334" t="e">
        <f>VLOOKUP(C1136,Acc_Char!B:K,7,)</f>
        <v>#N/A</v>
      </c>
      <c r="L1136" s="1334">
        <f t="shared" si="61"/>
        <v>0</v>
      </c>
      <c r="M1136" s="1335" t="e">
        <f>VLOOKUP(C1136,Acc_Char!B:K,5,)</f>
        <v>#N/A</v>
      </c>
      <c r="N1136" s="1335" t="e">
        <f>VLOOKUP(C1136,Acc_Char!B:K,6,)</f>
        <v>#N/A</v>
      </c>
      <c r="O1136" s="1336" t="str">
        <f>Summary!$B$4</f>
        <v>W1-2Jan26</v>
      </c>
      <c r="P1136" s="1334" t="str">
        <f t="shared" si="62"/>
        <v>0</v>
      </c>
      <c r="Q1136" s="1024"/>
    </row>
    <row r="1137" spans="1:16">
      <c r="A1137"/>
      <c r="B1137" s="34"/>
      <c r="C1137" s="34"/>
      <c r="D1137" s="355"/>
      <c r="E1137"/>
      <c r="F1137" s="57"/>
      <c r="G1137" s="57"/>
      <c r="H1137" s="1082">
        <f t="shared" si="63"/>
        <v>0</v>
      </c>
      <c r="I1137" s="1333"/>
      <c r="J1137" s="1334" t="e">
        <f>VLOOKUP(C1137,Acc_Char!B:K,3,)</f>
        <v>#N/A</v>
      </c>
      <c r="K1137" s="1334" t="e">
        <f>VLOOKUP(C1137,Acc_Char!B:K,7,)</f>
        <v>#N/A</v>
      </c>
      <c r="L1137" s="1334">
        <f t="shared" si="61"/>
        <v>0</v>
      </c>
      <c r="M1137" s="1335" t="e">
        <f>VLOOKUP(C1137,Acc_Char!B:K,5,)</f>
        <v>#N/A</v>
      </c>
      <c r="N1137" s="1335" t="e">
        <f>VLOOKUP(C1137,Acc_Char!B:K,6,)</f>
        <v>#N/A</v>
      </c>
      <c r="O1137" s="1336" t="str">
        <f>Summary!$B$4</f>
        <v>W1-2Jan26</v>
      </c>
      <c r="P1137" s="1334" t="str">
        <f t="shared" si="62"/>
        <v>0</v>
      </c>
    </row>
    <row r="1138" spans="1:16">
      <c r="A1138"/>
      <c r="B1138" s="34"/>
      <c r="C1138" s="34"/>
      <c r="D1138" s="355"/>
      <c r="E1138"/>
      <c r="F1138" s="57"/>
      <c r="G1138" s="57"/>
      <c r="H1138" s="1082">
        <f t="shared" si="63"/>
        <v>0</v>
      </c>
      <c r="J1138" s="1334" t="e">
        <f>VLOOKUP(C1138,Acc_Char!B:K,3,)</f>
        <v>#N/A</v>
      </c>
      <c r="K1138" s="1334" t="e">
        <f>VLOOKUP(C1138,Acc_Char!B:K,7,)</f>
        <v>#N/A</v>
      </c>
      <c r="L1138" s="1334">
        <f t="shared" si="61"/>
        <v>0</v>
      </c>
      <c r="M1138" s="1335" t="e">
        <f>VLOOKUP(C1138,Acc_Char!B:K,5,)</f>
        <v>#N/A</v>
      </c>
      <c r="N1138" s="1335" t="e">
        <f>VLOOKUP(C1138,Acc_Char!B:K,6,)</f>
        <v>#N/A</v>
      </c>
      <c r="O1138" s="1336" t="str">
        <f>Summary!$B$4</f>
        <v>W1-2Jan26</v>
      </c>
      <c r="P1138" s="1334" t="str">
        <f t="shared" si="62"/>
        <v>0</v>
      </c>
    </row>
    <row r="1139" spans="1:16">
      <c r="A1139"/>
      <c r="B1139" s="34"/>
      <c r="C1139" s="34"/>
      <c r="D1139" s="355"/>
      <c r="E1139"/>
      <c r="F1139" s="57"/>
      <c r="G1139" s="57"/>
      <c r="H1139" s="1082">
        <f t="shared" si="63"/>
        <v>0</v>
      </c>
      <c r="I1139" s="1333"/>
      <c r="J1139" s="1334" t="e">
        <f>VLOOKUP(C1139,Acc_Char!B:K,3,)</f>
        <v>#N/A</v>
      </c>
      <c r="K1139" s="1334" t="e">
        <f>VLOOKUP(C1139,Acc_Char!B:K,7,)</f>
        <v>#N/A</v>
      </c>
      <c r="L1139" s="1334">
        <f t="shared" si="61"/>
        <v>0</v>
      </c>
      <c r="M1139" s="1335" t="e">
        <f>VLOOKUP(C1139,Acc_Char!B:K,5,)</f>
        <v>#N/A</v>
      </c>
      <c r="N1139" s="1335" t="e">
        <f>VLOOKUP(C1139,Acc_Char!B:K,6,)</f>
        <v>#N/A</v>
      </c>
      <c r="O1139" s="1336" t="str">
        <f>Summary!$B$4</f>
        <v>W1-2Jan26</v>
      </c>
      <c r="P1139" s="1334" t="str">
        <f t="shared" si="62"/>
        <v>0</v>
      </c>
    </row>
    <row r="1140" spans="1:16">
      <c r="A1140"/>
      <c r="B1140" s="34"/>
      <c r="C1140" s="34"/>
      <c r="D1140" s="355"/>
      <c r="E1140"/>
      <c r="F1140" s="57"/>
      <c r="G1140" s="57"/>
      <c r="H1140" s="1082">
        <f t="shared" si="63"/>
        <v>0</v>
      </c>
      <c r="I1140" s="1333"/>
      <c r="J1140" s="1334" t="e">
        <f>VLOOKUP(C1140,Acc_Char!B:K,3,)</f>
        <v>#N/A</v>
      </c>
      <c r="K1140" s="1334" t="e">
        <f>VLOOKUP(C1140,Acc_Char!B:K,7,)</f>
        <v>#N/A</v>
      </c>
      <c r="L1140" s="1334">
        <f t="shared" si="61"/>
        <v>0</v>
      </c>
      <c r="M1140" s="1335" t="e">
        <f>VLOOKUP(C1140,Acc_Char!B:K,5,)</f>
        <v>#N/A</v>
      </c>
      <c r="N1140" s="1335" t="e">
        <f>VLOOKUP(C1140,Acc_Char!B:K,6,)</f>
        <v>#N/A</v>
      </c>
      <c r="O1140" s="1336" t="str">
        <f>Summary!$B$4</f>
        <v>W1-2Jan26</v>
      </c>
      <c r="P1140" s="1334" t="str">
        <f t="shared" si="62"/>
        <v>0</v>
      </c>
    </row>
    <row r="1141" spans="1:16">
      <c r="A1141"/>
      <c r="B1141" s="34"/>
      <c r="C1141" s="34"/>
      <c r="D1141" s="355"/>
      <c r="E1141"/>
      <c r="F1141" s="57"/>
      <c r="G1141" s="57"/>
      <c r="H1141" s="1082">
        <f t="shared" si="63"/>
        <v>0</v>
      </c>
      <c r="I1141" s="1333"/>
      <c r="J1141" s="1334" t="e">
        <f>VLOOKUP(C1141,Acc_Char!B:K,3,)</f>
        <v>#N/A</v>
      </c>
      <c r="K1141" s="1334" t="e">
        <f>VLOOKUP(C1141,Acc_Char!B:K,7,)</f>
        <v>#N/A</v>
      </c>
      <c r="L1141" s="1334">
        <f t="shared" si="61"/>
        <v>0</v>
      </c>
      <c r="M1141" s="1335" t="e">
        <f>VLOOKUP(C1141,Acc_Char!B:K,5,)</f>
        <v>#N/A</v>
      </c>
      <c r="N1141" s="1335" t="e">
        <f>VLOOKUP(C1141,Acc_Char!B:K,6,)</f>
        <v>#N/A</v>
      </c>
      <c r="O1141" s="1336" t="str">
        <f>Summary!$B$4</f>
        <v>W1-2Jan26</v>
      </c>
      <c r="P1141" s="1334" t="str">
        <f t="shared" si="62"/>
        <v>0</v>
      </c>
    </row>
    <row r="1142" spans="1:16">
      <c r="A1142"/>
      <c r="B1142" s="34"/>
      <c r="C1142" s="34"/>
      <c r="D1142" s="355"/>
      <c r="E1142"/>
      <c r="F1142" s="57"/>
      <c r="G1142" s="57"/>
      <c r="H1142" s="1082">
        <f t="shared" si="63"/>
        <v>0</v>
      </c>
      <c r="I1142" s="1333"/>
      <c r="J1142" s="1334" t="e">
        <f>VLOOKUP(C1142,Acc_Char!B:K,3,)</f>
        <v>#N/A</v>
      </c>
      <c r="K1142" s="1334" t="e">
        <f>VLOOKUP(C1142,Acc_Char!B:K,7,)</f>
        <v>#N/A</v>
      </c>
      <c r="L1142" s="1334">
        <f t="shared" si="61"/>
        <v>0</v>
      </c>
      <c r="M1142" s="1335" t="e">
        <f>VLOOKUP(C1142,Acc_Char!B:K,5,)</f>
        <v>#N/A</v>
      </c>
      <c r="N1142" s="1335" t="e">
        <f>VLOOKUP(C1142,Acc_Char!B:K,6,)</f>
        <v>#N/A</v>
      </c>
      <c r="O1142" s="1336" t="str">
        <f>Summary!$B$4</f>
        <v>W1-2Jan26</v>
      </c>
      <c r="P1142" s="1334" t="str">
        <f t="shared" si="62"/>
        <v>0</v>
      </c>
    </row>
    <row r="1143" spans="1:16">
      <c r="A1143"/>
      <c r="B1143" s="34"/>
      <c r="C1143" s="34"/>
      <c r="D1143" s="355"/>
      <c r="E1143"/>
      <c r="F1143" s="57"/>
      <c r="G1143" s="57"/>
      <c r="H1143" s="1082">
        <f t="shared" si="63"/>
        <v>0</v>
      </c>
      <c r="I1143" s="1333"/>
      <c r="J1143" s="1334" t="e">
        <f>VLOOKUP(C1143,Acc_Char!B:K,3,)</f>
        <v>#N/A</v>
      </c>
      <c r="K1143" s="1334" t="e">
        <f>VLOOKUP(C1143,Acc_Char!B:K,7,)</f>
        <v>#N/A</v>
      </c>
      <c r="L1143" s="1334">
        <f t="shared" si="61"/>
        <v>0</v>
      </c>
      <c r="M1143" s="1335" t="e">
        <f>VLOOKUP(C1143,Acc_Char!B:K,5,)</f>
        <v>#N/A</v>
      </c>
      <c r="N1143" s="1335" t="e">
        <f>VLOOKUP(C1143,Acc_Char!B:K,6,)</f>
        <v>#N/A</v>
      </c>
      <c r="O1143" s="1336" t="str">
        <f>Summary!$B$4</f>
        <v>W1-2Jan26</v>
      </c>
      <c r="P1143" s="1334" t="str">
        <f t="shared" si="62"/>
        <v>0</v>
      </c>
    </row>
    <row r="1144" spans="1:16">
      <c r="A1144"/>
      <c r="B1144" s="34"/>
      <c r="C1144" s="34"/>
      <c r="D1144" s="355"/>
      <c r="E1144"/>
      <c r="F1144" s="57"/>
      <c r="G1144" s="57"/>
      <c r="H1144" s="1082">
        <f t="shared" si="63"/>
        <v>0</v>
      </c>
      <c r="I1144" s="1333"/>
      <c r="J1144" s="1334" t="e">
        <f>VLOOKUP(C1144,Acc_Char!B:K,3,)</f>
        <v>#N/A</v>
      </c>
      <c r="K1144" s="1334" t="e">
        <f>VLOOKUP(C1144,Acc_Char!B:K,7,)</f>
        <v>#N/A</v>
      </c>
      <c r="L1144" s="1334">
        <f t="shared" si="61"/>
        <v>0</v>
      </c>
      <c r="M1144" s="1335" t="e">
        <f>VLOOKUP(C1144,Acc_Char!B:K,5,)</f>
        <v>#N/A</v>
      </c>
      <c r="N1144" s="1335" t="e">
        <f>VLOOKUP(C1144,Acc_Char!B:K,6,)</f>
        <v>#N/A</v>
      </c>
      <c r="O1144" s="1336" t="str">
        <f>Summary!$B$4</f>
        <v>W1-2Jan26</v>
      </c>
      <c r="P1144" s="1334" t="str">
        <f t="shared" si="62"/>
        <v>0</v>
      </c>
    </row>
    <row r="1145" spans="1:16">
      <c r="A1145"/>
      <c r="B1145" s="34"/>
      <c r="C1145" s="34"/>
      <c r="D1145" s="355"/>
      <c r="E1145"/>
      <c r="F1145" s="57"/>
      <c r="G1145" s="57"/>
      <c r="H1145" s="1082">
        <f t="shared" si="63"/>
        <v>0</v>
      </c>
      <c r="I1145" s="1333"/>
      <c r="J1145" s="1334" t="e">
        <f>VLOOKUP(C1145,Acc_Char!B:K,3,)</f>
        <v>#N/A</v>
      </c>
      <c r="K1145" s="1334" t="e">
        <f>VLOOKUP(C1145,Acc_Char!B:K,7,)</f>
        <v>#N/A</v>
      </c>
      <c r="L1145" s="1334">
        <f t="shared" si="61"/>
        <v>0</v>
      </c>
      <c r="M1145" s="1335" t="e">
        <f>VLOOKUP(C1145,Acc_Char!B:K,5,)</f>
        <v>#N/A</v>
      </c>
      <c r="N1145" s="1335" t="e">
        <f>VLOOKUP(C1145,Acc_Char!B:K,6,)</f>
        <v>#N/A</v>
      </c>
      <c r="O1145" s="1336" t="str">
        <f>Summary!$B$4</f>
        <v>W1-2Jan26</v>
      </c>
      <c r="P1145" s="1334" t="str">
        <f t="shared" si="62"/>
        <v>0</v>
      </c>
    </row>
    <row r="1146" spans="1:16">
      <c r="A1146"/>
      <c r="B1146" s="34"/>
      <c r="C1146" s="34"/>
      <c r="D1146" s="355"/>
      <c r="E1146"/>
      <c r="F1146" s="57"/>
      <c r="G1146" s="57"/>
      <c r="H1146" s="1082">
        <f t="shared" si="63"/>
        <v>0</v>
      </c>
      <c r="J1146" s="1334" t="e">
        <f>VLOOKUP(C1146,Acc_Char!B:K,3,)</f>
        <v>#N/A</v>
      </c>
      <c r="K1146" s="1334" t="e">
        <f>VLOOKUP(C1146,Acc_Char!B:K,7,)</f>
        <v>#N/A</v>
      </c>
      <c r="L1146" s="1334">
        <f t="shared" si="61"/>
        <v>0</v>
      </c>
      <c r="M1146" s="1335" t="e">
        <f>VLOOKUP(C1146,Acc_Char!B:K,5,)</f>
        <v>#N/A</v>
      </c>
      <c r="N1146" s="1335" t="e">
        <f>VLOOKUP(C1146,Acc_Char!B:K,6,)</f>
        <v>#N/A</v>
      </c>
      <c r="O1146" s="1336" t="str">
        <f>Summary!$B$4</f>
        <v>W1-2Jan26</v>
      </c>
      <c r="P1146" s="1334" t="str">
        <f t="shared" si="62"/>
        <v>0</v>
      </c>
    </row>
    <row r="1147" spans="1:16">
      <c r="A1147"/>
      <c r="B1147" s="34"/>
      <c r="C1147" s="34"/>
      <c r="D1147" s="355"/>
      <c r="E1147"/>
      <c r="F1147" s="57"/>
      <c r="G1147" s="57"/>
      <c r="H1147" s="1082">
        <f t="shared" si="63"/>
        <v>0</v>
      </c>
      <c r="I1147" s="1333"/>
      <c r="J1147" s="1334" t="e">
        <f>VLOOKUP(C1147,Acc_Char!B:K,3,)</f>
        <v>#N/A</v>
      </c>
      <c r="K1147" s="1334" t="e">
        <f>VLOOKUP(C1147,Acc_Char!B:K,7,)</f>
        <v>#N/A</v>
      </c>
      <c r="L1147" s="1334">
        <f t="shared" si="61"/>
        <v>0</v>
      </c>
      <c r="M1147" s="1335" t="e">
        <f>VLOOKUP(C1147,Acc_Char!B:K,5,)</f>
        <v>#N/A</v>
      </c>
      <c r="N1147" s="1335" t="e">
        <f>VLOOKUP(C1147,Acc_Char!B:K,6,)</f>
        <v>#N/A</v>
      </c>
      <c r="O1147" s="1336" t="str">
        <f>Summary!$B$4</f>
        <v>W1-2Jan26</v>
      </c>
      <c r="P1147" s="1334" t="str">
        <f t="shared" si="62"/>
        <v>0</v>
      </c>
    </row>
    <row r="1148" spans="1:16">
      <c r="A1148"/>
      <c r="B1148" s="34"/>
      <c r="C1148" s="34"/>
      <c r="D1148" s="355"/>
      <c r="E1148"/>
      <c r="F1148" s="57"/>
      <c r="G1148" s="57"/>
      <c r="H1148" s="1082">
        <f t="shared" si="63"/>
        <v>0</v>
      </c>
      <c r="I1148"/>
      <c r="J1148" s="1334" t="e">
        <f>VLOOKUP(C1148,Acc_Char!B:K,3,)</f>
        <v>#N/A</v>
      </c>
      <c r="K1148" s="1334" t="e">
        <f>VLOOKUP(C1148,Acc_Char!B:K,7,)</f>
        <v>#N/A</v>
      </c>
      <c r="L1148" s="1334">
        <f t="shared" si="61"/>
        <v>0</v>
      </c>
      <c r="M1148" s="1335" t="e">
        <f>VLOOKUP(C1148,Acc_Char!B:K,5,)</f>
        <v>#N/A</v>
      </c>
      <c r="N1148" s="1335" t="e">
        <f>VLOOKUP(C1148,Acc_Char!B:K,6,)</f>
        <v>#N/A</v>
      </c>
      <c r="O1148" s="1336" t="str">
        <f>Summary!$B$4</f>
        <v>W1-2Jan26</v>
      </c>
      <c r="P1148" s="1334" t="str">
        <f t="shared" si="62"/>
        <v>0</v>
      </c>
    </row>
    <row r="1149" spans="1:16">
      <c r="A1149"/>
      <c r="B1149" s="34"/>
      <c r="C1149" s="34"/>
      <c r="D1149" s="355"/>
      <c r="E1149"/>
      <c r="F1149" s="57"/>
      <c r="G1149" s="57"/>
      <c r="H1149" s="1082">
        <f t="shared" si="63"/>
        <v>0</v>
      </c>
      <c r="I1149" s="1333"/>
      <c r="J1149" s="1334" t="e">
        <f>VLOOKUP(C1149,Acc_Char!B:K,3,)</f>
        <v>#N/A</v>
      </c>
      <c r="K1149" s="1334" t="e">
        <f>VLOOKUP(C1149,Acc_Char!B:K,7,)</f>
        <v>#N/A</v>
      </c>
      <c r="L1149" s="1334">
        <f t="shared" si="61"/>
        <v>0</v>
      </c>
      <c r="M1149" s="1335" t="e">
        <f>VLOOKUP(C1149,Acc_Char!B:K,5,)</f>
        <v>#N/A</v>
      </c>
      <c r="N1149" s="1335" t="e">
        <f>VLOOKUP(C1149,Acc_Char!B:K,6,)</f>
        <v>#N/A</v>
      </c>
      <c r="O1149" s="1336" t="str">
        <f>Summary!$B$4</f>
        <v>W1-2Jan26</v>
      </c>
      <c r="P1149" s="1334" t="str">
        <f t="shared" si="62"/>
        <v>0</v>
      </c>
    </row>
    <row r="1150" spans="1:16">
      <c r="A1150"/>
      <c r="B1150" s="34"/>
      <c r="C1150" s="34"/>
      <c r="D1150" s="355"/>
      <c r="E1150"/>
      <c r="F1150" s="57"/>
      <c r="G1150" s="57"/>
      <c r="H1150" s="1082">
        <f t="shared" si="63"/>
        <v>0</v>
      </c>
      <c r="I1150" s="1333"/>
      <c r="J1150" s="1334" t="e">
        <f>VLOOKUP(C1150,Acc_Char!B:K,3,)</f>
        <v>#N/A</v>
      </c>
      <c r="K1150" s="1334" t="e">
        <f>VLOOKUP(C1150,Acc_Char!B:K,7,)</f>
        <v>#N/A</v>
      </c>
      <c r="L1150" s="1334">
        <f t="shared" si="61"/>
        <v>0</v>
      </c>
      <c r="M1150" s="1335" t="e">
        <f>VLOOKUP(C1150,Acc_Char!B:K,5,)</f>
        <v>#N/A</v>
      </c>
      <c r="N1150" s="1335" t="e">
        <f>VLOOKUP(C1150,Acc_Char!B:K,6,)</f>
        <v>#N/A</v>
      </c>
      <c r="O1150" s="1336" t="str">
        <f>Summary!$B$4</f>
        <v>W1-2Jan26</v>
      </c>
      <c r="P1150" s="1334" t="str">
        <f t="shared" si="62"/>
        <v>0</v>
      </c>
    </row>
    <row r="1151" spans="1:16">
      <c r="A1151"/>
      <c r="B1151" s="34"/>
      <c r="C1151" s="34"/>
      <c r="D1151" s="355"/>
      <c r="E1151"/>
      <c r="F1151" s="57"/>
      <c r="G1151" s="57"/>
      <c r="H1151" s="1082">
        <f t="shared" si="63"/>
        <v>0</v>
      </c>
      <c r="I1151" s="1333"/>
      <c r="J1151" s="1334" t="e">
        <f>VLOOKUP(C1151,Acc_Char!B:K,3,)</f>
        <v>#N/A</v>
      </c>
      <c r="K1151" s="1334" t="e">
        <f>VLOOKUP(C1151,Acc_Char!B:K,7,)</f>
        <v>#N/A</v>
      </c>
      <c r="L1151" s="1334">
        <f t="shared" si="61"/>
        <v>0</v>
      </c>
      <c r="M1151" s="1335" t="e">
        <f>VLOOKUP(C1151,Acc_Char!B:K,5,)</f>
        <v>#N/A</v>
      </c>
      <c r="N1151" s="1335" t="e">
        <f>VLOOKUP(C1151,Acc_Char!B:K,6,)</f>
        <v>#N/A</v>
      </c>
      <c r="O1151" s="1336" t="str">
        <f>Summary!$B$4</f>
        <v>W1-2Jan26</v>
      </c>
      <c r="P1151" s="1334" t="str">
        <f t="shared" si="62"/>
        <v>0</v>
      </c>
    </row>
    <row r="1152" spans="1:16">
      <c r="A1152"/>
      <c r="B1152" s="34"/>
      <c r="C1152" s="34"/>
      <c r="D1152" s="355"/>
      <c r="E1152"/>
      <c r="F1152" s="57"/>
      <c r="G1152" s="57"/>
      <c r="H1152" s="1082">
        <f t="shared" si="63"/>
        <v>0</v>
      </c>
      <c r="I1152" s="1333"/>
      <c r="J1152" s="1334" t="e">
        <f>VLOOKUP(C1152,Acc_Char!B:K,3,)</f>
        <v>#N/A</v>
      </c>
      <c r="K1152" s="1334" t="e">
        <f>VLOOKUP(C1152,Acc_Char!B:K,7,)</f>
        <v>#N/A</v>
      </c>
      <c r="L1152" s="1334">
        <f t="shared" si="61"/>
        <v>0</v>
      </c>
      <c r="M1152" s="1335" t="e">
        <f>VLOOKUP(C1152,Acc_Char!B:K,5,)</f>
        <v>#N/A</v>
      </c>
      <c r="N1152" s="1335" t="e">
        <f>VLOOKUP(C1152,Acc_Char!B:K,6,)</f>
        <v>#N/A</v>
      </c>
      <c r="O1152" s="1336" t="str">
        <f>Summary!$B$4</f>
        <v>W1-2Jan26</v>
      </c>
      <c r="P1152" s="1334" t="str">
        <f t="shared" si="62"/>
        <v>0</v>
      </c>
    </row>
    <row r="1153" spans="1:16">
      <c r="A1153"/>
      <c r="B1153" s="34"/>
      <c r="C1153" s="34"/>
      <c r="D1153" s="355"/>
      <c r="E1153"/>
      <c r="F1153" s="57"/>
      <c r="G1153" s="57"/>
      <c r="H1153" s="1082">
        <f t="shared" si="63"/>
        <v>0</v>
      </c>
      <c r="I1153" s="1333"/>
      <c r="J1153" s="1334" t="e">
        <f>VLOOKUP(C1153,Acc_Char!B:K,3,)</f>
        <v>#N/A</v>
      </c>
      <c r="K1153" s="1334" t="e">
        <f>VLOOKUP(C1153,Acc_Char!B:K,7,)</f>
        <v>#N/A</v>
      </c>
      <c r="L1153" s="1334">
        <f t="shared" si="61"/>
        <v>0</v>
      </c>
      <c r="M1153" s="1335" t="e">
        <f>VLOOKUP(C1153,Acc_Char!B:K,5,)</f>
        <v>#N/A</v>
      </c>
      <c r="N1153" s="1335" t="e">
        <f>VLOOKUP(C1153,Acc_Char!B:K,6,)</f>
        <v>#N/A</v>
      </c>
      <c r="O1153" s="1336" t="str">
        <f>Summary!$B$4</f>
        <v>W1-2Jan26</v>
      </c>
      <c r="P1153" s="1334" t="str">
        <f t="shared" si="62"/>
        <v>0</v>
      </c>
    </row>
    <row r="1154" spans="1:16">
      <c r="A1154"/>
      <c r="B1154" s="34"/>
      <c r="C1154" s="34"/>
      <c r="D1154" s="355"/>
      <c r="E1154"/>
      <c r="F1154" s="57"/>
      <c r="G1154" s="57"/>
      <c r="H1154" s="1082">
        <f t="shared" si="63"/>
        <v>0</v>
      </c>
      <c r="I1154" s="1333"/>
      <c r="J1154" s="1334" t="e">
        <f>VLOOKUP(C1154,Acc_Char!B:K,3,)</f>
        <v>#N/A</v>
      </c>
      <c r="K1154" s="1334" t="e">
        <f>VLOOKUP(C1154,Acc_Char!B:K,7,)</f>
        <v>#N/A</v>
      </c>
      <c r="L1154" s="1334">
        <f t="shared" si="61"/>
        <v>0</v>
      </c>
      <c r="M1154" s="1335" t="e">
        <f>VLOOKUP(C1154,Acc_Char!B:K,5,)</f>
        <v>#N/A</v>
      </c>
      <c r="N1154" s="1335" t="e">
        <f>VLOOKUP(C1154,Acc_Char!B:K,6,)</f>
        <v>#N/A</v>
      </c>
      <c r="O1154" s="1336" t="str">
        <f>Summary!$B$4</f>
        <v>W1-2Jan26</v>
      </c>
      <c r="P1154" s="1334" t="str">
        <f t="shared" si="62"/>
        <v>0</v>
      </c>
    </row>
    <row r="1155" spans="1:16">
      <c r="A1155"/>
      <c r="B1155" s="34"/>
      <c r="C1155" s="34"/>
      <c r="D1155" s="355"/>
      <c r="E1155"/>
      <c r="F1155" s="57"/>
      <c r="G1155" s="57"/>
      <c r="H1155" s="1082">
        <f t="shared" si="63"/>
        <v>0</v>
      </c>
      <c r="I1155" s="103"/>
      <c r="J1155" s="1334" t="e">
        <f>VLOOKUP(C1155,Acc_Char!B:K,3,)</f>
        <v>#N/A</v>
      </c>
      <c r="K1155" s="1334" t="e">
        <f>VLOOKUP(C1155,Acc_Char!B:K,7,)</f>
        <v>#N/A</v>
      </c>
      <c r="L1155" s="1334">
        <f t="shared" si="61"/>
        <v>0</v>
      </c>
      <c r="M1155" s="1335" t="e">
        <f>VLOOKUP(C1155,Acc_Char!B:K,5,)</f>
        <v>#N/A</v>
      </c>
      <c r="N1155" s="1335" t="e">
        <f>VLOOKUP(C1155,Acc_Char!B:K,6,)</f>
        <v>#N/A</v>
      </c>
      <c r="O1155" s="1336" t="str">
        <f>Summary!$B$4</f>
        <v>W1-2Jan26</v>
      </c>
      <c r="P1155" s="1334" t="str">
        <f t="shared" si="62"/>
        <v>0</v>
      </c>
    </row>
    <row r="1156" spans="1:16">
      <c r="A1156"/>
      <c r="B1156" s="34"/>
      <c r="C1156" s="34"/>
      <c r="D1156" s="355"/>
      <c r="E1156"/>
      <c r="F1156" s="57"/>
      <c r="G1156" s="57"/>
      <c r="H1156" s="1082">
        <f t="shared" si="63"/>
        <v>0</v>
      </c>
      <c r="I1156"/>
      <c r="J1156" s="1334" t="e">
        <f>VLOOKUP(C1156,Acc_Char!B:K,3,)</f>
        <v>#N/A</v>
      </c>
      <c r="K1156" s="1334" t="e">
        <f>VLOOKUP(C1156,Acc_Char!B:K,7,)</f>
        <v>#N/A</v>
      </c>
      <c r="L1156" s="1334">
        <f t="shared" si="61"/>
        <v>0</v>
      </c>
      <c r="M1156" s="1335" t="e">
        <f>VLOOKUP(C1156,Acc_Char!B:K,5,)</f>
        <v>#N/A</v>
      </c>
      <c r="N1156" s="1335" t="e">
        <f>VLOOKUP(C1156,Acc_Char!B:K,6,)</f>
        <v>#N/A</v>
      </c>
      <c r="O1156" s="1336" t="str">
        <f>Summary!$B$4</f>
        <v>W1-2Jan26</v>
      </c>
      <c r="P1156" s="1334" t="str">
        <f t="shared" si="62"/>
        <v>0</v>
      </c>
    </row>
    <row r="1157" spans="1:16">
      <c r="A1157"/>
      <c r="B1157" s="34"/>
      <c r="C1157" s="34"/>
      <c r="D1157" s="355"/>
      <c r="E1157"/>
      <c r="F1157" s="57"/>
      <c r="G1157" s="57"/>
      <c r="H1157" s="1082">
        <f t="shared" si="63"/>
        <v>0</v>
      </c>
      <c r="I1157" s="103"/>
      <c r="J1157" s="1334" t="e">
        <f>VLOOKUP(C1157,Acc_Char!B:K,3,)</f>
        <v>#N/A</v>
      </c>
      <c r="K1157" s="1334" t="e">
        <f>VLOOKUP(C1157,Acc_Char!B:K,7,)</f>
        <v>#N/A</v>
      </c>
      <c r="L1157" s="1334">
        <f t="shared" ref="L1157:L1220" si="64">I1157</f>
        <v>0</v>
      </c>
      <c r="M1157" s="1335" t="e">
        <f>VLOOKUP(C1157,Acc_Char!B:K,5,)</f>
        <v>#N/A</v>
      </c>
      <c r="N1157" s="1335" t="e">
        <f>VLOOKUP(C1157,Acc_Char!B:K,6,)</f>
        <v>#N/A</v>
      </c>
      <c r="O1157" s="1336" t="str">
        <f>Summary!$B$4</f>
        <v>W1-2Jan26</v>
      </c>
      <c r="P1157" s="1334" t="str">
        <f t="shared" ref="P1157:P1220" si="65">TEXT(C1157,"0")</f>
        <v>0</v>
      </c>
    </row>
    <row r="1158" spans="1:16">
      <c r="A1158"/>
      <c r="B1158" s="34"/>
      <c r="C1158" s="34"/>
      <c r="D1158" s="355"/>
      <c r="E1158"/>
      <c r="F1158" s="57"/>
      <c r="G1158" s="57"/>
      <c r="H1158" s="1082">
        <f t="shared" si="63"/>
        <v>0</v>
      </c>
      <c r="I1158" s="103"/>
      <c r="J1158" s="1334" t="e">
        <f>VLOOKUP(C1158,Acc_Char!B:K,3,)</f>
        <v>#N/A</v>
      </c>
      <c r="K1158" s="1334" t="e">
        <f>VLOOKUP(C1158,Acc_Char!B:K,7,)</f>
        <v>#N/A</v>
      </c>
      <c r="L1158" s="1334">
        <f t="shared" si="64"/>
        <v>0</v>
      </c>
      <c r="M1158" s="1335" t="e">
        <f>VLOOKUP(C1158,Acc_Char!B:K,5,)</f>
        <v>#N/A</v>
      </c>
      <c r="N1158" s="1335" t="e">
        <f>VLOOKUP(C1158,Acc_Char!B:K,6,)</f>
        <v>#N/A</v>
      </c>
      <c r="O1158" s="1336" t="str">
        <f>Summary!$B$4</f>
        <v>W1-2Jan26</v>
      </c>
      <c r="P1158" s="1334" t="str">
        <f t="shared" si="65"/>
        <v>0</v>
      </c>
    </row>
    <row r="1159" spans="1:16">
      <c r="A1159"/>
      <c r="B1159" s="34"/>
      <c r="C1159" s="34"/>
      <c r="D1159" s="355"/>
      <c r="E1159"/>
      <c r="F1159" s="57"/>
      <c r="G1159" s="57"/>
      <c r="H1159" s="1082">
        <f t="shared" si="63"/>
        <v>0</v>
      </c>
      <c r="I1159" s="103"/>
      <c r="J1159" s="1334" t="e">
        <f>VLOOKUP(C1159,Acc_Char!B:K,3,)</f>
        <v>#N/A</v>
      </c>
      <c r="K1159" s="1334" t="e">
        <f>VLOOKUP(C1159,Acc_Char!B:K,7,)</f>
        <v>#N/A</v>
      </c>
      <c r="L1159" s="1334">
        <f t="shared" si="64"/>
        <v>0</v>
      </c>
      <c r="M1159" s="1335" t="e">
        <f>VLOOKUP(C1159,Acc_Char!B:K,5,)</f>
        <v>#N/A</v>
      </c>
      <c r="N1159" s="1335" t="e">
        <f>VLOOKUP(C1159,Acc_Char!B:K,6,)</f>
        <v>#N/A</v>
      </c>
      <c r="O1159" s="1336" t="str">
        <f>Summary!$B$4</f>
        <v>W1-2Jan26</v>
      </c>
      <c r="P1159" s="1334" t="str">
        <f t="shared" si="65"/>
        <v>0</v>
      </c>
    </row>
    <row r="1160" spans="1:16">
      <c r="A1160"/>
      <c r="B1160" s="34"/>
      <c r="C1160" s="34"/>
      <c r="D1160" s="355"/>
      <c r="E1160"/>
      <c r="F1160" s="57"/>
      <c r="G1160" s="57"/>
      <c r="H1160" s="1082">
        <f t="shared" si="63"/>
        <v>0</v>
      </c>
      <c r="I1160" s="103"/>
      <c r="J1160" s="1334" t="e">
        <f>VLOOKUP(C1160,Acc_Char!B:K,3,)</f>
        <v>#N/A</v>
      </c>
      <c r="K1160" s="1334" t="e">
        <f>VLOOKUP(C1160,Acc_Char!B:K,7,)</f>
        <v>#N/A</v>
      </c>
      <c r="L1160" s="1334">
        <f t="shared" si="64"/>
        <v>0</v>
      </c>
      <c r="M1160" s="1335" t="e">
        <f>VLOOKUP(C1160,Acc_Char!B:K,5,)</f>
        <v>#N/A</v>
      </c>
      <c r="N1160" s="1335" t="e">
        <f>VLOOKUP(C1160,Acc_Char!B:K,6,)</f>
        <v>#N/A</v>
      </c>
      <c r="O1160" s="1336" t="str">
        <f>Summary!$B$4</f>
        <v>W1-2Jan26</v>
      </c>
      <c r="P1160" s="1334" t="str">
        <f t="shared" si="65"/>
        <v>0</v>
      </c>
    </row>
    <row r="1161" spans="1:16">
      <c r="A1161"/>
      <c r="B1161" s="34"/>
      <c r="C1161" s="34"/>
      <c r="D1161" s="355"/>
      <c r="E1161"/>
      <c r="F1161" s="57"/>
      <c r="G1161" s="57"/>
      <c r="H1161" s="1082">
        <f t="shared" si="63"/>
        <v>0</v>
      </c>
      <c r="I1161" s="103"/>
      <c r="J1161" s="1334" t="e">
        <f>VLOOKUP(C1161,Acc_Char!B:K,3,)</f>
        <v>#N/A</v>
      </c>
      <c r="K1161" s="1334" t="e">
        <f>VLOOKUP(C1161,Acc_Char!B:K,7,)</f>
        <v>#N/A</v>
      </c>
      <c r="L1161" s="1334">
        <f t="shared" si="64"/>
        <v>0</v>
      </c>
      <c r="M1161" s="1335" t="e">
        <f>VLOOKUP(C1161,Acc_Char!B:K,5,)</f>
        <v>#N/A</v>
      </c>
      <c r="N1161" s="1335" t="e">
        <f>VLOOKUP(C1161,Acc_Char!B:K,6,)</f>
        <v>#N/A</v>
      </c>
      <c r="O1161" s="1336" t="str">
        <f>Summary!$B$4</f>
        <v>W1-2Jan26</v>
      </c>
      <c r="P1161" s="1334" t="str">
        <f t="shared" si="65"/>
        <v>0</v>
      </c>
    </row>
    <row r="1162" spans="1:16">
      <c r="A1162"/>
      <c r="B1162" s="34"/>
      <c r="C1162" s="34"/>
      <c r="D1162" s="355"/>
      <c r="E1162"/>
      <c r="F1162" s="57"/>
      <c r="G1162" s="57"/>
      <c r="H1162" s="1082">
        <f t="shared" si="63"/>
        <v>0</v>
      </c>
      <c r="I1162" s="103"/>
      <c r="J1162" s="1334" t="e">
        <f>VLOOKUP(C1162,Acc_Char!B:K,3,)</f>
        <v>#N/A</v>
      </c>
      <c r="K1162" s="1334" t="e">
        <f>VLOOKUP(C1162,Acc_Char!B:K,7,)</f>
        <v>#N/A</v>
      </c>
      <c r="L1162" s="1334">
        <f t="shared" si="64"/>
        <v>0</v>
      </c>
      <c r="M1162" s="1335" t="e">
        <f>VLOOKUP(C1162,Acc_Char!B:K,5,)</f>
        <v>#N/A</v>
      </c>
      <c r="N1162" s="1335" t="e">
        <f>VLOOKUP(C1162,Acc_Char!B:K,6,)</f>
        <v>#N/A</v>
      </c>
      <c r="O1162" s="1336" t="str">
        <f>Summary!$B$4</f>
        <v>W1-2Jan26</v>
      </c>
      <c r="P1162" s="1334" t="str">
        <f t="shared" si="65"/>
        <v>0</v>
      </c>
    </row>
    <row r="1163" spans="1:16">
      <c r="A1163"/>
      <c r="B1163" s="34"/>
      <c r="C1163" s="34"/>
      <c r="D1163" s="355"/>
      <c r="E1163"/>
      <c r="F1163" s="57"/>
      <c r="G1163" s="57"/>
      <c r="H1163" s="1082">
        <f t="shared" si="63"/>
        <v>0</v>
      </c>
      <c r="I1163" s="103"/>
      <c r="J1163" s="1334" t="e">
        <f>VLOOKUP(C1163,Acc_Char!B:K,3,)</f>
        <v>#N/A</v>
      </c>
      <c r="K1163" s="1334" t="e">
        <f>VLOOKUP(C1163,Acc_Char!B:K,7,)</f>
        <v>#N/A</v>
      </c>
      <c r="L1163" s="1334">
        <f t="shared" si="64"/>
        <v>0</v>
      </c>
      <c r="M1163" s="1335" t="e">
        <f>VLOOKUP(C1163,Acc_Char!B:K,5,)</f>
        <v>#N/A</v>
      </c>
      <c r="N1163" s="1335" t="e">
        <f>VLOOKUP(C1163,Acc_Char!B:K,6,)</f>
        <v>#N/A</v>
      </c>
      <c r="O1163" s="1336" t="str">
        <f>Summary!$B$4</f>
        <v>W1-2Jan26</v>
      </c>
      <c r="P1163" s="1334" t="str">
        <f t="shared" si="65"/>
        <v>0</v>
      </c>
    </row>
    <row r="1164" spans="1:16">
      <c r="A1164"/>
      <c r="B1164" s="34"/>
      <c r="C1164" s="34"/>
      <c r="D1164" s="355"/>
      <c r="E1164"/>
      <c r="F1164" s="57"/>
      <c r="G1164" s="57"/>
      <c r="H1164" s="1082">
        <f t="shared" si="63"/>
        <v>0</v>
      </c>
      <c r="I1164" s="103"/>
      <c r="J1164" s="1334" t="e">
        <f>VLOOKUP(C1164,Acc_Char!B:K,3,)</f>
        <v>#N/A</v>
      </c>
      <c r="K1164" s="1334" t="e">
        <f>VLOOKUP(C1164,Acc_Char!B:K,7,)</f>
        <v>#N/A</v>
      </c>
      <c r="L1164" s="1334">
        <f t="shared" si="64"/>
        <v>0</v>
      </c>
      <c r="M1164" s="1335" t="e">
        <f>VLOOKUP(C1164,Acc_Char!B:K,5,)</f>
        <v>#N/A</v>
      </c>
      <c r="N1164" s="1335" t="e">
        <f>VLOOKUP(C1164,Acc_Char!B:K,6,)</f>
        <v>#N/A</v>
      </c>
      <c r="O1164" s="1336" t="str">
        <f>Summary!$B$4</f>
        <v>W1-2Jan26</v>
      </c>
      <c r="P1164" s="1334" t="str">
        <f t="shared" si="65"/>
        <v>0</v>
      </c>
    </row>
    <row r="1165" spans="1:16">
      <c r="A1165"/>
      <c r="B1165" s="34"/>
      <c r="C1165" s="34"/>
      <c r="D1165" s="355"/>
      <c r="E1165"/>
      <c r="F1165" s="57"/>
      <c r="G1165" s="57"/>
      <c r="H1165" s="1082">
        <f t="shared" si="63"/>
        <v>0</v>
      </c>
      <c r="I1165" s="103"/>
      <c r="J1165" s="1334" t="e">
        <f>VLOOKUP(C1165,Acc_Char!B:K,3,)</f>
        <v>#N/A</v>
      </c>
      <c r="K1165" s="1334" t="e">
        <f>VLOOKUP(C1165,Acc_Char!B:K,7,)</f>
        <v>#N/A</v>
      </c>
      <c r="L1165" s="1334">
        <f t="shared" si="64"/>
        <v>0</v>
      </c>
      <c r="M1165" s="1335" t="e">
        <f>VLOOKUP(C1165,Acc_Char!B:K,5,)</f>
        <v>#N/A</v>
      </c>
      <c r="N1165" s="1335" t="e">
        <f>VLOOKUP(C1165,Acc_Char!B:K,6,)</f>
        <v>#N/A</v>
      </c>
      <c r="O1165" s="1336" t="str">
        <f>Summary!$B$4</f>
        <v>W1-2Jan26</v>
      </c>
      <c r="P1165" s="1334" t="str">
        <f t="shared" si="65"/>
        <v>0</v>
      </c>
    </row>
    <row r="1166" spans="1:16">
      <c r="A1166"/>
      <c r="B1166" s="34"/>
      <c r="C1166" s="34"/>
      <c r="D1166" s="355"/>
      <c r="E1166"/>
      <c r="F1166" s="57"/>
      <c r="G1166" s="57"/>
      <c r="H1166" s="1082">
        <f t="shared" si="63"/>
        <v>0</v>
      </c>
      <c r="I1166"/>
      <c r="J1166" s="1334" t="e">
        <f>VLOOKUP(C1166,Acc_Char!B:K,3,)</f>
        <v>#N/A</v>
      </c>
      <c r="K1166" s="1334" t="e">
        <f>VLOOKUP(C1166,Acc_Char!B:K,7,)</f>
        <v>#N/A</v>
      </c>
      <c r="L1166" s="1334">
        <f t="shared" si="64"/>
        <v>0</v>
      </c>
      <c r="M1166" s="1335" t="e">
        <f>VLOOKUP(C1166,Acc_Char!B:K,5,)</f>
        <v>#N/A</v>
      </c>
      <c r="N1166" s="1335" t="e">
        <f>VLOOKUP(C1166,Acc_Char!B:K,6,)</f>
        <v>#N/A</v>
      </c>
      <c r="O1166" s="1336" t="str">
        <f>Summary!$B$4</f>
        <v>W1-2Jan26</v>
      </c>
      <c r="P1166" s="1334" t="str">
        <f t="shared" si="65"/>
        <v>0</v>
      </c>
    </row>
    <row r="1167" spans="1:16">
      <c r="A1167"/>
      <c r="B1167" s="34"/>
      <c r="C1167" s="34"/>
      <c r="D1167" s="355"/>
      <c r="E1167"/>
      <c r="F1167" s="57"/>
      <c r="G1167" s="57"/>
      <c r="H1167" s="1082">
        <f t="shared" si="63"/>
        <v>0</v>
      </c>
      <c r="I1167" s="103"/>
      <c r="J1167" s="1334" t="e">
        <f>VLOOKUP(C1167,Acc_Char!B:K,3,)</f>
        <v>#N/A</v>
      </c>
      <c r="K1167" s="1334" t="e">
        <f>VLOOKUP(C1167,Acc_Char!B:K,7,)</f>
        <v>#N/A</v>
      </c>
      <c r="L1167" s="1334">
        <f t="shared" si="64"/>
        <v>0</v>
      </c>
      <c r="M1167" s="1335" t="e">
        <f>VLOOKUP(C1167,Acc_Char!B:K,5,)</f>
        <v>#N/A</v>
      </c>
      <c r="N1167" s="1335" t="e">
        <f>VLOOKUP(C1167,Acc_Char!B:K,6,)</f>
        <v>#N/A</v>
      </c>
      <c r="O1167" s="1336" t="str">
        <f>Summary!$B$4</f>
        <v>W1-2Jan26</v>
      </c>
      <c r="P1167" s="1334" t="str">
        <f t="shared" si="65"/>
        <v>0</v>
      </c>
    </row>
    <row r="1168" spans="1:16">
      <c r="A1168"/>
      <c r="B1168" s="34"/>
      <c r="C1168" s="34"/>
      <c r="D1168" s="355"/>
      <c r="E1168"/>
      <c r="F1168" s="57"/>
      <c r="G1168" s="57"/>
      <c r="H1168" s="1082">
        <f t="shared" si="63"/>
        <v>0</v>
      </c>
      <c r="I1168"/>
      <c r="J1168" s="1334" t="e">
        <f>VLOOKUP(C1168,Acc_Char!B:K,3,)</f>
        <v>#N/A</v>
      </c>
      <c r="K1168" s="1334" t="e">
        <f>VLOOKUP(C1168,Acc_Char!B:K,7,)</f>
        <v>#N/A</v>
      </c>
      <c r="L1168" s="1334">
        <f t="shared" si="64"/>
        <v>0</v>
      </c>
      <c r="M1168" s="1335" t="e">
        <f>VLOOKUP(C1168,Acc_Char!B:K,5,)</f>
        <v>#N/A</v>
      </c>
      <c r="N1168" s="1335" t="e">
        <f>VLOOKUP(C1168,Acc_Char!B:K,6,)</f>
        <v>#N/A</v>
      </c>
      <c r="O1168" s="1336" t="str">
        <f>Summary!$B$4</f>
        <v>W1-2Jan26</v>
      </c>
      <c r="P1168" s="1334" t="str">
        <f t="shared" si="65"/>
        <v>0</v>
      </c>
    </row>
    <row r="1169" spans="1:16">
      <c r="A1169"/>
      <c r="B1169" s="34"/>
      <c r="C1169" s="34"/>
      <c r="D1169" s="355"/>
      <c r="E1169"/>
      <c r="F1169" s="57"/>
      <c r="G1169" s="57"/>
      <c r="H1169" s="1082">
        <f t="shared" si="63"/>
        <v>0</v>
      </c>
      <c r="I1169" s="1333"/>
      <c r="J1169" s="1334" t="e">
        <f>VLOOKUP(C1169,Acc_Char!B:K,3,)</f>
        <v>#N/A</v>
      </c>
      <c r="K1169" s="1334" t="e">
        <f>VLOOKUP(C1169,Acc_Char!B:K,7,)</f>
        <v>#N/A</v>
      </c>
      <c r="L1169" s="1334">
        <f t="shared" si="64"/>
        <v>0</v>
      </c>
      <c r="M1169" s="1335" t="e">
        <f>VLOOKUP(C1169,Acc_Char!B:K,5,)</f>
        <v>#N/A</v>
      </c>
      <c r="N1169" s="1335" t="e">
        <f>VLOOKUP(C1169,Acc_Char!B:K,6,)</f>
        <v>#N/A</v>
      </c>
      <c r="O1169" s="1336" t="str">
        <f>Summary!$B$4</f>
        <v>W1-2Jan26</v>
      </c>
      <c r="P1169" s="1334" t="str">
        <f t="shared" si="65"/>
        <v>0</v>
      </c>
    </row>
    <row r="1170" spans="1:16">
      <c r="A1170"/>
      <c r="B1170" s="34"/>
      <c r="C1170" s="34"/>
      <c r="D1170" s="355"/>
      <c r="E1170"/>
      <c r="F1170" s="57"/>
      <c r="G1170" s="57"/>
      <c r="H1170" s="1082">
        <f t="shared" si="63"/>
        <v>0</v>
      </c>
      <c r="I1170" s="1333"/>
      <c r="J1170" s="1334" t="e">
        <f>VLOOKUP(C1170,Acc_Char!B:K,3,)</f>
        <v>#N/A</v>
      </c>
      <c r="K1170" s="1334" t="e">
        <f>VLOOKUP(C1170,Acc_Char!B:K,7,)</f>
        <v>#N/A</v>
      </c>
      <c r="L1170" s="1334">
        <f t="shared" si="64"/>
        <v>0</v>
      </c>
      <c r="M1170" s="1335" t="e">
        <f>VLOOKUP(C1170,Acc_Char!B:K,5,)</f>
        <v>#N/A</v>
      </c>
      <c r="N1170" s="1335" t="e">
        <f>VLOOKUP(C1170,Acc_Char!B:K,6,)</f>
        <v>#N/A</v>
      </c>
      <c r="O1170" s="1336" t="str">
        <f>Summary!$B$4</f>
        <v>W1-2Jan26</v>
      </c>
      <c r="P1170" s="1334" t="str">
        <f t="shared" si="65"/>
        <v>0</v>
      </c>
    </row>
    <row r="1171" spans="1:16">
      <c r="A1171"/>
      <c r="B1171" s="34"/>
      <c r="C1171" s="34"/>
      <c r="D1171" s="355"/>
      <c r="E1171"/>
      <c r="F1171" s="57"/>
      <c r="G1171" s="57"/>
      <c r="H1171" s="1082">
        <f t="shared" si="63"/>
        <v>0</v>
      </c>
      <c r="I1171" s="103"/>
      <c r="J1171" s="1334" t="e">
        <f>VLOOKUP(C1171,Acc_Char!B:K,3,)</f>
        <v>#N/A</v>
      </c>
      <c r="K1171" s="1334" t="e">
        <f>VLOOKUP(C1171,Acc_Char!B:K,7,)</f>
        <v>#N/A</v>
      </c>
      <c r="L1171" s="1334">
        <f t="shared" si="64"/>
        <v>0</v>
      </c>
      <c r="M1171" s="1335" t="e">
        <f>VLOOKUP(C1171,Acc_Char!B:K,5,)</f>
        <v>#N/A</v>
      </c>
      <c r="N1171" s="1335" t="e">
        <f>VLOOKUP(C1171,Acc_Char!B:K,6,)</f>
        <v>#N/A</v>
      </c>
      <c r="O1171" s="1336" t="str">
        <f>Summary!$B$4</f>
        <v>W1-2Jan26</v>
      </c>
      <c r="P1171" s="1334" t="str">
        <f t="shared" si="65"/>
        <v>0</v>
      </c>
    </row>
    <row r="1172" spans="1:16">
      <c r="A1172"/>
      <c r="B1172" s="34"/>
      <c r="C1172" s="34"/>
      <c r="D1172" s="355"/>
      <c r="E1172"/>
      <c r="F1172" s="57"/>
      <c r="G1172" s="57"/>
      <c r="H1172" s="1082">
        <f t="shared" si="63"/>
        <v>0</v>
      </c>
      <c r="I1172" s="103"/>
      <c r="J1172" s="1334" t="e">
        <f>VLOOKUP(C1172,Acc_Char!B:K,3,)</f>
        <v>#N/A</v>
      </c>
      <c r="K1172" s="1334" t="e">
        <f>VLOOKUP(C1172,Acc_Char!B:K,7,)</f>
        <v>#N/A</v>
      </c>
      <c r="L1172" s="1334">
        <f t="shared" si="64"/>
        <v>0</v>
      </c>
      <c r="M1172" s="1335" t="e">
        <f>VLOOKUP(C1172,Acc_Char!B:K,5,)</f>
        <v>#N/A</v>
      </c>
      <c r="N1172" s="1335" t="e">
        <f>VLOOKUP(C1172,Acc_Char!B:K,6,)</f>
        <v>#N/A</v>
      </c>
      <c r="O1172" s="1336" t="str">
        <f>Summary!$B$4</f>
        <v>W1-2Jan26</v>
      </c>
      <c r="P1172" s="1334" t="str">
        <f t="shared" si="65"/>
        <v>0</v>
      </c>
    </row>
    <row r="1173" spans="1:16">
      <c r="A1173"/>
      <c r="B1173" s="34"/>
      <c r="C1173" s="34"/>
      <c r="D1173" s="355"/>
      <c r="E1173"/>
      <c r="F1173" s="57"/>
      <c r="G1173" s="57"/>
      <c r="H1173" s="1082">
        <f t="shared" si="63"/>
        <v>0</v>
      </c>
      <c r="I1173" s="103"/>
      <c r="J1173" s="1334" t="e">
        <f>VLOOKUP(C1173,Acc_Char!B:K,3,)</f>
        <v>#N/A</v>
      </c>
      <c r="K1173" s="1334" t="e">
        <f>VLOOKUP(C1173,Acc_Char!B:K,7,)</f>
        <v>#N/A</v>
      </c>
      <c r="L1173" s="1334">
        <f t="shared" si="64"/>
        <v>0</v>
      </c>
      <c r="M1173" s="1335" t="e">
        <f>VLOOKUP(C1173,Acc_Char!B:K,5,)</f>
        <v>#N/A</v>
      </c>
      <c r="N1173" s="1335" t="e">
        <f>VLOOKUP(C1173,Acc_Char!B:K,6,)</f>
        <v>#N/A</v>
      </c>
      <c r="O1173" s="1336" t="str">
        <f>Summary!$B$4</f>
        <v>W1-2Jan26</v>
      </c>
      <c r="P1173" s="1334" t="str">
        <f t="shared" si="65"/>
        <v>0</v>
      </c>
    </row>
    <row r="1174" spans="1:16">
      <c r="A1174"/>
      <c r="B1174" s="34"/>
      <c r="C1174" s="34"/>
      <c r="D1174" s="355"/>
      <c r="E1174"/>
      <c r="F1174" s="57"/>
      <c r="G1174" s="57"/>
      <c r="H1174" s="1082">
        <f t="shared" si="63"/>
        <v>0</v>
      </c>
      <c r="I1174" s="103"/>
      <c r="J1174" s="1334" t="e">
        <f>VLOOKUP(C1174,Acc_Char!B:K,3,)</f>
        <v>#N/A</v>
      </c>
      <c r="K1174" s="1334" t="e">
        <f>VLOOKUP(C1174,Acc_Char!B:K,7,)</f>
        <v>#N/A</v>
      </c>
      <c r="L1174" s="1334">
        <f t="shared" si="64"/>
        <v>0</v>
      </c>
      <c r="M1174" s="1335" t="e">
        <f>VLOOKUP(C1174,Acc_Char!B:K,5,)</f>
        <v>#N/A</v>
      </c>
      <c r="N1174" s="1335" t="e">
        <f>VLOOKUP(C1174,Acc_Char!B:K,6,)</f>
        <v>#N/A</v>
      </c>
      <c r="O1174" s="1336" t="str">
        <f>Summary!$B$4</f>
        <v>W1-2Jan26</v>
      </c>
      <c r="P1174" s="1334" t="str">
        <f t="shared" si="65"/>
        <v>0</v>
      </c>
    </row>
    <row r="1175" spans="1:16">
      <c r="A1175"/>
      <c r="B1175" s="34"/>
      <c r="C1175" s="34"/>
      <c r="D1175" s="355"/>
      <c r="E1175"/>
      <c r="F1175" s="57"/>
      <c r="G1175" s="57"/>
      <c r="H1175" s="1082">
        <f t="shared" si="63"/>
        <v>0</v>
      </c>
      <c r="I1175" s="103"/>
      <c r="J1175" s="1334" t="e">
        <f>VLOOKUP(C1175,Acc_Char!B:K,3,)</f>
        <v>#N/A</v>
      </c>
      <c r="K1175" s="1334" t="e">
        <f>VLOOKUP(C1175,Acc_Char!B:K,7,)</f>
        <v>#N/A</v>
      </c>
      <c r="L1175" s="1334">
        <f t="shared" si="64"/>
        <v>0</v>
      </c>
      <c r="M1175" s="1335" t="e">
        <f>VLOOKUP(C1175,Acc_Char!B:K,5,)</f>
        <v>#N/A</v>
      </c>
      <c r="N1175" s="1335" t="e">
        <f>VLOOKUP(C1175,Acc_Char!B:K,6,)</f>
        <v>#N/A</v>
      </c>
      <c r="O1175" s="1336" t="str">
        <f>Summary!$B$4</f>
        <v>W1-2Jan26</v>
      </c>
      <c r="P1175" s="1334" t="str">
        <f t="shared" si="65"/>
        <v>0</v>
      </c>
    </row>
    <row r="1176" spans="1:16">
      <c r="A1176"/>
      <c r="B1176" s="34"/>
      <c r="C1176" s="34"/>
      <c r="D1176" s="355"/>
      <c r="E1176"/>
      <c r="F1176" s="57"/>
      <c r="G1176" s="57"/>
      <c r="H1176" s="1082">
        <f t="shared" si="63"/>
        <v>0</v>
      </c>
      <c r="J1176" s="1334" t="e">
        <f>VLOOKUP(C1176,Acc_Char!B:K,3,)</f>
        <v>#N/A</v>
      </c>
      <c r="K1176" s="1334" t="e">
        <f>VLOOKUP(C1176,Acc_Char!B:K,7,)</f>
        <v>#N/A</v>
      </c>
      <c r="L1176" s="1334">
        <f t="shared" si="64"/>
        <v>0</v>
      </c>
      <c r="M1176" s="1335" t="e">
        <f>VLOOKUP(C1176,Acc_Char!B:K,5,)</f>
        <v>#N/A</v>
      </c>
      <c r="N1176" s="1335" t="e">
        <f>VLOOKUP(C1176,Acc_Char!B:K,6,)</f>
        <v>#N/A</v>
      </c>
      <c r="O1176" s="1336" t="str">
        <f>Summary!$B$4</f>
        <v>W1-2Jan26</v>
      </c>
      <c r="P1176" s="1334" t="str">
        <f t="shared" si="65"/>
        <v>0</v>
      </c>
    </row>
    <row r="1177" spans="1:16">
      <c r="A1177"/>
      <c r="B1177" s="34"/>
      <c r="C1177" s="34"/>
      <c r="D1177" s="355"/>
      <c r="E1177"/>
      <c r="F1177" s="57"/>
      <c r="G1177" s="57"/>
      <c r="H1177" s="1082">
        <f t="shared" si="63"/>
        <v>0</v>
      </c>
      <c r="I1177" s="103"/>
      <c r="J1177" s="1334" t="e">
        <f>VLOOKUP(C1177,Acc_Char!B:K,3,)</f>
        <v>#N/A</v>
      </c>
      <c r="K1177" s="1334" t="e">
        <f>VLOOKUP(C1177,Acc_Char!B:K,7,)</f>
        <v>#N/A</v>
      </c>
      <c r="L1177" s="1334">
        <f t="shared" si="64"/>
        <v>0</v>
      </c>
      <c r="M1177" s="1335" t="e">
        <f>VLOOKUP(C1177,Acc_Char!B:K,5,)</f>
        <v>#N/A</v>
      </c>
      <c r="N1177" s="1335" t="e">
        <f>VLOOKUP(C1177,Acc_Char!B:K,6,)</f>
        <v>#N/A</v>
      </c>
      <c r="O1177" s="1336" t="str">
        <f>Summary!$B$4</f>
        <v>W1-2Jan26</v>
      </c>
      <c r="P1177" s="1334" t="str">
        <f t="shared" si="65"/>
        <v>0</v>
      </c>
    </row>
    <row r="1178" spans="1:16">
      <c r="A1178"/>
      <c r="B1178" s="34"/>
      <c r="C1178" s="34"/>
      <c r="D1178" s="355"/>
      <c r="E1178"/>
      <c r="F1178" s="57"/>
      <c r="G1178" s="57"/>
      <c r="H1178" s="1082">
        <f t="shared" si="63"/>
        <v>0</v>
      </c>
      <c r="I1178" s="103"/>
      <c r="J1178" s="1334" t="e">
        <f>VLOOKUP(C1178,Acc_Char!B:K,3,)</f>
        <v>#N/A</v>
      </c>
      <c r="K1178" s="1334" t="e">
        <f>VLOOKUP(C1178,Acc_Char!B:K,7,)</f>
        <v>#N/A</v>
      </c>
      <c r="L1178" s="1334">
        <f t="shared" si="64"/>
        <v>0</v>
      </c>
      <c r="M1178" s="1335" t="e">
        <f>VLOOKUP(C1178,Acc_Char!B:K,5,)</f>
        <v>#N/A</v>
      </c>
      <c r="N1178" s="1335" t="e">
        <f>VLOOKUP(C1178,Acc_Char!B:K,6,)</f>
        <v>#N/A</v>
      </c>
      <c r="O1178" s="1336" t="str">
        <f>Summary!$B$4</f>
        <v>W1-2Jan26</v>
      </c>
      <c r="P1178" s="1334" t="str">
        <f t="shared" si="65"/>
        <v>0</v>
      </c>
    </row>
    <row r="1179" spans="1:16">
      <c r="A1179"/>
      <c r="B1179" s="34"/>
      <c r="C1179" s="34"/>
      <c r="D1179" s="355"/>
      <c r="E1179"/>
      <c r="F1179" s="57"/>
      <c r="G1179" s="57"/>
      <c r="H1179" s="1082">
        <f t="shared" si="63"/>
        <v>0</v>
      </c>
      <c r="J1179" s="1334" t="e">
        <f>VLOOKUP(C1179,Acc_Char!B:K,3,)</f>
        <v>#N/A</v>
      </c>
      <c r="K1179" s="1334" t="e">
        <f>VLOOKUP(C1179,Acc_Char!B:K,7,)</f>
        <v>#N/A</v>
      </c>
      <c r="L1179" s="1334">
        <f t="shared" si="64"/>
        <v>0</v>
      </c>
      <c r="M1179" s="1335" t="e">
        <f>VLOOKUP(C1179,Acc_Char!B:K,5,)</f>
        <v>#N/A</v>
      </c>
      <c r="N1179" s="1335" t="e">
        <f>VLOOKUP(C1179,Acc_Char!B:K,6,)</f>
        <v>#N/A</v>
      </c>
      <c r="O1179" s="1336" t="str">
        <f>Summary!$B$4</f>
        <v>W1-2Jan26</v>
      </c>
      <c r="P1179" s="1334" t="str">
        <f t="shared" si="65"/>
        <v>0</v>
      </c>
    </row>
    <row r="1180" spans="1:16">
      <c r="A1180"/>
      <c r="B1180" s="34"/>
      <c r="C1180" s="34"/>
      <c r="D1180" s="355"/>
      <c r="E1180"/>
      <c r="F1180" s="57"/>
      <c r="G1180" s="57"/>
      <c r="H1180" s="1082">
        <f t="shared" si="63"/>
        <v>0</v>
      </c>
      <c r="I1180"/>
      <c r="J1180" s="1334" t="e">
        <f>VLOOKUP(C1180,Acc_Char!B:K,3,)</f>
        <v>#N/A</v>
      </c>
      <c r="K1180" s="1334" t="e">
        <f>VLOOKUP(C1180,Acc_Char!B:K,7,)</f>
        <v>#N/A</v>
      </c>
      <c r="L1180" s="1334">
        <f t="shared" si="64"/>
        <v>0</v>
      </c>
      <c r="M1180" s="1335" t="e">
        <f>VLOOKUP(C1180,Acc_Char!B:K,5,)</f>
        <v>#N/A</v>
      </c>
      <c r="N1180" s="1335" t="e">
        <f>VLOOKUP(C1180,Acc_Char!B:K,6,)</f>
        <v>#N/A</v>
      </c>
      <c r="O1180" s="1336" t="str">
        <f>Summary!$B$4</f>
        <v>W1-2Jan26</v>
      </c>
      <c r="P1180" s="1334" t="str">
        <f t="shared" si="65"/>
        <v>0</v>
      </c>
    </row>
    <row r="1181" spans="1:16">
      <c r="A1181"/>
      <c r="B1181" s="34"/>
      <c r="C1181" s="34"/>
      <c r="D1181" s="355"/>
      <c r="E1181"/>
      <c r="F1181" s="57"/>
      <c r="G1181" s="57"/>
      <c r="H1181" s="1082">
        <f t="shared" si="63"/>
        <v>0</v>
      </c>
      <c r="I1181" s="103"/>
      <c r="J1181" s="1334" t="e">
        <f>VLOOKUP(C1181,Acc_Char!B:K,3,)</f>
        <v>#N/A</v>
      </c>
      <c r="K1181" s="1334" t="e">
        <f>VLOOKUP(C1181,Acc_Char!B:K,7,)</f>
        <v>#N/A</v>
      </c>
      <c r="L1181" s="1334">
        <f t="shared" si="64"/>
        <v>0</v>
      </c>
      <c r="M1181" s="1335" t="e">
        <f>VLOOKUP(C1181,Acc_Char!B:K,5,)</f>
        <v>#N/A</v>
      </c>
      <c r="N1181" s="1335" t="e">
        <f>VLOOKUP(C1181,Acc_Char!B:K,6,)</f>
        <v>#N/A</v>
      </c>
      <c r="O1181" s="1336" t="str">
        <f>Summary!$B$4</f>
        <v>W1-2Jan26</v>
      </c>
      <c r="P1181" s="1334" t="str">
        <f t="shared" si="65"/>
        <v>0</v>
      </c>
    </row>
    <row r="1182" spans="1:16">
      <c r="A1182"/>
      <c r="B1182" s="34"/>
      <c r="C1182" s="34"/>
      <c r="D1182" s="355"/>
      <c r="E1182"/>
      <c r="F1182" s="57"/>
      <c r="G1182" s="57"/>
      <c r="H1182" s="1082">
        <f t="shared" si="63"/>
        <v>0</v>
      </c>
      <c r="I1182" s="1333"/>
      <c r="J1182" s="1334" t="e">
        <f>VLOOKUP(C1182,Acc_Char!B:K,3,)</f>
        <v>#N/A</v>
      </c>
      <c r="K1182" s="1334" t="e">
        <f>VLOOKUP(C1182,Acc_Char!B:K,7,)</f>
        <v>#N/A</v>
      </c>
      <c r="L1182" s="1334">
        <f t="shared" si="64"/>
        <v>0</v>
      </c>
      <c r="M1182" s="1335" t="e">
        <f>VLOOKUP(C1182,Acc_Char!B:K,5,)</f>
        <v>#N/A</v>
      </c>
      <c r="N1182" s="1335" t="e">
        <f>VLOOKUP(C1182,Acc_Char!B:K,6,)</f>
        <v>#N/A</v>
      </c>
      <c r="O1182" s="1336" t="str">
        <f>Summary!$B$4</f>
        <v>W1-2Jan26</v>
      </c>
      <c r="P1182" s="1334" t="str">
        <f t="shared" si="65"/>
        <v>0</v>
      </c>
    </row>
    <row r="1183" spans="1:16">
      <c r="A1183"/>
      <c r="B1183" s="34"/>
      <c r="C1183" s="34"/>
      <c r="D1183" s="355"/>
      <c r="E1183"/>
      <c r="F1183" s="57"/>
      <c r="G1183" s="57"/>
      <c r="H1183" s="1082">
        <f t="shared" si="63"/>
        <v>0</v>
      </c>
      <c r="I1183" s="1333"/>
      <c r="J1183" s="1334" t="e">
        <f>VLOOKUP(C1183,Acc_Char!B:K,3,)</f>
        <v>#N/A</v>
      </c>
      <c r="K1183" s="1334" t="e">
        <f>VLOOKUP(C1183,Acc_Char!B:K,7,)</f>
        <v>#N/A</v>
      </c>
      <c r="L1183" s="1334">
        <f t="shared" si="64"/>
        <v>0</v>
      </c>
      <c r="M1183" s="1335" t="e">
        <f>VLOOKUP(C1183,Acc_Char!B:K,5,)</f>
        <v>#N/A</v>
      </c>
      <c r="N1183" s="1335" t="e">
        <f>VLOOKUP(C1183,Acc_Char!B:K,6,)</f>
        <v>#N/A</v>
      </c>
      <c r="O1183" s="1336" t="str">
        <f>Summary!$B$4</f>
        <v>W1-2Jan26</v>
      </c>
      <c r="P1183" s="1334" t="str">
        <f t="shared" si="65"/>
        <v>0</v>
      </c>
    </row>
    <row r="1184" spans="1:16">
      <c r="A1184"/>
      <c r="B1184" s="34"/>
      <c r="C1184" s="34"/>
      <c r="D1184" s="355"/>
      <c r="E1184"/>
      <c r="F1184" s="57"/>
      <c r="G1184" s="57"/>
      <c r="H1184" s="1082">
        <f t="shared" si="63"/>
        <v>0</v>
      </c>
      <c r="I1184" s="103"/>
      <c r="J1184" s="1334" t="e">
        <f>VLOOKUP(C1184,Acc_Char!B:K,3,)</f>
        <v>#N/A</v>
      </c>
      <c r="K1184" s="1334" t="e">
        <f>VLOOKUP(C1184,Acc_Char!B:K,7,)</f>
        <v>#N/A</v>
      </c>
      <c r="L1184" s="1334">
        <f t="shared" si="64"/>
        <v>0</v>
      </c>
      <c r="M1184" s="1335" t="e">
        <f>VLOOKUP(C1184,Acc_Char!B:K,5,)</f>
        <v>#N/A</v>
      </c>
      <c r="N1184" s="1335" t="e">
        <f>VLOOKUP(C1184,Acc_Char!B:K,6,)</f>
        <v>#N/A</v>
      </c>
      <c r="O1184" s="1336" t="str">
        <f>Summary!$B$4</f>
        <v>W1-2Jan26</v>
      </c>
      <c r="P1184" s="1334" t="str">
        <f t="shared" si="65"/>
        <v>0</v>
      </c>
    </row>
    <row r="1185" spans="1:16">
      <c r="A1185"/>
      <c r="B1185" s="34"/>
      <c r="C1185" s="34"/>
      <c r="D1185" s="355"/>
      <c r="E1185"/>
      <c r="F1185" s="57"/>
      <c r="G1185" s="57"/>
      <c r="H1185" s="1082">
        <f t="shared" si="63"/>
        <v>0</v>
      </c>
      <c r="I1185" s="103"/>
      <c r="J1185" s="1334" t="e">
        <f>VLOOKUP(C1185,Acc_Char!B:K,3,)</f>
        <v>#N/A</v>
      </c>
      <c r="K1185" s="1334" t="e">
        <f>VLOOKUP(C1185,Acc_Char!B:K,7,)</f>
        <v>#N/A</v>
      </c>
      <c r="L1185" s="1334">
        <f t="shared" si="64"/>
        <v>0</v>
      </c>
      <c r="M1185" s="1335" t="e">
        <f>VLOOKUP(C1185,Acc_Char!B:K,5,)</f>
        <v>#N/A</v>
      </c>
      <c r="N1185" s="1335" t="e">
        <f>VLOOKUP(C1185,Acc_Char!B:K,6,)</f>
        <v>#N/A</v>
      </c>
      <c r="O1185" s="1336" t="str">
        <f>Summary!$B$4</f>
        <v>W1-2Jan26</v>
      </c>
      <c r="P1185" s="1334" t="str">
        <f t="shared" si="65"/>
        <v>0</v>
      </c>
    </row>
    <row r="1186" spans="1:16">
      <c r="A1186"/>
      <c r="B1186" s="34"/>
      <c r="C1186" s="34"/>
      <c r="D1186" s="355"/>
      <c r="E1186"/>
      <c r="F1186" s="57"/>
      <c r="G1186" s="57"/>
      <c r="H1186" s="1082">
        <f t="shared" si="63"/>
        <v>0</v>
      </c>
      <c r="I1186" s="1333"/>
      <c r="J1186" s="1334" t="e">
        <f>VLOOKUP(C1186,Acc_Char!B:K,3,)</f>
        <v>#N/A</v>
      </c>
      <c r="K1186" s="1334" t="e">
        <f>VLOOKUP(C1186,Acc_Char!B:K,7,)</f>
        <v>#N/A</v>
      </c>
      <c r="L1186" s="1334">
        <f t="shared" si="64"/>
        <v>0</v>
      </c>
      <c r="M1186" s="1335" t="e">
        <f>VLOOKUP(C1186,Acc_Char!B:K,5,)</f>
        <v>#N/A</v>
      </c>
      <c r="N1186" s="1335" t="e">
        <f>VLOOKUP(C1186,Acc_Char!B:K,6,)</f>
        <v>#N/A</v>
      </c>
      <c r="O1186" s="1336" t="str">
        <f>Summary!$B$4</f>
        <v>W1-2Jan26</v>
      </c>
      <c r="P1186" s="1334" t="str">
        <f t="shared" si="65"/>
        <v>0</v>
      </c>
    </row>
    <row r="1187" spans="1:16">
      <c r="A1187"/>
      <c r="B1187" s="34"/>
      <c r="C1187" s="34"/>
      <c r="D1187" s="355"/>
      <c r="E1187"/>
      <c r="F1187" s="57"/>
      <c r="G1187" s="57"/>
      <c r="H1187" s="1082">
        <f t="shared" si="63"/>
        <v>0</v>
      </c>
      <c r="I1187" s="1333"/>
      <c r="J1187" s="1334" t="e">
        <f>VLOOKUP(C1187,Acc_Char!B:K,3,)</f>
        <v>#N/A</v>
      </c>
      <c r="K1187" s="1334" t="e">
        <f>VLOOKUP(C1187,Acc_Char!B:K,7,)</f>
        <v>#N/A</v>
      </c>
      <c r="L1187" s="1334">
        <f t="shared" si="64"/>
        <v>0</v>
      </c>
      <c r="M1187" s="1335" t="e">
        <f>VLOOKUP(C1187,Acc_Char!B:K,5,)</f>
        <v>#N/A</v>
      </c>
      <c r="N1187" s="1335" t="e">
        <f>VLOOKUP(C1187,Acc_Char!B:K,6,)</f>
        <v>#N/A</v>
      </c>
      <c r="O1187" s="1336" t="str">
        <f>Summary!$B$4</f>
        <v>W1-2Jan26</v>
      </c>
      <c r="P1187" s="1334" t="str">
        <f t="shared" si="65"/>
        <v>0</v>
      </c>
    </row>
    <row r="1188" spans="1:16">
      <c r="A1188"/>
      <c r="B1188" s="34"/>
      <c r="C1188" s="34"/>
      <c r="D1188" s="355"/>
      <c r="E1188"/>
      <c r="F1188" s="57"/>
      <c r="G1188" s="57"/>
      <c r="H1188" s="1082">
        <f t="shared" si="63"/>
        <v>0</v>
      </c>
      <c r="I1188" s="1333"/>
      <c r="J1188" s="1334" t="e">
        <f>VLOOKUP(C1188,Acc_Char!B:K,3,)</f>
        <v>#N/A</v>
      </c>
      <c r="K1188" s="1334" t="e">
        <f>VLOOKUP(C1188,Acc_Char!B:K,7,)</f>
        <v>#N/A</v>
      </c>
      <c r="L1188" s="1334">
        <f t="shared" si="64"/>
        <v>0</v>
      </c>
      <c r="M1188" s="1335" t="e">
        <f>VLOOKUP(C1188,Acc_Char!B:K,5,)</f>
        <v>#N/A</v>
      </c>
      <c r="N1188" s="1335" t="e">
        <f>VLOOKUP(C1188,Acc_Char!B:K,6,)</f>
        <v>#N/A</v>
      </c>
      <c r="O1188" s="1336" t="str">
        <f>Summary!$B$4</f>
        <v>W1-2Jan26</v>
      </c>
      <c r="P1188" s="1334" t="str">
        <f t="shared" si="65"/>
        <v>0</v>
      </c>
    </row>
    <row r="1189" spans="1:16">
      <c r="A1189"/>
      <c r="B1189" s="34"/>
      <c r="C1189" s="34"/>
      <c r="D1189" s="355"/>
      <c r="E1189"/>
      <c r="F1189" s="57"/>
      <c r="G1189" s="57"/>
      <c r="H1189" s="1082">
        <f t="shared" si="63"/>
        <v>0</v>
      </c>
      <c r="J1189" s="1334" t="e">
        <f>VLOOKUP(C1189,Acc_Char!B:K,3,)</f>
        <v>#N/A</v>
      </c>
      <c r="K1189" s="1334" t="e">
        <f>VLOOKUP(C1189,Acc_Char!B:K,7,)</f>
        <v>#N/A</v>
      </c>
      <c r="L1189" s="1334">
        <f t="shared" si="64"/>
        <v>0</v>
      </c>
      <c r="M1189" s="1335" t="e">
        <f>VLOOKUP(C1189,Acc_Char!B:K,5,)</f>
        <v>#N/A</v>
      </c>
      <c r="N1189" s="1335" t="e">
        <f>VLOOKUP(C1189,Acc_Char!B:K,6,)</f>
        <v>#N/A</v>
      </c>
      <c r="O1189" s="1336" t="str">
        <f>Summary!$B$4</f>
        <v>W1-2Jan26</v>
      </c>
      <c r="P1189" s="1334" t="str">
        <f t="shared" si="65"/>
        <v>0</v>
      </c>
    </row>
    <row r="1190" spans="1:16">
      <c r="A1190"/>
      <c r="B1190" s="34"/>
      <c r="C1190" s="34"/>
      <c r="D1190" s="355"/>
      <c r="E1190"/>
      <c r="F1190" s="57"/>
      <c r="G1190" s="57"/>
      <c r="H1190" s="1082">
        <f t="shared" si="63"/>
        <v>0</v>
      </c>
      <c r="I1190" s="1333"/>
      <c r="J1190" s="1334" t="e">
        <f>VLOOKUP(C1190,Acc_Char!B:K,3,)</f>
        <v>#N/A</v>
      </c>
      <c r="K1190" s="1334" t="e">
        <f>VLOOKUP(C1190,Acc_Char!B:K,7,)</f>
        <v>#N/A</v>
      </c>
      <c r="L1190" s="1334">
        <f t="shared" si="64"/>
        <v>0</v>
      </c>
      <c r="M1190" s="1335" t="e">
        <f>VLOOKUP(C1190,Acc_Char!B:K,5,)</f>
        <v>#N/A</v>
      </c>
      <c r="N1190" s="1335" t="e">
        <f>VLOOKUP(C1190,Acc_Char!B:K,6,)</f>
        <v>#N/A</v>
      </c>
      <c r="O1190" s="1336" t="str">
        <f>Summary!$B$4</f>
        <v>W1-2Jan26</v>
      </c>
      <c r="P1190" s="1334" t="str">
        <f t="shared" si="65"/>
        <v>0</v>
      </c>
    </row>
    <row r="1191" spans="1:16">
      <c r="A1191"/>
      <c r="B1191" s="34"/>
      <c r="C1191" s="34"/>
      <c r="D1191" s="355"/>
      <c r="E1191"/>
      <c r="F1191" s="57"/>
      <c r="G1191" s="57"/>
      <c r="H1191" s="1082">
        <f t="shared" ref="H1191:H1254" si="66">F1191-G1191</f>
        <v>0</v>
      </c>
      <c r="I1191"/>
      <c r="J1191" s="1334" t="e">
        <f>VLOOKUP(C1191,Acc_Char!B:K,3,)</f>
        <v>#N/A</v>
      </c>
      <c r="K1191" s="1334" t="e">
        <f>VLOOKUP(C1191,Acc_Char!B:K,7,)</f>
        <v>#N/A</v>
      </c>
      <c r="L1191" s="1334">
        <f t="shared" si="64"/>
        <v>0</v>
      </c>
      <c r="M1191" s="1335" t="e">
        <f>VLOOKUP(C1191,Acc_Char!B:K,5,)</f>
        <v>#N/A</v>
      </c>
      <c r="N1191" s="1335" t="e">
        <f>VLOOKUP(C1191,Acc_Char!B:K,6,)</f>
        <v>#N/A</v>
      </c>
      <c r="O1191" s="1336" t="str">
        <f>Summary!$B$4</f>
        <v>W1-2Jan26</v>
      </c>
      <c r="P1191" s="1334" t="str">
        <f t="shared" si="65"/>
        <v>0</v>
      </c>
    </row>
    <row r="1192" spans="1:16">
      <c r="A1192"/>
      <c r="B1192" s="34"/>
      <c r="C1192" s="34"/>
      <c r="D1192" s="355"/>
      <c r="E1192"/>
      <c r="F1192" s="57"/>
      <c r="G1192" s="57"/>
      <c r="H1192" s="1082">
        <f t="shared" si="66"/>
        <v>0</v>
      </c>
      <c r="I1192"/>
      <c r="J1192" s="1334" t="e">
        <f>VLOOKUP(C1192,Acc_Char!B:K,3,)</f>
        <v>#N/A</v>
      </c>
      <c r="K1192" s="1334" t="e">
        <f>VLOOKUP(C1192,Acc_Char!B:K,7,)</f>
        <v>#N/A</v>
      </c>
      <c r="L1192" s="1334">
        <f t="shared" si="64"/>
        <v>0</v>
      </c>
      <c r="M1192" s="1335" t="e">
        <f>VLOOKUP(C1192,Acc_Char!B:K,5,)</f>
        <v>#N/A</v>
      </c>
      <c r="N1192" s="1335" t="e">
        <f>VLOOKUP(C1192,Acc_Char!B:K,6,)</f>
        <v>#N/A</v>
      </c>
      <c r="O1192" s="1336" t="str">
        <f>Summary!$B$4</f>
        <v>W1-2Jan26</v>
      </c>
      <c r="P1192" s="1334" t="str">
        <f t="shared" si="65"/>
        <v>0</v>
      </c>
    </row>
    <row r="1193" spans="1:16">
      <c r="A1193"/>
      <c r="B1193" s="34"/>
      <c r="C1193" s="34"/>
      <c r="D1193" s="355"/>
      <c r="E1193"/>
      <c r="F1193" s="57"/>
      <c r="G1193" s="57"/>
      <c r="H1193" s="1082">
        <f t="shared" si="66"/>
        <v>0</v>
      </c>
      <c r="I1193" s="103"/>
      <c r="J1193" s="1334" t="e">
        <f>VLOOKUP(C1193,Acc_Char!B:K,3,)</f>
        <v>#N/A</v>
      </c>
      <c r="K1193" s="1334" t="e">
        <f>VLOOKUP(C1193,Acc_Char!B:K,7,)</f>
        <v>#N/A</v>
      </c>
      <c r="L1193" s="1334">
        <f t="shared" si="64"/>
        <v>0</v>
      </c>
      <c r="M1193" s="1335" t="e">
        <f>VLOOKUP(C1193,Acc_Char!B:K,5,)</f>
        <v>#N/A</v>
      </c>
      <c r="N1193" s="1335" t="e">
        <f>VLOOKUP(C1193,Acc_Char!B:K,6,)</f>
        <v>#N/A</v>
      </c>
      <c r="O1193" s="1336" t="str">
        <f>Summary!$B$4</f>
        <v>W1-2Jan26</v>
      </c>
      <c r="P1193" s="1334" t="str">
        <f t="shared" si="65"/>
        <v>0</v>
      </c>
    </row>
    <row r="1194" spans="1:16">
      <c r="A1194"/>
      <c r="B1194" s="34"/>
      <c r="C1194" s="34"/>
      <c r="D1194" s="355"/>
      <c r="E1194"/>
      <c r="F1194" s="57"/>
      <c r="G1194" s="57"/>
      <c r="H1194" s="1082">
        <f t="shared" si="66"/>
        <v>0</v>
      </c>
      <c r="I1194"/>
      <c r="J1194" s="1334" t="e">
        <f>VLOOKUP(C1194,Acc_Char!B:K,3,)</f>
        <v>#N/A</v>
      </c>
      <c r="K1194" s="1334" t="e">
        <f>VLOOKUP(C1194,Acc_Char!B:K,7,)</f>
        <v>#N/A</v>
      </c>
      <c r="L1194" s="1334">
        <f t="shared" si="64"/>
        <v>0</v>
      </c>
      <c r="M1194" s="1335" t="e">
        <f>VLOOKUP(C1194,Acc_Char!B:K,5,)</f>
        <v>#N/A</v>
      </c>
      <c r="N1194" s="1335" t="e">
        <f>VLOOKUP(C1194,Acc_Char!B:K,6,)</f>
        <v>#N/A</v>
      </c>
      <c r="O1194" s="1336" t="str">
        <f>Summary!$B$4</f>
        <v>W1-2Jan26</v>
      </c>
      <c r="P1194" s="1334" t="str">
        <f t="shared" si="65"/>
        <v>0</v>
      </c>
    </row>
    <row r="1195" spans="1:16">
      <c r="A1195"/>
      <c r="B1195" s="34"/>
      <c r="C1195" s="34"/>
      <c r="D1195" s="355"/>
      <c r="E1195"/>
      <c r="F1195" s="57"/>
      <c r="G1195" s="57"/>
      <c r="H1195" s="1082">
        <f t="shared" si="66"/>
        <v>0</v>
      </c>
      <c r="J1195" s="1334" t="e">
        <f>VLOOKUP(C1195,Acc_Char!B:K,3,)</f>
        <v>#N/A</v>
      </c>
      <c r="K1195" s="1334" t="e">
        <f>VLOOKUP(C1195,Acc_Char!B:K,7,)</f>
        <v>#N/A</v>
      </c>
      <c r="L1195" s="1334">
        <f t="shared" si="64"/>
        <v>0</v>
      </c>
      <c r="M1195" s="1335" t="e">
        <f>VLOOKUP(C1195,Acc_Char!B:K,5,)</f>
        <v>#N/A</v>
      </c>
      <c r="N1195" s="1335" t="e">
        <f>VLOOKUP(C1195,Acc_Char!B:K,6,)</f>
        <v>#N/A</v>
      </c>
      <c r="O1195" s="1336" t="str">
        <f>Summary!$B$4</f>
        <v>W1-2Jan26</v>
      </c>
      <c r="P1195" s="1334" t="str">
        <f t="shared" si="65"/>
        <v>0</v>
      </c>
    </row>
    <row r="1196" spans="1:16">
      <c r="A1196"/>
      <c r="B1196" s="34"/>
      <c r="C1196" s="34"/>
      <c r="D1196" s="355"/>
      <c r="E1196"/>
      <c r="F1196" s="57"/>
      <c r="G1196" s="57"/>
      <c r="H1196" s="1082">
        <f t="shared" si="66"/>
        <v>0</v>
      </c>
      <c r="J1196" s="1334" t="e">
        <f>VLOOKUP(C1196,Acc_Char!B:K,3,)</f>
        <v>#N/A</v>
      </c>
      <c r="K1196" s="1334" t="e">
        <f>VLOOKUP(C1196,Acc_Char!B:K,7,)</f>
        <v>#N/A</v>
      </c>
      <c r="L1196" s="1334">
        <f t="shared" si="64"/>
        <v>0</v>
      </c>
      <c r="M1196" s="1335" t="e">
        <f>VLOOKUP(C1196,Acc_Char!B:K,5,)</f>
        <v>#N/A</v>
      </c>
      <c r="N1196" s="1335" t="e">
        <f>VLOOKUP(C1196,Acc_Char!B:K,6,)</f>
        <v>#N/A</v>
      </c>
      <c r="O1196" s="1336" t="str">
        <f>Summary!$B$4</f>
        <v>W1-2Jan26</v>
      </c>
      <c r="P1196" s="1334" t="str">
        <f t="shared" si="65"/>
        <v>0</v>
      </c>
    </row>
    <row r="1197" spans="1:16">
      <c r="A1197"/>
      <c r="B1197" s="34"/>
      <c r="C1197" s="34"/>
      <c r="D1197" s="355"/>
      <c r="E1197"/>
      <c r="F1197" s="57"/>
      <c r="G1197" s="57"/>
      <c r="H1197" s="1082">
        <f t="shared" si="66"/>
        <v>0</v>
      </c>
      <c r="J1197" s="1334" t="e">
        <f>VLOOKUP(C1197,Acc_Char!B:K,3,)</f>
        <v>#N/A</v>
      </c>
      <c r="K1197" s="1334" t="e">
        <f>VLOOKUP(C1197,Acc_Char!B:K,7,)</f>
        <v>#N/A</v>
      </c>
      <c r="L1197" s="1334">
        <f t="shared" si="64"/>
        <v>0</v>
      </c>
      <c r="M1197" s="1335" t="e">
        <f>VLOOKUP(C1197,Acc_Char!B:K,5,)</f>
        <v>#N/A</v>
      </c>
      <c r="N1197" s="1335" t="e">
        <f>VLOOKUP(C1197,Acc_Char!B:K,6,)</f>
        <v>#N/A</v>
      </c>
      <c r="O1197" s="1336" t="str">
        <f>Summary!$B$4</f>
        <v>W1-2Jan26</v>
      </c>
      <c r="P1197" s="1334" t="str">
        <f t="shared" si="65"/>
        <v>0</v>
      </c>
    </row>
    <row r="1198" spans="1:16">
      <c r="A1198"/>
      <c r="B1198" s="34"/>
      <c r="C1198" s="34"/>
      <c r="D1198" s="355"/>
      <c r="E1198"/>
      <c r="F1198" s="57"/>
      <c r="G1198" s="57"/>
      <c r="H1198" s="1082">
        <f t="shared" si="66"/>
        <v>0</v>
      </c>
      <c r="J1198" s="1334" t="e">
        <f>VLOOKUP(C1198,Acc_Char!B:K,3,)</f>
        <v>#N/A</v>
      </c>
      <c r="K1198" s="1334" t="e">
        <f>VLOOKUP(C1198,Acc_Char!B:K,7,)</f>
        <v>#N/A</v>
      </c>
      <c r="L1198" s="1334">
        <f t="shared" si="64"/>
        <v>0</v>
      </c>
      <c r="M1198" s="1335" t="e">
        <f>VLOOKUP(C1198,Acc_Char!B:K,5,)</f>
        <v>#N/A</v>
      </c>
      <c r="N1198" s="1335" t="e">
        <f>VLOOKUP(C1198,Acc_Char!B:K,6,)</f>
        <v>#N/A</v>
      </c>
      <c r="O1198" s="1336" t="str">
        <f>Summary!$B$4</f>
        <v>W1-2Jan26</v>
      </c>
      <c r="P1198" s="1334" t="str">
        <f t="shared" si="65"/>
        <v>0</v>
      </c>
    </row>
    <row r="1199" spans="1:16">
      <c r="A1199"/>
      <c r="B1199" s="34"/>
      <c r="C1199" s="34"/>
      <c r="D1199" s="355"/>
      <c r="E1199"/>
      <c r="F1199" s="57"/>
      <c r="G1199" s="57"/>
      <c r="H1199" s="1082">
        <f t="shared" si="66"/>
        <v>0</v>
      </c>
      <c r="J1199" s="1334" t="e">
        <f>VLOOKUP(C1199,Acc_Char!B:K,3,)</f>
        <v>#N/A</v>
      </c>
      <c r="K1199" s="1334" t="e">
        <f>VLOOKUP(C1199,Acc_Char!B:K,7,)</f>
        <v>#N/A</v>
      </c>
      <c r="L1199" s="1334">
        <f t="shared" si="64"/>
        <v>0</v>
      </c>
      <c r="M1199" s="1335" t="e">
        <f>VLOOKUP(C1199,Acc_Char!B:K,5,)</f>
        <v>#N/A</v>
      </c>
      <c r="N1199" s="1335" t="e">
        <f>VLOOKUP(C1199,Acc_Char!B:K,6,)</f>
        <v>#N/A</v>
      </c>
      <c r="O1199" s="1336" t="str">
        <f>Summary!$B$4</f>
        <v>W1-2Jan26</v>
      </c>
      <c r="P1199" s="1334" t="str">
        <f t="shared" si="65"/>
        <v>0</v>
      </c>
    </row>
    <row r="1200" spans="1:16">
      <c r="A1200"/>
      <c r="B1200" s="34"/>
      <c r="C1200" s="34"/>
      <c r="D1200" s="355"/>
      <c r="E1200"/>
      <c r="F1200" s="57"/>
      <c r="G1200" s="57"/>
      <c r="H1200" s="1082">
        <f t="shared" si="66"/>
        <v>0</v>
      </c>
      <c r="I1200" s="1333"/>
      <c r="J1200" s="1334" t="e">
        <f>VLOOKUP(C1200,Acc_Char!B:K,3,)</f>
        <v>#N/A</v>
      </c>
      <c r="K1200" s="1334" t="e">
        <f>VLOOKUP(C1200,Acc_Char!B:K,7,)</f>
        <v>#N/A</v>
      </c>
      <c r="L1200" s="1334">
        <f t="shared" si="64"/>
        <v>0</v>
      </c>
      <c r="M1200" s="1335" t="e">
        <f>VLOOKUP(C1200,Acc_Char!B:K,5,)</f>
        <v>#N/A</v>
      </c>
      <c r="N1200" s="1335" t="e">
        <f>VLOOKUP(C1200,Acc_Char!B:K,6,)</f>
        <v>#N/A</v>
      </c>
      <c r="O1200" s="1336" t="str">
        <f>Summary!$B$4</f>
        <v>W1-2Jan26</v>
      </c>
      <c r="P1200" s="1334" t="str">
        <f t="shared" si="65"/>
        <v>0</v>
      </c>
    </row>
    <row r="1201" spans="1:16">
      <c r="A1201"/>
      <c r="B1201" s="34"/>
      <c r="C1201" s="34"/>
      <c r="D1201" s="355"/>
      <c r="E1201"/>
      <c r="F1201" s="57"/>
      <c r="G1201" s="57"/>
      <c r="H1201" s="1082">
        <f t="shared" si="66"/>
        <v>0</v>
      </c>
      <c r="I1201" s="103"/>
      <c r="J1201" s="1334" t="e">
        <f>VLOOKUP(C1201,Acc_Char!B:K,3,)</f>
        <v>#N/A</v>
      </c>
      <c r="K1201" s="1334" t="e">
        <f>VLOOKUP(C1201,Acc_Char!B:K,7,)</f>
        <v>#N/A</v>
      </c>
      <c r="L1201" s="1334">
        <f t="shared" si="64"/>
        <v>0</v>
      </c>
      <c r="M1201" s="1335" t="e">
        <f>VLOOKUP(C1201,Acc_Char!B:K,5,)</f>
        <v>#N/A</v>
      </c>
      <c r="N1201" s="1335" t="e">
        <f>VLOOKUP(C1201,Acc_Char!B:K,6,)</f>
        <v>#N/A</v>
      </c>
      <c r="O1201" s="1336" t="str">
        <f>Summary!$B$4</f>
        <v>W1-2Jan26</v>
      </c>
      <c r="P1201" s="1334" t="str">
        <f t="shared" si="65"/>
        <v>0</v>
      </c>
    </row>
    <row r="1202" spans="1:16">
      <c r="A1202"/>
      <c r="B1202" s="34"/>
      <c r="C1202" s="34"/>
      <c r="D1202" s="355"/>
      <c r="E1202"/>
      <c r="F1202" s="57"/>
      <c r="G1202" s="57"/>
      <c r="H1202" s="1082">
        <f t="shared" si="66"/>
        <v>0</v>
      </c>
      <c r="I1202" s="103"/>
      <c r="J1202" s="1334" t="e">
        <f>VLOOKUP(C1202,Acc_Char!B:K,3,)</f>
        <v>#N/A</v>
      </c>
      <c r="K1202" s="1334" t="e">
        <f>VLOOKUP(C1202,Acc_Char!B:K,7,)</f>
        <v>#N/A</v>
      </c>
      <c r="L1202" s="1334">
        <f t="shared" si="64"/>
        <v>0</v>
      </c>
      <c r="M1202" s="1335" t="e">
        <f>VLOOKUP(C1202,Acc_Char!B:K,5,)</f>
        <v>#N/A</v>
      </c>
      <c r="N1202" s="1335" t="e">
        <f>VLOOKUP(C1202,Acc_Char!B:K,6,)</f>
        <v>#N/A</v>
      </c>
      <c r="O1202" s="1336" t="str">
        <f>Summary!$B$4</f>
        <v>W1-2Jan26</v>
      </c>
      <c r="P1202" s="1334" t="str">
        <f t="shared" si="65"/>
        <v>0</v>
      </c>
    </row>
    <row r="1203" spans="1:16">
      <c r="A1203"/>
      <c r="B1203" s="34"/>
      <c r="C1203" s="34"/>
      <c r="D1203" s="355"/>
      <c r="E1203"/>
      <c r="F1203" s="57"/>
      <c r="G1203" s="57"/>
      <c r="H1203" s="1082">
        <f t="shared" si="66"/>
        <v>0</v>
      </c>
      <c r="I1203" s="103"/>
      <c r="J1203" s="1334" t="e">
        <f>VLOOKUP(C1203,Acc_Char!B:K,3,)</f>
        <v>#N/A</v>
      </c>
      <c r="K1203" s="1334" t="e">
        <f>VLOOKUP(C1203,Acc_Char!B:K,7,)</f>
        <v>#N/A</v>
      </c>
      <c r="L1203" s="1334">
        <f t="shared" si="64"/>
        <v>0</v>
      </c>
      <c r="M1203" s="1335" t="e">
        <f>VLOOKUP(C1203,Acc_Char!B:K,5,)</f>
        <v>#N/A</v>
      </c>
      <c r="N1203" s="1335" t="e">
        <f>VLOOKUP(C1203,Acc_Char!B:K,6,)</f>
        <v>#N/A</v>
      </c>
      <c r="O1203" s="1336" t="str">
        <f>Summary!$B$4</f>
        <v>W1-2Jan26</v>
      </c>
      <c r="P1203" s="1334" t="str">
        <f t="shared" si="65"/>
        <v>0</v>
      </c>
    </row>
    <row r="1204" spans="1:16">
      <c r="A1204"/>
      <c r="B1204" s="34"/>
      <c r="C1204" s="34"/>
      <c r="D1204" s="355"/>
      <c r="E1204"/>
      <c r="F1204" s="57"/>
      <c r="G1204" s="57"/>
      <c r="H1204" s="1082">
        <f t="shared" si="66"/>
        <v>0</v>
      </c>
      <c r="I1204" s="103"/>
      <c r="J1204" s="1334" t="e">
        <f>VLOOKUP(C1204,Acc_Char!B:K,3,)</f>
        <v>#N/A</v>
      </c>
      <c r="K1204" s="1334" t="e">
        <f>VLOOKUP(C1204,Acc_Char!B:K,7,)</f>
        <v>#N/A</v>
      </c>
      <c r="L1204" s="1334">
        <f t="shared" si="64"/>
        <v>0</v>
      </c>
      <c r="M1204" s="1335" t="e">
        <f>VLOOKUP(C1204,Acc_Char!B:K,5,)</f>
        <v>#N/A</v>
      </c>
      <c r="N1204" s="1335" t="e">
        <f>VLOOKUP(C1204,Acc_Char!B:K,6,)</f>
        <v>#N/A</v>
      </c>
      <c r="O1204" s="1336" t="str">
        <f>Summary!$B$4</f>
        <v>W1-2Jan26</v>
      </c>
      <c r="P1204" s="1334" t="str">
        <f t="shared" si="65"/>
        <v>0</v>
      </c>
    </row>
    <row r="1205" spans="1:16">
      <c r="A1205"/>
      <c r="B1205" s="34"/>
      <c r="C1205" s="34"/>
      <c r="D1205" s="355"/>
      <c r="E1205"/>
      <c r="F1205" s="57"/>
      <c r="G1205" s="57"/>
      <c r="H1205" s="1082">
        <f t="shared" si="66"/>
        <v>0</v>
      </c>
      <c r="I1205" s="103"/>
      <c r="J1205" s="1334" t="e">
        <f>VLOOKUP(C1205,Acc_Char!B:K,3,)</f>
        <v>#N/A</v>
      </c>
      <c r="K1205" s="1334" t="e">
        <f>VLOOKUP(C1205,Acc_Char!B:K,7,)</f>
        <v>#N/A</v>
      </c>
      <c r="L1205" s="1334">
        <f t="shared" si="64"/>
        <v>0</v>
      </c>
      <c r="M1205" s="1335" t="e">
        <f>VLOOKUP(C1205,Acc_Char!B:K,5,)</f>
        <v>#N/A</v>
      </c>
      <c r="N1205" s="1335" t="e">
        <f>VLOOKUP(C1205,Acc_Char!B:K,6,)</f>
        <v>#N/A</v>
      </c>
      <c r="O1205" s="1336" t="str">
        <f>Summary!$B$4</f>
        <v>W1-2Jan26</v>
      </c>
      <c r="P1205" s="1334" t="str">
        <f t="shared" si="65"/>
        <v>0</v>
      </c>
    </row>
    <row r="1206" spans="1:16">
      <c r="A1206"/>
      <c r="B1206" s="34"/>
      <c r="C1206" s="34"/>
      <c r="D1206" s="355"/>
      <c r="E1206"/>
      <c r="F1206" s="57"/>
      <c r="G1206" s="57"/>
      <c r="H1206" s="1082">
        <f t="shared" si="66"/>
        <v>0</v>
      </c>
      <c r="I1206" s="103"/>
      <c r="J1206" s="1334" t="e">
        <f>VLOOKUP(C1206,Acc_Char!B:K,3,)</f>
        <v>#N/A</v>
      </c>
      <c r="K1206" s="1334" t="e">
        <f>VLOOKUP(C1206,Acc_Char!B:K,7,)</f>
        <v>#N/A</v>
      </c>
      <c r="L1206" s="1334">
        <f t="shared" si="64"/>
        <v>0</v>
      </c>
      <c r="M1206" s="1335" t="e">
        <f>VLOOKUP(C1206,Acc_Char!B:K,5,)</f>
        <v>#N/A</v>
      </c>
      <c r="N1206" s="1335" t="e">
        <f>VLOOKUP(C1206,Acc_Char!B:K,6,)</f>
        <v>#N/A</v>
      </c>
      <c r="O1206" s="1336" t="str">
        <f>Summary!$B$4</f>
        <v>W1-2Jan26</v>
      </c>
      <c r="P1206" s="1334" t="str">
        <f t="shared" si="65"/>
        <v>0</v>
      </c>
    </row>
    <row r="1207" spans="1:16">
      <c r="A1207"/>
      <c r="B1207" s="34"/>
      <c r="C1207" s="34"/>
      <c r="D1207" s="355"/>
      <c r="E1207"/>
      <c r="F1207" s="57"/>
      <c r="G1207" s="57"/>
      <c r="H1207" s="1082">
        <f t="shared" si="66"/>
        <v>0</v>
      </c>
      <c r="J1207" s="1334" t="e">
        <f>VLOOKUP(C1207,Acc_Char!B:K,3,)</f>
        <v>#N/A</v>
      </c>
      <c r="K1207" s="1334" t="e">
        <f>VLOOKUP(C1207,Acc_Char!B:K,7,)</f>
        <v>#N/A</v>
      </c>
      <c r="L1207" s="1334">
        <f t="shared" si="64"/>
        <v>0</v>
      </c>
      <c r="M1207" s="1335" t="e">
        <f>VLOOKUP(C1207,Acc_Char!B:K,5,)</f>
        <v>#N/A</v>
      </c>
      <c r="N1207" s="1335" t="e">
        <f>VLOOKUP(C1207,Acc_Char!B:K,6,)</f>
        <v>#N/A</v>
      </c>
      <c r="O1207" s="1336" t="str">
        <f>Summary!$B$4</f>
        <v>W1-2Jan26</v>
      </c>
      <c r="P1207" s="1334" t="str">
        <f t="shared" si="65"/>
        <v>0</v>
      </c>
    </row>
    <row r="1208" spans="1:16">
      <c r="A1208"/>
      <c r="B1208" s="34"/>
      <c r="C1208" s="34"/>
      <c r="D1208" s="355"/>
      <c r="E1208"/>
      <c r="F1208" s="57"/>
      <c r="G1208" s="57"/>
      <c r="H1208" s="1082">
        <f t="shared" si="66"/>
        <v>0</v>
      </c>
      <c r="J1208" s="1334" t="e">
        <f>VLOOKUP(C1208,Acc_Char!B:K,3,)</f>
        <v>#N/A</v>
      </c>
      <c r="K1208" s="1334" t="e">
        <f>VLOOKUP(C1208,Acc_Char!B:K,7,)</f>
        <v>#N/A</v>
      </c>
      <c r="L1208" s="1334">
        <f t="shared" si="64"/>
        <v>0</v>
      </c>
      <c r="M1208" s="1335" t="e">
        <f>VLOOKUP(C1208,Acc_Char!B:K,5,)</f>
        <v>#N/A</v>
      </c>
      <c r="N1208" s="1335" t="e">
        <f>VLOOKUP(C1208,Acc_Char!B:K,6,)</f>
        <v>#N/A</v>
      </c>
      <c r="O1208" s="1336" t="str">
        <f>Summary!$B$4</f>
        <v>W1-2Jan26</v>
      </c>
      <c r="P1208" s="1334" t="str">
        <f t="shared" si="65"/>
        <v>0</v>
      </c>
    </row>
    <row r="1209" spans="1:16">
      <c r="A1209"/>
      <c r="B1209" s="34"/>
      <c r="C1209" s="34"/>
      <c r="D1209" s="355"/>
      <c r="E1209"/>
      <c r="F1209" s="57"/>
      <c r="G1209" s="57"/>
      <c r="H1209" s="1082">
        <f t="shared" si="66"/>
        <v>0</v>
      </c>
      <c r="J1209" s="1334" t="e">
        <f>VLOOKUP(C1209,Acc_Char!B:K,3,)</f>
        <v>#N/A</v>
      </c>
      <c r="K1209" s="1334" t="e">
        <f>VLOOKUP(C1209,Acc_Char!B:K,7,)</f>
        <v>#N/A</v>
      </c>
      <c r="L1209" s="1334">
        <f t="shared" si="64"/>
        <v>0</v>
      </c>
      <c r="M1209" s="1335" t="e">
        <f>VLOOKUP(C1209,Acc_Char!B:K,5,)</f>
        <v>#N/A</v>
      </c>
      <c r="N1209" s="1335" t="e">
        <f>VLOOKUP(C1209,Acc_Char!B:K,6,)</f>
        <v>#N/A</v>
      </c>
      <c r="O1209" s="1336" t="str">
        <f>Summary!$B$4</f>
        <v>W1-2Jan26</v>
      </c>
      <c r="P1209" s="1334" t="str">
        <f t="shared" si="65"/>
        <v>0</v>
      </c>
    </row>
    <row r="1210" spans="1:16">
      <c r="A1210"/>
      <c r="B1210" s="34"/>
      <c r="C1210" s="34"/>
      <c r="D1210" s="355"/>
      <c r="E1210"/>
      <c r="F1210" s="57"/>
      <c r="G1210" s="57"/>
      <c r="H1210" s="1082">
        <f t="shared" si="66"/>
        <v>0</v>
      </c>
      <c r="J1210" s="1334" t="e">
        <f>VLOOKUP(C1210,Acc_Char!B:K,3,)</f>
        <v>#N/A</v>
      </c>
      <c r="K1210" s="1334" t="e">
        <f>VLOOKUP(C1210,Acc_Char!B:K,7,)</f>
        <v>#N/A</v>
      </c>
      <c r="L1210" s="1334">
        <f t="shared" si="64"/>
        <v>0</v>
      </c>
      <c r="M1210" s="1335" t="e">
        <f>VLOOKUP(C1210,Acc_Char!B:K,5,)</f>
        <v>#N/A</v>
      </c>
      <c r="N1210" s="1335" t="e">
        <f>VLOOKUP(C1210,Acc_Char!B:K,6,)</f>
        <v>#N/A</v>
      </c>
      <c r="O1210" s="1336" t="str">
        <f>Summary!$B$4</f>
        <v>W1-2Jan26</v>
      </c>
      <c r="P1210" s="1334" t="str">
        <f t="shared" si="65"/>
        <v>0</v>
      </c>
    </row>
    <row r="1211" spans="1:16">
      <c r="A1211"/>
      <c r="B1211" s="34"/>
      <c r="C1211" s="34"/>
      <c r="D1211" s="355"/>
      <c r="E1211"/>
      <c r="F1211" s="57"/>
      <c r="G1211" s="57"/>
      <c r="H1211" s="1082">
        <f t="shared" si="66"/>
        <v>0</v>
      </c>
      <c r="I1211" s="103"/>
      <c r="J1211" s="1334" t="e">
        <f>VLOOKUP(C1211,Acc_Char!B:K,3,)</f>
        <v>#N/A</v>
      </c>
      <c r="K1211" s="1334" t="e">
        <f>VLOOKUP(C1211,Acc_Char!B:K,7,)</f>
        <v>#N/A</v>
      </c>
      <c r="L1211" s="1334">
        <f t="shared" si="64"/>
        <v>0</v>
      </c>
      <c r="M1211" s="1335" t="e">
        <f>VLOOKUP(C1211,Acc_Char!B:K,5,)</f>
        <v>#N/A</v>
      </c>
      <c r="N1211" s="1335" t="e">
        <f>VLOOKUP(C1211,Acc_Char!B:K,6,)</f>
        <v>#N/A</v>
      </c>
      <c r="O1211" s="1336" t="str">
        <f>Summary!$B$4</f>
        <v>W1-2Jan26</v>
      </c>
      <c r="P1211" s="1334" t="str">
        <f t="shared" si="65"/>
        <v>0</v>
      </c>
    </row>
    <row r="1212" spans="1:16">
      <c r="A1212"/>
      <c r="B1212" s="34"/>
      <c r="C1212" s="34"/>
      <c r="D1212" s="355"/>
      <c r="E1212"/>
      <c r="F1212" s="57"/>
      <c r="G1212" s="57"/>
      <c r="H1212" s="1082">
        <f t="shared" si="66"/>
        <v>0</v>
      </c>
      <c r="J1212" s="1334" t="e">
        <f>VLOOKUP(C1212,Acc_Char!B:K,3,)</f>
        <v>#N/A</v>
      </c>
      <c r="K1212" s="1334" t="e">
        <f>VLOOKUP(C1212,Acc_Char!B:K,7,)</f>
        <v>#N/A</v>
      </c>
      <c r="L1212" s="1334">
        <f t="shared" si="64"/>
        <v>0</v>
      </c>
      <c r="M1212" s="1335" t="e">
        <f>VLOOKUP(C1212,Acc_Char!B:K,5,)</f>
        <v>#N/A</v>
      </c>
      <c r="N1212" s="1335" t="e">
        <f>VLOOKUP(C1212,Acc_Char!B:K,6,)</f>
        <v>#N/A</v>
      </c>
      <c r="O1212" s="1336" t="str">
        <f>Summary!$B$4</f>
        <v>W1-2Jan26</v>
      </c>
      <c r="P1212" s="1334" t="str">
        <f t="shared" si="65"/>
        <v>0</v>
      </c>
    </row>
    <row r="1213" spans="1:16">
      <c r="A1213"/>
      <c r="B1213" s="34"/>
      <c r="C1213" s="34"/>
      <c r="D1213" s="355"/>
      <c r="E1213"/>
      <c r="F1213" s="57"/>
      <c r="G1213" s="57"/>
      <c r="H1213" s="1082">
        <f t="shared" si="66"/>
        <v>0</v>
      </c>
      <c r="J1213" s="1334" t="e">
        <f>VLOOKUP(C1213,Acc_Char!B:K,3,)</f>
        <v>#N/A</v>
      </c>
      <c r="K1213" s="1334" t="e">
        <f>VLOOKUP(C1213,Acc_Char!B:K,7,)</f>
        <v>#N/A</v>
      </c>
      <c r="L1213" s="1334">
        <f t="shared" si="64"/>
        <v>0</v>
      </c>
      <c r="M1213" s="1335" t="e">
        <f>VLOOKUP(C1213,Acc_Char!B:K,5,)</f>
        <v>#N/A</v>
      </c>
      <c r="N1213" s="1335" t="e">
        <f>VLOOKUP(C1213,Acc_Char!B:K,6,)</f>
        <v>#N/A</v>
      </c>
      <c r="O1213" s="1336" t="str">
        <f>Summary!$B$4</f>
        <v>W1-2Jan26</v>
      </c>
      <c r="P1213" s="1334" t="str">
        <f t="shared" si="65"/>
        <v>0</v>
      </c>
    </row>
    <row r="1214" spans="1:16">
      <c r="A1214"/>
      <c r="B1214" s="34"/>
      <c r="C1214" s="34"/>
      <c r="D1214" s="355"/>
      <c r="E1214"/>
      <c r="F1214" s="57"/>
      <c r="G1214" s="57"/>
      <c r="H1214" s="1082">
        <f t="shared" si="66"/>
        <v>0</v>
      </c>
      <c r="I1214" s="103"/>
      <c r="J1214" s="1334" t="e">
        <f>VLOOKUP(C1214,Acc_Char!B:K,3,)</f>
        <v>#N/A</v>
      </c>
      <c r="K1214" s="1334" t="e">
        <f>VLOOKUP(C1214,Acc_Char!B:K,7,)</f>
        <v>#N/A</v>
      </c>
      <c r="L1214" s="1334">
        <f t="shared" si="64"/>
        <v>0</v>
      </c>
      <c r="M1214" s="1335" t="e">
        <f>VLOOKUP(C1214,Acc_Char!B:K,5,)</f>
        <v>#N/A</v>
      </c>
      <c r="N1214" s="1335" t="e">
        <f>VLOOKUP(C1214,Acc_Char!B:K,6,)</f>
        <v>#N/A</v>
      </c>
      <c r="O1214" s="1336" t="str">
        <f>Summary!$B$4</f>
        <v>W1-2Jan26</v>
      </c>
      <c r="P1214" s="1334" t="str">
        <f t="shared" si="65"/>
        <v>0</v>
      </c>
    </row>
    <row r="1215" spans="1:16">
      <c r="A1215"/>
      <c r="B1215" s="34"/>
      <c r="C1215" s="34"/>
      <c r="D1215" s="355"/>
      <c r="E1215"/>
      <c r="F1215" s="57"/>
      <c r="G1215" s="57"/>
      <c r="H1215" s="1082">
        <f t="shared" si="66"/>
        <v>0</v>
      </c>
      <c r="I1215" s="103"/>
      <c r="J1215" s="1334" t="e">
        <f>VLOOKUP(C1215,Acc_Char!B:K,3,)</f>
        <v>#N/A</v>
      </c>
      <c r="K1215" s="1334" t="e">
        <f>VLOOKUP(C1215,Acc_Char!B:K,7,)</f>
        <v>#N/A</v>
      </c>
      <c r="L1215" s="1334">
        <f t="shared" si="64"/>
        <v>0</v>
      </c>
      <c r="M1215" s="1335" t="e">
        <f>VLOOKUP(C1215,Acc_Char!B:K,5,)</f>
        <v>#N/A</v>
      </c>
      <c r="N1215" s="1335" t="e">
        <f>VLOOKUP(C1215,Acc_Char!B:K,6,)</f>
        <v>#N/A</v>
      </c>
      <c r="O1215" s="1336" t="str">
        <f>Summary!$B$4</f>
        <v>W1-2Jan26</v>
      </c>
      <c r="P1215" s="1334" t="str">
        <f t="shared" si="65"/>
        <v>0</v>
      </c>
    </row>
    <row r="1216" spans="1:16">
      <c r="A1216"/>
      <c r="B1216" s="34"/>
      <c r="C1216" s="34"/>
      <c r="D1216" s="355"/>
      <c r="E1216"/>
      <c r="F1216" s="57"/>
      <c r="G1216" s="57"/>
      <c r="H1216" s="1082">
        <f t="shared" si="66"/>
        <v>0</v>
      </c>
      <c r="J1216" s="1334" t="e">
        <f>VLOOKUP(C1216,Acc_Char!B:K,3,)</f>
        <v>#N/A</v>
      </c>
      <c r="K1216" s="1334" t="e">
        <f>VLOOKUP(C1216,Acc_Char!B:K,7,)</f>
        <v>#N/A</v>
      </c>
      <c r="L1216" s="1334">
        <f t="shared" si="64"/>
        <v>0</v>
      </c>
      <c r="M1216" s="1335" t="e">
        <f>VLOOKUP(C1216,Acc_Char!B:K,5,)</f>
        <v>#N/A</v>
      </c>
      <c r="N1216" s="1335" t="e">
        <f>VLOOKUP(C1216,Acc_Char!B:K,6,)</f>
        <v>#N/A</v>
      </c>
      <c r="O1216" s="1336" t="str">
        <f>Summary!$B$4</f>
        <v>W1-2Jan26</v>
      </c>
      <c r="P1216" s="1334" t="str">
        <f t="shared" si="65"/>
        <v>0</v>
      </c>
    </row>
    <row r="1217" spans="1:16">
      <c r="A1217"/>
      <c r="B1217" s="34"/>
      <c r="C1217" s="34"/>
      <c r="D1217" s="1389"/>
      <c r="E1217"/>
      <c r="F1217" s="57"/>
      <c r="G1217" s="57"/>
      <c r="H1217" s="1082">
        <f t="shared" si="66"/>
        <v>0</v>
      </c>
      <c r="J1217" s="1334" t="e">
        <f>VLOOKUP(C1217,Acc_Char!B:K,3,)</f>
        <v>#N/A</v>
      </c>
      <c r="K1217" s="1334" t="e">
        <f>VLOOKUP(C1217,Acc_Char!B:K,7,)</f>
        <v>#N/A</v>
      </c>
      <c r="L1217" s="1334">
        <f t="shared" si="64"/>
        <v>0</v>
      </c>
      <c r="M1217" s="1335" t="e">
        <f>VLOOKUP(C1217,Acc_Char!B:K,5,)</f>
        <v>#N/A</v>
      </c>
      <c r="N1217" s="1335" t="e">
        <f>VLOOKUP(C1217,Acc_Char!B:K,6,)</f>
        <v>#N/A</v>
      </c>
      <c r="O1217" s="1336" t="str">
        <f>Summary!$B$4</f>
        <v>W1-2Jan26</v>
      </c>
      <c r="P1217" s="1334" t="str">
        <f t="shared" si="65"/>
        <v>0</v>
      </c>
    </row>
    <row r="1218" spans="1:16">
      <c r="A1218"/>
      <c r="B1218" s="34"/>
      <c r="C1218" s="34"/>
      <c r="D1218" s="1389"/>
      <c r="E1218"/>
      <c r="F1218" s="57"/>
      <c r="G1218" s="57"/>
      <c r="H1218" s="1082">
        <f t="shared" si="66"/>
        <v>0</v>
      </c>
      <c r="J1218" s="1334" t="e">
        <f>VLOOKUP(C1218,Acc_Char!B:K,3,)</f>
        <v>#N/A</v>
      </c>
      <c r="K1218" s="1334" t="e">
        <f>VLOOKUP(C1218,Acc_Char!B:K,7,)</f>
        <v>#N/A</v>
      </c>
      <c r="L1218" s="1334">
        <f t="shared" si="64"/>
        <v>0</v>
      </c>
      <c r="M1218" s="1335" t="e">
        <f>VLOOKUP(C1218,Acc_Char!B:K,5,)</f>
        <v>#N/A</v>
      </c>
      <c r="N1218" s="1335" t="e">
        <f>VLOOKUP(C1218,Acc_Char!B:K,6,)</f>
        <v>#N/A</v>
      </c>
      <c r="O1218" s="1336" t="str">
        <f>Summary!$B$4</f>
        <v>W1-2Jan26</v>
      </c>
      <c r="P1218" s="1334" t="str">
        <f t="shared" si="65"/>
        <v>0</v>
      </c>
    </row>
    <row r="1219" spans="1:16">
      <c r="A1219"/>
      <c r="B1219" s="34"/>
      <c r="C1219" s="34"/>
      <c r="D1219" s="1389"/>
      <c r="E1219"/>
      <c r="F1219" s="57"/>
      <c r="G1219" s="57"/>
      <c r="H1219" s="1082">
        <f t="shared" si="66"/>
        <v>0</v>
      </c>
      <c r="J1219" s="1334" t="e">
        <f>VLOOKUP(C1219,Acc_Char!B:K,3,)</f>
        <v>#N/A</v>
      </c>
      <c r="K1219" s="1334" t="e">
        <f>VLOOKUP(C1219,Acc_Char!B:K,7,)</f>
        <v>#N/A</v>
      </c>
      <c r="L1219" s="1334">
        <f t="shared" si="64"/>
        <v>0</v>
      </c>
      <c r="M1219" s="1335" t="e">
        <f>VLOOKUP(C1219,Acc_Char!B:K,5,)</f>
        <v>#N/A</v>
      </c>
      <c r="N1219" s="1335" t="e">
        <f>VLOOKUP(C1219,Acc_Char!B:K,6,)</f>
        <v>#N/A</v>
      </c>
      <c r="O1219" s="1336" t="str">
        <f>Summary!$B$4</f>
        <v>W1-2Jan26</v>
      </c>
      <c r="P1219" s="1334" t="str">
        <f t="shared" si="65"/>
        <v>0</v>
      </c>
    </row>
    <row r="1220" spans="1:16">
      <c r="A1220"/>
      <c r="B1220" s="34"/>
      <c r="C1220" s="34"/>
      <c r="D1220" s="1389"/>
      <c r="E1220"/>
      <c r="F1220" s="57"/>
      <c r="G1220" s="57"/>
      <c r="H1220" s="1082">
        <f t="shared" si="66"/>
        <v>0</v>
      </c>
      <c r="J1220" s="1334" t="e">
        <f>VLOOKUP(C1220,Acc_Char!B:K,3,)</f>
        <v>#N/A</v>
      </c>
      <c r="K1220" s="1334" t="e">
        <f>VLOOKUP(C1220,Acc_Char!B:K,7,)</f>
        <v>#N/A</v>
      </c>
      <c r="L1220" s="1334">
        <f t="shared" si="64"/>
        <v>0</v>
      </c>
      <c r="M1220" s="1335" t="e">
        <f>VLOOKUP(C1220,Acc_Char!B:K,5,)</f>
        <v>#N/A</v>
      </c>
      <c r="N1220" s="1335" t="e">
        <f>VLOOKUP(C1220,Acc_Char!B:K,6,)</f>
        <v>#N/A</v>
      </c>
      <c r="O1220" s="1336" t="str">
        <f>Summary!$B$4</f>
        <v>W1-2Jan26</v>
      </c>
      <c r="P1220" s="1334" t="str">
        <f t="shared" si="65"/>
        <v>0</v>
      </c>
    </row>
    <row r="1221" spans="1:16">
      <c r="A1221"/>
      <c r="B1221" s="34"/>
      <c r="C1221" s="34"/>
      <c r="D1221" s="1389"/>
      <c r="E1221"/>
      <c r="F1221" s="57"/>
      <c r="G1221" s="57"/>
      <c r="H1221" s="1082">
        <f t="shared" si="66"/>
        <v>0</v>
      </c>
      <c r="J1221" s="1334" t="e">
        <f>VLOOKUP(C1221,Acc_Char!B:K,3,)</f>
        <v>#N/A</v>
      </c>
      <c r="K1221" s="1334" t="e">
        <f>VLOOKUP(C1221,Acc_Char!B:K,7,)</f>
        <v>#N/A</v>
      </c>
      <c r="L1221" s="1334">
        <f t="shared" ref="L1221:L1284" si="67">I1221</f>
        <v>0</v>
      </c>
      <c r="M1221" s="1335" t="e">
        <f>VLOOKUP(C1221,Acc_Char!B:K,5,)</f>
        <v>#N/A</v>
      </c>
      <c r="N1221" s="1335" t="e">
        <f>VLOOKUP(C1221,Acc_Char!B:K,6,)</f>
        <v>#N/A</v>
      </c>
      <c r="O1221" s="1336" t="str">
        <f>Summary!$B$4</f>
        <v>W1-2Jan26</v>
      </c>
      <c r="P1221" s="1334" t="str">
        <f t="shared" ref="P1221:P1284" si="68">TEXT(C1221,"0")</f>
        <v>0</v>
      </c>
    </row>
    <row r="1222" spans="1:16">
      <c r="A1222"/>
      <c r="B1222" s="34"/>
      <c r="C1222" s="34"/>
      <c r="D1222" s="1389"/>
      <c r="E1222"/>
      <c r="F1222" s="57"/>
      <c r="G1222" s="57"/>
      <c r="H1222" s="1082">
        <f t="shared" si="66"/>
        <v>0</v>
      </c>
      <c r="J1222" s="1334" t="e">
        <f>VLOOKUP(C1222,Acc_Char!B:K,3,)</f>
        <v>#N/A</v>
      </c>
      <c r="K1222" s="1334" t="e">
        <f>VLOOKUP(C1222,Acc_Char!B:K,7,)</f>
        <v>#N/A</v>
      </c>
      <c r="L1222" s="1334">
        <f t="shared" si="67"/>
        <v>0</v>
      </c>
      <c r="M1222" s="1335" t="e">
        <f>VLOOKUP(C1222,Acc_Char!B:K,5,)</f>
        <v>#N/A</v>
      </c>
      <c r="N1222" s="1335" t="e">
        <f>VLOOKUP(C1222,Acc_Char!B:K,6,)</f>
        <v>#N/A</v>
      </c>
      <c r="O1222" s="1336" t="str">
        <f>Summary!$B$4</f>
        <v>W1-2Jan26</v>
      </c>
      <c r="P1222" s="1334" t="str">
        <f t="shared" si="68"/>
        <v>0</v>
      </c>
    </row>
    <row r="1223" spans="1:16">
      <c r="A1223"/>
      <c r="B1223" s="34"/>
      <c r="C1223" s="34"/>
      <c r="D1223" s="1389"/>
      <c r="E1223"/>
      <c r="F1223" s="57"/>
      <c r="G1223" s="57"/>
      <c r="H1223" s="1082">
        <f t="shared" si="66"/>
        <v>0</v>
      </c>
      <c r="I1223" s="103"/>
      <c r="J1223" s="1334" t="e">
        <f>VLOOKUP(C1223,Acc_Char!B:K,3,)</f>
        <v>#N/A</v>
      </c>
      <c r="K1223" s="1334" t="e">
        <f>VLOOKUP(C1223,Acc_Char!B:K,7,)</f>
        <v>#N/A</v>
      </c>
      <c r="L1223" s="1334">
        <f t="shared" si="67"/>
        <v>0</v>
      </c>
      <c r="M1223" s="1335" t="e">
        <f>VLOOKUP(C1223,Acc_Char!B:K,5,)</f>
        <v>#N/A</v>
      </c>
      <c r="N1223" s="1335" t="e">
        <f>VLOOKUP(C1223,Acc_Char!B:K,6,)</f>
        <v>#N/A</v>
      </c>
      <c r="O1223" s="1336" t="str">
        <f>Summary!$B$4</f>
        <v>W1-2Jan26</v>
      </c>
      <c r="P1223" s="1334" t="str">
        <f t="shared" si="68"/>
        <v>0</v>
      </c>
    </row>
    <row r="1224" spans="1:16">
      <c r="A1224"/>
      <c r="B1224" s="34"/>
      <c r="C1224" s="34"/>
      <c r="D1224" s="1389"/>
      <c r="E1224"/>
      <c r="F1224" s="57"/>
      <c r="G1224" s="57"/>
      <c r="H1224" s="1082">
        <f t="shared" si="66"/>
        <v>0</v>
      </c>
      <c r="I1224" s="103"/>
      <c r="J1224" s="1334" t="e">
        <f>VLOOKUP(C1224,Acc_Char!B:K,3,)</f>
        <v>#N/A</v>
      </c>
      <c r="K1224" s="1334" t="e">
        <f>VLOOKUP(C1224,Acc_Char!B:K,7,)</f>
        <v>#N/A</v>
      </c>
      <c r="L1224" s="1334">
        <f t="shared" si="67"/>
        <v>0</v>
      </c>
      <c r="M1224" s="1335" t="e">
        <f>VLOOKUP(C1224,Acc_Char!B:K,5,)</f>
        <v>#N/A</v>
      </c>
      <c r="N1224" s="1335" t="e">
        <f>VLOOKUP(C1224,Acc_Char!B:K,6,)</f>
        <v>#N/A</v>
      </c>
      <c r="O1224" s="1336" t="str">
        <f>Summary!$B$4</f>
        <v>W1-2Jan26</v>
      </c>
      <c r="P1224" s="1334" t="str">
        <f t="shared" si="68"/>
        <v>0</v>
      </c>
    </row>
    <row r="1225" spans="1:16">
      <c r="A1225"/>
      <c r="B1225" s="34"/>
      <c r="C1225" s="34"/>
      <c r="D1225" s="1389"/>
      <c r="E1225"/>
      <c r="F1225" s="57"/>
      <c r="G1225" s="57"/>
      <c r="H1225" s="1082">
        <f t="shared" si="66"/>
        <v>0</v>
      </c>
      <c r="I1225" s="103"/>
      <c r="J1225" s="1334" t="e">
        <f>VLOOKUP(C1225,Acc_Char!B:K,3,)</f>
        <v>#N/A</v>
      </c>
      <c r="K1225" s="1334" t="e">
        <f>VLOOKUP(C1225,Acc_Char!B:K,7,)</f>
        <v>#N/A</v>
      </c>
      <c r="L1225" s="1334">
        <f t="shared" si="67"/>
        <v>0</v>
      </c>
      <c r="M1225" s="1335" t="e">
        <f>VLOOKUP(C1225,Acc_Char!B:K,5,)</f>
        <v>#N/A</v>
      </c>
      <c r="N1225" s="1335" t="e">
        <f>VLOOKUP(C1225,Acc_Char!B:K,6,)</f>
        <v>#N/A</v>
      </c>
      <c r="O1225" s="1336" t="str">
        <f>Summary!$B$4</f>
        <v>W1-2Jan26</v>
      </c>
      <c r="P1225" s="1334" t="str">
        <f t="shared" si="68"/>
        <v>0</v>
      </c>
    </row>
    <row r="1226" spans="1:16">
      <c r="A1226"/>
      <c r="B1226" s="34"/>
      <c r="C1226" s="34"/>
      <c r="D1226" s="1389"/>
      <c r="E1226"/>
      <c r="F1226" s="57"/>
      <c r="G1226" s="57"/>
      <c r="H1226" s="1082">
        <f t="shared" si="66"/>
        <v>0</v>
      </c>
      <c r="I1226" s="103"/>
      <c r="J1226" s="1334" t="e">
        <f>VLOOKUP(C1226,Acc_Char!B:K,3,)</f>
        <v>#N/A</v>
      </c>
      <c r="K1226" s="1334" t="e">
        <f>VLOOKUP(C1226,Acc_Char!B:K,7,)</f>
        <v>#N/A</v>
      </c>
      <c r="L1226" s="1334">
        <f t="shared" si="67"/>
        <v>0</v>
      </c>
      <c r="M1226" s="1335" t="e">
        <f>VLOOKUP(C1226,Acc_Char!B:K,5,)</f>
        <v>#N/A</v>
      </c>
      <c r="N1226" s="1335" t="e">
        <f>VLOOKUP(C1226,Acc_Char!B:K,6,)</f>
        <v>#N/A</v>
      </c>
      <c r="O1226" s="1336" t="str">
        <f>Summary!$B$4</f>
        <v>W1-2Jan26</v>
      </c>
      <c r="P1226" s="1334" t="str">
        <f t="shared" si="68"/>
        <v>0</v>
      </c>
    </row>
    <row r="1227" spans="1:16">
      <c r="A1227"/>
      <c r="B1227" s="34"/>
      <c r="C1227" s="34"/>
      <c r="D1227" s="1389"/>
      <c r="E1227"/>
      <c r="F1227" s="57"/>
      <c r="G1227" s="57"/>
      <c r="H1227" s="1082">
        <f t="shared" si="66"/>
        <v>0</v>
      </c>
      <c r="J1227" s="1334" t="e">
        <f>VLOOKUP(C1227,Acc_Char!B:K,3,)</f>
        <v>#N/A</v>
      </c>
      <c r="K1227" s="1334" t="e">
        <f>VLOOKUP(C1227,Acc_Char!B:K,7,)</f>
        <v>#N/A</v>
      </c>
      <c r="L1227" s="1334">
        <f t="shared" si="67"/>
        <v>0</v>
      </c>
      <c r="M1227" s="1335" t="e">
        <f>VLOOKUP(C1227,Acc_Char!B:K,5,)</f>
        <v>#N/A</v>
      </c>
      <c r="N1227" s="1335" t="e">
        <f>VLOOKUP(C1227,Acc_Char!B:K,6,)</f>
        <v>#N/A</v>
      </c>
      <c r="O1227" s="1336" t="str">
        <f>Summary!$B$4</f>
        <v>W1-2Jan26</v>
      </c>
      <c r="P1227" s="1334" t="str">
        <f t="shared" si="68"/>
        <v>0</v>
      </c>
    </row>
    <row r="1228" spans="1:16">
      <c r="A1228"/>
      <c r="B1228" s="34"/>
      <c r="C1228" s="34"/>
      <c r="D1228" s="1389"/>
      <c r="E1228"/>
      <c r="F1228" s="57"/>
      <c r="G1228" s="57"/>
      <c r="H1228" s="1082">
        <f t="shared" si="66"/>
        <v>0</v>
      </c>
      <c r="J1228" s="1334" t="e">
        <f>VLOOKUP(C1228,Acc_Char!B:K,3,)</f>
        <v>#N/A</v>
      </c>
      <c r="K1228" s="1334" t="e">
        <f>VLOOKUP(C1228,Acc_Char!B:K,7,)</f>
        <v>#N/A</v>
      </c>
      <c r="L1228" s="1334">
        <f t="shared" si="67"/>
        <v>0</v>
      </c>
      <c r="M1228" s="1335" t="e">
        <f>VLOOKUP(C1228,Acc_Char!B:K,5,)</f>
        <v>#N/A</v>
      </c>
      <c r="N1228" s="1335" t="e">
        <f>VLOOKUP(C1228,Acc_Char!B:K,6,)</f>
        <v>#N/A</v>
      </c>
      <c r="O1228" s="1336" t="str">
        <f>Summary!$B$4</f>
        <v>W1-2Jan26</v>
      </c>
      <c r="P1228" s="1334" t="str">
        <f t="shared" si="68"/>
        <v>0</v>
      </c>
    </row>
    <row r="1229" spans="1:16">
      <c r="A1229"/>
      <c r="B1229" s="34"/>
      <c r="C1229" s="34"/>
      <c r="D1229" s="1389"/>
      <c r="E1229"/>
      <c r="F1229" s="57"/>
      <c r="G1229" s="57"/>
      <c r="H1229" s="1082">
        <f t="shared" si="66"/>
        <v>0</v>
      </c>
      <c r="J1229" s="1334" t="e">
        <f>VLOOKUP(C1229,Acc_Char!B:K,3,)</f>
        <v>#N/A</v>
      </c>
      <c r="K1229" s="1334" t="e">
        <f>VLOOKUP(C1229,Acc_Char!B:K,7,)</f>
        <v>#N/A</v>
      </c>
      <c r="L1229" s="1334">
        <f t="shared" si="67"/>
        <v>0</v>
      </c>
      <c r="M1229" s="1335" t="e">
        <f>VLOOKUP(C1229,Acc_Char!B:K,5,)</f>
        <v>#N/A</v>
      </c>
      <c r="N1229" s="1335" t="e">
        <f>VLOOKUP(C1229,Acc_Char!B:K,6,)</f>
        <v>#N/A</v>
      </c>
      <c r="O1229" s="1336" t="str">
        <f>Summary!$B$4</f>
        <v>W1-2Jan26</v>
      </c>
      <c r="P1229" s="1334" t="str">
        <f t="shared" si="68"/>
        <v>0</v>
      </c>
    </row>
    <row r="1230" spans="1:16">
      <c r="A1230"/>
      <c r="B1230" s="34"/>
      <c r="C1230" s="34"/>
      <c r="D1230" s="1389"/>
      <c r="E1230"/>
      <c r="F1230" s="57"/>
      <c r="G1230" s="57"/>
      <c r="H1230" s="1082">
        <f t="shared" si="66"/>
        <v>0</v>
      </c>
      <c r="I1230" s="103"/>
      <c r="J1230" s="1334" t="e">
        <f>VLOOKUP(C1230,Acc_Char!B:K,3,)</f>
        <v>#N/A</v>
      </c>
      <c r="K1230" s="1334" t="e">
        <f>VLOOKUP(C1230,Acc_Char!B:K,7,)</f>
        <v>#N/A</v>
      </c>
      <c r="L1230" s="1334">
        <f t="shared" si="67"/>
        <v>0</v>
      </c>
      <c r="M1230" s="1335" t="e">
        <f>VLOOKUP(C1230,Acc_Char!B:K,5,)</f>
        <v>#N/A</v>
      </c>
      <c r="N1230" s="1335" t="e">
        <f>VLOOKUP(C1230,Acc_Char!B:K,6,)</f>
        <v>#N/A</v>
      </c>
      <c r="O1230" s="1336" t="str">
        <f>Summary!$B$4</f>
        <v>W1-2Jan26</v>
      </c>
      <c r="P1230" s="1334" t="str">
        <f t="shared" si="68"/>
        <v>0</v>
      </c>
    </row>
    <row r="1231" spans="1:16">
      <c r="A1231"/>
      <c r="B1231" s="34"/>
      <c r="C1231" s="34"/>
      <c r="D1231" s="1389"/>
      <c r="E1231"/>
      <c r="F1231" s="57"/>
      <c r="G1231" s="57"/>
      <c r="H1231" s="1082">
        <f t="shared" si="66"/>
        <v>0</v>
      </c>
      <c r="I1231" s="103"/>
      <c r="J1231" s="1334" t="e">
        <f>VLOOKUP(C1231,Acc_Char!B:K,3,)</f>
        <v>#N/A</v>
      </c>
      <c r="K1231" s="1334" t="e">
        <f>VLOOKUP(C1231,Acc_Char!B:K,7,)</f>
        <v>#N/A</v>
      </c>
      <c r="L1231" s="1334">
        <f t="shared" si="67"/>
        <v>0</v>
      </c>
      <c r="M1231" s="1335" t="e">
        <f>VLOOKUP(C1231,Acc_Char!B:K,5,)</f>
        <v>#N/A</v>
      </c>
      <c r="N1231" s="1335" t="e">
        <f>VLOOKUP(C1231,Acc_Char!B:K,6,)</f>
        <v>#N/A</v>
      </c>
      <c r="O1231" s="1336" t="str">
        <f>Summary!$B$4</f>
        <v>W1-2Jan26</v>
      </c>
      <c r="P1231" s="1334" t="str">
        <f t="shared" si="68"/>
        <v>0</v>
      </c>
    </row>
    <row r="1232" spans="1:16">
      <c r="A1232"/>
      <c r="B1232" s="34"/>
      <c r="C1232" s="34"/>
      <c r="D1232" s="1389"/>
      <c r="E1232"/>
      <c r="F1232" s="57"/>
      <c r="G1232" s="57"/>
      <c r="H1232" s="1082">
        <f t="shared" si="66"/>
        <v>0</v>
      </c>
      <c r="J1232" s="1334" t="e">
        <f>VLOOKUP(C1232,Acc_Char!B:K,3,)</f>
        <v>#N/A</v>
      </c>
      <c r="K1232" s="1334" t="e">
        <f>VLOOKUP(C1232,Acc_Char!B:K,7,)</f>
        <v>#N/A</v>
      </c>
      <c r="L1232" s="1334">
        <f t="shared" si="67"/>
        <v>0</v>
      </c>
      <c r="M1232" s="1335" t="e">
        <f>VLOOKUP(C1232,Acc_Char!B:K,5,)</f>
        <v>#N/A</v>
      </c>
      <c r="N1232" s="1335" t="e">
        <f>VLOOKUP(C1232,Acc_Char!B:K,6,)</f>
        <v>#N/A</v>
      </c>
      <c r="O1232" s="1336" t="str">
        <f>Summary!$B$4</f>
        <v>W1-2Jan26</v>
      </c>
      <c r="P1232" s="1334" t="str">
        <f t="shared" si="68"/>
        <v>0</v>
      </c>
    </row>
    <row r="1233" spans="1:16">
      <c r="A1233"/>
      <c r="B1233" s="34"/>
      <c r="C1233" s="34"/>
      <c r="D1233" s="1389"/>
      <c r="E1233"/>
      <c r="F1233" s="57"/>
      <c r="G1233" s="57"/>
      <c r="H1233" s="1082">
        <f t="shared" si="66"/>
        <v>0</v>
      </c>
      <c r="J1233" s="1334" t="e">
        <f>VLOOKUP(C1233,Acc_Char!B:K,3,)</f>
        <v>#N/A</v>
      </c>
      <c r="K1233" s="1334" t="e">
        <f>VLOOKUP(C1233,Acc_Char!B:K,7,)</f>
        <v>#N/A</v>
      </c>
      <c r="L1233" s="1334">
        <f t="shared" si="67"/>
        <v>0</v>
      </c>
      <c r="M1233" s="1335" t="e">
        <f>VLOOKUP(C1233,Acc_Char!B:K,5,)</f>
        <v>#N/A</v>
      </c>
      <c r="N1233" s="1335" t="e">
        <f>VLOOKUP(C1233,Acc_Char!B:K,6,)</f>
        <v>#N/A</v>
      </c>
      <c r="O1233" s="1336" t="str">
        <f>Summary!$B$4</f>
        <v>W1-2Jan26</v>
      </c>
      <c r="P1233" s="1334" t="str">
        <f t="shared" si="68"/>
        <v>0</v>
      </c>
    </row>
    <row r="1234" spans="1:16">
      <c r="A1234"/>
      <c r="B1234" s="34"/>
      <c r="C1234" s="34"/>
      <c r="D1234" s="1389"/>
      <c r="E1234"/>
      <c r="F1234" s="57"/>
      <c r="G1234" s="57"/>
      <c r="H1234" s="1082">
        <f t="shared" si="66"/>
        <v>0</v>
      </c>
      <c r="J1234" s="1334" t="e">
        <f>VLOOKUP(C1234,Acc_Char!B:K,3,)</f>
        <v>#N/A</v>
      </c>
      <c r="K1234" s="1334" t="e">
        <f>VLOOKUP(C1234,Acc_Char!B:K,7,)</f>
        <v>#N/A</v>
      </c>
      <c r="L1234" s="1334">
        <f t="shared" si="67"/>
        <v>0</v>
      </c>
      <c r="M1234" s="1335" t="e">
        <f>VLOOKUP(C1234,Acc_Char!B:K,5,)</f>
        <v>#N/A</v>
      </c>
      <c r="N1234" s="1335" t="e">
        <f>VLOOKUP(C1234,Acc_Char!B:K,6,)</f>
        <v>#N/A</v>
      </c>
      <c r="O1234" s="1336" t="str">
        <f>Summary!$B$4</f>
        <v>W1-2Jan26</v>
      </c>
      <c r="P1234" s="1334" t="str">
        <f t="shared" si="68"/>
        <v>0</v>
      </c>
    </row>
    <row r="1235" spans="1:16">
      <c r="A1235"/>
      <c r="B1235" s="34"/>
      <c r="C1235" s="34"/>
      <c r="D1235" s="1389"/>
      <c r="E1235"/>
      <c r="F1235" s="57"/>
      <c r="G1235" s="57"/>
      <c r="H1235" s="1082">
        <f t="shared" si="66"/>
        <v>0</v>
      </c>
      <c r="J1235" s="1334" t="e">
        <f>VLOOKUP(C1235,Acc_Char!B:K,3,)</f>
        <v>#N/A</v>
      </c>
      <c r="K1235" s="1334" t="e">
        <f>VLOOKUP(C1235,Acc_Char!B:K,7,)</f>
        <v>#N/A</v>
      </c>
      <c r="L1235" s="1334">
        <f t="shared" si="67"/>
        <v>0</v>
      </c>
      <c r="M1235" s="1335" t="e">
        <f>VLOOKUP(C1235,Acc_Char!B:K,5,)</f>
        <v>#N/A</v>
      </c>
      <c r="N1235" s="1335" t="e">
        <f>VLOOKUP(C1235,Acc_Char!B:K,6,)</f>
        <v>#N/A</v>
      </c>
      <c r="O1235" s="1336" t="str">
        <f>Summary!$B$4</f>
        <v>W1-2Jan26</v>
      </c>
      <c r="P1235" s="1334" t="str">
        <f t="shared" si="68"/>
        <v>0</v>
      </c>
    </row>
    <row r="1236" spans="1:16">
      <c r="A1236"/>
      <c r="B1236" s="34"/>
      <c r="C1236" s="34"/>
      <c r="D1236" s="1389"/>
      <c r="E1236"/>
      <c r="F1236" s="57"/>
      <c r="G1236" s="57"/>
      <c r="H1236" s="1082">
        <f t="shared" si="66"/>
        <v>0</v>
      </c>
      <c r="J1236" s="1334" t="e">
        <f>VLOOKUP(C1236,Acc_Char!B:K,3,)</f>
        <v>#N/A</v>
      </c>
      <c r="K1236" s="1334" t="e">
        <f>VLOOKUP(C1236,Acc_Char!B:K,7,)</f>
        <v>#N/A</v>
      </c>
      <c r="L1236" s="1334">
        <f t="shared" si="67"/>
        <v>0</v>
      </c>
      <c r="M1236" s="1335" t="e">
        <f>VLOOKUP(C1236,Acc_Char!B:K,5,)</f>
        <v>#N/A</v>
      </c>
      <c r="N1236" s="1335" t="e">
        <f>VLOOKUP(C1236,Acc_Char!B:K,6,)</f>
        <v>#N/A</v>
      </c>
      <c r="O1236" s="1336" t="str">
        <f>Summary!$B$4</f>
        <v>W1-2Jan26</v>
      </c>
      <c r="P1236" s="1334" t="str">
        <f t="shared" si="68"/>
        <v>0</v>
      </c>
    </row>
    <row r="1237" spans="1:16">
      <c r="A1237"/>
      <c r="B1237" s="34"/>
      <c r="C1237" s="34"/>
      <c r="D1237" s="1389"/>
      <c r="E1237"/>
      <c r="F1237" s="57"/>
      <c r="G1237" s="57"/>
      <c r="H1237" s="1082">
        <f t="shared" si="66"/>
        <v>0</v>
      </c>
      <c r="J1237" s="1334" t="e">
        <f>VLOOKUP(C1237,Acc_Char!B:K,3,)</f>
        <v>#N/A</v>
      </c>
      <c r="K1237" s="1334" t="e">
        <f>VLOOKUP(C1237,Acc_Char!B:K,7,)</f>
        <v>#N/A</v>
      </c>
      <c r="L1237" s="1334">
        <f t="shared" si="67"/>
        <v>0</v>
      </c>
      <c r="M1237" s="1335" t="e">
        <f>VLOOKUP(C1237,Acc_Char!B:K,5,)</f>
        <v>#N/A</v>
      </c>
      <c r="N1237" s="1335" t="e">
        <f>VLOOKUP(C1237,Acc_Char!B:K,6,)</f>
        <v>#N/A</v>
      </c>
      <c r="O1237" s="1336" t="str">
        <f>Summary!$B$4</f>
        <v>W1-2Jan26</v>
      </c>
      <c r="P1237" s="1334" t="str">
        <f t="shared" si="68"/>
        <v>0</v>
      </c>
    </row>
    <row r="1238" spans="1:16">
      <c r="A1238"/>
      <c r="B1238" s="34"/>
      <c r="C1238" s="34"/>
      <c r="D1238" s="1389"/>
      <c r="E1238"/>
      <c r="F1238" s="57"/>
      <c r="G1238" s="57"/>
      <c r="H1238" s="1082">
        <f t="shared" si="66"/>
        <v>0</v>
      </c>
      <c r="J1238" s="1334" t="e">
        <f>VLOOKUP(C1238,Acc_Char!B:K,3,)</f>
        <v>#N/A</v>
      </c>
      <c r="K1238" s="1334" t="e">
        <f>VLOOKUP(C1238,Acc_Char!B:K,7,)</f>
        <v>#N/A</v>
      </c>
      <c r="L1238" s="1334">
        <f t="shared" si="67"/>
        <v>0</v>
      </c>
      <c r="M1238" s="1335" t="e">
        <f>VLOOKUP(C1238,Acc_Char!B:K,5,)</f>
        <v>#N/A</v>
      </c>
      <c r="N1238" s="1335" t="e">
        <f>VLOOKUP(C1238,Acc_Char!B:K,6,)</f>
        <v>#N/A</v>
      </c>
      <c r="O1238" s="1336" t="str">
        <f>Summary!$B$4</f>
        <v>W1-2Jan26</v>
      </c>
      <c r="P1238" s="1334" t="str">
        <f t="shared" si="68"/>
        <v>0</v>
      </c>
    </row>
    <row r="1239" spans="1:16">
      <c r="A1239"/>
      <c r="B1239" s="34"/>
      <c r="C1239" s="34"/>
      <c r="D1239" s="1389"/>
      <c r="E1239"/>
      <c r="F1239" s="57"/>
      <c r="G1239" s="57"/>
      <c r="H1239" s="1082">
        <f t="shared" si="66"/>
        <v>0</v>
      </c>
      <c r="J1239" s="1334" t="e">
        <f>VLOOKUP(C1239,Acc_Char!B:K,3,)</f>
        <v>#N/A</v>
      </c>
      <c r="K1239" s="1334" t="e">
        <f>VLOOKUP(C1239,Acc_Char!B:K,7,)</f>
        <v>#N/A</v>
      </c>
      <c r="L1239" s="1334">
        <f t="shared" si="67"/>
        <v>0</v>
      </c>
      <c r="M1239" s="1335" t="e">
        <f>VLOOKUP(C1239,Acc_Char!B:K,5,)</f>
        <v>#N/A</v>
      </c>
      <c r="N1239" s="1335" t="e">
        <f>VLOOKUP(C1239,Acc_Char!B:K,6,)</f>
        <v>#N/A</v>
      </c>
      <c r="O1239" s="1336" t="str">
        <f>Summary!$B$4</f>
        <v>W1-2Jan26</v>
      </c>
      <c r="P1239" s="1334" t="str">
        <f t="shared" si="68"/>
        <v>0</v>
      </c>
    </row>
    <row r="1240" spans="1:16">
      <c r="A1240"/>
      <c r="B1240" s="34"/>
      <c r="C1240" s="34"/>
      <c r="D1240" s="1389"/>
      <c r="E1240"/>
      <c r="F1240" s="57"/>
      <c r="G1240" s="57"/>
      <c r="H1240" s="1082">
        <f t="shared" si="66"/>
        <v>0</v>
      </c>
      <c r="J1240" s="1334" t="e">
        <f>VLOOKUP(C1240,Acc_Char!B:K,3,)</f>
        <v>#N/A</v>
      </c>
      <c r="K1240" s="1334" t="e">
        <f>VLOOKUP(C1240,Acc_Char!B:K,7,)</f>
        <v>#N/A</v>
      </c>
      <c r="L1240" s="1334">
        <f t="shared" si="67"/>
        <v>0</v>
      </c>
      <c r="M1240" s="1335" t="e">
        <f>VLOOKUP(C1240,Acc_Char!B:K,5,)</f>
        <v>#N/A</v>
      </c>
      <c r="N1240" s="1335" t="e">
        <f>VLOOKUP(C1240,Acc_Char!B:K,6,)</f>
        <v>#N/A</v>
      </c>
      <c r="O1240" s="1336" t="str">
        <f>Summary!$B$4</f>
        <v>W1-2Jan26</v>
      </c>
      <c r="P1240" s="1334" t="str">
        <f t="shared" si="68"/>
        <v>0</v>
      </c>
    </row>
    <row r="1241" spans="1:16">
      <c r="A1241"/>
      <c r="B1241" s="34"/>
      <c r="C1241" s="34"/>
      <c r="D1241" s="1389"/>
      <c r="E1241"/>
      <c r="F1241" s="57"/>
      <c r="G1241" s="57"/>
      <c r="H1241" s="1082">
        <f t="shared" si="66"/>
        <v>0</v>
      </c>
      <c r="J1241" s="1334" t="e">
        <f>VLOOKUP(C1241,Acc_Char!B:K,3,)</f>
        <v>#N/A</v>
      </c>
      <c r="K1241" s="1334" t="e">
        <f>VLOOKUP(C1241,Acc_Char!B:K,7,)</f>
        <v>#N/A</v>
      </c>
      <c r="L1241" s="1334">
        <f t="shared" si="67"/>
        <v>0</v>
      </c>
      <c r="M1241" s="1335" t="e">
        <f>VLOOKUP(C1241,Acc_Char!B:K,5,)</f>
        <v>#N/A</v>
      </c>
      <c r="N1241" s="1335" t="e">
        <f>VLOOKUP(C1241,Acc_Char!B:K,6,)</f>
        <v>#N/A</v>
      </c>
      <c r="O1241" s="1336" t="str">
        <f>Summary!$B$4</f>
        <v>W1-2Jan26</v>
      </c>
      <c r="P1241" s="1334" t="str">
        <f t="shared" si="68"/>
        <v>0</v>
      </c>
    </row>
    <row r="1242" spans="1:16">
      <c r="A1242"/>
      <c r="B1242" s="34"/>
      <c r="C1242" s="34"/>
      <c r="D1242" s="1389"/>
      <c r="E1242"/>
      <c r="F1242" s="57"/>
      <c r="G1242" s="57"/>
      <c r="H1242" s="1082">
        <f t="shared" si="66"/>
        <v>0</v>
      </c>
      <c r="J1242" s="1334" t="e">
        <f>VLOOKUP(C1242,Acc_Char!B:K,3,)</f>
        <v>#N/A</v>
      </c>
      <c r="K1242" s="1334" t="e">
        <f>VLOOKUP(C1242,Acc_Char!B:K,7,)</f>
        <v>#N/A</v>
      </c>
      <c r="L1242" s="1334">
        <f t="shared" si="67"/>
        <v>0</v>
      </c>
      <c r="M1242" s="1335" t="e">
        <f>VLOOKUP(C1242,Acc_Char!B:K,5,)</f>
        <v>#N/A</v>
      </c>
      <c r="N1242" s="1335" t="e">
        <f>VLOOKUP(C1242,Acc_Char!B:K,6,)</f>
        <v>#N/A</v>
      </c>
      <c r="O1242" s="1336" t="str">
        <f>Summary!$B$4</f>
        <v>W1-2Jan26</v>
      </c>
      <c r="P1242" s="1334" t="str">
        <f t="shared" si="68"/>
        <v>0</v>
      </c>
    </row>
    <row r="1243" spans="1:16">
      <c r="A1243"/>
      <c r="B1243" s="34"/>
      <c r="C1243" s="34"/>
      <c r="D1243" s="1389"/>
      <c r="E1243"/>
      <c r="F1243" s="57"/>
      <c r="G1243" s="57"/>
      <c r="H1243" s="1082">
        <f t="shared" si="66"/>
        <v>0</v>
      </c>
      <c r="J1243" s="1334" t="e">
        <f>VLOOKUP(C1243,Acc_Char!B:K,3,)</f>
        <v>#N/A</v>
      </c>
      <c r="K1243" s="1334" t="e">
        <f>VLOOKUP(C1243,Acc_Char!B:K,7,)</f>
        <v>#N/A</v>
      </c>
      <c r="L1243" s="1334">
        <f t="shared" si="67"/>
        <v>0</v>
      </c>
      <c r="M1243" s="1335" t="e">
        <f>VLOOKUP(C1243,Acc_Char!B:K,5,)</f>
        <v>#N/A</v>
      </c>
      <c r="N1243" s="1335" t="e">
        <f>VLOOKUP(C1243,Acc_Char!B:K,6,)</f>
        <v>#N/A</v>
      </c>
      <c r="O1243" s="1336" t="str">
        <f>Summary!$B$4</f>
        <v>W1-2Jan26</v>
      </c>
      <c r="P1243" s="1334" t="str">
        <f t="shared" si="68"/>
        <v>0</v>
      </c>
    </row>
    <row r="1244" spans="1:16">
      <c r="A1244"/>
      <c r="B1244" s="34"/>
      <c r="C1244" s="34"/>
      <c r="D1244" s="1389"/>
      <c r="E1244"/>
      <c r="F1244" s="57"/>
      <c r="G1244" s="57"/>
      <c r="H1244" s="1082">
        <f t="shared" si="66"/>
        <v>0</v>
      </c>
      <c r="J1244" s="1334" t="e">
        <f>VLOOKUP(C1244,Acc_Char!B:K,3,)</f>
        <v>#N/A</v>
      </c>
      <c r="K1244" s="1334" t="e">
        <f>VLOOKUP(C1244,Acc_Char!B:K,7,)</f>
        <v>#N/A</v>
      </c>
      <c r="L1244" s="1334">
        <f t="shared" si="67"/>
        <v>0</v>
      </c>
      <c r="M1244" s="1335" t="e">
        <f>VLOOKUP(C1244,Acc_Char!B:K,5,)</f>
        <v>#N/A</v>
      </c>
      <c r="N1244" s="1335" t="e">
        <f>VLOOKUP(C1244,Acc_Char!B:K,6,)</f>
        <v>#N/A</v>
      </c>
      <c r="O1244" s="1336" t="str">
        <f>Summary!$B$4</f>
        <v>W1-2Jan26</v>
      </c>
      <c r="P1244" s="1334" t="str">
        <f t="shared" si="68"/>
        <v>0</v>
      </c>
    </row>
    <row r="1245" spans="1:16">
      <c r="A1245"/>
      <c r="B1245" s="34"/>
      <c r="C1245" s="34"/>
      <c r="D1245" s="1389"/>
      <c r="E1245"/>
      <c r="F1245" s="57"/>
      <c r="G1245" s="57"/>
      <c r="H1245" s="1017">
        <f t="shared" si="66"/>
        <v>0</v>
      </c>
      <c r="I1245" s="1333"/>
      <c r="J1245" s="1334" t="e">
        <f>VLOOKUP(C1245,Acc_Char!B:K,3,)</f>
        <v>#N/A</v>
      </c>
      <c r="K1245" s="1334" t="e">
        <f>VLOOKUP(C1245,Acc_Char!B:K,7,)</f>
        <v>#N/A</v>
      </c>
      <c r="L1245" s="1334">
        <f t="shared" si="67"/>
        <v>0</v>
      </c>
      <c r="M1245" s="1335" t="e">
        <f>VLOOKUP(C1245,Acc_Char!B:K,5,)</f>
        <v>#N/A</v>
      </c>
      <c r="N1245" s="1335" t="e">
        <f>VLOOKUP(C1245,Acc_Char!B:K,6,)</f>
        <v>#N/A</v>
      </c>
      <c r="O1245" s="1336" t="str">
        <f>Summary!$B$4</f>
        <v>W1-2Jan26</v>
      </c>
      <c r="P1245" s="1334" t="str">
        <f t="shared" si="68"/>
        <v>0</v>
      </c>
    </row>
    <row r="1246" spans="1:16">
      <c r="A1246"/>
      <c r="B1246" s="34"/>
      <c r="C1246" s="34"/>
      <c r="D1246" s="1389"/>
      <c r="E1246"/>
      <c r="F1246" s="57"/>
      <c r="G1246" s="57"/>
      <c r="H1246" s="1152">
        <f t="shared" si="66"/>
        <v>0</v>
      </c>
      <c r="J1246" s="1334" t="e">
        <f>VLOOKUP(C1246,Acc_Char!B:K,3,)</f>
        <v>#N/A</v>
      </c>
      <c r="K1246" s="1334" t="e">
        <f>VLOOKUP(C1246,Acc_Char!B:K,7,)</f>
        <v>#N/A</v>
      </c>
      <c r="L1246" s="1334">
        <f t="shared" si="67"/>
        <v>0</v>
      </c>
      <c r="M1246" s="1335" t="e">
        <f>VLOOKUP(C1246,Acc_Char!B:K,5,)</f>
        <v>#N/A</v>
      </c>
      <c r="N1246" s="1335" t="e">
        <f>VLOOKUP(C1246,Acc_Char!B:K,6,)</f>
        <v>#N/A</v>
      </c>
      <c r="O1246" s="1336" t="str">
        <f>Summary!$B$4</f>
        <v>W1-2Jan26</v>
      </c>
      <c r="P1246" s="1334" t="str">
        <f t="shared" si="68"/>
        <v>0</v>
      </c>
    </row>
    <row r="1247" spans="1:16">
      <c r="A1247"/>
      <c r="B1247" s="34"/>
      <c r="C1247" s="34"/>
      <c r="D1247" s="1389"/>
      <c r="E1247"/>
      <c r="F1247" s="57"/>
      <c r="G1247" s="57"/>
      <c r="H1247" s="1152">
        <f t="shared" si="66"/>
        <v>0</v>
      </c>
      <c r="J1247" s="1334" t="e">
        <f>VLOOKUP(C1247,Acc_Char!B:K,3,)</f>
        <v>#N/A</v>
      </c>
      <c r="K1247" s="1334" t="e">
        <f>VLOOKUP(C1247,Acc_Char!B:K,7,)</f>
        <v>#N/A</v>
      </c>
      <c r="L1247" s="1334">
        <f t="shared" si="67"/>
        <v>0</v>
      </c>
      <c r="M1247" s="1335" t="e">
        <f>VLOOKUP(C1247,Acc_Char!B:K,5,)</f>
        <v>#N/A</v>
      </c>
      <c r="N1247" s="1335" t="e">
        <f>VLOOKUP(C1247,Acc_Char!B:K,6,)</f>
        <v>#N/A</v>
      </c>
      <c r="O1247" s="1336" t="str">
        <f>Summary!$B$4</f>
        <v>W1-2Jan26</v>
      </c>
      <c r="P1247" s="1334" t="str">
        <f t="shared" si="68"/>
        <v>0</v>
      </c>
    </row>
    <row r="1248" spans="1:16">
      <c r="A1248"/>
      <c r="B1248" s="34"/>
      <c r="C1248" s="34"/>
      <c r="D1248" s="1389"/>
      <c r="E1248"/>
      <c r="F1248" s="57"/>
      <c r="G1248" s="57"/>
      <c r="H1248" s="1152">
        <f t="shared" si="66"/>
        <v>0</v>
      </c>
      <c r="J1248" s="1334" t="e">
        <f>VLOOKUP(C1248,Acc_Char!B:K,3,)</f>
        <v>#N/A</v>
      </c>
      <c r="K1248" s="1334" t="e">
        <f>VLOOKUP(C1248,Acc_Char!B:K,7,)</f>
        <v>#N/A</v>
      </c>
      <c r="L1248" s="1334">
        <f t="shared" si="67"/>
        <v>0</v>
      </c>
      <c r="M1248" s="1335" t="e">
        <f>VLOOKUP(C1248,Acc_Char!B:K,5,)</f>
        <v>#N/A</v>
      </c>
      <c r="N1248" s="1335" t="e">
        <f>VLOOKUP(C1248,Acc_Char!B:K,6,)</f>
        <v>#N/A</v>
      </c>
      <c r="O1248" s="1336" t="str">
        <f>Summary!$B$4</f>
        <v>W1-2Jan26</v>
      </c>
      <c r="P1248" s="1334" t="str">
        <f t="shared" si="68"/>
        <v>0</v>
      </c>
    </row>
    <row r="1249" spans="1:16">
      <c r="A1249"/>
      <c r="B1249" s="34"/>
      <c r="C1249" s="34"/>
      <c r="D1249" s="1389"/>
      <c r="E1249"/>
      <c r="F1249" s="57"/>
      <c r="G1249" s="57"/>
      <c r="H1249" s="1152">
        <f t="shared" si="66"/>
        <v>0</v>
      </c>
      <c r="J1249" s="1334" t="e">
        <f>VLOOKUP(C1249,Acc_Char!B:K,3,)</f>
        <v>#N/A</v>
      </c>
      <c r="K1249" s="1334" t="e">
        <f>VLOOKUP(C1249,Acc_Char!B:K,7,)</f>
        <v>#N/A</v>
      </c>
      <c r="L1249" s="1334">
        <f t="shared" si="67"/>
        <v>0</v>
      </c>
      <c r="M1249" s="1335" t="e">
        <f>VLOOKUP(C1249,Acc_Char!B:K,5,)</f>
        <v>#N/A</v>
      </c>
      <c r="N1249" s="1335" t="e">
        <f>VLOOKUP(C1249,Acc_Char!B:K,6,)</f>
        <v>#N/A</v>
      </c>
      <c r="O1249" s="1336" t="str">
        <f>Summary!$B$4</f>
        <v>W1-2Jan26</v>
      </c>
      <c r="P1249" s="1334" t="str">
        <f t="shared" si="68"/>
        <v>0</v>
      </c>
    </row>
    <row r="1250" spans="1:16">
      <c r="A1250"/>
      <c r="B1250" s="34"/>
      <c r="C1250" s="34"/>
      <c r="D1250" s="1389"/>
      <c r="E1250"/>
      <c r="F1250" s="57"/>
      <c r="G1250" s="57"/>
      <c r="H1250" s="1152">
        <f t="shared" si="66"/>
        <v>0</v>
      </c>
      <c r="J1250" s="1334" t="e">
        <f>VLOOKUP(C1250,Acc_Char!B:K,3,)</f>
        <v>#N/A</v>
      </c>
      <c r="K1250" s="1334" t="e">
        <f>VLOOKUP(C1250,Acc_Char!B:K,7,)</f>
        <v>#N/A</v>
      </c>
      <c r="L1250" s="1334">
        <f t="shared" si="67"/>
        <v>0</v>
      </c>
      <c r="M1250" s="1335" t="e">
        <f>VLOOKUP(C1250,Acc_Char!B:K,5,)</f>
        <v>#N/A</v>
      </c>
      <c r="N1250" s="1335" t="e">
        <f>VLOOKUP(C1250,Acc_Char!B:K,6,)</f>
        <v>#N/A</v>
      </c>
      <c r="O1250" s="1336" t="str">
        <f>Summary!$B$4</f>
        <v>W1-2Jan26</v>
      </c>
      <c r="P1250" s="1334" t="str">
        <f t="shared" si="68"/>
        <v>0</v>
      </c>
    </row>
    <row r="1251" spans="1:16">
      <c r="A1251"/>
      <c r="B1251" s="34"/>
      <c r="C1251" s="34"/>
      <c r="D1251" s="1389"/>
      <c r="E1251"/>
      <c r="F1251" s="57"/>
      <c r="G1251" s="57"/>
      <c r="H1251" s="1152">
        <f t="shared" si="66"/>
        <v>0</v>
      </c>
      <c r="J1251" s="1334" t="e">
        <f>VLOOKUP(C1251,Acc_Char!B:K,3,)</f>
        <v>#N/A</v>
      </c>
      <c r="K1251" s="1334" t="e">
        <f>VLOOKUP(C1251,Acc_Char!B:K,7,)</f>
        <v>#N/A</v>
      </c>
      <c r="L1251" s="1334">
        <f t="shared" si="67"/>
        <v>0</v>
      </c>
      <c r="M1251" s="1335" t="e">
        <f>VLOOKUP(C1251,Acc_Char!B:K,5,)</f>
        <v>#N/A</v>
      </c>
      <c r="N1251" s="1335" t="e">
        <f>VLOOKUP(C1251,Acc_Char!B:K,6,)</f>
        <v>#N/A</v>
      </c>
      <c r="O1251" s="1336" t="str">
        <f>Summary!$B$4</f>
        <v>W1-2Jan26</v>
      </c>
      <c r="P1251" s="1334" t="str">
        <f t="shared" si="68"/>
        <v>0</v>
      </c>
    </row>
    <row r="1252" spans="1:16">
      <c r="A1252"/>
      <c r="B1252" s="34"/>
      <c r="C1252" s="34"/>
      <c r="D1252" s="1389"/>
      <c r="E1252"/>
      <c r="F1252" s="57"/>
      <c r="G1252" s="57"/>
      <c r="H1252" s="1152">
        <f t="shared" si="66"/>
        <v>0</v>
      </c>
      <c r="I1252" s="1333"/>
      <c r="J1252" s="1334" t="e">
        <f>VLOOKUP(C1252,Acc_Char!B:K,3,)</f>
        <v>#N/A</v>
      </c>
      <c r="K1252" s="1334" t="e">
        <f>VLOOKUP(C1252,Acc_Char!B:K,7,)</f>
        <v>#N/A</v>
      </c>
      <c r="L1252" s="1334">
        <f t="shared" si="67"/>
        <v>0</v>
      </c>
      <c r="M1252" s="1335" t="e">
        <f>VLOOKUP(C1252,Acc_Char!B:K,5,)</f>
        <v>#N/A</v>
      </c>
      <c r="N1252" s="1335" t="e">
        <f>VLOOKUP(C1252,Acc_Char!B:K,6,)</f>
        <v>#N/A</v>
      </c>
      <c r="O1252" s="1336" t="str">
        <f>Summary!$B$4</f>
        <v>W1-2Jan26</v>
      </c>
      <c r="P1252" s="1334" t="str">
        <f t="shared" si="68"/>
        <v>0</v>
      </c>
    </row>
    <row r="1253" spans="1:16">
      <c r="A1253"/>
      <c r="B1253" s="34"/>
      <c r="C1253" s="34"/>
      <c r="D1253" s="1389"/>
      <c r="E1253"/>
      <c r="F1253" s="57"/>
      <c r="G1253" s="57"/>
      <c r="H1253" s="1152">
        <f t="shared" si="66"/>
        <v>0</v>
      </c>
      <c r="I1253" s="1333"/>
      <c r="J1253" s="1334" t="e">
        <f>VLOOKUP(C1253,Acc_Char!B:K,3,)</f>
        <v>#N/A</v>
      </c>
      <c r="K1253" s="1334" t="e">
        <f>VLOOKUP(C1253,Acc_Char!B:K,7,)</f>
        <v>#N/A</v>
      </c>
      <c r="L1253" s="1334">
        <f t="shared" si="67"/>
        <v>0</v>
      </c>
      <c r="M1253" s="1335" t="e">
        <f>VLOOKUP(C1253,Acc_Char!B:K,5,)</f>
        <v>#N/A</v>
      </c>
      <c r="N1253" s="1335" t="e">
        <f>VLOOKUP(C1253,Acc_Char!B:K,6,)</f>
        <v>#N/A</v>
      </c>
      <c r="O1253" s="1336" t="str">
        <f>Summary!$B$4</f>
        <v>W1-2Jan26</v>
      </c>
      <c r="P1253" s="1334" t="str">
        <f t="shared" si="68"/>
        <v>0</v>
      </c>
    </row>
    <row r="1254" spans="1:16">
      <c r="A1254"/>
      <c r="B1254" s="34"/>
      <c r="C1254" s="34"/>
      <c r="D1254" s="1389"/>
      <c r="E1254"/>
      <c r="F1254" s="57"/>
      <c r="G1254" s="57"/>
      <c r="H1254" s="1152">
        <f t="shared" si="66"/>
        <v>0</v>
      </c>
      <c r="J1254" s="1334" t="e">
        <f>VLOOKUP(C1254,Acc_Char!B:K,3,)</f>
        <v>#N/A</v>
      </c>
      <c r="K1254" s="1334" t="e">
        <f>VLOOKUP(C1254,Acc_Char!B:K,7,)</f>
        <v>#N/A</v>
      </c>
      <c r="L1254" s="1334">
        <f t="shared" si="67"/>
        <v>0</v>
      </c>
      <c r="M1254" s="1335" t="e">
        <f>VLOOKUP(C1254,Acc_Char!B:K,5,)</f>
        <v>#N/A</v>
      </c>
      <c r="N1254" s="1335" t="e">
        <f>VLOOKUP(C1254,Acc_Char!B:K,6,)</f>
        <v>#N/A</v>
      </c>
      <c r="O1254" s="1336" t="str">
        <f>Summary!$B$4</f>
        <v>W1-2Jan26</v>
      </c>
      <c r="P1254" s="1334" t="str">
        <f t="shared" si="68"/>
        <v>0</v>
      </c>
    </row>
    <row r="1255" spans="1:16">
      <c r="A1255"/>
      <c r="B1255" s="34"/>
      <c r="C1255" s="34"/>
      <c r="D1255" s="1389"/>
      <c r="E1255"/>
      <c r="F1255" s="57"/>
      <c r="G1255" s="57"/>
      <c r="H1255" s="1152">
        <f t="shared" ref="H1255:H1318" si="69">F1255-G1255</f>
        <v>0</v>
      </c>
      <c r="J1255" s="1334" t="e">
        <f>VLOOKUP(C1255,Acc_Char!B:K,3,)</f>
        <v>#N/A</v>
      </c>
      <c r="K1255" s="1334" t="e">
        <f>VLOOKUP(C1255,Acc_Char!B:K,7,)</f>
        <v>#N/A</v>
      </c>
      <c r="L1255" s="1334">
        <f t="shared" si="67"/>
        <v>0</v>
      </c>
      <c r="M1255" s="1335" t="e">
        <f>VLOOKUP(C1255,Acc_Char!B:K,5,)</f>
        <v>#N/A</v>
      </c>
      <c r="N1255" s="1335" t="e">
        <f>VLOOKUP(C1255,Acc_Char!B:K,6,)</f>
        <v>#N/A</v>
      </c>
      <c r="O1255" s="1336" t="str">
        <f>Summary!$B$4</f>
        <v>W1-2Jan26</v>
      </c>
      <c r="P1255" s="1334" t="str">
        <f t="shared" si="68"/>
        <v>0</v>
      </c>
    </row>
    <row r="1256" spans="1:16">
      <c r="A1256"/>
      <c r="B1256" s="34"/>
      <c r="C1256" s="34"/>
      <c r="D1256" s="1389"/>
      <c r="E1256"/>
      <c r="F1256" s="57"/>
      <c r="G1256" s="57"/>
      <c r="H1256" s="1152">
        <f t="shared" si="69"/>
        <v>0</v>
      </c>
      <c r="J1256" s="1334" t="e">
        <f>VLOOKUP(C1256,Acc_Char!B:K,3,)</f>
        <v>#N/A</v>
      </c>
      <c r="K1256" s="1334" t="e">
        <f>VLOOKUP(C1256,Acc_Char!B:K,7,)</f>
        <v>#N/A</v>
      </c>
      <c r="L1256" s="1334">
        <f t="shared" si="67"/>
        <v>0</v>
      </c>
      <c r="M1256" s="1335" t="e">
        <f>VLOOKUP(C1256,Acc_Char!B:K,5,)</f>
        <v>#N/A</v>
      </c>
      <c r="N1256" s="1335" t="e">
        <f>VLOOKUP(C1256,Acc_Char!B:K,6,)</f>
        <v>#N/A</v>
      </c>
      <c r="O1256" s="1336" t="str">
        <f>Summary!$B$4</f>
        <v>W1-2Jan26</v>
      </c>
      <c r="P1256" s="1334" t="str">
        <f t="shared" si="68"/>
        <v>0</v>
      </c>
    </row>
    <row r="1257" spans="1:16">
      <c r="A1257"/>
      <c r="B1257" s="34"/>
      <c r="C1257" s="34"/>
      <c r="D1257" s="1389"/>
      <c r="E1257"/>
      <c r="F1257" s="57"/>
      <c r="G1257" s="57"/>
      <c r="H1257" s="1152">
        <f t="shared" si="69"/>
        <v>0</v>
      </c>
      <c r="J1257" s="1334" t="e">
        <f>VLOOKUP(C1257,Acc_Char!B:K,3,)</f>
        <v>#N/A</v>
      </c>
      <c r="K1257" s="1334" t="e">
        <f>VLOOKUP(C1257,Acc_Char!B:K,7,)</f>
        <v>#N/A</v>
      </c>
      <c r="L1257" s="1334">
        <f t="shared" si="67"/>
        <v>0</v>
      </c>
      <c r="M1257" s="1335" t="e">
        <f>VLOOKUP(C1257,Acc_Char!B:K,5,)</f>
        <v>#N/A</v>
      </c>
      <c r="N1257" s="1335" t="e">
        <f>VLOOKUP(C1257,Acc_Char!B:K,6,)</f>
        <v>#N/A</v>
      </c>
      <c r="O1257" s="1336" t="str">
        <f>Summary!$B$4</f>
        <v>W1-2Jan26</v>
      </c>
      <c r="P1257" s="1334" t="str">
        <f t="shared" si="68"/>
        <v>0</v>
      </c>
    </row>
    <row r="1258" spans="1:16">
      <c r="A1258"/>
      <c r="B1258" s="34"/>
      <c r="C1258" s="34"/>
      <c r="D1258" s="1389"/>
      <c r="E1258"/>
      <c r="F1258" s="57"/>
      <c r="G1258" s="57"/>
      <c r="H1258" s="1152">
        <f t="shared" si="69"/>
        <v>0</v>
      </c>
      <c r="J1258" s="1334" t="e">
        <f>VLOOKUP(C1258,Acc_Char!B:K,3,)</f>
        <v>#N/A</v>
      </c>
      <c r="K1258" s="1334" t="e">
        <f>VLOOKUP(C1258,Acc_Char!B:K,7,)</f>
        <v>#N/A</v>
      </c>
      <c r="L1258" s="1334">
        <f t="shared" si="67"/>
        <v>0</v>
      </c>
      <c r="M1258" s="1335" t="e">
        <f>VLOOKUP(C1258,Acc_Char!B:K,5,)</f>
        <v>#N/A</v>
      </c>
      <c r="N1258" s="1335" t="e">
        <f>VLOOKUP(C1258,Acc_Char!B:K,6,)</f>
        <v>#N/A</v>
      </c>
      <c r="O1258" s="1336" t="str">
        <f>Summary!$B$4</f>
        <v>W1-2Jan26</v>
      </c>
      <c r="P1258" s="1334" t="str">
        <f t="shared" si="68"/>
        <v>0</v>
      </c>
    </row>
    <row r="1259" spans="1:16">
      <c r="A1259"/>
      <c r="B1259" s="34"/>
      <c r="C1259" s="34"/>
      <c r="D1259" s="1389"/>
      <c r="E1259"/>
      <c r="F1259" s="57"/>
      <c r="G1259" s="57"/>
      <c r="H1259" s="1152">
        <f t="shared" si="69"/>
        <v>0</v>
      </c>
      <c r="J1259" s="1334" t="e">
        <f>VLOOKUP(C1259,Acc_Char!B:K,3,)</f>
        <v>#N/A</v>
      </c>
      <c r="K1259" s="1334" t="e">
        <f>VLOOKUP(C1259,Acc_Char!B:K,7,)</f>
        <v>#N/A</v>
      </c>
      <c r="L1259" s="1334">
        <f t="shared" si="67"/>
        <v>0</v>
      </c>
      <c r="M1259" s="1335" t="e">
        <f>VLOOKUP(C1259,Acc_Char!B:K,5,)</f>
        <v>#N/A</v>
      </c>
      <c r="N1259" s="1335" t="e">
        <f>VLOOKUP(C1259,Acc_Char!B:K,6,)</f>
        <v>#N/A</v>
      </c>
      <c r="O1259" s="1336" t="str">
        <f>Summary!$B$4</f>
        <v>W1-2Jan26</v>
      </c>
      <c r="P1259" s="1334" t="str">
        <f t="shared" si="68"/>
        <v>0</v>
      </c>
    </row>
    <row r="1260" spans="1:16">
      <c r="A1260"/>
      <c r="B1260" s="34"/>
      <c r="C1260" s="34"/>
      <c r="D1260" s="1389"/>
      <c r="E1260"/>
      <c r="F1260" s="57"/>
      <c r="G1260" s="57"/>
      <c r="H1260" s="1152">
        <f t="shared" si="69"/>
        <v>0</v>
      </c>
      <c r="J1260" s="1334" t="e">
        <f>VLOOKUP(C1260,Acc_Char!B:K,3,)</f>
        <v>#N/A</v>
      </c>
      <c r="K1260" s="1334" t="e">
        <f>VLOOKUP(C1260,Acc_Char!B:K,7,)</f>
        <v>#N/A</v>
      </c>
      <c r="L1260" s="1334">
        <f t="shared" si="67"/>
        <v>0</v>
      </c>
      <c r="M1260" s="1335" t="e">
        <f>VLOOKUP(C1260,Acc_Char!B:K,5,)</f>
        <v>#N/A</v>
      </c>
      <c r="N1260" s="1335" t="e">
        <f>VLOOKUP(C1260,Acc_Char!B:K,6,)</f>
        <v>#N/A</v>
      </c>
      <c r="O1260" s="1336" t="str">
        <f>Summary!$B$4</f>
        <v>W1-2Jan26</v>
      </c>
      <c r="P1260" s="1334" t="str">
        <f t="shared" si="68"/>
        <v>0</v>
      </c>
    </row>
    <row r="1261" spans="1:16">
      <c r="A1261"/>
      <c r="B1261" s="34"/>
      <c r="C1261" s="34"/>
      <c r="D1261" s="1389"/>
      <c r="E1261"/>
      <c r="F1261" s="57"/>
      <c r="G1261" s="57"/>
      <c r="H1261" s="1152">
        <f t="shared" si="69"/>
        <v>0</v>
      </c>
      <c r="J1261" s="1334" t="e">
        <f>VLOOKUP(C1261,Acc_Char!B:K,3,)</f>
        <v>#N/A</v>
      </c>
      <c r="K1261" s="1334" t="e">
        <f>VLOOKUP(C1261,Acc_Char!B:K,7,)</f>
        <v>#N/A</v>
      </c>
      <c r="L1261" s="1334">
        <f t="shared" si="67"/>
        <v>0</v>
      </c>
      <c r="M1261" s="1335" t="e">
        <f>VLOOKUP(C1261,Acc_Char!B:K,5,)</f>
        <v>#N/A</v>
      </c>
      <c r="N1261" s="1335" t="e">
        <f>VLOOKUP(C1261,Acc_Char!B:K,6,)</f>
        <v>#N/A</v>
      </c>
      <c r="O1261" s="1336" t="str">
        <f>Summary!$B$4</f>
        <v>W1-2Jan26</v>
      </c>
      <c r="P1261" s="1334" t="str">
        <f t="shared" si="68"/>
        <v>0</v>
      </c>
    </row>
    <row r="1262" spans="1:16">
      <c r="A1262"/>
      <c r="B1262" s="34"/>
      <c r="C1262" s="34"/>
      <c r="D1262" s="1389"/>
      <c r="E1262"/>
      <c r="F1262" s="57"/>
      <c r="G1262" s="57"/>
      <c r="H1262" s="1152">
        <f t="shared" si="69"/>
        <v>0</v>
      </c>
      <c r="J1262" s="1334" t="e">
        <f>VLOOKUP(C1262,Acc_Char!B:K,3,)</f>
        <v>#N/A</v>
      </c>
      <c r="K1262" s="1334" t="e">
        <f>VLOOKUP(C1262,Acc_Char!B:K,7,)</f>
        <v>#N/A</v>
      </c>
      <c r="L1262" s="1334">
        <f t="shared" si="67"/>
        <v>0</v>
      </c>
      <c r="M1262" s="1335" t="e">
        <f>VLOOKUP(C1262,Acc_Char!B:K,5,)</f>
        <v>#N/A</v>
      </c>
      <c r="N1262" s="1335" t="e">
        <f>VLOOKUP(C1262,Acc_Char!B:K,6,)</f>
        <v>#N/A</v>
      </c>
      <c r="O1262" s="1336" t="str">
        <f>Summary!$B$4</f>
        <v>W1-2Jan26</v>
      </c>
      <c r="P1262" s="1334" t="str">
        <f t="shared" si="68"/>
        <v>0</v>
      </c>
    </row>
    <row r="1263" spans="1:16">
      <c r="A1263"/>
      <c r="C1263" s="1348"/>
      <c r="D1263" s="1389"/>
      <c r="F1263" s="1312"/>
      <c r="H1263" s="1152">
        <f t="shared" si="69"/>
        <v>0</v>
      </c>
      <c r="J1263" s="1334" t="e">
        <f>VLOOKUP(C1263,Acc_Char!B:K,3,)</f>
        <v>#N/A</v>
      </c>
      <c r="K1263" s="1334" t="e">
        <f>VLOOKUP(C1263,Acc_Char!B:K,7,)</f>
        <v>#N/A</v>
      </c>
      <c r="L1263" s="1334">
        <f t="shared" si="67"/>
        <v>0</v>
      </c>
      <c r="M1263" s="1335" t="e">
        <f>VLOOKUP(C1263,Acc_Char!B:K,5,)</f>
        <v>#N/A</v>
      </c>
      <c r="N1263" s="1335" t="e">
        <f>VLOOKUP(C1263,Acc_Char!B:K,6,)</f>
        <v>#N/A</v>
      </c>
      <c r="O1263" s="1336" t="str">
        <f>Summary!$B$4</f>
        <v>W1-2Jan26</v>
      </c>
      <c r="P1263" s="1334" t="str">
        <f t="shared" si="68"/>
        <v>0</v>
      </c>
    </row>
    <row r="1264" spans="1:16">
      <c r="A1264"/>
      <c r="C1264" s="1348"/>
      <c r="D1264" s="1389"/>
      <c r="F1264" s="1312"/>
      <c r="H1264" s="1152">
        <f t="shared" si="69"/>
        <v>0</v>
      </c>
      <c r="J1264" s="1334" t="e">
        <f>VLOOKUP(C1264,Acc_Char!B:K,3,)</f>
        <v>#N/A</v>
      </c>
      <c r="K1264" s="1334" t="e">
        <f>VLOOKUP(C1264,Acc_Char!B:K,7,)</f>
        <v>#N/A</v>
      </c>
      <c r="L1264" s="1334">
        <f t="shared" si="67"/>
        <v>0</v>
      </c>
      <c r="M1264" s="1335" t="e">
        <f>VLOOKUP(C1264,Acc_Char!B:K,5,)</f>
        <v>#N/A</v>
      </c>
      <c r="N1264" s="1335" t="e">
        <f>VLOOKUP(C1264,Acc_Char!B:K,6,)</f>
        <v>#N/A</v>
      </c>
      <c r="O1264" s="1336" t="str">
        <f>Summary!$B$4</f>
        <v>W1-2Jan26</v>
      </c>
      <c r="P1264" s="1334" t="str">
        <f t="shared" si="68"/>
        <v>0</v>
      </c>
    </row>
    <row r="1265" spans="1:22">
      <c r="A1265"/>
      <c r="C1265" s="1348"/>
      <c r="D1265" s="1389"/>
      <c r="F1265" s="1312"/>
      <c r="H1265" s="1152">
        <f t="shared" si="69"/>
        <v>0</v>
      </c>
      <c r="I1265"/>
      <c r="J1265" s="1334" t="e">
        <f>VLOOKUP(C1265,Acc_Char!B:K,3,)</f>
        <v>#N/A</v>
      </c>
      <c r="K1265" s="1334" t="e">
        <f>VLOOKUP(C1265,Acc_Char!B:K,7,)</f>
        <v>#N/A</v>
      </c>
      <c r="L1265" s="1334">
        <f t="shared" si="67"/>
        <v>0</v>
      </c>
      <c r="M1265" s="1335" t="e">
        <f>VLOOKUP(C1265,Acc_Char!B:K,5,)</f>
        <v>#N/A</v>
      </c>
      <c r="N1265" s="1335" t="e">
        <f>VLOOKUP(C1265,Acc_Char!B:K,6,)</f>
        <v>#N/A</v>
      </c>
      <c r="O1265" s="1336" t="str">
        <f>Summary!$B$4</f>
        <v>W1-2Jan26</v>
      </c>
      <c r="P1265" s="1334" t="str">
        <f t="shared" si="68"/>
        <v>0</v>
      </c>
    </row>
    <row r="1266" spans="1:22">
      <c r="A1266"/>
      <c r="C1266" s="1348"/>
      <c r="D1266" s="1389"/>
      <c r="F1266" s="1312"/>
      <c r="H1266" s="1152">
        <f t="shared" si="69"/>
        <v>0</v>
      </c>
      <c r="J1266" s="1334" t="e">
        <f>VLOOKUP(C1266,Acc_Char!B:K,3,)</f>
        <v>#N/A</v>
      </c>
      <c r="K1266" s="1334" t="e">
        <f>VLOOKUP(C1266,Acc_Char!B:K,7,)</f>
        <v>#N/A</v>
      </c>
      <c r="L1266" s="1334">
        <f t="shared" si="67"/>
        <v>0</v>
      </c>
      <c r="M1266" s="1335" t="e">
        <f>VLOOKUP(C1266,Acc_Char!B:K,5,)</f>
        <v>#N/A</v>
      </c>
      <c r="N1266" s="1335" t="e">
        <f>VLOOKUP(C1266,Acc_Char!B:K,6,)</f>
        <v>#N/A</v>
      </c>
      <c r="O1266" s="1336" t="str">
        <f>Summary!$B$4</f>
        <v>W1-2Jan26</v>
      </c>
      <c r="P1266" s="1334" t="str">
        <f t="shared" si="68"/>
        <v>0</v>
      </c>
    </row>
    <row r="1267" spans="1:22">
      <c r="A1267"/>
      <c r="C1267" s="1348"/>
      <c r="D1267" s="1389"/>
      <c r="F1267" s="1312"/>
      <c r="H1267" s="1152">
        <f t="shared" si="69"/>
        <v>0</v>
      </c>
      <c r="I1267" s="1333"/>
      <c r="J1267" s="1334" t="e">
        <f>VLOOKUP(C1267,Acc_Char!B:K,3,)</f>
        <v>#N/A</v>
      </c>
      <c r="K1267" s="1334" t="e">
        <f>VLOOKUP(C1267,Acc_Char!B:K,7,)</f>
        <v>#N/A</v>
      </c>
      <c r="L1267" s="1334">
        <f t="shared" si="67"/>
        <v>0</v>
      </c>
      <c r="M1267" s="1335" t="e">
        <f>VLOOKUP(C1267,Acc_Char!B:K,5,)</f>
        <v>#N/A</v>
      </c>
      <c r="N1267" s="1335" t="e">
        <f>VLOOKUP(C1267,Acc_Char!B:K,6,)</f>
        <v>#N/A</v>
      </c>
      <c r="O1267" s="1336" t="str">
        <f>Summary!$B$4</f>
        <v>W1-2Jan26</v>
      </c>
      <c r="P1267" s="1334" t="str">
        <f t="shared" si="68"/>
        <v>0</v>
      </c>
    </row>
    <row r="1268" spans="1:22">
      <c r="A1268"/>
      <c r="C1268" s="1348"/>
      <c r="D1268" s="1389"/>
      <c r="F1268" s="1312"/>
      <c r="H1268" s="1152">
        <f t="shared" si="69"/>
        <v>0</v>
      </c>
      <c r="I1268" s="1333"/>
      <c r="J1268" s="1334" t="e">
        <f>VLOOKUP(C1268,Acc_Char!B:K,3,)</f>
        <v>#N/A</v>
      </c>
      <c r="K1268" s="1334" t="e">
        <f>VLOOKUP(C1268,Acc_Char!B:K,7,)</f>
        <v>#N/A</v>
      </c>
      <c r="L1268" s="1334">
        <f t="shared" si="67"/>
        <v>0</v>
      </c>
      <c r="M1268" s="1335" t="e">
        <f>VLOOKUP(C1268,Acc_Char!B:K,5,)</f>
        <v>#N/A</v>
      </c>
      <c r="N1268" s="1335" t="e">
        <f>VLOOKUP(C1268,Acc_Char!B:K,6,)</f>
        <v>#N/A</v>
      </c>
      <c r="O1268" s="1336" t="str">
        <f>Summary!$B$4</f>
        <v>W1-2Jan26</v>
      </c>
      <c r="P1268" s="1334" t="str">
        <f t="shared" si="68"/>
        <v>0</v>
      </c>
    </row>
    <row r="1269" spans="1:22" customFormat="1">
      <c r="B1269" s="1019"/>
      <c r="C1269" s="1076"/>
      <c r="D1269" s="1389"/>
      <c r="E1269" s="1018"/>
      <c r="F1269" s="1312"/>
      <c r="G1269" s="1312"/>
      <c r="H1269" s="1152">
        <f t="shared" si="69"/>
        <v>0</v>
      </c>
      <c r="I1269" s="1018"/>
      <c r="J1269" s="1334" t="e">
        <f>VLOOKUP(C1269,Acc_Char!B:K,3,)</f>
        <v>#N/A</v>
      </c>
      <c r="K1269" s="1334" t="e">
        <f>VLOOKUP(C1269,Acc_Char!B:K,7,)</f>
        <v>#N/A</v>
      </c>
      <c r="L1269" s="1334">
        <f t="shared" si="67"/>
        <v>0</v>
      </c>
      <c r="M1269" s="1335" t="e">
        <f>VLOOKUP(C1269,Acc_Char!B:K,5,)</f>
        <v>#N/A</v>
      </c>
      <c r="N1269" s="1335" t="e">
        <f>VLOOKUP(C1269,Acc_Char!B:K,6,)</f>
        <v>#N/A</v>
      </c>
      <c r="O1269" s="1336" t="str">
        <f>Summary!$B$4</f>
        <v>W1-2Jan26</v>
      </c>
      <c r="P1269" s="1334" t="str">
        <f t="shared" si="68"/>
        <v>0</v>
      </c>
      <c r="Q1269" s="1018"/>
      <c r="R1269" s="1018"/>
      <c r="S1269" s="1018"/>
      <c r="T1269" s="1018"/>
      <c r="U1269" s="1018"/>
      <c r="V1269" s="1018"/>
    </row>
    <row r="1270" spans="1:22">
      <c r="A1270"/>
      <c r="D1270" s="1389"/>
      <c r="F1270" s="1312"/>
      <c r="H1270" s="1152">
        <f t="shared" si="69"/>
        <v>0</v>
      </c>
      <c r="J1270" s="1334" t="e">
        <f>VLOOKUP(C1270,Acc_Char!B:K,3,)</f>
        <v>#N/A</v>
      </c>
      <c r="K1270" s="1334" t="e">
        <f>VLOOKUP(C1270,Acc_Char!B:K,7,)</f>
        <v>#N/A</v>
      </c>
      <c r="L1270" s="1334">
        <f t="shared" si="67"/>
        <v>0</v>
      </c>
      <c r="M1270" s="1335" t="e">
        <f>VLOOKUP(C1270,Acc_Char!B:K,5,)</f>
        <v>#N/A</v>
      </c>
      <c r="N1270" s="1335" t="e">
        <f>VLOOKUP(C1270,Acc_Char!B:K,6,)</f>
        <v>#N/A</v>
      </c>
      <c r="O1270" s="1336" t="str">
        <f>Summary!$B$4</f>
        <v>W1-2Jan26</v>
      </c>
      <c r="P1270" s="1334" t="str">
        <f t="shared" si="68"/>
        <v>0</v>
      </c>
    </row>
    <row r="1271" spans="1:22">
      <c r="A1271"/>
      <c r="D1271" s="1389"/>
      <c r="F1271" s="1312"/>
      <c r="H1271" s="1152">
        <f t="shared" si="69"/>
        <v>0</v>
      </c>
      <c r="J1271" s="1334" t="e">
        <f>VLOOKUP(C1271,Acc_Char!B:K,3,)</f>
        <v>#N/A</v>
      </c>
      <c r="K1271" s="1334" t="e">
        <f>VLOOKUP(C1271,Acc_Char!B:K,7,)</f>
        <v>#N/A</v>
      </c>
      <c r="L1271" s="1334">
        <f t="shared" si="67"/>
        <v>0</v>
      </c>
      <c r="M1271" s="1335" t="e">
        <f>VLOOKUP(C1271,Acc_Char!B:K,5,)</f>
        <v>#N/A</v>
      </c>
      <c r="N1271" s="1335" t="e">
        <f>VLOOKUP(C1271,Acc_Char!B:K,6,)</f>
        <v>#N/A</v>
      </c>
      <c r="O1271" s="1336" t="str">
        <f>Summary!$B$4</f>
        <v>W1-2Jan26</v>
      </c>
      <c r="P1271" s="1334" t="str">
        <f t="shared" si="68"/>
        <v>0</v>
      </c>
    </row>
    <row r="1272" spans="1:22">
      <c r="A1272"/>
      <c r="B1272" s="1335"/>
      <c r="C1272" s="1348"/>
      <c r="D1272" s="1389"/>
      <c r="E1272" s="1334"/>
      <c r="F1272" s="1312"/>
      <c r="H1272" s="1152">
        <f t="shared" si="69"/>
        <v>0</v>
      </c>
      <c r="J1272" s="1334" t="e">
        <f>VLOOKUP(C1272,Acc_Char!B:K,3,)</f>
        <v>#N/A</v>
      </c>
      <c r="K1272" s="1334" t="e">
        <f>VLOOKUP(C1272,Acc_Char!B:K,7,)</f>
        <v>#N/A</v>
      </c>
      <c r="L1272" s="1334">
        <f t="shared" si="67"/>
        <v>0</v>
      </c>
      <c r="M1272" s="1335" t="e">
        <f>VLOOKUP(C1272,Acc_Char!B:K,5,)</f>
        <v>#N/A</v>
      </c>
      <c r="N1272" s="1335" t="e">
        <f>VLOOKUP(C1272,Acc_Char!B:K,6,)</f>
        <v>#N/A</v>
      </c>
      <c r="O1272" s="1336" t="str">
        <f>Summary!$B$4</f>
        <v>W1-2Jan26</v>
      </c>
      <c r="P1272" s="1334" t="str">
        <f t="shared" si="68"/>
        <v>0</v>
      </c>
    </row>
    <row r="1273" spans="1:22">
      <c r="A1273"/>
      <c r="B1273" s="1335"/>
      <c r="D1273" s="1389"/>
      <c r="E1273" s="1334"/>
      <c r="F1273" s="1312"/>
      <c r="H1273" s="1152">
        <f t="shared" si="69"/>
        <v>0</v>
      </c>
      <c r="J1273" s="1334" t="e">
        <f>VLOOKUP(C1273,Acc_Char!B:K,3,)</f>
        <v>#N/A</v>
      </c>
      <c r="K1273" s="1334" t="e">
        <f>VLOOKUP(C1273,Acc_Char!B:K,7,)</f>
        <v>#N/A</v>
      </c>
      <c r="L1273" s="1334">
        <f t="shared" si="67"/>
        <v>0</v>
      </c>
      <c r="M1273" s="1335" t="e">
        <f>VLOOKUP(C1273,Acc_Char!B:K,5,)</f>
        <v>#N/A</v>
      </c>
      <c r="N1273" s="1335" t="e">
        <f>VLOOKUP(C1273,Acc_Char!B:K,6,)</f>
        <v>#N/A</v>
      </c>
      <c r="O1273" s="1336" t="str">
        <f>Summary!$B$4</f>
        <v>W1-2Jan26</v>
      </c>
      <c r="P1273" s="1334" t="str">
        <f t="shared" si="68"/>
        <v>0</v>
      </c>
    </row>
    <row r="1274" spans="1:22">
      <c r="A1274"/>
      <c r="B1274" s="1335"/>
      <c r="C1274" s="1349"/>
      <c r="D1274" s="1389"/>
      <c r="F1274" s="1312"/>
      <c r="H1274" s="1152">
        <f t="shared" si="69"/>
        <v>0</v>
      </c>
      <c r="J1274" s="1334" t="e">
        <f>VLOOKUP(C1274,Acc_Char!B:K,3,)</f>
        <v>#N/A</v>
      </c>
      <c r="K1274" s="1334" t="e">
        <f>VLOOKUP(C1274,Acc_Char!B:K,7,)</f>
        <v>#N/A</v>
      </c>
      <c r="L1274" s="1334">
        <f t="shared" si="67"/>
        <v>0</v>
      </c>
      <c r="M1274" s="1335" t="e">
        <f>VLOOKUP(C1274,Acc_Char!B:K,5,)</f>
        <v>#N/A</v>
      </c>
      <c r="N1274" s="1335" t="e">
        <f>VLOOKUP(C1274,Acc_Char!B:K,6,)</f>
        <v>#N/A</v>
      </c>
      <c r="O1274" s="1336" t="str">
        <f>Summary!$B$4</f>
        <v>W1-2Jan26</v>
      </c>
      <c r="P1274" s="1334" t="str">
        <f t="shared" si="68"/>
        <v>0</v>
      </c>
    </row>
    <row r="1275" spans="1:22">
      <c r="A1275"/>
      <c r="B1275" s="1335"/>
      <c r="C1275" s="1349"/>
      <c r="D1275" s="1389"/>
      <c r="F1275" s="1312"/>
      <c r="H1275" s="1152">
        <f t="shared" si="69"/>
        <v>0</v>
      </c>
      <c r="J1275" s="1334" t="e">
        <f>VLOOKUP(C1275,Acc_Char!B:K,3,)</f>
        <v>#N/A</v>
      </c>
      <c r="K1275" s="1334" t="e">
        <f>VLOOKUP(C1275,Acc_Char!B:K,7,)</f>
        <v>#N/A</v>
      </c>
      <c r="L1275" s="1334">
        <f t="shared" si="67"/>
        <v>0</v>
      </c>
      <c r="M1275" s="1335" t="e">
        <f>VLOOKUP(C1275,Acc_Char!B:K,5,)</f>
        <v>#N/A</v>
      </c>
      <c r="N1275" s="1335" t="e">
        <f>VLOOKUP(C1275,Acc_Char!B:K,6,)</f>
        <v>#N/A</v>
      </c>
      <c r="O1275" s="1336" t="str">
        <f>Summary!$B$4</f>
        <v>W1-2Jan26</v>
      </c>
      <c r="P1275" s="1334" t="str">
        <f t="shared" si="68"/>
        <v>0</v>
      </c>
    </row>
    <row r="1276" spans="1:22">
      <c r="A1276"/>
      <c r="B1276" s="1335"/>
      <c r="C1276" s="1349"/>
      <c r="D1276" s="1389"/>
      <c r="F1276" s="1312"/>
      <c r="H1276" s="1152">
        <f t="shared" si="69"/>
        <v>0</v>
      </c>
      <c r="J1276" s="1334" t="e">
        <f>VLOOKUP(C1276,Acc_Char!B:K,3,)</f>
        <v>#N/A</v>
      </c>
      <c r="K1276" s="1334" t="e">
        <f>VLOOKUP(C1276,Acc_Char!B:K,7,)</f>
        <v>#N/A</v>
      </c>
      <c r="L1276" s="1334">
        <f t="shared" si="67"/>
        <v>0</v>
      </c>
      <c r="M1276" s="1335" t="e">
        <f>VLOOKUP(C1276,Acc_Char!B:K,5,)</f>
        <v>#N/A</v>
      </c>
      <c r="N1276" s="1335" t="e">
        <f>VLOOKUP(C1276,Acc_Char!B:K,6,)</f>
        <v>#N/A</v>
      </c>
      <c r="O1276" s="1336" t="str">
        <f>Summary!$B$4</f>
        <v>W1-2Jan26</v>
      </c>
      <c r="P1276" s="1334" t="str">
        <f t="shared" si="68"/>
        <v>0</v>
      </c>
    </row>
    <row r="1277" spans="1:22">
      <c r="A1277"/>
      <c r="B1277" s="1335"/>
      <c r="C1277" s="1349"/>
      <c r="D1277" s="1389"/>
      <c r="F1277" s="1312"/>
      <c r="H1277" s="1152">
        <f t="shared" si="69"/>
        <v>0</v>
      </c>
      <c r="J1277" s="1334" t="e">
        <f>VLOOKUP(C1277,Acc_Char!B:K,3,)</f>
        <v>#N/A</v>
      </c>
      <c r="K1277" s="1334" t="e">
        <f>VLOOKUP(C1277,Acc_Char!B:K,7,)</f>
        <v>#N/A</v>
      </c>
      <c r="L1277" s="1334">
        <f t="shared" si="67"/>
        <v>0</v>
      </c>
      <c r="M1277" s="1335" t="e">
        <f>VLOOKUP(C1277,Acc_Char!B:K,5,)</f>
        <v>#N/A</v>
      </c>
      <c r="N1277" s="1335" t="e">
        <f>VLOOKUP(C1277,Acc_Char!B:K,6,)</f>
        <v>#N/A</v>
      </c>
      <c r="O1277" s="1336" t="str">
        <f>Summary!$B$4</f>
        <v>W1-2Jan26</v>
      </c>
      <c r="P1277" s="1334" t="str">
        <f t="shared" si="68"/>
        <v>0</v>
      </c>
    </row>
    <row r="1278" spans="1:22">
      <c r="A1278"/>
      <c r="B1278" s="1335"/>
      <c r="C1278" s="1349"/>
      <c r="D1278" s="1389"/>
      <c r="F1278" s="1312"/>
      <c r="H1278" s="1152">
        <f t="shared" si="69"/>
        <v>0</v>
      </c>
      <c r="J1278" s="1334" t="e">
        <f>VLOOKUP(C1278,Acc_Char!B:K,3,)</f>
        <v>#N/A</v>
      </c>
      <c r="K1278" s="1334" t="e">
        <f>VLOOKUP(C1278,Acc_Char!B:K,7,)</f>
        <v>#N/A</v>
      </c>
      <c r="L1278" s="1334">
        <f t="shared" si="67"/>
        <v>0</v>
      </c>
      <c r="M1278" s="1335" t="e">
        <f>VLOOKUP(C1278,Acc_Char!B:K,5,)</f>
        <v>#N/A</v>
      </c>
      <c r="N1278" s="1335" t="e">
        <f>VLOOKUP(C1278,Acc_Char!B:K,6,)</f>
        <v>#N/A</v>
      </c>
      <c r="O1278" s="1336" t="str">
        <f>Summary!$B$4</f>
        <v>W1-2Jan26</v>
      </c>
      <c r="P1278" s="1334" t="str">
        <f t="shared" si="68"/>
        <v>0</v>
      </c>
    </row>
    <row r="1279" spans="1:22">
      <c r="A1279"/>
      <c r="B1279" s="1335"/>
      <c r="C1279" s="1349"/>
      <c r="D1279" s="1389"/>
      <c r="F1279" s="1312"/>
      <c r="H1279" s="1152">
        <f t="shared" si="69"/>
        <v>0</v>
      </c>
      <c r="J1279" s="1334" t="e">
        <f>VLOOKUP(C1279,Acc_Char!B:K,3,)</f>
        <v>#N/A</v>
      </c>
      <c r="K1279" s="1334" t="e">
        <f>VLOOKUP(C1279,Acc_Char!B:K,7,)</f>
        <v>#N/A</v>
      </c>
      <c r="L1279" s="1334">
        <f t="shared" si="67"/>
        <v>0</v>
      </c>
      <c r="M1279" s="1335" t="e">
        <f>VLOOKUP(C1279,Acc_Char!B:K,5,)</f>
        <v>#N/A</v>
      </c>
      <c r="N1279" s="1335" t="e">
        <f>VLOOKUP(C1279,Acc_Char!B:K,6,)</f>
        <v>#N/A</v>
      </c>
      <c r="O1279" s="1336" t="str">
        <f>Summary!$B$4</f>
        <v>W1-2Jan26</v>
      </c>
      <c r="P1279" s="1334" t="str">
        <f t="shared" si="68"/>
        <v>0</v>
      </c>
    </row>
    <row r="1280" spans="1:22" s="1334" customFormat="1">
      <c r="A1280" s="1342"/>
      <c r="B1280" s="1335"/>
      <c r="C1280" s="1350"/>
      <c r="D1280" s="1390"/>
      <c r="F1280" s="1311"/>
      <c r="G1280" s="1311"/>
      <c r="H1280" s="1283">
        <f t="shared" si="69"/>
        <v>0</v>
      </c>
      <c r="J1280" s="1334" t="e">
        <f>VLOOKUP(C1280,Acc_Char!B:K,3,)</f>
        <v>#N/A</v>
      </c>
      <c r="K1280" s="1334" t="e">
        <f>VLOOKUP(C1280,Acc_Char!B:K,7,)</f>
        <v>#N/A</v>
      </c>
      <c r="L1280" s="1334">
        <f t="shared" si="67"/>
        <v>0</v>
      </c>
      <c r="M1280" s="1335" t="e">
        <f>VLOOKUP(C1280,Acc_Char!B:K,5,)</f>
        <v>#N/A</v>
      </c>
      <c r="N1280" s="1335" t="e">
        <f>VLOOKUP(C1280,Acc_Char!B:K,6,)</f>
        <v>#N/A</v>
      </c>
      <c r="O1280" s="1336" t="str">
        <f>Summary!$B$4</f>
        <v>W1-2Jan26</v>
      </c>
      <c r="P1280" s="1334" t="str">
        <f t="shared" si="68"/>
        <v>0</v>
      </c>
    </row>
    <row r="1281" spans="1:16" s="1334" customFormat="1">
      <c r="A1281" s="1342"/>
      <c r="B1281" s="1335"/>
      <c r="C1281" s="1351"/>
      <c r="D1281" s="1390"/>
      <c r="F1281" s="1311"/>
      <c r="G1281" s="1311"/>
      <c r="H1281" s="1283">
        <f t="shared" si="69"/>
        <v>0</v>
      </c>
      <c r="J1281" s="1334" t="e">
        <f>VLOOKUP(C1281,Acc_Char!B:K,3,)</f>
        <v>#N/A</v>
      </c>
      <c r="K1281" s="1334" t="e">
        <f>VLOOKUP(C1281,Acc_Char!B:K,7,)</f>
        <v>#N/A</v>
      </c>
      <c r="L1281" s="1334">
        <f t="shared" si="67"/>
        <v>0</v>
      </c>
      <c r="M1281" s="1335" t="e">
        <f>VLOOKUP(C1281,Acc_Char!B:K,5,)</f>
        <v>#N/A</v>
      </c>
      <c r="N1281" s="1335" t="e">
        <f>VLOOKUP(C1281,Acc_Char!B:K,6,)</f>
        <v>#N/A</v>
      </c>
      <c r="O1281" s="1336" t="str">
        <f>Summary!$B$4</f>
        <v>W1-2Jan26</v>
      </c>
      <c r="P1281" s="1334" t="str">
        <f t="shared" si="68"/>
        <v>0</v>
      </c>
    </row>
    <row r="1282" spans="1:16" s="1334" customFormat="1">
      <c r="A1282" s="1342"/>
      <c r="B1282" s="1335"/>
      <c r="C1282" s="1351"/>
      <c r="D1282" s="1390"/>
      <c r="F1282" s="1311"/>
      <c r="G1282" s="1311"/>
      <c r="H1282" s="1283">
        <f t="shared" si="69"/>
        <v>0</v>
      </c>
      <c r="J1282" s="1334" t="e">
        <f>VLOOKUP(C1282,Acc_Char!B:K,3,)</f>
        <v>#N/A</v>
      </c>
      <c r="K1282" s="1334" t="e">
        <f>VLOOKUP(C1282,Acc_Char!B:K,7,)</f>
        <v>#N/A</v>
      </c>
      <c r="L1282" s="1334">
        <f t="shared" si="67"/>
        <v>0</v>
      </c>
      <c r="M1282" s="1335" t="e">
        <f>VLOOKUP(C1282,Acc_Char!B:K,5,)</f>
        <v>#N/A</v>
      </c>
      <c r="N1282" s="1335" t="e">
        <f>VLOOKUP(C1282,Acc_Char!B:K,6,)</f>
        <v>#N/A</v>
      </c>
      <c r="O1282" s="1336" t="str">
        <f>Summary!$B$4</f>
        <v>W1-2Jan26</v>
      </c>
      <c r="P1282" s="1334" t="str">
        <f t="shared" si="68"/>
        <v>0</v>
      </c>
    </row>
    <row r="1283" spans="1:16">
      <c r="A1283"/>
      <c r="B1283" s="1335"/>
      <c r="D1283" s="1389"/>
      <c r="F1283" s="1312"/>
      <c r="H1283" s="1152">
        <f t="shared" si="69"/>
        <v>0</v>
      </c>
      <c r="J1283" s="1334" t="e">
        <f>VLOOKUP(C1283,Acc_Char!B:K,3,)</f>
        <v>#N/A</v>
      </c>
      <c r="K1283" s="1334" t="e">
        <f>VLOOKUP(C1283,Acc_Char!B:K,7,)</f>
        <v>#N/A</v>
      </c>
      <c r="L1283" s="1334">
        <f t="shared" si="67"/>
        <v>0</v>
      </c>
      <c r="M1283" s="1335" t="e">
        <f>VLOOKUP(C1283,Acc_Char!B:K,5,)</f>
        <v>#N/A</v>
      </c>
      <c r="N1283" s="1335" t="e">
        <f>VLOOKUP(C1283,Acc_Char!B:K,6,)</f>
        <v>#N/A</v>
      </c>
      <c r="O1283" s="1336" t="str">
        <f>Summary!$B$4</f>
        <v>W1-2Jan26</v>
      </c>
      <c r="P1283" s="1334" t="str">
        <f t="shared" si="68"/>
        <v>0</v>
      </c>
    </row>
    <row r="1284" spans="1:16">
      <c r="A1284"/>
      <c r="B1284" s="1335"/>
      <c r="D1284" s="1389"/>
      <c r="F1284" s="1312"/>
      <c r="H1284" s="1152">
        <f t="shared" si="69"/>
        <v>0</v>
      </c>
      <c r="J1284" s="1334" t="e">
        <f>VLOOKUP(C1284,Acc_Char!B:K,3,)</f>
        <v>#N/A</v>
      </c>
      <c r="K1284" s="1334" t="e">
        <f>VLOOKUP(C1284,Acc_Char!B:K,7,)</f>
        <v>#N/A</v>
      </c>
      <c r="L1284" s="1334">
        <f t="shared" si="67"/>
        <v>0</v>
      </c>
      <c r="M1284" s="1335" t="e">
        <f>VLOOKUP(C1284,Acc_Char!B:K,5,)</f>
        <v>#N/A</v>
      </c>
      <c r="N1284" s="1335" t="e">
        <f>VLOOKUP(C1284,Acc_Char!B:K,6,)</f>
        <v>#N/A</v>
      </c>
      <c r="O1284" s="1336" t="str">
        <f>Summary!$B$4</f>
        <v>W1-2Jan26</v>
      </c>
      <c r="P1284" s="1334" t="str">
        <f t="shared" si="68"/>
        <v>0</v>
      </c>
    </row>
    <row r="1285" spans="1:16">
      <c r="A1285"/>
      <c r="B1285" s="1335"/>
      <c r="D1285" s="1389"/>
      <c r="F1285" s="1312"/>
      <c r="H1285" s="1152">
        <f t="shared" si="69"/>
        <v>0</v>
      </c>
      <c r="J1285" s="1334" t="e">
        <f>VLOOKUP(C1285,Acc_Char!B:K,3,)</f>
        <v>#N/A</v>
      </c>
      <c r="K1285" s="1334" t="e">
        <f>VLOOKUP(C1285,Acc_Char!B:K,7,)</f>
        <v>#N/A</v>
      </c>
      <c r="L1285" s="1334">
        <f t="shared" ref="L1285:L1348" si="70">I1285</f>
        <v>0</v>
      </c>
      <c r="M1285" s="1335" t="e">
        <f>VLOOKUP(C1285,Acc_Char!B:K,5,)</f>
        <v>#N/A</v>
      </c>
      <c r="N1285" s="1335" t="e">
        <f>VLOOKUP(C1285,Acc_Char!B:K,6,)</f>
        <v>#N/A</v>
      </c>
      <c r="O1285" s="1336" t="str">
        <f>Summary!$B$4</f>
        <v>W1-2Jan26</v>
      </c>
      <c r="P1285" s="1334" t="str">
        <f t="shared" ref="P1285:P1348" si="71">TEXT(C1285,"0")</f>
        <v>0</v>
      </c>
    </row>
    <row r="1286" spans="1:16">
      <c r="A1286"/>
      <c r="B1286" s="1335"/>
      <c r="D1286" s="1389"/>
      <c r="F1286" s="1312"/>
      <c r="H1286" s="1152">
        <f t="shared" si="69"/>
        <v>0</v>
      </c>
      <c r="J1286" s="1334" t="e">
        <f>VLOOKUP(C1286,Acc_Char!B:K,3,)</f>
        <v>#N/A</v>
      </c>
      <c r="K1286" s="1334" t="e">
        <f>VLOOKUP(C1286,Acc_Char!B:K,7,)</f>
        <v>#N/A</v>
      </c>
      <c r="L1286" s="1334">
        <f t="shared" si="70"/>
        <v>0</v>
      </c>
      <c r="M1286" s="1335" t="e">
        <f>VLOOKUP(C1286,Acc_Char!B:K,5,)</f>
        <v>#N/A</v>
      </c>
      <c r="N1286" s="1335" t="e">
        <f>VLOOKUP(C1286,Acc_Char!B:K,6,)</f>
        <v>#N/A</v>
      </c>
      <c r="O1286" s="1336" t="str">
        <f>Summary!$B$4</f>
        <v>W1-2Jan26</v>
      </c>
      <c r="P1286" s="1334" t="str">
        <f t="shared" si="71"/>
        <v>0</v>
      </c>
    </row>
    <row r="1287" spans="1:16">
      <c r="A1287"/>
      <c r="B1287" s="1335"/>
      <c r="D1287" s="1389"/>
      <c r="F1287" s="1312"/>
      <c r="H1287" s="1152">
        <f t="shared" si="69"/>
        <v>0</v>
      </c>
      <c r="J1287" s="1334" t="e">
        <f>VLOOKUP(C1287,Acc_Char!B:K,3,)</f>
        <v>#N/A</v>
      </c>
      <c r="K1287" s="1334" t="e">
        <f>VLOOKUP(C1287,Acc_Char!B:K,7,)</f>
        <v>#N/A</v>
      </c>
      <c r="L1287" s="1334">
        <f t="shared" si="70"/>
        <v>0</v>
      </c>
      <c r="M1287" s="1335" t="e">
        <f>VLOOKUP(C1287,Acc_Char!B:K,5,)</f>
        <v>#N/A</v>
      </c>
      <c r="N1287" s="1335" t="e">
        <f>VLOOKUP(C1287,Acc_Char!B:K,6,)</f>
        <v>#N/A</v>
      </c>
      <c r="O1287" s="1336" t="str">
        <f>Summary!$B$4</f>
        <v>W1-2Jan26</v>
      </c>
      <c r="P1287" s="1334" t="str">
        <f t="shared" si="71"/>
        <v>0</v>
      </c>
    </row>
    <row r="1288" spans="1:16">
      <c r="A1288"/>
      <c r="B1288" s="1335"/>
      <c r="C1288" s="1348"/>
      <c r="D1288" s="1389"/>
      <c r="F1288" s="1312"/>
      <c r="H1288" s="1152">
        <f t="shared" si="69"/>
        <v>0</v>
      </c>
      <c r="I1288" s="1333"/>
      <c r="J1288" s="1334" t="e">
        <f>VLOOKUP(C1288,Acc_Char!B:K,3,)</f>
        <v>#N/A</v>
      </c>
      <c r="K1288" s="1334" t="e">
        <f>VLOOKUP(C1288,Acc_Char!B:K,7,)</f>
        <v>#N/A</v>
      </c>
      <c r="L1288" s="1334">
        <f t="shared" si="70"/>
        <v>0</v>
      </c>
      <c r="M1288" s="1335" t="e">
        <f>VLOOKUP(C1288,Acc_Char!B:K,5,)</f>
        <v>#N/A</v>
      </c>
      <c r="N1288" s="1335" t="e">
        <f>VLOOKUP(C1288,Acc_Char!B:K,6,)</f>
        <v>#N/A</v>
      </c>
      <c r="O1288" s="1336" t="str">
        <f>Summary!$B$4</f>
        <v>W1-2Jan26</v>
      </c>
      <c r="P1288" s="1334" t="str">
        <f t="shared" si="71"/>
        <v>0</v>
      </c>
    </row>
    <row r="1289" spans="1:16">
      <c r="A1289"/>
      <c r="B1289" s="1335"/>
      <c r="C1289" s="1348"/>
      <c r="D1289" s="1389"/>
      <c r="F1289" s="1312"/>
      <c r="H1289" s="1152">
        <f t="shared" si="69"/>
        <v>0</v>
      </c>
      <c r="J1289" s="1334" t="e">
        <f>VLOOKUP(C1289,Acc_Char!B:K,3,)</f>
        <v>#N/A</v>
      </c>
      <c r="K1289" s="1334" t="e">
        <f>VLOOKUP(C1289,Acc_Char!B:K,7,)</f>
        <v>#N/A</v>
      </c>
      <c r="L1289" s="1334">
        <f t="shared" si="70"/>
        <v>0</v>
      </c>
      <c r="M1289" s="1335" t="e">
        <f>VLOOKUP(C1289,Acc_Char!B:K,5,)</f>
        <v>#N/A</v>
      </c>
      <c r="N1289" s="1335" t="e">
        <f>VLOOKUP(C1289,Acc_Char!B:K,6,)</f>
        <v>#N/A</v>
      </c>
      <c r="O1289" s="1336" t="str">
        <f>Summary!$B$4</f>
        <v>W1-2Jan26</v>
      </c>
      <c r="P1289" s="1334" t="str">
        <f t="shared" si="71"/>
        <v>0</v>
      </c>
    </row>
    <row r="1290" spans="1:16">
      <c r="A1290"/>
      <c r="B1290" s="1335"/>
      <c r="D1290" s="1389"/>
      <c r="F1290" s="1312"/>
      <c r="H1290" s="1152">
        <f t="shared" si="69"/>
        <v>0</v>
      </c>
      <c r="J1290" s="1334" t="e">
        <f>VLOOKUP(C1290,Acc_Char!B:K,3,)</f>
        <v>#N/A</v>
      </c>
      <c r="K1290" s="1334" t="e">
        <f>VLOOKUP(C1290,Acc_Char!B:K,7,)</f>
        <v>#N/A</v>
      </c>
      <c r="L1290" s="1334">
        <f t="shared" si="70"/>
        <v>0</v>
      </c>
      <c r="M1290" s="1335" t="e">
        <f>VLOOKUP(C1290,Acc_Char!B:K,5,)</f>
        <v>#N/A</v>
      </c>
      <c r="N1290" s="1335" t="e">
        <f>VLOOKUP(C1290,Acc_Char!B:K,6,)</f>
        <v>#N/A</v>
      </c>
      <c r="O1290" s="1336" t="str">
        <f>Summary!$B$4</f>
        <v>W1-2Jan26</v>
      </c>
      <c r="P1290" s="1334" t="str">
        <f t="shared" si="71"/>
        <v>0</v>
      </c>
    </row>
    <row r="1291" spans="1:16">
      <c r="A1291"/>
      <c r="B1291" s="1335"/>
      <c r="D1291" s="1389"/>
      <c r="F1291" s="1312"/>
      <c r="H1291" s="1152">
        <f t="shared" si="69"/>
        <v>0</v>
      </c>
      <c r="J1291" s="1334" t="e">
        <f>VLOOKUP(C1291,Acc_Char!B:K,3,)</f>
        <v>#N/A</v>
      </c>
      <c r="K1291" s="1334" t="e">
        <f>VLOOKUP(C1291,Acc_Char!B:K,7,)</f>
        <v>#N/A</v>
      </c>
      <c r="L1291" s="1334">
        <f t="shared" si="70"/>
        <v>0</v>
      </c>
      <c r="M1291" s="1335" t="e">
        <f>VLOOKUP(C1291,Acc_Char!B:K,5,)</f>
        <v>#N/A</v>
      </c>
      <c r="N1291" s="1335" t="e">
        <f>VLOOKUP(C1291,Acc_Char!B:K,6,)</f>
        <v>#N/A</v>
      </c>
      <c r="O1291" s="1336" t="str">
        <f>Summary!$B$4</f>
        <v>W1-2Jan26</v>
      </c>
      <c r="P1291" s="1334" t="str">
        <f t="shared" si="71"/>
        <v>0</v>
      </c>
    </row>
    <row r="1292" spans="1:16">
      <c r="A1292"/>
      <c r="B1292" s="1335"/>
      <c r="D1292" s="1389"/>
      <c r="F1292" s="1312"/>
      <c r="H1292" s="1152">
        <f t="shared" si="69"/>
        <v>0</v>
      </c>
      <c r="I1292" s="1333"/>
      <c r="J1292" s="1334" t="e">
        <f>VLOOKUP(C1292,Acc_Char!B:K,3,)</f>
        <v>#N/A</v>
      </c>
      <c r="K1292" s="1334" t="e">
        <f>VLOOKUP(C1292,Acc_Char!B:K,7,)</f>
        <v>#N/A</v>
      </c>
      <c r="L1292" s="1334">
        <f t="shared" si="70"/>
        <v>0</v>
      </c>
      <c r="M1292" s="1335" t="e">
        <f>VLOOKUP(C1292,Acc_Char!B:K,5,)</f>
        <v>#N/A</v>
      </c>
      <c r="N1292" s="1335" t="e">
        <f>VLOOKUP(C1292,Acc_Char!B:K,6,)</f>
        <v>#N/A</v>
      </c>
      <c r="O1292" s="1336" t="str">
        <f>Summary!$B$4</f>
        <v>W1-2Jan26</v>
      </c>
      <c r="P1292" s="1334" t="str">
        <f t="shared" si="71"/>
        <v>0</v>
      </c>
    </row>
    <row r="1293" spans="1:16">
      <c r="A1293"/>
      <c r="B1293" s="1335"/>
      <c r="D1293" s="1389"/>
      <c r="F1293" s="1312"/>
      <c r="H1293" s="1152">
        <f t="shared" si="69"/>
        <v>0</v>
      </c>
      <c r="J1293" s="1334" t="e">
        <f>VLOOKUP(C1293,Acc_Char!B:K,3,)</f>
        <v>#N/A</v>
      </c>
      <c r="K1293" s="1334" t="e">
        <f>VLOOKUP(C1293,Acc_Char!B:K,7,)</f>
        <v>#N/A</v>
      </c>
      <c r="L1293" s="1334">
        <f t="shared" si="70"/>
        <v>0</v>
      </c>
      <c r="M1293" s="1335" t="e">
        <f>VLOOKUP(C1293,Acc_Char!B:K,5,)</f>
        <v>#N/A</v>
      </c>
      <c r="N1293" s="1335" t="e">
        <f>VLOOKUP(C1293,Acc_Char!B:K,6,)</f>
        <v>#N/A</v>
      </c>
      <c r="O1293" s="1336" t="str">
        <f>Summary!$B$4</f>
        <v>W1-2Jan26</v>
      </c>
      <c r="P1293" s="1334" t="str">
        <f t="shared" si="71"/>
        <v>0</v>
      </c>
    </row>
    <row r="1294" spans="1:16">
      <c r="A1294"/>
      <c r="B1294" s="1335"/>
      <c r="D1294" s="1389"/>
      <c r="F1294" s="1312"/>
      <c r="H1294" s="1152">
        <f t="shared" si="69"/>
        <v>0</v>
      </c>
      <c r="J1294" s="1334" t="e">
        <f>VLOOKUP(C1294,Acc_Char!B:K,3,)</f>
        <v>#N/A</v>
      </c>
      <c r="K1294" s="1334" t="e">
        <f>VLOOKUP(C1294,Acc_Char!B:K,7,)</f>
        <v>#N/A</v>
      </c>
      <c r="L1294" s="1334">
        <f t="shared" si="70"/>
        <v>0</v>
      </c>
      <c r="M1294" s="1335" t="e">
        <f>VLOOKUP(C1294,Acc_Char!B:K,5,)</f>
        <v>#N/A</v>
      </c>
      <c r="N1294" s="1335" t="e">
        <f>VLOOKUP(C1294,Acc_Char!B:K,6,)</f>
        <v>#N/A</v>
      </c>
      <c r="O1294" s="1336" t="str">
        <f>Summary!$B$4</f>
        <v>W1-2Jan26</v>
      </c>
      <c r="P1294" s="1334" t="str">
        <f t="shared" si="71"/>
        <v>0</v>
      </c>
    </row>
    <row r="1295" spans="1:16">
      <c r="A1295"/>
      <c r="B1295" s="1335"/>
      <c r="D1295" s="1389"/>
      <c r="F1295" s="1312"/>
      <c r="H1295" s="1152">
        <f t="shared" si="69"/>
        <v>0</v>
      </c>
      <c r="I1295" s="1333"/>
      <c r="J1295" s="1334" t="e">
        <f>VLOOKUP(C1295,Acc_Char!B:K,3,)</f>
        <v>#N/A</v>
      </c>
      <c r="K1295" s="1334" t="e">
        <f>VLOOKUP(C1295,Acc_Char!B:K,7,)</f>
        <v>#N/A</v>
      </c>
      <c r="L1295" s="1334">
        <f t="shared" si="70"/>
        <v>0</v>
      </c>
      <c r="M1295" s="1335" t="e">
        <f>VLOOKUP(C1295,Acc_Char!B:K,5,)</f>
        <v>#N/A</v>
      </c>
      <c r="N1295" s="1335" t="e">
        <f>VLOOKUP(C1295,Acc_Char!B:K,6,)</f>
        <v>#N/A</v>
      </c>
      <c r="O1295" s="1336" t="str">
        <f>Summary!$B$4</f>
        <v>W1-2Jan26</v>
      </c>
      <c r="P1295" s="1334" t="str">
        <f t="shared" si="71"/>
        <v>0</v>
      </c>
    </row>
    <row r="1296" spans="1:16">
      <c r="A1296"/>
      <c r="B1296" s="1335"/>
      <c r="D1296" s="1389"/>
      <c r="F1296" s="1312"/>
      <c r="H1296" s="1152">
        <f t="shared" si="69"/>
        <v>0</v>
      </c>
      <c r="J1296" s="1334" t="e">
        <f>VLOOKUP(C1296,Acc_Char!B:K,3,)</f>
        <v>#N/A</v>
      </c>
      <c r="K1296" s="1334" t="e">
        <f>VLOOKUP(C1296,Acc_Char!B:K,7,)</f>
        <v>#N/A</v>
      </c>
      <c r="L1296" s="1334">
        <f t="shared" si="70"/>
        <v>0</v>
      </c>
      <c r="M1296" s="1335" t="e">
        <f>VLOOKUP(C1296,Acc_Char!B:K,5,)</f>
        <v>#N/A</v>
      </c>
      <c r="N1296" s="1335" t="e">
        <f>VLOOKUP(C1296,Acc_Char!B:K,6,)</f>
        <v>#N/A</v>
      </c>
      <c r="O1296" s="1336" t="str">
        <f>Summary!$B$4</f>
        <v>W1-2Jan26</v>
      </c>
      <c r="P1296" s="1334" t="str">
        <f t="shared" si="71"/>
        <v>0</v>
      </c>
    </row>
    <row r="1297" spans="1:16">
      <c r="A1297"/>
      <c r="B1297" s="1335"/>
      <c r="D1297" s="1389"/>
      <c r="F1297" s="1312"/>
      <c r="H1297" s="1152">
        <f t="shared" si="69"/>
        <v>0</v>
      </c>
      <c r="J1297" s="1334" t="e">
        <f>VLOOKUP(C1297,Acc_Char!B:K,3,)</f>
        <v>#N/A</v>
      </c>
      <c r="K1297" s="1334" t="e">
        <f>VLOOKUP(C1297,Acc_Char!B:K,7,)</f>
        <v>#N/A</v>
      </c>
      <c r="L1297" s="1334">
        <f t="shared" si="70"/>
        <v>0</v>
      </c>
      <c r="M1297" s="1335" t="e">
        <f>VLOOKUP(C1297,Acc_Char!B:K,5,)</f>
        <v>#N/A</v>
      </c>
      <c r="N1297" s="1335" t="e">
        <f>VLOOKUP(C1297,Acc_Char!B:K,6,)</f>
        <v>#N/A</v>
      </c>
      <c r="O1297" s="1336" t="str">
        <f>Summary!$B$4</f>
        <v>W1-2Jan26</v>
      </c>
      <c r="P1297" s="1334" t="str">
        <f t="shared" si="71"/>
        <v>0</v>
      </c>
    </row>
    <row r="1298" spans="1:16">
      <c r="A1298"/>
      <c r="B1298" s="1335"/>
      <c r="C1298" s="1348"/>
      <c r="D1298" s="1389"/>
      <c r="E1298" s="1340"/>
      <c r="F1298" s="1312"/>
      <c r="H1298" s="1152">
        <f t="shared" si="69"/>
        <v>0</v>
      </c>
      <c r="I1298"/>
      <c r="J1298" s="1334" t="e">
        <f>VLOOKUP(C1298,Acc_Char!B:K,3,)</f>
        <v>#N/A</v>
      </c>
      <c r="K1298" s="1334" t="e">
        <f>VLOOKUP(C1298,Acc_Char!B:K,7,)</f>
        <v>#N/A</v>
      </c>
      <c r="L1298" s="1334">
        <f t="shared" si="70"/>
        <v>0</v>
      </c>
      <c r="M1298" s="1335" t="e">
        <f>VLOOKUP(C1298,Acc_Char!B:K,5,)</f>
        <v>#N/A</v>
      </c>
      <c r="N1298" s="1335" t="e">
        <f>VLOOKUP(C1298,Acc_Char!B:K,6,)</f>
        <v>#N/A</v>
      </c>
      <c r="O1298" s="1336" t="str">
        <f>Summary!$B$4</f>
        <v>W1-2Jan26</v>
      </c>
      <c r="P1298" s="1334" t="str">
        <f t="shared" si="71"/>
        <v>0</v>
      </c>
    </row>
    <row r="1299" spans="1:16">
      <c r="A1299"/>
      <c r="B1299" s="1335"/>
      <c r="C1299" s="1348"/>
      <c r="D1299" s="1389"/>
      <c r="F1299" s="1312"/>
      <c r="H1299" s="1152">
        <f t="shared" si="69"/>
        <v>0</v>
      </c>
      <c r="J1299" s="1334" t="e">
        <f>VLOOKUP(C1299,Acc_Char!B:K,3,)</f>
        <v>#N/A</v>
      </c>
      <c r="K1299" s="1334" t="e">
        <f>VLOOKUP(C1299,Acc_Char!B:K,7,)</f>
        <v>#N/A</v>
      </c>
      <c r="L1299" s="1334">
        <f t="shared" si="70"/>
        <v>0</v>
      </c>
      <c r="M1299" s="1335" t="e">
        <f>VLOOKUP(C1299,Acc_Char!B:K,5,)</f>
        <v>#N/A</v>
      </c>
      <c r="N1299" s="1335" t="e">
        <f>VLOOKUP(C1299,Acc_Char!B:K,6,)</f>
        <v>#N/A</v>
      </c>
      <c r="O1299" s="1336" t="str">
        <f>Summary!$B$4</f>
        <v>W1-2Jan26</v>
      </c>
      <c r="P1299" s="1334" t="str">
        <f t="shared" si="71"/>
        <v>0</v>
      </c>
    </row>
    <row r="1300" spans="1:16">
      <c r="A1300"/>
      <c r="B1300" s="1335"/>
      <c r="C1300" s="1348"/>
      <c r="D1300" s="1389"/>
      <c r="F1300" s="1312"/>
      <c r="H1300" s="1152">
        <f t="shared" si="69"/>
        <v>0</v>
      </c>
      <c r="J1300" s="1334" t="e">
        <f>VLOOKUP(C1300,Acc_Char!B:K,3,)</f>
        <v>#N/A</v>
      </c>
      <c r="K1300" s="1334" t="e">
        <f>VLOOKUP(C1300,Acc_Char!B:K,7,)</f>
        <v>#N/A</v>
      </c>
      <c r="L1300" s="1334">
        <f t="shared" si="70"/>
        <v>0</v>
      </c>
      <c r="M1300" s="1335" t="e">
        <f>VLOOKUP(C1300,Acc_Char!B:K,5,)</f>
        <v>#N/A</v>
      </c>
      <c r="N1300" s="1335" t="e">
        <f>VLOOKUP(C1300,Acc_Char!B:K,6,)</f>
        <v>#N/A</v>
      </c>
      <c r="O1300" s="1336" t="str">
        <f>Summary!$B$4</f>
        <v>W1-2Jan26</v>
      </c>
      <c r="P1300" s="1334" t="str">
        <f t="shared" si="71"/>
        <v>0</v>
      </c>
    </row>
    <row r="1301" spans="1:16">
      <c r="A1301"/>
      <c r="B1301" s="1335"/>
      <c r="C1301" s="1348"/>
      <c r="D1301" s="1389"/>
      <c r="F1301" s="1312"/>
      <c r="H1301" s="1152">
        <f t="shared" si="69"/>
        <v>0</v>
      </c>
      <c r="I1301" s="1333"/>
      <c r="J1301" s="1334" t="e">
        <f>VLOOKUP(C1301,Acc_Char!B:K,3,)</f>
        <v>#N/A</v>
      </c>
      <c r="K1301" s="1334" t="e">
        <f>VLOOKUP(C1301,Acc_Char!B:K,7,)</f>
        <v>#N/A</v>
      </c>
      <c r="L1301" s="1334">
        <f t="shared" si="70"/>
        <v>0</v>
      </c>
      <c r="M1301" s="1335" t="e">
        <f>VLOOKUP(C1301,Acc_Char!B:K,5,)</f>
        <v>#N/A</v>
      </c>
      <c r="N1301" s="1335" t="e">
        <f>VLOOKUP(C1301,Acc_Char!B:K,6,)</f>
        <v>#N/A</v>
      </c>
      <c r="O1301" s="1336" t="str">
        <f>Summary!$B$4</f>
        <v>W1-2Jan26</v>
      </c>
      <c r="P1301" s="1334" t="str">
        <f t="shared" si="71"/>
        <v>0</v>
      </c>
    </row>
    <row r="1302" spans="1:16">
      <c r="A1302"/>
      <c r="B1302" s="1335"/>
      <c r="C1302" s="1348"/>
      <c r="D1302" s="1389"/>
      <c r="F1302" s="1312"/>
      <c r="H1302" s="1152">
        <f t="shared" si="69"/>
        <v>0</v>
      </c>
      <c r="J1302" s="1334" t="e">
        <f>VLOOKUP(C1302,Acc_Char!B:K,3,)</f>
        <v>#N/A</v>
      </c>
      <c r="K1302" s="1334" t="e">
        <f>VLOOKUP(C1302,Acc_Char!B:K,7,)</f>
        <v>#N/A</v>
      </c>
      <c r="L1302" s="1334">
        <f t="shared" si="70"/>
        <v>0</v>
      </c>
      <c r="M1302" s="1335" t="e">
        <f>VLOOKUP(C1302,Acc_Char!B:K,5,)</f>
        <v>#N/A</v>
      </c>
      <c r="N1302" s="1335" t="e">
        <f>VLOOKUP(C1302,Acc_Char!B:K,6,)</f>
        <v>#N/A</v>
      </c>
      <c r="O1302" s="1336" t="str">
        <f>Summary!$B$4</f>
        <v>W1-2Jan26</v>
      </c>
      <c r="P1302" s="1334" t="str">
        <f t="shared" si="71"/>
        <v>0</v>
      </c>
    </row>
    <row r="1303" spans="1:16">
      <c r="A1303"/>
      <c r="B1303" s="1335"/>
      <c r="C1303" s="1348"/>
      <c r="D1303" s="1389"/>
      <c r="F1303" s="1312"/>
      <c r="H1303" s="1152">
        <f t="shared" si="69"/>
        <v>0</v>
      </c>
      <c r="J1303" s="1334" t="e">
        <f>VLOOKUP(C1303,Acc_Char!B:K,3,)</f>
        <v>#N/A</v>
      </c>
      <c r="K1303" s="1334" t="e">
        <f>VLOOKUP(C1303,Acc_Char!B:K,7,)</f>
        <v>#N/A</v>
      </c>
      <c r="L1303" s="1334">
        <f t="shared" si="70"/>
        <v>0</v>
      </c>
      <c r="M1303" s="1335" t="e">
        <f>VLOOKUP(C1303,Acc_Char!B:K,5,)</f>
        <v>#N/A</v>
      </c>
      <c r="N1303" s="1335" t="e">
        <f>VLOOKUP(C1303,Acc_Char!B:K,6,)</f>
        <v>#N/A</v>
      </c>
      <c r="O1303" s="1336" t="str">
        <f>Summary!$B$4</f>
        <v>W1-2Jan26</v>
      </c>
      <c r="P1303" s="1334" t="str">
        <f t="shared" si="71"/>
        <v>0</v>
      </c>
    </row>
    <row r="1304" spans="1:16">
      <c r="A1304"/>
      <c r="B1304" s="1335"/>
      <c r="C1304" s="1348"/>
      <c r="D1304" s="1389"/>
      <c r="F1304" s="1312"/>
      <c r="H1304" s="1152">
        <f t="shared" si="69"/>
        <v>0</v>
      </c>
      <c r="I1304" s="1333"/>
      <c r="J1304" s="1334" t="e">
        <f>VLOOKUP(C1304,Acc_Char!B:K,3,)</f>
        <v>#N/A</v>
      </c>
      <c r="K1304" s="1334" t="e">
        <f>VLOOKUP(C1304,Acc_Char!B:K,7,)</f>
        <v>#N/A</v>
      </c>
      <c r="L1304" s="1334">
        <f t="shared" si="70"/>
        <v>0</v>
      </c>
      <c r="M1304" s="1335" t="e">
        <f>VLOOKUP(C1304,Acc_Char!B:K,5,)</f>
        <v>#N/A</v>
      </c>
      <c r="N1304" s="1335" t="e">
        <f>VLOOKUP(C1304,Acc_Char!B:K,6,)</f>
        <v>#N/A</v>
      </c>
      <c r="O1304" s="1336" t="str">
        <f>Summary!$B$4</f>
        <v>W1-2Jan26</v>
      </c>
      <c r="P1304" s="1334" t="str">
        <f t="shared" si="71"/>
        <v>0</v>
      </c>
    </row>
    <row r="1305" spans="1:16">
      <c r="A1305"/>
      <c r="B1305" s="1335"/>
      <c r="C1305" s="1348"/>
      <c r="D1305" s="1389"/>
      <c r="F1305" s="1312"/>
      <c r="H1305" s="1152">
        <f t="shared" si="69"/>
        <v>0</v>
      </c>
      <c r="J1305" s="1334" t="e">
        <f>VLOOKUP(C1305,Acc_Char!B:K,3,)</f>
        <v>#N/A</v>
      </c>
      <c r="K1305" s="1334" t="e">
        <f>VLOOKUP(C1305,Acc_Char!B:K,7,)</f>
        <v>#N/A</v>
      </c>
      <c r="L1305" s="1334">
        <f t="shared" si="70"/>
        <v>0</v>
      </c>
      <c r="M1305" s="1335" t="e">
        <f>VLOOKUP(C1305,Acc_Char!B:K,5,)</f>
        <v>#N/A</v>
      </c>
      <c r="N1305" s="1335" t="e">
        <f>VLOOKUP(C1305,Acc_Char!B:K,6,)</f>
        <v>#N/A</v>
      </c>
      <c r="O1305" s="1336" t="str">
        <f>Summary!$B$4</f>
        <v>W1-2Jan26</v>
      </c>
      <c r="P1305" s="1334" t="str">
        <f t="shared" si="71"/>
        <v>0</v>
      </c>
    </row>
    <row r="1306" spans="1:16">
      <c r="A1306"/>
      <c r="B1306" s="1335"/>
      <c r="C1306" s="1348"/>
      <c r="D1306" s="1389"/>
      <c r="F1306" s="1312"/>
      <c r="H1306" s="1152">
        <f t="shared" si="69"/>
        <v>0</v>
      </c>
      <c r="I1306" s="1333"/>
      <c r="J1306" s="1334" t="e">
        <f>VLOOKUP(C1306,Acc_Char!B:K,3,)</f>
        <v>#N/A</v>
      </c>
      <c r="K1306" s="1334" t="e">
        <f>VLOOKUP(C1306,Acc_Char!B:K,7,)</f>
        <v>#N/A</v>
      </c>
      <c r="L1306" s="1334">
        <f t="shared" si="70"/>
        <v>0</v>
      </c>
      <c r="M1306" s="1335" t="e">
        <f>VLOOKUP(C1306,Acc_Char!B:K,5,)</f>
        <v>#N/A</v>
      </c>
      <c r="N1306" s="1335" t="e">
        <f>VLOOKUP(C1306,Acc_Char!B:K,6,)</f>
        <v>#N/A</v>
      </c>
      <c r="O1306" s="1336" t="str">
        <f>Summary!$B$4</f>
        <v>W1-2Jan26</v>
      </c>
      <c r="P1306" s="1334" t="str">
        <f t="shared" si="71"/>
        <v>0</v>
      </c>
    </row>
    <row r="1307" spans="1:16">
      <c r="A1307"/>
      <c r="B1307" s="1335"/>
      <c r="C1307" s="1348"/>
      <c r="D1307" s="1389"/>
      <c r="F1307" s="1312"/>
      <c r="H1307" s="1152">
        <f t="shared" si="69"/>
        <v>0</v>
      </c>
      <c r="J1307" s="1334" t="e">
        <f>VLOOKUP(C1307,Acc_Char!B:K,3,)</f>
        <v>#N/A</v>
      </c>
      <c r="K1307" s="1334" t="e">
        <f>VLOOKUP(C1307,Acc_Char!B:K,7,)</f>
        <v>#N/A</v>
      </c>
      <c r="L1307" s="1334">
        <f t="shared" si="70"/>
        <v>0</v>
      </c>
      <c r="M1307" s="1335" t="e">
        <f>VLOOKUP(C1307,Acc_Char!B:K,5,)</f>
        <v>#N/A</v>
      </c>
      <c r="N1307" s="1335" t="e">
        <f>VLOOKUP(C1307,Acc_Char!B:K,6,)</f>
        <v>#N/A</v>
      </c>
      <c r="O1307" s="1336" t="str">
        <f>Summary!$B$4</f>
        <v>W1-2Jan26</v>
      </c>
      <c r="P1307" s="1334" t="str">
        <f t="shared" si="71"/>
        <v>0</v>
      </c>
    </row>
    <row r="1308" spans="1:16">
      <c r="A1308"/>
      <c r="B1308" s="1335"/>
      <c r="C1308" s="1348"/>
      <c r="D1308" s="1389"/>
      <c r="F1308" s="1312"/>
      <c r="H1308" s="1152">
        <f t="shared" si="69"/>
        <v>0</v>
      </c>
      <c r="J1308" s="1334" t="e">
        <f>VLOOKUP(C1308,Acc_Char!B:K,3,)</f>
        <v>#N/A</v>
      </c>
      <c r="K1308" s="1334" t="e">
        <f>VLOOKUP(C1308,Acc_Char!B:K,7,)</f>
        <v>#N/A</v>
      </c>
      <c r="L1308" s="1334">
        <f t="shared" si="70"/>
        <v>0</v>
      </c>
      <c r="M1308" s="1335" t="e">
        <f>VLOOKUP(C1308,Acc_Char!B:K,5,)</f>
        <v>#N/A</v>
      </c>
      <c r="N1308" s="1335" t="e">
        <f>VLOOKUP(C1308,Acc_Char!B:K,6,)</f>
        <v>#N/A</v>
      </c>
      <c r="O1308" s="1336" t="str">
        <f>Summary!$B$4</f>
        <v>W1-2Jan26</v>
      </c>
      <c r="P1308" s="1334" t="str">
        <f t="shared" si="71"/>
        <v>0</v>
      </c>
    </row>
    <row r="1309" spans="1:16">
      <c r="A1309"/>
      <c r="B1309" s="1335"/>
      <c r="C1309" s="1348"/>
      <c r="D1309" s="1389"/>
      <c r="F1309" s="1312"/>
      <c r="H1309" s="1152">
        <f t="shared" si="69"/>
        <v>0</v>
      </c>
      <c r="J1309" s="1334" t="e">
        <f>VLOOKUP(C1309,Acc_Char!B:K,3,)</f>
        <v>#N/A</v>
      </c>
      <c r="K1309" s="1334" t="e">
        <f>VLOOKUP(C1309,Acc_Char!B:K,7,)</f>
        <v>#N/A</v>
      </c>
      <c r="L1309" s="1334">
        <f t="shared" si="70"/>
        <v>0</v>
      </c>
      <c r="M1309" s="1335" t="e">
        <f>VLOOKUP(C1309,Acc_Char!B:K,5,)</f>
        <v>#N/A</v>
      </c>
      <c r="N1309" s="1335" t="e">
        <f>VLOOKUP(C1309,Acc_Char!B:K,6,)</f>
        <v>#N/A</v>
      </c>
      <c r="O1309" s="1336" t="str">
        <f>Summary!$B$4</f>
        <v>W1-2Jan26</v>
      </c>
      <c r="P1309" s="1334" t="str">
        <f t="shared" si="71"/>
        <v>0</v>
      </c>
    </row>
    <row r="1310" spans="1:16">
      <c r="A1310"/>
      <c r="B1310" s="1335"/>
      <c r="C1310" s="1348"/>
      <c r="D1310" s="1389"/>
      <c r="F1310" s="1312"/>
      <c r="H1310" s="1152">
        <f t="shared" si="69"/>
        <v>0</v>
      </c>
      <c r="J1310" s="1334" t="e">
        <f>VLOOKUP(C1310,Acc_Char!B:K,3,)</f>
        <v>#N/A</v>
      </c>
      <c r="K1310" s="1334" t="e">
        <f>VLOOKUP(C1310,Acc_Char!B:K,7,)</f>
        <v>#N/A</v>
      </c>
      <c r="L1310" s="1334">
        <f t="shared" si="70"/>
        <v>0</v>
      </c>
      <c r="M1310" s="1335" t="e">
        <f>VLOOKUP(C1310,Acc_Char!B:K,5,)</f>
        <v>#N/A</v>
      </c>
      <c r="N1310" s="1335" t="e">
        <f>VLOOKUP(C1310,Acc_Char!B:K,6,)</f>
        <v>#N/A</v>
      </c>
      <c r="O1310" s="1336" t="str">
        <f>Summary!$B$4</f>
        <v>W1-2Jan26</v>
      </c>
      <c r="P1310" s="1334" t="str">
        <f t="shared" si="71"/>
        <v>0</v>
      </c>
    </row>
    <row r="1311" spans="1:16">
      <c r="A1311"/>
      <c r="B1311" s="1335"/>
      <c r="C1311" s="1348"/>
      <c r="D1311" s="1389"/>
      <c r="F1311" s="1312"/>
      <c r="H1311" s="1152">
        <f t="shared" si="69"/>
        <v>0</v>
      </c>
      <c r="J1311" s="1334" t="e">
        <f>VLOOKUP(C1311,Acc_Char!B:K,3,)</f>
        <v>#N/A</v>
      </c>
      <c r="K1311" s="1334" t="e">
        <f>VLOOKUP(C1311,Acc_Char!B:K,7,)</f>
        <v>#N/A</v>
      </c>
      <c r="L1311" s="1334">
        <f t="shared" si="70"/>
        <v>0</v>
      </c>
      <c r="M1311" s="1335" t="e">
        <f>VLOOKUP(C1311,Acc_Char!B:K,5,)</f>
        <v>#N/A</v>
      </c>
      <c r="N1311" s="1335" t="e">
        <f>VLOOKUP(C1311,Acc_Char!B:K,6,)</f>
        <v>#N/A</v>
      </c>
      <c r="O1311" s="1336" t="str">
        <f>Summary!$B$4</f>
        <v>W1-2Jan26</v>
      </c>
      <c r="P1311" s="1334" t="str">
        <f t="shared" si="71"/>
        <v>0</v>
      </c>
    </row>
    <row r="1312" spans="1:16">
      <c r="A1312"/>
      <c r="B1312" s="1335"/>
      <c r="C1312" s="1348"/>
      <c r="D1312" s="1389"/>
      <c r="F1312" s="1312"/>
      <c r="H1312" s="1152">
        <f t="shared" si="69"/>
        <v>0</v>
      </c>
      <c r="J1312" s="1334" t="e">
        <f>VLOOKUP(C1312,Acc_Char!B:K,3,)</f>
        <v>#N/A</v>
      </c>
      <c r="K1312" s="1334" t="e">
        <f>VLOOKUP(C1312,Acc_Char!B:K,7,)</f>
        <v>#N/A</v>
      </c>
      <c r="L1312" s="1334">
        <f t="shared" si="70"/>
        <v>0</v>
      </c>
      <c r="M1312" s="1335" t="e">
        <f>VLOOKUP(C1312,Acc_Char!B:K,5,)</f>
        <v>#N/A</v>
      </c>
      <c r="N1312" s="1335" t="e">
        <f>VLOOKUP(C1312,Acc_Char!B:K,6,)</f>
        <v>#N/A</v>
      </c>
      <c r="O1312" s="1336" t="str">
        <f>Summary!$B$4</f>
        <v>W1-2Jan26</v>
      </c>
      <c r="P1312" s="1334" t="str">
        <f t="shared" si="71"/>
        <v>0</v>
      </c>
    </row>
    <row r="1313" spans="1:16">
      <c r="A1313"/>
      <c r="B1313" s="1335"/>
      <c r="C1313" s="1348"/>
      <c r="D1313" s="1389"/>
      <c r="F1313" s="1312"/>
      <c r="H1313" s="1152">
        <f t="shared" si="69"/>
        <v>0</v>
      </c>
      <c r="J1313" s="1334" t="e">
        <f>VLOOKUP(C1313,Acc_Char!B:K,3,)</f>
        <v>#N/A</v>
      </c>
      <c r="K1313" s="1334" t="e">
        <f>VLOOKUP(C1313,Acc_Char!B:K,7,)</f>
        <v>#N/A</v>
      </c>
      <c r="L1313" s="1334">
        <f t="shared" si="70"/>
        <v>0</v>
      </c>
      <c r="M1313" s="1335" t="e">
        <f>VLOOKUP(C1313,Acc_Char!B:K,5,)</f>
        <v>#N/A</v>
      </c>
      <c r="N1313" s="1335" t="e">
        <f>VLOOKUP(C1313,Acc_Char!B:K,6,)</f>
        <v>#N/A</v>
      </c>
      <c r="O1313" s="1336" t="str">
        <f>Summary!$B$4</f>
        <v>W1-2Jan26</v>
      </c>
      <c r="P1313" s="1334" t="str">
        <f t="shared" si="71"/>
        <v>0</v>
      </c>
    </row>
    <row r="1314" spans="1:16">
      <c r="A1314"/>
      <c r="B1314" s="1335"/>
      <c r="C1314" s="1348"/>
      <c r="D1314" s="1389"/>
      <c r="F1314" s="1312"/>
      <c r="H1314" s="1152">
        <f t="shared" si="69"/>
        <v>0</v>
      </c>
      <c r="J1314" s="1334" t="e">
        <f>VLOOKUP(C1314,Acc_Char!B:K,3,)</f>
        <v>#N/A</v>
      </c>
      <c r="K1314" s="1334" t="e">
        <f>VLOOKUP(C1314,Acc_Char!B:K,7,)</f>
        <v>#N/A</v>
      </c>
      <c r="L1314" s="1334">
        <f t="shared" si="70"/>
        <v>0</v>
      </c>
      <c r="M1314" s="1335" t="e">
        <f>VLOOKUP(C1314,Acc_Char!B:K,5,)</f>
        <v>#N/A</v>
      </c>
      <c r="N1314" s="1335" t="e">
        <f>VLOOKUP(C1314,Acc_Char!B:K,6,)</f>
        <v>#N/A</v>
      </c>
      <c r="O1314" s="1336" t="str">
        <f>Summary!$B$4</f>
        <v>W1-2Jan26</v>
      </c>
      <c r="P1314" s="1334" t="str">
        <f t="shared" si="71"/>
        <v>0</v>
      </c>
    </row>
    <row r="1315" spans="1:16">
      <c r="A1315"/>
      <c r="B1315" s="1335"/>
      <c r="C1315" s="1348"/>
      <c r="D1315" s="1389"/>
      <c r="F1315" s="1312"/>
      <c r="H1315" s="1152">
        <f t="shared" si="69"/>
        <v>0</v>
      </c>
      <c r="J1315" s="1334" t="e">
        <f>VLOOKUP(C1315,Acc_Char!B:K,3,)</f>
        <v>#N/A</v>
      </c>
      <c r="K1315" s="1334" t="e">
        <f>VLOOKUP(C1315,Acc_Char!B:K,7,)</f>
        <v>#N/A</v>
      </c>
      <c r="L1315" s="1334">
        <f t="shared" si="70"/>
        <v>0</v>
      </c>
      <c r="M1315" s="1335" t="e">
        <f>VLOOKUP(C1315,Acc_Char!B:K,5,)</f>
        <v>#N/A</v>
      </c>
      <c r="N1315" s="1335" t="e">
        <f>VLOOKUP(C1315,Acc_Char!B:K,6,)</f>
        <v>#N/A</v>
      </c>
      <c r="O1315" s="1336" t="str">
        <f>Summary!$B$4</f>
        <v>W1-2Jan26</v>
      </c>
      <c r="P1315" s="1334" t="str">
        <f t="shared" si="71"/>
        <v>0</v>
      </c>
    </row>
    <row r="1316" spans="1:16">
      <c r="A1316"/>
      <c r="B1316" s="1335"/>
      <c r="C1316" s="1348"/>
      <c r="D1316" s="1389"/>
      <c r="F1316" s="1312"/>
      <c r="H1316" s="1152">
        <f t="shared" si="69"/>
        <v>0</v>
      </c>
      <c r="J1316" s="1334" t="e">
        <f>VLOOKUP(C1316,Acc_Char!B:K,3,)</f>
        <v>#N/A</v>
      </c>
      <c r="K1316" s="1334" t="e">
        <f>VLOOKUP(C1316,Acc_Char!B:K,7,)</f>
        <v>#N/A</v>
      </c>
      <c r="L1316" s="1334">
        <f t="shared" si="70"/>
        <v>0</v>
      </c>
      <c r="M1316" s="1335" t="e">
        <f>VLOOKUP(C1316,Acc_Char!B:K,5,)</f>
        <v>#N/A</v>
      </c>
      <c r="N1316" s="1335" t="e">
        <f>VLOOKUP(C1316,Acc_Char!B:K,6,)</f>
        <v>#N/A</v>
      </c>
      <c r="O1316" s="1336" t="str">
        <f>Summary!$B$4</f>
        <v>W1-2Jan26</v>
      </c>
      <c r="P1316" s="1334" t="str">
        <f t="shared" si="71"/>
        <v>0</v>
      </c>
    </row>
    <row r="1317" spans="1:16">
      <c r="A1317"/>
      <c r="B1317" s="1335"/>
      <c r="D1317" s="1389"/>
      <c r="F1317" s="1312"/>
      <c r="H1317" s="1152">
        <f t="shared" si="69"/>
        <v>0</v>
      </c>
      <c r="J1317" s="1334" t="e">
        <f>VLOOKUP(C1317,Acc_Char!B:K,3,)</f>
        <v>#N/A</v>
      </c>
      <c r="K1317" s="1334" t="e">
        <f>VLOOKUP(C1317,Acc_Char!B:K,7,)</f>
        <v>#N/A</v>
      </c>
      <c r="L1317" s="1334">
        <f t="shared" si="70"/>
        <v>0</v>
      </c>
      <c r="M1317" s="1335" t="e">
        <f>VLOOKUP(C1317,Acc_Char!B:K,5,)</f>
        <v>#N/A</v>
      </c>
      <c r="N1317" s="1335" t="e">
        <f>VLOOKUP(C1317,Acc_Char!B:K,6,)</f>
        <v>#N/A</v>
      </c>
      <c r="O1317" s="1336" t="str">
        <f>Summary!$B$4</f>
        <v>W1-2Jan26</v>
      </c>
      <c r="P1317" s="1334" t="str">
        <f t="shared" si="71"/>
        <v>0</v>
      </c>
    </row>
    <row r="1318" spans="1:16">
      <c r="A1318"/>
      <c r="B1318" s="1335"/>
      <c r="D1318" s="1389"/>
      <c r="F1318" s="1312"/>
      <c r="H1318" s="1152">
        <f t="shared" si="69"/>
        <v>0</v>
      </c>
      <c r="J1318" s="1334" t="e">
        <f>VLOOKUP(C1318,Acc_Char!B:K,3,)</f>
        <v>#N/A</v>
      </c>
      <c r="K1318" s="1334" t="e">
        <f>VLOOKUP(C1318,Acc_Char!B:K,7,)</f>
        <v>#N/A</v>
      </c>
      <c r="L1318" s="1334">
        <f t="shared" si="70"/>
        <v>0</v>
      </c>
      <c r="M1318" s="1335" t="e">
        <f>VLOOKUP(C1318,Acc_Char!B:K,5,)</f>
        <v>#N/A</v>
      </c>
      <c r="N1318" s="1335" t="e">
        <f>VLOOKUP(C1318,Acc_Char!B:K,6,)</f>
        <v>#N/A</v>
      </c>
      <c r="O1318" s="1336" t="str">
        <f>Summary!$B$4</f>
        <v>W1-2Jan26</v>
      </c>
      <c r="P1318" s="1334" t="str">
        <f t="shared" si="71"/>
        <v>0</v>
      </c>
    </row>
    <row r="1319" spans="1:16">
      <c r="A1319"/>
      <c r="B1319" s="1335"/>
      <c r="D1319" s="1389"/>
      <c r="F1319" s="1312"/>
      <c r="H1319" s="1152">
        <f t="shared" ref="H1319:H1382" si="72">F1319-G1319</f>
        <v>0</v>
      </c>
      <c r="J1319" s="1334" t="e">
        <f>VLOOKUP(C1319,Acc_Char!B:K,3,)</f>
        <v>#N/A</v>
      </c>
      <c r="K1319" s="1334" t="e">
        <f>VLOOKUP(C1319,Acc_Char!B:K,7,)</f>
        <v>#N/A</v>
      </c>
      <c r="L1319" s="1334">
        <f t="shared" si="70"/>
        <v>0</v>
      </c>
      <c r="M1319" s="1335" t="e">
        <f>VLOOKUP(C1319,Acc_Char!B:K,5,)</f>
        <v>#N/A</v>
      </c>
      <c r="N1319" s="1335" t="e">
        <f>VLOOKUP(C1319,Acc_Char!B:K,6,)</f>
        <v>#N/A</v>
      </c>
      <c r="O1319" s="1336" t="str">
        <f>Summary!$B$4</f>
        <v>W1-2Jan26</v>
      </c>
      <c r="P1319" s="1334" t="str">
        <f t="shared" si="71"/>
        <v>0</v>
      </c>
    </row>
    <row r="1320" spans="1:16">
      <c r="A1320"/>
      <c r="B1320" s="1335"/>
      <c r="D1320" s="1389"/>
      <c r="F1320" s="1312"/>
      <c r="H1320" s="1152">
        <f t="shared" si="72"/>
        <v>0</v>
      </c>
      <c r="J1320" s="1334" t="e">
        <f>VLOOKUP(C1320,Acc_Char!B:K,3,)</f>
        <v>#N/A</v>
      </c>
      <c r="K1320" s="1334" t="e">
        <f>VLOOKUP(C1320,Acc_Char!B:K,7,)</f>
        <v>#N/A</v>
      </c>
      <c r="L1320" s="1334">
        <f t="shared" si="70"/>
        <v>0</v>
      </c>
      <c r="M1320" s="1335" t="e">
        <f>VLOOKUP(C1320,Acc_Char!B:K,5,)</f>
        <v>#N/A</v>
      </c>
      <c r="N1320" s="1335" t="e">
        <f>VLOOKUP(C1320,Acc_Char!B:K,6,)</f>
        <v>#N/A</v>
      </c>
      <c r="O1320" s="1336" t="str">
        <f>Summary!$B$4</f>
        <v>W1-2Jan26</v>
      </c>
      <c r="P1320" s="1334" t="str">
        <f t="shared" si="71"/>
        <v>0</v>
      </c>
    </row>
    <row r="1321" spans="1:16">
      <c r="A1321"/>
      <c r="B1321" s="1335"/>
      <c r="D1321" s="1389"/>
      <c r="F1321" s="1312"/>
      <c r="H1321" s="1152">
        <f t="shared" si="72"/>
        <v>0</v>
      </c>
      <c r="J1321" s="1334" t="e">
        <f>VLOOKUP(C1321,Acc_Char!B:K,3,)</f>
        <v>#N/A</v>
      </c>
      <c r="K1321" s="1334" t="e">
        <f>VLOOKUP(C1321,Acc_Char!B:K,7,)</f>
        <v>#N/A</v>
      </c>
      <c r="L1321" s="1334">
        <f t="shared" si="70"/>
        <v>0</v>
      </c>
      <c r="M1321" s="1335" t="e">
        <f>VLOOKUP(C1321,Acc_Char!B:K,5,)</f>
        <v>#N/A</v>
      </c>
      <c r="N1321" s="1335" t="e">
        <f>VLOOKUP(C1321,Acc_Char!B:K,6,)</f>
        <v>#N/A</v>
      </c>
      <c r="O1321" s="1336" t="str">
        <f>Summary!$B$4</f>
        <v>W1-2Jan26</v>
      </c>
      <c r="P1321" s="1334" t="str">
        <f t="shared" si="71"/>
        <v>0</v>
      </c>
    </row>
    <row r="1322" spans="1:16">
      <c r="A1322"/>
      <c r="B1322" s="1335"/>
      <c r="D1322" s="1389"/>
      <c r="F1322" s="1312"/>
      <c r="H1322" s="1152">
        <f t="shared" si="72"/>
        <v>0</v>
      </c>
      <c r="I1322" s="1333"/>
      <c r="J1322" s="1334" t="e">
        <f>VLOOKUP(C1322,Acc_Char!B:K,3,)</f>
        <v>#N/A</v>
      </c>
      <c r="K1322" s="1334" t="e">
        <f>VLOOKUP(C1322,Acc_Char!B:K,7,)</f>
        <v>#N/A</v>
      </c>
      <c r="L1322" s="1334">
        <f t="shared" si="70"/>
        <v>0</v>
      </c>
      <c r="M1322" s="1335" t="e">
        <f>VLOOKUP(C1322,Acc_Char!B:K,5,)</f>
        <v>#N/A</v>
      </c>
      <c r="N1322" s="1335" t="e">
        <f>VLOOKUP(C1322,Acc_Char!B:K,6,)</f>
        <v>#N/A</v>
      </c>
      <c r="O1322" s="1336" t="str">
        <f>Summary!$B$4</f>
        <v>W1-2Jan26</v>
      </c>
      <c r="P1322" s="1334" t="str">
        <f t="shared" si="71"/>
        <v>0</v>
      </c>
    </row>
    <row r="1323" spans="1:16">
      <c r="A1323"/>
      <c r="B1323" s="1335"/>
      <c r="D1323" s="1389"/>
      <c r="F1323" s="1312"/>
      <c r="H1323" s="1152">
        <f t="shared" si="72"/>
        <v>0</v>
      </c>
      <c r="J1323" s="1334" t="e">
        <f>VLOOKUP(C1323,Acc_Char!B:K,3,)</f>
        <v>#N/A</v>
      </c>
      <c r="K1323" s="1334" t="e">
        <f>VLOOKUP(C1323,Acc_Char!B:K,7,)</f>
        <v>#N/A</v>
      </c>
      <c r="L1323" s="1334">
        <f t="shared" si="70"/>
        <v>0</v>
      </c>
      <c r="M1323" s="1335" t="e">
        <f>VLOOKUP(C1323,Acc_Char!B:K,5,)</f>
        <v>#N/A</v>
      </c>
      <c r="N1323" s="1335" t="e">
        <f>VLOOKUP(C1323,Acc_Char!B:K,6,)</f>
        <v>#N/A</v>
      </c>
      <c r="O1323" s="1336" t="str">
        <f>Summary!$B$4</f>
        <v>W1-2Jan26</v>
      </c>
      <c r="P1323" s="1334" t="str">
        <f t="shared" si="71"/>
        <v>0</v>
      </c>
    </row>
    <row r="1324" spans="1:16">
      <c r="A1324"/>
      <c r="B1324" s="1335"/>
      <c r="D1324" s="1389"/>
      <c r="F1324" s="1312"/>
      <c r="H1324" s="1152">
        <f t="shared" si="72"/>
        <v>0</v>
      </c>
      <c r="J1324" s="1334" t="e">
        <f>VLOOKUP(C1324,Acc_Char!B:K,3,)</f>
        <v>#N/A</v>
      </c>
      <c r="K1324" s="1334" t="e">
        <f>VLOOKUP(C1324,Acc_Char!B:K,7,)</f>
        <v>#N/A</v>
      </c>
      <c r="L1324" s="1334">
        <f t="shared" si="70"/>
        <v>0</v>
      </c>
      <c r="M1324" s="1335" t="e">
        <f>VLOOKUP(C1324,Acc_Char!B:K,5,)</f>
        <v>#N/A</v>
      </c>
      <c r="N1324" s="1335" t="e">
        <f>VLOOKUP(C1324,Acc_Char!B:K,6,)</f>
        <v>#N/A</v>
      </c>
      <c r="O1324" s="1336" t="str">
        <f>Summary!$B$4</f>
        <v>W1-2Jan26</v>
      </c>
      <c r="P1324" s="1334" t="str">
        <f t="shared" si="71"/>
        <v>0</v>
      </c>
    </row>
    <row r="1325" spans="1:16">
      <c r="A1325"/>
      <c r="B1325" s="1335"/>
      <c r="D1325" s="1389"/>
      <c r="F1325" s="1312"/>
      <c r="H1325" s="1152">
        <f t="shared" si="72"/>
        <v>0</v>
      </c>
      <c r="J1325" s="1334" t="e">
        <f>VLOOKUP(C1325,Acc_Char!B:K,3,)</f>
        <v>#N/A</v>
      </c>
      <c r="K1325" s="1334" t="e">
        <f>VLOOKUP(C1325,Acc_Char!B:K,7,)</f>
        <v>#N/A</v>
      </c>
      <c r="L1325" s="1334">
        <f t="shared" si="70"/>
        <v>0</v>
      </c>
      <c r="M1325" s="1335" t="e">
        <f>VLOOKUP(C1325,Acc_Char!B:K,5,)</f>
        <v>#N/A</v>
      </c>
      <c r="N1325" s="1335" t="e">
        <f>VLOOKUP(C1325,Acc_Char!B:K,6,)</f>
        <v>#N/A</v>
      </c>
      <c r="O1325" s="1336" t="str">
        <f>Summary!$B$4</f>
        <v>W1-2Jan26</v>
      </c>
      <c r="P1325" s="1334" t="str">
        <f t="shared" si="71"/>
        <v>0</v>
      </c>
    </row>
    <row r="1326" spans="1:16">
      <c r="A1326"/>
      <c r="B1326" s="1335"/>
      <c r="D1326" s="1389"/>
      <c r="F1326" s="1312"/>
      <c r="H1326" s="1152">
        <f t="shared" si="72"/>
        <v>0</v>
      </c>
      <c r="J1326" s="1334" t="e">
        <f>VLOOKUP(C1326,Acc_Char!B:K,3,)</f>
        <v>#N/A</v>
      </c>
      <c r="K1326" s="1334" t="e">
        <f>VLOOKUP(C1326,Acc_Char!B:K,7,)</f>
        <v>#N/A</v>
      </c>
      <c r="L1326" s="1334">
        <f t="shared" si="70"/>
        <v>0</v>
      </c>
      <c r="M1326" s="1335" t="e">
        <f>VLOOKUP(C1326,Acc_Char!B:K,5,)</f>
        <v>#N/A</v>
      </c>
      <c r="N1326" s="1335" t="e">
        <f>VLOOKUP(C1326,Acc_Char!B:K,6,)</f>
        <v>#N/A</v>
      </c>
      <c r="O1326" s="1336" t="str">
        <f>Summary!$B$4</f>
        <v>W1-2Jan26</v>
      </c>
      <c r="P1326" s="1334" t="str">
        <f t="shared" si="71"/>
        <v>0</v>
      </c>
    </row>
    <row r="1327" spans="1:16">
      <c r="A1327"/>
      <c r="B1327" s="1335"/>
      <c r="D1327" s="1389"/>
      <c r="F1327" s="1312"/>
      <c r="H1327" s="1152">
        <f t="shared" si="72"/>
        <v>0</v>
      </c>
      <c r="J1327" s="1334" t="e">
        <f>VLOOKUP(C1327,Acc_Char!B:K,3,)</f>
        <v>#N/A</v>
      </c>
      <c r="K1327" s="1334" t="e">
        <f>VLOOKUP(C1327,Acc_Char!B:K,7,)</f>
        <v>#N/A</v>
      </c>
      <c r="L1327" s="1334">
        <f t="shared" si="70"/>
        <v>0</v>
      </c>
      <c r="M1327" s="1335" t="e">
        <f>VLOOKUP(C1327,Acc_Char!B:K,5,)</f>
        <v>#N/A</v>
      </c>
      <c r="N1327" s="1335" t="e">
        <f>VLOOKUP(C1327,Acc_Char!B:K,6,)</f>
        <v>#N/A</v>
      </c>
      <c r="O1327" s="1336" t="str">
        <f>Summary!$B$4</f>
        <v>W1-2Jan26</v>
      </c>
      <c r="P1327" s="1334" t="str">
        <f t="shared" si="71"/>
        <v>0</v>
      </c>
    </row>
    <row r="1328" spans="1:16">
      <c r="A1328"/>
      <c r="B1328" s="1335"/>
      <c r="D1328" s="1389"/>
      <c r="F1328" s="1312"/>
      <c r="H1328" s="1152">
        <f t="shared" si="72"/>
        <v>0</v>
      </c>
      <c r="J1328" s="1334" t="e">
        <f>VLOOKUP(C1328,Acc_Char!B:K,3,)</f>
        <v>#N/A</v>
      </c>
      <c r="K1328" s="1334" t="e">
        <f>VLOOKUP(C1328,Acc_Char!B:K,7,)</f>
        <v>#N/A</v>
      </c>
      <c r="L1328" s="1334">
        <f t="shared" si="70"/>
        <v>0</v>
      </c>
      <c r="M1328" s="1335" t="e">
        <f>VLOOKUP(C1328,Acc_Char!B:K,5,)</f>
        <v>#N/A</v>
      </c>
      <c r="N1328" s="1335" t="e">
        <f>VLOOKUP(C1328,Acc_Char!B:K,6,)</f>
        <v>#N/A</v>
      </c>
      <c r="O1328" s="1336" t="str">
        <f>Summary!$B$4</f>
        <v>W1-2Jan26</v>
      </c>
      <c r="P1328" s="1334" t="str">
        <f t="shared" si="71"/>
        <v>0</v>
      </c>
    </row>
    <row r="1329" spans="1:16">
      <c r="A1329"/>
      <c r="B1329" s="1335"/>
      <c r="D1329" s="1389"/>
      <c r="F1329" s="1312"/>
      <c r="H1329" s="1152">
        <f t="shared" si="72"/>
        <v>0</v>
      </c>
      <c r="J1329" s="1334" t="e">
        <f>VLOOKUP(C1329,Acc_Char!B:K,3,)</f>
        <v>#N/A</v>
      </c>
      <c r="K1329" s="1334" t="e">
        <f>VLOOKUP(C1329,Acc_Char!B:K,7,)</f>
        <v>#N/A</v>
      </c>
      <c r="L1329" s="1334">
        <f t="shared" si="70"/>
        <v>0</v>
      </c>
      <c r="M1329" s="1335" t="e">
        <f>VLOOKUP(C1329,Acc_Char!B:K,5,)</f>
        <v>#N/A</v>
      </c>
      <c r="N1329" s="1335" t="e">
        <f>VLOOKUP(C1329,Acc_Char!B:K,6,)</f>
        <v>#N/A</v>
      </c>
      <c r="O1329" s="1336" t="str">
        <f>Summary!$B$4</f>
        <v>W1-2Jan26</v>
      </c>
      <c r="P1329" s="1334" t="str">
        <f t="shared" si="71"/>
        <v>0</v>
      </c>
    </row>
    <row r="1330" spans="1:16">
      <c r="A1330"/>
      <c r="B1330" s="1335"/>
      <c r="D1330" s="1389"/>
      <c r="F1330" s="1312"/>
      <c r="H1330" s="1152">
        <f t="shared" si="72"/>
        <v>0</v>
      </c>
      <c r="J1330" s="1334" t="e">
        <f>VLOOKUP(C1330,Acc_Char!B:K,3,)</f>
        <v>#N/A</v>
      </c>
      <c r="K1330" s="1334" t="e">
        <f>VLOOKUP(C1330,Acc_Char!B:K,7,)</f>
        <v>#N/A</v>
      </c>
      <c r="L1330" s="1334">
        <f t="shared" si="70"/>
        <v>0</v>
      </c>
      <c r="M1330" s="1335" t="e">
        <f>VLOOKUP(C1330,Acc_Char!B:K,5,)</f>
        <v>#N/A</v>
      </c>
      <c r="N1330" s="1335" t="e">
        <f>VLOOKUP(C1330,Acc_Char!B:K,6,)</f>
        <v>#N/A</v>
      </c>
      <c r="O1330" s="1336" t="str">
        <f>Summary!$B$4</f>
        <v>W1-2Jan26</v>
      </c>
      <c r="P1330" s="1334" t="str">
        <f t="shared" si="71"/>
        <v>0</v>
      </c>
    </row>
    <row r="1331" spans="1:16">
      <c r="A1331"/>
      <c r="B1331" s="1335"/>
      <c r="D1331" s="1389"/>
      <c r="F1331" s="1312"/>
      <c r="H1331" s="1152">
        <f t="shared" si="72"/>
        <v>0</v>
      </c>
      <c r="J1331" s="1334" t="e">
        <f>VLOOKUP(C1331,Acc_Char!B:K,3,)</f>
        <v>#N/A</v>
      </c>
      <c r="K1331" s="1334" t="e">
        <f>VLOOKUP(C1331,Acc_Char!B:K,7,)</f>
        <v>#N/A</v>
      </c>
      <c r="L1331" s="1334">
        <f t="shared" si="70"/>
        <v>0</v>
      </c>
      <c r="M1331" s="1335" t="e">
        <f>VLOOKUP(C1331,Acc_Char!B:K,5,)</f>
        <v>#N/A</v>
      </c>
      <c r="N1331" s="1335" t="e">
        <f>VLOOKUP(C1331,Acc_Char!B:K,6,)</f>
        <v>#N/A</v>
      </c>
      <c r="O1331" s="1336" t="str">
        <f>Summary!$B$4</f>
        <v>W1-2Jan26</v>
      </c>
      <c r="P1331" s="1334" t="str">
        <f t="shared" si="71"/>
        <v>0</v>
      </c>
    </row>
    <row r="1332" spans="1:16">
      <c r="A1332"/>
      <c r="B1332" s="1335"/>
      <c r="D1332" s="1389"/>
      <c r="F1332" s="1312"/>
      <c r="H1332" s="1152">
        <f t="shared" si="72"/>
        <v>0</v>
      </c>
      <c r="J1332" s="1334" t="e">
        <f>VLOOKUP(C1332,Acc_Char!B:K,3,)</f>
        <v>#N/A</v>
      </c>
      <c r="K1332" s="1334" t="e">
        <f>VLOOKUP(C1332,Acc_Char!B:K,7,)</f>
        <v>#N/A</v>
      </c>
      <c r="L1332" s="1334">
        <f t="shared" si="70"/>
        <v>0</v>
      </c>
      <c r="M1332" s="1335" t="e">
        <f>VLOOKUP(C1332,Acc_Char!B:K,5,)</f>
        <v>#N/A</v>
      </c>
      <c r="N1332" s="1335" t="e">
        <f>VLOOKUP(C1332,Acc_Char!B:K,6,)</f>
        <v>#N/A</v>
      </c>
      <c r="O1332" s="1336" t="str">
        <f>Summary!$B$4</f>
        <v>W1-2Jan26</v>
      </c>
      <c r="P1332" s="1334" t="str">
        <f t="shared" si="71"/>
        <v>0</v>
      </c>
    </row>
    <row r="1333" spans="1:16">
      <c r="A1333"/>
      <c r="B1333" s="1335"/>
      <c r="D1333" s="1389"/>
      <c r="F1333" s="1312"/>
      <c r="H1333" s="1152">
        <f t="shared" si="72"/>
        <v>0</v>
      </c>
      <c r="J1333" s="1334" t="e">
        <f>VLOOKUP(C1333,Acc_Char!B:K,3,)</f>
        <v>#N/A</v>
      </c>
      <c r="K1333" s="1334" t="e">
        <f>VLOOKUP(C1333,Acc_Char!B:K,7,)</f>
        <v>#N/A</v>
      </c>
      <c r="L1333" s="1334">
        <f t="shared" si="70"/>
        <v>0</v>
      </c>
      <c r="M1333" s="1335" t="e">
        <f>VLOOKUP(C1333,Acc_Char!B:K,5,)</f>
        <v>#N/A</v>
      </c>
      <c r="N1333" s="1335" t="e">
        <f>VLOOKUP(C1333,Acc_Char!B:K,6,)</f>
        <v>#N/A</v>
      </c>
      <c r="O1333" s="1336" t="str">
        <f>Summary!$B$4</f>
        <v>W1-2Jan26</v>
      </c>
      <c r="P1333" s="1334" t="str">
        <f t="shared" si="71"/>
        <v>0</v>
      </c>
    </row>
    <row r="1334" spans="1:16">
      <c r="A1334"/>
      <c r="B1334" s="1335"/>
      <c r="D1334" s="1389"/>
      <c r="F1334" s="1312"/>
      <c r="H1334" s="1152">
        <f t="shared" si="72"/>
        <v>0</v>
      </c>
      <c r="J1334" s="1334" t="e">
        <f>VLOOKUP(C1334,Acc_Char!B:K,3,)</f>
        <v>#N/A</v>
      </c>
      <c r="K1334" s="1334" t="e">
        <f>VLOOKUP(C1334,Acc_Char!B:K,7,)</f>
        <v>#N/A</v>
      </c>
      <c r="L1334" s="1334">
        <f t="shared" si="70"/>
        <v>0</v>
      </c>
      <c r="M1334" s="1335" t="e">
        <f>VLOOKUP(C1334,Acc_Char!B:K,5,)</f>
        <v>#N/A</v>
      </c>
      <c r="N1334" s="1335" t="e">
        <f>VLOOKUP(C1334,Acc_Char!B:K,6,)</f>
        <v>#N/A</v>
      </c>
      <c r="O1334" s="1336" t="str">
        <f>Summary!$B$4</f>
        <v>W1-2Jan26</v>
      </c>
      <c r="P1334" s="1334" t="str">
        <f t="shared" si="71"/>
        <v>0</v>
      </c>
    </row>
    <row r="1335" spans="1:16">
      <c r="A1335"/>
      <c r="B1335" s="1335"/>
      <c r="D1335" s="1389"/>
      <c r="F1335" s="1312"/>
      <c r="H1335" s="1152">
        <f t="shared" si="72"/>
        <v>0</v>
      </c>
      <c r="I1335" s="1333"/>
      <c r="J1335" s="1334" t="e">
        <f>VLOOKUP(C1335,Acc_Char!B:K,3,)</f>
        <v>#N/A</v>
      </c>
      <c r="K1335" s="1334" t="e">
        <f>VLOOKUP(C1335,Acc_Char!B:K,7,)</f>
        <v>#N/A</v>
      </c>
      <c r="L1335" s="1334">
        <f t="shared" si="70"/>
        <v>0</v>
      </c>
      <c r="M1335" s="1335" t="e">
        <f>VLOOKUP(C1335,Acc_Char!B:K,5,)</f>
        <v>#N/A</v>
      </c>
      <c r="N1335" s="1335" t="e">
        <f>VLOOKUP(C1335,Acc_Char!B:K,6,)</f>
        <v>#N/A</v>
      </c>
      <c r="O1335" s="1336" t="str">
        <f>Summary!$B$4</f>
        <v>W1-2Jan26</v>
      </c>
      <c r="P1335" s="1334" t="str">
        <f t="shared" si="71"/>
        <v>0</v>
      </c>
    </row>
    <row r="1336" spans="1:16">
      <c r="A1336"/>
      <c r="B1336" s="1335"/>
      <c r="D1336" s="1389"/>
      <c r="F1336" s="1312"/>
      <c r="H1336" s="1152">
        <f t="shared" si="72"/>
        <v>0</v>
      </c>
      <c r="J1336" s="1334" t="e">
        <f>VLOOKUP(C1336,Acc_Char!B:K,3,)</f>
        <v>#N/A</v>
      </c>
      <c r="K1336" s="1334" t="e">
        <f>VLOOKUP(C1336,Acc_Char!B:K,7,)</f>
        <v>#N/A</v>
      </c>
      <c r="L1336" s="1334">
        <f t="shared" si="70"/>
        <v>0</v>
      </c>
      <c r="M1336" s="1335" t="e">
        <f>VLOOKUP(C1336,Acc_Char!B:K,5,)</f>
        <v>#N/A</v>
      </c>
      <c r="N1336" s="1335" t="e">
        <f>VLOOKUP(C1336,Acc_Char!B:K,6,)</f>
        <v>#N/A</v>
      </c>
      <c r="O1336" s="1336" t="str">
        <f>Summary!$B$4</f>
        <v>W1-2Jan26</v>
      </c>
      <c r="P1336" s="1334" t="str">
        <f t="shared" si="71"/>
        <v>0</v>
      </c>
    </row>
    <row r="1337" spans="1:16">
      <c r="A1337"/>
      <c r="B1337" s="1335"/>
      <c r="D1337" s="1389"/>
      <c r="F1337" s="1312"/>
      <c r="H1337" s="1152">
        <f t="shared" si="72"/>
        <v>0</v>
      </c>
      <c r="J1337" s="1334" t="e">
        <f>VLOOKUP(C1337,Acc_Char!B:K,3,)</f>
        <v>#N/A</v>
      </c>
      <c r="K1337" s="1334" t="e">
        <f>VLOOKUP(C1337,Acc_Char!B:K,7,)</f>
        <v>#N/A</v>
      </c>
      <c r="L1337" s="1334">
        <f t="shared" si="70"/>
        <v>0</v>
      </c>
      <c r="M1337" s="1335" t="e">
        <f>VLOOKUP(C1337,Acc_Char!B:K,5,)</f>
        <v>#N/A</v>
      </c>
      <c r="N1337" s="1335" t="e">
        <f>VLOOKUP(C1337,Acc_Char!B:K,6,)</f>
        <v>#N/A</v>
      </c>
      <c r="O1337" s="1336" t="str">
        <f>Summary!$B$4</f>
        <v>W1-2Jan26</v>
      </c>
      <c r="P1337" s="1334" t="str">
        <f t="shared" si="71"/>
        <v>0</v>
      </c>
    </row>
    <row r="1338" spans="1:16">
      <c r="A1338"/>
      <c r="B1338" s="1335"/>
      <c r="D1338" s="1389"/>
      <c r="F1338" s="1312"/>
      <c r="H1338" s="1152">
        <f t="shared" si="72"/>
        <v>0</v>
      </c>
      <c r="J1338" s="1334" t="e">
        <f>VLOOKUP(C1338,Acc_Char!B:K,3,)</f>
        <v>#N/A</v>
      </c>
      <c r="K1338" s="1334" t="e">
        <f>VLOOKUP(C1338,Acc_Char!B:K,7,)</f>
        <v>#N/A</v>
      </c>
      <c r="L1338" s="1334">
        <f t="shared" si="70"/>
        <v>0</v>
      </c>
      <c r="M1338" s="1335" t="e">
        <f>VLOOKUP(C1338,Acc_Char!B:K,5,)</f>
        <v>#N/A</v>
      </c>
      <c r="N1338" s="1335" t="e">
        <f>VLOOKUP(C1338,Acc_Char!B:K,6,)</f>
        <v>#N/A</v>
      </c>
      <c r="O1338" s="1336" t="str">
        <f>Summary!$B$4</f>
        <v>W1-2Jan26</v>
      </c>
      <c r="P1338" s="1334" t="str">
        <f t="shared" si="71"/>
        <v>0</v>
      </c>
    </row>
    <row r="1339" spans="1:16">
      <c r="A1339"/>
      <c r="B1339" s="1335"/>
      <c r="D1339" s="1389"/>
      <c r="F1339" s="1312"/>
      <c r="H1339" s="1152">
        <f t="shared" si="72"/>
        <v>0</v>
      </c>
      <c r="J1339" s="1334" t="e">
        <f>VLOOKUP(C1339,Acc_Char!B:K,3,)</f>
        <v>#N/A</v>
      </c>
      <c r="K1339" s="1334" t="e">
        <f>VLOOKUP(C1339,Acc_Char!B:K,7,)</f>
        <v>#N/A</v>
      </c>
      <c r="L1339" s="1334">
        <f t="shared" si="70"/>
        <v>0</v>
      </c>
      <c r="M1339" s="1335" t="e">
        <f>VLOOKUP(C1339,Acc_Char!B:K,5,)</f>
        <v>#N/A</v>
      </c>
      <c r="N1339" s="1335" t="e">
        <f>VLOOKUP(C1339,Acc_Char!B:K,6,)</f>
        <v>#N/A</v>
      </c>
      <c r="O1339" s="1336" t="str">
        <f>Summary!$B$4</f>
        <v>W1-2Jan26</v>
      </c>
      <c r="P1339" s="1334" t="str">
        <f t="shared" si="71"/>
        <v>0</v>
      </c>
    </row>
    <row r="1340" spans="1:16">
      <c r="A1340"/>
      <c r="B1340" s="1335"/>
      <c r="D1340" s="1389"/>
      <c r="F1340" s="1312"/>
      <c r="H1340" s="1152">
        <f t="shared" si="72"/>
        <v>0</v>
      </c>
      <c r="J1340" s="1334" t="e">
        <f>VLOOKUP(C1340,Acc_Char!B:K,3,)</f>
        <v>#N/A</v>
      </c>
      <c r="K1340" s="1334" t="e">
        <f>VLOOKUP(C1340,Acc_Char!B:K,7,)</f>
        <v>#N/A</v>
      </c>
      <c r="L1340" s="1334">
        <f t="shared" si="70"/>
        <v>0</v>
      </c>
      <c r="M1340" s="1335" t="e">
        <f>VLOOKUP(C1340,Acc_Char!B:K,5,)</f>
        <v>#N/A</v>
      </c>
      <c r="N1340" s="1335" t="e">
        <f>VLOOKUP(C1340,Acc_Char!B:K,6,)</f>
        <v>#N/A</v>
      </c>
      <c r="O1340" s="1336" t="str">
        <f>Summary!$B$4</f>
        <v>W1-2Jan26</v>
      </c>
      <c r="P1340" s="1334" t="str">
        <f t="shared" si="71"/>
        <v>0</v>
      </c>
    </row>
    <row r="1341" spans="1:16">
      <c r="A1341"/>
      <c r="B1341" s="1335"/>
      <c r="D1341" s="1389"/>
      <c r="F1341" s="1312"/>
      <c r="H1341" s="1152">
        <f t="shared" si="72"/>
        <v>0</v>
      </c>
      <c r="J1341" s="1334" t="e">
        <f>VLOOKUP(C1341,Acc_Char!B:K,3,)</f>
        <v>#N/A</v>
      </c>
      <c r="K1341" s="1334" t="e">
        <f>VLOOKUP(C1341,Acc_Char!B:K,7,)</f>
        <v>#N/A</v>
      </c>
      <c r="L1341" s="1334">
        <f t="shared" si="70"/>
        <v>0</v>
      </c>
      <c r="M1341" s="1335" t="e">
        <f>VLOOKUP(C1341,Acc_Char!B:K,5,)</f>
        <v>#N/A</v>
      </c>
      <c r="N1341" s="1335" t="e">
        <f>VLOOKUP(C1341,Acc_Char!B:K,6,)</f>
        <v>#N/A</v>
      </c>
      <c r="O1341" s="1336" t="str">
        <f>Summary!$B$4</f>
        <v>W1-2Jan26</v>
      </c>
      <c r="P1341" s="1334" t="str">
        <f t="shared" si="71"/>
        <v>0</v>
      </c>
    </row>
    <row r="1342" spans="1:16">
      <c r="A1342"/>
      <c r="D1342" s="1389"/>
      <c r="F1342" s="1312"/>
      <c r="H1342" s="1152">
        <f t="shared" si="72"/>
        <v>0</v>
      </c>
      <c r="J1342" s="1334" t="e">
        <f>VLOOKUP(C1342,Acc_Char!B:K,3,)</f>
        <v>#N/A</v>
      </c>
      <c r="K1342" s="1334" t="e">
        <f>VLOOKUP(C1342,Acc_Char!B:K,7,)</f>
        <v>#N/A</v>
      </c>
      <c r="L1342" s="1334">
        <f t="shared" si="70"/>
        <v>0</v>
      </c>
      <c r="M1342" s="1335" t="e">
        <f>VLOOKUP(C1342,Acc_Char!B:K,5,)</f>
        <v>#N/A</v>
      </c>
      <c r="N1342" s="1335" t="e">
        <f>VLOOKUP(C1342,Acc_Char!B:K,6,)</f>
        <v>#N/A</v>
      </c>
      <c r="O1342" s="1336" t="str">
        <f>Summary!$B$4</f>
        <v>W1-2Jan26</v>
      </c>
      <c r="P1342" s="1334" t="str">
        <f t="shared" si="71"/>
        <v>0</v>
      </c>
    </row>
    <row r="1343" spans="1:16" s="1334" customFormat="1">
      <c r="A1343" s="1342"/>
      <c r="B1343" s="1335"/>
      <c r="C1343" s="1351"/>
      <c r="D1343" s="1390"/>
      <c r="E1343" s="1339"/>
      <c r="F1343" s="1311"/>
      <c r="G1343" s="1311"/>
      <c r="H1343" s="1283">
        <f t="shared" si="72"/>
        <v>0</v>
      </c>
      <c r="J1343" s="1334" t="e">
        <f>VLOOKUP(C1343,Acc_Char!B:K,3,)</f>
        <v>#N/A</v>
      </c>
      <c r="K1343" s="1334" t="e">
        <f>VLOOKUP(C1343,Acc_Char!B:K,7,)</f>
        <v>#N/A</v>
      </c>
      <c r="L1343" s="1334">
        <f t="shared" si="70"/>
        <v>0</v>
      </c>
      <c r="M1343" s="1335" t="e">
        <f>VLOOKUP(C1343,Acc_Char!B:K,5,)</f>
        <v>#N/A</v>
      </c>
      <c r="N1343" s="1335" t="e">
        <f>VLOOKUP(C1343,Acc_Char!B:K,6,)</f>
        <v>#N/A</v>
      </c>
      <c r="O1343" s="1336" t="str">
        <f>Summary!$B$4</f>
        <v>W1-2Jan26</v>
      </c>
      <c r="P1343" s="1334" t="str">
        <f t="shared" si="71"/>
        <v>0</v>
      </c>
    </row>
    <row r="1344" spans="1:16">
      <c r="A1344"/>
      <c r="D1344" s="1389"/>
      <c r="F1344" s="1312"/>
      <c r="H1344" s="1152">
        <f t="shared" si="72"/>
        <v>0</v>
      </c>
      <c r="J1344" s="1334" t="e">
        <f>VLOOKUP(C1344,Acc_Char!B:K,3,)</f>
        <v>#N/A</v>
      </c>
      <c r="K1344" s="1334" t="e">
        <f>VLOOKUP(C1344,Acc_Char!B:K,7,)</f>
        <v>#N/A</v>
      </c>
      <c r="L1344" s="1334">
        <f t="shared" si="70"/>
        <v>0</v>
      </c>
      <c r="M1344" s="1335" t="e">
        <f>VLOOKUP(C1344,Acc_Char!B:K,5,)</f>
        <v>#N/A</v>
      </c>
      <c r="N1344" s="1335" t="e">
        <f>VLOOKUP(C1344,Acc_Char!B:K,6,)</f>
        <v>#N/A</v>
      </c>
      <c r="O1344" s="1336" t="str">
        <f>Summary!$B$4</f>
        <v>W1-2Jan26</v>
      </c>
      <c r="P1344" s="1334" t="str">
        <f t="shared" si="71"/>
        <v>0</v>
      </c>
    </row>
    <row r="1345" spans="1:16">
      <c r="A1345"/>
      <c r="D1345" s="1389"/>
      <c r="F1345" s="1312"/>
      <c r="H1345" s="1152">
        <f t="shared" si="72"/>
        <v>0</v>
      </c>
      <c r="J1345" s="1334" t="e">
        <f>VLOOKUP(C1345,Acc_Char!B:K,3,)</f>
        <v>#N/A</v>
      </c>
      <c r="K1345" s="1334" t="e">
        <f>VLOOKUP(C1345,Acc_Char!B:K,7,)</f>
        <v>#N/A</v>
      </c>
      <c r="L1345" s="1334">
        <f t="shared" si="70"/>
        <v>0</v>
      </c>
      <c r="M1345" s="1335" t="e">
        <f>VLOOKUP(C1345,Acc_Char!B:K,5,)</f>
        <v>#N/A</v>
      </c>
      <c r="N1345" s="1335" t="e">
        <f>VLOOKUP(C1345,Acc_Char!B:K,6,)</f>
        <v>#N/A</v>
      </c>
      <c r="O1345" s="1336" t="str">
        <f>Summary!$B$4</f>
        <v>W1-2Jan26</v>
      </c>
      <c r="P1345" s="1334" t="str">
        <f t="shared" si="71"/>
        <v>0</v>
      </c>
    </row>
    <row r="1346" spans="1:16">
      <c r="A1346"/>
      <c r="D1346" s="1389"/>
      <c r="F1346" s="1312"/>
      <c r="H1346" s="1152">
        <f t="shared" si="72"/>
        <v>0</v>
      </c>
      <c r="J1346" s="1334" t="e">
        <f>VLOOKUP(C1346,Acc_Char!B:K,3,)</f>
        <v>#N/A</v>
      </c>
      <c r="K1346" s="1334" t="e">
        <f>VLOOKUP(C1346,Acc_Char!B:K,7,)</f>
        <v>#N/A</v>
      </c>
      <c r="L1346" s="1334">
        <f t="shared" si="70"/>
        <v>0</v>
      </c>
      <c r="M1346" s="1335" t="e">
        <f>VLOOKUP(C1346,Acc_Char!B:K,5,)</f>
        <v>#N/A</v>
      </c>
      <c r="N1346" s="1335" t="e">
        <f>VLOOKUP(C1346,Acc_Char!B:K,6,)</f>
        <v>#N/A</v>
      </c>
      <c r="O1346" s="1336" t="str">
        <f>Summary!$B$4</f>
        <v>W1-2Jan26</v>
      </c>
      <c r="P1346" s="1334" t="str">
        <f t="shared" si="71"/>
        <v>0</v>
      </c>
    </row>
    <row r="1347" spans="1:16" s="1334" customFormat="1">
      <c r="A1347" s="1342"/>
      <c r="B1347" s="1335"/>
      <c r="C1347" s="1351"/>
      <c r="D1347" s="1390"/>
      <c r="F1347" s="1311"/>
      <c r="G1347" s="1311"/>
      <c r="H1347" s="1283">
        <f t="shared" si="72"/>
        <v>0</v>
      </c>
      <c r="J1347" s="1334" t="e">
        <f>VLOOKUP(C1347,Acc_Char!B:K,3,)</f>
        <v>#N/A</v>
      </c>
      <c r="K1347" s="1334" t="e">
        <f>VLOOKUP(C1347,Acc_Char!B:K,7,)</f>
        <v>#N/A</v>
      </c>
      <c r="L1347" s="1334">
        <f t="shared" si="70"/>
        <v>0</v>
      </c>
      <c r="M1347" s="1335" t="e">
        <f>VLOOKUP(C1347,Acc_Char!B:K,5,)</f>
        <v>#N/A</v>
      </c>
      <c r="N1347" s="1335" t="e">
        <f>VLOOKUP(C1347,Acc_Char!B:K,6,)</f>
        <v>#N/A</v>
      </c>
      <c r="O1347" s="1336" t="str">
        <f>Summary!$B$4</f>
        <v>W1-2Jan26</v>
      </c>
      <c r="P1347" s="1334" t="str">
        <f t="shared" si="71"/>
        <v>0</v>
      </c>
    </row>
    <row r="1348" spans="1:16">
      <c r="A1348"/>
      <c r="D1348" s="1389"/>
      <c r="F1348" s="1312"/>
      <c r="H1348" s="1152">
        <f t="shared" si="72"/>
        <v>0</v>
      </c>
      <c r="J1348" s="1334" t="e">
        <f>VLOOKUP(C1348,Acc_Char!B:K,3,)</f>
        <v>#N/A</v>
      </c>
      <c r="K1348" s="1334" t="e">
        <f>VLOOKUP(C1348,Acc_Char!B:K,7,)</f>
        <v>#N/A</v>
      </c>
      <c r="L1348" s="1334">
        <f t="shared" si="70"/>
        <v>0</v>
      </c>
      <c r="M1348" s="1335" t="e">
        <f>VLOOKUP(C1348,Acc_Char!B:K,5,)</f>
        <v>#N/A</v>
      </c>
      <c r="N1348" s="1335" t="e">
        <f>VLOOKUP(C1348,Acc_Char!B:K,6,)</f>
        <v>#N/A</v>
      </c>
      <c r="O1348" s="1336" t="str">
        <f>Summary!$B$4</f>
        <v>W1-2Jan26</v>
      </c>
      <c r="P1348" s="1334" t="str">
        <f t="shared" si="71"/>
        <v>0</v>
      </c>
    </row>
    <row r="1349" spans="1:16">
      <c r="A1349"/>
      <c r="D1349" s="1389"/>
      <c r="F1349" s="1312"/>
      <c r="H1349" s="1152">
        <f t="shared" si="72"/>
        <v>0</v>
      </c>
      <c r="J1349" s="1334" t="e">
        <f>VLOOKUP(C1349,Acc_Char!B:K,3,)</f>
        <v>#N/A</v>
      </c>
      <c r="K1349" s="1334" t="e">
        <f>VLOOKUP(C1349,Acc_Char!B:K,7,)</f>
        <v>#N/A</v>
      </c>
      <c r="L1349" s="1334">
        <f t="shared" ref="L1349:L1412" si="73">I1349</f>
        <v>0</v>
      </c>
      <c r="M1349" s="1335" t="e">
        <f>VLOOKUP(C1349,Acc_Char!B:K,5,)</f>
        <v>#N/A</v>
      </c>
      <c r="N1349" s="1335" t="e">
        <f>VLOOKUP(C1349,Acc_Char!B:K,6,)</f>
        <v>#N/A</v>
      </c>
      <c r="O1349" s="1336" t="str">
        <f>Summary!$B$4</f>
        <v>W1-2Jan26</v>
      </c>
      <c r="P1349" s="1334" t="str">
        <f t="shared" ref="P1349:P1412" si="74">TEXT(C1349,"0")</f>
        <v>0</v>
      </c>
    </row>
    <row r="1350" spans="1:16">
      <c r="A1350"/>
      <c r="D1350" s="1389"/>
      <c r="F1350" s="1312"/>
      <c r="H1350" s="1152">
        <f t="shared" si="72"/>
        <v>0</v>
      </c>
      <c r="J1350" s="1334" t="e">
        <f>VLOOKUP(C1350,Acc_Char!B:K,3,)</f>
        <v>#N/A</v>
      </c>
      <c r="K1350" s="1334" t="e">
        <f>VLOOKUP(C1350,Acc_Char!B:K,7,)</f>
        <v>#N/A</v>
      </c>
      <c r="L1350" s="1334">
        <f t="shared" si="73"/>
        <v>0</v>
      </c>
      <c r="M1350" s="1335" t="e">
        <f>VLOOKUP(C1350,Acc_Char!B:K,5,)</f>
        <v>#N/A</v>
      </c>
      <c r="N1350" s="1335" t="e">
        <f>VLOOKUP(C1350,Acc_Char!B:K,6,)</f>
        <v>#N/A</v>
      </c>
      <c r="O1350" s="1336" t="str">
        <f>Summary!$B$4</f>
        <v>W1-2Jan26</v>
      </c>
      <c r="P1350" s="1334" t="str">
        <f t="shared" si="74"/>
        <v>0</v>
      </c>
    </row>
    <row r="1351" spans="1:16">
      <c r="A1351"/>
      <c r="D1351" s="1389"/>
      <c r="F1351" s="1312"/>
      <c r="H1351" s="1152">
        <f t="shared" si="72"/>
        <v>0</v>
      </c>
      <c r="J1351" s="1334" t="e">
        <f>VLOOKUP(C1351,Acc_Char!B:K,3,)</f>
        <v>#N/A</v>
      </c>
      <c r="K1351" s="1334" t="e">
        <f>VLOOKUP(C1351,Acc_Char!B:K,7,)</f>
        <v>#N/A</v>
      </c>
      <c r="L1351" s="1334">
        <f t="shared" si="73"/>
        <v>0</v>
      </c>
      <c r="M1351" s="1335" t="e">
        <f>VLOOKUP(C1351,Acc_Char!B:K,5,)</f>
        <v>#N/A</v>
      </c>
      <c r="N1351" s="1335" t="e">
        <f>VLOOKUP(C1351,Acc_Char!B:K,6,)</f>
        <v>#N/A</v>
      </c>
      <c r="O1351" s="1336" t="str">
        <f>Summary!$B$4</f>
        <v>W1-2Jan26</v>
      </c>
      <c r="P1351" s="1334" t="str">
        <f t="shared" si="74"/>
        <v>0</v>
      </c>
    </row>
    <row r="1352" spans="1:16">
      <c r="A1352"/>
      <c r="D1352" s="1389"/>
      <c r="F1352" s="1312"/>
      <c r="H1352" s="1152">
        <f t="shared" si="72"/>
        <v>0</v>
      </c>
      <c r="J1352" s="1334" t="e">
        <f>VLOOKUP(C1352,Acc_Char!B:K,3,)</f>
        <v>#N/A</v>
      </c>
      <c r="K1352" s="1334" t="e">
        <f>VLOOKUP(C1352,Acc_Char!B:K,7,)</f>
        <v>#N/A</v>
      </c>
      <c r="L1352" s="1334">
        <f t="shared" si="73"/>
        <v>0</v>
      </c>
      <c r="M1352" s="1335" t="e">
        <f>VLOOKUP(C1352,Acc_Char!B:K,5,)</f>
        <v>#N/A</v>
      </c>
      <c r="N1352" s="1335" t="e">
        <f>VLOOKUP(C1352,Acc_Char!B:K,6,)</f>
        <v>#N/A</v>
      </c>
      <c r="O1352" s="1336" t="str">
        <f>Summary!$B$4</f>
        <v>W1-2Jan26</v>
      </c>
      <c r="P1352" s="1334" t="str">
        <f t="shared" si="74"/>
        <v>0</v>
      </c>
    </row>
    <row r="1353" spans="1:16">
      <c r="A1353"/>
      <c r="D1353" s="1389"/>
      <c r="F1353" s="1312"/>
      <c r="H1353" s="1152">
        <f t="shared" si="72"/>
        <v>0</v>
      </c>
      <c r="J1353" s="1334" t="e">
        <f>VLOOKUP(C1353,Acc_Char!B:K,3,)</f>
        <v>#N/A</v>
      </c>
      <c r="K1353" s="1334" t="e">
        <f>VLOOKUP(C1353,Acc_Char!B:K,7,)</f>
        <v>#N/A</v>
      </c>
      <c r="L1353" s="1334">
        <f t="shared" si="73"/>
        <v>0</v>
      </c>
      <c r="M1353" s="1335" t="e">
        <f>VLOOKUP(C1353,Acc_Char!B:K,5,)</f>
        <v>#N/A</v>
      </c>
      <c r="N1353" s="1335" t="e">
        <f>VLOOKUP(C1353,Acc_Char!B:K,6,)</f>
        <v>#N/A</v>
      </c>
      <c r="O1353" s="1336" t="str">
        <f>Summary!$B$4</f>
        <v>W1-2Jan26</v>
      </c>
      <c r="P1353" s="1334" t="str">
        <f t="shared" si="74"/>
        <v>0</v>
      </c>
    </row>
    <row r="1354" spans="1:16">
      <c r="A1354"/>
      <c r="D1354" s="1389"/>
      <c r="F1354" s="1312"/>
      <c r="H1354" s="1152">
        <f t="shared" si="72"/>
        <v>0</v>
      </c>
      <c r="J1354" s="1334" t="e">
        <f>VLOOKUP(C1354,Acc_Char!B:K,3,)</f>
        <v>#N/A</v>
      </c>
      <c r="K1354" s="1334" t="e">
        <f>VLOOKUP(C1354,Acc_Char!B:K,7,)</f>
        <v>#N/A</v>
      </c>
      <c r="L1354" s="1334">
        <f t="shared" si="73"/>
        <v>0</v>
      </c>
      <c r="M1354" s="1335" t="e">
        <f>VLOOKUP(C1354,Acc_Char!B:K,5,)</f>
        <v>#N/A</v>
      </c>
      <c r="N1354" s="1335" t="e">
        <f>VLOOKUP(C1354,Acc_Char!B:K,6,)</f>
        <v>#N/A</v>
      </c>
      <c r="O1354" s="1336" t="str">
        <f>Summary!$B$4</f>
        <v>W1-2Jan26</v>
      </c>
      <c r="P1354" s="1334" t="str">
        <f t="shared" si="74"/>
        <v>0</v>
      </c>
    </row>
    <row r="1355" spans="1:16">
      <c r="A1355"/>
      <c r="D1355" s="1389"/>
      <c r="F1355" s="1312"/>
      <c r="H1355" s="1152">
        <f t="shared" si="72"/>
        <v>0</v>
      </c>
      <c r="J1355" s="1334" t="e">
        <f>VLOOKUP(C1355,Acc_Char!B:K,3,)</f>
        <v>#N/A</v>
      </c>
      <c r="K1355" s="1334" t="e">
        <f>VLOOKUP(C1355,Acc_Char!B:K,7,)</f>
        <v>#N/A</v>
      </c>
      <c r="L1355" s="1334">
        <f t="shared" si="73"/>
        <v>0</v>
      </c>
      <c r="M1355" s="1335" t="e">
        <f>VLOOKUP(C1355,Acc_Char!B:K,5,)</f>
        <v>#N/A</v>
      </c>
      <c r="N1355" s="1335" t="e">
        <f>VLOOKUP(C1355,Acc_Char!B:K,6,)</f>
        <v>#N/A</v>
      </c>
      <c r="O1355" s="1336" t="str">
        <f>Summary!$B$4</f>
        <v>W1-2Jan26</v>
      </c>
      <c r="P1355" s="1334" t="str">
        <f t="shared" si="74"/>
        <v>0</v>
      </c>
    </row>
    <row r="1356" spans="1:16">
      <c r="A1356"/>
      <c r="D1356" s="1389"/>
      <c r="F1356" s="1312"/>
      <c r="H1356" s="1152">
        <f t="shared" si="72"/>
        <v>0</v>
      </c>
      <c r="J1356" s="1334" t="e">
        <f>VLOOKUP(C1356,Acc_Char!B:K,3,)</f>
        <v>#N/A</v>
      </c>
      <c r="K1356" s="1334" t="e">
        <f>VLOOKUP(C1356,Acc_Char!B:K,7,)</f>
        <v>#N/A</v>
      </c>
      <c r="L1356" s="1334">
        <f t="shared" si="73"/>
        <v>0</v>
      </c>
      <c r="M1356" s="1335" t="e">
        <f>VLOOKUP(C1356,Acc_Char!B:K,5,)</f>
        <v>#N/A</v>
      </c>
      <c r="N1356" s="1335" t="e">
        <f>VLOOKUP(C1356,Acc_Char!B:K,6,)</f>
        <v>#N/A</v>
      </c>
      <c r="O1356" s="1336" t="str">
        <f>Summary!$B$4</f>
        <v>W1-2Jan26</v>
      </c>
      <c r="P1356" s="1334" t="str">
        <f t="shared" si="74"/>
        <v>0</v>
      </c>
    </row>
    <row r="1357" spans="1:16">
      <c r="A1357"/>
      <c r="D1357" s="1389"/>
      <c r="F1357" s="1312"/>
      <c r="H1357" s="1152">
        <f t="shared" si="72"/>
        <v>0</v>
      </c>
      <c r="J1357" s="1334" t="e">
        <f>VLOOKUP(C1357,Acc_Char!B:K,3,)</f>
        <v>#N/A</v>
      </c>
      <c r="K1357" s="1334" t="e">
        <f>VLOOKUP(C1357,Acc_Char!B:K,7,)</f>
        <v>#N/A</v>
      </c>
      <c r="L1357" s="1334">
        <f t="shared" si="73"/>
        <v>0</v>
      </c>
      <c r="M1357" s="1335" t="e">
        <f>VLOOKUP(C1357,Acc_Char!B:K,5,)</f>
        <v>#N/A</v>
      </c>
      <c r="N1357" s="1335" t="e">
        <f>VLOOKUP(C1357,Acc_Char!B:K,6,)</f>
        <v>#N/A</v>
      </c>
      <c r="O1357" s="1336" t="str">
        <f>Summary!$B$4</f>
        <v>W1-2Jan26</v>
      </c>
      <c r="P1357" s="1334" t="str">
        <f t="shared" si="74"/>
        <v>0</v>
      </c>
    </row>
    <row r="1358" spans="1:16">
      <c r="A1358"/>
      <c r="C1358" s="1348"/>
      <c r="D1358" s="1389"/>
      <c r="F1358" s="1312"/>
      <c r="H1358" s="1152">
        <f t="shared" si="72"/>
        <v>0</v>
      </c>
      <c r="J1358" s="1334" t="e">
        <f>VLOOKUP(C1358,Acc_Char!B:K,3,)</f>
        <v>#N/A</v>
      </c>
      <c r="K1358" s="1334" t="e">
        <f>VLOOKUP(C1358,Acc_Char!B:K,7,)</f>
        <v>#N/A</v>
      </c>
      <c r="L1358" s="1334">
        <f t="shared" si="73"/>
        <v>0</v>
      </c>
      <c r="M1358" s="1335" t="e">
        <f>VLOOKUP(C1358,Acc_Char!B:K,5,)</f>
        <v>#N/A</v>
      </c>
      <c r="N1358" s="1335" t="e">
        <f>VLOOKUP(C1358,Acc_Char!B:K,6,)</f>
        <v>#N/A</v>
      </c>
      <c r="O1358" s="1336" t="str">
        <f>Summary!$B$4</f>
        <v>W1-2Jan26</v>
      </c>
      <c r="P1358" s="1334" t="str">
        <f t="shared" si="74"/>
        <v>0</v>
      </c>
    </row>
    <row r="1359" spans="1:16">
      <c r="A1359"/>
      <c r="C1359" s="1348"/>
      <c r="D1359" s="1389"/>
      <c r="F1359" s="1312"/>
      <c r="H1359" s="1152">
        <f t="shared" si="72"/>
        <v>0</v>
      </c>
      <c r="J1359" s="1334" t="e">
        <f>VLOOKUP(C1359,Acc_Char!B:K,3,)</f>
        <v>#N/A</v>
      </c>
      <c r="K1359" s="1334" t="e">
        <f>VLOOKUP(C1359,Acc_Char!B:K,7,)</f>
        <v>#N/A</v>
      </c>
      <c r="L1359" s="1334">
        <f t="shared" si="73"/>
        <v>0</v>
      </c>
      <c r="M1359" s="1335" t="e">
        <f>VLOOKUP(C1359,Acc_Char!B:K,5,)</f>
        <v>#N/A</v>
      </c>
      <c r="N1359" s="1335" t="e">
        <f>VLOOKUP(C1359,Acc_Char!B:K,6,)</f>
        <v>#N/A</v>
      </c>
      <c r="O1359" s="1336" t="str">
        <f>Summary!$B$4</f>
        <v>W1-2Jan26</v>
      </c>
      <c r="P1359" s="1334" t="str">
        <f t="shared" si="74"/>
        <v>0</v>
      </c>
    </row>
    <row r="1360" spans="1:16">
      <c r="A1360"/>
      <c r="C1360" s="1348"/>
      <c r="D1360" s="1389"/>
      <c r="F1360" s="1312"/>
      <c r="H1360" s="1152">
        <f t="shared" si="72"/>
        <v>0</v>
      </c>
      <c r="J1360" s="1334" t="e">
        <f>VLOOKUP(C1360,Acc_Char!B:K,3,)</f>
        <v>#N/A</v>
      </c>
      <c r="K1360" s="1334" t="e">
        <f>VLOOKUP(C1360,Acc_Char!B:K,7,)</f>
        <v>#N/A</v>
      </c>
      <c r="L1360" s="1334">
        <f t="shared" si="73"/>
        <v>0</v>
      </c>
      <c r="M1360" s="1335" t="e">
        <f>VLOOKUP(C1360,Acc_Char!B:K,5,)</f>
        <v>#N/A</v>
      </c>
      <c r="N1360" s="1335" t="e">
        <f>VLOOKUP(C1360,Acc_Char!B:K,6,)</f>
        <v>#N/A</v>
      </c>
      <c r="O1360" s="1336" t="str">
        <f>Summary!$B$4</f>
        <v>W1-2Jan26</v>
      </c>
      <c r="P1360" s="1334" t="str">
        <f t="shared" si="74"/>
        <v>0</v>
      </c>
    </row>
    <row r="1361" spans="1:16">
      <c r="A1361"/>
      <c r="D1361" s="1389"/>
      <c r="F1361" s="1312"/>
      <c r="H1361" s="1152">
        <f t="shared" si="72"/>
        <v>0</v>
      </c>
      <c r="J1361" s="1334" t="e">
        <f>VLOOKUP(C1361,Acc_Char!B:K,3,)</f>
        <v>#N/A</v>
      </c>
      <c r="K1361" s="1334" t="e">
        <f>VLOOKUP(C1361,Acc_Char!B:K,7,)</f>
        <v>#N/A</v>
      </c>
      <c r="L1361" s="1334">
        <f t="shared" si="73"/>
        <v>0</v>
      </c>
      <c r="M1361" s="1335" t="e">
        <f>VLOOKUP(C1361,Acc_Char!B:K,5,)</f>
        <v>#N/A</v>
      </c>
      <c r="N1361" s="1335" t="e">
        <f>VLOOKUP(C1361,Acc_Char!B:K,6,)</f>
        <v>#N/A</v>
      </c>
      <c r="O1361" s="1336" t="str">
        <f>Summary!$B$4</f>
        <v>W1-2Jan26</v>
      </c>
      <c r="P1361" s="1334" t="str">
        <f t="shared" si="74"/>
        <v>0</v>
      </c>
    </row>
    <row r="1362" spans="1:16">
      <c r="A1362"/>
      <c r="C1362" s="1348"/>
      <c r="D1362" s="1389"/>
      <c r="F1362" s="1312"/>
      <c r="H1362" s="1152">
        <f t="shared" si="72"/>
        <v>0</v>
      </c>
      <c r="J1362" s="1334" t="e">
        <f>VLOOKUP(C1362,Acc_Char!B:K,3,)</f>
        <v>#N/A</v>
      </c>
      <c r="K1362" s="1334" t="e">
        <f>VLOOKUP(C1362,Acc_Char!B:K,7,)</f>
        <v>#N/A</v>
      </c>
      <c r="L1362" s="1334">
        <f t="shared" si="73"/>
        <v>0</v>
      </c>
      <c r="M1362" s="1335" t="e">
        <f>VLOOKUP(C1362,Acc_Char!B:K,5,)</f>
        <v>#N/A</v>
      </c>
      <c r="N1362" s="1335" t="e">
        <f>VLOOKUP(C1362,Acc_Char!B:K,6,)</f>
        <v>#N/A</v>
      </c>
      <c r="O1362" s="1336" t="str">
        <f>Summary!$B$4</f>
        <v>W1-2Jan26</v>
      </c>
      <c r="P1362" s="1334" t="str">
        <f t="shared" si="74"/>
        <v>0</v>
      </c>
    </row>
    <row r="1363" spans="1:16">
      <c r="A1363"/>
      <c r="C1363" s="1348"/>
      <c r="D1363" s="1389"/>
      <c r="F1363" s="1312"/>
      <c r="H1363" s="1152">
        <f t="shared" si="72"/>
        <v>0</v>
      </c>
      <c r="J1363" s="1334" t="e">
        <f>VLOOKUP(C1363,Acc_Char!B:K,3,)</f>
        <v>#N/A</v>
      </c>
      <c r="K1363" s="1334" t="e">
        <f>VLOOKUP(C1363,Acc_Char!B:K,7,)</f>
        <v>#N/A</v>
      </c>
      <c r="L1363" s="1334">
        <f t="shared" si="73"/>
        <v>0</v>
      </c>
      <c r="M1363" s="1335" t="e">
        <f>VLOOKUP(C1363,Acc_Char!B:K,5,)</f>
        <v>#N/A</v>
      </c>
      <c r="N1363" s="1335" t="e">
        <f>VLOOKUP(C1363,Acc_Char!B:K,6,)</f>
        <v>#N/A</v>
      </c>
      <c r="O1363" s="1336" t="str">
        <f>Summary!$B$4</f>
        <v>W1-2Jan26</v>
      </c>
      <c r="P1363" s="1334" t="str">
        <f t="shared" si="74"/>
        <v>0</v>
      </c>
    </row>
    <row r="1364" spans="1:16">
      <c r="A1364"/>
      <c r="C1364" s="1348"/>
      <c r="D1364" s="1389"/>
      <c r="F1364" s="1312"/>
      <c r="H1364" s="1152">
        <f t="shared" si="72"/>
        <v>0</v>
      </c>
      <c r="J1364" s="1334" t="e">
        <f>VLOOKUP(C1364,Acc_Char!B:K,3,)</f>
        <v>#N/A</v>
      </c>
      <c r="K1364" s="1334" t="e">
        <f>VLOOKUP(C1364,Acc_Char!B:K,7,)</f>
        <v>#N/A</v>
      </c>
      <c r="L1364" s="1334">
        <f t="shared" si="73"/>
        <v>0</v>
      </c>
      <c r="M1364" s="1335" t="e">
        <f>VLOOKUP(C1364,Acc_Char!B:K,5,)</f>
        <v>#N/A</v>
      </c>
      <c r="N1364" s="1335" t="e">
        <f>VLOOKUP(C1364,Acc_Char!B:K,6,)</f>
        <v>#N/A</v>
      </c>
      <c r="O1364" s="1336" t="str">
        <f>Summary!$B$4</f>
        <v>W1-2Jan26</v>
      </c>
      <c r="P1364" s="1334" t="str">
        <f t="shared" si="74"/>
        <v>0</v>
      </c>
    </row>
    <row r="1365" spans="1:16">
      <c r="A1365"/>
      <c r="C1365" s="1348"/>
      <c r="D1365" s="1389"/>
      <c r="F1365" s="1312"/>
      <c r="H1365" s="1152">
        <f t="shared" si="72"/>
        <v>0</v>
      </c>
      <c r="J1365" s="1334" t="e">
        <f>VLOOKUP(C1365,Acc_Char!B:K,3,)</f>
        <v>#N/A</v>
      </c>
      <c r="K1365" s="1334" t="e">
        <f>VLOOKUP(C1365,Acc_Char!B:K,7,)</f>
        <v>#N/A</v>
      </c>
      <c r="L1365" s="1334">
        <f t="shared" si="73"/>
        <v>0</v>
      </c>
      <c r="M1365" s="1335" t="e">
        <f>VLOOKUP(C1365,Acc_Char!B:K,5,)</f>
        <v>#N/A</v>
      </c>
      <c r="N1365" s="1335" t="e">
        <f>VLOOKUP(C1365,Acc_Char!B:K,6,)</f>
        <v>#N/A</v>
      </c>
      <c r="O1365" s="1336" t="str">
        <f>Summary!$B$4</f>
        <v>W1-2Jan26</v>
      </c>
      <c r="P1365" s="1334" t="str">
        <f t="shared" si="74"/>
        <v>0</v>
      </c>
    </row>
    <row r="1366" spans="1:16">
      <c r="A1366"/>
      <c r="C1366" s="1348"/>
      <c r="D1366" s="1389"/>
      <c r="F1366" s="1312"/>
      <c r="H1366" s="1152">
        <f t="shared" si="72"/>
        <v>0</v>
      </c>
      <c r="J1366" s="1334" t="e">
        <f>VLOOKUP(C1366,Acc_Char!B:K,3,)</f>
        <v>#N/A</v>
      </c>
      <c r="K1366" s="1334" t="e">
        <f>VLOOKUP(C1366,Acc_Char!B:K,7,)</f>
        <v>#N/A</v>
      </c>
      <c r="L1366" s="1334">
        <f t="shared" si="73"/>
        <v>0</v>
      </c>
      <c r="M1366" s="1335" t="e">
        <f>VLOOKUP(C1366,Acc_Char!B:K,5,)</f>
        <v>#N/A</v>
      </c>
      <c r="N1366" s="1335" t="e">
        <f>VLOOKUP(C1366,Acc_Char!B:K,6,)</f>
        <v>#N/A</v>
      </c>
      <c r="O1366" s="1336" t="str">
        <f>Summary!$B$4</f>
        <v>W1-2Jan26</v>
      </c>
      <c r="P1366" s="1334" t="str">
        <f t="shared" si="74"/>
        <v>0</v>
      </c>
    </row>
    <row r="1367" spans="1:16">
      <c r="A1367"/>
      <c r="C1367" s="1348"/>
      <c r="D1367" s="1389"/>
      <c r="F1367" s="1312"/>
      <c r="H1367" s="1152">
        <f t="shared" si="72"/>
        <v>0</v>
      </c>
      <c r="J1367" s="1334" t="e">
        <f>VLOOKUP(C1367,Acc_Char!B:K,3,)</f>
        <v>#N/A</v>
      </c>
      <c r="K1367" s="1334" t="e">
        <f>VLOOKUP(C1367,Acc_Char!B:K,7,)</f>
        <v>#N/A</v>
      </c>
      <c r="L1367" s="1334">
        <f t="shared" si="73"/>
        <v>0</v>
      </c>
      <c r="M1367" s="1335" t="e">
        <f>VLOOKUP(C1367,Acc_Char!B:K,5,)</f>
        <v>#N/A</v>
      </c>
      <c r="N1367" s="1335" t="e">
        <f>VLOOKUP(C1367,Acc_Char!B:K,6,)</f>
        <v>#N/A</v>
      </c>
      <c r="O1367" s="1336" t="str">
        <f>Summary!$B$4</f>
        <v>W1-2Jan26</v>
      </c>
      <c r="P1367" s="1334" t="str">
        <f t="shared" si="74"/>
        <v>0</v>
      </c>
    </row>
    <row r="1368" spans="1:16">
      <c r="A1368"/>
      <c r="C1368" s="1348"/>
      <c r="D1368" s="1389"/>
      <c r="F1368" s="1312"/>
      <c r="H1368" s="1152">
        <f t="shared" si="72"/>
        <v>0</v>
      </c>
      <c r="J1368" s="1334" t="e">
        <f>VLOOKUP(C1368,Acc_Char!B:K,3,)</f>
        <v>#N/A</v>
      </c>
      <c r="K1368" s="1334" t="e">
        <f>VLOOKUP(C1368,Acc_Char!B:K,7,)</f>
        <v>#N/A</v>
      </c>
      <c r="L1368" s="1334">
        <f t="shared" si="73"/>
        <v>0</v>
      </c>
      <c r="M1368" s="1335" t="e">
        <f>VLOOKUP(C1368,Acc_Char!B:K,5,)</f>
        <v>#N/A</v>
      </c>
      <c r="N1368" s="1335" t="e">
        <f>VLOOKUP(C1368,Acc_Char!B:K,6,)</f>
        <v>#N/A</v>
      </c>
      <c r="O1368" s="1336" t="str">
        <f>Summary!$B$4</f>
        <v>W1-2Jan26</v>
      </c>
      <c r="P1368" s="1334" t="str">
        <f t="shared" si="74"/>
        <v>0</v>
      </c>
    </row>
    <row r="1369" spans="1:16">
      <c r="A1369"/>
      <c r="C1369" s="1348"/>
      <c r="D1369" s="1389"/>
      <c r="F1369" s="1312"/>
      <c r="H1369" s="1152">
        <f t="shared" si="72"/>
        <v>0</v>
      </c>
      <c r="J1369" s="1334" t="e">
        <f>VLOOKUP(C1369,Acc_Char!B:K,3,)</f>
        <v>#N/A</v>
      </c>
      <c r="K1369" s="1334" t="e">
        <f>VLOOKUP(C1369,Acc_Char!B:K,7,)</f>
        <v>#N/A</v>
      </c>
      <c r="L1369" s="1334">
        <f t="shared" si="73"/>
        <v>0</v>
      </c>
      <c r="M1369" s="1335" t="e">
        <f>VLOOKUP(C1369,Acc_Char!B:K,5,)</f>
        <v>#N/A</v>
      </c>
      <c r="N1369" s="1335" t="e">
        <f>VLOOKUP(C1369,Acc_Char!B:K,6,)</f>
        <v>#N/A</v>
      </c>
      <c r="O1369" s="1336" t="str">
        <f>Summary!$B$4</f>
        <v>W1-2Jan26</v>
      </c>
      <c r="P1369" s="1334" t="str">
        <f t="shared" si="74"/>
        <v>0</v>
      </c>
    </row>
    <row r="1370" spans="1:16">
      <c r="A1370"/>
      <c r="C1370" s="1348"/>
      <c r="D1370" s="1389"/>
      <c r="F1370" s="1312"/>
      <c r="H1370" s="1152">
        <f t="shared" si="72"/>
        <v>0</v>
      </c>
      <c r="J1370" s="1334" t="e">
        <f>VLOOKUP(C1370,Acc_Char!B:K,3,)</f>
        <v>#N/A</v>
      </c>
      <c r="K1370" s="1334" t="e">
        <f>VLOOKUP(C1370,Acc_Char!B:K,7,)</f>
        <v>#N/A</v>
      </c>
      <c r="L1370" s="1334">
        <f t="shared" si="73"/>
        <v>0</v>
      </c>
      <c r="M1370" s="1335" t="e">
        <f>VLOOKUP(C1370,Acc_Char!B:K,5,)</f>
        <v>#N/A</v>
      </c>
      <c r="N1370" s="1335" t="e">
        <f>VLOOKUP(C1370,Acc_Char!B:K,6,)</f>
        <v>#N/A</v>
      </c>
      <c r="O1370" s="1336" t="str">
        <f>Summary!$B$4</f>
        <v>W1-2Jan26</v>
      </c>
      <c r="P1370" s="1334" t="str">
        <f t="shared" si="74"/>
        <v>0</v>
      </c>
    </row>
    <row r="1371" spans="1:16">
      <c r="A1371"/>
      <c r="C1371" s="1348"/>
      <c r="D1371" s="1389"/>
      <c r="F1371" s="1312"/>
      <c r="H1371" s="1152">
        <f t="shared" si="72"/>
        <v>0</v>
      </c>
      <c r="J1371" s="1334" t="e">
        <f>VLOOKUP(C1371,Acc_Char!B:K,3,)</f>
        <v>#N/A</v>
      </c>
      <c r="K1371" s="1334" t="e">
        <f>VLOOKUP(C1371,Acc_Char!B:K,7,)</f>
        <v>#N/A</v>
      </c>
      <c r="L1371" s="1334">
        <f t="shared" si="73"/>
        <v>0</v>
      </c>
      <c r="M1371" s="1335" t="e">
        <f>VLOOKUP(C1371,Acc_Char!B:K,5,)</f>
        <v>#N/A</v>
      </c>
      <c r="N1371" s="1335" t="e">
        <f>VLOOKUP(C1371,Acc_Char!B:K,6,)</f>
        <v>#N/A</v>
      </c>
      <c r="O1371" s="1336" t="str">
        <f>Summary!$B$4</f>
        <v>W1-2Jan26</v>
      </c>
      <c r="P1371" s="1334" t="str">
        <f t="shared" si="74"/>
        <v>0</v>
      </c>
    </row>
    <row r="1372" spans="1:16">
      <c r="A1372"/>
      <c r="C1372" s="1348"/>
      <c r="D1372" s="1389"/>
      <c r="F1372" s="1312"/>
      <c r="H1372" s="1152">
        <f t="shared" si="72"/>
        <v>0</v>
      </c>
      <c r="J1372" s="1334" t="e">
        <f>VLOOKUP(C1372,Acc_Char!B:K,3,)</f>
        <v>#N/A</v>
      </c>
      <c r="K1372" s="1334" t="e">
        <f>VLOOKUP(C1372,Acc_Char!B:K,7,)</f>
        <v>#N/A</v>
      </c>
      <c r="L1372" s="1334">
        <f t="shared" si="73"/>
        <v>0</v>
      </c>
      <c r="M1372" s="1335" t="e">
        <f>VLOOKUP(C1372,Acc_Char!B:K,5,)</f>
        <v>#N/A</v>
      </c>
      <c r="N1372" s="1335" t="e">
        <f>VLOOKUP(C1372,Acc_Char!B:K,6,)</f>
        <v>#N/A</v>
      </c>
      <c r="O1372" s="1336" t="str">
        <f>Summary!$B$4</f>
        <v>W1-2Jan26</v>
      </c>
      <c r="P1372" s="1334" t="str">
        <f t="shared" si="74"/>
        <v>0</v>
      </c>
    </row>
    <row r="1373" spans="1:16">
      <c r="A1373"/>
      <c r="C1373" s="1348"/>
      <c r="D1373" s="1389"/>
      <c r="F1373" s="1312"/>
      <c r="H1373" s="1152">
        <f t="shared" si="72"/>
        <v>0</v>
      </c>
      <c r="J1373" s="1334" t="e">
        <f>VLOOKUP(C1373,Acc_Char!B:K,3,)</f>
        <v>#N/A</v>
      </c>
      <c r="K1373" s="1334" t="e">
        <f>VLOOKUP(C1373,Acc_Char!B:K,7,)</f>
        <v>#N/A</v>
      </c>
      <c r="L1373" s="1334">
        <f t="shared" si="73"/>
        <v>0</v>
      </c>
      <c r="M1373" s="1335" t="e">
        <f>VLOOKUP(C1373,Acc_Char!B:K,5,)</f>
        <v>#N/A</v>
      </c>
      <c r="N1373" s="1335" t="e">
        <f>VLOOKUP(C1373,Acc_Char!B:K,6,)</f>
        <v>#N/A</v>
      </c>
      <c r="O1373" s="1336" t="str">
        <f>Summary!$B$4</f>
        <v>W1-2Jan26</v>
      </c>
      <c r="P1373" s="1334" t="str">
        <f t="shared" si="74"/>
        <v>0</v>
      </c>
    </row>
    <row r="1374" spans="1:16">
      <c r="A1374"/>
      <c r="C1374" s="1348"/>
      <c r="D1374" s="1389"/>
      <c r="F1374" s="1312"/>
      <c r="H1374" s="1152">
        <f t="shared" si="72"/>
        <v>0</v>
      </c>
      <c r="J1374" s="1334" t="e">
        <f>VLOOKUP(C1374,Acc_Char!B:K,3,)</f>
        <v>#N/A</v>
      </c>
      <c r="K1374" s="1334" t="e">
        <f>VLOOKUP(C1374,Acc_Char!B:K,7,)</f>
        <v>#N/A</v>
      </c>
      <c r="L1374" s="1334">
        <f t="shared" si="73"/>
        <v>0</v>
      </c>
      <c r="M1374" s="1335" t="e">
        <f>VLOOKUP(C1374,Acc_Char!B:K,5,)</f>
        <v>#N/A</v>
      </c>
      <c r="N1374" s="1335" t="e">
        <f>VLOOKUP(C1374,Acc_Char!B:K,6,)</f>
        <v>#N/A</v>
      </c>
      <c r="O1374" s="1336" t="str">
        <f>Summary!$B$4</f>
        <v>W1-2Jan26</v>
      </c>
      <c r="P1374" s="1334" t="str">
        <f t="shared" si="74"/>
        <v>0</v>
      </c>
    </row>
    <row r="1375" spans="1:16">
      <c r="A1375"/>
      <c r="C1375" s="1348"/>
      <c r="D1375" s="1389"/>
      <c r="F1375" s="1312"/>
      <c r="H1375" s="1152">
        <f t="shared" si="72"/>
        <v>0</v>
      </c>
      <c r="J1375" s="1334" t="e">
        <f>VLOOKUP(C1375,Acc_Char!B:K,3,)</f>
        <v>#N/A</v>
      </c>
      <c r="K1375" s="1334" t="e">
        <f>VLOOKUP(C1375,Acc_Char!B:K,7,)</f>
        <v>#N/A</v>
      </c>
      <c r="L1375" s="1334">
        <f t="shared" si="73"/>
        <v>0</v>
      </c>
      <c r="M1375" s="1335" t="e">
        <f>VLOOKUP(C1375,Acc_Char!B:K,5,)</f>
        <v>#N/A</v>
      </c>
      <c r="N1375" s="1335" t="e">
        <f>VLOOKUP(C1375,Acc_Char!B:K,6,)</f>
        <v>#N/A</v>
      </c>
      <c r="O1375" s="1336" t="str">
        <f>Summary!$B$4</f>
        <v>W1-2Jan26</v>
      </c>
      <c r="P1375" s="1334" t="str">
        <f t="shared" si="74"/>
        <v>0</v>
      </c>
    </row>
    <row r="1376" spans="1:16">
      <c r="A1376"/>
      <c r="C1376" s="1348"/>
      <c r="D1376" s="1389"/>
      <c r="F1376" s="1312"/>
      <c r="H1376" s="1152">
        <f t="shared" si="72"/>
        <v>0</v>
      </c>
      <c r="J1376" s="1334" t="e">
        <f>VLOOKUP(C1376,Acc_Char!B:K,3,)</f>
        <v>#N/A</v>
      </c>
      <c r="K1376" s="1334" t="e">
        <f>VLOOKUP(C1376,Acc_Char!B:K,7,)</f>
        <v>#N/A</v>
      </c>
      <c r="L1376" s="1334">
        <f t="shared" si="73"/>
        <v>0</v>
      </c>
      <c r="M1376" s="1335" t="e">
        <f>VLOOKUP(C1376,Acc_Char!B:K,5,)</f>
        <v>#N/A</v>
      </c>
      <c r="N1376" s="1335" t="e">
        <f>VLOOKUP(C1376,Acc_Char!B:K,6,)</f>
        <v>#N/A</v>
      </c>
      <c r="O1376" s="1336" t="str">
        <f>Summary!$B$4</f>
        <v>W1-2Jan26</v>
      </c>
      <c r="P1376" s="1334" t="str">
        <f t="shared" si="74"/>
        <v>0</v>
      </c>
    </row>
    <row r="1377" spans="1:16">
      <c r="A1377"/>
      <c r="C1377" s="1348"/>
      <c r="D1377" s="1389"/>
      <c r="F1377" s="1312"/>
      <c r="H1377" s="1152">
        <f t="shared" si="72"/>
        <v>0</v>
      </c>
      <c r="J1377" s="1334" t="e">
        <f>VLOOKUP(C1377,Acc_Char!B:K,3,)</f>
        <v>#N/A</v>
      </c>
      <c r="K1377" s="1334" t="e">
        <f>VLOOKUP(C1377,Acc_Char!B:K,7,)</f>
        <v>#N/A</v>
      </c>
      <c r="L1377" s="1334">
        <f t="shared" si="73"/>
        <v>0</v>
      </c>
      <c r="M1377" s="1335" t="e">
        <f>VLOOKUP(C1377,Acc_Char!B:K,5,)</f>
        <v>#N/A</v>
      </c>
      <c r="N1377" s="1335" t="e">
        <f>VLOOKUP(C1377,Acc_Char!B:K,6,)</f>
        <v>#N/A</v>
      </c>
      <c r="O1377" s="1336" t="str">
        <f>Summary!$B$4</f>
        <v>W1-2Jan26</v>
      </c>
      <c r="P1377" s="1334" t="str">
        <f t="shared" si="74"/>
        <v>0</v>
      </c>
    </row>
    <row r="1378" spans="1:16">
      <c r="A1378"/>
      <c r="C1378" s="1348"/>
      <c r="D1378" s="1389"/>
      <c r="F1378" s="1312"/>
      <c r="H1378" s="1152">
        <f t="shared" si="72"/>
        <v>0</v>
      </c>
      <c r="J1378" s="1334" t="e">
        <f>VLOOKUP(C1378,Acc_Char!B:K,3,)</f>
        <v>#N/A</v>
      </c>
      <c r="K1378" s="1334" t="e">
        <f>VLOOKUP(C1378,Acc_Char!B:K,7,)</f>
        <v>#N/A</v>
      </c>
      <c r="L1378" s="1334">
        <f t="shared" si="73"/>
        <v>0</v>
      </c>
      <c r="M1378" s="1335" t="e">
        <f>VLOOKUP(C1378,Acc_Char!B:K,5,)</f>
        <v>#N/A</v>
      </c>
      <c r="N1378" s="1335" t="e">
        <f>VLOOKUP(C1378,Acc_Char!B:K,6,)</f>
        <v>#N/A</v>
      </c>
      <c r="O1378" s="1336" t="str">
        <f>Summary!$B$4</f>
        <v>W1-2Jan26</v>
      </c>
      <c r="P1378" s="1334" t="str">
        <f t="shared" si="74"/>
        <v>0</v>
      </c>
    </row>
    <row r="1379" spans="1:16">
      <c r="A1379"/>
      <c r="C1379" s="1348"/>
      <c r="D1379" s="1389"/>
      <c r="F1379" s="1312"/>
      <c r="H1379" s="1152">
        <f t="shared" si="72"/>
        <v>0</v>
      </c>
      <c r="J1379" s="1334" t="e">
        <f>VLOOKUP(C1379,Acc_Char!B:K,3,)</f>
        <v>#N/A</v>
      </c>
      <c r="K1379" s="1334" t="e">
        <f>VLOOKUP(C1379,Acc_Char!B:K,7,)</f>
        <v>#N/A</v>
      </c>
      <c r="L1379" s="1334">
        <f t="shared" si="73"/>
        <v>0</v>
      </c>
      <c r="M1379" s="1335" t="e">
        <f>VLOOKUP(C1379,Acc_Char!B:K,5,)</f>
        <v>#N/A</v>
      </c>
      <c r="N1379" s="1335" t="e">
        <f>VLOOKUP(C1379,Acc_Char!B:K,6,)</f>
        <v>#N/A</v>
      </c>
      <c r="O1379" s="1336" t="str">
        <f>Summary!$B$4</f>
        <v>W1-2Jan26</v>
      </c>
      <c r="P1379" s="1334" t="str">
        <f t="shared" si="74"/>
        <v>0</v>
      </c>
    </row>
    <row r="1380" spans="1:16">
      <c r="A1380"/>
      <c r="C1380" s="1348"/>
      <c r="D1380" s="1389"/>
      <c r="F1380" s="1312"/>
      <c r="H1380" s="1152">
        <f t="shared" si="72"/>
        <v>0</v>
      </c>
      <c r="J1380" s="1334" t="e">
        <f>VLOOKUP(C1380,Acc_Char!B:K,3,)</f>
        <v>#N/A</v>
      </c>
      <c r="K1380" s="1334" t="e">
        <f>VLOOKUP(C1380,Acc_Char!B:K,7,)</f>
        <v>#N/A</v>
      </c>
      <c r="L1380" s="1334">
        <f t="shared" si="73"/>
        <v>0</v>
      </c>
      <c r="M1380" s="1335" t="e">
        <f>VLOOKUP(C1380,Acc_Char!B:K,5,)</f>
        <v>#N/A</v>
      </c>
      <c r="N1380" s="1335" t="e">
        <f>VLOOKUP(C1380,Acc_Char!B:K,6,)</f>
        <v>#N/A</v>
      </c>
      <c r="O1380" s="1336" t="str">
        <f>Summary!$B$4</f>
        <v>W1-2Jan26</v>
      </c>
      <c r="P1380" s="1334" t="str">
        <f t="shared" si="74"/>
        <v>0</v>
      </c>
    </row>
    <row r="1381" spans="1:16">
      <c r="A1381"/>
      <c r="C1381" s="1348"/>
      <c r="D1381" s="1389"/>
      <c r="F1381" s="1312"/>
      <c r="H1381" s="1152">
        <f t="shared" si="72"/>
        <v>0</v>
      </c>
      <c r="J1381" s="1334" t="e">
        <f>VLOOKUP(C1381,Acc_Char!B:K,3,)</f>
        <v>#N/A</v>
      </c>
      <c r="K1381" s="1334" t="e">
        <f>VLOOKUP(C1381,Acc_Char!B:K,7,)</f>
        <v>#N/A</v>
      </c>
      <c r="L1381" s="1334">
        <f t="shared" si="73"/>
        <v>0</v>
      </c>
      <c r="M1381" s="1335" t="e">
        <f>VLOOKUP(C1381,Acc_Char!B:K,5,)</f>
        <v>#N/A</v>
      </c>
      <c r="N1381" s="1335" t="e">
        <f>VLOOKUP(C1381,Acc_Char!B:K,6,)</f>
        <v>#N/A</v>
      </c>
      <c r="O1381" s="1336" t="str">
        <f>Summary!$B$4</f>
        <v>W1-2Jan26</v>
      </c>
      <c r="P1381" s="1334" t="str">
        <f t="shared" si="74"/>
        <v>0</v>
      </c>
    </row>
    <row r="1382" spans="1:16">
      <c r="A1382"/>
      <c r="C1382" s="1348"/>
      <c r="D1382" s="1389"/>
      <c r="F1382" s="1312"/>
      <c r="H1382" s="1152">
        <f t="shared" si="72"/>
        <v>0</v>
      </c>
      <c r="J1382" s="1334" t="e">
        <f>VLOOKUP(C1382,Acc_Char!B:K,3,)</f>
        <v>#N/A</v>
      </c>
      <c r="K1382" s="1334" t="e">
        <f>VLOOKUP(C1382,Acc_Char!B:K,7,)</f>
        <v>#N/A</v>
      </c>
      <c r="L1382" s="1334">
        <f t="shared" si="73"/>
        <v>0</v>
      </c>
      <c r="M1382" s="1335" t="e">
        <f>VLOOKUP(C1382,Acc_Char!B:K,5,)</f>
        <v>#N/A</v>
      </c>
      <c r="N1382" s="1335" t="e">
        <f>VLOOKUP(C1382,Acc_Char!B:K,6,)</f>
        <v>#N/A</v>
      </c>
      <c r="O1382" s="1336" t="str">
        <f>Summary!$B$4</f>
        <v>W1-2Jan26</v>
      </c>
      <c r="P1382" s="1334" t="str">
        <f t="shared" si="74"/>
        <v>0</v>
      </c>
    </row>
    <row r="1383" spans="1:16">
      <c r="A1383"/>
      <c r="C1383" s="1348"/>
      <c r="D1383" s="1389"/>
      <c r="F1383" s="1312"/>
      <c r="H1383" s="1152">
        <f t="shared" ref="H1383:H1447" si="75">F1383-G1383</f>
        <v>0</v>
      </c>
      <c r="J1383" s="1334" t="e">
        <f>VLOOKUP(C1383,Acc_Char!B:K,3,)</f>
        <v>#N/A</v>
      </c>
      <c r="K1383" s="1334" t="e">
        <f>VLOOKUP(C1383,Acc_Char!B:K,7,)</f>
        <v>#N/A</v>
      </c>
      <c r="L1383" s="1334">
        <f t="shared" si="73"/>
        <v>0</v>
      </c>
      <c r="M1383" s="1335" t="e">
        <f>VLOOKUP(C1383,Acc_Char!B:K,5,)</f>
        <v>#N/A</v>
      </c>
      <c r="N1383" s="1335" t="e">
        <f>VLOOKUP(C1383,Acc_Char!B:K,6,)</f>
        <v>#N/A</v>
      </c>
      <c r="O1383" s="1336" t="str">
        <f>Summary!$B$4</f>
        <v>W1-2Jan26</v>
      </c>
      <c r="P1383" s="1334" t="str">
        <f t="shared" si="74"/>
        <v>0</v>
      </c>
    </row>
    <row r="1384" spans="1:16">
      <c r="A1384"/>
      <c r="C1384" s="1348"/>
      <c r="D1384" s="1389"/>
      <c r="F1384" s="1312"/>
      <c r="H1384" s="1152">
        <f t="shared" si="75"/>
        <v>0</v>
      </c>
      <c r="J1384" s="1334" t="e">
        <f>VLOOKUP(C1384,Acc_Char!B:K,3,)</f>
        <v>#N/A</v>
      </c>
      <c r="K1384" s="1334" t="e">
        <f>VLOOKUP(C1384,Acc_Char!B:K,7,)</f>
        <v>#N/A</v>
      </c>
      <c r="L1384" s="1334">
        <f t="shared" si="73"/>
        <v>0</v>
      </c>
      <c r="M1384" s="1335" t="e">
        <f>VLOOKUP(C1384,Acc_Char!B:K,5,)</f>
        <v>#N/A</v>
      </c>
      <c r="N1384" s="1335" t="e">
        <f>VLOOKUP(C1384,Acc_Char!B:K,6,)</f>
        <v>#N/A</v>
      </c>
      <c r="O1384" s="1336" t="str">
        <f>Summary!$B$4</f>
        <v>W1-2Jan26</v>
      </c>
      <c r="P1384" s="1334" t="str">
        <f t="shared" si="74"/>
        <v>0</v>
      </c>
    </row>
    <row r="1385" spans="1:16">
      <c r="A1385"/>
      <c r="C1385" s="1348"/>
      <c r="D1385" s="1389"/>
      <c r="F1385" s="1312"/>
      <c r="H1385" s="1152">
        <f t="shared" si="75"/>
        <v>0</v>
      </c>
      <c r="J1385" s="1334" t="e">
        <f>VLOOKUP(C1385,Acc_Char!B:K,3,)</f>
        <v>#N/A</v>
      </c>
      <c r="K1385" s="1334" t="e">
        <f>VLOOKUP(C1385,Acc_Char!B:K,7,)</f>
        <v>#N/A</v>
      </c>
      <c r="L1385" s="1334">
        <f t="shared" si="73"/>
        <v>0</v>
      </c>
      <c r="M1385" s="1335" t="e">
        <f>VLOOKUP(C1385,Acc_Char!B:K,5,)</f>
        <v>#N/A</v>
      </c>
      <c r="N1385" s="1335" t="e">
        <f>VLOOKUP(C1385,Acc_Char!B:K,6,)</f>
        <v>#N/A</v>
      </c>
      <c r="O1385" s="1336" t="str">
        <f>Summary!$B$4</f>
        <v>W1-2Jan26</v>
      </c>
      <c r="P1385" s="1334" t="str">
        <f t="shared" si="74"/>
        <v>0</v>
      </c>
    </row>
    <row r="1386" spans="1:16">
      <c r="A1386"/>
      <c r="C1386" s="1348"/>
      <c r="D1386" s="1389"/>
      <c r="F1386" s="1312"/>
      <c r="H1386" s="1152">
        <f t="shared" si="75"/>
        <v>0</v>
      </c>
      <c r="J1386" s="1334" t="e">
        <f>VLOOKUP(C1386,Acc_Char!B:K,3,)</f>
        <v>#N/A</v>
      </c>
      <c r="K1386" s="1334" t="e">
        <f>VLOOKUP(C1386,Acc_Char!B:K,7,)</f>
        <v>#N/A</v>
      </c>
      <c r="L1386" s="1334">
        <f t="shared" si="73"/>
        <v>0</v>
      </c>
      <c r="M1386" s="1335" t="e">
        <f>VLOOKUP(C1386,Acc_Char!B:K,5,)</f>
        <v>#N/A</v>
      </c>
      <c r="N1386" s="1335" t="e">
        <f>VLOOKUP(C1386,Acc_Char!B:K,6,)</f>
        <v>#N/A</v>
      </c>
      <c r="O1386" s="1336" t="str">
        <f>Summary!$B$4</f>
        <v>W1-2Jan26</v>
      </c>
      <c r="P1386" s="1334" t="str">
        <f t="shared" si="74"/>
        <v>0</v>
      </c>
    </row>
    <row r="1387" spans="1:16">
      <c r="A1387"/>
      <c r="C1387" s="1348"/>
      <c r="D1387" s="1389"/>
      <c r="F1387" s="1312"/>
      <c r="H1387" s="1152">
        <f t="shared" si="75"/>
        <v>0</v>
      </c>
      <c r="J1387" s="1334" t="e">
        <f>VLOOKUP(C1387,Acc_Char!B:K,3,)</f>
        <v>#N/A</v>
      </c>
      <c r="K1387" s="1334" t="e">
        <f>VLOOKUP(C1387,Acc_Char!B:K,7,)</f>
        <v>#N/A</v>
      </c>
      <c r="L1387" s="1334">
        <f t="shared" si="73"/>
        <v>0</v>
      </c>
      <c r="M1387" s="1335" t="e">
        <f>VLOOKUP(C1387,Acc_Char!B:K,5,)</f>
        <v>#N/A</v>
      </c>
      <c r="N1387" s="1335" t="e">
        <f>VLOOKUP(C1387,Acc_Char!B:K,6,)</f>
        <v>#N/A</v>
      </c>
      <c r="O1387" s="1336" t="str">
        <f>Summary!$B$4</f>
        <v>W1-2Jan26</v>
      </c>
      <c r="P1387" s="1334" t="str">
        <f t="shared" si="74"/>
        <v>0</v>
      </c>
    </row>
    <row r="1388" spans="1:16">
      <c r="A1388"/>
      <c r="C1388" s="1348"/>
      <c r="D1388" s="1389"/>
      <c r="F1388" s="1312"/>
      <c r="H1388" s="1152">
        <f t="shared" si="75"/>
        <v>0</v>
      </c>
      <c r="J1388" s="1334" t="e">
        <f>VLOOKUP(C1388,Acc_Char!B:K,3,)</f>
        <v>#N/A</v>
      </c>
      <c r="K1388" s="1334" t="e">
        <f>VLOOKUP(C1388,Acc_Char!B:K,7,)</f>
        <v>#N/A</v>
      </c>
      <c r="L1388" s="1334">
        <f t="shared" si="73"/>
        <v>0</v>
      </c>
      <c r="M1388" s="1335" t="e">
        <f>VLOOKUP(C1388,Acc_Char!B:K,5,)</f>
        <v>#N/A</v>
      </c>
      <c r="N1388" s="1335" t="e">
        <f>VLOOKUP(C1388,Acc_Char!B:K,6,)</f>
        <v>#N/A</v>
      </c>
      <c r="O1388" s="1336" t="str">
        <f>Summary!$B$4</f>
        <v>W1-2Jan26</v>
      </c>
      <c r="P1388" s="1334" t="str">
        <f t="shared" si="74"/>
        <v>0</v>
      </c>
    </row>
    <row r="1389" spans="1:16">
      <c r="A1389"/>
      <c r="C1389" s="1348"/>
      <c r="D1389" s="1389"/>
      <c r="F1389" s="1312"/>
      <c r="H1389" s="1152">
        <f t="shared" si="75"/>
        <v>0</v>
      </c>
      <c r="J1389" s="1334" t="e">
        <f>VLOOKUP(C1389,Acc_Char!B:K,3,)</f>
        <v>#N/A</v>
      </c>
      <c r="K1389" s="1334" t="e">
        <f>VLOOKUP(C1389,Acc_Char!B:K,7,)</f>
        <v>#N/A</v>
      </c>
      <c r="L1389" s="1334">
        <f t="shared" si="73"/>
        <v>0</v>
      </c>
      <c r="M1389" s="1335" t="e">
        <f>VLOOKUP(C1389,Acc_Char!B:K,5,)</f>
        <v>#N/A</v>
      </c>
      <c r="N1389" s="1335" t="e">
        <f>VLOOKUP(C1389,Acc_Char!B:K,6,)</f>
        <v>#N/A</v>
      </c>
      <c r="O1389" s="1336" t="str">
        <f>Summary!$B$4</f>
        <v>W1-2Jan26</v>
      </c>
      <c r="P1389" s="1334" t="str">
        <f t="shared" si="74"/>
        <v>0</v>
      </c>
    </row>
    <row r="1390" spans="1:16">
      <c r="A1390"/>
      <c r="C1390" s="1348"/>
      <c r="D1390" s="1389"/>
      <c r="F1390" s="1312"/>
      <c r="H1390" s="1152">
        <f t="shared" si="75"/>
        <v>0</v>
      </c>
      <c r="J1390" s="1334" t="e">
        <f>VLOOKUP(C1390,Acc_Char!B:K,3,)</f>
        <v>#N/A</v>
      </c>
      <c r="K1390" s="1334" t="e">
        <f>VLOOKUP(C1390,Acc_Char!B:K,7,)</f>
        <v>#N/A</v>
      </c>
      <c r="L1390" s="1334">
        <f t="shared" si="73"/>
        <v>0</v>
      </c>
      <c r="M1390" s="1335" t="e">
        <f>VLOOKUP(C1390,Acc_Char!B:K,5,)</f>
        <v>#N/A</v>
      </c>
      <c r="N1390" s="1335" t="e">
        <f>VLOOKUP(C1390,Acc_Char!B:K,6,)</f>
        <v>#N/A</v>
      </c>
      <c r="O1390" s="1336" t="str">
        <f>Summary!$B$4</f>
        <v>W1-2Jan26</v>
      </c>
      <c r="P1390" s="1334" t="str">
        <f t="shared" si="74"/>
        <v>0</v>
      </c>
    </row>
    <row r="1391" spans="1:16">
      <c r="A1391"/>
      <c r="C1391" s="1348"/>
      <c r="D1391" s="1389"/>
      <c r="F1391" s="1312"/>
      <c r="H1391" s="1152">
        <f t="shared" si="75"/>
        <v>0</v>
      </c>
      <c r="J1391" s="1334" t="e">
        <f>VLOOKUP(C1391,Acc_Char!B:K,3,)</f>
        <v>#N/A</v>
      </c>
      <c r="K1391" s="1334" t="e">
        <f>VLOOKUP(C1391,Acc_Char!B:K,7,)</f>
        <v>#N/A</v>
      </c>
      <c r="L1391" s="1334">
        <f t="shared" si="73"/>
        <v>0</v>
      </c>
      <c r="M1391" s="1335" t="e">
        <f>VLOOKUP(C1391,Acc_Char!B:K,5,)</f>
        <v>#N/A</v>
      </c>
      <c r="N1391" s="1335" t="e">
        <f>VLOOKUP(C1391,Acc_Char!B:K,6,)</f>
        <v>#N/A</v>
      </c>
      <c r="O1391" s="1336" t="str">
        <f>Summary!$B$4</f>
        <v>W1-2Jan26</v>
      </c>
      <c r="P1391" s="1334" t="str">
        <f t="shared" si="74"/>
        <v>0</v>
      </c>
    </row>
    <row r="1392" spans="1:16">
      <c r="A1392"/>
      <c r="C1392" s="1348"/>
      <c r="D1392" s="1389"/>
      <c r="F1392" s="1312"/>
      <c r="H1392" s="1152">
        <f t="shared" si="75"/>
        <v>0</v>
      </c>
      <c r="J1392" s="1334" t="e">
        <f>VLOOKUP(C1392,Acc_Char!B:K,3,)</f>
        <v>#N/A</v>
      </c>
      <c r="K1392" s="1334" t="e">
        <f>VLOOKUP(C1392,Acc_Char!B:K,7,)</f>
        <v>#N/A</v>
      </c>
      <c r="L1392" s="1334">
        <f t="shared" si="73"/>
        <v>0</v>
      </c>
      <c r="M1392" s="1335" t="e">
        <f>VLOOKUP(C1392,Acc_Char!B:K,5,)</f>
        <v>#N/A</v>
      </c>
      <c r="N1392" s="1335" t="e">
        <f>VLOOKUP(C1392,Acc_Char!B:K,6,)</f>
        <v>#N/A</v>
      </c>
      <c r="O1392" s="1336" t="str">
        <f>Summary!$B$4</f>
        <v>W1-2Jan26</v>
      </c>
      <c r="P1392" s="1334" t="str">
        <f t="shared" si="74"/>
        <v>0</v>
      </c>
    </row>
    <row r="1393" spans="1:17">
      <c r="A1393"/>
      <c r="C1393" s="1348"/>
      <c r="D1393" s="1389"/>
      <c r="F1393" s="1312"/>
      <c r="H1393" s="1152">
        <f t="shared" si="75"/>
        <v>0</v>
      </c>
      <c r="J1393" s="1334" t="e">
        <f>VLOOKUP(C1393,Acc_Char!B:K,3,)</f>
        <v>#N/A</v>
      </c>
      <c r="K1393" s="1334" t="e">
        <f>VLOOKUP(C1393,Acc_Char!B:K,7,)</f>
        <v>#N/A</v>
      </c>
      <c r="L1393" s="1334">
        <f t="shared" si="73"/>
        <v>0</v>
      </c>
      <c r="M1393" s="1335" t="e">
        <f>VLOOKUP(C1393,Acc_Char!B:K,5,)</f>
        <v>#N/A</v>
      </c>
      <c r="N1393" s="1335" t="e">
        <f>VLOOKUP(C1393,Acc_Char!B:K,6,)</f>
        <v>#N/A</v>
      </c>
      <c r="O1393" s="1336" t="str">
        <f>Summary!$B$4</f>
        <v>W1-2Jan26</v>
      </c>
      <c r="P1393" s="1334" t="str">
        <f t="shared" si="74"/>
        <v>0</v>
      </c>
    </row>
    <row r="1394" spans="1:17">
      <c r="A1394"/>
      <c r="C1394" s="1348"/>
      <c r="D1394" s="1389"/>
      <c r="F1394" s="1312"/>
      <c r="H1394" s="1152">
        <f t="shared" si="75"/>
        <v>0</v>
      </c>
      <c r="J1394" s="1334" t="e">
        <f>VLOOKUP(C1394,Acc_Char!B:K,3,)</f>
        <v>#N/A</v>
      </c>
      <c r="K1394" s="1334" t="e">
        <f>VLOOKUP(C1394,Acc_Char!B:K,7,)</f>
        <v>#N/A</v>
      </c>
      <c r="L1394" s="1334">
        <f t="shared" si="73"/>
        <v>0</v>
      </c>
      <c r="M1394" s="1335" t="e">
        <f>VLOOKUP(C1394,Acc_Char!B:K,5,)</f>
        <v>#N/A</v>
      </c>
      <c r="N1394" s="1335" t="e">
        <f>VLOOKUP(C1394,Acc_Char!B:K,6,)</f>
        <v>#N/A</v>
      </c>
      <c r="O1394" s="1336" t="str">
        <f>Summary!$B$4</f>
        <v>W1-2Jan26</v>
      </c>
      <c r="P1394" s="1334" t="str">
        <f t="shared" si="74"/>
        <v>0</v>
      </c>
    </row>
    <row r="1395" spans="1:17">
      <c r="A1395"/>
      <c r="C1395" s="1348"/>
      <c r="D1395" s="1389"/>
      <c r="F1395" s="1312"/>
      <c r="H1395" s="1152">
        <f t="shared" si="75"/>
        <v>0</v>
      </c>
      <c r="J1395" s="1334" t="e">
        <f>VLOOKUP(C1395,Acc_Char!B:K,3,)</f>
        <v>#N/A</v>
      </c>
      <c r="K1395" s="1334" t="e">
        <f>VLOOKUP(C1395,Acc_Char!B:K,7,)</f>
        <v>#N/A</v>
      </c>
      <c r="L1395" s="1334">
        <f t="shared" si="73"/>
        <v>0</v>
      </c>
      <c r="M1395" s="1335" t="e">
        <f>VLOOKUP(C1395,Acc_Char!B:K,5,)</f>
        <v>#N/A</v>
      </c>
      <c r="N1395" s="1335" t="e">
        <f>VLOOKUP(C1395,Acc_Char!B:K,6,)</f>
        <v>#N/A</v>
      </c>
      <c r="O1395" s="1336" t="str">
        <f>Summary!$B$4</f>
        <v>W1-2Jan26</v>
      </c>
      <c r="P1395" s="1334" t="str">
        <f t="shared" si="74"/>
        <v>0</v>
      </c>
    </row>
    <row r="1396" spans="1:17">
      <c r="A1396"/>
      <c r="C1396" s="1348"/>
      <c r="D1396" s="1389"/>
      <c r="F1396" s="1312"/>
      <c r="H1396" s="1152">
        <f t="shared" si="75"/>
        <v>0</v>
      </c>
      <c r="J1396" s="1334" t="e">
        <f>VLOOKUP(C1396,Acc_Char!B:K,3,)</f>
        <v>#N/A</v>
      </c>
      <c r="K1396" s="1334" t="e">
        <f>VLOOKUP(C1396,Acc_Char!B:K,7,)</f>
        <v>#N/A</v>
      </c>
      <c r="L1396" s="1334">
        <f t="shared" si="73"/>
        <v>0</v>
      </c>
      <c r="M1396" s="1335" t="e">
        <f>VLOOKUP(C1396,Acc_Char!B:K,5,)</f>
        <v>#N/A</v>
      </c>
      <c r="N1396" s="1335" t="e">
        <f>VLOOKUP(C1396,Acc_Char!B:K,6,)</f>
        <v>#N/A</v>
      </c>
      <c r="O1396" s="1336" t="str">
        <f>Summary!$B$4</f>
        <v>W1-2Jan26</v>
      </c>
      <c r="P1396" s="1334" t="str">
        <f t="shared" si="74"/>
        <v>0</v>
      </c>
    </row>
    <row r="1397" spans="1:17">
      <c r="A1397"/>
      <c r="C1397" s="1348"/>
      <c r="D1397" s="1389"/>
      <c r="F1397" s="1312"/>
      <c r="H1397" s="1152">
        <f t="shared" si="75"/>
        <v>0</v>
      </c>
      <c r="J1397" s="1334" t="e">
        <f>VLOOKUP(C1397,Acc_Char!B:K,3,)</f>
        <v>#N/A</v>
      </c>
      <c r="K1397" s="1334" t="e">
        <f>VLOOKUP(C1397,Acc_Char!B:K,7,)</f>
        <v>#N/A</v>
      </c>
      <c r="L1397" s="1334">
        <f t="shared" si="73"/>
        <v>0</v>
      </c>
      <c r="M1397" s="1335" t="e">
        <f>VLOOKUP(C1397,Acc_Char!B:K,5,)</f>
        <v>#N/A</v>
      </c>
      <c r="N1397" s="1335" t="e">
        <f>VLOOKUP(C1397,Acc_Char!B:K,6,)</f>
        <v>#N/A</v>
      </c>
      <c r="O1397" s="1336" t="str">
        <f>Summary!$B$4</f>
        <v>W1-2Jan26</v>
      </c>
      <c r="P1397" s="1334" t="str">
        <f t="shared" si="74"/>
        <v>0</v>
      </c>
    </row>
    <row r="1398" spans="1:17">
      <c r="A1398"/>
      <c r="C1398" s="1348"/>
      <c r="D1398" s="1389"/>
      <c r="F1398" s="1312"/>
      <c r="H1398" s="1152">
        <f t="shared" si="75"/>
        <v>0</v>
      </c>
      <c r="J1398" s="1334" t="e">
        <f>VLOOKUP(C1398,Acc_Char!B:K,3,)</f>
        <v>#N/A</v>
      </c>
      <c r="K1398" s="1334" t="e">
        <f>VLOOKUP(C1398,Acc_Char!B:K,7,)</f>
        <v>#N/A</v>
      </c>
      <c r="L1398" s="1334">
        <f t="shared" si="73"/>
        <v>0</v>
      </c>
      <c r="M1398" s="1335" t="e">
        <f>VLOOKUP(C1398,Acc_Char!B:K,5,)</f>
        <v>#N/A</v>
      </c>
      <c r="N1398" s="1335" t="e">
        <f>VLOOKUP(C1398,Acc_Char!B:K,6,)</f>
        <v>#N/A</v>
      </c>
      <c r="O1398" s="1336" t="str">
        <f>Summary!$B$4</f>
        <v>W1-2Jan26</v>
      </c>
      <c r="P1398" s="1334" t="str">
        <f t="shared" si="74"/>
        <v>0</v>
      </c>
    </row>
    <row r="1399" spans="1:17">
      <c r="A1399"/>
      <c r="D1399" s="1389"/>
      <c r="F1399" s="1312"/>
      <c r="H1399" s="1152">
        <f t="shared" si="75"/>
        <v>0</v>
      </c>
      <c r="J1399" s="1334" t="e">
        <f>VLOOKUP(C1399,Acc_Char!B:K,3,)</f>
        <v>#N/A</v>
      </c>
      <c r="K1399" s="1334" t="e">
        <f>VLOOKUP(C1399,Acc_Char!B:K,7,)</f>
        <v>#N/A</v>
      </c>
      <c r="L1399" s="1334">
        <f t="shared" si="73"/>
        <v>0</v>
      </c>
      <c r="M1399" s="1335" t="e">
        <f>VLOOKUP(C1399,Acc_Char!B:K,5,)</f>
        <v>#N/A</v>
      </c>
      <c r="N1399" s="1335" t="e">
        <f>VLOOKUP(C1399,Acc_Char!B:K,6,)</f>
        <v>#N/A</v>
      </c>
      <c r="O1399" s="1336" t="str">
        <f>Summary!$B$4</f>
        <v>W1-2Jan26</v>
      </c>
      <c r="P1399" s="1334" t="str">
        <f t="shared" si="74"/>
        <v>0</v>
      </c>
    </row>
    <row r="1400" spans="1:17">
      <c r="A1400"/>
      <c r="D1400" s="1389"/>
      <c r="F1400" s="1312"/>
      <c r="H1400" s="1152">
        <f t="shared" si="75"/>
        <v>0</v>
      </c>
      <c r="J1400" s="1334" t="e">
        <f>VLOOKUP(C1400,Acc_Char!B:K,3,)</f>
        <v>#N/A</v>
      </c>
      <c r="K1400" s="1334" t="e">
        <f>VLOOKUP(C1400,Acc_Char!B:K,7,)</f>
        <v>#N/A</v>
      </c>
      <c r="L1400" s="1334">
        <f t="shared" si="73"/>
        <v>0</v>
      </c>
      <c r="M1400" s="1335" t="e">
        <f>VLOOKUP(C1400,Acc_Char!B:K,5,)</f>
        <v>#N/A</v>
      </c>
      <c r="N1400" s="1335" t="e">
        <f>VLOOKUP(C1400,Acc_Char!B:K,6,)</f>
        <v>#N/A</v>
      </c>
      <c r="O1400" s="1336" t="str">
        <f>Summary!$B$4</f>
        <v>W1-2Jan26</v>
      </c>
      <c r="P1400" s="1334" t="str">
        <f t="shared" si="74"/>
        <v>0</v>
      </c>
    </row>
    <row r="1401" spans="1:17">
      <c r="A1401"/>
      <c r="D1401" s="1389"/>
      <c r="F1401" s="1312"/>
      <c r="H1401" s="1152">
        <f t="shared" si="75"/>
        <v>0</v>
      </c>
      <c r="J1401" s="1334" t="e">
        <f>VLOOKUP(C1401,Acc_Char!B:K,3,)</f>
        <v>#N/A</v>
      </c>
      <c r="K1401" s="1334" t="e">
        <f>VLOOKUP(C1401,Acc_Char!B:K,7,)</f>
        <v>#N/A</v>
      </c>
      <c r="L1401" s="1334">
        <f t="shared" si="73"/>
        <v>0</v>
      </c>
      <c r="M1401" s="1335" t="e">
        <f>VLOOKUP(C1401,Acc_Char!B:K,5,)</f>
        <v>#N/A</v>
      </c>
      <c r="N1401" s="1335" t="e">
        <f>VLOOKUP(C1401,Acc_Char!B:K,6,)</f>
        <v>#N/A</v>
      </c>
      <c r="O1401" s="1336" t="str">
        <f>Summary!$B$4</f>
        <v>W1-2Jan26</v>
      </c>
      <c r="P1401" s="1334" t="str">
        <f t="shared" si="74"/>
        <v>0</v>
      </c>
    </row>
    <row r="1402" spans="1:17">
      <c r="A1402"/>
      <c r="D1402" s="1389"/>
      <c r="F1402" s="1312"/>
      <c r="H1402" s="1152">
        <f t="shared" si="75"/>
        <v>0</v>
      </c>
      <c r="J1402" s="1334" t="e">
        <f>VLOOKUP(C1402,Acc_Char!B:K,3,)</f>
        <v>#N/A</v>
      </c>
      <c r="K1402" s="1334" t="e">
        <f>VLOOKUP(C1402,Acc_Char!B:K,7,)</f>
        <v>#N/A</v>
      </c>
      <c r="L1402" s="1334">
        <f t="shared" si="73"/>
        <v>0</v>
      </c>
      <c r="M1402" s="1335" t="e">
        <f>VLOOKUP(C1402,Acc_Char!B:K,5,)</f>
        <v>#N/A</v>
      </c>
      <c r="N1402" s="1335" t="e">
        <f>VLOOKUP(C1402,Acc_Char!B:K,6,)</f>
        <v>#N/A</v>
      </c>
      <c r="O1402" s="1336" t="str">
        <f>Summary!$B$4</f>
        <v>W1-2Jan26</v>
      </c>
      <c r="P1402" s="1334" t="str">
        <f t="shared" si="74"/>
        <v>0</v>
      </c>
    </row>
    <row r="1403" spans="1:17">
      <c r="A1403"/>
      <c r="D1403" s="1389"/>
      <c r="F1403" s="1312"/>
      <c r="H1403" s="1152">
        <f t="shared" si="75"/>
        <v>0</v>
      </c>
      <c r="J1403" s="1334" t="e">
        <f>VLOOKUP(C1403,Acc_Char!B:K,3,)</f>
        <v>#N/A</v>
      </c>
      <c r="K1403" s="1334" t="e">
        <f>VLOOKUP(C1403,Acc_Char!B:K,7,)</f>
        <v>#N/A</v>
      </c>
      <c r="L1403" s="1334">
        <f t="shared" si="73"/>
        <v>0</v>
      </c>
      <c r="M1403" s="1335" t="e">
        <f>VLOOKUP(C1403,Acc_Char!B:K,5,)</f>
        <v>#N/A</v>
      </c>
      <c r="N1403" s="1335" t="e">
        <f>VLOOKUP(C1403,Acc_Char!B:K,6,)</f>
        <v>#N/A</v>
      </c>
      <c r="O1403" s="1336" t="str">
        <f>Summary!$B$4</f>
        <v>W1-2Jan26</v>
      </c>
      <c r="P1403" s="1334" t="str">
        <f t="shared" si="74"/>
        <v>0</v>
      </c>
    </row>
    <row r="1404" spans="1:17">
      <c r="A1404" s="1342"/>
      <c r="B1404" s="1343"/>
      <c r="C1404" s="1343"/>
      <c r="D1404" s="1390"/>
      <c r="E1404" s="1342"/>
      <c r="F1404" s="1344"/>
      <c r="G1404" s="1344"/>
      <c r="H1404" s="1283">
        <f t="shared" ref="H1404:H1414" si="76">F1404-G1404</f>
        <v>0</v>
      </c>
      <c r="I1404" s="1333"/>
      <c r="J1404" s="1334" t="e">
        <f>VLOOKUP(C1404,Acc_Char!B:K,3,)</f>
        <v>#N/A</v>
      </c>
      <c r="K1404" s="1334" t="e">
        <f>VLOOKUP(C1404,Acc_Char!B:K,7,)</f>
        <v>#N/A</v>
      </c>
      <c r="L1404" s="1334">
        <f t="shared" si="73"/>
        <v>0</v>
      </c>
      <c r="M1404" s="1335" t="e">
        <f>VLOOKUP(C1404,Acc_Char!B:K,5,)</f>
        <v>#N/A</v>
      </c>
      <c r="N1404" s="1335" t="e">
        <f>VLOOKUP(C1404,Acc_Char!B:K,6,)</f>
        <v>#N/A</v>
      </c>
      <c r="O1404" s="1336" t="str">
        <f>Summary!$B$4</f>
        <v>W1-2Jan26</v>
      </c>
      <c r="P1404" s="1334" t="str">
        <f t="shared" si="74"/>
        <v>0</v>
      </c>
    </row>
    <row r="1405" spans="1:17">
      <c r="A1405" s="1342"/>
      <c r="B1405" s="1343"/>
      <c r="C1405" s="1352"/>
      <c r="D1405" s="1390"/>
      <c r="E1405" s="1342"/>
      <c r="F1405" s="1344"/>
      <c r="G1405" s="1344"/>
      <c r="H1405" s="1283">
        <f t="shared" si="76"/>
        <v>0</v>
      </c>
      <c r="I1405" s="1333"/>
      <c r="J1405" s="1334" t="e">
        <f>VLOOKUP(C1405,Acc_Char!B:K,3,)</f>
        <v>#N/A</v>
      </c>
      <c r="K1405" s="1334" t="e">
        <f>VLOOKUP(C1405,Acc_Char!B:K,7,)</f>
        <v>#N/A</v>
      </c>
      <c r="L1405" s="1334">
        <f t="shared" si="73"/>
        <v>0</v>
      </c>
      <c r="M1405" s="1335" t="e">
        <f>VLOOKUP(C1405,Acc_Char!B:K,5,)</f>
        <v>#N/A</v>
      </c>
      <c r="N1405" s="1335" t="e">
        <f>VLOOKUP(C1405,Acc_Char!B:K,6,)</f>
        <v>#N/A</v>
      </c>
      <c r="O1405" s="1336" t="str">
        <f>Summary!$B$4</f>
        <v>W1-2Jan26</v>
      </c>
      <c r="P1405" s="1334" t="str">
        <f t="shared" si="74"/>
        <v>0</v>
      </c>
    </row>
    <row r="1406" spans="1:17">
      <c r="A1406" s="1342"/>
      <c r="B1406" s="1343"/>
      <c r="C1406" s="1353"/>
      <c r="D1406" s="1390"/>
      <c r="E1406" s="1342"/>
      <c r="F1406" s="1344"/>
      <c r="G1406" s="1344"/>
      <c r="H1406" s="1283">
        <f t="shared" si="76"/>
        <v>0</v>
      </c>
      <c r="I1406" s="1333"/>
      <c r="J1406" s="1334" t="e">
        <f>VLOOKUP(C1406,Acc_Char!B:K,3,)</f>
        <v>#N/A</v>
      </c>
      <c r="K1406" s="1334" t="e">
        <f>VLOOKUP(C1406,Acc_Char!B:K,7,)</f>
        <v>#N/A</v>
      </c>
      <c r="L1406" s="1334">
        <f t="shared" si="73"/>
        <v>0</v>
      </c>
      <c r="M1406" s="1335" t="e">
        <f>VLOOKUP(C1406,Acc_Char!B:K,5,)</f>
        <v>#N/A</v>
      </c>
      <c r="N1406" s="1335" t="e">
        <f>VLOOKUP(C1406,Acc_Char!B:K,6,)</f>
        <v>#N/A</v>
      </c>
      <c r="O1406" s="1336" t="str">
        <f>Summary!$B$4</f>
        <v>W1-2Jan26</v>
      </c>
      <c r="P1406" s="1334" t="str">
        <f t="shared" si="74"/>
        <v>0</v>
      </c>
    </row>
    <row r="1407" spans="1:17">
      <c r="A1407" s="1342"/>
      <c r="B1407" s="1343"/>
      <c r="C1407" s="1343"/>
      <c r="D1407" s="1390"/>
      <c r="E1407" s="1342"/>
      <c r="F1407" s="1344"/>
      <c r="G1407" s="1344"/>
      <c r="H1407" s="1283">
        <f t="shared" si="76"/>
        <v>0</v>
      </c>
      <c r="I1407" s="1333"/>
      <c r="J1407" s="1334" t="e">
        <f>VLOOKUP(C1407,Acc_Char!B:K,3,)</f>
        <v>#N/A</v>
      </c>
      <c r="K1407" s="1334" t="e">
        <f>VLOOKUP(C1407,Acc_Char!B:K,7,)</f>
        <v>#N/A</v>
      </c>
      <c r="L1407" s="1334">
        <f t="shared" si="73"/>
        <v>0</v>
      </c>
      <c r="M1407" s="1335" t="e">
        <f>VLOOKUP(C1407,Acc_Char!B:K,5,)</f>
        <v>#N/A</v>
      </c>
      <c r="N1407" s="1335" t="e">
        <f>VLOOKUP(C1407,Acc_Char!B:K,6,)</f>
        <v>#N/A</v>
      </c>
      <c r="O1407" s="1336" t="str">
        <f>Summary!$B$4</f>
        <v>W1-2Jan26</v>
      </c>
      <c r="P1407" s="1334" t="str">
        <f t="shared" si="74"/>
        <v>0</v>
      </c>
      <c r="Q1407" s="1385"/>
    </row>
    <row r="1408" spans="1:17">
      <c r="A1408" s="1342"/>
      <c r="B1408" s="1343"/>
      <c r="C1408" s="1353"/>
      <c r="D1408" s="1390"/>
      <c r="E1408" s="1342"/>
      <c r="F1408" s="1344"/>
      <c r="G1408" s="1344"/>
      <c r="H1408" s="1283">
        <f t="shared" si="76"/>
        <v>0</v>
      </c>
      <c r="I1408" s="1333"/>
      <c r="J1408" s="1334" t="e">
        <f>VLOOKUP(C1408,Acc_Char!B:K,3,)</f>
        <v>#N/A</v>
      </c>
      <c r="K1408" s="1334" t="e">
        <f>VLOOKUP(C1408,Acc_Char!B:K,7,)</f>
        <v>#N/A</v>
      </c>
      <c r="L1408" s="1334">
        <f t="shared" si="73"/>
        <v>0</v>
      </c>
      <c r="M1408" s="1335" t="e">
        <f>VLOOKUP(C1408,Acc_Char!B:K,5,)</f>
        <v>#N/A</v>
      </c>
      <c r="N1408" s="1335" t="e">
        <f>VLOOKUP(C1408,Acc_Char!B:K,6,)</f>
        <v>#N/A</v>
      </c>
      <c r="O1408" s="1336" t="str">
        <f>Summary!$B$4</f>
        <v>W1-2Jan26</v>
      </c>
      <c r="P1408" s="1334" t="str">
        <f t="shared" si="74"/>
        <v>0</v>
      </c>
      <c r="Q1408" s="1334"/>
    </row>
    <row r="1409" spans="1:17">
      <c r="A1409" s="1342"/>
      <c r="B1409" s="1343"/>
      <c r="C1409" s="1353"/>
      <c r="D1409" s="1390"/>
      <c r="E1409" s="1342"/>
      <c r="F1409" s="1344"/>
      <c r="G1409" s="1344"/>
      <c r="H1409" s="1283">
        <f t="shared" si="76"/>
        <v>0</v>
      </c>
      <c r="I1409" s="1333"/>
      <c r="J1409" s="1334" t="e">
        <f>VLOOKUP(C1409,Acc_Char!B:K,3,)</f>
        <v>#N/A</v>
      </c>
      <c r="K1409" s="1334" t="e">
        <f>VLOOKUP(C1409,Acc_Char!B:K,7,)</f>
        <v>#N/A</v>
      </c>
      <c r="L1409" s="1334">
        <f t="shared" si="73"/>
        <v>0</v>
      </c>
      <c r="M1409" s="1335" t="e">
        <f>VLOOKUP(C1409,Acc_Char!B:K,5,)</f>
        <v>#N/A</v>
      </c>
      <c r="N1409" s="1335" t="e">
        <f>VLOOKUP(C1409,Acc_Char!B:K,6,)</f>
        <v>#N/A</v>
      </c>
      <c r="O1409" s="1336" t="str">
        <f>Summary!$B$4</f>
        <v>W1-2Jan26</v>
      </c>
      <c r="P1409" s="1334" t="str">
        <f t="shared" si="74"/>
        <v>0</v>
      </c>
      <c r="Q1409" s="1334"/>
    </row>
    <row r="1410" spans="1:17">
      <c r="A1410"/>
      <c r="B1410" s="34"/>
      <c r="C1410" s="1354"/>
      <c r="D1410" s="355"/>
      <c r="E1410"/>
      <c r="F1410" s="1344"/>
      <c r="G1410" s="57"/>
      <c r="H1410" s="1283">
        <f t="shared" si="76"/>
        <v>0</v>
      </c>
      <c r="I1410" s="1333"/>
      <c r="J1410" s="1334" t="e">
        <f>VLOOKUP(C1410,Acc_Char!B:K,3,)</f>
        <v>#N/A</v>
      </c>
      <c r="K1410" s="1334" t="e">
        <f>VLOOKUP(C1410,Acc_Char!B:K,7,)</f>
        <v>#N/A</v>
      </c>
      <c r="L1410" s="1334">
        <f t="shared" si="73"/>
        <v>0</v>
      </c>
      <c r="M1410" s="1335" t="e">
        <f>VLOOKUP(C1410,Acc_Char!B:K,5,)</f>
        <v>#N/A</v>
      </c>
      <c r="N1410" s="1335" t="e">
        <f>VLOOKUP(C1410,Acc_Char!B:K,6,)</f>
        <v>#N/A</v>
      </c>
      <c r="O1410" s="1336" t="str">
        <f>Summary!$B$4</f>
        <v>W1-2Jan26</v>
      </c>
      <c r="P1410" s="1334" t="str">
        <f t="shared" si="74"/>
        <v>0</v>
      </c>
    </row>
    <row r="1411" spans="1:17">
      <c r="A1411" s="1342"/>
      <c r="B1411" s="1343"/>
      <c r="C1411" s="1343"/>
      <c r="D1411" s="1391"/>
      <c r="E1411" s="1342"/>
      <c r="F1411" s="1344"/>
      <c r="G1411" s="1344"/>
      <c r="H1411" s="1283">
        <f t="shared" si="76"/>
        <v>0</v>
      </c>
      <c r="I1411" s="1333"/>
      <c r="J1411" s="1334" t="e">
        <f>VLOOKUP(C1411,Acc_Char!B:K,3,)</f>
        <v>#N/A</v>
      </c>
      <c r="K1411" s="1334" t="e">
        <f>VLOOKUP(C1411,Acc_Char!B:K,7,)</f>
        <v>#N/A</v>
      </c>
      <c r="L1411" s="1334">
        <f t="shared" si="73"/>
        <v>0</v>
      </c>
      <c r="M1411" s="1335" t="e">
        <f>VLOOKUP(C1411,Acc_Char!B:K,5,)</f>
        <v>#N/A</v>
      </c>
      <c r="N1411" s="1335" t="e">
        <f>VLOOKUP(C1411,Acc_Char!B:K,6,)</f>
        <v>#N/A</v>
      </c>
      <c r="O1411" s="1336" t="str">
        <f>Summary!$B$4</f>
        <v>W1-2Jan26</v>
      </c>
      <c r="P1411" s="1334" t="str">
        <f t="shared" si="74"/>
        <v>0</v>
      </c>
      <c r="Q1411" s="1334"/>
    </row>
    <row r="1412" spans="1:17">
      <c r="A1412"/>
      <c r="B1412" s="34"/>
      <c r="C1412" s="1354"/>
      <c r="D1412" s="355"/>
      <c r="E1412"/>
      <c r="F1412" s="1344"/>
      <c r="G1412" s="57"/>
      <c r="H1412" s="1283">
        <f t="shared" si="76"/>
        <v>0</v>
      </c>
      <c r="I1412" s="1333"/>
      <c r="J1412" s="1334" t="e">
        <f>VLOOKUP(C1412,Acc_Char!B:K,3,)</f>
        <v>#N/A</v>
      </c>
      <c r="K1412" s="1334" t="e">
        <f>VLOOKUP(C1412,Acc_Char!B:K,7,)</f>
        <v>#N/A</v>
      </c>
      <c r="L1412" s="1334">
        <f t="shared" si="73"/>
        <v>0</v>
      </c>
      <c r="M1412" s="1335" t="e">
        <f>VLOOKUP(C1412,Acc_Char!B:K,5,)</f>
        <v>#N/A</v>
      </c>
      <c r="N1412" s="1335" t="e">
        <f>VLOOKUP(C1412,Acc_Char!B:K,6,)</f>
        <v>#N/A</v>
      </c>
      <c r="O1412" s="1336" t="str">
        <f>Summary!$B$4</f>
        <v>W1-2Jan26</v>
      </c>
      <c r="P1412" s="1334" t="str">
        <f t="shared" si="74"/>
        <v>0</v>
      </c>
    </row>
    <row r="1413" spans="1:17">
      <c r="A1413"/>
      <c r="B1413" s="34"/>
      <c r="C1413" s="1354"/>
      <c r="D1413" s="355"/>
      <c r="E1413"/>
      <c r="F1413" s="1344"/>
      <c r="G1413" s="57"/>
      <c r="H1413" s="1283">
        <f t="shared" si="76"/>
        <v>0</v>
      </c>
      <c r="I1413" s="1333"/>
      <c r="J1413" s="1334" t="e">
        <f>VLOOKUP(C1413,Acc_Char!B:K,3,)</f>
        <v>#N/A</v>
      </c>
      <c r="K1413" s="1334" t="e">
        <f>VLOOKUP(C1413,Acc_Char!B:K,7,)</f>
        <v>#N/A</v>
      </c>
      <c r="L1413" s="1334">
        <f t="shared" ref="L1413:L1476" si="77">I1413</f>
        <v>0</v>
      </c>
      <c r="M1413" s="1335" t="e">
        <f>VLOOKUP(C1413,Acc_Char!B:K,5,)</f>
        <v>#N/A</v>
      </c>
      <c r="N1413" s="1335" t="e">
        <f>VLOOKUP(C1413,Acc_Char!B:K,6,)</f>
        <v>#N/A</v>
      </c>
      <c r="O1413" s="1336" t="str">
        <f>Summary!$B$4</f>
        <v>W1-2Jan26</v>
      </c>
      <c r="P1413" s="1334" t="str">
        <f t="shared" ref="P1413:P1476" si="78">TEXT(C1413,"0")</f>
        <v>0</v>
      </c>
    </row>
    <row r="1414" spans="1:17">
      <c r="A1414"/>
      <c r="B1414" s="34"/>
      <c r="C1414" s="34"/>
      <c r="D1414" s="1389"/>
      <c r="E1414"/>
      <c r="F1414" s="57"/>
      <c r="G1414" s="57"/>
      <c r="H1414" s="1082">
        <f t="shared" si="76"/>
        <v>0</v>
      </c>
      <c r="I1414" s="1333"/>
      <c r="J1414" s="1334" t="e">
        <f>VLOOKUP(C1414,Acc_Char!B:K,3,)</f>
        <v>#N/A</v>
      </c>
      <c r="K1414" s="1334" t="e">
        <f>VLOOKUP(C1414,Acc_Char!B:K,7,)</f>
        <v>#N/A</v>
      </c>
      <c r="L1414" s="1334">
        <f t="shared" si="77"/>
        <v>0</v>
      </c>
      <c r="M1414" s="1335" t="e">
        <f>VLOOKUP(C1414,Acc_Char!B:K,5,)</f>
        <v>#N/A</v>
      </c>
      <c r="N1414" s="1335" t="e">
        <f>VLOOKUP(C1414,Acc_Char!B:K,6,)</f>
        <v>#N/A</v>
      </c>
      <c r="O1414" s="1336" t="str">
        <f>Summary!$B$4</f>
        <v>W1-2Jan26</v>
      </c>
      <c r="P1414" s="1334" t="str">
        <f t="shared" si="78"/>
        <v>0</v>
      </c>
    </row>
    <row r="1415" spans="1:17">
      <c r="B1415" s="460"/>
      <c r="C1415" s="1092"/>
      <c r="D1415" s="1389"/>
      <c r="E1415" s="1339"/>
      <c r="F1415" s="1311"/>
      <c r="G1415" s="1311"/>
      <c r="H1415" s="1082">
        <f t="shared" ref="H1415:H1438" si="79">F1415-G1415</f>
        <v>0</v>
      </c>
      <c r="I1415" s="1333"/>
      <c r="J1415" s="1334" t="e">
        <f>VLOOKUP(C1415,Acc_Char!B:K,3,)</f>
        <v>#N/A</v>
      </c>
      <c r="K1415" s="1334" t="e">
        <f>VLOOKUP(C1415,Acc_Char!B:K,7,)</f>
        <v>#N/A</v>
      </c>
      <c r="L1415" s="1334">
        <f t="shared" si="77"/>
        <v>0</v>
      </c>
      <c r="M1415" s="1335" t="e">
        <f>VLOOKUP(C1415,Acc_Char!B:K,5,)</f>
        <v>#N/A</v>
      </c>
      <c r="N1415" s="1335" t="e">
        <f>VLOOKUP(C1415,Acc_Char!B:K,6,)</f>
        <v>#N/A</v>
      </c>
      <c r="O1415" s="1336" t="str">
        <f>Summary!$B$4</f>
        <v>W1-2Jan26</v>
      </c>
      <c r="P1415" s="1334" t="str">
        <f t="shared" si="78"/>
        <v>0</v>
      </c>
    </row>
    <row r="1416" spans="1:17">
      <c r="B1416" s="460"/>
      <c r="C1416" s="1092"/>
      <c r="D1416" s="1389"/>
      <c r="E1416" s="1339"/>
      <c r="F1416" s="1313"/>
      <c r="G1416" s="1311"/>
      <c r="H1416" s="1082">
        <f t="shared" si="79"/>
        <v>0</v>
      </c>
      <c r="I1416" s="1333"/>
      <c r="J1416" s="1334" t="e">
        <f>VLOOKUP(C1416,Acc_Char!B:K,3,)</f>
        <v>#N/A</v>
      </c>
      <c r="K1416" s="1334" t="e">
        <f>VLOOKUP(C1416,Acc_Char!B:K,7,)</f>
        <v>#N/A</v>
      </c>
      <c r="L1416" s="1334">
        <f t="shared" si="77"/>
        <v>0</v>
      </c>
      <c r="M1416" s="1335" t="e">
        <f>VLOOKUP(C1416,Acc_Char!B:K,5,)</f>
        <v>#N/A</v>
      </c>
      <c r="N1416" s="1335" t="e">
        <f>VLOOKUP(C1416,Acc_Char!B:K,6,)</f>
        <v>#N/A</v>
      </c>
      <c r="O1416" s="1336" t="str">
        <f>Summary!$B$4</f>
        <v>W1-2Jan26</v>
      </c>
      <c r="P1416" s="1334" t="str">
        <f t="shared" si="78"/>
        <v>0</v>
      </c>
      <c r="Q1416" s="1024"/>
    </row>
    <row r="1417" spans="1:17">
      <c r="B1417" s="1335"/>
      <c r="C1417" s="1355"/>
      <c r="D1417" s="1389"/>
      <c r="E1417" s="1334"/>
      <c r="F1417" s="1312"/>
      <c r="G1417" s="1311"/>
      <c r="H1417" s="1082">
        <f t="shared" si="79"/>
        <v>0</v>
      </c>
      <c r="I1417" s="1333"/>
      <c r="J1417" s="1334" t="e">
        <f>VLOOKUP(C1417,Acc_Char!B:K,3,)</f>
        <v>#N/A</v>
      </c>
      <c r="K1417" s="1334" t="e">
        <f>VLOOKUP(C1417,Acc_Char!B:K,7,)</f>
        <v>#N/A</v>
      </c>
      <c r="L1417" s="1334">
        <f t="shared" si="77"/>
        <v>0</v>
      </c>
      <c r="M1417" s="1335" t="e">
        <f>VLOOKUP(C1417,Acc_Char!B:K,5,)</f>
        <v>#N/A</v>
      </c>
      <c r="N1417" s="1335" t="e">
        <f>VLOOKUP(C1417,Acc_Char!B:K,6,)</f>
        <v>#N/A</v>
      </c>
      <c r="O1417" s="1336" t="str">
        <f>Summary!$B$4</f>
        <v>W1-2Jan26</v>
      </c>
      <c r="P1417" s="1334" t="str">
        <f t="shared" si="78"/>
        <v>0</v>
      </c>
      <c r="Q1417" s="1024"/>
    </row>
    <row r="1418" spans="1:17">
      <c r="B1418" s="460"/>
      <c r="C1418" s="1355"/>
      <c r="D1418" s="1389"/>
      <c r="E1418"/>
      <c r="F1418" s="1311"/>
      <c r="G1418" s="1311"/>
      <c r="H1418" s="1082">
        <f t="shared" si="79"/>
        <v>0</v>
      </c>
      <c r="I1418" s="1333"/>
      <c r="J1418" s="1334" t="e">
        <f>VLOOKUP(C1418,Acc_Char!B:K,3,)</f>
        <v>#N/A</v>
      </c>
      <c r="K1418" s="1334" t="e">
        <f>VLOOKUP(C1418,Acc_Char!B:K,7,)</f>
        <v>#N/A</v>
      </c>
      <c r="L1418" s="1334">
        <f t="shared" si="77"/>
        <v>0</v>
      </c>
      <c r="M1418" s="1335" t="e">
        <f>VLOOKUP(C1418,Acc_Char!B:K,5,)</f>
        <v>#N/A</v>
      </c>
      <c r="N1418" s="1335" t="e">
        <f>VLOOKUP(C1418,Acc_Char!B:K,6,)</f>
        <v>#N/A</v>
      </c>
      <c r="O1418" s="1336" t="str">
        <f>Summary!$B$4</f>
        <v>W1-2Jan26</v>
      </c>
      <c r="P1418" s="1334" t="str">
        <f t="shared" si="78"/>
        <v>0</v>
      </c>
      <c r="Q1418" s="1024"/>
    </row>
    <row r="1419" spans="1:17">
      <c r="B1419" s="460"/>
      <c r="C1419" s="1355"/>
      <c r="D1419" s="1389"/>
      <c r="E1419" s="1337"/>
      <c r="F1419" s="1311"/>
      <c r="G1419" s="1311"/>
      <c r="H1419" s="1082">
        <f t="shared" si="79"/>
        <v>0</v>
      </c>
      <c r="I1419" s="1333"/>
      <c r="J1419" s="1334" t="e">
        <f>VLOOKUP(C1419,Acc_Char!B:K,3,)</f>
        <v>#N/A</v>
      </c>
      <c r="K1419" s="1334" t="e">
        <f>VLOOKUP(C1419,Acc_Char!B:K,7,)</f>
        <v>#N/A</v>
      </c>
      <c r="L1419" s="1334">
        <f t="shared" si="77"/>
        <v>0</v>
      </c>
      <c r="M1419" s="1335" t="e">
        <f>VLOOKUP(C1419,Acc_Char!B:K,5,)</f>
        <v>#N/A</v>
      </c>
      <c r="N1419" s="1335" t="e">
        <f>VLOOKUP(C1419,Acc_Char!B:K,6,)</f>
        <v>#N/A</v>
      </c>
      <c r="O1419" s="1336" t="str">
        <f>Summary!$B$4</f>
        <v>W1-2Jan26</v>
      </c>
      <c r="P1419" s="1334" t="str">
        <f t="shared" si="78"/>
        <v>0</v>
      </c>
    </row>
    <row r="1420" spans="1:17">
      <c r="B1420" s="460"/>
      <c r="C1420" s="1355"/>
      <c r="D1420" s="1389"/>
      <c r="E1420"/>
      <c r="F1420" s="1311"/>
      <c r="G1420" s="1311"/>
      <c r="H1420" s="1082">
        <f t="shared" si="79"/>
        <v>0</v>
      </c>
      <c r="I1420" s="1333"/>
      <c r="J1420" s="1334" t="e">
        <f>VLOOKUP(C1420,Acc_Char!B:K,3,)</f>
        <v>#N/A</v>
      </c>
      <c r="K1420" s="1334" t="e">
        <f>VLOOKUP(C1420,Acc_Char!B:K,7,)</f>
        <v>#N/A</v>
      </c>
      <c r="L1420" s="1334">
        <f t="shared" si="77"/>
        <v>0</v>
      </c>
      <c r="M1420" s="1335" t="e">
        <f>VLOOKUP(C1420,Acc_Char!B:K,5,)</f>
        <v>#N/A</v>
      </c>
      <c r="N1420" s="1335" t="e">
        <f>VLOOKUP(C1420,Acc_Char!B:K,6,)</f>
        <v>#N/A</v>
      </c>
      <c r="O1420" s="1336" t="str">
        <f>Summary!$B$4</f>
        <v>W1-2Jan26</v>
      </c>
      <c r="P1420" s="1334" t="str">
        <f t="shared" si="78"/>
        <v>0</v>
      </c>
    </row>
    <row r="1421" spans="1:17">
      <c r="B1421" s="460"/>
      <c r="C1421" s="1355"/>
      <c r="D1421" s="1389"/>
      <c r="E1421"/>
      <c r="F1421" s="1311"/>
      <c r="G1421" s="1311"/>
      <c r="H1421" s="1082">
        <f t="shared" si="79"/>
        <v>0</v>
      </c>
      <c r="I1421" s="1333"/>
      <c r="J1421" s="1334" t="e">
        <f>VLOOKUP(C1421,Acc_Char!B:K,3,)</f>
        <v>#N/A</v>
      </c>
      <c r="K1421" s="1334" t="e">
        <f>VLOOKUP(C1421,Acc_Char!B:K,7,)</f>
        <v>#N/A</v>
      </c>
      <c r="L1421" s="1334">
        <f t="shared" si="77"/>
        <v>0</v>
      </c>
      <c r="M1421" s="1335" t="e">
        <f>VLOOKUP(C1421,Acc_Char!B:K,5,)</f>
        <v>#N/A</v>
      </c>
      <c r="N1421" s="1335" t="e">
        <f>VLOOKUP(C1421,Acc_Char!B:K,6,)</f>
        <v>#N/A</v>
      </c>
      <c r="O1421" s="1336" t="str">
        <f>Summary!$B$4</f>
        <v>W1-2Jan26</v>
      </c>
      <c r="P1421" s="1334" t="str">
        <f t="shared" si="78"/>
        <v>0</v>
      </c>
    </row>
    <row r="1422" spans="1:17">
      <c r="A1422"/>
      <c r="B1422" s="34"/>
      <c r="C1422" s="34"/>
      <c r="D1422" s="1389"/>
      <c r="E1422"/>
      <c r="F1422" s="57"/>
      <c r="G1422" s="1311"/>
      <c r="H1422" s="1082">
        <f t="shared" si="79"/>
        <v>0</v>
      </c>
      <c r="I1422" s="1333"/>
      <c r="J1422" s="1334" t="e">
        <f>VLOOKUP(C1422,Acc_Char!B:K,3,)</f>
        <v>#N/A</v>
      </c>
      <c r="K1422" s="1334" t="e">
        <f>VLOOKUP(C1422,Acc_Char!B:K,7,)</f>
        <v>#N/A</v>
      </c>
      <c r="L1422" s="1334">
        <f t="shared" si="77"/>
        <v>0</v>
      </c>
      <c r="M1422" s="1335" t="e">
        <f>VLOOKUP(C1422,Acc_Char!B:K,5,)</f>
        <v>#N/A</v>
      </c>
      <c r="N1422" s="1335" t="e">
        <f>VLOOKUP(C1422,Acc_Char!B:K,6,)</f>
        <v>#N/A</v>
      </c>
      <c r="O1422" s="1336" t="str">
        <f>Summary!$B$4</f>
        <v>W1-2Jan26</v>
      </c>
      <c r="P1422" s="1334" t="str">
        <f t="shared" si="78"/>
        <v>0</v>
      </c>
      <c r="Q1422" s="1384"/>
    </row>
    <row r="1423" spans="1:17">
      <c r="A1423"/>
      <c r="B1423" s="34"/>
      <c r="C1423" s="34"/>
      <c r="D1423" s="1389"/>
      <c r="E1423"/>
      <c r="F1423" s="57"/>
      <c r="G1423" s="1311"/>
      <c r="H1423" s="1082">
        <f t="shared" si="79"/>
        <v>0</v>
      </c>
      <c r="I1423" s="1333"/>
      <c r="J1423" s="1334" t="e">
        <f>VLOOKUP(C1423,Acc_Char!B:K,3,)</f>
        <v>#N/A</v>
      </c>
      <c r="K1423" s="1334" t="e">
        <f>VLOOKUP(C1423,Acc_Char!B:K,7,)</f>
        <v>#N/A</v>
      </c>
      <c r="L1423" s="1334">
        <f t="shared" si="77"/>
        <v>0</v>
      </c>
      <c r="M1423" s="1335" t="e">
        <f>VLOOKUP(C1423,Acc_Char!B:K,5,)</f>
        <v>#N/A</v>
      </c>
      <c r="N1423" s="1335" t="e">
        <f>VLOOKUP(C1423,Acc_Char!B:K,6,)</f>
        <v>#N/A</v>
      </c>
      <c r="O1423" s="1336" t="str">
        <f>Summary!$B$4</f>
        <v>W1-2Jan26</v>
      </c>
      <c r="P1423" s="1334" t="str">
        <f t="shared" si="78"/>
        <v>0</v>
      </c>
      <c r="Q1423" s="1024"/>
    </row>
    <row r="1424" spans="1:17">
      <c r="A1424"/>
      <c r="B1424" s="34"/>
      <c r="C1424" s="34"/>
      <c r="D1424" s="355"/>
      <c r="E1424" s="1337"/>
      <c r="F1424" s="57"/>
      <c r="G1424" s="1311"/>
      <c r="H1424" s="1082">
        <f t="shared" si="79"/>
        <v>0</v>
      </c>
      <c r="I1424" s="1333"/>
      <c r="J1424" s="1334" t="e">
        <f>VLOOKUP(C1424,Acc_Char!B:K,3,)</f>
        <v>#N/A</v>
      </c>
      <c r="K1424" s="1334" t="e">
        <f>VLOOKUP(C1424,Acc_Char!B:K,7,)</f>
        <v>#N/A</v>
      </c>
      <c r="L1424" s="1334">
        <f t="shared" si="77"/>
        <v>0</v>
      </c>
      <c r="M1424" s="1335" t="e">
        <f>VLOOKUP(C1424,Acc_Char!B:K,5,)</f>
        <v>#N/A</v>
      </c>
      <c r="N1424" s="1335" t="e">
        <f>VLOOKUP(C1424,Acc_Char!B:K,6,)</f>
        <v>#N/A</v>
      </c>
      <c r="O1424" s="1336" t="str">
        <f>Summary!$B$4</f>
        <v>W1-2Jan26</v>
      </c>
      <c r="P1424" s="1334" t="str">
        <f t="shared" si="78"/>
        <v>0</v>
      </c>
    </row>
    <row r="1425" spans="1:17">
      <c r="A1425"/>
      <c r="B1425" s="34"/>
      <c r="C1425" s="1354"/>
      <c r="D1425" s="355"/>
      <c r="E1425"/>
      <c r="F1425" s="57"/>
      <c r="G1425" s="1311"/>
      <c r="H1425" s="1082">
        <f t="shared" si="79"/>
        <v>0</v>
      </c>
      <c r="I1425" s="1333"/>
      <c r="J1425" s="1334" t="e">
        <f>VLOOKUP(C1425,Acc_Char!B:K,3,)</f>
        <v>#N/A</v>
      </c>
      <c r="K1425" s="1334" t="e">
        <f>VLOOKUP(C1425,Acc_Char!B:K,7,)</f>
        <v>#N/A</v>
      </c>
      <c r="L1425" s="1334">
        <f t="shared" si="77"/>
        <v>0</v>
      </c>
      <c r="M1425" s="1335" t="e">
        <f>VLOOKUP(C1425,Acc_Char!B:K,5,)</f>
        <v>#N/A</v>
      </c>
      <c r="N1425" s="1335" t="e">
        <f>VLOOKUP(C1425,Acc_Char!B:K,6,)</f>
        <v>#N/A</v>
      </c>
      <c r="O1425" s="1336" t="str">
        <f>Summary!$B$4</f>
        <v>W1-2Jan26</v>
      </c>
      <c r="P1425" s="1334" t="str">
        <f t="shared" si="78"/>
        <v>0</v>
      </c>
    </row>
    <row r="1426" spans="1:17">
      <c r="A1426"/>
      <c r="B1426" s="34"/>
      <c r="C1426" s="1354"/>
      <c r="D1426" s="355"/>
      <c r="E1426"/>
      <c r="F1426" s="57"/>
      <c r="G1426" s="1311"/>
      <c r="H1426" s="1082">
        <f t="shared" si="79"/>
        <v>0</v>
      </c>
      <c r="I1426" s="1333"/>
      <c r="J1426" s="1334" t="e">
        <f>VLOOKUP(C1426,Acc_Char!B:K,3,)</f>
        <v>#N/A</v>
      </c>
      <c r="K1426" s="1334" t="e">
        <f>VLOOKUP(C1426,Acc_Char!B:K,7,)</f>
        <v>#N/A</v>
      </c>
      <c r="L1426" s="1334">
        <f t="shared" si="77"/>
        <v>0</v>
      </c>
      <c r="M1426" s="1335" t="e">
        <f>VLOOKUP(C1426,Acc_Char!B:K,5,)</f>
        <v>#N/A</v>
      </c>
      <c r="N1426" s="1335" t="e">
        <f>VLOOKUP(C1426,Acc_Char!B:K,6,)</f>
        <v>#N/A</v>
      </c>
      <c r="O1426" s="1336" t="str">
        <f>Summary!$B$4</f>
        <v>W1-2Jan26</v>
      </c>
      <c r="P1426" s="1334" t="str">
        <f t="shared" si="78"/>
        <v>0</v>
      </c>
      <c r="Q1426" s="1024"/>
    </row>
    <row r="1427" spans="1:17">
      <c r="A1427"/>
      <c r="B1427" s="34"/>
      <c r="C1427" s="1356"/>
      <c r="D1427" s="355"/>
      <c r="E1427"/>
      <c r="F1427" s="57"/>
      <c r="G1427" s="1311"/>
      <c r="H1427" s="1082">
        <f t="shared" si="79"/>
        <v>0</v>
      </c>
      <c r="I1427" s="1333"/>
      <c r="J1427" s="1334" t="e">
        <f>VLOOKUP(C1427,Acc_Char!B:K,3,)</f>
        <v>#N/A</v>
      </c>
      <c r="K1427" s="1334" t="e">
        <f>VLOOKUP(C1427,Acc_Char!B:K,7,)</f>
        <v>#N/A</v>
      </c>
      <c r="L1427" s="1334">
        <f t="shared" si="77"/>
        <v>0</v>
      </c>
      <c r="M1427" s="1335" t="e">
        <f>VLOOKUP(C1427,Acc_Char!B:K,5,)</f>
        <v>#N/A</v>
      </c>
      <c r="N1427" s="1335" t="e">
        <f>VLOOKUP(C1427,Acc_Char!B:K,6,)</f>
        <v>#N/A</v>
      </c>
      <c r="O1427" s="1336" t="str">
        <f>Summary!$B$4</f>
        <v>W1-2Jan26</v>
      </c>
      <c r="P1427" s="1334" t="str">
        <f t="shared" si="78"/>
        <v>0</v>
      </c>
      <c r="Q1427" s="1024"/>
    </row>
    <row r="1428" spans="1:17">
      <c r="A1428"/>
      <c r="B1428" s="34"/>
      <c r="C1428" s="1354"/>
      <c r="D1428" s="355"/>
      <c r="E1428"/>
      <c r="F1428" s="57"/>
      <c r="G1428" s="1311"/>
      <c r="H1428" s="1082">
        <f t="shared" si="79"/>
        <v>0</v>
      </c>
      <c r="I1428" s="1333"/>
      <c r="J1428" s="1334" t="e">
        <f>VLOOKUP(C1428,Acc_Char!B:K,3,)</f>
        <v>#N/A</v>
      </c>
      <c r="K1428" s="1334" t="e">
        <f>VLOOKUP(C1428,Acc_Char!B:K,7,)</f>
        <v>#N/A</v>
      </c>
      <c r="L1428" s="1334">
        <f t="shared" si="77"/>
        <v>0</v>
      </c>
      <c r="M1428" s="1335" t="e">
        <f>VLOOKUP(C1428,Acc_Char!B:K,5,)</f>
        <v>#N/A</v>
      </c>
      <c r="N1428" s="1335" t="e">
        <f>VLOOKUP(C1428,Acc_Char!B:K,6,)</f>
        <v>#N/A</v>
      </c>
      <c r="O1428" s="1336" t="str">
        <f>Summary!$B$4</f>
        <v>W1-2Jan26</v>
      </c>
      <c r="P1428" s="1334" t="str">
        <f t="shared" si="78"/>
        <v>0</v>
      </c>
    </row>
    <row r="1429" spans="1:17">
      <c r="A1429"/>
      <c r="B1429" s="34"/>
      <c r="C1429" s="1354"/>
      <c r="D1429" s="355"/>
      <c r="E1429"/>
      <c r="F1429" s="57"/>
      <c r="G1429" s="1311"/>
      <c r="H1429" s="1082">
        <f t="shared" si="79"/>
        <v>0</v>
      </c>
      <c r="I1429" s="1333"/>
      <c r="J1429" s="1334" t="e">
        <f>VLOOKUP(C1429,Acc_Char!B:K,3,)</f>
        <v>#N/A</v>
      </c>
      <c r="K1429" s="1334" t="e">
        <f>VLOOKUP(C1429,Acc_Char!B:K,7,)</f>
        <v>#N/A</v>
      </c>
      <c r="L1429" s="1334">
        <f t="shared" si="77"/>
        <v>0</v>
      </c>
      <c r="M1429" s="1335" t="e">
        <f>VLOOKUP(C1429,Acc_Char!B:K,5,)</f>
        <v>#N/A</v>
      </c>
      <c r="N1429" s="1335" t="e">
        <f>VLOOKUP(C1429,Acc_Char!B:K,6,)</f>
        <v>#N/A</v>
      </c>
      <c r="O1429" s="1336" t="str">
        <f>Summary!$B$4</f>
        <v>W1-2Jan26</v>
      </c>
      <c r="P1429" s="1334" t="str">
        <f t="shared" si="78"/>
        <v>0</v>
      </c>
    </row>
    <row r="1430" spans="1:17">
      <c r="A1430"/>
      <c r="B1430" s="34"/>
      <c r="C1430" s="1354"/>
      <c r="D1430" s="355"/>
      <c r="E1430"/>
      <c r="F1430" s="57"/>
      <c r="G1430" s="1311"/>
      <c r="H1430" s="1082">
        <f t="shared" si="79"/>
        <v>0</v>
      </c>
      <c r="I1430" s="1333"/>
      <c r="J1430" s="1334" t="e">
        <f>VLOOKUP(C1430,Acc_Char!B:K,3,)</f>
        <v>#N/A</v>
      </c>
      <c r="K1430" s="1334" t="e">
        <f>VLOOKUP(C1430,Acc_Char!B:K,7,)</f>
        <v>#N/A</v>
      </c>
      <c r="L1430" s="1334">
        <f t="shared" si="77"/>
        <v>0</v>
      </c>
      <c r="M1430" s="1335" t="e">
        <f>VLOOKUP(C1430,Acc_Char!B:K,5,)</f>
        <v>#N/A</v>
      </c>
      <c r="N1430" s="1335" t="e">
        <f>VLOOKUP(C1430,Acc_Char!B:K,6,)</f>
        <v>#N/A</v>
      </c>
      <c r="O1430" s="1336" t="str">
        <f>Summary!$B$4</f>
        <v>W1-2Jan26</v>
      </c>
      <c r="P1430" s="1334" t="str">
        <f t="shared" si="78"/>
        <v>0</v>
      </c>
      <c r="Q1430" s="1024"/>
    </row>
    <row r="1431" spans="1:17">
      <c r="A1431"/>
      <c r="B1431" s="34"/>
      <c r="C1431" s="1354"/>
      <c r="D1431" s="355"/>
      <c r="E1431"/>
      <c r="F1431" s="57"/>
      <c r="G1431" s="1311"/>
      <c r="H1431" s="1082">
        <f t="shared" si="79"/>
        <v>0</v>
      </c>
      <c r="I1431" s="1333"/>
      <c r="J1431" s="1334" t="e">
        <f>VLOOKUP(C1431,Acc_Char!B:K,3,)</f>
        <v>#N/A</v>
      </c>
      <c r="K1431" s="1334" t="e">
        <f>VLOOKUP(C1431,Acc_Char!B:K,7,)</f>
        <v>#N/A</v>
      </c>
      <c r="L1431" s="1334">
        <f t="shared" si="77"/>
        <v>0</v>
      </c>
      <c r="M1431" s="1335" t="e">
        <f>VLOOKUP(C1431,Acc_Char!B:K,5,)</f>
        <v>#N/A</v>
      </c>
      <c r="N1431" s="1335" t="e">
        <f>VLOOKUP(C1431,Acc_Char!B:K,6,)</f>
        <v>#N/A</v>
      </c>
      <c r="O1431" s="1336" t="str">
        <f>Summary!$B$4</f>
        <v>W1-2Jan26</v>
      </c>
      <c r="P1431" s="1334" t="str">
        <f t="shared" si="78"/>
        <v>0</v>
      </c>
    </row>
    <row r="1432" spans="1:17">
      <c r="A1432"/>
      <c r="B1432" s="34"/>
      <c r="C1432" s="1354"/>
      <c r="D1432" s="355"/>
      <c r="E1432"/>
      <c r="F1432" s="57"/>
      <c r="G1432" s="1311"/>
      <c r="H1432" s="1082">
        <f t="shared" si="79"/>
        <v>0</v>
      </c>
      <c r="I1432" s="1333"/>
      <c r="J1432" s="1334" t="e">
        <f>VLOOKUP(C1432,Acc_Char!B:K,3,)</f>
        <v>#N/A</v>
      </c>
      <c r="K1432" s="1334" t="e">
        <f>VLOOKUP(C1432,Acc_Char!B:K,7,)</f>
        <v>#N/A</v>
      </c>
      <c r="L1432" s="1334">
        <f t="shared" si="77"/>
        <v>0</v>
      </c>
      <c r="M1432" s="1335" t="e">
        <f>VLOOKUP(C1432,Acc_Char!B:K,5,)</f>
        <v>#N/A</v>
      </c>
      <c r="N1432" s="1335" t="e">
        <f>VLOOKUP(C1432,Acc_Char!B:K,6,)</f>
        <v>#N/A</v>
      </c>
      <c r="O1432" s="1336" t="str">
        <f>Summary!$B$4</f>
        <v>W1-2Jan26</v>
      </c>
      <c r="P1432" s="1334" t="str">
        <f t="shared" si="78"/>
        <v>0</v>
      </c>
    </row>
    <row r="1433" spans="1:17">
      <c r="A1433"/>
      <c r="B1433" s="34"/>
      <c r="C1433" s="1354"/>
      <c r="D1433" s="355"/>
      <c r="E1433"/>
      <c r="F1433" s="57"/>
      <c r="G1433" s="1311"/>
      <c r="H1433" s="1082">
        <f t="shared" si="79"/>
        <v>0</v>
      </c>
      <c r="I1433" s="1333"/>
      <c r="J1433" s="1334" t="e">
        <f>VLOOKUP(C1433,Acc_Char!B:K,3,)</f>
        <v>#N/A</v>
      </c>
      <c r="K1433" s="1334" t="e">
        <f>VLOOKUP(C1433,Acc_Char!B:K,7,)</f>
        <v>#N/A</v>
      </c>
      <c r="L1433" s="1334">
        <f t="shared" si="77"/>
        <v>0</v>
      </c>
      <c r="M1433" s="1335" t="e">
        <f>VLOOKUP(C1433,Acc_Char!B:K,5,)</f>
        <v>#N/A</v>
      </c>
      <c r="N1433" s="1335" t="e">
        <f>VLOOKUP(C1433,Acc_Char!B:K,6,)</f>
        <v>#N/A</v>
      </c>
      <c r="O1433" s="1336" t="str">
        <f>Summary!$B$4</f>
        <v>W1-2Jan26</v>
      </c>
      <c r="P1433" s="1334" t="str">
        <f t="shared" si="78"/>
        <v>0</v>
      </c>
    </row>
    <row r="1434" spans="1:17">
      <c r="A1434"/>
      <c r="B1434" s="34"/>
      <c r="C1434" s="1354"/>
      <c r="D1434" s="355"/>
      <c r="E1434"/>
      <c r="F1434" s="57"/>
      <c r="G1434" s="1311"/>
      <c r="H1434" s="1082">
        <f t="shared" si="79"/>
        <v>0</v>
      </c>
      <c r="I1434" s="1333"/>
      <c r="J1434" s="1334" t="e">
        <f>VLOOKUP(C1434,Acc_Char!B:K,3,)</f>
        <v>#N/A</v>
      </c>
      <c r="K1434" s="1334" t="e">
        <f>VLOOKUP(C1434,Acc_Char!B:K,7,)</f>
        <v>#N/A</v>
      </c>
      <c r="L1434" s="1334">
        <f t="shared" si="77"/>
        <v>0</v>
      </c>
      <c r="M1434" s="1335" t="e">
        <f>VLOOKUP(C1434,Acc_Char!B:K,5,)</f>
        <v>#N/A</v>
      </c>
      <c r="N1434" s="1335" t="e">
        <f>VLOOKUP(C1434,Acc_Char!B:K,6,)</f>
        <v>#N/A</v>
      </c>
      <c r="O1434" s="1336" t="str">
        <f>Summary!$B$4</f>
        <v>W1-2Jan26</v>
      </c>
      <c r="P1434" s="1334" t="str">
        <f t="shared" si="78"/>
        <v>0</v>
      </c>
    </row>
    <row r="1435" spans="1:17">
      <c r="A1435"/>
      <c r="B1435" s="34"/>
      <c r="C1435" s="1354"/>
      <c r="D1435" s="355"/>
      <c r="E1435"/>
      <c r="F1435" s="57"/>
      <c r="G1435" s="1311"/>
      <c r="H1435" s="1082">
        <f t="shared" si="79"/>
        <v>0</v>
      </c>
      <c r="I1435" s="1333"/>
      <c r="J1435" s="1334" t="e">
        <f>VLOOKUP(C1435,Acc_Char!B:K,3,)</f>
        <v>#N/A</v>
      </c>
      <c r="K1435" s="1334" t="e">
        <f>VLOOKUP(C1435,Acc_Char!B:K,7,)</f>
        <v>#N/A</v>
      </c>
      <c r="L1435" s="1334">
        <f t="shared" si="77"/>
        <v>0</v>
      </c>
      <c r="M1435" s="1335" t="e">
        <f>VLOOKUP(C1435,Acc_Char!B:K,5,)</f>
        <v>#N/A</v>
      </c>
      <c r="N1435" s="1335" t="e">
        <f>VLOOKUP(C1435,Acc_Char!B:K,6,)</f>
        <v>#N/A</v>
      </c>
      <c r="O1435" s="1336" t="str">
        <f>Summary!$B$4</f>
        <v>W1-2Jan26</v>
      </c>
      <c r="P1435" s="1334" t="str">
        <f t="shared" si="78"/>
        <v>0</v>
      </c>
    </row>
    <row r="1436" spans="1:17">
      <c r="A1436"/>
      <c r="B1436" s="34"/>
      <c r="C1436" s="1354"/>
      <c r="D1436" s="355"/>
      <c r="E1436"/>
      <c r="F1436" s="57"/>
      <c r="G1436" s="1311"/>
      <c r="H1436" s="1082">
        <f t="shared" si="79"/>
        <v>0</v>
      </c>
      <c r="I1436" s="1333"/>
      <c r="J1436" s="1334" t="e">
        <f>VLOOKUP(C1436,Acc_Char!B:K,3,)</f>
        <v>#N/A</v>
      </c>
      <c r="K1436" s="1334" t="e">
        <f>VLOOKUP(C1436,Acc_Char!B:K,7,)</f>
        <v>#N/A</v>
      </c>
      <c r="L1436" s="1334">
        <f t="shared" si="77"/>
        <v>0</v>
      </c>
      <c r="M1436" s="1335" t="e">
        <f>VLOOKUP(C1436,Acc_Char!B:K,5,)</f>
        <v>#N/A</v>
      </c>
      <c r="N1436" s="1335" t="e">
        <f>VLOOKUP(C1436,Acc_Char!B:K,6,)</f>
        <v>#N/A</v>
      </c>
      <c r="O1436" s="1336" t="str">
        <f>Summary!$B$4</f>
        <v>W1-2Jan26</v>
      </c>
      <c r="P1436" s="1334" t="str">
        <f t="shared" si="78"/>
        <v>0</v>
      </c>
    </row>
    <row r="1437" spans="1:17">
      <c r="A1437"/>
      <c r="B1437" s="34"/>
      <c r="C1437" s="1354"/>
      <c r="D1437" s="355"/>
      <c r="E1437"/>
      <c r="F1437" s="57"/>
      <c r="G1437" s="1311"/>
      <c r="H1437" s="1082">
        <f t="shared" si="79"/>
        <v>0</v>
      </c>
      <c r="I1437" s="1333"/>
      <c r="J1437" s="1334" t="e">
        <f>VLOOKUP(C1437,Acc_Char!B:K,3,)</f>
        <v>#N/A</v>
      </c>
      <c r="K1437" s="1334" t="e">
        <f>VLOOKUP(C1437,Acc_Char!B:K,7,)</f>
        <v>#N/A</v>
      </c>
      <c r="L1437" s="1334">
        <f t="shared" si="77"/>
        <v>0</v>
      </c>
      <c r="M1437" s="1335" t="e">
        <f>VLOOKUP(C1437,Acc_Char!B:K,5,)</f>
        <v>#N/A</v>
      </c>
      <c r="N1437" s="1335" t="e">
        <f>VLOOKUP(C1437,Acc_Char!B:K,6,)</f>
        <v>#N/A</v>
      </c>
      <c r="O1437" s="1336" t="str">
        <f>Summary!$B$4</f>
        <v>W1-2Jan26</v>
      </c>
      <c r="P1437" s="1334" t="str">
        <f t="shared" si="78"/>
        <v>0</v>
      </c>
    </row>
    <row r="1438" spans="1:17">
      <c r="A1438"/>
      <c r="B1438" s="34"/>
      <c r="C1438" s="1354"/>
      <c r="D1438" s="1389"/>
      <c r="E1438"/>
      <c r="F1438" s="57"/>
      <c r="G1438" s="1311"/>
      <c r="H1438" s="1082">
        <f t="shared" si="79"/>
        <v>0</v>
      </c>
      <c r="J1438" s="1334" t="e">
        <f>VLOOKUP(C1438,Acc_Char!B:K,3,)</f>
        <v>#N/A</v>
      </c>
      <c r="K1438" s="1334" t="e">
        <f>VLOOKUP(C1438,Acc_Char!B:K,7,)</f>
        <v>#N/A</v>
      </c>
      <c r="L1438" s="1334">
        <f t="shared" si="77"/>
        <v>0</v>
      </c>
      <c r="M1438" s="1335" t="e">
        <f>VLOOKUP(C1438,Acc_Char!B:K,5,)</f>
        <v>#N/A</v>
      </c>
      <c r="N1438" s="1335" t="e">
        <f>VLOOKUP(C1438,Acc_Char!B:K,6,)</f>
        <v>#N/A</v>
      </c>
      <c r="O1438" s="1336" t="str">
        <f>Summary!$B$4</f>
        <v>W1-2Jan26</v>
      </c>
      <c r="P1438" s="1334" t="str">
        <f t="shared" si="78"/>
        <v>0</v>
      </c>
    </row>
    <row r="1439" spans="1:17">
      <c r="B1439" s="460"/>
      <c r="C1439" s="1092"/>
      <c r="D1439" s="1389"/>
      <c r="E1439" s="1339"/>
      <c r="F1439" s="1311"/>
      <c r="G1439" s="1311"/>
      <c r="H1439" s="1283">
        <f>F1439-G1439</f>
        <v>0</v>
      </c>
      <c r="J1439" s="1334" t="e">
        <f>VLOOKUP(C1439,Acc_Char!B:K,3,)</f>
        <v>#N/A</v>
      </c>
      <c r="K1439" s="1334" t="e">
        <f>VLOOKUP(C1439,Acc_Char!B:K,7,)</f>
        <v>#N/A</v>
      </c>
      <c r="L1439" s="1334">
        <f t="shared" si="77"/>
        <v>0</v>
      </c>
      <c r="M1439" s="1335" t="e">
        <f>VLOOKUP(C1439,Acc_Char!B:K,5,)</f>
        <v>#N/A</v>
      </c>
      <c r="N1439" s="1335" t="e">
        <f>VLOOKUP(C1439,Acc_Char!B:K,6,)</f>
        <v>#N/A</v>
      </c>
      <c r="O1439" s="1336" t="str">
        <f>Summary!$B$4</f>
        <v>W1-2Jan26</v>
      </c>
      <c r="P1439" s="1334" t="str">
        <f t="shared" si="78"/>
        <v>0</v>
      </c>
    </row>
    <row r="1440" spans="1:17" s="1334" customFormat="1">
      <c r="B1440" s="1335"/>
      <c r="C1440" s="1357"/>
      <c r="D1440" s="1390"/>
      <c r="E1440" s="1339"/>
      <c r="F1440" s="1311"/>
      <c r="G1440" s="1311"/>
      <c r="H1440" s="1283">
        <f>F1440-G1440</f>
        <v>0</v>
      </c>
      <c r="J1440" s="1334" t="e">
        <f>VLOOKUP(C1440,Acc_Char!B:K,3,)</f>
        <v>#N/A</v>
      </c>
      <c r="K1440" s="1334" t="e">
        <f>VLOOKUP(C1440,Acc_Char!B:K,7,)</f>
        <v>#N/A</v>
      </c>
      <c r="L1440" s="1334">
        <f t="shared" si="77"/>
        <v>0</v>
      </c>
      <c r="M1440" s="1335" t="e">
        <f>VLOOKUP(C1440,Acc_Char!B:K,5,)</f>
        <v>#N/A</v>
      </c>
      <c r="N1440" s="1335" t="e">
        <f>VLOOKUP(C1440,Acc_Char!B:K,6,)</f>
        <v>#N/A</v>
      </c>
      <c r="O1440" s="1336" t="str">
        <f>Summary!$B$4</f>
        <v>W1-2Jan26</v>
      </c>
      <c r="P1440" s="1334" t="str">
        <f t="shared" si="78"/>
        <v>0</v>
      </c>
    </row>
    <row r="1441" spans="3:16">
      <c r="C1441" s="1348"/>
      <c r="D1441" s="1389"/>
      <c r="F1441" s="1312"/>
      <c r="H1441" s="1152">
        <f t="shared" si="75"/>
        <v>0</v>
      </c>
      <c r="J1441" s="1334" t="e">
        <f>VLOOKUP(C1441,Acc_Char!B:K,3,)</f>
        <v>#N/A</v>
      </c>
      <c r="K1441" s="1334" t="e">
        <f>VLOOKUP(C1441,Acc_Char!B:K,7,)</f>
        <v>#N/A</v>
      </c>
      <c r="L1441" s="1334">
        <f t="shared" si="77"/>
        <v>0</v>
      </c>
      <c r="M1441" s="1335" t="e">
        <f>VLOOKUP(C1441,Acc_Char!B:K,5,)</f>
        <v>#N/A</v>
      </c>
      <c r="N1441" s="1335" t="e">
        <f>VLOOKUP(C1441,Acc_Char!B:K,6,)</f>
        <v>#N/A</v>
      </c>
      <c r="O1441" s="1336" t="str">
        <f>Summary!$B$4</f>
        <v>W1-2Jan26</v>
      </c>
      <c r="P1441" s="1334" t="str">
        <f t="shared" si="78"/>
        <v>0</v>
      </c>
    </row>
    <row r="1442" spans="3:16">
      <c r="C1442" s="1348"/>
      <c r="D1442" s="1389"/>
      <c r="F1442" s="1312"/>
      <c r="H1442" s="1152">
        <f t="shared" si="75"/>
        <v>0</v>
      </c>
      <c r="J1442" s="1334" t="e">
        <f>VLOOKUP(C1442,Acc_Char!B:K,3,)</f>
        <v>#N/A</v>
      </c>
      <c r="K1442" s="1334" t="e">
        <f>VLOOKUP(C1442,Acc_Char!B:K,7,)</f>
        <v>#N/A</v>
      </c>
      <c r="L1442" s="1334">
        <f t="shared" si="77"/>
        <v>0</v>
      </c>
      <c r="M1442" s="1335" t="e">
        <f>VLOOKUP(C1442,Acc_Char!B:K,5,)</f>
        <v>#N/A</v>
      </c>
      <c r="N1442" s="1335" t="e">
        <f>VLOOKUP(C1442,Acc_Char!B:K,6,)</f>
        <v>#N/A</v>
      </c>
      <c r="O1442" s="1336" t="str">
        <f>Summary!$B$4</f>
        <v>W1-2Jan26</v>
      </c>
      <c r="P1442" s="1334" t="str">
        <f t="shared" si="78"/>
        <v>0</v>
      </c>
    </row>
    <row r="1443" spans="3:16">
      <c r="C1443" s="1348"/>
      <c r="D1443" s="1389"/>
      <c r="F1443" s="1312"/>
      <c r="H1443" s="1152">
        <f t="shared" si="75"/>
        <v>0</v>
      </c>
      <c r="J1443" s="1334" t="e">
        <f>VLOOKUP(C1443,Acc_Char!B:K,3,)</f>
        <v>#N/A</v>
      </c>
      <c r="K1443" s="1334" t="e">
        <f>VLOOKUP(C1443,Acc_Char!B:K,7,)</f>
        <v>#N/A</v>
      </c>
      <c r="L1443" s="1334">
        <f t="shared" si="77"/>
        <v>0</v>
      </c>
      <c r="M1443" s="1335" t="e">
        <f>VLOOKUP(C1443,Acc_Char!B:K,5,)</f>
        <v>#N/A</v>
      </c>
      <c r="N1443" s="1335" t="e">
        <f>VLOOKUP(C1443,Acc_Char!B:K,6,)</f>
        <v>#N/A</v>
      </c>
      <c r="O1443" s="1336" t="str">
        <f>Summary!$B$4</f>
        <v>W1-2Jan26</v>
      </c>
      <c r="P1443" s="1334" t="str">
        <f t="shared" si="78"/>
        <v>0</v>
      </c>
    </row>
    <row r="1444" spans="3:16">
      <c r="C1444" s="1348"/>
      <c r="D1444" s="1389"/>
      <c r="F1444" s="1312"/>
      <c r="H1444" s="1152">
        <f t="shared" si="75"/>
        <v>0</v>
      </c>
      <c r="J1444" s="1334" t="e">
        <f>VLOOKUP(C1444,Acc_Char!B:K,3,)</f>
        <v>#N/A</v>
      </c>
      <c r="K1444" s="1334" t="e">
        <f>VLOOKUP(C1444,Acc_Char!B:K,7,)</f>
        <v>#N/A</v>
      </c>
      <c r="L1444" s="1334">
        <f t="shared" si="77"/>
        <v>0</v>
      </c>
      <c r="M1444" s="1335" t="e">
        <f>VLOOKUP(C1444,Acc_Char!B:K,5,)</f>
        <v>#N/A</v>
      </c>
      <c r="N1444" s="1335" t="e">
        <f>VLOOKUP(C1444,Acc_Char!B:K,6,)</f>
        <v>#N/A</v>
      </c>
      <c r="O1444" s="1336" t="str">
        <f>Summary!$B$4</f>
        <v>W1-2Jan26</v>
      </c>
      <c r="P1444" s="1334" t="str">
        <f t="shared" si="78"/>
        <v>0</v>
      </c>
    </row>
    <row r="1445" spans="3:16">
      <c r="C1445" s="1348"/>
      <c r="D1445" s="1389"/>
      <c r="F1445" s="1312"/>
      <c r="H1445" s="1152">
        <f t="shared" si="75"/>
        <v>0</v>
      </c>
      <c r="J1445" s="1334" t="e">
        <f>VLOOKUP(C1445,Acc_Char!B:K,3,)</f>
        <v>#N/A</v>
      </c>
      <c r="K1445" s="1334" t="e">
        <f>VLOOKUP(C1445,Acc_Char!B:K,7,)</f>
        <v>#N/A</v>
      </c>
      <c r="L1445" s="1334">
        <f t="shared" si="77"/>
        <v>0</v>
      </c>
      <c r="M1445" s="1335" t="e">
        <f>VLOOKUP(C1445,Acc_Char!B:K,5,)</f>
        <v>#N/A</v>
      </c>
      <c r="N1445" s="1335" t="e">
        <f>VLOOKUP(C1445,Acc_Char!B:K,6,)</f>
        <v>#N/A</v>
      </c>
      <c r="O1445" s="1336" t="str">
        <f>Summary!$B$4</f>
        <v>W1-2Jan26</v>
      </c>
      <c r="P1445" s="1334" t="str">
        <f t="shared" si="78"/>
        <v>0</v>
      </c>
    </row>
    <row r="1446" spans="3:16">
      <c r="D1446" s="1389"/>
      <c r="F1446" s="1312"/>
      <c r="H1446" s="1152">
        <f t="shared" si="75"/>
        <v>0</v>
      </c>
      <c r="J1446" s="1334" t="e">
        <f>VLOOKUP(C1446,Acc_Char!B:K,3,)</f>
        <v>#N/A</v>
      </c>
      <c r="K1446" s="1334" t="e">
        <f>VLOOKUP(C1446,Acc_Char!B:K,7,)</f>
        <v>#N/A</v>
      </c>
      <c r="L1446" s="1334">
        <f t="shared" si="77"/>
        <v>0</v>
      </c>
      <c r="M1446" s="1335" t="e">
        <f>VLOOKUP(C1446,Acc_Char!B:K,5,)</f>
        <v>#N/A</v>
      </c>
      <c r="N1446" s="1335" t="e">
        <f>VLOOKUP(C1446,Acc_Char!B:K,6,)</f>
        <v>#N/A</v>
      </c>
      <c r="O1446" s="1336" t="str">
        <f>Summary!$B$4</f>
        <v>W1-2Jan26</v>
      </c>
      <c r="P1446" s="1334" t="str">
        <f t="shared" si="78"/>
        <v>0</v>
      </c>
    </row>
    <row r="1447" spans="3:16">
      <c r="D1447" s="1389"/>
      <c r="F1447" s="1312"/>
      <c r="H1447" s="1152">
        <f t="shared" si="75"/>
        <v>0</v>
      </c>
      <c r="J1447" s="1334" t="e">
        <f>VLOOKUP(C1447,Acc_Char!B:K,3,)</f>
        <v>#N/A</v>
      </c>
      <c r="K1447" s="1334" t="e">
        <f>VLOOKUP(C1447,Acc_Char!B:K,7,)</f>
        <v>#N/A</v>
      </c>
      <c r="L1447" s="1334">
        <f t="shared" si="77"/>
        <v>0</v>
      </c>
      <c r="M1447" s="1335" t="e">
        <f>VLOOKUP(C1447,Acc_Char!B:K,5,)</f>
        <v>#N/A</v>
      </c>
      <c r="N1447" s="1335" t="e">
        <f>VLOOKUP(C1447,Acc_Char!B:K,6,)</f>
        <v>#N/A</v>
      </c>
      <c r="O1447" s="1336" t="str">
        <f>Summary!$B$4</f>
        <v>W1-2Jan26</v>
      </c>
      <c r="P1447" s="1334" t="str">
        <f t="shared" si="78"/>
        <v>0</v>
      </c>
    </row>
    <row r="1448" spans="3:16">
      <c r="D1448" s="1389"/>
      <c r="F1448" s="1312"/>
      <c r="H1448" s="1152">
        <f t="shared" ref="H1448:H1508" si="80">F1448-G1448</f>
        <v>0</v>
      </c>
      <c r="J1448" s="1334" t="e">
        <f>VLOOKUP(C1448,Acc_Char!B:K,3,)</f>
        <v>#N/A</v>
      </c>
      <c r="K1448" s="1334" t="e">
        <f>VLOOKUP(C1448,Acc_Char!B:K,7,)</f>
        <v>#N/A</v>
      </c>
      <c r="L1448" s="1334">
        <f t="shared" si="77"/>
        <v>0</v>
      </c>
      <c r="M1448" s="1335" t="e">
        <f>VLOOKUP(C1448,Acc_Char!B:K,5,)</f>
        <v>#N/A</v>
      </c>
      <c r="N1448" s="1335" t="e">
        <f>VLOOKUP(C1448,Acc_Char!B:K,6,)</f>
        <v>#N/A</v>
      </c>
      <c r="O1448" s="1336" t="str">
        <f>Summary!$B$4</f>
        <v>W1-2Jan26</v>
      </c>
      <c r="P1448" s="1334" t="str">
        <f t="shared" si="78"/>
        <v>0</v>
      </c>
    </row>
    <row r="1449" spans="3:16">
      <c r="D1449" s="1389"/>
      <c r="F1449" s="1312"/>
      <c r="H1449" s="1152">
        <f t="shared" si="80"/>
        <v>0</v>
      </c>
      <c r="J1449" s="1334" t="e">
        <f>VLOOKUP(C1449,Acc_Char!B:K,3,)</f>
        <v>#N/A</v>
      </c>
      <c r="K1449" s="1334" t="e">
        <f>VLOOKUP(C1449,Acc_Char!B:K,7,)</f>
        <v>#N/A</v>
      </c>
      <c r="L1449" s="1334">
        <f t="shared" si="77"/>
        <v>0</v>
      </c>
      <c r="M1449" s="1335" t="e">
        <f>VLOOKUP(C1449,Acc_Char!B:K,5,)</f>
        <v>#N/A</v>
      </c>
      <c r="N1449" s="1335" t="e">
        <f>VLOOKUP(C1449,Acc_Char!B:K,6,)</f>
        <v>#N/A</v>
      </c>
      <c r="O1449" s="1336" t="str">
        <f>Summary!$B$4</f>
        <v>W1-2Jan26</v>
      </c>
      <c r="P1449" s="1334" t="str">
        <f t="shared" si="78"/>
        <v>0</v>
      </c>
    </row>
    <row r="1450" spans="3:16">
      <c r="D1450" s="1389"/>
      <c r="F1450" s="1312"/>
      <c r="H1450" s="1152">
        <f t="shared" si="80"/>
        <v>0</v>
      </c>
      <c r="J1450" s="1334" t="e">
        <f>VLOOKUP(C1450,Acc_Char!B:K,3,)</f>
        <v>#N/A</v>
      </c>
      <c r="K1450" s="1334" t="e">
        <f>VLOOKUP(C1450,Acc_Char!B:K,7,)</f>
        <v>#N/A</v>
      </c>
      <c r="L1450" s="1334">
        <f t="shared" si="77"/>
        <v>0</v>
      </c>
      <c r="M1450" s="1335" t="e">
        <f>VLOOKUP(C1450,Acc_Char!B:K,5,)</f>
        <v>#N/A</v>
      </c>
      <c r="N1450" s="1335" t="e">
        <f>VLOOKUP(C1450,Acc_Char!B:K,6,)</f>
        <v>#N/A</v>
      </c>
      <c r="O1450" s="1336" t="str">
        <f>Summary!$B$4</f>
        <v>W1-2Jan26</v>
      </c>
      <c r="P1450" s="1334" t="str">
        <f t="shared" si="78"/>
        <v>0</v>
      </c>
    </row>
    <row r="1451" spans="3:16">
      <c r="D1451" s="1389"/>
      <c r="F1451" s="1312"/>
      <c r="H1451" s="1152">
        <f t="shared" si="80"/>
        <v>0</v>
      </c>
      <c r="J1451" s="1334" t="e">
        <f>VLOOKUP(C1451,Acc_Char!B:K,3,)</f>
        <v>#N/A</v>
      </c>
      <c r="K1451" s="1334" t="e">
        <f>VLOOKUP(C1451,Acc_Char!B:K,7,)</f>
        <v>#N/A</v>
      </c>
      <c r="L1451" s="1334">
        <f t="shared" si="77"/>
        <v>0</v>
      </c>
      <c r="M1451" s="1335" t="e">
        <f>VLOOKUP(C1451,Acc_Char!B:K,5,)</f>
        <v>#N/A</v>
      </c>
      <c r="N1451" s="1335" t="e">
        <f>VLOOKUP(C1451,Acc_Char!B:K,6,)</f>
        <v>#N/A</v>
      </c>
      <c r="O1451" s="1336" t="str">
        <f>Summary!$B$4</f>
        <v>W1-2Jan26</v>
      </c>
      <c r="P1451" s="1334" t="str">
        <f t="shared" si="78"/>
        <v>0</v>
      </c>
    </row>
    <row r="1452" spans="3:16">
      <c r="D1452" s="1389"/>
      <c r="F1452" s="1312"/>
      <c r="H1452" s="1152">
        <f t="shared" si="80"/>
        <v>0</v>
      </c>
      <c r="J1452" s="1334" t="e">
        <f>VLOOKUP(C1452,Acc_Char!B:K,3,)</f>
        <v>#N/A</v>
      </c>
      <c r="K1452" s="1334" t="e">
        <f>VLOOKUP(C1452,Acc_Char!B:K,7,)</f>
        <v>#N/A</v>
      </c>
      <c r="L1452" s="1334">
        <f t="shared" si="77"/>
        <v>0</v>
      </c>
      <c r="M1452" s="1335" t="e">
        <f>VLOOKUP(C1452,Acc_Char!B:K,5,)</f>
        <v>#N/A</v>
      </c>
      <c r="N1452" s="1335" t="e">
        <f>VLOOKUP(C1452,Acc_Char!B:K,6,)</f>
        <v>#N/A</v>
      </c>
      <c r="O1452" s="1336" t="str">
        <f>Summary!$B$4</f>
        <v>W1-2Jan26</v>
      </c>
      <c r="P1452" s="1334" t="str">
        <f t="shared" si="78"/>
        <v>0</v>
      </c>
    </row>
    <row r="1453" spans="3:16">
      <c r="D1453" s="1389"/>
      <c r="F1453" s="1312"/>
      <c r="H1453" s="1152">
        <f t="shared" si="80"/>
        <v>0</v>
      </c>
      <c r="J1453" s="1334" t="e">
        <f>VLOOKUP(C1453,Acc_Char!B:K,3,)</f>
        <v>#N/A</v>
      </c>
      <c r="K1453" s="1334" t="e">
        <f>VLOOKUP(C1453,Acc_Char!B:K,7,)</f>
        <v>#N/A</v>
      </c>
      <c r="L1453" s="1334">
        <f t="shared" si="77"/>
        <v>0</v>
      </c>
      <c r="M1453" s="1335" t="e">
        <f>VLOOKUP(C1453,Acc_Char!B:K,5,)</f>
        <v>#N/A</v>
      </c>
      <c r="N1453" s="1335" t="e">
        <f>VLOOKUP(C1453,Acc_Char!B:K,6,)</f>
        <v>#N/A</v>
      </c>
      <c r="O1453" s="1336" t="str">
        <f>Summary!$B$4</f>
        <v>W1-2Jan26</v>
      </c>
      <c r="P1453" s="1334" t="str">
        <f t="shared" si="78"/>
        <v>0</v>
      </c>
    </row>
    <row r="1454" spans="3:16">
      <c r="D1454" s="1389"/>
      <c r="F1454" s="1312"/>
      <c r="H1454" s="1152">
        <f t="shared" si="80"/>
        <v>0</v>
      </c>
      <c r="J1454" s="1334" t="e">
        <f>VLOOKUP(C1454,Acc_Char!B:K,3,)</f>
        <v>#N/A</v>
      </c>
      <c r="K1454" s="1334" t="e">
        <f>VLOOKUP(C1454,Acc_Char!B:K,7,)</f>
        <v>#N/A</v>
      </c>
      <c r="L1454" s="1334">
        <f t="shared" si="77"/>
        <v>0</v>
      </c>
      <c r="M1454" s="1335" t="e">
        <f>VLOOKUP(C1454,Acc_Char!B:K,5,)</f>
        <v>#N/A</v>
      </c>
      <c r="N1454" s="1335" t="e">
        <f>VLOOKUP(C1454,Acc_Char!B:K,6,)</f>
        <v>#N/A</v>
      </c>
      <c r="O1454" s="1336" t="str">
        <f>Summary!$B$4</f>
        <v>W1-2Jan26</v>
      </c>
      <c r="P1454" s="1334" t="str">
        <f t="shared" si="78"/>
        <v>0</v>
      </c>
    </row>
    <row r="1455" spans="3:16">
      <c r="D1455" s="1389"/>
      <c r="F1455" s="1312"/>
      <c r="H1455" s="1152">
        <f>F1455-G1455</f>
        <v>0</v>
      </c>
      <c r="J1455" s="1334" t="e">
        <f>VLOOKUP(C1455,Acc_Char!B:K,3,)</f>
        <v>#N/A</v>
      </c>
      <c r="K1455" s="1334" t="e">
        <f>VLOOKUP(C1455,Acc_Char!B:K,7,)</f>
        <v>#N/A</v>
      </c>
      <c r="L1455" s="1334">
        <f t="shared" si="77"/>
        <v>0</v>
      </c>
      <c r="M1455" s="1335" t="e">
        <f>VLOOKUP(C1455,Acc_Char!B:K,5,)</f>
        <v>#N/A</v>
      </c>
      <c r="N1455" s="1335" t="e">
        <f>VLOOKUP(C1455,Acc_Char!B:K,6,)</f>
        <v>#N/A</v>
      </c>
      <c r="O1455" s="1336" t="str">
        <f>Summary!$B$4</f>
        <v>W1-2Jan26</v>
      </c>
      <c r="P1455" s="1334" t="str">
        <f t="shared" si="78"/>
        <v>0</v>
      </c>
    </row>
    <row r="1456" spans="3:16">
      <c r="D1456" s="1389"/>
      <c r="F1456" s="1312"/>
      <c r="H1456" s="1152">
        <f t="shared" si="80"/>
        <v>0</v>
      </c>
      <c r="J1456" s="1334" t="e">
        <f>VLOOKUP(C1456,Acc_Char!B:K,3,)</f>
        <v>#N/A</v>
      </c>
      <c r="K1456" s="1334" t="e">
        <f>VLOOKUP(C1456,Acc_Char!B:K,7,)</f>
        <v>#N/A</v>
      </c>
      <c r="L1456" s="1334">
        <f t="shared" si="77"/>
        <v>0</v>
      </c>
      <c r="M1456" s="1335" t="e">
        <f>VLOOKUP(C1456,Acc_Char!B:K,5,)</f>
        <v>#N/A</v>
      </c>
      <c r="N1456" s="1335" t="e">
        <f>VLOOKUP(C1456,Acc_Char!B:K,6,)</f>
        <v>#N/A</v>
      </c>
      <c r="O1456" s="1336" t="str">
        <f>Summary!$B$4</f>
        <v>W1-2Jan26</v>
      </c>
      <c r="P1456" s="1334" t="str">
        <f t="shared" si="78"/>
        <v>0</v>
      </c>
    </row>
    <row r="1457" spans="2:16">
      <c r="D1457" s="1389"/>
      <c r="F1457" s="1312"/>
      <c r="H1457" s="1152">
        <f t="shared" si="80"/>
        <v>0</v>
      </c>
      <c r="J1457" s="1334" t="e">
        <f>VLOOKUP(C1457,Acc_Char!B:K,3,)</f>
        <v>#N/A</v>
      </c>
      <c r="K1457" s="1334" t="e">
        <f>VLOOKUP(C1457,Acc_Char!B:K,7,)</f>
        <v>#N/A</v>
      </c>
      <c r="L1457" s="1334">
        <f t="shared" si="77"/>
        <v>0</v>
      </c>
      <c r="M1457" s="1335" t="e">
        <f>VLOOKUP(C1457,Acc_Char!B:K,5,)</f>
        <v>#N/A</v>
      </c>
      <c r="N1457" s="1335" t="e">
        <f>VLOOKUP(C1457,Acc_Char!B:K,6,)</f>
        <v>#N/A</v>
      </c>
      <c r="O1457" s="1336" t="str">
        <f>Summary!$B$4</f>
        <v>W1-2Jan26</v>
      </c>
      <c r="P1457" s="1334" t="str">
        <f t="shared" si="78"/>
        <v>0</v>
      </c>
    </row>
    <row r="1458" spans="2:16">
      <c r="D1458" s="1389"/>
      <c r="F1458" s="1312"/>
      <c r="H1458" s="1152">
        <f t="shared" si="80"/>
        <v>0</v>
      </c>
      <c r="J1458" s="1334" t="e">
        <f>VLOOKUP(C1458,Acc_Char!B:K,3,)</f>
        <v>#N/A</v>
      </c>
      <c r="K1458" s="1334" t="e">
        <f>VLOOKUP(C1458,Acc_Char!B:K,7,)</f>
        <v>#N/A</v>
      </c>
      <c r="L1458" s="1334">
        <f t="shared" si="77"/>
        <v>0</v>
      </c>
      <c r="M1458" s="1335" t="e">
        <f>VLOOKUP(C1458,Acc_Char!B:K,5,)</f>
        <v>#N/A</v>
      </c>
      <c r="N1458" s="1335" t="e">
        <f>VLOOKUP(C1458,Acc_Char!B:K,6,)</f>
        <v>#N/A</v>
      </c>
      <c r="O1458" s="1336" t="str">
        <f>Summary!$B$4</f>
        <v>W1-2Jan26</v>
      </c>
      <c r="P1458" s="1334" t="str">
        <f t="shared" si="78"/>
        <v>0</v>
      </c>
    </row>
    <row r="1459" spans="2:16">
      <c r="D1459" s="1389"/>
      <c r="F1459" s="1312"/>
      <c r="H1459" s="1152">
        <f t="shared" si="80"/>
        <v>0</v>
      </c>
      <c r="J1459" s="1334" t="e">
        <f>VLOOKUP(C1459,Acc_Char!B:K,3,)</f>
        <v>#N/A</v>
      </c>
      <c r="K1459" s="1334" t="e">
        <f>VLOOKUP(C1459,Acc_Char!B:K,7,)</f>
        <v>#N/A</v>
      </c>
      <c r="L1459" s="1334">
        <f t="shared" si="77"/>
        <v>0</v>
      </c>
      <c r="M1459" s="1335" t="e">
        <f>VLOOKUP(C1459,Acc_Char!B:K,5,)</f>
        <v>#N/A</v>
      </c>
      <c r="N1459" s="1335" t="e">
        <f>VLOOKUP(C1459,Acc_Char!B:K,6,)</f>
        <v>#N/A</v>
      </c>
      <c r="O1459" s="1336" t="str">
        <f>Summary!$B$4</f>
        <v>W1-2Jan26</v>
      </c>
      <c r="P1459" s="1334" t="str">
        <f t="shared" si="78"/>
        <v>0</v>
      </c>
    </row>
    <row r="1460" spans="2:16">
      <c r="D1460" s="1389"/>
      <c r="F1460" s="1312"/>
      <c r="H1460" s="1152">
        <f t="shared" si="80"/>
        <v>0</v>
      </c>
      <c r="J1460" s="1334" t="e">
        <f>VLOOKUP(C1460,Acc_Char!B:K,3,)</f>
        <v>#N/A</v>
      </c>
      <c r="K1460" s="1334" t="e">
        <f>VLOOKUP(C1460,Acc_Char!B:K,7,)</f>
        <v>#N/A</v>
      </c>
      <c r="L1460" s="1334">
        <f t="shared" si="77"/>
        <v>0</v>
      </c>
      <c r="M1460" s="1335" t="e">
        <f>VLOOKUP(C1460,Acc_Char!B:K,5,)</f>
        <v>#N/A</v>
      </c>
      <c r="N1460" s="1335" t="e">
        <f>VLOOKUP(C1460,Acc_Char!B:K,6,)</f>
        <v>#N/A</v>
      </c>
      <c r="O1460" s="1336" t="str">
        <f>Summary!$B$4</f>
        <v>W1-2Jan26</v>
      </c>
      <c r="P1460" s="1334" t="str">
        <f t="shared" si="78"/>
        <v>0</v>
      </c>
    </row>
    <row r="1461" spans="2:16">
      <c r="D1461" s="1389"/>
      <c r="F1461" s="1312"/>
      <c r="H1461" s="1152">
        <f t="shared" si="80"/>
        <v>0</v>
      </c>
      <c r="J1461" s="1334" t="e">
        <f>VLOOKUP(C1461,Acc_Char!B:K,3,)</f>
        <v>#N/A</v>
      </c>
      <c r="K1461" s="1334" t="e">
        <f>VLOOKUP(C1461,Acc_Char!B:K,7,)</f>
        <v>#N/A</v>
      </c>
      <c r="L1461" s="1334">
        <f t="shared" si="77"/>
        <v>0</v>
      </c>
      <c r="M1461" s="1335" t="e">
        <f>VLOOKUP(C1461,Acc_Char!B:K,5,)</f>
        <v>#N/A</v>
      </c>
      <c r="N1461" s="1335" t="e">
        <f>VLOOKUP(C1461,Acc_Char!B:K,6,)</f>
        <v>#N/A</v>
      </c>
      <c r="O1461" s="1336" t="str">
        <f>Summary!$B$4</f>
        <v>W1-2Jan26</v>
      </c>
      <c r="P1461" s="1334" t="str">
        <f t="shared" si="78"/>
        <v>0</v>
      </c>
    </row>
    <row r="1462" spans="2:16">
      <c r="D1462" s="1389"/>
      <c r="F1462" s="1312"/>
      <c r="H1462" s="1152">
        <f t="shared" si="80"/>
        <v>0</v>
      </c>
      <c r="J1462" s="1334" t="e">
        <f>VLOOKUP(C1462,Acc_Char!B:K,3,)</f>
        <v>#N/A</v>
      </c>
      <c r="K1462" s="1334" t="e">
        <f>VLOOKUP(C1462,Acc_Char!B:K,7,)</f>
        <v>#N/A</v>
      </c>
      <c r="L1462" s="1334">
        <f t="shared" si="77"/>
        <v>0</v>
      </c>
      <c r="M1462" s="1335" t="e">
        <f>VLOOKUP(C1462,Acc_Char!B:K,5,)</f>
        <v>#N/A</v>
      </c>
      <c r="N1462" s="1335" t="e">
        <f>VLOOKUP(C1462,Acc_Char!B:K,6,)</f>
        <v>#N/A</v>
      </c>
      <c r="O1462" s="1336" t="str">
        <f>Summary!$B$4</f>
        <v>W1-2Jan26</v>
      </c>
      <c r="P1462" s="1334" t="str">
        <f t="shared" si="78"/>
        <v>0</v>
      </c>
    </row>
    <row r="1463" spans="2:16">
      <c r="D1463" s="1389"/>
      <c r="F1463" s="1312"/>
      <c r="H1463" s="1152">
        <f t="shared" si="80"/>
        <v>0</v>
      </c>
      <c r="J1463" s="1334" t="e">
        <f>VLOOKUP(C1463,Acc_Char!B:K,3,)</f>
        <v>#N/A</v>
      </c>
      <c r="K1463" s="1334" t="e">
        <f>VLOOKUP(C1463,Acc_Char!B:K,7,)</f>
        <v>#N/A</v>
      </c>
      <c r="L1463" s="1334">
        <f t="shared" si="77"/>
        <v>0</v>
      </c>
      <c r="M1463" s="1335" t="e">
        <f>VLOOKUP(C1463,Acc_Char!B:K,5,)</f>
        <v>#N/A</v>
      </c>
      <c r="N1463" s="1335" t="e">
        <f>VLOOKUP(C1463,Acc_Char!B:K,6,)</f>
        <v>#N/A</v>
      </c>
      <c r="O1463" s="1336" t="str">
        <f>Summary!$B$4</f>
        <v>W1-2Jan26</v>
      </c>
      <c r="P1463" s="1334" t="str">
        <f t="shared" si="78"/>
        <v>0</v>
      </c>
    </row>
    <row r="1464" spans="2:16">
      <c r="D1464" s="1389"/>
      <c r="F1464" s="1312"/>
      <c r="H1464" s="1152">
        <f t="shared" si="80"/>
        <v>0</v>
      </c>
      <c r="J1464" s="1334" t="e">
        <f>VLOOKUP(C1464,Acc_Char!B:K,3,)</f>
        <v>#N/A</v>
      </c>
      <c r="K1464" s="1334" t="e">
        <f>VLOOKUP(C1464,Acc_Char!B:K,7,)</f>
        <v>#N/A</v>
      </c>
      <c r="L1464" s="1334">
        <f t="shared" si="77"/>
        <v>0</v>
      </c>
      <c r="M1464" s="1335" t="e">
        <f>VLOOKUP(C1464,Acc_Char!B:K,5,)</f>
        <v>#N/A</v>
      </c>
      <c r="N1464" s="1335" t="e">
        <f>VLOOKUP(C1464,Acc_Char!B:K,6,)</f>
        <v>#N/A</v>
      </c>
      <c r="O1464" s="1336" t="str">
        <f>Summary!$B$4</f>
        <v>W1-2Jan26</v>
      </c>
      <c r="P1464" s="1334" t="str">
        <f t="shared" si="78"/>
        <v>0</v>
      </c>
    </row>
    <row r="1465" spans="2:16">
      <c r="D1465" s="1389"/>
      <c r="F1465" s="1312"/>
      <c r="H1465" s="1152">
        <f t="shared" si="80"/>
        <v>0</v>
      </c>
      <c r="J1465" s="1334" t="e">
        <f>VLOOKUP(C1465,Acc_Char!B:K,3,)</f>
        <v>#N/A</v>
      </c>
      <c r="K1465" s="1334" t="e">
        <f>VLOOKUP(C1465,Acc_Char!B:K,7,)</f>
        <v>#N/A</v>
      </c>
      <c r="L1465" s="1334">
        <f t="shared" si="77"/>
        <v>0</v>
      </c>
      <c r="M1465" s="1335" t="e">
        <f>VLOOKUP(C1465,Acc_Char!B:K,5,)</f>
        <v>#N/A</v>
      </c>
      <c r="N1465" s="1335" t="e">
        <f>VLOOKUP(C1465,Acc_Char!B:K,6,)</f>
        <v>#N/A</v>
      </c>
      <c r="O1465" s="1336" t="str">
        <f>Summary!$B$4</f>
        <v>W1-2Jan26</v>
      </c>
      <c r="P1465" s="1334" t="str">
        <f t="shared" si="78"/>
        <v>0</v>
      </c>
    </row>
    <row r="1466" spans="2:16">
      <c r="D1466" s="1389"/>
      <c r="F1466" s="1312"/>
      <c r="H1466" s="1152">
        <f t="shared" si="80"/>
        <v>0</v>
      </c>
      <c r="J1466" s="1334" t="e">
        <f>VLOOKUP(C1466,Acc_Char!B:K,3,)</f>
        <v>#N/A</v>
      </c>
      <c r="K1466" s="1334" t="e">
        <f>VLOOKUP(C1466,Acc_Char!B:K,7,)</f>
        <v>#N/A</v>
      </c>
      <c r="L1466" s="1334">
        <f t="shared" si="77"/>
        <v>0</v>
      </c>
      <c r="M1466" s="1335" t="e">
        <f>VLOOKUP(C1466,Acc_Char!B:K,5,)</f>
        <v>#N/A</v>
      </c>
      <c r="N1466" s="1335" t="e">
        <f>VLOOKUP(C1466,Acc_Char!B:K,6,)</f>
        <v>#N/A</v>
      </c>
      <c r="O1466" s="1336" t="str">
        <f>Summary!$B$4</f>
        <v>W1-2Jan26</v>
      </c>
      <c r="P1466" s="1334" t="str">
        <f t="shared" si="78"/>
        <v>0</v>
      </c>
    </row>
    <row r="1467" spans="2:16">
      <c r="D1467" s="1389"/>
      <c r="F1467" s="1312"/>
      <c r="H1467" s="1152">
        <f t="shared" si="80"/>
        <v>0</v>
      </c>
      <c r="J1467" s="1334" t="e">
        <f>VLOOKUP(C1467,Acc_Char!B:K,3,)</f>
        <v>#N/A</v>
      </c>
      <c r="K1467" s="1334" t="e">
        <f>VLOOKUP(C1467,Acc_Char!B:K,7,)</f>
        <v>#N/A</v>
      </c>
      <c r="L1467" s="1334">
        <f t="shared" si="77"/>
        <v>0</v>
      </c>
      <c r="M1467" s="1335" t="e">
        <f>VLOOKUP(C1467,Acc_Char!B:K,5,)</f>
        <v>#N/A</v>
      </c>
      <c r="N1467" s="1335" t="e">
        <f>VLOOKUP(C1467,Acc_Char!B:K,6,)</f>
        <v>#N/A</v>
      </c>
      <c r="O1467" s="1336" t="str">
        <f>Summary!$B$4</f>
        <v>W1-2Jan26</v>
      </c>
      <c r="P1467" s="1334" t="str">
        <f t="shared" si="78"/>
        <v>0</v>
      </c>
    </row>
    <row r="1468" spans="2:16">
      <c r="D1468" s="1389"/>
      <c r="F1468" s="1312"/>
      <c r="H1468" s="1152">
        <f t="shared" si="80"/>
        <v>0</v>
      </c>
      <c r="J1468" s="1334" t="e">
        <f>VLOOKUP(C1468,Acc_Char!B:K,3,)</f>
        <v>#N/A</v>
      </c>
      <c r="K1468" s="1334" t="e">
        <f>VLOOKUP(C1468,Acc_Char!B:K,7,)</f>
        <v>#N/A</v>
      </c>
      <c r="L1468" s="1334">
        <f t="shared" si="77"/>
        <v>0</v>
      </c>
      <c r="M1468" s="1335" t="e">
        <f>VLOOKUP(C1468,Acc_Char!B:K,5,)</f>
        <v>#N/A</v>
      </c>
      <c r="N1468" s="1335" t="e">
        <f>VLOOKUP(C1468,Acc_Char!B:K,6,)</f>
        <v>#N/A</v>
      </c>
      <c r="O1468" s="1336" t="str">
        <f>Summary!$B$4</f>
        <v>W1-2Jan26</v>
      </c>
      <c r="P1468" s="1334" t="str">
        <f t="shared" si="78"/>
        <v>0</v>
      </c>
    </row>
    <row r="1469" spans="2:16">
      <c r="D1469" s="1389"/>
      <c r="F1469" s="1312"/>
      <c r="H1469" s="1152">
        <f t="shared" si="80"/>
        <v>0</v>
      </c>
      <c r="J1469" s="1334" t="e">
        <f>VLOOKUP(C1469,Acc_Char!B:K,3,)</f>
        <v>#N/A</v>
      </c>
      <c r="K1469" s="1334" t="e">
        <f>VLOOKUP(C1469,Acc_Char!B:K,7,)</f>
        <v>#N/A</v>
      </c>
      <c r="L1469" s="1334">
        <f t="shared" si="77"/>
        <v>0</v>
      </c>
      <c r="M1469" s="1335" t="e">
        <f>VLOOKUP(C1469,Acc_Char!B:K,5,)</f>
        <v>#N/A</v>
      </c>
      <c r="N1469" s="1335" t="e">
        <f>VLOOKUP(C1469,Acc_Char!B:K,6,)</f>
        <v>#N/A</v>
      </c>
      <c r="O1469" s="1336" t="str">
        <f>Summary!$B$4</f>
        <v>W1-2Jan26</v>
      </c>
      <c r="P1469" s="1334" t="str">
        <f t="shared" si="78"/>
        <v>0</v>
      </c>
    </row>
    <row r="1470" spans="2:16">
      <c r="B1470" s="460"/>
      <c r="C1470" s="1092"/>
      <c r="D1470" s="1389"/>
      <c r="E1470"/>
      <c r="F1470" s="1311"/>
      <c r="G1470" s="1311"/>
      <c r="H1470" s="1283">
        <f>F1470-G1470</f>
        <v>0</v>
      </c>
      <c r="I1470" s="1333"/>
      <c r="J1470" s="1334" t="e">
        <f>VLOOKUP(C1470,Acc_Char!B:K,3,)</f>
        <v>#N/A</v>
      </c>
      <c r="K1470" s="1334" t="e">
        <f>VLOOKUP(C1470,Acc_Char!B:K,7,)</f>
        <v>#N/A</v>
      </c>
      <c r="L1470" s="1334">
        <f t="shared" si="77"/>
        <v>0</v>
      </c>
      <c r="M1470" s="1335" t="e">
        <f>VLOOKUP(C1470,Acc_Char!B:K,5,)</f>
        <v>#N/A</v>
      </c>
      <c r="N1470" s="1335" t="e">
        <f>VLOOKUP(C1470,Acc_Char!B:K,6,)</f>
        <v>#N/A</v>
      </c>
      <c r="O1470" s="1336" t="str">
        <f>Summary!$B$4</f>
        <v>W1-2Jan26</v>
      </c>
      <c r="P1470" s="1334" t="str">
        <f t="shared" si="78"/>
        <v>0</v>
      </c>
    </row>
    <row r="1471" spans="2:16">
      <c r="D1471" s="1389"/>
      <c r="F1471" s="1312"/>
      <c r="H1471" s="1152">
        <f>F1471-G1471</f>
        <v>0</v>
      </c>
      <c r="J1471" s="1334" t="e">
        <f>VLOOKUP(C1471,Acc_Char!B:K,3,)</f>
        <v>#N/A</v>
      </c>
      <c r="K1471" s="1334" t="e">
        <f>VLOOKUP(C1471,Acc_Char!B:K,7,)</f>
        <v>#N/A</v>
      </c>
      <c r="L1471" s="1334">
        <f t="shared" si="77"/>
        <v>0</v>
      </c>
      <c r="M1471" s="1335" t="e">
        <f>VLOOKUP(C1471,Acc_Char!B:K,5,)</f>
        <v>#N/A</v>
      </c>
      <c r="N1471" s="1335" t="e">
        <f>VLOOKUP(C1471,Acc_Char!B:K,6,)</f>
        <v>#N/A</v>
      </c>
      <c r="O1471" s="1336" t="str">
        <f>Summary!$B$4</f>
        <v>W1-2Jan26</v>
      </c>
      <c r="P1471" s="1334" t="str">
        <f t="shared" si="78"/>
        <v>0</v>
      </c>
    </row>
    <row r="1472" spans="2:16">
      <c r="C1472" s="1348"/>
      <c r="D1472" s="1389"/>
      <c r="F1472" s="1312"/>
      <c r="H1472" s="1152">
        <f t="shared" si="80"/>
        <v>0</v>
      </c>
      <c r="J1472" s="1334" t="e">
        <f>VLOOKUP(C1472,Acc_Char!B:K,3,)</f>
        <v>#N/A</v>
      </c>
      <c r="K1472" s="1334" t="e">
        <f>VLOOKUP(C1472,Acc_Char!B:K,7,)</f>
        <v>#N/A</v>
      </c>
      <c r="L1472" s="1334">
        <f t="shared" si="77"/>
        <v>0</v>
      </c>
      <c r="M1472" s="1335" t="e">
        <f>VLOOKUP(C1472,Acc_Char!B:K,5,)</f>
        <v>#N/A</v>
      </c>
      <c r="N1472" s="1335" t="e">
        <f>VLOOKUP(C1472,Acc_Char!B:K,6,)</f>
        <v>#N/A</v>
      </c>
      <c r="O1472" s="1336" t="str">
        <f>Summary!$B$4</f>
        <v>W1-2Jan26</v>
      </c>
      <c r="P1472" s="1334" t="str">
        <f t="shared" si="78"/>
        <v>0</v>
      </c>
    </row>
    <row r="1473" spans="2:16">
      <c r="C1473" s="1348"/>
      <c r="D1473" s="1389"/>
      <c r="F1473" s="1312"/>
      <c r="H1473" s="1152">
        <f t="shared" si="80"/>
        <v>0</v>
      </c>
      <c r="J1473" s="1334" t="e">
        <f>VLOOKUP(C1473,Acc_Char!B:K,3,)</f>
        <v>#N/A</v>
      </c>
      <c r="K1473" s="1334" t="e">
        <f>VLOOKUP(C1473,Acc_Char!B:K,7,)</f>
        <v>#N/A</v>
      </c>
      <c r="L1473" s="1334">
        <f t="shared" si="77"/>
        <v>0</v>
      </c>
      <c r="M1473" s="1335" t="e">
        <f>VLOOKUP(C1473,Acc_Char!B:K,5,)</f>
        <v>#N/A</v>
      </c>
      <c r="N1473" s="1335" t="e">
        <f>VLOOKUP(C1473,Acc_Char!B:K,6,)</f>
        <v>#N/A</v>
      </c>
      <c r="O1473" s="1336" t="str">
        <f>Summary!$B$4</f>
        <v>W1-2Jan26</v>
      </c>
      <c r="P1473" s="1334" t="str">
        <f t="shared" si="78"/>
        <v>0</v>
      </c>
    </row>
    <row r="1474" spans="2:16">
      <c r="C1474" s="1348"/>
      <c r="D1474" s="1389"/>
      <c r="F1474" s="1312"/>
      <c r="H1474" s="1152">
        <f t="shared" si="80"/>
        <v>0</v>
      </c>
      <c r="J1474" s="1334" t="e">
        <f>VLOOKUP(C1474,Acc_Char!B:K,3,)</f>
        <v>#N/A</v>
      </c>
      <c r="K1474" s="1334" t="e">
        <f>VLOOKUP(C1474,Acc_Char!B:K,7,)</f>
        <v>#N/A</v>
      </c>
      <c r="L1474" s="1334">
        <f t="shared" si="77"/>
        <v>0</v>
      </c>
      <c r="M1474" s="1335" t="e">
        <f>VLOOKUP(C1474,Acc_Char!B:K,5,)</f>
        <v>#N/A</v>
      </c>
      <c r="N1474" s="1335" t="e">
        <f>VLOOKUP(C1474,Acc_Char!B:K,6,)</f>
        <v>#N/A</v>
      </c>
      <c r="O1474" s="1336" t="str">
        <f>Summary!$B$4</f>
        <v>W1-2Jan26</v>
      </c>
      <c r="P1474" s="1334" t="str">
        <f t="shared" si="78"/>
        <v>0</v>
      </c>
    </row>
    <row r="1475" spans="2:16">
      <c r="C1475" s="1348"/>
      <c r="D1475" s="1389"/>
      <c r="F1475" s="1312"/>
      <c r="H1475" s="1152">
        <f t="shared" si="80"/>
        <v>0</v>
      </c>
      <c r="J1475" s="1334" t="e">
        <f>VLOOKUP(C1475,Acc_Char!B:K,3,)</f>
        <v>#N/A</v>
      </c>
      <c r="K1475" s="1334" t="e">
        <f>VLOOKUP(C1475,Acc_Char!B:K,7,)</f>
        <v>#N/A</v>
      </c>
      <c r="L1475" s="1334">
        <f t="shared" si="77"/>
        <v>0</v>
      </c>
      <c r="M1475" s="1335" t="e">
        <f>VLOOKUP(C1475,Acc_Char!B:K,5,)</f>
        <v>#N/A</v>
      </c>
      <c r="N1475" s="1335" t="e">
        <f>VLOOKUP(C1475,Acc_Char!B:K,6,)</f>
        <v>#N/A</v>
      </c>
      <c r="O1475" s="1336" t="str">
        <f>Summary!$B$4</f>
        <v>W1-2Jan26</v>
      </c>
      <c r="P1475" s="1334" t="str">
        <f t="shared" si="78"/>
        <v>0</v>
      </c>
    </row>
    <row r="1476" spans="2:16">
      <c r="C1476" s="1348"/>
      <c r="D1476" s="1389"/>
      <c r="F1476" s="1312"/>
      <c r="H1476" s="1152">
        <f t="shared" si="80"/>
        <v>0</v>
      </c>
      <c r="J1476" s="1334" t="e">
        <f>VLOOKUP(C1476,Acc_Char!B:K,3,)</f>
        <v>#N/A</v>
      </c>
      <c r="K1476" s="1334" t="e">
        <f>VLOOKUP(C1476,Acc_Char!B:K,7,)</f>
        <v>#N/A</v>
      </c>
      <c r="L1476" s="1334">
        <f t="shared" si="77"/>
        <v>0</v>
      </c>
      <c r="M1476" s="1335" t="e">
        <f>VLOOKUP(C1476,Acc_Char!B:K,5,)</f>
        <v>#N/A</v>
      </c>
      <c r="N1476" s="1335" t="e">
        <f>VLOOKUP(C1476,Acc_Char!B:K,6,)</f>
        <v>#N/A</v>
      </c>
      <c r="O1476" s="1336" t="str">
        <f>Summary!$B$4</f>
        <v>W1-2Jan26</v>
      </c>
      <c r="P1476" s="1334" t="str">
        <f t="shared" si="78"/>
        <v>0</v>
      </c>
    </row>
    <row r="1477" spans="2:16">
      <c r="C1477" s="1348"/>
      <c r="D1477" s="1389"/>
      <c r="F1477" s="1312"/>
      <c r="H1477" s="1152">
        <f t="shared" si="80"/>
        <v>0</v>
      </c>
      <c r="J1477" s="1334" t="e">
        <f>VLOOKUP(C1477,Acc_Char!B:K,3,)</f>
        <v>#N/A</v>
      </c>
      <c r="K1477" s="1334" t="e">
        <f>VLOOKUP(C1477,Acc_Char!B:K,7,)</f>
        <v>#N/A</v>
      </c>
      <c r="L1477" s="1334">
        <f t="shared" ref="L1477:L1540" si="81">I1477</f>
        <v>0</v>
      </c>
      <c r="M1477" s="1335" t="e">
        <f>VLOOKUP(C1477,Acc_Char!B:K,5,)</f>
        <v>#N/A</v>
      </c>
      <c r="N1477" s="1335" t="e">
        <f>VLOOKUP(C1477,Acc_Char!B:K,6,)</f>
        <v>#N/A</v>
      </c>
      <c r="O1477" s="1336" t="str">
        <f>Summary!$B$4</f>
        <v>W1-2Jan26</v>
      </c>
      <c r="P1477" s="1334" t="str">
        <f t="shared" ref="P1477:P1540" si="82">TEXT(C1477,"0")</f>
        <v>0</v>
      </c>
    </row>
    <row r="1478" spans="2:16">
      <c r="C1478" s="1348"/>
      <c r="D1478" s="1389"/>
      <c r="F1478" s="1312"/>
      <c r="H1478" s="1152">
        <f t="shared" si="80"/>
        <v>0</v>
      </c>
      <c r="J1478" s="1334" t="e">
        <f>VLOOKUP(C1478,Acc_Char!B:K,3,)</f>
        <v>#N/A</v>
      </c>
      <c r="K1478" s="1334" t="e">
        <f>VLOOKUP(C1478,Acc_Char!B:K,7,)</f>
        <v>#N/A</v>
      </c>
      <c r="L1478" s="1334">
        <f t="shared" si="81"/>
        <v>0</v>
      </c>
      <c r="M1478" s="1335" t="e">
        <f>VLOOKUP(C1478,Acc_Char!B:K,5,)</f>
        <v>#N/A</v>
      </c>
      <c r="N1478" s="1335" t="e">
        <f>VLOOKUP(C1478,Acc_Char!B:K,6,)</f>
        <v>#N/A</v>
      </c>
      <c r="O1478" s="1336" t="str">
        <f>Summary!$B$4</f>
        <v>W1-2Jan26</v>
      </c>
      <c r="P1478" s="1334" t="str">
        <f t="shared" si="82"/>
        <v>0</v>
      </c>
    </row>
    <row r="1479" spans="2:16">
      <c r="C1479" s="1348"/>
      <c r="D1479" s="1389"/>
      <c r="F1479" s="1312"/>
      <c r="H1479" s="1152">
        <f t="shared" si="80"/>
        <v>0</v>
      </c>
      <c r="J1479" s="1334" t="e">
        <f>VLOOKUP(C1479,Acc_Char!B:K,3,)</f>
        <v>#N/A</v>
      </c>
      <c r="K1479" s="1334" t="e">
        <f>VLOOKUP(C1479,Acc_Char!B:K,7,)</f>
        <v>#N/A</v>
      </c>
      <c r="L1479" s="1334">
        <f t="shared" si="81"/>
        <v>0</v>
      </c>
      <c r="M1479" s="1335" t="e">
        <f>VLOOKUP(C1479,Acc_Char!B:K,5,)</f>
        <v>#N/A</v>
      </c>
      <c r="N1479" s="1335" t="e">
        <f>VLOOKUP(C1479,Acc_Char!B:K,6,)</f>
        <v>#N/A</v>
      </c>
      <c r="O1479" s="1336" t="str">
        <f>Summary!$B$4</f>
        <v>W1-2Jan26</v>
      </c>
      <c r="P1479" s="1334" t="str">
        <f t="shared" si="82"/>
        <v>0</v>
      </c>
    </row>
    <row r="1480" spans="2:16">
      <c r="C1480" s="1348"/>
      <c r="D1480" s="1389"/>
      <c r="F1480" s="1312"/>
      <c r="H1480" s="1152">
        <f>F1480-G1480</f>
        <v>0</v>
      </c>
      <c r="J1480" s="1334" t="e">
        <f>VLOOKUP(C1480,Acc_Char!B:K,3,)</f>
        <v>#N/A</v>
      </c>
      <c r="K1480" s="1334" t="e">
        <f>VLOOKUP(C1480,Acc_Char!B:K,7,)</f>
        <v>#N/A</v>
      </c>
      <c r="L1480" s="1334">
        <f t="shared" si="81"/>
        <v>0</v>
      </c>
      <c r="M1480" s="1335" t="e">
        <f>VLOOKUP(C1480,Acc_Char!B:K,5,)</f>
        <v>#N/A</v>
      </c>
      <c r="N1480" s="1335" t="e">
        <f>VLOOKUP(C1480,Acc_Char!B:K,6,)</f>
        <v>#N/A</v>
      </c>
      <c r="O1480" s="1336" t="str">
        <f>Summary!$B$4</f>
        <v>W1-2Jan26</v>
      </c>
      <c r="P1480" s="1334" t="str">
        <f t="shared" si="82"/>
        <v>0</v>
      </c>
    </row>
    <row r="1481" spans="2:16">
      <c r="C1481" s="1348"/>
      <c r="D1481" s="1389"/>
      <c r="F1481" s="1312"/>
      <c r="H1481" s="1152">
        <f t="shared" si="80"/>
        <v>0</v>
      </c>
      <c r="J1481" s="1334" t="e">
        <f>VLOOKUP(C1481,Acc_Char!B:K,3,)</f>
        <v>#N/A</v>
      </c>
      <c r="K1481" s="1334" t="e">
        <f>VLOOKUP(C1481,Acc_Char!B:K,7,)</f>
        <v>#N/A</v>
      </c>
      <c r="L1481" s="1334">
        <f t="shared" si="81"/>
        <v>0</v>
      </c>
      <c r="M1481" s="1335" t="e">
        <f>VLOOKUP(C1481,Acc_Char!B:K,5,)</f>
        <v>#N/A</v>
      </c>
      <c r="N1481" s="1335" t="e">
        <f>VLOOKUP(C1481,Acc_Char!B:K,6,)</f>
        <v>#N/A</v>
      </c>
      <c r="O1481" s="1336" t="str">
        <f>Summary!$B$4</f>
        <v>W1-2Jan26</v>
      </c>
      <c r="P1481" s="1334" t="str">
        <f t="shared" si="82"/>
        <v>0</v>
      </c>
    </row>
    <row r="1482" spans="2:16">
      <c r="C1482" s="1348"/>
      <c r="D1482" s="1389"/>
      <c r="F1482" s="1312"/>
      <c r="H1482" s="1152">
        <f t="shared" si="80"/>
        <v>0</v>
      </c>
      <c r="J1482" s="1334" t="e">
        <f>VLOOKUP(C1482,Acc_Char!B:K,3,)</f>
        <v>#N/A</v>
      </c>
      <c r="K1482" s="1334" t="e">
        <f>VLOOKUP(C1482,Acc_Char!B:K,7,)</f>
        <v>#N/A</v>
      </c>
      <c r="L1482" s="1334">
        <f t="shared" si="81"/>
        <v>0</v>
      </c>
      <c r="M1482" s="1335" t="e">
        <f>VLOOKUP(C1482,Acc_Char!B:K,5,)</f>
        <v>#N/A</v>
      </c>
      <c r="N1482" s="1335" t="e">
        <f>VLOOKUP(C1482,Acc_Char!B:K,6,)</f>
        <v>#N/A</v>
      </c>
      <c r="O1482" s="1336" t="str">
        <f>Summary!$B$4</f>
        <v>W1-2Jan26</v>
      </c>
      <c r="P1482" s="1334" t="str">
        <f t="shared" si="82"/>
        <v>0</v>
      </c>
    </row>
    <row r="1483" spans="2:16">
      <c r="C1483" s="1348"/>
      <c r="D1483" s="1389"/>
      <c r="F1483" s="1312"/>
      <c r="H1483" s="1152">
        <f t="shared" si="80"/>
        <v>0</v>
      </c>
      <c r="J1483" s="1334" t="e">
        <f>VLOOKUP(C1483,Acc_Char!B:K,3,)</f>
        <v>#N/A</v>
      </c>
      <c r="K1483" s="1334" t="e">
        <f>VLOOKUP(C1483,Acc_Char!B:K,7,)</f>
        <v>#N/A</v>
      </c>
      <c r="L1483" s="1334">
        <f t="shared" si="81"/>
        <v>0</v>
      </c>
      <c r="M1483" s="1335" t="e">
        <f>VLOOKUP(C1483,Acc_Char!B:K,5,)</f>
        <v>#N/A</v>
      </c>
      <c r="N1483" s="1335" t="e">
        <f>VLOOKUP(C1483,Acc_Char!B:K,6,)</f>
        <v>#N/A</v>
      </c>
      <c r="O1483" s="1336" t="str">
        <f>Summary!$B$4</f>
        <v>W1-2Jan26</v>
      </c>
      <c r="P1483" s="1334" t="str">
        <f t="shared" si="82"/>
        <v>0</v>
      </c>
    </row>
    <row r="1484" spans="2:16">
      <c r="C1484" s="1348"/>
      <c r="D1484" s="1389"/>
      <c r="F1484" s="1312"/>
      <c r="H1484" s="1152">
        <f t="shared" si="80"/>
        <v>0</v>
      </c>
      <c r="J1484" s="1334" t="e">
        <f>VLOOKUP(C1484,Acc_Char!B:K,3,)</f>
        <v>#N/A</v>
      </c>
      <c r="K1484" s="1334" t="e">
        <f>VLOOKUP(C1484,Acc_Char!B:K,7,)</f>
        <v>#N/A</v>
      </c>
      <c r="L1484" s="1334">
        <f t="shared" si="81"/>
        <v>0</v>
      </c>
      <c r="M1484" s="1335" t="e">
        <f>VLOOKUP(C1484,Acc_Char!B:K,5,)</f>
        <v>#N/A</v>
      </c>
      <c r="N1484" s="1335" t="e">
        <f>VLOOKUP(C1484,Acc_Char!B:K,6,)</f>
        <v>#N/A</v>
      </c>
      <c r="O1484" s="1336" t="str">
        <f>Summary!$B$4</f>
        <v>W1-2Jan26</v>
      </c>
      <c r="P1484" s="1334" t="str">
        <f t="shared" si="82"/>
        <v>0</v>
      </c>
    </row>
    <row r="1485" spans="2:16">
      <c r="C1485" s="1348"/>
      <c r="D1485" s="1389"/>
      <c r="F1485" s="1312"/>
      <c r="H1485" s="1152">
        <f>F1485-G1485</f>
        <v>0</v>
      </c>
      <c r="J1485" s="1334" t="e">
        <f>VLOOKUP(C1485,Acc_Char!B:K,3,)</f>
        <v>#N/A</v>
      </c>
      <c r="K1485" s="1334" t="e">
        <f>VLOOKUP(C1485,Acc_Char!B:K,7,)</f>
        <v>#N/A</v>
      </c>
      <c r="L1485" s="1334">
        <f t="shared" si="81"/>
        <v>0</v>
      </c>
      <c r="M1485" s="1335" t="e">
        <f>VLOOKUP(C1485,Acc_Char!B:K,5,)</f>
        <v>#N/A</v>
      </c>
      <c r="N1485" s="1335" t="e">
        <f>VLOOKUP(C1485,Acc_Char!B:K,6,)</f>
        <v>#N/A</v>
      </c>
      <c r="O1485" s="1336" t="str">
        <f>Summary!$B$4</f>
        <v>W1-2Jan26</v>
      </c>
      <c r="P1485" s="1334" t="str">
        <f t="shared" si="82"/>
        <v>0</v>
      </c>
    </row>
    <row r="1486" spans="2:16">
      <c r="C1486" s="1077"/>
      <c r="D1486" s="1389"/>
      <c r="F1486" s="1312"/>
      <c r="H1486" s="1152">
        <f>F1486-G1486</f>
        <v>0</v>
      </c>
      <c r="J1486" s="1334" t="e">
        <f>VLOOKUP(C1486,Acc_Char!B:K,3,)</f>
        <v>#N/A</v>
      </c>
      <c r="K1486" s="1334" t="e">
        <f>VLOOKUP(C1486,Acc_Char!B:K,7,)</f>
        <v>#N/A</v>
      </c>
      <c r="L1486" s="1334">
        <f t="shared" si="81"/>
        <v>0</v>
      </c>
      <c r="M1486" s="1335" t="e">
        <f>VLOOKUP(C1486,Acc_Char!B:K,5,)</f>
        <v>#N/A</v>
      </c>
      <c r="N1486" s="1335" t="e">
        <f>VLOOKUP(C1486,Acc_Char!B:K,6,)</f>
        <v>#N/A</v>
      </c>
      <c r="O1486" s="1336" t="str">
        <f>Summary!$B$4</f>
        <v>W1-2Jan26</v>
      </c>
      <c r="P1486" s="1334" t="str">
        <f t="shared" si="82"/>
        <v>0</v>
      </c>
    </row>
    <row r="1487" spans="2:16">
      <c r="C1487" s="1077"/>
      <c r="D1487" s="1389"/>
      <c r="F1487" s="1312"/>
      <c r="H1487" s="1152">
        <f>F1487-G1487</f>
        <v>0</v>
      </c>
      <c r="J1487" s="1334" t="e">
        <f>VLOOKUP(C1487,Acc_Char!B:K,3,)</f>
        <v>#N/A</v>
      </c>
      <c r="K1487" s="1334" t="e">
        <f>VLOOKUP(C1487,Acc_Char!B:K,7,)</f>
        <v>#N/A</v>
      </c>
      <c r="L1487" s="1334">
        <f t="shared" si="81"/>
        <v>0</v>
      </c>
      <c r="M1487" s="1335" t="e">
        <f>VLOOKUP(C1487,Acc_Char!B:K,5,)</f>
        <v>#N/A</v>
      </c>
      <c r="N1487" s="1335" t="e">
        <f>VLOOKUP(C1487,Acc_Char!B:K,6,)</f>
        <v>#N/A</v>
      </c>
      <c r="O1487" s="1336" t="str">
        <f>Summary!$B$4</f>
        <v>W1-2Jan26</v>
      </c>
      <c r="P1487" s="1334" t="str">
        <f t="shared" si="82"/>
        <v>0</v>
      </c>
    </row>
    <row r="1488" spans="2:16">
      <c r="B1488" s="460"/>
      <c r="C1488" s="1092"/>
      <c r="D1488" s="1389"/>
      <c r="E1488"/>
      <c r="F1488" s="1311"/>
      <c r="G1488" s="1311"/>
      <c r="H1488" s="1082">
        <f t="shared" ref="H1488:H1489" si="83">F1488-G1488</f>
        <v>0</v>
      </c>
      <c r="I1488" s="1333"/>
      <c r="J1488" s="1334" t="e">
        <f>VLOOKUP(C1488,Acc_Char!B:K,3,)</f>
        <v>#N/A</v>
      </c>
      <c r="K1488" s="1334" t="e">
        <f>VLOOKUP(C1488,Acc_Char!B:K,7,)</f>
        <v>#N/A</v>
      </c>
      <c r="L1488" s="1334">
        <f t="shared" si="81"/>
        <v>0</v>
      </c>
      <c r="M1488" s="1335" t="e">
        <f>VLOOKUP(C1488,Acc_Char!B:K,5,)</f>
        <v>#N/A</v>
      </c>
      <c r="N1488" s="1335" t="e">
        <f>VLOOKUP(C1488,Acc_Char!B:K,6,)</f>
        <v>#N/A</v>
      </c>
      <c r="O1488" s="1336" t="str">
        <f>Summary!$B$4</f>
        <v>W1-2Jan26</v>
      </c>
      <c r="P1488" s="1334" t="str">
        <f t="shared" si="82"/>
        <v>0</v>
      </c>
    </row>
    <row r="1489" spans="1:16">
      <c r="A1489"/>
      <c r="B1489" s="34"/>
      <c r="C1489" s="34"/>
      <c r="D1489" s="355"/>
      <c r="E1489"/>
      <c r="F1489" s="57"/>
      <c r="G1489" s="57"/>
      <c r="H1489" s="1082">
        <f t="shared" si="83"/>
        <v>0</v>
      </c>
      <c r="I1489" s="1333"/>
      <c r="J1489" s="1334" t="e">
        <f>VLOOKUP(C1489,Acc_Char!B:K,3,)</f>
        <v>#N/A</v>
      </c>
      <c r="K1489" s="1334" t="e">
        <f>VLOOKUP(C1489,Acc_Char!B:K,7,)</f>
        <v>#N/A</v>
      </c>
      <c r="L1489" s="1334">
        <f t="shared" si="81"/>
        <v>0</v>
      </c>
      <c r="M1489" s="1335" t="e">
        <f>VLOOKUP(C1489,Acc_Char!B:K,5,)</f>
        <v>#N/A</v>
      </c>
      <c r="N1489" s="1335" t="e">
        <f>VLOOKUP(C1489,Acc_Char!B:K,6,)</f>
        <v>#N/A</v>
      </c>
      <c r="O1489" s="1336" t="str">
        <f>Summary!$B$4</f>
        <v>W1-2Jan26</v>
      </c>
      <c r="P1489" s="1334" t="str">
        <f t="shared" si="82"/>
        <v>0</v>
      </c>
    </row>
    <row r="1490" spans="1:16">
      <c r="B1490" s="1335"/>
      <c r="C1490" s="1092"/>
      <c r="D1490" s="1389"/>
      <c r="E1490" s="1338"/>
      <c r="F1490" s="57"/>
      <c r="H1490" s="1283">
        <f>F1490-G1490</f>
        <v>0</v>
      </c>
      <c r="I1490" s="1333"/>
      <c r="J1490" s="1334" t="e">
        <f>VLOOKUP(C1490,Acc_Char!B:K,3,)</f>
        <v>#N/A</v>
      </c>
      <c r="K1490" s="1334" t="e">
        <f>VLOOKUP(C1490,Acc_Char!B:K,7,)</f>
        <v>#N/A</v>
      </c>
      <c r="L1490" s="1334">
        <f t="shared" si="81"/>
        <v>0</v>
      </c>
      <c r="M1490" s="1335" t="e">
        <f>VLOOKUP(C1490,Acc_Char!B:K,5,)</f>
        <v>#N/A</v>
      </c>
      <c r="N1490" s="1335" t="e">
        <f>VLOOKUP(C1490,Acc_Char!B:K,6,)</f>
        <v>#N/A</v>
      </c>
      <c r="O1490" s="1336" t="str">
        <f>Summary!$B$4</f>
        <v>W1-2Jan26</v>
      </c>
      <c r="P1490" s="1334" t="str">
        <f t="shared" si="82"/>
        <v>0</v>
      </c>
    </row>
    <row r="1491" spans="1:16">
      <c r="B1491" s="460"/>
      <c r="C1491" s="1092"/>
      <c r="D1491" s="1389"/>
      <c r="E1491" s="1339"/>
      <c r="F1491" s="1311"/>
      <c r="G1491" s="1311"/>
      <c r="H1491" s="1283">
        <f>F1491-G1491</f>
        <v>0</v>
      </c>
      <c r="I1491" s="1333"/>
      <c r="J1491" s="1334" t="e">
        <f>VLOOKUP(C1491,Acc_Char!B:K,3,)</f>
        <v>#N/A</v>
      </c>
      <c r="K1491" s="1334" t="e">
        <f>VLOOKUP(C1491,Acc_Char!B:K,7,)</f>
        <v>#N/A</v>
      </c>
      <c r="L1491" s="1334">
        <f t="shared" si="81"/>
        <v>0</v>
      </c>
      <c r="M1491" s="1335" t="e">
        <f>VLOOKUP(C1491,Acc_Char!B:K,5,)</f>
        <v>#N/A</v>
      </c>
      <c r="N1491" s="1335" t="e">
        <f>VLOOKUP(C1491,Acc_Char!B:K,6,)</f>
        <v>#N/A</v>
      </c>
      <c r="O1491" s="1336" t="str">
        <f>Summary!$B$4</f>
        <v>W1-2Jan26</v>
      </c>
      <c r="P1491" s="1334" t="str">
        <f t="shared" si="82"/>
        <v>0</v>
      </c>
    </row>
    <row r="1492" spans="1:16">
      <c r="B1492" s="460"/>
      <c r="C1492" s="1092"/>
      <c r="D1492" s="1389"/>
      <c r="E1492"/>
      <c r="F1492" s="1311"/>
      <c r="G1492" s="1311"/>
      <c r="H1492" s="1283">
        <f>F1492-G1492</f>
        <v>0</v>
      </c>
      <c r="I1492" s="1333"/>
      <c r="J1492" s="1334" t="e">
        <f>VLOOKUP(C1492,Acc_Char!B:K,3,)</f>
        <v>#N/A</v>
      </c>
      <c r="K1492" s="1334" t="e">
        <f>VLOOKUP(C1492,Acc_Char!B:K,7,)</f>
        <v>#N/A</v>
      </c>
      <c r="L1492" s="1334">
        <f t="shared" si="81"/>
        <v>0</v>
      </c>
      <c r="M1492" s="1335" t="e">
        <f>VLOOKUP(C1492,Acc_Char!B:K,5,)</f>
        <v>#N/A</v>
      </c>
      <c r="N1492" s="1335" t="e">
        <f>VLOOKUP(C1492,Acc_Char!B:K,6,)</f>
        <v>#N/A</v>
      </c>
      <c r="O1492" s="1336" t="str">
        <f>Summary!$B$4</f>
        <v>W1-2Jan26</v>
      </c>
      <c r="P1492" s="1334" t="str">
        <f t="shared" si="82"/>
        <v>0</v>
      </c>
    </row>
    <row r="1493" spans="1:16">
      <c r="B1493" s="460"/>
      <c r="C1493" s="1092"/>
      <c r="D1493" s="1389"/>
      <c r="E1493"/>
      <c r="F1493" s="1311"/>
      <c r="G1493" s="1311"/>
      <c r="H1493" s="1283">
        <f>F1493-G1493</f>
        <v>0</v>
      </c>
      <c r="I1493" s="1333"/>
      <c r="J1493" s="1334" t="e">
        <f>VLOOKUP(C1493,Acc_Char!B:K,3,)</f>
        <v>#N/A</v>
      </c>
      <c r="K1493" s="1334" t="e">
        <f>VLOOKUP(C1493,Acc_Char!B:K,7,)</f>
        <v>#N/A</v>
      </c>
      <c r="L1493" s="1334">
        <f t="shared" si="81"/>
        <v>0</v>
      </c>
      <c r="M1493" s="1335" t="e">
        <f>VLOOKUP(C1493,Acc_Char!B:K,5,)</f>
        <v>#N/A</v>
      </c>
      <c r="N1493" s="1335" t="e">
        <f>VLOOKUP(C1493,Acc_Char!B:K,6,)</f>
        <v>#N/A</v>
      </c>
      <c r="O1493" s="1336" t="str">
        <f>Summary!$B$4</f>
        <v>W1-2Jan26</v>
      </c>
      <c r="P1493" s="1334" t="str">
        <f t="shared" si="82"/>
        <v>0</v>
      </c>
    </row>
    <row r="1494" spans="1:16">
      <c r="B1494" s="460"/>
      <c r="C1494" s="1092"/>
      <c r="D1494" s="1389"/>
      <c r="F1494" s="1312"/>
      <c r="H1494" s="1152">
        <f t="shared" si="80"/>
        <v>0</v>
      </c>
      <c r="J1494" s="1334" t="e">
        <f>VLOOKUP(C1494,Acc_Char!B:K,3,)</f>
        <v>#N/A</v>
      </c>
      <c r="K1494" s="1334" t="e">
        <f>VLOOKUP(C1494,Acc_Char!B:K,7,)</f>
        <v>#N/A</v>
      </c>
      <c r="L1494" s="1334">
        <f t="shared" si="81"/>
        <v>0</v>
      </c>
      <c r="M1494" s="1335" t="e">
        <f>VLOOKUP(C1494,Acc_Char!B:K,5,)</f>
        <v>#N/A</v>
      </c>
      <c r="N1494" s="1335" t="e">
        <f>VLOOKUP(C1494,Acc_Char!B:K,6,)</f>
        <v>#N/A</v>
      </c>
      <c r="O1494" s="1336" t="str">
        <f>Summary!$B$4</f>
        <v>W1-2Jan26</v>
      </c>
      <c r="P1494" s="1334" t="str">
        <f t="shared" si="82"/>
        <v>0</v>
      </c>
    </row>
    <row r="1495" spans="1:16">
      <c r="B1495" s="460"/>
      <c r="C1495" s="1092"/>
      <c r="D1495" s="1389"/>
      <c r="F1495" s="1312"/>
      <c r="H1495" s="1152">
        <f t="shared" si="80"/>
        <v>0</v>
      </c>
      <c r="J1495" s="1334" t="e">
        <f>VLOOKUP(C1495,Acc_Char!B:K,3,)</f>
        <v>#N/A</v>
      </c>
      <c r="K1495" s="1334" t="e">
        <f>VLOOKUP(C1495,Acc_Char!B:K,7,)</f>
        <v>#N/A</v>
      </c>
      <c r="L1495" s="1334">
        <f t="shared" si="81"/>
        <v>0</v>
      </c>
      <c r="M1495" s="1335" t="e">
        <f>VLOOKUP(C1495,Acc_Char!B:K,5,)</f>
        <v>#N/A</v>
      </c>
      <c r="N1495" s="1335" t="e">
        <f>VLOOKUP(C1495,Acc_Char!B:K,6,)</f>
        <v>#N/A</v>
      </c>
      <c r="O1495" s="1336" t="str">
        <f>Summary!$B$4</f>
        <v>W1-2Jan26</v>
      </c>
      <c r="P1495" s="1334" t="str">
        <f t="shared" si="82"/>
        <v>0</v>
      </c>
    </row>
    <row r="1496" spans="1:16">
      <c r="B1496" s="460"/>
      <c r="C1496" s="1092"/>
      <c r="D1496" s="1389"/>
      <c r="F1496" s="1312"/>
      <c r="H1496" s="1152">
        <f t="shared" si="80"/>
        <v>0</v>
      </c>
      <c r="J1496" s="1334" t="e">
        <f>VLOOKUP(C1496,Acc_Char!B:K,3,)</f>
        <v>#N/A</v>
      </c>
      <c r="K1496" s="1334" t="e">
        <f>VLOOKUP(C1496,Acc_Char!B:K,7,)</f>
        <v>#N/A</v>
      </c>
      <c r="L1496" s="1334">
        <f t="shared" si="81"/>
        <v>0</v>
      </c>
      <c r="M1496" s="1335" t="e">
        <f>VLOOKUP(C1496,Acc_Char!B:K,5,)</f>
        <v>#N/A</v>
      </c>
      <c r="N1496" s="1335" t="e">
        <f>VLOOKUP(C1496,Acc_Char!B:K,6,)</f>
        <v>#N/A</v>
      </c>
      <c r="O1496" s="1336" t="str">
        <f>Summary!$B$4</f>
        <v>W1-2Jan26</v>
      </c>
      <c r="P1496" s="1334" t="str">
        <f t="shared" si="82"/>
        <v>0</v>
      </c>
    </row>
    <row r="1497" spans="1:16">
      <c r="B1497" s="460"/>
      <c r="C1497" s="1092"/>
      <c r="D1497" s="1389"/>
      <c r="F1497" s="1312"/>
      <c r="H1497" s="1152">
        <f t="shared" si="80"/>
        <v>0</v>
      </c>
      <c r="J1497" s="1334" t="e">
        <f>VLOOKUP(C1497,Acc_Char!B:K,3,)</f>
        <v>#N/A</v>
      </c>
      <c r="K1497" s="1334" t="e">
        <f>VLOOKUP(C1497,Acc_Char!B:K,7,)</f>
        <v>#N/A</v>
      </c>
      <c r="L1497" s="1334">
        <f t="shared" si="81"/>
        <v>0</v>
      </c>
      <c r="M1497" s="1335" t="e">
        <f>VLOOKUP(C1497,Acc_Char!B:K,5,)</f>
        <v>#N/A</v>
      </c>
      <c r="N1497" s="1335" t="e">
        <f>VLOOKUP(C1497,Acc_Char!B:K,6,)</f>
        <v>#N/A</v>
      </c>
      <c r="O1497" s="1336" t="str">
        <f>Summary!$B$4</f>
        <v>W1-2Jan26</v>
      </c>
      <c r="P1497" s="1334" t="str">
        <f t="shared" si="82"/>
        <v>0</v>
      </c>
    </row>
    <row r="1498" spans="1:16">
      <c r="A1498"/>
      <c r="B1498" s="34"/>
      <c r="C1498" s="1354"/>
      <c r="D1498" s="1389"/>
      <c r="E1498"/>
      <c r="F1498" s="57"/>
      <c r="G1498" s="57"/>
      <c r="H1498" s="1082">
        <f t="shared" si="80"/>
        <v>0</v>
      </c>
      <c r="I1498" s="1333"/>
      <c r="J1498" s="1334" t="e">
        <f>VLOOKUP(C1498,Acc_Char!B:K,3,)</f>
        <v>#N/A</v>
      </c>
      <c r="K1498" s="1334" t="e">
        <f>VLOOKUP(C1498,Acc_Char!B:K,7,)</f>
        <v>#N/A</v>
      </c>
      <c r="L1498" s="1334">
        <f t="shared" si="81"/>
        <v>0</v>
      </c>
      <c r="M1498" s="1335" t="e">
        <f>VLOOKUP(C1498,Acc_Char!B:K,5,)</f>
        <v>#N/A</v>
      </c>
      <c r="N1498" s="1335" t="e">
        <f>VLOOKUP(C1498,Acc_Char!B:K,6,)</f>
        <v>#N/A</v>
      </c>
      <c r="O1498" s="1336" t="str">
        <f>Summary!$B$4</f>
        <v>W1-2Jan26</v>
      </c>
      <c r="P1498" s="1334" t="str">
        <f t="shared" si="82"/>
        <v>0</v>
      </c>
    </row>
    <row r="1499" spans="1:16">
      <c r="A1499"/>
      <c r="B1499" s="34"/>
      <c r="C1499" s="1354"/>
      <c r="D1499" s="1389"/>
      <c r="E1499"/>
      <c r="F1499" s="57"/>
      <c r="G1499" s="57"/>
      <c r="H1499" s="1283">
        <f>F1499-G1499</f>
        <v>0</v>
      </c>
      <c r="I1499" s="1333"/>
      <c r="J1499" s="1334" t="e">
        <f>VLOOKUP(C1499,Acc_Char!B:K,3,)</f>
        <v>#N/A</v>
      </c>
      <c r="K1499" s="1334" t="e">
        <f>VLOOKUP(C1499,Acc_Char!B:K,7,)</f>
        <v>#N/A</v>
      </c>
      <c r="L1499" s="1334">
        <f t="shared" si="81"/>
        <v>0</v>
      </c>
      <c r="M1499" s="1335" t="e">
        <f>VLOOKUP(C1499,Acc_Char!B:K,5,)</f>
        <v>#N/A</v>
      </c>
      <c r="N1499" s="1335" t="e">
        <f>VLOOKUP(C1499,Acc_Char!B:K,6,)</f>
        <v>#N/A</v>
      </c>
      <c r="O1499" s="1336" t="str">
        <f>Summary!$B$4</f>
        <v>W1-2Jan26</v>
      </c>
      <c r="P1499" s="1334" t="str">
        <f t="shared" si="82"/>
        <v>0</v>
      </c>
    </row>
    <row r="1500" spans="1:16">
      <c r="A1500"/>
      <c r="B1500" s="34"/>
      <c r="C1500" s="1354"/>
      <c r="D1500" s="1389"/>
      <c r="E1500"/>
      <c r="F1500" s="57"/>
      <c r="G1500" s="57"/>
      <c r="H1500" s="1283">
        <f>F1500-G1500</f>
        <v>0</v>
      </c>
      <c r="I1500" s="1333"/>
      <c r="J1500" s="1334" t="e">
        <f>VLOOKUP(C1500,Acc_Char!B:K,3,)</f>
        <v>#N/A</v>
      </c>
      <c r="K1500" s="1334" t="e">
        <f>VLOOKUP(C1500,Acc_Char!B:K,7,)</f>
        <v>#N/A</v>
      </c>
      <c r="L1500" s="1334">
        <f t="shared" si="81"/>
        <v>0</v>
      </c>
      <c r="M1500" s="1335" t="e">
        <f>VLOOKUP(C1500,Acc_Char!B:K,5,)</f>
        <v>#N/A</v>
      </c>
      <c r="N1500" s="1335" t="e">
        <f>VLOOKUP(C1500,Acc_Char!B:K,6,)</f>
        <v>#N/A</v>
      </c>
      <c r="O1500" s="1336" t="str">
        <f>Summary!$B$4</f>
        <v>W1-2Jan26</v>
      </c>
      <c r="P1500" s="1334" t="str">
        <f t="shared" si="82"/>
        <v>0</v>
      </c>
    </row>
    <row r="1501" spans="1:16">
      <c r="A1501"/>
      <c r="B1501" s="34"/>
      <c r="C1501" s="1354"/>
      <c r="D1501" s="1389"/>
      <c r="E1501"/>
      <c r="F1501" s="57"/>
      <c r="G1501" s="57"/>
      <c r="H1501" s="1283">
        <f>F1501-G1501</f>
        <v>0</v>
      </c>
      <c r="I1501" s="1333"/>
      <c r="J1501" s="1334" t="e">
        <f>VLOOKUP(C1501,Acc_Char!B:K,3,)</f>
        <v>#N/A</v>
      </c>
      <c r="K1501" s="1334" t="e">
        <f>VLOOKUP(C1501,Acc_Char!B:K,7,)</f>
        <v>#N/A</v>
      </c>
      <c r="L1501" s="1334">
        <f t="shared" si="81"/>
        <v>0</v>
      </c>
      <c r="M1501" s="1335" t="e">
        <f>VLOOKUP(C1501,Acc_Char!B:K,5,)</f>
        <v>#N/A</v>
      </c>
      <c r="N1501" s="1335" t="e">
        <f>VLOOKUP(C1501,Acc_Char!B:K,6,)</f>
        <v>#N/A</v>
      </c>
      <c r="O1501" s="1336" t="str">
        <f>Summary!$B$4</f>
        <v>W1-2Jan26</v>
      </c>
      <c r="P1501" s="1334" t="str">
        <f t="shared" si="82"/>
        <v>0</v>
      </c>
    </row>
    <row r="1502" spans="1:16">
      <c r="A1502"/>
      <c r="B1502" s="34"/>
      <c r="C1502" s="1354"/>
      <c r="D1502" s="1389"/>
      <c r="F1502" s="1312"/>
      <c r="H1502" s="1283">
        <f>F1502-G1502</f>
        <v>0</v>
      </c>
      <c r="I1502" s="1333"/>
      <c r="J1502" s="1334" t="e">
        <f>VLOOKUP(C1502,Acc_Char!B:K,3,)</f>
        <v>#N/A</v>
      </c>
      <c r="K1502" s="1334" t="e">
        <f>VLOOKUP(C1502,Acc_Char!B:K,7,)</f>
        <v>#N/A</v>
      </c>
      <c r="L1502" s="1334">
        <f t="shared" si="81"/>
        <v>0</v>
      </c>
      <c r="M1502" s="1335" t="e">
        <f>VLOOKUP(C1502,Acc_Char!B:K,5,)</f>
        <v>#N/A</v>
      </c>
      <c r="N1502" s="1335" t="e">
        <f>VLOOKUP(C1502,Acc_Char!B:K,6,)</f>
        <v>#N/A</v>
      </c>
      <c r="O1502" s="1336" t="str">
        <f>Summary!$B$4</f>
        <v>W1-2Jan26</v>
      </c>
      <c r="P1502" s="1334" t="str">
        <f t="shared" si="82"/>
        <v>0</v>
      </c>
    </row>
    <row r="1503" spans="1:16">
      <c r="A1503"/>
      <c r="B1503" s="34"/>
      <c r="C1503" s="1354"/>
      <c r="D1503" s="1389"/>
      <c r="E1503"/>
      <c r="F1503" s="57"/>
      <c r="G1503" s="57"/>
      <c r="H1503" s="1283">
        <f>F1503-G1503</f>
        <v>0</v>
      </c>
      <c r="I1503" s="1333"/>
      <c r="J1503" s="1334" t="e">
        <f>VLOOKUP(C1503,Acc_Char!B:K,3,)</f>
        <v>#N/A</v>
      </c>
      <c r="K1503" s="1334" t="e">
        <f>VLOOKUP(C1503,Acc_Char!B:K,7,)</f>
        <v>#N/A</v>
      </c>
      <c r="L1503" s="1334">
        <f t="shared" si="81"/>
        <v>0</v>
      </c>
      <c r="M1503" s="1335" t="e">
        <f>VLOOKUP(C1503,Acc_Char!B:K,5,)</f>
        <v>#N/A</v>
      </c>
      <c r="N1503" s="1335" t="e">
        <f>VLOOKUP(C1503,Acc_Char!B:K,6,)</f>
        <v>#N/A</v>
      </c>
      <c r="O1503" s="1336" t="str">
        <f>Summary!$B$4</f>
        <v>W1-2Jan26</v>
      </c>
      <c r="P1503" s="1334" t="str">
        <f t="shared" si="82"/>
        <v>0</v>
      </c>
    </row>
    <row r="1504" spans="1:16">
      <c r="C1504" s="1348"/>
      <c r="D1504" s="1389"/>
      <c r="F1504" s="1312"/>
      <c r="H1504" s="1152">
        <f t="shared" si="80"/>
        <v>0</v>
      </c>
      <c r="J1504" s="1334" t="e">
        <f>VLOOKUP(C1504,Acc_Char!B:K,3,)</f>
        <v>#N/A</v>
      </c>
      <c r="K1504" s="1334" t="e">
        <f>VLOOKUP(C1504,Acc_Char!B:K,7,)</f>
        <v>#N/A</v>
      </c>
      <c r="L1504" s="1334">
        <f t="shared" si="81"/>
        <v>0</v>
      </c>
      <c r="M1504" s="1335" t="e">
        <f>VLOOKUP(C1504,Acc_Char!B:K,5,)</f>
        <v>#N/A</v>
      </c>
      <c r="N1504" s="1335" t="e">
        <f>VLOOKUP(C1504,Acc_Char!B:K,6,)</f>
        <v>#N/A</v>
      </c>
      <c r="O1504" s="1336" t="str">
        <f>Summary!$B$4</f>
        <v>W1-2Jan26</v>
      </c>
      <c r="P1504" s="1334" t="str">
        <f t="shared" si="82"/>
        <v>0</v>
      </c>
    </row>
    <row r="1505" spans="2:16">
      <c r="B1505" s="460"/>
      <c r="C1505" s="1092"/>
      <c r="D1505" s="1389"/>
      <c r="E1505"/>
      <c r="F1505" s="1311"/>
      <c r="G1505" s="1311"/>
      <c r="H1505" s="1082">
        <f t="shared" si="80"/>
        <v>0</v>
      </c>
      <c r="I1505" s="1333"/>
      <c r="J1505" s="1334" t="e">
        <f>VLOOKUP(C1505,Acc_Char!B:K,3,)</f>
        <v>#N/A</v>
      </c>
      <c r="K1505" s="1334" t="e">
        <f>VLOOKUP(C1505,Acc_Char!B:K,7,)</f>
        <v>#N/A</v>
      </c>
      <c r="L1505" s="1334">
        <f t="shared" si="81"/>
        <v>0</v>
      </c>
      <c r="M1505" s="1335" t="e">
        <f>VLOOKUP(C1505,Acc_Char!B:K,5,)</f>
        <v>#N/A</v>
      </c>
      <c r="N1505" s="1335" t="e">
        <f>VLOOKUP(C1505,Acc_Char!B:K,6,)</f>
        <v>#N/A</v>
      </c>
      <c r="O1505" s="1336" t="str">
        <f>Summary!$B$4</f>
        <v>W1-2Jan26</v>
      </c>
      <c r="P1505" s="1334" t="str">
        <f t="shared" si="82"/>
        <v>0</v>
      </c>
    </row>
    <row r="1506" spans="2:16">
      <c r="C1506" s="1348"/>
      <c r="D1506" s="1389"/>
      <c r="F1506" s="1312"/>
      <c r="H1506" s="1152">
        <f t="shared" si="80"/>
        <v>0</v>
      </c>
      <c r="I1506" s="1333"/>
      <c r="J1506" s="1334" t="e">
        <f>VLOOKUP(C1506,Acc_Char!B:K,3,)</f>
        <v>#N/A</v>
      </c>
      <c r="K1506" s="1334" t="e">
        <f>VLOOKUP(C1506,Acc_Char!B:K,7,)</f>
        <v>#N/A</v>
      </c>
      <c r="L1506" s="1334">
        <f t="shared" si="81"/>
        <v>0</v>
      </c>
      <c r="M1506" s="1335" t="e">
        <f>VLOOKUP(C1506,Acc_Char!B:K,5,)</f>
        <v>#N/A</v>
      </c>
      <c r="N1506" s="1335" t="e">
        <f>VLOOKUP(C1506,Acc_Char!B:K,6,)</f>
        <v>#N/A</v>
      </c>
      <c r="O1506" s="1336" t="str">
        <f>Summary!$B$4</f>
        <v>W1-2Jan26</v>
      </c>
      <c r="P1506" s="1334" t="str">
        <f t="shared" si="82"/>
        <v>0</v>
      </c>
    </row>
    <row r="1507" spans="2:16">
      <c r="C1507" s="1348"/>
      <c r="D1507" s="1389"/>
      <c r="F1507" s="1312"/>
      <c r="H1507" s="1152">
        <f t="shared" si="80"/>
        <v>0</v>
      </c>
      <c r="J1507" s="1334" t="e">
        <f>VLOOKUP(C1507,Acc_Char!B:K,3,)</f>
        <v>#N/A</v>
      </c>
      <c r="K1507" s="1334" t="e">
        <f>VLOOKUP(C1507,Acc_Char!B:K,7,)</f>
        <v>#N/A</v>
      </c>
      <c r="L1507" s="1334">
        <f t="shared" si="81"/>
        <v>0</v>
      </c>
      <c r="M1507" s="1335" t="e">
        <f>VLOOKUP(C1507,Acc_Char!B:K,5,)</f>
        <v>#N/A</v>
      </c>
      <c r="N1507" s="1335" t="e">
        <f>VLOOKUP(C1507,Acc_Char!B:K,6,)</f>
        <v>#N/A</v>
      </c>
      <c r="O1507" s="1336" t="str">
        <f>Summary!$B$4</f>
        <v>W1-2Jan26</v>
      </c>
      <c r="P1507" s="1334" t="str">
        <f t="shared" si="82"/>
        <v>0</v>
      </c>
    </row>
    <row r="1508" spans="2:16">
      <c r="C1508" s="1348"/>
      <c r="D1508" s="1389"/>
      <c r="F1508" s="1312"/>
      <c r="H1508" s="1152">
        <f t="shared" si="80"/>
        <v>0</v>
      </c>
      <c r="J1508" s="1334" t="e">
        <f>VLOOKUP(C1508,Acc_Char!B:K,3,)</f>
        <v>#N/A</v>
      </c>
      <c r="K1508" s="1334" t="e">
        <f>VLOOKUP(C1508,Acc_Char!B:K,7,)</f>
        <v>#N/A</v>
      </c>
      <c r="L1508" s="1334">
        <f t="shared" si="81"/>
        <v>0</v>
      </c>
      <c r="M1508" s="1335" t="e">
        <f>VLOOKUP(C1508,Acc_Char!B:K,5,)</f>
        <v>#N/A</v>
      </c>
      <c r="N1508" s="1335" t="e">
        <f>VLOOKUP(C1508,Acc_Char!B:K,6,)</f>
        <v>#N/A</v>
      </c>
      <c r="O1508" s="1336" t="str">
        <f>Summary!$B$4</f>
        <v>W1-2Jan26</v>
      </c>
      <c r="P1508" s="1334" t="str">
        <f t="shared" si="82"/>
        <v>0</v>
      </c>
    </row>
    <row r="1509" spans="2:16">
      <c r="D1509" s="1389"/>
      <c r="F1509" s="1312"/>
      <c r="H1509" s="1152">
        <f t="shared" ref="H1509:H1510" si="84">F1509-G1509</f>
        <v>0</v>
      </c>
      <c r="J1509" s="1334" t="e">
        <f>VLOOKUP(C1509,Acc_Char!B:K,3,)</f>
        <v>#N/A</v>
      </c>
      <c r="K1509" s="1334" t="e">
        <f>VLOOKUP(C1509,Acc_Char!B:K,7,)</f>
        <v>#N/A</v>
      </c>
      <c r="L1509" s="1334">
        <f t="shared" si="81"/>
        <v>0</v>
      </c>
      <c r="M1509" s="1335" t="e">
        <f>VLOOKUP(C1509,Acc_Char!B:K,5,)</f>
        <v>#N/A</v>
      </c>
      <c r="N1509" s="1335" t="e">
        <f>VLOOKUP(C1509,Acc_Char!B:K,6,)</f>
        <v>#N/A</v>
      </c>
      <c r="O1509" s="1336" t="str">
        <f>Summary!$B$4</f>
        <v>W1-2Jan26</v>
      </c>
      <c r="P1509" s="1334" t="str">
        <f t="shared" si="82"/>
        <v>0</v>
      </c>
    </row>
    <row r="1510" spans="2:16">
      <c r="D1510" s="1389"/>
      <c r="F1510" s="1312"/>
      <c r="H1510" s="1152">
        <f t="shared" si="84"/>
        <v>0</v>
      </c>
      <c r="J1510" s="1334" t="e">
        <f>VLOOKUP(C1510,Acc_Char!B:K,3,)</f>
        <v>#N/A</v>
      </c>
      <c r="K1510" s="1334" t="e">
        <f>VLOOKUP(C1510,Acc_Char!B:K,7,)</f>
        <v>#N/A</v>
      </c>
      <c r="L1510" s="1334">
        <f t="shared" si="81"/>
        <v>0</v>
      </c>
      <c r="M1510" s="1335" t="e">
        <f>VLOOKUP(C1510,Acc_Char!B:K,5,)</f>
        <v>#N/A</v>
      </c>
      <c r="N1510" s="1335" t="e">
        <f>VLOOKUP(C1510,Acc_Char!B:K,6,)</f>
        <v>#N/A</v>
      </c>
      <c r="O1510" s="1336" t="str">
        <f>Summary!$B$4</f>
        <v>W1-2Jan26</v>
      </c>
      <c r="P1510" s="1334" t="str">
        <f t="shared" si="82"/>
        <v>0</v>
      </c>
    </row>
    <row r="1511" spans="2:16">
      <c r="D1511" s="1389"/>
      <c r="F1511" s="1312"/>
      <c r="H1511" s="1152">
        <f t="shared" ref="H1511:H1513" si="85">F1511-G1511</f>
        <v>0</v>
      </c>
      <c r="J1511" s="1334" t="e">
        <f>VLOOKUP(C1511,Acc_Char!B:K,3,)</f>
        <v>#N/A</v>
      </c>
      <c r="K1511" s="1334" t="e">
        <f>VLOOKUP(C1511,Acc_Char!B:K,7,)</f>
        <v>#N/A</v>
      </c>
      <c r="L1511" s="1334">
        <f t="shared" si="81"/>
        <v>0</v>
      </c>
      <c r="M1511" s="1335" t="e">
        <f>VLOOKUP(C1511,Acc_Char!B:K,5,)</f>
        <v>#N/A</v>
      </c>
      <c r="N1511" s="1335" t="e">
        <f>VLOOKUP(C1511,Acc_Char!B:K,6,)</f>
        <v>#N/A</v>
      </c>
      <c r="O1511" s="1336" t="str">
        <f>Summary!$B$4</f>
        <v>W1-2Jan26</v>
      </c>
      <c r="P1511" s="1334" t="str">
        <f t="shared" si="82"/>
        <v>0</v>
      </c>
    </row>
    <row r="1512" spans="2:16">
      <c r="D1512" s="1389"/>
      <c r="F1512" s="1312"/>
      <c r="H1512" s="1152">
        <f t="shared" si="85"/>
        <v>0</v>
      </c>
      <c r="J1512" s="1334" t="e">
        <f>VLOOKUP(C1512,Acc_Char!B:K,3,)</f>
        <v>#N/A</v>
      </c>
      <c r="K1512" s="1334" t="e">
        <f>VLOOKUP(C1512,Acc_Char!B:K,7,)</f>
        <v>#N/A</v>
      </c>
      <c r="L1512" s="1334">
        <f t="shared" si="81"/>
        <v>0</v>
      </c>
      <c r="M1512" s="1335" t="e">
        <f>VLOOKUP(C1512,Acc_Char!B:K,5,)</f>
        <v>#N/A</v>
      </c>
      <c r="N1512" s="1335" t="e">
        <f>VLOOKUP(C1512,Acc_Char!B:K,6,)</f>
        <v>#N/A</v>
      </c>
      <c r="O1512" s="1336" t="str">
        <f>Summary!$B$4</f>
        <v>W1-2Jan26</v>
      </c>
      <c r="P1512" s="1334" t="str">
        <f t="shared" si="82"/>
        <v>0</v>
      </c>
    </row>
    <row r="1513" spans="2:16">
      <c r="D1513" s="1389"/>
      <c r="F1513" s="1312"/>
      <c r="H1513" s="1152">
        <f t="shared" si="85"/>
        <v>0</v>
      </c>
      <c r="J1513" s="1334" t="e">
        <f>VLOOKUP(C1513,Acc_Char!B:K,3,)</f>
        <v>#N/A</v>
      </c>
      <c r="K1513" s="1334" t="e">
        <f>VLOOKUP(C1513,Acc_Char!B:K,7,)</f>
        <v>#N/A</v>
      </c>
      <c r="L1513" s="1334">
        <f t="shared" si="81"/>
        <v>0</v>
      </c>
      <c r="M1513" s="1335" t="e">
        <f>VLOOKUP(C1513,Acc_Char!B:K,5,)</f>
        <v>#N/A</v>
      </c>
      <c r="N1513" s="1335" t="e">
        <f>VLOOKUP(C1513,Acc_Char!B:K,6,)</f>
        <v>#N/A</v>
      </c>
      <c r="O1513" s="1336" t="str">
        <f>Summary!$B$4</f>
        <v>W1-2Jan26</v>
      </c>
      <c r="P1513" s="1334" t="str">
        <f t="shared" si="82"/>
        <v>0</v>
      </c>
    </row>
    <row r="1514" spans="2:16">
      <c r="D1514" s="1389"/>
      <c r="F1514" s="1312"/>
      <c r="H1514" s="1152">
        <f t="shared" ref="H1514:H1516" si="86">F1514-G1514</f>
        <v>0</v>
      </c>
      <c r="J1514" s="1334" t="e">
        <f>VLOOKUP(C1514,Acc_Char!B:K,3,)</f>
        <v>#N/A</v>
      </c>
      <c r="K1514" s="1334" t="e">
        <f>VLOOKUP(C1514,Acc_Char!B:K,7,)</f>
        <v>#N/A</v>
      </c>
      <c r="L1514" s="1334">
        <f t="shared" si="81"/>
        <v>0</v>
      </c>
      <c r="M1514" s="1335" t="e">
        <f>VLOOKUP(C1514,Acc_Char!B:K,5,)</f>
        <v>#N/A</v>
      </c>
      <c r="N1514" s="1335" t="e">
        <f>VLOOKUP(C1514,Acc_Char!B:K,6,)</f>
        <v>#N/A</v>
      </c>
      <c r="O1514" s="1336" t="str">
        <f>Summary!$B$4</f>
        <v>W1-2Jan26</v>
      </c>
      <c r="P1514" s="1334" t="str">
        <f t="shared" si="82"/>
        <v>0</v>
      </c>
    </row>
    <row r="1515" spans="2:16">
      <c r="D1515" s="1389"/>
      <c r="F1515" s="1312"/>
      <c r="H1515" s="1152">
        <f t="shared" si="86"/>
        <v>0</v>
      </c>
      <c r="J1515" s="1334" t="e">
        <f>VLOOKUP(C1515,Acc_Char!B:K,3,)</f>
        <v>#N/A</v>
      </c>
      <c r="K1515" s="1334" t="e">
        <f>VLOOKUP(C1515,Acc_Char!B:K,7,)</f>
        <v>#N/A</v>
      </c>
      <c r="L1515" s="1334">
        <f t="shared" si="81"/>
        <v>0</v>
      </c>
      <c r="M1515" s="1335" t="e">
        <f>VLOOKUP(C1515,Acc_Char!B:K,5,)</f>
        <v>#N/A</v>
      </c>
      <c r="N1515" s="1335" t="e">
        <f>VLOOKUP(C1515,Acc_Char!B:K,6,)</f>
        <v>#N/A</v>
      </c>
      <c r="O1515" s="1336" t="str">
        <f>Summary!$B$4</f>
        <v>W1-2Jan26</v>
      </c>
      <c r="P1515" s="1334" t="str">
        <f t="shared" si="82"/>
        <v>0</v>
      </c>
    </row>
    <row r="1516" spans="2:16">
      <c r="D1516" s="1389"/>
      <c r="F1516" s="1312"/>
      <c r="H1516" s="1152">
        <f t="shared" si="86"/>
        <v>0</v>
      </c>
      <c r="J1516" s="1334" t="e">
        <f>VLOOKUP(C1516,Acc_Char!B:K,3,)</f>
        <v>#N/A</v>
      </c>
      <c r="K1516" s="1334" t="e">
        <f>VLOOKUP(C1516,Acc_Char!B:K,7,)</f>
        <v>#N/A</v>
      </c>
      <c r="L1516" s="1334">
        <f t="shared" si="81"/>
        <v>0</v>
      </c>
      <c r="M1516" s="1335" t="e">
        <f>VLOOKUP(C1516,Acc_Char!B:K,5,)</f>
        <v>#N/A</v>
      </c>
      <c r="N1516" s="1335" t="e">
        <f>VLOOKUP(C1516,Acc_Char!B:K,6,)</f>
        <v>#N/A</v>
      </c>
      <c r="O1516" s="1336" t="str">
        <f>Summary!$B$4</f>
        <v>W1-2Jan26</v>
      </c>
      <c r="P1516" s="1334" t="str">
        <f t="shared" si="82"/>
        <v>0</v>
      </c>
    </row>
    <row r="1517" spans="2:16">
      <c r="C1517" s="1348"/>
      <c r="D1517" s="1389"/>
      <c r="F1517" s="1312"/>
      <c r="H1517" s="1152">
        <f t="shared" ref="H1517:H1519" si="87">F1517-G1517</f>
        <v>0</v>
      </c>
      <c r="J1517" s="1334" t="e">
        <f>VLOOKUP(C1517,Acc_Char!B:K,3,)</f>
        <v>#N/A</v>
      </c>
      <c r="K1517" s="1334" t="e">
        <f>VLOOKUP(C1517,Acc_Char!B:K,7,)</f>
        <v>#N/A</v>
      </c>
      <c r="L1517" s="1334">
        <f t="shared" si="81"/>
        <v>0</v>
      </c>
      <c r="M1517" s="1335" t="e">
        <f>VLOOKUP(C1517,Acc_Char!B:K,5,)</f>
        <v>#N/A</v>
      </c>
      <c r="N1517" s="1335" t="e">
        <f>VLOOKUP(C1517,Acc_Char!B:K,6,)</f>
        <v>#N/A</v>
      </c>
      <c r="O1517" s="1336" t="str">
        <f>Summary!$B$4</f>
        <v>W1-2Jan26</v>
      </c>
      <c r="P1517" s="1334" t="str">
        <f t="shared" si="82"/>
        <v>0</v>
      </c>
    </row>
    <row r="1518" spans="2:16">
      <c r="C1518" s="1348"/>
      <c r="D1518" s="1389"/>
      <c r="F1518" s="1312"/>
      <c r="H1518" s="1152">
        <f t="shared" si="87"/>
        <v>0</v>
      </c>
      <c r="J1518" s="1334" t="e">
        <f>VLOOKUP(C1518,Acc_Char!B:K,3,)</f>
        <v>#N/A</v>
      </c>
      <c r="K1518" s="1334" t="e">
        <f>VLOOKUP(C1518,Acc_Char!B:K,7,)</f>
        <v>#N/A</v>
      </c>
      <c r="L1518" s="1334">
        <f t="shared" si="81"/>
        <v>0</v>
      </c>
      <c r="M1518" s="1335" t="e">
        <f>VLOOKUP(C1518,Acc_Char!B:K,5,)</f>
        <v>#N/A</v>
      </c>
      <c r="N1518" s="1335" t="e">
        <f>VLOOKUP(C1518,Acc_Char!B:K,6,)</f>
        <v>#N/A</v>
      </c>
      <c r="O1518" s="1336" t="str">
        <f>Summary!$B$4</f>
        <v>W1-2Jan26</v>
      </c>
      <c r="P1518" s="1334" t="str">
        <f t="shared" si="82"/>
        <v>0</v>
      </c>
    </row>
    <row r="1519" spans="2:16">
      <c r="C1519" s="1348"/>
      <c r="D1519" s="1389"/>
      <c r="F1519" s="1312"/>
      <c r="H1519" s="1152">
        <f t="shared" si="87"/>
        <v>0</v>
      </c>
      <c r="J1519" s="1334" t="e">
        <f>VLOOKUP(C1519,Acc_Char!B:K,3,)</f>
        <v>#N/A</v>
      </c>
      <c r="K1519" s="1334" t="e">
        <f>VLOOKUP(C1519,Acc_Char!B:K,7,)</f>
        <v>#N/A</v>
      </c>
      <c r="L1519" s="1334">
        <f t="shared" si="81"/>
        <v>0</v>
      </c>
      <c r="M1519" s="1335" t="e">
        <f>VLOOKUP(C1519,Acc_Char!B:K,5,)</f>
        <v>#N/A</v>
      </c>
      <c r="N1519" s="1335" t="e">
        <f>VLOOKUP(C1519,Acc_Char!B:K,6,)</f>
        <v>#N/A</v>
      </c>
      <c r="O1519" s="1336" t="str">
        <f>Summary!$B$4</f>
        <v>W1-2Jan26</v>
      </c>
      <c r="P1519" s="1334" t="str">
        <f t="shared" si="82"/>
        <v>0</v>
      </c>
    </row>
    <row r="1520" spans="2:16">
      <c r="C1520" s="1348"/>
      <c r="D1520" s="1389"/>
      <c r="F1520" s="1312"/>
      <c r="H1520" s="1152">
        <f t="shared" ref="H1520:H1577" si="88">F1520-G1520</f>
        <v>0</v>
      </c>
      <c r="J1520" s="1334" t="e">
        <f>VLOOKUP(C1520,Acc_Char!B:K,3,)</f>
        <v>#N/A</v>
      </c>
      <c r="K1520" s="1334" t="e">
        <f>VLOOKUP(C1520,Acc_Char!B:K,7,)</f>
        <v>#N/A</v>
      </c>
      <c r="L1520" s="1334">
        <f t="shared" si="81"/>
        <v>0</v>
      </c>
      <c r="M1520" s="1335" t="e">
        <f>VLOOKUP(C1520,Acc_Char!B:K,5,)</f>
        <v>#N/A</v>
      </c>
      <c r="N1520" s="1335" t="e">
        <f>VLOOKUP(C1520,Acc_Char!B:K,6,)</f>
        <v>#N/A</v>
      </c>
      <c r="O1520" s="1336" t="str">
        <f>Summary!$B$4</f>
        <v>W1-2Jan26</v>
      </c>
      <c r="P1520" s="1334" t="str">
        <f t="shared" si="82"/>
        <v>0</v>
      </c>
    </row>
    <row r="1521" spans="3:16">
      <c r="C1521" s="1019"/>
      <c r="D1521" s="1389"/>
      <c r="F1521" s="1312"/>
      <c r="H1521" s="1152">
        <f t="shared" si="88"/>
        <v>0</v>
      </c>
      <c r="J1521" s="1334" t="e">
        <f>VLOOKUP(C1521,Acc_Char!B:K,3,)</f>
        <v>#N/A</v>
      </c>
      <c r="K1521" s="1334" t="e">
        <f>VLOOKUP(C1521,Acc_Char!B:K,7,)</f>
        <v>#N/A</v>
      </c>
      <c r="L1521" s="1334">
        <f t="shared" si="81"/>
        <v>0</v>
      </c>
      <c r="M1521" s="1335" t="e">
        <f>VLOOKUP(C1521,Acc_Char!B:K,5,)</f>
        <v>#N/A</v>
      </c>
      <c r="N1521" s="1335" t="e">
        <f>VLOOKUP(C1521,Acc_Char!B:K,6,)</f>
        <v>#N/A</v>
      </c>
      <c r="O1521" s="1336" t="str">
        <f>Summary!$B$4</f>
        <v>W1-2Jan26</v>
      </c>
      <c r="P1521" s="1334" t="str">
        <f t="shared" si="82"/>
        <v>0</v>
      </c>
    </row>
    <row r="1522" spans="3:16">
      <c r="C1522" s="1348"/>
      <c r="F1522" s="1312"/>
      <c r="H1522" s="1152">
        <f t="shared" si="88"/>
        <v>0</v>
      </c>
      <c r="J1522" s="1334" t="e">
        <f>VLOOKUP(C1522,Acc_Char!B:K,3,)</f>
        <v>#N/A</v>
      </c>
      <c r="K1522" s="1334" t="e">
        <f>VLOOKUP(C1522,Acc_Char!B:K,7,)</f>
        <v>#N/A</v>
      </c>
      <c r="L1522" s="1334">
        <f t="shared" si="81"/>
        <v>0</v>
      </c>
      <c r="M1522" s="1335" t="e">
        <f>VLOOKUP(C1522,Acc_Char!B:K,5,)</f>
        <v>#N/A</v>
      </c>
      <c r="N1522" s="1335" t="e">
        <f>VLOOKUP(C1522,Acc_Char!B:K,6,)</f>
        <v>#N/A</v>
      </c>
      <c r="O1522" s="1336" t="str">
        <f>Summary!$B$4</f>
        <v>W1-2Jan26</v>
      </c>
      <c r="P1522" s="1334" t="str">
        <f t="shared" si="82"/>
        <v>0</v>
      </c>
    </row>
    <row r="1523" spans="3:16">
      <c r="C1523" s="1348"/>
      <c r="F1523" s="1312"/>
      <c r="H1523" s="1152">
        <f t="shared" si="88"/>
        <v>0</v>
      </c>
      <c r="J1523" s="1334" t="e">
        <f>VLOOKUP(C1523,Acc_Char!B:K,3,)</f>
        <v>#N/A</v>
      </c>
      <c r="K1523" s="1334" t="e">
        <f>VLOOKUP(C1523,Acc_Char!B:K,7,)</f>
        <v>#N/A</v>
      </c>
      <c r="L1523" s="1334">
        <f t="shared" si="81"/>
        <v>0</v>
      </c>
      <c r="M1523" s="1335" t="e">
        <f>VLOOKUP(C1523,Acc_Char!B:K,5,)</f>
        <v>#N/A</v>
      </c>
      <c r="N1523" s="1335" t="e">
        <f>VLOOKUP(C1523,Acc_Char!B:K,6,)</f>
        <v>#N/A</v>
      </c>
      <c r="O1523" s="1336" t="str">
        <f>Summary!$B$4</f>
        <v>W1-2Jan26</v>
      </c>
      <c r="P1523" s="1334" t="str">
        <f t="shared" si="82"/>
        <v>0</v>
      </c>
    </row>
    <row r="1524" spans="3:16">
      <c r="C1524" s="1348"/>
      <c r="F1524" s="1312"/>
      <c r="H1524" s="1152">
        <f t="shared" si="88"/>
        <v>0</v>
      </c>
      <c r="J1524" s="1334" t="e">
        <f>VLOOKUP(C1524,Acc_Char!B:K,3,)</f>
        <v>#N/A</v>
      </c>
      <c r="K1524" s="1334" t="e">
        <f>VLOOKUP(C1524,Acc_Char!B:K,7,)</f>
        <v>#N/A</v>
      </c>
      <c r="L1524" s="1334">
        <f t="shared" si="81"/>
        <v>0</v>
      </c>
      <c r="M1524" s="1335" t="e">
        <f>VLOOKUP(C1524,Acc_Char!B:K,5,)</f>
        <v>#N/A</v>
      </c>
      <c r="N1524" s="1335" t="e">
        <f>VLOOKUP(C1524,Acc_Char!B:K,6,)</f>
        <v>#N/A</v>
      </c>
      <c r="O1524" s="1336" t="str">
        <f>Summary!$B$4</f>
        <v>W1-2Jan26</v>
      </c>
      <c r="P1524" s="1334" t="str">
        <f t="shared" si="82"/>
        <v>0</v>
      </c>
    </row>
    <row r="1525" spans="3:16">
      <c r="C1525" s="1348"/>
      <c r="F1525" s="1312"/>
      <c r="H1525" s="1152">
        <f t="shared" si="88"/>
        <v>0</v>
      </c>
      <c r="J1525" s="1334" t="e">
        <f>VLOOKUP(C1525,Acc_Char!B:K,3,)</f>
        <v>#N/A</v>
      </c>
      <c r="K1525" s="1334" t="e">
        <f>VLOOKUP(C1525,Acc_Char!B:K,7,)</f>
        <v>#N/A</v>
      </c>
      <c r="L1525" s="1334">
        <f t="shared" si="81"/>
        <v>0</v>
      </c>
      <c r="M1525" s="1335" t="e">
        <f>VLOOKUP(C1525,Acc_Char!B:K,5,)</f>
        <v>#N/A</v>
      </c>
      <c r="N1525" s="1335" t="e">
        <f>VLOOKUP(C1525,Acc_Char!B:K,6,)</f>
        <v>#N/A</v>
      </c>
      <c r="O1525" s="1336" t="str">
        <f>Summary!$B$4</f>
        <v>W1-2Jan26</v>
      </c>
      <c r="P1525" s="1334" t="str">
        <f t="shared" si="82"/>
        <v>0</v>
      </c>
    </row>
    <row r="1526" spans="3:16">
      <c r="C1526" s="1348"/>
      <c r="F1526" s="1312"/>
      <c r="H1526" s="1152">
        <f t="shared" si="88"/>
        <v>0</v>
      </c>
      <c r="J1526" s="1334" t="e">
        <f>VLOOKUP(C1526,Acc_Char!B:K,3,)</f>
        <v>#N/A</v>
      </c>
      <c r="K1526" s="1334" t="e">
        <f>VLOOKUP(C1526,Acc_Char!B:K,7,)</f>
        <v>#N/A</v>
      </c>
      <c r="L1526" s="1334">
        <f t="shared" si="81"/>
        <v>0</v>
      </c>
      <c r="M1526" s="1335" t="e">
        <f>VLOOKUP(C1526,Acc_Char!B:K,5,)</f>
        <v>#N/A</v>
      </c>
      <c r="N1526" s="1335" t="e">
        <f>VLOOKUP(C1526,Acc_Char!B:K,6,)</f>
        <v>#N/A</v>
      </c>
      <c r="O1526" s="1336" t="str">
        <f>Summary!$B$4</f>
        <v>W1-2Jan26</v>
      </c>
      <c r="P1526" s="1334" t="str">
        <f t="shared" si="82"/>
        <v>0</v>
      </c>
    </row>
    <row r="1527" spans="3:16">
      <c r="C1527" s="1348"/>
      <c r="F1527" s="1312"/>
      <c r="H1527" s="1152">
        <f t="shared" si="88"/>
        <v>0</v>
      </c>
      <c r="J1527" s="1334" t="e">
        <f>VLOOKUP(C1527,Acc_Char!B:K,3,)</f>
        <v>#N/A</v>
      </c>
      <c r="K1527" s="1334" t="e">
        <f>VLOOKUP(C1527,Acc_Char!B:K,7,)</f>
        <v>#N/A</v>
      </c>
      <c r="L1527" s="1334">
        <f t="shared" si="81"/>
        <v>0</v>
      </c>
      <c r="M1527" s="1335" t="e">
        <f>VLOOKUP(C1527,Acc_Char!B:K,5,)</f>
        <v>#N/A</v>
      </c>
      <c r="N1527" s="1335" t="e">
        <f>VLOOKUP(C1527,Acc_Char!B:K,6,)</f>
        <v>#N/A</v>
      </c>
      <c r="O1527" s="1336" t="str">
        <f>Summary!$B$4</f>
        <v>W1-2Jan26</v>
      </c>
      <c r="P1527" s="1334" t="str">
        <f t="shared" si="82"/>
        <v>0</v>
      </c>
    </row>
    <row r="1528" spans="3:16">
      <c r="C1528" s="1348"/>
      <c r="F1528" s="1312"/>
      <c r="H1528" s="1152">
        <f t="shared" si="88"/>
        <v>0</v>
      </c>
      <c r="J1528" s="1334" t="e">
        <f>VLOOKUP(C1528,Acc_Char!B:K,3,)</f>
        <v>#N/A</v>
      </c>
      <c r="K1528" s="1334" t="e">
        <f>VLOOKUP(C1528,Acc_Char!B:K,7,)</f>
        <v>#N/A</v>
      </c>
      <c r="L1528" s="1334">
        <f t="shared" si="81"/>
        <v>0</v>
      </c>
      <c r="M1528" s="1335" t="e">
        <f>VLOOKUP(C1528,Acc_Char!B:K,5,)</f>
        <v>#N/A</v>
      </c>
      <c r="N1528" s="1335" t="e">
        <f>VLOOKUP(C1528,Acc_Char!B:K,6,)</f>
        <v>#N/A</v>
      </c>
      <c r="O1528" s="1336" t="str">
        <f>Summary!$B$4</f>
        <v>W1-2Jan26</v>
      </c>
      <c r="P1528" s="1334" t="str">
        <f t="shared" si="82"/>
        <v>0</v>
      </c>
    </row>
    <row r="1529" spans="3:16">
      <c r="C1529" s="1348"/>
      <c r="F1529" s="1312"/>
      <c r="H1529" s="1152">
        <f t="shared" si="88"/>
        <v>0</v>
      </c>
      <c r="J1529" s="1334" t="e">
        <f>VLOOKUP(C1529,Acc_Char!B:K,3,)</f>
        <v>#N/A</v>
      </c>
      <c r="K1529" s="1334" t="e">
        <f>VLOOKUP(C1529,Acc_Char!B:K,7,)</f>
        <v>#N/A</v>
      </c>
      <c r="L1529" s="1334">
        <f t="shared" si="81"/>
        <v>0</v>
      </c>
      <c r="M1529" s="1335" t="e">
        <f>VLOOKUP(C1529,Acc_Char!B:K,5,)</f>
        <v>#N/A</v>
      </c>
      <c r="N1529" s="1335" t="e">
        <f>VLOOKUP(C1529,Acc_Char!B:K,6,)</f>
        <v>#N/A</v>
      </c>
      <c r="O1529" s="1336" t="str">
        <f>Summary!$B$4</f>
        <v>W1-2Jan26</v>
      </c>
      <c r="P1529" s="1334" t="str">
        <f t="shared" si="82"/>
        <v>0</v>
      </c>
    </row>
    <row r="1530" spans="3:16">
      <c r="C1530" s="1348"/>
      <c r="F1530" s="1312"/>
      <c r="H1530" s="1152">
        <f t="shared" si="88"/>
        <v>0</v>
      </c>
      <c r="J1530" s="1334" t="e">
        <f>VLOOKUP(C1530,Acc_Char!B:K,3,)</f>
        <v>#N/A</v>
      </c>
      <c r="K1530" s="1334" t="e">
        <f>VLOOKUP(C1530,Acc_Char!B:K,7,)</f>
        <v>#N/A</v>
      </c>
      <c r="L1530" s="1334">
        <f t="shared" si="81"/>
        <v>0</v>
      </c>
      <c r="M1530" s="1335" t="e">
        <f>VLOOKUP(C1530,Acc_Char!B:K,5,)</f>
        <v>#N/A</v>
      </c>
      <c r="N1530" s="1335" t="e">
        <f>VLOOKUP(C1530,Acc_Char!B:K,6,)</f>
        <v>#N/A</v>
      </c>
      <c r="O1530" s="1336" t="str">
        <f>Summary!$B$4</f>
        <v>W1-2Jan26</v>
      </c>
      <c r="P1530" s="1334" t="str">
        <f t="shared" si="82"/>
        <v>0</v>
      </c>
    </row>
    <row r="1531" spans="3:16">
      <c r="C1531" s="1348"/>
      <c r="F1531" s="1312"/>
      <c r="H1531" s="1152">
        <f t="shared" si="88"/>
        <v>0</v>
      </c>
      <c r="J1531" s="1334" t="e">
        <f>VLOOKUP(C1531,Acc_Char!B:K,3,)</f>
        <v>#N/A</v>
      </c>
      <c r="K1531" s="1334" t="e">
        <f>VLOOKUP(C1531,Acc_Char!B:K,7,)</f>
        <v>#N/A</v>
      </c>
      <c r="L1531" s="1334">
        <f t="shared" si="81"/>
        <v>0</v>
      </c>
      <c r="M1531" s="1335" t="e">
        <f>VLOOKUP(C1531,Acc_Char!B:K,5,)</f>
        <v>#N/A</v>
      </c>
      <c r="N1531" s="1335" t="e">
        <f>VLOOKUP(C1531,Acc_Char!B:K,6,)</f>
        <v>#N/A</v>
      </c>
      <c r="O1531" s="1336" t="str">
        <f>Summary!$B$4</f>
        <v>W1-2Jan26</v>
      </c>
      <c r="P1531" s="1334" t="str">
        <f t="shared" si="82"/>
        <v>0</v>
      </c>
    </row>
    <row r="1532" spans="3:16">
      <c r="C1532" s="1348"/>
      <c r="F1532" s="1312"/>
      <c r="H1532" s="1152">
        <f t="shared" si="88"/>
        <v>0</v>
      </c>
      <c r="J1532" s="1334" t="e">
        <f>VLOOKUP(C1532,Acc_Char!B:K,3,)</f>
        <v>#N/A</v>
      </c>
      <c r="K1532" s="1334" t="e">
        <f>VLOOKUP(C1532,Acc_Char!B:K,7,)</f>
        <v>#N/A</v>
      </c>
      <c r="L1532" s="1334">
        <f t="shared" si="81"/>
        <v>0</v>
      </c>
      <c r="M1532" s="1335" t="e">
        <f>VLOOKUP(C1532,Acc_Char!B:K,5,)</f>
        <v>#N/A</v>
      </c>
      <c r="N1532" s="1335" t="e">
        <f>VLOOKUP(C1532,Acc_Char!B:K,6,)</f>
        <v>#N/A</v>
      </c>
      <c r="O1532" s="1336" t="str">
        <f>Summary!$B$4</f>
        <v>W1-2Jan26</v>
      </c>
      <c r="P1532" s="1334" t="str">
        <f t="shared" si="82"/>
        <v>0</v>
      </c>
    </row>
    <row r="1533" spans="3:16">
      <c r="C1533" s="1348"/>
      <c r="F1533" s="1312"/>
      <c r="H1533" s="1152">
        <f t="shared" si="88"/>
        <v>0</v>
      </c>
      <c r="J1533" s="1334" t="e">
        <f>VLOOKUP(C1533,Acc_Char!B:K,3,)</f>
        <v>#N/A</v>
      </c>
      <c r="K1533" s="1334" t="e">
        <f>VLOOKUP(C1533,Acc_Char!B:K,7,)</f>
        <v>#N/A</v>
      </c>
      <c r="L1533" s="1334">
        <f t="shared" si="81"/>
        <v>0</v>
      </c>
      <c r="M1533" s="1335" t="e">
        <f>VLOOKUP(C1533,Acc_Char!B:K,5,)</f>
        <v>#N/A</v>
      </c>
      <c r="N1533" s="1335" t="e">
        <f>VLOOKUP(C1533,Acc_Char!B:K,6,)</f>
        <v>#N/A</v>
      </c>
      <c r="O1533" s="1336" t="str">
        <f>Summary!$B$4</f>
        <v>W1-2Jan26</v>
      </c>
      <c r="P1533" s="1334" t="str">
        <f t="shared" si="82"/>
        <v>0</v>
      </c>
    </row>
    <row r="1534" spans="3:16">
      <c r="C1534" s="1348"/>
      <c r="F1534" s="1312"/>
      <c r="H1534" s="1152">
        <f t="shared" si="88"/>
        <v>0</v>
      </c>
      <c r="J1534" s="1334" t="e">
        <f>VLOOKUP(C1534,Acc_Char!B:K,3,)</f>
        <v>#N/A</v>
      </c>
      <c r="K1534" s="1334" t="e">
        <f>VLOOKUP(C1534,Acc_Char!B:K,7,)</f>
        <v>#N/A</v>
      </c>
      <c r="L1534" s="1334">
        <f t="shared" si="81"/>
        <v>0</v>
      </c>
      <c r="M1534" s="1335" t="e">
        <f>VLOOKUP(C1534,Acc_Char!B:K,5,)</f>
        <v>#N/A</v>
      </c>
      <c r="N1534" s="1335" t="e">
        <f>VLOOKUP(C1534,Acc_Char!B:K,6,)</f>
        <v>#N/A</v>
      </c>
      <c r="O1534" s="1336" t="str">
        <f>Summary!$B$4</f>
        <v>W1-2Jan26</v>
      </c>
      <c r="P1534" s="1334" t="str">
        <f t="shared" si="82"/>
        <v>0</v>
      </c>
    </row>
    <row r="1535" spans="3:16">
      <c r="C1535" s="1348"/>
      <c r="F1535" s="1312"/>
      <c r="H1535" s="1152">
        <f t="shared" si="88"/>
        <v>0</v>
      </c>
      <c r="J1535" s="1334" t="e">
        <f>VLOOKUP(C1535,Acc_Char!B:K,3,)</f>
        <v>#N/A</v>
      </c>
      <c r="K1535" s="1334" t="e">
        <f>VLOOKUP(C1535,Acc_Char!B:K,7,)</f>
        <v>#N/A</v>
      </c>
      <c r="L1535" s="1334">
        <f t="shared" si="81"/>
        <v>0</v>
      </c>
      <c r="M1535" s="1335" t="e">
        <f>VLOOKUP(C1535,Acc_Char!B:K,5,)</f>
        <v>#N/A</v>
      </c>
      <c r="N1535" s="1335" t="e">
        <f>VLOOKUP(C1535,Acc_Char!B:K,6,)</f>
        <v>#N/A</v>
      </c>
      <c r="O1535" s="1336" t="str">
        <f>Summary!$B$4</f>
        <v>W1-2Jan26</v>
      </c>
      <c r="P1535" s="1334" t="str">
        <f t="shared" si="82"/>
        <v>0</v>
      </c>
    </row>
    <row r="1536" spans="3:16">
      <c r="C1536" s="1348"/>
      <c r="F1536" s="1312"/>
      <c r="H1536" s="1152">
        <f t="shared" si="88"/>
        <v>0</v>
      </c>
      <c r="J1536" s="1334" t="e">
        <f>VLOOKUP(C1536,Acc_Char!B:K,3,)</f>
        <v>#N/A</v>
      </c>
      <c r="K1536" s="1334" t="e">
        <f>VLOOKUP(C1536,Acc_Char!B:K,7,)</f>
        <v>#N/A</v>
      </c>
      <c r="L1536" s="1334">
        <f t="shared" si="81"/>
        <v>0</v>
      </c>
      <c r="M1536" s="1335" t="e">
        <f>VLOOKUP(C1536,Acc_Char!B:K,5,)</f>
        <v>#N/A</v>
      </c>
      <c r="N1536" s="1335" t="e">
        <f>VLOOKUP(C1536,Acc_Char!B:K,6,)</f>
        <v>#N/A</v>
      </c>
      <c r="O1536" s="1336" t="str">
        <f>Summary!$B$4</f>
        <v>W1-2Jan26</v>
      </c>
      <c r="P1536" s="1334" t="str">
        <f t="shared" si="82"/>
        <v>0</v>
      </c>
    </row>
    <row r="1537" spans="3:16">
      <c r="C1537" s="1348"/>
      <c r="F1537" s="1312"/>
      <c r="H1537" s="1152">
        <f t="shared" si="88"/>
        <v>0</v>
      </c>
      <c r="J1537" s="1334" t="e">
        <f>VLOOKUP(C1537,Acc_Char!B:K,3,)</f>
        <v>#N/A</v>
      </c>
      <c r="K1537" s="1334" t="e">
        <f>VLOOKUP(C1537,Acc_Char!B:K,7,)</f>
        <v>#N/A</v>
      </c>
      <c r="L1537" s="1334">
        <f t="shared" si="81"/>
        <v>0</v>
      </c>
      <c r="M1537" s="1335" t="e">
        <f>VLOOKUP(C1537,Acc_Char!B:K,5,)</f>
        <v>#N/A</v>
      </c>
      <c r="N1537" s="1335" t="e">
        <f>VLOOKUP(C1537,Acc_Char!B:K,6,)</f>
        <v>#N/A</v>
      </c>
      <c r="O1537" s="1336" t="str">
        <f>Summary!$B$4</f>
        <v>W1-2Jan26</v>
      </c>
      <c r="P1537" s="1334" t="str">
        <f t="shared" si="82"/>
        <v>0</v>
      </c>
    </row>
    <row r="1538" spans="3:16">
      <c r="C1538" s="1348"/>
      <c r="F1538" s="1312"/>
      <c r="H1538" s="1152">
        <f t="shared" si="88"/>
        <v>0</v>
      </c>
      <c r="J1538" s="1334" t="e">
        <f>VLOOKUP(C1538,Acc_Char!B:K,3,)</f>
        <v>#N/A</v>
      </c>
      <c r="K1538" s="1334" t="e">
        <f>VLOOKUP(C1538,Acc_Char!B:K,7,)</f>
        <v>#N/A</v>
      </c>
      <c r="L1538" s="1334">
        <f t="shared" si="81"/>
        <v>0</v>
      </c>
      <c r="M1538" s="1335" t="e">
        <f>VLOOKUP(C1538,Acc_Char!B:K,5,)</f>
        <v>#N/A</v>
      </c>
      <c r="N1538" s="1335" t="e">
        <f>VLOOKUP(C1538,Acc_Char!B:K,6,)</f>
        <v>#N/A</v>
      </c>
      <c r="O1538" s="1336" t="str">
        <f>Summary!$B$4</f>
        <v>W1-2Jan26</v>
      </c>
      <c r="P1538" s="1334" t="str">
        <f t="shared" si="82"/>
        <v>0</v>
      </c>
    </row>
    <row r="1539" spans="3:16">
      <c r="C1539" s="1348"/>
      <c r="F1539" s="1312"/>
      <c r="H1539" s="1152">
        <f t="shared" si="88"/>
        <v>0</v>
      </c>
      <c r="J1539" s="1334" t="e">
        <f>VLOOKUP(C1539,Acc_Char!B:K,3,)</f>
        <v>#N/A</v>
      </c>
      <c r="K1539" s="1334" t="e">
        <f>VLOOKUP(C1539,Acc_Char!B:K,7,)</f>
        <v>#N/A</v>
      </c>
      <c r="L1539" s="1334">
        <f t="shared" si="81"/>
        <v>0</v>
      </c>
      <c r="M1539" s="1335" t="e">
        <f>VLOOKUP(C1539,Acc_Char!B:K,5,)</f>
        <v>#N/A</v>
      </c>
      <c r="N1539" s="1335" t="e">
        <f>VLOOKUP(C1539,Acc_Char!B:K,6,)</f>
        <v>#N/A</v>
      </c>
      <c r="O1539" s="1336" t="str">
        <f>Summary!$B$4</f>
        <v>W1-2Jan26</v>
      </c>
      <c r="P1539" s="1334" t="str">
        <f t="shared" si="82"/>
        <v>0</v>
      </c>
    </row>
    <row r="1540" spans="3:16">
      <c r="C1540" s="1348"/>
      <c r="F1540" s="1312"/>
      <c r="H1540" s="1152">
        <f t="shared" si="88"/>
        <v>0</v>
      </c>
      <c r="J1540" s="1334" t="e">
        <f>VLOOKUP(C1540,Acc_Char!B:K,3,)</f>
        <v>#N/A</v>
      </c>
      <c r="K1540" s="1334" t="e">
        <f>VLOOKUP(C1540,Acc_Char!B:K,7,)</f>
        <v>#N/A</v>
      </c>
      <c r="L1540" s="1334">
        <f t="shared" si="81"/>
        <v>0</v>
      </c>
      <c r="M1540" s="1335" t="e">
        <f>VLOOKUP(C1540,Acc_Char!B:K,5,)</f>
        <v>#N/A</v>
      </c>
      <c r="N1540" s="1335" t="e">
        <f>VLOOKUP(C1540,Acc_Char!B:K,6,)</f>
        <v>#N/A</v>
      </c>
      <c r="O1540" s="1336" t="str">
        <f>Summary!$B$4</f>
        <v>W1-2Jan26</v>
      </c>
      <c r="P1540" s="1334" t="str">
        <f t="shared" si="82"/>
        <v>0</v>
      </c>
    </row>
    <row r="1541" spans="3:16">
      <c r="C1541" s="1348"/>
      <c r="F1541" s="1312"/>
      <c r="H1541" s="1152">
        <f t="shared" si="88"/>
        <v>0</v>
      </c>
      <c r="J1541" s="1334" t="e">
        <f>VLOOKUP(C1541,Acc_Char!B:K,3,)</f>
        <v>#N/A</v>
      </c>
      <c r="K1541" s="1334" t="e">
        <f>VLOOKUP(C1541,Acc_Char!B:K,7,)</f>
        <v>#N/A</v>
      </c>
      <c r="L1541" s="1334">
        <f t="shared" ref="L1541:L1576" si="89">I1541</f>
        <v>0</v>
      </c>
      <c r="M1541" s="1335" t="e">
        <f>VLOOKUP(C1541,Acc_Char!B:K,5,)</f>
        <v>#N/A</v>
      </c>
      <c r="N1541" s="1335" t="e">
        <f>VLOOKUP(C1541,Acc_Char!B:K,6,)</f>
        <v>#N/A</v>
      </c>
      <c r="O1541" s="1336" t="str">
        <f>Summary!$B$4</f>
        <v>W1-2Jan26</v>
      </c>
      <c r="P1541" s="1334" t="str">
        <f t="shared" ref="P1541:P1576" si="90">TEXT(C1541,"0")</f>
        <v>0</v>
      </c>
    </row>
    <row r="1542" spans="3:16">
      <c r="C1542" s="1348"/>
      <c r="F1542" s="1312"/>
      <c r="H1542" s="1152">
        <f t="shared" si="88"/>
        <v>0</v>
      </c>
      <c r="J1542" s="1334" t="e">
        <f>VLOOKUP(C1542,Acc_Char!B:K,3,)</f>
        <v>#N/A</v>
      </c>
      <c r="K1542" s="1334" t="e">
        <f>VLOOKUP(C1542,Acc_Char!B:K,7,)</f>
        <v>#N/A</v>
      </c>
      <c r="L1542" s="1334">
        <f t="shared" si="89"/>
        <v>0</v>
      </c>
      <c r="M1542" s="1335" t="e">
        <f>VLOOKUP(C1542,Acc_Char!B:K,5,)</f>
        <v>#N/A</v>
      </c>
      <c r="N1542" s="1335" t="e">
        <f>VLOOKUP(C1542,Acc_Char!B:K,6,)</f>
        <v>#N/A</v>
      </c>
      <c r="O1542" s="1336" t="str">
        <f>Summary!$B$4</f>
        <v>W1-2Jan26</v>
      </c>
      <c r="P1542" s="1334" t="str">
        <f t="shared" si="90"/>
        <v>0</v>
      </c>
    </row>
    <row r="1543" spans="3:16">
      <c r="C1543" s="1348"/>
      <c r="F1543" s="1312"/>
      <c r="H1543" s="1152">
        <f t="shared" si="88"/>
        <v>0</v>
      </c>
      <c r="J1543" s="1334" t="e">
        <f>VLOOKUP(C1543,Acc_Char!B:K,3,)</f>
        <v>#N/A</v>
      </c>
      <c r="K1543" s="1334" t="e">
        <f>VLOOKUP(C1543,Acc_Char!B:K,7,)</f>
        <v>#N/A</v>
      </c>
      <c r="L1543" s="1334">
        <f t="shared" si="89"/>
        <v>0</v>
      </c>
      <c r="M1543" s="1335" t="e">
        <f>VLOOKUP(C1543,Acc_Char!B:K,5,)</f>
        <v>#N/A</v>
      </c>
      <c r="N1543" s="1335" t="e">
        <f>VLOOKUP(C1543,Acc_Char!B:K,6,)</f>
        <v>#N/A</v>
      </c>
      <c r="O1543" s="1336" t="str">
        <f>Summary!$B$4</f>
        <v>W1-2Jan26</v>
      </c>
      <c r="P1543" s="1334" t="str">
        <f t="shared" si="90"/>
        <v>0</v>
      </c>
    </row>
    <row r="1544" spans="3:16">
      <c r="C1544" s="1348"/>
      <c r="F1544" s="1312"/>
      <c r="H1544" s="1152">
        <f t="shared" si="88"/>
        <v>0</v>
      </c>
      <c r="J1544" s="1334" t="e">
        <f>VLOOKUP(C1544,Acc_Char!B:K,3,)</f>
        <v>#N/A</v>
      </c>
      <c r="K1544" s="1334" t="e">
        <f>VLOOKUP(C1544,Acc_Char!B:K,7,)</f>
        <v>#N/A</v>
      </c>
      <c r="L1544" s="1334">
        <f t="shared" si="89"/>
        <v>0</v>
      </c>
      <c r="M1544" s="1335" t="e">
        <f>VLOOKUP(C1544,Acc_Char!B:K,5,)</f>
        <v>#N/A</v>
      </c>
      <c r="N1544" s="1335" t="e">
        <f>VLOOKUP(C1544,Acc_Char!B:K,6,)</f>
        <v>#N/A</v>
      </c>
      <c r="O1544" s="1336" t="str">
        <f>Summary!$B$4</f>
        <v>W1-2Jan26</v>
      </c>
      <c r="P1544" s="1334" t="str">
        <f t="shared" si="90"/>
        <v>0</v>
      </c>
    </row>
    <row r="1545" spans="3:16">
      <c r="C1545" s="1348"/>
      <c r="F1545" s="1312"/>
      <c r="H1545" s="1152">
        <f t="shared" si="88"/>
        <v>0</v>
      </c>
      <c r="J1545" s="1334" t="e">
        <f>VLOOKUP(C1545,Acc_Char!B:K,3,)</f>
        <v>#N/A</v>
      </c>
      <c r="K1545" s="1334" t="e">
        <f>VLOOKUP(C1545,Acc_Char!B:K,7,)</f>
        <v>#N/A</v>
      </c>
      <c r="L1545" s="1334">
        <f t="shared" si="89"/>
        <v>0</v>
      </c>
      <c r="M1545" s="1335" t="e">
        <f>VLOOKUP(C1545,Acc_Char!B:K,5,)</f>
        <v>#N/A</v>
      </c>
      <c r="N1545" s="1335" t="e">
        <f>VLOOKUP(C1545,Acc_Char!B:K,6,)</f>
        <v>#N/A</v>
      </c>
      <c r="O1545" s="1336" t="str">
        <f>Summary!$B$4</f>
        <v>W1-2Jan26</v>
      </c>
      <c r="P1545" s="1334" t="str">
        <f t="shared" si="90"/>
        <v>0</v>
      </c>
    </row>
    <row r="1546" spans="3:16">
      <c r="C1546" s="1348"/>
      <c r="F1546" s="1312"/>
      <c r="H1546" s="1152">
        <f t="shared" si="88"/>
        <v>0</v>
      </c>
      <c r="J1546" s="1334" t="e">
        <f>VLOOKUP(C1546,Acc_Char!B:K,3,)</f>
        <v>#N/A</v>
      </c>
      <c r="K1546" s="1334" t="e">
        <f>VLOOKUP(C1546,Acc_Char!B:K,7,)</f>
        <v>#N/A</v>
      </c>
      <c r="L1546" s="1334">
        <f t="shared" si="89"/>
        <v>0</v>
      </c>
      <c r="M1546" s="1335" t="e">
        <f>VLOOKUP(C1546,Acc_Char!B:K,5,)</f>
        <v>#N/A</v>
      </c>
      <c r="N1546" s="1335" t="e">
        <f>VLOOKUP(C1546,Acc_Char!B:K,6,)</f>
        <v>#N/A</v>
      </c>
      <c r="O1546" s="1336" t="str">
        <f>Summary!$B$4</f>
        <v>W1-2Jan26</v>
      </c>
      <c r="P1546" s="1334" t="str">
        <f t="shared" si="90"/>
        <v>0</v>
      </c>
    </row>
    <row r="1547" spans="3:16">
      <c r="C1547" s="1348"/>
      <c r="F1547" s="1312"/>
      <c r="H1547" s="1152">
        <f t="shared" si="88"/>
        <v>0</v>
      </c>
      <c r="J1547" s="1334" t="e">
        <f>VLOOKUP(C1547,Acc_Char!B:K,3,)</f>
        <v>#N/A</v>
      </c>
      <c r="K1547" s="1334" t="e">
        <f>VLOOKUP(C1547,Acc_Char!B:K,7,)</f>
        <v>#N/A</v>
      </c>
      <c r="L1547" s="1334">
        <f t="shared" si="89"/>
        <v>0</v>
      </c>
      <c r="M1547" s="1335" t="e">
        <f>VLOOKUP(C1547,Acc_Char!B:K,5,)</f>
        <v>#N/A</v>
      </c>
      <c r="N1547" s="1335" t="e">
        <f>VLOOKUP(C1547,Acc_Char!B:K,6,)</f>
        <v>#N/A</v>
      </c>
      <c r="O1547" s="1336" t="str">
        <f>Summary!$B$4</f>
        <v>W1-2Jan26</v>
      </c>
      <c r="P1547" s="1334" t="str">
        <f t="shared" si="90"/>
        <v>0</v>
      </c>
    </row>
    <row r="1548" spans="3:16">
      <c r="C1548" s="1348"/>
      <c r="D1548" s="1389"/>
      <c r="F1548" s="1312"/>
      <c r="H1548" s="1152">
        <f t="shared" si="88"/>
        <v>0</v>
      </c>
      <c r="J1548" s="1334" t="e">
        <f>VLOOKUP(C1548,Acc_Char!B:K,3,)</f>
        <v>#N/A</v>
      </c>
      <c r="K1548" s="1334" t="e">
        <f>VLOOKUP(C1548,Acc_Char!B:K,7,)</f>
        <v>#N/A</v>
      </c>
      <c r="L1548" s="1334">
        <f t="shared" si="89"/>
        <v>0</v>
      </c>
      <c r="M1548" s="1335" t="e">
        <f>VLOOKUP(C1548,Acc_Char!B:K,5,)</f>
        <v>#N/A</v>
      </c>
      <c r="N1548" s="1335" t="e">
        <f>VLOOKUP(C1548,Acc_Char!B:K,6,)</f>
        <v>#N/A</v>
      </c>
      <c r="O1548" s="1336" t="str">
        <f>Summary!$B$4</f>
        <v>W1-2Jan26</v>
      </c>
      <c r="P1548" s="1334" t="str">
        <f t="shared" si="90"/>
        <v>0</v>
      </c>
    </row>
    <row r="1549" spans="3:16">
      <c r="C1549" s="1358"/>
      <c r="E1549" s="1359"/>
      <c r="F1549" s="1312"/>
      <c r="H1549" s="1152">
        <f>F1549-G1549</f>
        <v>0</v>
      </c>
      <c r="J1549" s="1334" t="e">
        <f>VLOOKUP(C1549,Acc_Char!B:K,3,)</f>
        <v>#N/A</v>
      </c>
      <c r="K1549" s="1334" t="e">
        <f>VLOOKUP(C1549,Acc_Char!B:K,7,)</f>
        <v>#N/A</v>
      </c>
      <c r="L1549" s="1334">
        <f t="shared" si="89"/>
        <v>0</v>
      </c>
      <c r="M1549" s="1335" t="e">
        <f>VLOOKUP(C1549,Acc_Char!B:K,5,)</f>
        <v>#N/A</v>
      </c>
      <c r="N1549" s="1335" t="e">
        <f>VLOOKUP(C1549,Acc_Char!B:K,6,)</f>
        <v>#N/A</v>
      </c>
      <c r="O1549" s="1336" t="str">
        <f>Summary!$B$4</f>
        <v>W1-2Jan26</v>
      </c>
      <c r="P1549" s="1334" t="str">
        <f t="shared" si="90"/>
        <v>0</v>
      </c>
    </row>
    <row r="1550" spans="3:16">
      <c r="C1550" s="1348"/>
      <c r="D1550" s="1389"/>
      <c r="F1550" s="1312"/>
      <c r="H1550" s="1152">
        <f>F1550-G1550</f>
        <v>0</v>
      </c>
      <c r="J1550" s="1334" t="e">
        <f>VLOOKUP(C1550,Acc_Char!B:K,3,)</f>
        <v>#N/A</v>
      </c>
      <c r="K1550" s="1334" t="e">
        <f>VLOOKUP(C1550,Acc_Char!B:K,7,)</f>
        <v>#N/A</v>
      </c>
      <c r="L1550" s="1334">
        <f t="shared" si="89"/>
        <v>0</v>
      </c>
      <c r="M1550" s="1335" t="e">
        <f>VLOOKUP(C1550,Acc_Char!B:K,5,)</f>
        <v>#N/A</v>
      </c>
      <c r="N1550" s="1335" t="e">
        <f>VLOOKUP(C1550,Acc_Char!B:K,6,)</f>
        <v>#N/A</v>
      </c>
      <c r="O1550" s="1336" t="str">
        <f>Summary!$B$4</f>
        <v>W1-2Jan26</v>
      </c>
      <c r="P1550" s="1334" t="str">
        <f t="shared" si="90"/>
        <v>0</v>
      </c>
    </row>
    <row r="1551" spans="3:16">
      <c r="C1551" s="1348"/>
      <c r="D1551" s="1389"/>
      <c r="F1551" s="1312"/>
      <c r="H1551" s="1152">
        <f t="shared" si="88"/>
        <v>0</v>
      </c>
      <c r="J1551" s="1334" t="e">
        <f>VLOOKUP(C1551,Acc_Char!B:K,3,)</f>
        <v>#N/A</v>
      </c>
      <c r="K1551" s="1334" t="e">
        <f>VLOOKUP(C1551,Acc_Char!B:K,7,)</f>
        <v>#N/A</v>
      </c>
      <c r="L1551" s="1334">
        <f t="shared" si="89"/>
        <v>0</v>
      </c>
      <c r="M1551" s="1335" t="e">
        <f>VLOOKUP(C1551,Acc_Char!B:K,5,)</f>
        <v>#N/A</v>
      </c>
      <c r="N1551" s="1335" t="e">
        <f>VLOOKUP(C1551,Acc_Char!B:K,6,)</f>
        <v>#N/A</v>
      </c>
      <c r="O1551" s="1336" t="str">
        <f>Summary!$B$4</f>
        <v>W1-2Jan26</v>
      </c>
      <c r="P1551" s="1334" t="str">
        <f t="shared" si="90"/>
        <v>0</v>
      </c>
    </row>
    <row r="1552" spans="3:16">
      <c r="C1552" s="1348"/>
      <c r="D1552" s="1389"/>
      <c r="F1552" s="1312"/>
      <c r="H1552" s="1152">
        <f t="shared" si="88"/>
        <v>0</v>
      </c>
      <c r="J1552" s="1334" t="e">
        <f>VLOOKUP(C1552,Acc_Char!B:K,3,)</f>
        <v>#N/A</v>
      </c>
      <c r="K1552" s="1334" t="e">
        <f>VLOOKUP(C1552,Acc_Char!B:K,7,)</f>
        <v>#N/A</v>
      </c>
      <c r="L1552" s="1334">
        <f t="shared" si="89"/>
        <v>0</v>
      </c>
      <c r="M1552" s="1335" t="e">
        <f>VLOOKUP(C1552,Acc_Char!B:K,5,)</f>
        <v>#N/A</v>
      </c>
      <c r="N1552" s="1335" t="e">
        <f>VLOOKUP(C1552,Acc_Char!B:K,6,)</f>
        <v>#N/A</v>
      </c>
      <c r="O1552" s="1336" t="str">
        <f>Summary!$B$4</f>
        <v>W1-2Jan26</v>
      </c>
      <c r="P1552" s="1334" t="str">
        <f t="shared" si="90"/>
        <v>0</v>
      </c>
    </row>
    <row r="1553" spans="3:16">
      <c r="D1553" s="1389"/>
      <c r="F1553" s="1312"/>
      <c r="H1553" s="1152">
        <f t="shared" si="88"/>
        <v>0</v>
      </c>
      <c r="J1553" s="1334" t="e">
        <f>VLOOKUP(C1553,Acc_Char!B:K,3,)</f>
        <v>#N/A</v>
      </c>
      <c r="K1553" s="1334" t="e">
        <f>VLOOKUP(C1553,Acc_Char!B:K,7,)</f>
        <v>#N/A</v>
      </c>
      <c r="L1553" s="1334">
        <f t="shared" si="89"/>
        <v>0</v>
      </c>
      <c r="M1553" s="1335" t="e">
        <f>VLOOKUP(C1553,Acc_Char!B:K,5,)</f>
        <v>#N/A</v>
      </c>
      <c r="N1553" s="1335" t="e">
        <f>VLOOKUP(C1553,Acc_Char!B:K,6,)</f>
        <v>#N/A</v>
      </c>
      <c r="O1553" s="1336" t="str">
        <f>Summary!$B$4</f>
        <v>W1-2Jan26</v>
      </c>
      <c r="P1553" s="1334" t="str">
        <f t="shared" si="90"/>
        <v>0</v>
      </c>
    </row>
    <row r="1554" spans="3:16">
      <c r="C1554" s="1349"/>
      <c r="D1554" s="1389"/>
      <c r="F1554" s="1312"/>
      <c r="H1554" s="1152">
        <f t="shared" si="88"/>
        <v>0</v>
      </c>
      <c r="J1554" s="1334" t="e">
        <f>VLOOKUP(C1554,Acc_Char!B:K,3,)</f>
        <v>#N/A</v>
      </c>
      <c r="K1554" s="1334" t="e">
        <f>VLOOKUP(C1554,Acc_Char!B:K,7,)</f>
        <v>#N/A</v>
      </c>
      <c r="L1554" s="1334">
        <f t="shared" si="89"/>
        <v>0</v>
      </c>
      <c r="M1554" s="1335" t="e">
        <f>VLOOKUP(C1554,Acc_Char!B:K,5,)</f>
        <v>#N/A</v>
      </c>
      <c r="N1554" s="1335" t="e">
        <f>VLOOKUP(C1554,Acc_Char!B:K,6,)</f>
        <v>#N/A</v>
      </c>
      <c r="O1554" s="1336" t="str">
        <f>Summary!$B$4</f>
        <v>W1-2Jan26</v>
      </c>
      <c r="P1554" s="1334" t="str">
        <f t="shared" si="90"/>
        <v>0</v>
      </c>
    </row>
    <row r="1555" spans="3:16">
      <c r="C1555" s="1349"/>
      <c r="D1555" s="1389"/>
      <c r="F1555" s="1312"/>
      <c r="H1555" s="1152">
        <f t="shared" si="88"/>
        <v>0</v>
      </c>
      <c r="J1555" s="1334" t="e">
        <f>VLOOKUP(C1555,Acc_Char!B:K,3,)</f>
        <v>#N/A</v>
      </c>
      <c r="K1555" s="1334" t="e">
        <f>VLOOKUP(C1555,Acc_Char!B:K,7,)</f>
        <v>#N/A</v>
      </c>
      <c r="L1555" s="1334">
        <f t="shared" si="89"/>
        <v>0</v>
      </c>
      <c r="M1555" s="1335" t="e">
        <f>VLOOKUP(C1555,Acc_Char!B:K,5,)</f>
        <v>#N/A</v>
      </c>
      <c r="N1555" s="1335" t="e">
        <f>VLOOKUP(C1555,Acc_Char!B:K,6,)</f>
        <v>#N/A</v>
      </c>
      <c r="O1555" s="1336" t="str">
        <f>Summary!$B$4</f>
        <v>W1-2Jan26</v>
      </c>
      <c r="P1555" s="1334" t="str">
        <f t="shared" si="90"/>
        <v>0</v>
      </c>
    </row>
    <row r="1556" spans="3:16">
      <c r="C1556" s="1348"/>
      <c r="D1556" s="1389"/>
      <c r="F1556" s="1312"/>
      <c r="H1556" s="1152">
        <f>F1556-G1556</f>
        <v>0</v>
      </c>
      <c r="J1556" s="1334" t="e">
        <f>VLOOKUP(C1556,Acc_Char!B:K,3,)</f>
        <v>#N/A</v>
      </c>
      <c r="K1556" s="1334" t="e">
        <f>VLOOKUP(C1556,Acc_Char!B:K,7,)</f>
        <v>#N/A</v>
      </c>
      <c r="L1556" s="1334">
        <f t="shared" si="89"/>
        <v>0</v>
      </c>
      <c r="M1556" s="1335" t="e">
        <f>VLOOKUP(C1556,Acc_Char!B:K,5,)</f>
        <v>#N/A</v>
      </c>
      <c r="N1556" s="1335" t="e">
        <f>VLOOKUP(C1556,Acc_Char!B:K,6,)</f>
        <v>#N/A</v>
      </c>
      <c r="O1556" s="1336" t="str">
        <f>Summary!$B$4</f>
        <v>W1-2Jan26</v>
      </c>
      <c r="P1556" s="1334" t="str">
        <f t="shared" si="90"/>
        <v>0</v>
      </c>
    </row>
    <row r="1557" spans="3:16">
      <c r="D1557" s="1389"/>
      <c r="F1557" s="1312"/>
      <c r="H1557" s="1152">
        <f t="shared" si="88"/>
        <v>0</v>
      </c>
      <c r="J1557" s="1334" t="e">
        <f>VLOOKUP(C1557,Acc_Char!B:K,3,)</f>
        <v>#N/A</v>
      </c>
      <c r="K1557" s="1334" t="e">
        <f>VLOOKUP(C1557,Acc_Char!B:K,7,)</f>
        <v>#N/A</v>
      </c>
      <c r="L1557" s="1334">
        <f t="shared" si="89"/>
        <v>0</v>
      </c>
      <c r="M1557" s="1335" t="e">
        <f>VLOOKUP(C1557,Acc_Char!B:K,5,)</f>
        <v>#N/A</v>
      </c>
      <c r="N1557" s="1335" t="e">
        <f>VLOOKUP(C1557,Acc_Char!B:K,6,)</f>
        <v>#N/A</v>
      </c>
      <c r="O1557" s="1336" t="str">
        <f>Summary!$B$4</f>
        <v>W1-2Jan26</v>
      </c>
      <c r="P1557" s="1334" t="str">
        <f t="shared" si="90"/>
        <v>0</v>
      </c>
    </row>
    <row r="1558" spans="3:16">
      <c r="D1558" s="1389"/>
      <c r="F1558" s="1312"/>
      <c r="H1558" s="1152">
        <f>F1558-G1558</f>
        <v>0</v>
      </c>
      <c r="J1558" s="1334" t="e">
        <f>VLOOKUP(C1558,Acc_Char!B:K,3,)</f>
        <v>#N/A</v>
      </c>
      <c r="K1558" s="1334" t="e">
        <f>VLOOKUP(C1558,Acc_Char!B:K,7,)</f>
        <v>#N/A</v>
      </c>
      <c r="L1558" s="1334">
        <f t="shared" si="89"/>
        <v>0</v>
      </c>
      <c r="M1558" s="1335" t="e">
        <f>VLOOKUP(C1558,Acc_Char!B:K,5,)</f>
        <v>#N/A</v>
      </c>
      <c r="N1558" s="1335" t="e">
        <f>VLOOKUP(C1558,Acc_Char!B:K,6,)</f>
        <v>#N/A</v>
      </c>
      <c r="O1558" s="1336" t="str">
        <f>Summary!$B$4</f>
        <v>W1-2Jan26</v>
      </c>
      <c r="P1558" s="1334" t="str">
        <f t="shared" si="90"/>
        <v>0</v>
      </c>
    </row>
    <row r="1559" spans="3:16">
      <c r="C1559" s="1349"/>
      <c r="D1559" s="1389"/>
      <c r="F1559" s="1312"/>
      <c r="H1559" s="1152">
        <f t="shared" si="88"/>
        <v>0</v>
      </c>
      <c r="J1559" s="1334" t="e">
        <f>VLOOKUP(C1559,Acc_Char!B:K,3,)</f>
        <v>#N/A</v>
      </c>
      <c r="K1559" s="1334" t="e">
        <f>VLOOKUP(C1559,Acc_Char!B:K,7,)</f>
        <v>#N/A</v>
      </c>
      <c r="L1559" s="1334">
        <f t="shared" si="89"/>
        <v>0</v>
      </c>
      <c r="M1559" s="1335" t="e">
        <f>VLOOKUP(C1559,Acc_Char!B:K,5,)</f>
        <v>#N/A</v>
      </c>
      <c r="N1559" s="1335" t="e">
        <f>VLOOKUP(C1559,Acc_Char!B:K,6,)</f>
        <v>#N/A</v>
      </c>
      <c r="O1559" s="1336" t="str">
        <f>Summary!$B$4</f>
        <v>W1-2Jan26</v>
      </c>
      <c r="P1559" s="1334" t="str">
        <f t="shared" si="90"/>
        <v>0</v>
      </c>
    </row>
    <row r="1560" spans="3:16">
      <c r="D1560" s="1389"/>
      <c r="H1560" s="1150">
        <f t="shared" si="88"/>
        <v>0</v>
      </c>
      <c r="J1560" s="1334" t="e">
        <f>VLOOKUP(C1560,Acc_Char!B:K,3,)</f>
        <v>#N/A</v>
      </c>
      <c r="K1560" s="1334" t="e">
        <f>VLOOKUP(C1560,Acc_Char!B:K,7,)</f>
        <v>#N/A</v>
      </c>
      <c r="L1560" s="1334">
        <f t="shared" si="89"/>
        <v>0</v>
      </c>
      <c r="M1560" s="1335" t="e">
        <f>VLOOKUP(C1560,Acc_Char!B:K,5,)</f>
        <v>#N/A</v>
      </c>
      <c r="N1560" s="1335" t="e">
        <f>VLOOKUP(C1560,Acc_Char!B:K,6,)</f>
        <v>#N/A</v>
      </c>
      <c r="O1560" s="1336" t="str">
        <f>Summary!$B$4</f>
        <v>W1-2Jan26</v>
      </c>
      <c r="P1560" s="1334" t="str">
        <f t="shared" si="90"/>
        <v>0</v>
      </c>
    </row>
    <row r="1561" spans="3:16">
      <c r="D1561" s="1389"/>
      <c r="H1561" s="1150">
        <f t="shared" ref="H1561" si="91">F1561-G1561</f>
        <v>0</v>
      </c>
      <c r="J1561" s="1334" t="e">
        <f>VLOOKUP(C1561,Acc_Char!B:K,3,)</f>
        <v>#N/A</v>
      </c>
      <c r="K1561" s="1334" t="e">
        <f>VLOOKUP(C1561,Acc_Char!B:K,7,)</f>
        <v>#N/A</v>
      </c>
      <c r="L1561" s="1334">
        <f t="shared" si="89"/>
        <v>0</v>
      </c>
      <c r="M1561" s="1335" t="e">
        <f>VLOOKUP(C1561,Acc_Char!B:K,5,)</f>
        <v>#N/A</v>
      </c>
      <c r="N1561" s="1335" t="e">
        <f>VLOOKUP(C1561,Acc_Char!B:K,6,)</f>
        <v>#N/A</v>
      </c>
      <c r="O1561" s="1336" t="str">
        <f>Summary!$B$4</f>
        <v>W1-2Jan26</v>
      </c>
      <c r="P1561" s="1334" t="str">
        <f t="shared" si="90"/>
        <v>0</v>
      </c>
    </row>
    <row r="1562" spans="3:16">
      <c r="D1562" s="1389"/>
      <c r="H1562" s="1150">
        <f t="shared" si="88"/>
        <v>0</v>
      </c>
      <c r="J1562" s="1334" t="e">
        <f>VLOOKUP(C1562,Acc_Char!B:K,3,)</f>
        <v>#N/A</v>
      </c>
      <c r="K1562" s="1334" t="e">
        <f>VLOOKUP(C1562,Acc_Char!B:K,7,)</f>
        <v>#N/A</v>
      </c>
      <c r="L1562" s="1334">
        <f t="shared" si="89"/>
        <v>0</v>
      </c>
      <c r="M1562" s="1335" t="e">
        <f>VLOOKUP(C1562,Acc_Char!B:K,5,)</f>
        <v>#N/A</v>
      </c>
      <c r="N1562" s="1335" t="e">
        <f>VLOOKUP(C1562,Acc_Char!B:K,6,)</f>
        <v>#N/A</v>
      </c>
      <c r="O1562" s="1336" t="str">
        <f>Summary!$B$4</f>
        <v>W1-2Jan26</v>
      </c>
      <c r="P1562" s="1334" t="str">
        <f t="shared" si="90"/>
        <v>0</v>
      </c>
    </row>
    <row r="1563" spans="3:16">
      <c r="D1563" s="1389"/>
      <c r="E1563" s="1340"/>
      <c r="H1563" s="1150">
        <f t="shared" ref="H1563:H1569" si="92">F1563-G1563</f>
        <v>0</v>
      </c>
      <c r="J1563" s="1334" t="e">
        <f>VLOOKUP(C1563,Acc_Char!B:K,3,)</f>
        <v>#N/A</v>
      </c>
      <c r="K1563" s="1334" t="e">
        <f>VLOOKUP(C1563,Acc_Char!B:K,7,)</f>
        <v>#N/A</v>
      </c>
      <c r="L1563" s="1334">
        <f t="shared" si="89"/>
        <v>0</v>
      </c>
      <c r="M1563" s="1335" t="e">
        <f>VLOOKUP(C1563,Acc_Char!B:K,5,)</f>
        <v>#N/A</v>
      </c>
      <c r="N1563" s="1335" t="e">
        <f>VLOOKUP(C1563,Acc_Char!B:K,6,)</f>
        <v>#N/A</v>
      </c>
      <c r="O1563" s="1336" t="str">
        <f>Summary!$B$4</f>
        <v>W1-2Jan26</v>
      </c>
      <c r="P1563" s="1334" t="str">
        <f t="shared" si="90"/>
        <v>0</v>
      </c>
    </row>
    <row r="1564" spans="3:16">
      <c r="D1564" s="1389"/>
      <c r="E1564" s="1340"/>
      <c r="H1564" s="1150">
        <f t="shared" si="92"/>
        <v>0</v>
      </c>
      <c r="J1564" s="1334" t="e">
        <f>VLOOKUP(C1564,Acc_Char!B:K,3,)</f>
        <v>#N/A</v>
      </c>
      <c r="K1564" s="1334" t="e">
        <f>VLOOKUP(C1564,Acc_Char!B:K,7,)</f>
        <v>#N/A</v>
      </c>
      <c r="L1564" s="1334">
        <f t="shared" si="89"/>
        <v>0</v>
      </c>
      <c r="M1564" s="1335" t="e">
        <f>VLOOKUP(C1564,Acc_Char!B:K,5,)</f>
        <v>#N/A</v>
      </c>
      <c r="N1564" s="1335" t="e">
        <f>VLOOKUP(C1564,Acc_Char!B:K,6,)</f>
        <v>#N/A</v>
      </c>
      <c r="O1564" s="1336" t="str">
        <f>Summary!$B$4</f>
        <v>W1-2Jan26</v>
      </c>
      <c r="P1564" s="1334" t="str">
        <f t="shared" si="90"/>
        <v>0</v>
      </c>
    </row>
    <row r="1565" spans="3:16">
      <c r="D1565" s="1389"/>
      <c r="E1565" s="1340"/>
      <c r="H1565" s="1150">
        <f t="shared" si="92"/>
        <v>0</v>
      </c>
      <c r="J1565" s="1334" t="e">
        <f>VLOOKUP(C1565,Acc_Char!B:K,3,)</f>
        <v>#N/A</v>
      </c>
      <c r="K1565" s="1334" t="e">
        <f>VLOOKUP(C1565,Acc_Char!B:K,7,)</f>
        <v>#N/A</v>
      </c>
      <c r="L1565" s="1334">
        <f t="shared" si="89"/>
        <v>0</v>
      </c>
      <c r="M1565" s="1335" t="e">
        <f>VLOOKUP(C1565,Acc_Char!B:K,5,)</f>
        <v>#N/A</v>
      </c>
      <c r="N1565" s="1335" t="e">
        <f>VLOOKUP(C1565,Acc_Char!B:K,6,)</f>
        <v>#N/A</v>
      </c>
      <c r="O1565" s="1336" t="str">
        <f>Summary!$B$4</f>
        <v>W1-2Jan26</v>
      </c>
      <c r="P1565" s="1334" t="str">
        <f t="shared" si="90"/>
        <v>0</v>
      </c>
    </row>
    <row r="1566" spans="3:16">
      <c r="D1566" s="1389"/>
      <c r="E1566" s="1340"/>
      <c r="H1566" s="1150">
        <f t="shared" si="92"/>
        <v>0</v>
      </c>
      <c r="J1566" s="1334" t="e">
        <f>VLOOKUP(C1566,Acc_Char!B:K,3,)</f>
        <v>#N/A</v>
      </c>
      <c r="K1566" s="1334" t="e">
        <f>VLOOKUP(C1566,Acc_Char!B:K,7,)</f>
        <v>#N/A</v>
      </c>
      <c r="L1566" s="1334">
        <f t="shared" si="89"/>
        <v>0</v>
      </c>
      <c r="M1566" s="1335" t="e">
        <f>VLOOKUP(C1566,Acc_Char!B:K,5,)</f>
        <v>#N/A</v>
      </c>
      <c r="N1566" s="1335" t="e">
        <f>VLOOKUP(C1566,Acc_Char!B:K,6,)</f>
        <v>#N/A</v>
      </c>
      <c r="O1566" s="1336" t="str">
        <f>Summary!$B$4</f>
        <v>W1-2Jan26</v>
      </c>
      <c r="P1566" s="1334" t="str">
        <f t="shared" si="90"/>
        <v>0</v>
      </c>
    </row>
    <row r="1567" spans="3:16">
      <c r="D1567" s="1389"/>
      <c r="E1567" s="1340"/>
      <c r="H1567" s="1150">
        <f t="shared" si="92"/>
        <v>0</v>
      </c>
      <c r="J1567" s="1334" t="e">
        <f>VLOOKUP(C1567,Acc_Char!B:K,3,)</f>
        <v>#N/A</v>
      </c>
      <c r="K1567" s="1334" t="e">
        <f>VLOOKUP(C1567,Acc_Char!B:K,7,)</f>
        <v>#N/A</v>
      </c>
      <c r="L1567" s="1334">
        <f t="shared" si="89"/>
        <v>0</v>
      </c>
      <c r="M1567" s="1335" t="e">
        <f>VLOOKUP(C1567,Acc_Char!B:K,5,)</f>
        <v>#N/A</v>
      </c>
      <c r="N1567" s="1335" t="e">
        <f>VLOOKUP(C1567,Acc_Char!B:K,6,)</f>
        <v>#N/A</v>
      </c>
      <c r="O1567" s="1336" t="str">
        <f>Summary!$B$4</f>
        <v>W1-2Jan26</v>
      </c>
      <c r="P1567" s="1334" t="str">
        <f t="shared" si="90"/>
        <v>0</v>
      </c>
    </row>
    <row r="1568" spans="3:16">
      <c r="D1568" s="1389"/>
      <c r="E1568" s="1340"/>
      <c r="H1568" s="1150">
        <f t="shared" si="92"/>
        <v>0</v>
      </c>
      <c r="J1568" s="1334" t="e">
        <f>VLOOKUP(C1568,Acc_Char!B:K,3,)</f>
        <v>#N/A</v>
      </c>
      <c r="K1568" s="1334" t="e">
        <f>VLOOKUP(C1568,Acc_Char!B:K,7,)</f>
        <v>#N/A</v>
      </c>
      <c r="L1568" s="1334">
        <f t="shared" si="89"/>
        <v>0</v>
      </c>
      <c r="M1568" s="1335" t="e">
        <f>VLOOKUP(C1568,Acc_Char!B:K,5,)</f>
        <v>#N/A</v>
      </c>
      <c r="N1568" s="1335" t="e">
        <f>VLOOKUP(C1568,Acc_Char!B:K,6,)</f>
        <v>#N/A</v>
      </c>
      <c r="O1568" s="1336" t="str">
        <f>Summary!$B$4</f>
        <v>W1-2Jan26</v>
      </c>
      <c r="P1568" s="1334" t="str">
        <f t="shared" si="90"/>
        <v>0</v>
      </c>
    </row>
    <row r="1569" spans="3:16">
      <c r="D1569" s="1389"/>
      <c r="E1569" s="1340"/>
      <c r="H1569" s="1150">
        <f t="shared" si="92"/>
        <v>0</v>
      </c>
      <c r="J1569" s="1334" t="e">
        <f>VLOOKUP(C1569,Acc_Char!B:K,3,)</f>
        <v>#N/A</v>
      </c>
      <c r="K1569" s="1334" t="e">
        <f>VLOOKUP(C1569,Acc_Char!B:K,7,)</f>
        <v>#N/A</v>
      </c>
      <c r="L1569" s="1334">
        <f t="shared" si="89"/>
        <v>0</v>
      </c>
      <c r="M1569" s="1335" t="e">
        <f>VLOOKUP(C1569,Acc_Char!B:K,5,)</f>
        <v>#N/A</v>
      </c>
      <c r="N1569" s="1335" t="e">
        <f>VLOOKUP(C1569,Acc_Char!B:K,6,)</f>
        <v>#N/A</v>
      </c>
      <c r="O1569" s="1336" t="str">
        <f>Summary!$B$4</f>
        <v>W1-2Jan26</v>
      </c>
      <c r="P1569" s="1334" t="str">
        <f t="shared" si="90"/>
        <v>0</v>
      </c>
    </row>
    <row r="1570" spans="3:16">
      <c r="C1570" s="1348"/>
      <c r="D1570" s="1389"/>
      <c r="H1570" s="1150">
        <f t="shared" si="88"/>
        <v>0</v>
      </c>
      <c r="J1570" s="1334" t="e">
        <f>VLOOKUP(C1570,Acc_Char!B:K,3,)</f>
        <v>#N/A</v>
      </c>
      <c r="K1570" s="1334" t="e">
        <f>VLOOKUP(C1570,Acc_Char!B:K,7,)</f>
        <v>#N/A</v>
      </c>
      <c r="L1570" s="1334">
        <f t="shared" si="89"/>
        <v>0</v>
      </c>
      <c r="M1570" s="1335" t="e">
        <f>VLOOKUP(C1570,Acc_Char!B:K,5,)</f>
        <v>#N/A</v>
      </c>
      <c r="N1570" s="1335" t="e">
        <f>VLOOKUP(C1570,Acc_Char!B:K,6,)</f>
        <v>#N/A</v>
      </c>
      <c r="O1570" s="1336" t="str">
        <f>Summary!$B$4</f>
        <v>W1-2Jan26</v>
      </c>
      <c r="P1570" s="1334" t="str">
        <f t="shared" si="90"/>
        <v>0</v>
      </c>
    </row>
    <row r="1571" spans="3:16">
      <c r="C1571" s="1348"/>
      <c r="D1571" s="1389"/>
      <c r="H1571" s="1150">
        <f t="shared" si="88"/>
        <v>0</v>
      </c>
      <c r="J1571" s="1334" t="e">
        <f>VLOOKUP(C1571,Acc_Char!B:K,3,)</f>
        <v>#N/A</v>
      </c>
      <c r="K1571" s="1334" t="e">
        <f>VLOOKUP(C1571,Acc_Char!B:K,7,)</f>
        <v>#N/A</v>
      </c>
      <c r="L1571" s="1334">
        <f t="shared" si="89"/>
        <v>0</v>
      </c>
      <c r="M1571" s="1335" t="e">
        <f>VLOOKUP(C1571,Acc_Char!B:K,5,)</f>
        <v>#N/A</v>
      </c>
      <c r="N1571" s="1335" t="e">
        <f>VLOOKUP(C1571,Acc_Char!B:K,6,)</f>
        <v>#N/A</v>
      </c>
      <c r="O1571" s="1336" t="str">
        <f>Summary!$B$4</f>
        <v>W1-2Jan26</v>
      </c>
      <c r="P1571" s="1334" t="str">
        <f t="shared" si="90"/>
        <v>0</v>
      </c>
    </row>
    <row r="1572" spans="3:16">
      <c r="C1572" s="1348"/>
      <c r="D1572" s="1389"/>
      <c r="H1572" s="1150">
        <f t="shared" ref="H1572:H1573" si="93">F1572-G1572</f>
        <v>0</v>
      </c>
      <c r="J1572" s="1334" t="e">
        <f>VLOOKUP(C1572,Acc_Char!B:K,3,)</f>
        <v>#N/A</v>
      </c>
      <c r="K1572" s="1334" t="e">
        <f>VLOOKUP(C1572,Acc_Char!B:K,7,)</f>
        <v>#N/A</v>
      </c>
      <c r="L1572" s="1334">
        <f t="shared" si="89"/>
        <v>0</v>
      </c>
      <c r="M1572" s="1335" t="e">
        <f>VLOOKUP(C1572,Acc_Char!B:K,5,)</f>
        <v>#N/A</v>
      </c>
      <c r="N1572" s="1335" t="e">
        <f>VLOOKUP(C1572,Acc_Char!B:K,6,)</f>
        <v>#N/A</v>
      </c>
      <c r="O1572" s="1336" t="str">
        <f>Summary!$B$4</f>
        <v>W1-2Jan26</v>
      </c>
      <c r="P1572" s="1334" t="str">
        <f t="shared" si="90"/>
        <v>0</v>
      </c>
    </row>
    <row r="1573" spans="3:16">
      <c r="C1573" s="1348"/>
      <c r="D1573" s="1389"/>
      <c r="H1573" s="1150">
        <f t="shared" si="93"/>
        <v>0</v>
      </c>
      <c r="J1573" s="1334" t="e">
        <f>VLOOKUP(C1573,Acc_Char!B:K,3,)</f>
        <v>#N/A</v>
      </c>
      <c r="K1573" s="1334" t="e">
        <f>VLOOKUP(C1573,Acc_Char!B:K,7,)</f>
        <v>#N/A</v>
      </c>
      <c r="L1573" s="1334">
        <f t="shared" si="89"/>
        <v>0</v>
      </c>
      <c r="M1573" s="1335" t="e">
        <f>VLOOKUP(C1573,Acc_Char!B:K,5,)</f>
        <v>#N/A</v>
      </c>
      <c r="N1573" s="1335" t="e">
        <f>VLOOKUP(C1573,Acc_Char!B:K,6,)</f>
        <v>#N/A</v>
      </c>
      <c r="O1573" s="1336" t="str">
        <f>Summary!$B$4</f>
        <v>W1-2Jan26</v>
      </c>
      <c r="P1573" s="1334" t="str">
        <f t="shared" si="90"/>
        <v>0</v>
      </c>
    </row>
    <row r="1574" spans="3:16">
      <c r="D1574" s="1389"/>
      <c r="H1574" s="1150">
        <f t="shared" si="88"/>
        <v>0</v>
      </c>
      <c r="J1574" s="1334" t="e">
        <f>VLOOKUP(C1574,Acc_Char!B:K,3,)</f>
        <v>#N/A</v>
      </c>
      <c r="K1574" s="1334" t="e">
        <f>VLOOKUP(C1574,Acc_Char!B:K,7,)</f>
        <v>#N/A</v>
      </c>
      <c r="L1574" s="1334">
        <f t="shared" si="89"/>
        <v>0</v>
      </c>
      <c r="M1574" s="1335" t="e">
        <f>VLOOKUP(C1574,Acc_Char!B:K,5,)</f>
        <v>#N/A</v>
      </c>
      <c r="N1574" s="1335" t="e">
        <f>VLOOKUP(C1574,Acc_Char!B:K,6,)</f>
        <v>#N/A</v>
      </c>
      <c r="O1574" s="1336" t="str">
        <f>Summary!$B$4</f>
        <v>W1-2Jan26</v>
      </c>
      <c r="P1574" s="1334" t="str">
        <f t="shared" si="90"/>
        <v>0</v>
      </c>
    </row>
    <row r="1575" spans="3:16">
      <c r="D1575" s="1389"/>
      <c r="H1575" s="1150">
        <f t="shared" si="88"/>
        <v>0</v>
      </c>
      <c r="J1575" s="1334" t="e">
        <f>VLOOKUP(C1575,Acc_Char!B:K,3,)</f>
        <v>#N/A</v>
      </c>
      <c r="K1575" s="1334" t="e">
        <f>VLOOKUP(C1575,Acc_Char!B:K,7,)</f>
        <v>#N/A</v>
      </c>
      <c r="L1575" s="1334">
        <f t="shared" si="89"/>
        <v>0</v>
      </c>
      <c r="M1575" s="1335" t="e">
        <f>VLOOKUP(C1575,Acc_Char!B:K,5,)</f>
        <v>#N/A</v>
      </c>
      <c r="N1575" s="1335" t="e">
        <f>VLOOKUP(C1575,Acc_Char!B:K,6,)</f>
        <v>#N/A</v>
      </c>
      <c r="O1575" s="1336" t="str">
        <f>Summary!$B$4</f>
        <v>W1-2Jan26</v>
      </c>
      <c r="P1575" s="1334" t="str">
        <f t="shared" si="90"/>
        <v>0</v>
      </c>
    </row>
    <row r="1576" spans="3:16">
      <c r="D1576" s="1389"/>
      <c r="H1576" s="1150">
        <f t="shared" ref="H1576" si="94">F1576-G1576</f>
        <v>0</v>
      </c>
      <c r="J1576" s="1334" t="e">
        <f>VLOOKUP(C1576,Acc_Char!B:K,3,)</f>
        <v>#N/A</v>
      </c>
      <c r="K1576" s="1334" t="e">
        <f>VLOOKUP(C1576,Acc_Char!B:K,7,)</f>
        <v>#N/A</v>
      </c>
      <c r="L1576" s="1334">
        <f t="shared" si="89"/>
        <v>0</v>
      </c>
      <c r="M1576" s="1335" t="e">
        <f>VLOOKUP(C1576,Acc_Char!B:K,5,)</f>
        <v>#N/A</v>
      </c>
      <c r="N1576" s="1335" t="e">
        <f>VLOOKUP(C1576,Acc_Char!B:K,6,)</f>
        <v>#N/A</v>
      </c>
      <c r="O1576" s="1336" t="str">
        <f>Summary!$B$4</f>
        <v>W1-2Jan26</v>
      </c>
      <c r="P1576" s="1334" t="str">
        <f t="shared" si="90"/>
        <v>0</v>
      </c>
    </row>
    <row r="1577" spans="3:16">
      <c r="H1577" s="1150">
        <f t="shared" si="88"/>
        <v>0</v>
      </c>
    </row>
    <row r="1578" spans="3:16">
      <c r="H1578" s="1150">
        <f t="shared" ref="H1578:H1641" si="95">F1578-G1578</f>
        <v>0</v>
      </c>
    </row>
    <row r="1579" spans="3:16">
      <c r="H1579" s="1150">
        <f t="shared" si="95"/>
        <v>0</v>
      </c>
    </row>
    <row r="1580" spans="3:16">
      <c r="H1580" s="1150">
        <f t="shared" si="95"/>
        <v>0</v>
      </c>
    </row>
    <row r="1581" spans="3:16">
      <c r="H1581" s="1150">
        <f t="shared" si="95"/>
        <v>0</v>
      </c>
    </row>
    <row r="1582" spans="3:16">
      <c r="H1582" s="1150">
        <f t="shared" si="95"/>
        <v>0</v>
      </c>
    </row>
    <row r="1583" spans="3:16">
      <c r="H1583" s="1150">
        <f t="shared" si="95"/>
        <v>0</v>
      </c>
    </row>
    <row r="1584" spans="3:16">
      <c r="H1584" s="1150">
        <f t="shared" si="95"/>
        <v>0</v>
      </c>
    </row>
    <row r="1585" spans="8:8">
      <c r="H1585" s="1150">
        <f t="shared" si="95"/>
        <v>0</v>
      </c>
    </row>
    <row r="1586" spans="8:8">
      <c r="H1586" s="1150">
        <f t="shared" si="95"/>
        <v>0</v>
      </c>
    </row>
    <row r="1587" spans="8:8">
      <c r="H1587" s="1150">
        <f t="shared" si="95"/>
        <v>0</v>
      </c>
    </row>
    <row r="1588" spans="8:8">
      <c r="H1588" s="1150">
        <f t="shared" si="95"/>
        <v>0</v>
      </c>
    </row>
    <row r="1589" spans="8:8">
      <c r="H1589" s="1150">
        <f t="shared" si="95"/>
        <v>0</v>
      </c>
    </row>
    <row r="1590" spans="8:8">
      <c r="H1590" s="1150">
        <f t="shared" si="95"/>
        <v>0</v>
      </c>
    </row>
    <row r="1591" spans="8:8">
      <c r="H1591" s="1150">
        <f t="shared" si="95"/>
        <v>0</v>
      </c>
    </row>
    <row r="1592" spans="8:8">
      <c r="H1592" s="1150">
        <f t="shared" si="95"/>
        <v>0</v>
      </c>
    </row>
    <row r="1593" spans="8:8">
      <c r="H1593" s="1150">
        <f t="shared" si="95"/>
        <v>0</v>
      </c>
    </row>
    <row r="1594" spans="8:8">
      <c r="H1594" s="1150">
        <f t="shared" si="95"/>
        <v>0</v>
      </c>
    </row>
    <row r="1595" spans="8:8">
      <c r="H1595" s="1150">
        <f t="shared" si="95"/>
        <v>0</v>
      </c>
    </row>
    <row r="1596" spans="8:8">
      <c r="H1596" s="1150">
        <f t="shared" si="95"/>
        <v>0</v>
      </c>
    </row>
    <row r="1597" spans="8:8">
      <c r="H1597" s="1150">
        <f t="shared" si="95"/>
        <v>0</v>
      </c>
    </row>
    <row r="1598" spans="8:8">
      <c r="H1598" s="1150">
        <f t="shared" si="95"/>
        <v>0</v>
      </c>
    </row>
    <row r="1599" spans="8:8">
      <c r="H1599" s="1150">
        <f t="shared" si="95"/>
        <v>0</v>
      </c>
    </row>
    <row r="1600" spans="8:8">
      <c r="H1600" s="1150">
        <f t="shared" si="95"/>
        <v>0</v>
      </c>
    </row>
    <row r="1601" spans="8:8">
      <c r="H1601" s="1150">
        <f t="shared" si="95"/>
        <v>0</v>
      </c>
    </row>
    <row r="1602" spans="8:8">
      <c r="H1602" s="1150">
        <f t="shared" si="95"/>
        <v>0</v>
      </c>
    </row>
    <row r="1603" spans="8:8">
      <c r="H1603" s="1150">
        <f t="shared" si="95"/>
        <v>0</v>
      </c>
    </row>
    <row r="1604" spans="8:8">
      <c r="H1604" s="1150">
        <f t="shared" si="95"/>
        <v>0</v>
      </c>
    </row>
    <row r="1605" spans="8:8">
      <c r="H1605" s="1150">
        <f t="shared" si="95"/>
        <v>0</v>
      </c>
    </row>
    <row r="1606" spans="8:8">
      <c r="H1606" s="1150">
        <f t="shared" si="95"/>
        <v>0</v>
      </c>
    </row>
    <row r="1607" spans="8:8">
      <c r="H1607" s="1150">
        <f t="shared" si="95"/>
        <v>0</v>
      </c>
    </row>
    <row r="1608" spans="8:8">
      <c r="H1608" s="1150">
        <f t="shared" si="95"/>
        <v>0</v>
      </c>
    </row>
    <row r="1609" spans="8:8">
      <c r="H1609" s="1150">
        <f t="shared" si="95"/>
        <v>0</v>
      </c>
    </row>
    <row r="1610" spans="8:8">
      <c r="H1610" s="1150">
        <f t="shared" si="95"/>
        <v>0</v>
      </c>
    </row>
    <row r="1611" spans="8:8">
      <c r="H1611" s="1150">
        <f t="shared" si="95"/>
        <v>0</v>
      </c>
    </row>
    <row r="1612" spans="8:8">
      <c r="H1612" s="1150">
        <f t="shared" si="95"/>
        <v>0</v>
      </c>
    </row>
    <row r="1613" spans="8:8">
      <c r="H1613" s="1150">
        <f t="shared" si="95"/>
        <v>0</v>
      </c>
    </row>
    <row r="1614" spans="8:8">
      <c r="H1614" s="1150">
        <f t="shared" si="95"/>
        <v>0</v>
      </c>
    </row>
    <row r="1615" spans="8:8">
      <c r="H1615" s="1150">
        <f t="shared" si="95"/>
        <v>0</v>
      </c>
    </row>
    <row r="1616" spans="8:8">
      <c r="H1616" s="1150">
        <f t="shared" si="95"/>
        <v>0</v>
      </c>
    </row>
    <row r="1617" spans="8:8">
      <c r="H1617" s="1150">
        <f t="shared" si="95"/>
        <v>0</v>
      </c>
    </row>
    <row r="1618" spans="8:8">
      <c r="H1618" s="1150">
        <f t="shared" si="95"/>
        <v>0</v>
      </c>
    </row>
    <row r="1619" spans="8:8">
      <c r="H1619" s="1150">
        <f t="shared" si="95"/>
        <v>0</v>
      </c>
    </row>
    <row r="1620" spans="8:8">
      <c r="H1620" s="1150">
        <f t="shared" si="95"/>
        <v>0</v>
      </c>
    </row>
    <row r="1621" spans="8:8">
      <c r="H1621" s="1150">
        <f t="shared" si="95"/>
        <v>0</v>
      </c>
    </row>
    <row r="1622" spans="8:8">
      <c r="H1622" s="1150">
        <f t="shared" si="95"/>
        <v>0</v>
      </c>
    </row>
    <row r="1623" spans="8:8">
      <c r="H1623" s="1150">
        <f t="shared" si="95"/>
        <v>0</v>
      </c>
    </row>
    <row r="1624" spans="8:8">
      <c r="H1624" s="1150">
        <f t="shared" si="95"/>
        <v>0</v>
      </c>
    </row>
    <row r="1625" spans="8:8">
      <c r="H1625" s="1150">
        <f t="shared" si="95"/>
        <v>0</v>
      </c>
    </row>
    <row r="1626" spans="8:8">
      <c r="H1626" s="1150">
        <f t="shared" si="95"/>
        <v>0</v>
      </c>
    </row>
    <row r="1627" spans="8:8">
      <c r="H1627" s="1150">
        <f t="shared" si="95"/>
        <v>0</v>
      </c>
    </row>
    <row r="1628" spans="8:8">
      <c r="H1628" s="1150">
        <f t="shared" si="95"/>
        <v>0</v>
      </c>
    </row>
    <row r="1629" spans="8:8">
      <c r="H1629" s="1150">
        <f t="shared" si="95"/>
        <v>0</v>
      </c>
    </row>
    <row r="1630" spans="8:8">
      <c r="H1630" s="1150">
        <f t="shared" si="95"/>
        <v>0</v>
      </c>
    </row>
    <row r="1631" spans="8:8">
      <c r="H1631" s="1150">
        <f t="shared" si="95"/>
        <v>0</v>
      </c>
    </row>
    <row r="1632" spans="8:8">
      <c r="H1632" s="1150">
        <f t="shared" si="95"/>
        <v>0</v>
      </c>
    </row>
    <row r="1633" spans="8:8">
      <c r="H1633" s="1150">
        <f t="shared" si="95"/>
        <v>0</v>
      </c>
    </row>
    <row r="1634" spans="8:8">
      <c r="H1634" s="1150">
        <f t="shared" si="95"/>
        <v>0</v>
      </c>
    </row>
    <row r="1635" spans="8:8">
      <c r="H1635" s="1150">
        <f t="shared" si="95"/>
        <v>0</v>
      </c>
    </row>
    <row r="1636" spans="8:8">
      <c r="H1636" s="1150">
        <f t="shared" si="95"/>
        <v>0</v>
      </c>
    </row>
    <row r="1637" spans="8:8">
      <c r="H1637" s="1150">
        <f t="shared" si="95"/>
        <v>0</v>
      </c>
    </row>
    <row r="1638" spans="8:8">
      <c r="H1638" s="1150">
        <f t="shared" si="95"/>
        <v>0</v>
      </c>
    </row>
    <row r="1639" spans="8:8">
      <c r="H1639" s="1150">
        <f t="shared" si="95"/>
        <v>0</v>
      </c>
    </row>
    <row r="1640" spans="8:8">
      <c r="H1640" s="1150">
        <f t="shared" si="95"/>
        <v>0</v>
      </c>
    </row>
    <row r="1641" spans="8:8">
      <c r="H1641" s="1150">
        <f t="shared" si="95"/>
        <v>0</v>
      </c>
    </row>
    <row r="1642" spans="8:8">
      <c r="H1642" s="1150">
        <f t="shared" ref="H1642:H1705" si="96">F1642-G1642</f>
        <v>0</v>
      </c>
    </row>
    <row r="1643" spans="8:8">
      <c r="H1643" s="1150">
        <f t="shared" si="96"/>
        <v>0</v>
      </c>
    </row>
    <row r="1644" spans="8:8">
      <c r="H1644" s="1150">
        <f t="shared" si="96"/>
        <v>0</v>
      </c>
    </row>
    <row r="1645" spans="8:8">
      <c r="H1645" s="1150">
        <f t="shared" si="96"/>
        <v>0</v>
      </c>
    </row>
    <row r="1646" spans="8:8">
      <c r="H1646" s="1150">
        <f t="shared" si="96"/>
        <v>0</v>
      </c>
    </row>
    <row r="1647" spans="8:8">
      <c r="H1647" s="1150">
        <f t="shared" si="96"/>
        <v>0</v>
      </c>
    </row>
    <row r="1648" spans="8:8">
      <c r="H1648" s="1150">
        <f t="shared" si="96"/>
        <v>0</v>
      </c>
    </row>
    <row r="1649" spans="8:8">
      <c r="H1649" s="1150">
        <f t="shared" si="96"/>
        <v>0</v>
      </c>
    </row>
    <row r="1650" spans="8:8">
      <c r="H1650" s="1150">
        <f t="shared" si="96"/>
        <v>0</v>
      </c>
    </row>
    <row r="1651" spans="8:8">
      <c r="H1651" s="1150">
        <f t="shared" si="96"/>
        <v>0</v>
      </c>
    </row>
    <row r="1652" spans="8:8">
      <c r="H1652" s="1150">
        <f t="shared" si="96"/>
        <v>0</v>
      </c>
    </row>
    <row r="1653" spans="8:8">
      <c r="H1653" s="1150">
        <f t="shared" si="96"/>
        <v>0</v>
      </c>
    </row>
    <row r="1654" spans="8:8">
      <c r="H1654" s="1150">
        <f t="shared" si="96"/>
        <v>0</v>
      </c>
    </row>
    <row r="1655" spans="8:8">
      <c r="H1655" s="1150">
        <f t="shared" si="96"/>
        <v>0</v>
      </c>
    </row>
    <row r="1656" spans="8:8">
      <c r="H1656" s="1150">
        <f t="shared" si="96"/>
        <v>0</v>
      </c>
    </row>
    <row r="1657" spans="8:8">
      <c r="H1657" s="1150">
        <f t="shared" si="96"/>
        <v>0</v>
      </c>
    </row>
    <row r="1658" spans="8:8">
      <c r="H1658" s="1150">
        <f t="shared" si="96"/>
        <v>0</v>
      </c>
    </row>
    <row r="1659" spans="8:8">
      <c r="H1659" s="1150">
        <f t="shared" si="96"/>
        <v>0</v>
      </c>
    </row>
    <row r="1660" spans="8:8">
      <c r="H1660" s="1150">
        <f t="shared" si="96"/>
        <v>0</v>
      </c>
    </row>
    <row r="1661" spans="8:8">
      <c r="H1661" s="1150">
        <f t="shared" si="96"/>
        <v>0</v>
      </c>
    </row>
    <row r="1662" spans="8:8">
      <c r="H1662" s="1150">
        <f t="shared" si="96"/>
        <v>0</v>
      </c>
    </row>
    <row r="1663" spans="8:8">
      <c r="H1663" s="1150">
        <f t="shared" si="96"/>
        <v>0</v>
      </c>
    </row>
    <row r="1664" spans="8:8">
      <c r="H1664" s="1150">
        <f t="shared" si="96"/>
        <v>0</v>
      </c>
    </row>
    <row r="1665" spans="8:8">
      <c r="H1665" s="1150">
        <f t="shared" si="96"/>
        <v>0</v>
      </c>
    </row>
    <row r="1666" spans="8:8">
      <c r="H1666" s="1150">
        <f t="shared" si="96"/>
        <v>0</v>
      </c>
    </row>
    <row r="1667" spans="8:8">
      <c r="H1667" s="1150">
        <f t="shared" si="96"/>
        <v>0</v>
      </c>
    </row>
    <row r="1668" spans="8:8">
      <c r="H1668" s="1150">
        <f t="shared" si="96"/>
        <v>0</v>
      </c>
    </row>
    <row r="1669" spans="8:8">
      <c r="H1669" s="1150">
        <f t="shared" si="96"/>
        <v>0</v>
      </c>
    </row>
    <row r="1670" spans="8:8">
      <c r="H1670" s="1150">
        <f t="shared" si="96"/>
        <v>0</v>
      </c>
    </row>
    <row r="1671" spans="8:8">
      <c r="H1671" s="1150">
        <f t="shared" si="96"/>
        <v>0</v>
      </c>
    </row>
    <row r="1672" spans="8:8">
      <c r="H1672" s="1150">
        <f t="shared" si="96"/>
        <v>0</v>
      </c>
    </row>
    <row r="1673" spans="8:8">
      <c r="H1673" s="1150">
        <f t="shared" si="96"/>
        <v>0</v>
      </c>
    </row>
    <row r="1674" spans="8:8">
      <c r="H1674" s="1150">
        <f t="shared" si="96"/>
        <v>0</v>
      </c>
    </row>
    <row r="1675" spans="8:8">
      <c r="H1675" s="1150">
        <f t="shared" si="96"/>
        <v>0</v>
      </c>
    </row>
    <row r="1676" spans="8:8">
      <c r="H1676" s="1150">
        <f t="shared" si="96"/>
        <v>0</v>
      </c>
    </row>
    <row r="1677" spans="8:8">
      <c r="H1677" s="1150">
        <f t="shared" si="96"/>
        <v>0</v>
      </c>
    </row>
    <row r="1678" spans="8:8">
      <c r="H1678" s="1150">
        <f t="shared" si="96"/>
        <v>0</v>
      </c>
    </row>
    <row r="1679" spans="8:8">
      <c r="H1679" s="1150">
        <f t="shared" si="96"/>
        <v>0</v>
      </c>
    </row>
    <row r="1680" spans="8:8">
      <c r="H1680" s="1150">
        <f t="shared" si="96"/>
        <v>0</v>
      </c>
    </row>
    <row r="1681" spans="8:8">
      <c r="H1681" s="1150">
        <f t="shared" si="96"/>
        <v>0</v>
      </c>
    </row>
    <row r="1682" spans="8:8">
      <c r="H1682" s="1150">
        <f t="shared" si="96"/>
        <v>0</v>
      </c>
    </row>
    <row r="1683" spans="8:8">
      <c r="H1683" s="1150">
        <f t="shared" si="96"/>
        <v>0</v>
      </c>
    </row>
    <row r="1684" spans="8:8">
      <c r="H1684" s="1150">
        <f t="shared" si="96"/>
        <v>0</v>
      </c>
    </row>
    <row r="1685" spans="8:8">
      <c r="H1685" s="1150">
        <f t="shared" si="96"/>
        <v>0</v>
      </c>
    </row>
    <row r="1686" spans="8:8">
      <c r="H1686" s="1150">
        <f t="shared" si="96"/>
        <v>0</v>
      </c>
    </row>
    <row r="1687" spans="8:8">
      <c r="H1687" s="1150">
        <f t="shared" si="96"/>
        <v>0</v>
      </c>
    </row>
    <row r="1688" spans="8:8">
      <c r="H1688" s="1150">
        <f t="shared" si="96"/>
        <v>0</v>
      </c>
    </row>
    <row r="1689" spans="8:8">
      <c r="H1689" s="1150">
        <f t="shared" si="96"/>
        <v>0</v>
      </c>
    </row>
    <row r="1690" spans="8:8">
      <c r="H1690" s="1150">
        <f t="shared" si="96"/>
        <v>0</v>
      </c>
    </row>
    <row r="1691" spans="8:8">
      <c r="H1691" s="1150">
        <f t="shared" si="96"/>
        <v>0</v>
      </c>
    </row>
    <row r="1692" spans="8:8">
      <c r="H1692" s="1150">
        <f t="shared" si="96"/>
        <v>0</v>
      </c>
    </row>
    <row r="1693" spans="8:8">
      <c r="H1693" s="1150">
        <f t="shared" si="96"/>
        <v>0</v>
      </c>
    </row>
    <row r="1694" spans="8:8">
      <c r="H1694" s="1150">
        <f t="shared" si="96"/>
        <v>0</v>
      </c>
    </row>
    <row r="1695" spans="8:8">
      <c r="H1695" s="1150">
        <f t="shared" si="96"/>
        <v>0</v>
      </c>
    </row>
    <row r="1696" spans="8:8">
      <c r="H1696" s="1150">
        <f t="shared" si="96"/>
        <v>0</v>
      </c>
    </row>
    <row r="1697" spans="8:8">
      <c r="H1697" s="1150">
        <f t="shared" si="96"/>
        <v>0</v>
      </c>
    </row>
    <row r="1698" spans="8:8">
      <c r="H1698" s="1150">
        <f t="shared" si="96"/>
        <v>0</v>
      </c>
    </row>
    <row r="1699" spans="8:8">
      <c r="H1699" s="1150">
        <f t="shared" si="96"/>
        <v>0</v>
      </c>
    </row>
    <row r="1700" spans="8:8">
      <c r="H1700" s="1150">
        <f t="shared" si="96"/>
        <v>0</v>
      </c>
    </row>
    <row r="1701" spans="8:8">
      <c r="H1701" s="1150">
        <f t="shared" si="96"/>
        <v>0</v>
      </c>
    </row>
    <row r="1702" spans="8:8">
      <c r="H1702" s="1150">
        <f t="shared" si="96"/>
        <v>0</v>
      </c>
    </row>
    <row r="1703" spans="8:8">
      <c r="H1703" s="1150">
        <f t="shared" si="96"/>
        <v>0</v>
      </c>
    </row>
    <row r="1704" spans="8:8">
      <c r="H1704" s="1150">
        <f t="shared" si="96"/>
        <v>0</v>
      </c>
    </row>
    <row r="1705" spans="8:8">
      <c r="H1705" s="1150">
        <f t="shared" si="96"/>
        <v>0</v>
      </c>
    </row>
    <row r="1706" spans="8:8">
      <c r="H1706" s="1150">
        <f t="shared" ref="H1706:H1769" si="97">F1706-G1706</f>
        <v>0</v>
      </c>
    </row>
    <row r="1707" spans="8:8">
      <c r="H1707" s="1150">
        <f t="shared" si="97"/>
        <v>0</v>
      </c>
    </row>
    <row r="1708" spans="8:8">
      <c r="H1708" s="1150">
        <f t="shared" si="97"/>
        <v>0</v>
      </c>
    </row>
    <row r="1709" spans="8:8">
      <c r="H1709" s="1150">
        <f t="shared" si="97"/>
        <v>0</v>
      </c>
    </row>
    <row r="1710" spans="8:8">
      <c r="H1710" s="1150">
        <f t="shared" si="97"/>
        <v>0</v>
      </c>
    </row>
    <row r="1711" spans="8:8">
      <c r="H1711" s="1150">
        <f t="shared" si="97"/>
        <v>0</v>
      </c>
    </row>
    <row r="1712" spans="8:8">
      <c r="H1712" s="1150">
        <f t="shared" si="97"/>
        <v>0</v>
      </c>
    </row>
    <row r="1713" spans="8:8">
      <c r="H1713" s="1150">
        <f t="shared" si="97"/>
        <v>0</v>
      </c>
    </row>
    <row r="1714" spans="8:8">
      <c r="H1714" s="1150">
        <f t="shared" si="97"/>
        <v>0</v>
      </c>
    </row>
    <row r="1715" spans="8:8">
      <c r="H1715" s="1150">
        <f t="shared" si="97"/>
        <v>0</v>
      </c>
    </row>
    <row r="1716" spans="8:8">
      <c r="H1716" s="1150">
        <f t="shared" si="97"/>
        <v>0</v>
      </c>
    </row>
    <row r="1717" spans="8:8">
      <c r="H1717" s="1150">
        <f t="shared" si="97"/>
        <v>0</v>
      </c>
    </row>
    <row r="1718" spans="8:8">
      <c r="H1718" s="1150">
        <f t="shared" si="97"/>
        <v>0</v>
      </c>
    </row>
    <row r="1719" spans="8:8">
      <c r="H1719" s="1150">
        <f t="shared" si="97"/>
        <v>0</v>
      </c>
    </row>
    <row r="1720" spans="8:8">
      <c r="H1720" s="1150">
        <f t="shared" si="97"/>
        <v>0</v>
      </c>
    </row>
    <row r="1721" spans="8:8">
      <c r="H1721" s="1150">
        <f t="shared" si="97"/>
        <v>0</v>
      </c>
    </row>
    <row r="1722" spans="8:8">
      <c r="H1722" s="1150">
        <f t="shared" si="97"/>
        <v>0</v>
      </c>
    </row>
    <row r="1723" spans="8:8">
      <c r="H1723" s="1150">
        <f t="shared" si="97"/>
        <v>0</v>
      </c>
    </row>
    <row r="1724" spans="8:8">
      <c r="H1724" s="1150">
        <f t="shared" si="97"/>
        <v>0</v>
      </c>
    </row>
    <row r="1725" spans="8:8">
      <c r="H1725" s="1150">
        <f t="shared" si="97"/>
        <v>0</v>
      </c>
    </row>
    <row r="1726" spans="8:8">
      <c r="H1726" s="1150">
        <f t="shared" si="97"/>
        <v>0</v>
      </c>
    </row>
    <row r="1727" spans="8:8">
      <c r="H1727" s="1150">
        <f t="shared" si="97"/>
        <v>0</v>
      </c>
    </row>
    <row r="1728" spans="8:8">
      <c r="H1728" s="1150">
        <f t="shared" si="97"/>
        <v>0</v>
      </c>
    </row>
    <row r="1729" spans="8:8">
      <c r="H1729" s="1150">
        <f t="shared" si="97"/>
        <v>0</v>
      </c>
    </row>
    <row r="1730" spans="8:8">
      <c r="H1730" s="1150">
        <f t="shared" si="97"/>
        <v>0</v>
      </c>
    </row>
    <row r="1731" spans="8:8">
      <c r="H1731" s="1150">
        <f t="shared" si="97"/>
        <v>0</v>
      </c>
    </row>
    <row r="1732" spans="8:8">
      <c r="H1732" s="1150">
        <f t="shared" si="97"/>
        <v>0</v>
      </c>
    </row>
    <row r="1733" spans="8:8">
      <c r="H1733" s="1150">
        <f t="shared" si="97"/>
        <v>0</v>
      </c>
    </row>
    <row r="1734" spans="8:8">
      <c r="H1734" s="1150">
        <f t="shared" si="97"/>
        <v>0</v>
      </c>
    </row>
    <row r="1735" spans="8:8">
      <c r="H1735" s="1150">
        <f t="shared" si="97"/>
        <v>0</v>
      </c>
    </row>
    <row r="1736" spans="8:8">
      <c r="H1736" s="1150">
        <f t="shared" si="97"/>
        <v>0</v>
      </c>
    </row>
    <row r="1737" spans="8:8">
      <c r="H1737" s="1150">
        <f t="shared" si="97"/>
        <v>0</v>
      </c>
    </row>
    <row r="1738" spans="8:8">
      <c r="H1738" s="1150">
        <f t="shared" si="97"/>
        <v>0</v>
      </c>
    </row>
    <row r="1739" spans="8:8">
      <c r="H1739" s="1150">
        <f t="shared" si="97"/>
        <v>0</v>
      </c>
    </row>
    <row r="1740" spans="8:8">
      <c r="H1740" s="1150">
        <f t="shared" si="97"/>
        <v>0</v>
      </c>
    </row>
    <row r="1741" spans="8:8">
      <c r="H1741" s="1150">
        <f t="shared" si="97"/>
        <v>0</v>
      </c>
    </row>
    <row r="1742" spans="8:8">
      <c r="H1742" s="1150">
        <f t="shared" si="97"/>
        <v>0</v>
      </c>
    </row>
    <row r="1743" spans="8:8">
      <c r="H1743" s="1150">
        <f t="shared" si="97"/>
        <v>0</v>
      </c>
    </row>
    <row r="1744" spans="8:8">
      <c r="H1744" s="1150">
        <f t="shared" si="97"/>
        <v>0</v>
      </c>
    </row>
    <row r="1745" spans="8:8">
      <c r="H1745" s="1150">
        <f t="shared" si="97"/>
        <v>0</v>
      </c>
    </row>
    <row r="1746" spans="8:8">
      <c r="H1746" s="1150">
        <f t="shared" si="97"/>
        <v>0</v>
      </c>
    </row>
    <row r="1747" spans="8:8">
      <c r="H1747" s="1150">
        <f t="shared" si="97"/>
        <v>0</v>
      </c>
    </row>
    <row r="1748" spans="8:8">
      <c r="H1748" s="1150">
        <f t="shared" si="97"/>
        <v>0</v>
      </c>
    </row>
    <row r="1749" spans="8:8">
      <c r="H1749" s="1150">
        <f t="shared" si="97"/>
        <v>0</v>
      </c>
    </row>
    <row r="1750" spans="8:8">
      <c r="H1750" s="1150">
        <f t="shared" si="97"/>
        <v>0</v>
      </c>
    </row>
    <row r="1751" spans="8:8">
      <c r="H1751" s="1150">
        <f t="shared" si="97"/>
        <v>0</v>
      </c>
    </row>
    <row r="1752" spans="8:8">
      <c r="H1752" s="1150">
        <f t="shared" si="97"/>
        <v>0</v>
      </c>
    </row>
    <row r="1753" spans="8:8">
      <c r="H1753" s="1150">
        <f t="shared" si="97"/>
        <v>0</v>
      </c>
    </row>
    <row r="1754" spans="8:8">
      <c r="H1754" s="1150">
        <f t="shared" si="97"/>
        <v>0</v>
      </c>
    </row>
    <row r="1755" spans="8:8">
      <c r="H1755" s="1150">
        <f t="shared" si="97"/>
        <v>0</v>
      </c>
    </row>
    <row r="1756" spans="8:8">
      <c r="H1756" s="1150">
        <f t="shared" si="97"/>
        <v>0</v>
      </c>
    </row>
    <row r="1757" spans="8:8">
      <c r="H1757" s="1150">
        <f t="shared" si="97"/>
        <v>0</v>
      </c>
    </row>
    <row r="1758" spans="8:8">
      <c r="H1758" s="1150">
        <f t="shared" si="97"/>
        <v>0</v>
      </c>
    </row>
    <row r="1759" spans="8:8">
      <c r="H1759" s="1150">
        <f t="shared" si="97"/>
        <v>0</v>
      </c>
    </row>
    <row r="1760" spans="8:8">
      <c r="H1760" s="1150">
        <f t="shared" si="97"/>
        <v>0</v>
      </c>
    </row>
    <row r="1761" spans="8:8">
      <c r="H1761" s="1150">
        <f t="shared" si="97"/>
        <v>0</v>
      </c>
    </row>
    <row r="1762" spans="8:8">
      <c r="H1762" s="1150">
        <f t="shared" si="97"/>
        <v>0</v>
      </c>
    </row>
    <row r="1763" spans="8:8">
      <c r="H1763" s="1150">
        <f t="shared" si="97"/>
        <v>0</v>
      </c>
    </row>
    <row r="1764" spans="8:8">
      <c r="H1764" s="1150">
        <f t="shared" si="97"/>
        <v>0</v>
      </c>
    </row>
    <row r="1765" spans="8:8">
      <c r="H1765" s="1150">
        <f t="shared" si="97"/>
        <v>0</v>
      </c>
    </row>
    <row r="1766" spans="8:8">
      <c r="H1766" s="1150">
        <f t="shared" si="97"/>
        <v>0</v>
      </c>
    </row>
    <row r="1767" spans="8:8">
      <c r="H1767" s="1150">
        <f t="shared" si="97"/>
        <v>0</v>
      </c>
    </row>
    <row r="1768" spans="8:8">
      <c r="H1768" s="1150">
        <f t="shared" si="97"/>
        <v>0</v>
      </c>
    </row>
    <row r="1769" spans="8:8">
      <c r="H1769" s="1150">
        <f t="shared" si="97"/>
        <v>0</v>
      </c>
    </row>
    <row r="1770" spans="8:8">
      <c r="H1770" s="1150">
        <f t="shared" ref="H1770:H1833" si="98">F1770-G1770</f>
        <v>0</v>
      </c>
    </row>
    <row r="1771" spans="8:8">
      <c r="H1771" s="1150">
        <f t="shared" si="98"/>
        <v>0</v>
      </c>
    </row>
    <row r="1772" spans="8:8">
      <c r="H1772" s="1150">
        <f t="shared" si="98"/>
        <v>0</v>
      </c>
    </row>
    <row r="1773" spans="8:8">
      <c r="H1773" s="1150">
        <f t="shared" si="98"/>
        <v>0</v>
      </c>
    </row>
    <row r="1774" spans="8:8">
      <c r="H1774" s="1150">
        <f t="shared" si="98"/>
        <v>0</v>
      </c>
    </row>
    <row r="1775" spans="8:8">
      <c r="H1775" s="1150">
        <f t="shared" si="98"/>
        <v>0</v>
      </c>
    </row>
    <row r="1776" spans="8:8">
      <c r="H1776" s="1150">
        <f t="shared" si="98"/>
        <v>0</v>
      </c>
    </row>
    <row r="1777" spans="8:8">
      <c r="H1777" s="1150">
        <f t="shared" si="98"/>
        <v>0</v>
      </c>
    </row>
    <row r="1778" spans="8:8">
      <c r="H1778" s="1150">
        <f t="shared" si="98"/>
        <v>0</v>
      </c>
    </row>
    <row r="1779" spans="8:8">
      <c r="H1779" s="1150">
        <f t="shared" si="98"/>
        <v>0</v>
      </c>
    </row>
    <row r="1780" spans="8:8">
      <c r="H1780" s="1150">
        <f t="shared" si="98"/>
        <v>0</v>
      </c>
    </row>
    <row r="1781" spans="8:8">
      <c r="H1781" s="1150">
        <f t="shared" si="98"/>
        <v>0</v>
      </c>
    </row>
    <row r="1782" spans="8:8">
      <c r="H1782" s="1150">
        <f t="shared" si="98"/>
        <v>0</v>
      </c>
    </row>
    <row r="1783" spans="8:8">
      <c r="H1783" s="1150">
        <f t="shared" si="98"/>
        <v>0</v>
      </c>
    </row>
    <row r="1784" spans="8:8">
      <c r="H1784" s="1150">
        <f t="shared" si="98"/>
        <v>0</v>
      </c>
    </row>
    <row r="1785" spans="8:8">
      <c r="H1785" s="1150">
        <f t="shared" si="98"/>
        <v>0</v>
      </c>
    </row>
    <row r="1786" spans="8:8">
      <c r="H1786" s="1150">
        <f t="shared" si="98"/>
        <v>0</v>
      </c>
    </row>
    <row r="1787" spans="8:8">
      <c r="H1787" s="1150">
        <f t="shared" si="98"/>
        <v>0</v>
      </c>
    </row>
    <row r="1788" spans="8:8">
      <c r="H1788" s="1150">
        <f t="shared" si="98"/>
        <v>0</v>
      </c>
    </row>
    <row r="1789" spans="8:8">
      <c r="H1789" s="1150">
        <f t="shared" si="98"/>
        <v>0</v>
      </c>
    </row>
    <row r="1790" spans="8:8">
      <c r="H1790" s="1150">
        <f t="shared" si="98"/>
        <v>0</v>
      </c>
    </row>
    <row r="1791" spans="8:8">
      <c r="H1791" s="1150">
        <f t="shared" si="98"/>
        <v>0</v>
      </c>
    </row>
    <row r="1792" spans="8:8">
      <c r="H1792" s="1150">
        <f t="shared" si="98"/>
        <v>0</v>
      </c>
    </row>
    <row r="1793" spans="8:8">
      <c r="H1793" s="1150">
        <f t="shared" si="98"/>
        <v>0</v>
      </c>
    </row>
    <row r="1794" spans="8:8">
      <c r="H1794" s="1150">
        <f t="shared" si="98"/>
        <v>0</v>
      </c>
    </row>
    <row r="1795" spans="8:8">
      <c r="H1795" s="1150">
        <f t="shared" si="98"/>
        <v>0</v>
      </c>
    </row>
    <row r="1796" spans="8:8">
      <c r="H1796" s="1150">
        <f t="shared" si="98"/>
        <v>0</v>
      </c>
    </row>
    <row r="1797" spans="8:8">
      <c r="H1797" s="1150">
        <f t="shared" si="98"/>
        <v>0</v>
      </c>
    </row>
    <row r="1798" spans="8:8">
      <c r="H1798" s="1150">
        <f t="shared" si="98"/>
        <v>0</v>
      </c>
    </row>
    <row r="1799" spans="8:8">
      <c r="H1799" s="1150">
        <f t="shared" si="98"/>
        <v>0</v>
      </c>
    </row>
    <row r="1800" spans="8:8">
      <c r="H1800" s="1150">
        <f t="shared" si="98"/>
        <v>0</v>
      </c>
    </row>
    <row r="1801" spans="8:8">
      <c r="H1801" s="1150">
        <f t="shared" si="98"/>
        <v>0</v>
      </c>
    </row>
    <row r="1802" spans="8:8">
      <c r="H1802" s="1150">
        <f t="shared" si="98"/>
        <v>0</v>
      </c>
    </row>
    <row r="1803" spans="8:8">
      <c r="H1803" s="1150">
        <f t="shared" si="98"/>
        <v>0</v>
      </c>
    </row>
    <row r="1804" spans="8:8">
      <c r="H1804" s="1150">
        <f t="shared" si="98"/>
        <v>0</v>
      </c>
    </row>
    <row r="1805" spans="8:8">
      <c r="H1805" s="1150">
        <f t="shared" si="98"/>
        <v>0</v>
      </c>
    </row>
    <row r="1806" spans="8:8">
      <c r="H1806" s="1150">
        <f t="shared" si="98"/>
        <v>0</v>
      </c>
    </row>
    <row r="1807" spans="8:8">
      <c r="H1807" s="1150">
        <f t="shared" si="98"/>
        <v>0</v>
      </c>
    </row>
    <row r="1808" spans="8:8">
      <c r="H1808" s="1150">
        <f t="shared" si="98"/>
        <v>0</v>
      </c>
    </row>
    <row r="1809" spans="8:8">
      <c r="H1809" s="1150">
        <f t="shared" si="98"/>
        <v>0</v>
      </c>
    </row>
    <row r="1810" spans="8:8">
      <c r="H1810" s="1150">
        <f t="shared" si="98"/>
        <v>0</v>
      </c>
    </row>
    <row r="1811" spans="8:8">
      <c r="H1811" s="1150">
        <f t="shared" si="98"/>
        <v>0</v>
      </c>
    </row>
    <row r="1812" spans="8:8">
      <c r="H1812" s="1150">
        <f t="shared" si="98"/>
        <v>0</v>
      </c>
    </row>
    <row r="1813" spans="8:8">
      <c r="H1813" s="1150">
        <f t="shared" si="98"/>
        <v>0</v>
      </c>
    </row>
    <row r="1814" spans="8:8">
      <c r="H1814" s="1150">
        <f t="shared" si="98"/>
        <v>0</v>
      </c>
    </row>
    <row r="1815" spans="8:8">
      <c r="H1815" s="1150">
        <f t="shared" si="98"/>
        <v>0</v>
      </c>
    </row>
    <row r="1816" spans="8:8">
      <c r="H1816" s="1150">
        <f t="shared" si="98"/>
        <v>0</v>
      </c>
    </row>
    <row r="1817" spans="8:8">
      <c r="H1817" s="1150">
        <f t="shared" si="98"/>
        <v>0</v>
      </c>
    </row>
    <row r="1818" spans="8:8">
      <c r="H1818" s="1150">
        <f t="shared" si="98"/>
        <v>0</v>
      </c>
    </row>
    <row r="1819" spans="8:8">
      <c r="H1819" s="1150">
        <f t="shared" si="98"/>
        <v>0</v>
      </c>
    </row>
    <row r="1820" spans="8:8">
      <c r="H1820" s="1150">
        <f t="shared" si="98"/>
        <v>0</v>
      </c>
    </row>
    <row r="1821" spans="8:8">
      <c r="H1821" s="1150">
        <f t="shared" si="98"/>
        <v>0</v>
      </c>
    </row>
    <row r="1822" spans="8:8">
      <c r="H1822" s="1150">
        <f t="shared" si="98"/>
        <v>0</v>
      </c>
    </row>
    <row r="1823" spans="8:8">
      <c r="H1823" s="1150">
        <f t="shared" si="98"/>
        <v>0</v>
      </c>
    </row>
    <row r="1824" spans="8:8">
      <c r="H1824" s="1150">
        <f t="shared" si="98"/>
        <v>0</v>
      </c>
    </row>
    <row r="1825" spans="8:8">
      <c r="H1825" s="1150">
        <f t="shared" si="98"/>
        <v>0</v>
      </c>
    </row>
    <row r="1826" spans="8:8">
      <c r="H1826" s="1150">
        <f t="shared" si="98"/>
        <v>0</v>
      </c>
    </row>
    <row r="1827" spans="8:8">
      <c r="H1827" s="1150">
        <f t="shared" si="98"/>
        <v>0</v>
      </c>
    </row>
    <row r="1828" spans="8:8">
      <c r="H1828" s="1150">
        <f t="shared" si="98"/>
        <v>0</v>
      </c>
    </row>
    <row r="1829" spans="8:8">
      <c r="H1829" s="1150">
        <f t="shared" si="98"/>
        <v>0</v>
      </c>
    </row>
    <row r="1830" spans="8:8">
      <c r="H1830" s="1150">
        <f t="shared" si="98"/>
        <v>0</v>
      </c>
    </row>
    <row r="1831" spans="8:8">
      <c r="H1831" s="1150">
        <f t="shared" si="98"/>
        <v>0</v>
      </c>
    </row>
    <row r="1832" spans="8:8">
      <c r="H1832" s="1150">
        <f t="shared" si="98"/>
        <v>0</v>
      </c>
    </row>
    <row r="1833" spans="8:8">
      <c r="H1833" s="1150">
        <f t="shared" si="98"/>
        <v>0</v>
      </c>
    </row>
    <row r="1834" spans="8:8">
      <c r="H1834" s="1150">
        <f t="shared" ref="H1834:H1897" si="99">F1834-G1834</f>
        <v>0</v>
      </c>
    </row>
    <row r="1835" spans="8:8">
      <c r="H1835" s="1150">
        <f t="shared" si="99"/>
        <v>0</v>
      </c>
    </row>
    <row r="1836" spans="8:8">
      <c r="H1836" s="1150">
        <f t="shared" si="99"/>
        <v>0</v>
      </c>
    </row>
    <row r="1837" spans="8:8">
      <c r="H1837" s="1150">
        <f t="shared" si="99"/>
        <v>0</v>
      </c>
    </row>
    <row r="1838" spans="8:8">
      <c r="H1838" s="1150">
        <f t="shared" si="99"/>
        <v>0</v>
      </c>
    </row>
    <row r="1839" spans="8:8">
      <c r="H1839" s="1150">
        <f t="shared" si="99"/>
        <v>0</v>
      </c>
    </row>
    <row r="1840" spans="8:8">
      <c r="H1840" s="1150">
        <f t="shared" si="99"/>
        <v>0</v>
      </c>
    </row>
    <row r="1841" spans="8:8">
      <c r="H1841" s="1150">
        <f t="shared" si="99"/>
        <v>0</v>
      </c>
    </row>
    <row r="1842" spans="8:8">
      <c r="H1842" s="1150">
        <f t="shared" si="99"/>
        <v>0</v>
      </c>
    </row>
    <row r="1843" spans="8:8">
      <c r="H1843" s="1150">
        <f t="shared" si="99"/>
        <v>0</v>
      </c>
    </row>
    <row r="1844" spans="8:8">
      <c r="H1844" s="1150">
        <f t="shared" si="99"/>
        <v>0</v>
      </c>
    </row>
    <row r="1845" spans="8:8">
      <c r="H1845" s="1150">
        <f t="shared" si="99"/>
        <v>0</v>
      </c>
    </row>
    <row r="1846" spans="8:8">
      <c r="H1846" s="1150">
        <f t="shared" si="99"/>
        <v>0</v>
      </c>
    </row>
    <row r="1847" spans="8:8">
      <c r="H1847" s="1150">
        <f t="shared" si="99"/>
        <v>0</v>
      </c>
    </row>
    <row r="1848" spans="8:8">
      <c r="H1848" s="1150">
        <f t="shared" si="99"/>
        <v>0</v>
      </c>
    </row>
    <row r="1849" spans="8:8">
      <c r="H1849" s="1150">
        <f t="shared" si="99"/>
        <v>0</v>
      </c>
    </row>
    <row r="1850" spans="8:8">
      <c r="H1850" s="1150">
        <f t="shared" si="99"/>
        <v>0</v>
      </c>
    </row>
    <row r="1851" spans="8:8">
      <c r="H1851" s="1150">
        <f t="shared" si="99"/>
        <v>0</v>
      </c>
    </row>
    <row r="1852" spans="8:8">
      <c r="H1852" s="1150">
        <f t="shared" si="99"/>
        <v>0</v>
      </c>
    </row>
    <row r="1853" spans="8:8">
      <c r="H1853" s="1150">
        <f t="shared" si="99"/>
        <v>0</v>
      </c>
    </row>
    <row r="1854" spans="8:8">
      <c r="H1854" s="1150">
        <f t="shared" si="99"/>
        <v>0</v>
      </c>
    </row>
    <row r="1855" spans="8:8">
      <c r="H1855" s="1150">
        <f t="shared" si="99"/>
        <v>0</v>
      </c>
    </row>
    <row r="1856" spans="8:8">
      <c r="H1856" s="1150">
        <f t="shared" si="99"/>
        <v>0</v>
      </c>
    </row>
    <row r="1857" spans="8:8">
      <c r="H1857" s="1150">
        <f t="shared" si="99"/>
        <v>0</v>
      </c>
    </row>
    <row r="1858" spans="8:8">
      <c r="H1858" s="1150">
        <f t="shared" si="99"/>
        <v>0</v>
      </c>
    </row>
    <row r="1859" spans="8:8">
      <c r="H1859" s="1150">
        <f t="shared" si="99"/>
        <v>0</v>
      </c>
    </row>
    <row r="1860" spans="8:8">
      <c r="H1860" s="1150">
        <f t="shared" si="99"/>
        <v>0</v>
      </c>
    </row>
    <row r="1861" spans="8:8">
      <c r="H1861" s="1150">
        <f t="shared" si="99"/>
        <v>0</v>
      </c>
    </row>
    <row r="1862" spans="8:8">
      <c r="H1862" s="1150">
        <f t="shared" si="99"/>
        <v>0</v>
      </c>
    </row>
    <row r="1863" spans="8:8">
      <c r="H1863" s="1150">
        <f t="shared" si="99"/>
        <v>0</v>
      </c>
    </row>
    <row r="1864" spans="8:8">
      <c r="H1864" s="1150">
        <f t="shared" si="99"/>
        <v>0</v>
      </c>
    </row>
    <row r="1865" spans="8:8">
      <c r="H1865" s="1150">
        <f t="shared" si="99"/>
        <v>0</v>
      </c>
    </row>
    <row r="1866" spans="8:8">
      <c r="H1866" s="1150">
        <f t="shared" si="99"/>
        <v>0</v>
      </c>
    </row>
    <row r="1867" spans="8:8">
      <c r="H1867" s="1150">
        <f t="shared" si="99"/>
        <v>0</v>
      </c>
    </row>
    <row r="1868" spans="8:8">
      <c r="H1868" s="1150">
        <f t="shared" si="99"/>
        <v>0</v>
      </c>
    </row>
    <row r="1869" spans="8:8">
      <c r="H1869" s="1150">
        <f t="shared" si="99"/>
        <v>0</v>
      </c>
    </row>
    <row r="1870" spans="8:8">
      <c r="H1870" s="1150">
        <f t="shared" si="99"/>
        <v>0</v>
      </c>
    </row>
    <row r="1871" spans="8:8">
      <c r="H1871" s="1150">
        <f t="shared" si="99"/>
        <v>0</v>
      </c>
    </row>
    <row r="1872" spans="8:8">
      <c r="H1872" s="1150">
        <f t="shared" si="99"/>
        <v>0</v>
      </c>
    </row>
    <row r="1873" spans="8:8">
      <c r="H1873" s="1150">
        <f t="shared" si="99"/>
        <v>0</v>
      </c>
    </row>
    <row r="1874" spans="8:8">
      <c r="H1874" s="1150">
        <f t="shared" si="99"/>
        <v>0</v>
      </c>
    </row>
    <row r="1875" spans="8:8">
      <c r="H1875" s="1150">
        <f t="shared" si="99"/>
        <v>0</v>
      </c>
    </row>
    <row r="1876" spans="8:8">
      <c r="H1876" s="1150">
        <f t="shared" si="99"/>
        <v>0</v>
      </c>
    </row>
    <row r="1877" spans="8:8">
      <c r="H1877" s="1150">
        <f t="shared" si="99"/>
        <v>0</v>
      </c>
    </row>
    <row r="1878" spans="8:8">
      <c r="H1878" s="1150">
        <f t="shared" si="99"/>
        <v>0</v>
      </c>
    </row>
    <row r="1879" spans="8:8">
      <c r="H1879" s="1150">
        <f t="shared" si="99"/>
        <v>0</v>
      </c>
    </row>
    <row r="1880" spans="8:8">
      <c r="H1880" s="1150">
        <f t="shared" si="99"/>
        <v>0</v>
      </c>
    </row>
    <row r="1881" spans="8:8">
      <c r="H1881" s="1150">
        <f t="shared" si="99"/>
        <v>0</v>
      </c>
    </row>
    <row r="1882" spans="8:8">
      <c r="H1882" s="1150">
        <f t="shared" si="99"/>
        <v>0</v>
      </c>
    </row>
    <row r="1883" spans="8:8">
      <c r="H1883" s="1150">
        <f t="shared" si="99"/>
        <v>0</v>
      </c>
    </row>
    <row r="1884" spans="8:8">
      <c r="H1884" s="1150">
        <f t="shared" si="99"/>
        <v>0</v>
      </c>
    </row>
    <row r="1885" spans="8:8">
      <c r="H1885" s="1150">
        <f t="shared" si="99"/>
        <v>0</v>
      </c>
    </row>
    <row r="1886" spans="8:8">
      <c r="H1886" s="1150">
        <f t="shared" si="99"/>
        <v>0</v>
      </c>
    </row>
    <row r="1887" spans="8:8">
      <c r="H1887" s="1150">
        <f t="shared" si="99"/>
        <v>0</v>
      </c>
    </row>
    <row r="1888" spans="8:8">
      <c r="H1888" s="1150">
        <f t="shared" si="99"/>
        <v>0</v>
      </c>
    </row>
    <row r="1889" spans="8:8">
      <c r="H1889" s="1150">
        <f t="shared" si="99"/>
        <v>0</v>
      </c>
    </row>
    <row r="1890" spans="8:8">
      <c r="H1890" s="1150">
        <f t="shared" si="99"/>
        <v>0</v>
      </c>
    </row>
    <row r="1891" spans="8:8">
      <c r="H1891" s="1150">
        <f t="shared" si="99"/>
        <v>0</v>
      </c>
    </row>
    <row r="1892" spans="8:8">
      <c r="H1892" s="1150">
        <f t="shared" si="99"/>
        <v>0</v>
      </c>
    </row>
    <row r="1893" spans="8:8">
      <c r="H1893" s="1150">
        <f t="shared" si="99"/>
        <v>0</v>
      </c>
    </row>
    <row r="1894" spans="8:8">
      <c r="H1894" s="1150">
        <f t="shared" si="99"/>
        <v>0</v>
      </c>
    </row>
    <row r="1895" spans="8:8">
      <c r="H1895" s="1150">
        <f t="shared" si="99"/>
        <v>0</v>
      </c>
    </row>
    <row r="1896" spans="8:8">
      <c r="H1896" s="1150">
        <f t="shared" si="99"/>
        <v>0</v>
      </c>
    </row>
    <row r="1897" spans="8:8">
      <c r="H1897" s="1150">
        <f t="shared" si="99"/>
        <v>0</v>
      </c>
    </row>
    <row r="1898" spans="8:8">
      <c r="H1898" s="1150">
        <f t="shared" ref="H1898:H1961" si="100">F1898-G1898</f>
        <v>0</v>
      </c>
    </row>
    <row r="1899" spans="8:8">
      <c r="H1899" s="1150">
        <f t="shared" si="100"/>
        <v>0</v>
      </c>
    </row>
    <row r="1900" spans="8:8">
      <c r="H1900" s="1150">
        <f t="shared" si="100"/>
        <v>0</v>
      </c>
    </row>
    <row r="1901" spans="8:8">
      <c r="H1901" s="1150">
        <f t="shared" si="100"/>
        <v>0</v>
      </c>
    </row>
    <row r="1902" spans="8:8">
      <c r="H1902" s="1150">
        <f t="shared" si="100"/>
        <v>0</v>
      </c>
    </row>
    <row r="1903" spans="8:8">
      <c r="H1903" s="1150">
        <f t="shared" si="100"/>
        <v>0</v>
      </c>
    </row>
    <row r="1904" spans="8:8">
      <c r="H1904" s="1150">
        <f t="shared" si="100"/>
        <v>0</v>
      </c>
    </row>
    <row r="1905" spans="8:8">
      <c r="H1905" s="1150">
        <f t="shared" si="100"/>
        <v>0</v>
      </c>
    </row>
    <row r="1906" spans="8:8">
      <c r="H1906" s="1150">
        <f t="shared" si="100"/>
        <v>0</v>
      </c>
    </row>
    <row r="1907" spans="8:8">
      <c r="H1907" s="1150">
        <f t="shared" si="100"/>
        <v>0</v>
      </c>
    </row>
    <row r="1908" spans="8:8">
      <c r="H1908" s="1150">
        <f t="shared" si="100"/>
        <v>0</v>
      </c>
    </row>
    <row r="1909" spans="8:8">
      <c r="H1909" s="1150">
        <f t="shared" si="100"/>
        <v>0</v>
      </c>
    </row>
    <row r="1910" spans="8:8">
      <c r="H1910" s="1150">
        <f t="shared" si="100"/>
        <v>0</v>
      </c>
    </row>
    <row r="1911" spans="8:8">
      <c r="H1911" s="1150">
        <f t="shared" si="100"/>
        <v>0</v>
      </c>
    </row>
    <row r="1912" spans="8:8">
      <c r="H1912" s="1150">
        <f t="shared" si="100"/>
        <v>0</v>
      </c>
    </row>
    <row r="1913" spans="8:8">
      <c r="H1913" s="1150">
        <f t="shared" si="100"/>
        <v>0</v>
      </c>
    </row>
    <row r="1914" spans="8:8">
      <c r="H1914" s="1150">
        <f t="shared" si="100"/>
        <v>0</v>
      </c>
    </row>
    <row r="1915" spans="8:8">
      <c r="H1915" s="1150">
        <f t="shared" si="100"/>
        <v>0</v>
      </c>
    </row>
    <row r="1916" spans="8:8">
      <c r="H1916" s="1150">
        <f t="shared" si="100"/>
        <v>0</v>
      </c>
    </row>
    <row r="1917" spans="8:8">
      <c r="H1917" s="1150">
        <f t="shared" si="100"/>
        <v>0</v>
      </c>
    </row>
    <row r="1918" spans="8:8">
      <c r="H1918" s="1150">
        <f t="shared" si="100"/>
        <v>0</v>
      </c>
    </row>
    <row r="1919" spans="8:8">
      <c r="H1919" s="1150">
        <f t="shared" si="100"/>
        <v>0</v>
      </c>
    </row>
    <row r="1920" spans="8:8">
      <c r="H1920" s="1150">
        <f t="shared" si="100"/>
        <v>0</v>
      </c>
    </row>
    <row r="1921" spans="8:8">
      <c r="H1921" s="1150">
        <f t="shared" si="100"/>
        <v>0</v>
      </c>
    </row>
    <row r="1922" spans="8:8">
      <c r="H1922" s="1150">
        <f t="shared" si="100"/>
        <v>0</v>
      </c>
    </row>
    <row r="1923" spans="8:8">
      <c r="H1923" s="1150">
        <f t="shared" si="100"/>
        <v>0</v>
      </c>
    </row>
    <row r="1924" spans="8:8">
      <c r="H1924" s="1150">
        <f t="shared" si="100"/>
        <v>0</v>
      </c>
    </row>
    <row r="1925" spans="8:8">
      <c r="H1925" s="1150">
        <f t="shared" si="100"/>
        <v>0</v>
      </c>
    </row>
    <row r="1926" spans="8:8">
      <c r="H1926" s="1150">
        <f t="shared" si="100"/>
        <v>0</v>
      </c>
    </row>
    <row r="1927" spans="8:8">
      <c r="H1927" s="1150">
        <f t="shared" si="100"/>
        <v>0</v>
      </c>
    </row>
    <row r="1928" spans="8:8">
      <c r="H1928" s="1150">
        <f t="shared" si="100"/>
        <v>0</v>
      </c>
    </row>
    <row r="1929" spans="8:8">
      <c r="H1929" s="1150">
        <f t="shared" si="100"/>
        <v>0</v>
      </c>
    </row>
    <row r="1930" spans="8:8">
      <c r="H1930" s="1150">
        <f t="shared" si="100"/>
        <v>0</v>
      </c>
    </row>
    <row r="1931" spans="8:8">
      <c r="H1931" s="1150">
        <f t="shared" si="100"/>
        <v>0</v>
      </c>
    </row>
    <row r="1932" spans="8:8">
      <c r="H1932" s="1150">
        <f t="shared" si="100"/>
        <v>0</v>
      </c>
    </row>
    <row r="1933" spans="8:8">
      <c r="H1933" s="1150">
        <f t="shared" si="100"/>
        <v>0</v>
      </c>
    </row>
    <row r="1934" spans="8:8">
      <c r="H1934" s="1150">
        <f t="shared" si="100"/>
        <v>0</v>
      </c>
    </row>
    <row r="1935" spans="8:8">
      <c r="H1935" s="1150">
        <f t="shared" si="100"/>
        <v>0</v>
      </c>
    </row>
    <row r="1936" spans="8:8">
      <c r="H1936" s="1150">
        <f t="shared" si="100"/>
        <v>0</v>
      </c>
    </row>
    <row r="1937" spans="8:8">
      <c r="H1937" s="1150">
        <f t="shared" si="100"/>
        <v>0</v>
      </c>
    </row>
    <row r="1938" spans="8:8">
      <c r="H1938" s="1150">
        <f t="shared" si="100"/>
        <v>0</v>
      </c>
    </row>
    <row r="1939" spans="8:8">
      <c r="H1939" s="1150">
        <f t="shared" si="100"/>
        <v>0</v>
      </c>
    </row>
    <row r="1940" spans="8:8">
      <c r="H1940" s="1150">
        <f t="shared" si="100"/>
        <v>0</v>
      </c>
    </row>
    <row r="1941" spans="8:8">
      <c r="H1941" s="1150">
        <f t="shared" si="100"/>
        <v>0</v>
      </c>
    </row>
    <row r="1942" spans="8:8">
      <c r="H1942" s="1150">
        <f t="shared" si="100"/>
        <v>0</v>
      </c>
    </row>
    <row r="1943" spans="8:8">
      <c r="H1943" s="1150">
        <f t="shared" si="100"/>
        <v>0</v>
      </c>
    </row>
    <row r="1944" spans="8:8">
      <c r="H1944" s="1150">
        <f t="shared" si="100"/>
        <v>0</v>
      </c>
    </row>
    <row r="1945" spans="8:8">
      <c r="H1945" s="1150">
        <f t="shared" si="100"/>
        <v>0</v>
      </c>
    </row>
    <row r="1946" spans="8:8">
      <c r="H1946" s="1150">
        <f t="shared" si="100"/>
        <v>0</v>
      </c>
    </row>
    <row r="1947" spans="8:8">
      <c r="H1947" s="1150">
        <f t="shared" si="100"/>
        <v>0</v>
      </c>
    </row>
    <row r="1948" spans="8:8">
      <c r="H1948" s="1150">
        <f t="shared" si="100"/>
        <v>0</v>
      </c>
    </row>
    <row r="1949" spans="8:8">
      <c r="H1949" s="1150">
        <f t="shared" si="100"/>
        <v>0</v>
      </c>
    </row>
    <row r="1950" spans="8:8">
      <c r="H1950" s="1150">
        <f t="shared" si="100"/>
        <v>0</v>
      </c>
    </row>
    <row r="1951" spans="8:8">
      <c r="H1951" s="1150">
        <f t="shared" si="100"/>
        <v>0</v>
      </c>
    </row>
    <row r="1952" spans="8:8">
      <c r="H1952" s="1150">
        <f t="shared" si="100"/>
        <v>0</v>
      </c>
    </row>
    <row r="1953" spans="8:8">
      <c r="H1953" s="1150">
        <f t="shared" si="100"/>
        <v>0</v>
      </c>
    </row>
    <row r="1954" spans="8:8">
      <c r="H1954" s="1150">
        <f t="shared" si="100"/>
        <v>0</v>
      </c>
    </row>
    <row r="1955" spans="8:8">
      <c r="H1955" s="1150">
        <f t="shared" si="100"/>
        <v>0</v>
      </c>
    </row>
    <row r="1956" spans="8:8">
      <c r="H1956" s="1150">
        <f t="shared" si="100"/>
        <v>0</v>
      </c>
    </row>
    <row r="1957" spans="8:8">
      <c r="H1957" s="1150">
        <f t="shared" si="100"/>
        <v>0</v>
      </c>
    </row>
    <row r="1958" spans="8:8">
      <c r="H1958" s="1150">
        <f t="shared" si="100"/>
        <v>0</v>
      </c>
    </row>
    <row r="1959" spans="8:8">
      <c r="H1959" s="1150">
        <f t="shared" si="100"/>
        <v>0</v>
      </c>
    </row>
    <row r="1960" spans="8:8">
      <c r="H1960" s="1150">
        <f t="shared" si="100"/>
        <v>0</v>
      </c>
    </row>
    <row r="1961" spans="8:8">
      <c r="H1961" s="1150">
        <f t="shared" si="100"/>
        <v>0</v>
      </c>
    </row>
    <row r="1962" spans="8:8">
      <c r="H1962" s="1150">
        <f t="shared" ref="H1962:H2025" si="101">F1962-G1962</f>
        <v>0</v>
      </c>
    </row>
    <row r="1963" spans="8:8">
      <c r="H1963" s="1150">
        <f t="shared" si="101"/>
        <v>0</v>
      </c>
    </row>
    <row r="1964" spans="8:8">
      <c r="H1964" s="1150">
        <f t="shared" si="101"/>
        <v>0</v>
      </c>
    </row>
    <row r="1965" spans="8:8">
      <c r="H1965" s="1150">
        <f t="shared" si="101"/>
        <v>0</v>
      </c>
    </row>
    <row r="1966" spans="8:8">
      <c r="H1966" s="1150">
        <f t="shared" si="101"/>
        <v>0</v>
      </c>
    </row>
    <row r="1967" spans="8:8">
      <c r="H1967" s="1150">
        <f t="shared" si="101"/>
        <v>0</v>
      </c>
    </row>
    <row r="1968" spans="8:8">
      <c r="H1968" s="1150">
        <f t="shared" si="101"/>
        <v>0</v>
      </c>
    </row>
    <row r="1969" spans="8:8">
      <c r="H1969" s="1150">
        <f t="shared" si="101"/>
        <v>0</v>
      </c>
    </row>
    <row r="1970" spans="8:8">
      <c r="H1970" s="1150">
        <f t="shared" si="101"/>
        <v>0</v>
      </c>
    </row>
    <row r="1971" spans="8:8">
      <c r="H1971" s="1150">
        <f t="shared" si="101"/>
        <v>0</v>
      </c>
    </row>
    <row r="1972" spans="8:8">
      <c r="H1972" s="1150">
        <f t="shared" si="101"/>
        <v>0</v>
      </c>
    </row>
    <row r="1973" spans="8:8">
      <c r="H1973" s="1150">
        <f t="shared" si="101"/>
        <v>0</v>
      </c>
    </row>
    <row r="1974" spans="8:8">
      <c r="H1974" s="1150">
        <f t="shared" si="101"/>
        <v>0</v>
      </c>
    </row>
    <row r="1975" spans="8:8">
      <c r="H1975" s="1150">
        <f t="shared" si="101"/>
        <v>0</v>
      </c>
    </row>
    <row r="1976" spans="8:8">
      <c r="H1976" s="1150">
        <f t="shared" si="101"/>
        <v>0</v>
      </c>
    </row>
    <row r="1977" spans="8:8">
      <c r="H1977" s="1150">
        <f t="shared" si="101"/>
        <v>0</v>
      </c>
    </row>
    <row r="1978" spans="8:8">
      <c r="H1978" s="1150">
        <f t="shared" si="101"/>
        <v>0</v>
      </c>
    </row>
    <row r="1979" spans="8:8">
      <c r="H1979" s="1150">
        <f t="shared" si="101"/>
        <v>0</v>
      </c>
    </row>
    <row r="1980" spans="8:8">
      <c r="H1980" s="1150">
        <f t="shared" si="101"/>
        <v>0</v>
      </c>
    </row>
    <row r="1981" spans="8:8">
      <c r="H1981" s="1150">
        <f t="shared" si="101"/>
        <v>0</v>
      </c>
    </row>
    <row r="1982" spans="8:8">
      <c r="H1982" s="1150">
        <f t="shared" si="101"/>
        <v>0</v>
      </c>
    </row>
    <row r="1983" spans="8:8">
      <c r="H1983" s="1150">
        <f t="shared" si="101"/>
        <v>0</v>
      </c>
    </row>
    <row r="1984" spans="8:8">
      <c r="H1984" s="1150">
        <f t="shared" si="101"/>
        <v>0</v>
      </c>
    </row>
    <row r="1985" spans="8:8">
      <c r="H1985" s="1150">
        <f t="shared" si="101"/>
        <v>0</v>
      </c>
    </row>
    <row r="1986" spans="8:8">
      <c r="H1986" s="1150">
        <f t="shared" si="101"/>
        <v>0</v>
      </c>
    </row>
    <row r="1987" spans="8:8">
      <c r="H1987" s="1150">
        <f t="shared" si="101"/>
        <v>0</v>
      </c>
    </row>
    <row r="1988" spans="8:8">
      <c r="H1988" s="1150">
        <f t="shared" si="101"/>
        <v>0</v>
      </c>
    </row>
    <row r="1989" spans="8:8">
      <c r="H1989" s="1150">
        <f t="shared" si="101"/>
        <v>0</v>
      </c>
    </row>
    <row r="1990" spans="8:8">
      <c r="H1990" s="1150">
        <f t="shared" si="101"/>
        <v>0</v>
      </c>
    </row>
    <row r="1991" spans="8:8">
      <c r="H1991" s="1150">
        <f t="shared" si="101"/>
        <v>0</v>
      </c>
    </row>
    <row r="1992" spans="8:8">
      <c r="H1992" s="1150">
        <f t="shared" si="101"/>
        <v>0</v>
      </c>
    </row>
    <row r="1993" spans="8:8">
      <c r="H1993" s="1150">
        <f t="shared" si="101"/>
        <v>0</v>
      </c>
    </row>
    <row r="1994" spans="8:8">
      <c r="H1994" s="1150">
        <f t="shared" si="101"/>
        <v>0</v>
      </c>
    </row>
    <row r="1995" spans="8:8">
      <c r="H1995" s="1150">
        <f t="shared" si="101"/>
        <v>0</v>
      </c>
    </row>
    <row r="1996" spans="8:8">
      <c r="H1996" s="1150">
        <f t="shared" si="101"/>
        <v>0</v>
      </c>
    </row>
    <row r="1997" spans="8:8">
      <c r="H1997" s="1150">
        <f t="shared" si="101"/>
        <v>0</v>
      </c>
    </row>
    <row r="1998" spans="8:8">
      <c r="H1998" s="1150">
        <f t="shared" si="101"/>
        <v>0</v>
      </c>
    </row>
    <row r="1999" spans="8:8">
      <c r="H1999" s="1150">
        <f t="shared" si="101"/>
        <v>0</v>
      </c>
    </row>
    <row r="2000" spans="8:8">
      <c r="H2000" s="1150">
        <f t="shared" si="101"/>
        <v>0</v>
      </c>
    </row>
    <row r="2001" spans="8:8">
      <c r="H2001" s="1150">
        <f t="shared" si="101"/>
        <v>0</v>
      </c>
    </row>
    <row r="2002" spans="8:8">
      <c r="H2002" s="1150">
        <f t="shared" si="101"/>
        <v>0</v>
      </c>
    </row>
    <row r="2003" spans="8:8">
      <c r="H2003" s="1150">
        <f t="shared" si="101"/>
        <v>0</v>
      </c>
    </row>
    <row r="2004" spans="8:8">
      <c r="H2004" s="1150">
        <f t="shared" si="101"/>
        <v>0</v>
      </c>
    </row>
    <row r="2005" spans="8:8">
      <c r="H2005" s="1150">
        <f t="shared" si="101"/>
        <v>0</v>
      </c>
    </row>
    <row r="2006" spans="8:8">
      <c r="H2006" s="1150">
        <f t="shared" si="101"/>
        <v>0</v>
      </c>
    </row>
    <row r="2007" spans="8:8">
      <c r="H2007" s="1150">
        <f t="shared" si="101"/>
        <v>0</v>
      </c>
    </row>
    <row r="2008" spans="8:8">
      <c r="H2008" s="1150">
        <f t="shared" si="101"/>
        <v>0</v>
      </c>
    </row>
    <row r="2009" spans="8:8">
      <c r="H2009" s="1150">
        <f t="shared" si="101"/>
        <v>0</v>
      </c>
    </row>
    <row r="2010" spans="8:8">
      <c r="H2010" s="1150">
        <f t="shared" si="101"/>
        <v>0</v>
      </c>
    </row>
    <row r="2011" spans="8:8">
      <c r="H2011" s="1150">
        <f t="shared" si="101"/>
        <v>0</v>
      </c>
    </row>
    <row r="2012" spans="8:8">
      <c r="H2012" s="1150">
        <f t="shared" si="101"/>
        <v>0</v>
      </c>
    </row>
    <row r="2013" spans="8:8">
      <c r="H2013" s="1150">
        <f t="shared" si="101"/>
        <v>0</v>
      </c>
    </row>
    <row r="2014" spans="8:8">
      <c r="H2014" s="1150">
        <f t="shared" si="101"/>
        <v>0</v>
      </c>
    </row>
    <row r="2015" spans="8:8">
      <c r="H2015" s="1150">
        <f t="shared" si="101"/>
        <v>0</v>
      </c>
    </row>
    <row r="2016" spans="8:8">
      <c r="H2016" s="1150">
        <f t="shared" si="101"/>
        <v>0</v>
      </c>
    </row>
    <row r="2017" spans="8:8">
      <c r="H2017" s="1150">
        <f t="shared" si="101"/>
        <v>0</v>
      </c>
    </row>
    <row r="2018" spans="8:8">
      <c r="H2018" s="1150">
        <f t="shared" si="101"/>
        <v>0</v>
      </c>
    </row>
    <row r="2019" spans="8:8">
      <c r="H2019" s="1150">
        <f t="shared" si="101"/>
        <v>0</v>
      </c>
    </row>
    <row r="2020" spans="8:8">
      <c r="H2020" s="1150">
        <f t="shared" si="101"/>
        <v>0</v>
      </c>
    </row>
    <row r="2021" spans="8:8">
      <c r="H2021" s="1150">
        <f t="shared" si="101"/>
        <v>0</v>
      </c>
    </row>
    <row r="2022" spans="8:8">
      <c r="H2022" s="1150">
        <f t="shared" si="101"/>
        <v>0</v>
      </c>
    </row>
    <row r="2023" spans="8:8">
      <c r="H2023" s="1150">
        <f t="shared" si="101"/>
        <v>0</v>
      </c>
    </row>
    <row r="2024" spans="8:8">
      <c r="H2024" s="1150">
        <f t="shared" si="101"/>
        <v>0</v>
      </c>
    </row>
    <row r="2025" spans="8:8">
      <c r="H2025" s="1150">
        <f t="shared" si="101"/>
        <v>0</v>
      </c>
    </row>
    <row r="2026" spans="8:8">
      <c r="H2026" s="1150">
        <f t="shared" ref="H2026:H2089" si="102">F2026-G2026</f>
        <v>0</v>
      </c>
    </row>
    <row r="2027" spans="8:8">
      <c r="H2027" s="1150">
        <f t="shared" si="102"/>
        <v>0</v>
      </c>
    </row>
    <row r="2028" spans="8:8">
      <c r="H2028" s="1150">
        <f t="shared" si="102"/>
        <v>0</v>
      </c>
    </row>
    <row r="2029" spans="8:8">
      <c r="H2029" s="1150">
        <f t="shared" si="102"/>
        <v>0</v>
      </c>
    </row>
    <row r="2030" spans="8:8">
      <c r="H2030" s="1150">
        <f t="shared" si="102"/>
        <v>0</v>
      </c>
    </row>
    <row r="2031" spans="8:8">
      <c r="H2031" s="1150">
        <f t="shared" si="102"/>
        <v>0</v>
      </c>
    </row>
    <row r="2032" spans="8:8">
      <c r="H2032" s="1150">
        <f t="shared" si="102"/>
        <v>0</v>
      </c>
    </row>
    <row r="2033" spans="8:8">
      <c r="H2033" s="1150">
        <f t="shared" si="102"/>
        <v>0</v>
      </c>
    </row>
    <row r="2034" spans="8:8">
      <c r="H2034" s="1150">
        <f t="shared" si="102"/>
        <v>0</v>
      </c>
    </row>
    <row r="2035" spans="8:8">
      <c r="H2035" s="1150">
        <f t="shared" si="102"/>
        <v>0</v>
      </c>
    </row>
    <row r="2036" spans="8:8">
      <c r="H2036" s="1150">
        <f t="shared" si="102"/>
        <v>0</v>
      </c>
    </row>
    <row r="2037" spans="8:8">
      <c r="H2037" s="1150">
        <f t="shared" si="102"/>
        <v>0</v>
      </c>
    </row>
    <row r="2038" spans="8:8">
      <c r="H2038" s="1150">
        <f t="shared" si="102"/>
        <v>0</v>
      </c>
    </row>
    <row r="2039" spans="8:8">
      <c r="H2039" s="1150">
        <f t="shared" si="102"/>
        <v>0</v>
      </c>
    </row>
    <row r="2040" spans="8:8">
      <c r="H2040" s="1150">
        <f t="shared" si="102"/>
        <v>0</v>
      </c>
    </row>
    <row r="2041" spans="8:8">
      <c r="H2041" s="1150">
        <f t="shared" si="102"/>
        <v>0</v>
      </c>
    </row>
    <row r="2042" spans="8:8">
      <c r="H2042" s="1150">
        <f t="shared" si="102"/>
        <v>0</v>
      </c>
    </row>
    <row r="2043" spans="8:8">
      <c r="H2043" s="1150">
        <f t="shared" si="102"/>
        <v>0</v>
      </c>
    </row>
    <row r="2044" spans="8:8">
      <c r="H2044" s="1150">
        <f t="shared" si="102"/>
        <v>0</v>
      </c>
    </row>
    <row r="2045" spans="8:8">
      <c r="H2045" s="1150">
        <f t="shared" si="102"/>
        <v>0</v>
      </c>
    </row>
    <row r="2046" spans="8:8">
      <c r="H2046" s="1150">
        <f t="shared" si="102"/>
        <v>0</v>
      </c>
    </row>
    <row r="2047" spans="8:8">
      <c r="H2047" s="1150">
        <f t="shared" si="102"/>
        <v>0</v>
      </c>
    </row>
    <row r="2048" spans="8:8">
      <c r="H2048" s="1150">
        <f t="shared" si="102"/>
        <v>0</v>
      </c>
    </row>
    <row r="2049" spans="8:8">
      <c r="H2049" s="1150">
        <f t="shared" si="102"/>
        <v>0</v>
      </c>
    </row>
    <row r="2050" spans="8:8">
      <c r="H2050" s="1150">
        <f t="shared" si="102"/>
        <v>0</v>
      </c>
    </row>
    <row r="2051" spans="8:8">
      <c r="H2051" s="1150">
        <f t="shared" si="102"/>
        <v>0</v>
      </c>
    </row>
    <row r="2052" spans="8:8">
      <c r="H2052" s="1150">
        <f t="shared" si="102"/>
        <v>0</v>
      </c>
    </row>
    <row r="2053" spans="8:8">
      <c r="H2053" s="1150">
        <f t="shared" si="102"/>
        <v>0</v>
      </c>
    </row>
    <row r="2054" spans="8:8">
      <c r="H2054" s="1150">
        <f t="shared" si="102"/>
        <v>0</v>
      </c>
    </row>
    <row r="2055" spans="8:8">
      <c r="H2055" s="1150">
        <f t="shared" si="102"/>
        <v>0</v>
      </c>
    </row>
    <row r="2056" spans="8:8">
      <c r="H2056" s="1150">
        <f t="shared" si="102"/>
        <v>0</v>
      </c>
    </row>
    <row r="2057" spans="8:8">
      <c r="H2057" s="1150">
        <f t="shared" si="102"/>
        <v>0</v>
      </c>
    </row>
    <row r="2058" spans="8:8">
      <c r="H2058" s="1150">
        <f t="shared" si="102"/>
        <v>0</v>
      </c>
    </row>
    <row r="2059" spans="8:8">
      <c r="H2059" s="1150">
        <f t="shared" si="102"/>
        <v>0</v>
      </c>
    </row>
    <row r="2060" spans="8:8">
      <c r="H2060" s="1150">
        <f t="shared" si="102"/>
        <v>0</v>
      </c>
    </row>
    <row r="2061" spans="8:8">
      <c r="H2061" s="1150">
        <f t="shared" si="102"/>
        <v>0</v>
      </c>
    </row>
    <row r="2062" spans="8:8">
      <c r="H2062" s="1150">
        <f t="shared" si="102"/>
        <v>0</v>
      </c>
    </row>
    <row r="2063" spans="8:8">
      <c r="H2063" s="1150">
        <f t="shared" si="102"/>
        <v>0</v>
      </c>
    </row>
    <row r="2064" spans="8:8">
      <c r="H2064" s="1150">
        <f t="shared" si="102"/>
        <v>0</v>
      </c>
    </row>
    <row r="2065" spans="8:8">
      <c r="H2065" s="1150">
        <f t="shared" si="102"/>
        <v>0</v>
      </c>
    </row>
    <row r="2066" spans="8:8">
      <c r="H2066" s="1150">
        <f t="shared" si="102"/>
        <v>0</v>
      </c>
    </row>
    <row r="2067" spans="8:8">
      <c r="H2067" s="1150">
        <f t="shared" si="102"/>
        <v>0</v>
      </c>
    </row>
    <row r="2068" spans="8:8">
      <c r="H2068" s="1150">
        <f t="shared" si="102"/>
        <v>0</v>
      </c>
    </row>
    <row r="2069" spans="8:8">
      <c r="H2069" s="1150">
        <f t="shared" si="102"/>
        <v>0</v>
      </c>
    </row>
    <row r="2070" spans="8:8">
      <c r="H2070" s="1150">
        <f t="shared" si="102"/>
        <v>0</v>
      </c>
    </row>
    <row r="2071" spans="8:8">
      <c r="H2071" s="1150">
        <f t="shared" si="102"/>
        <v>0</v>
      </c>
    </row>
    <row r="2072" spans="8:8">
      <c r="H2072" s="1150">
        <f t="shared" si="102"/>
        <v>0</v>
      </c>
    </row>
    <row r="2073" spans="8:8">
      <c r="H2073" s="1150">
        <f t="shared" si="102"/>
        <v>0</v>
      </c>
    </row>
    <row r="2074" spans="8:8">
      <c r="H2074" s="1150">
        <f t="shared" si="102"/>
        <v>0</v>
      </c>
    </row>
    <row r="2075" spans="8:8">
      <c r="H2075" s="1150">
        <f t="shared" si="102"/>
        <v>0</v>
      </c>
    </row>
    <row r="2076" spans="8:8">
      <c r="H2076" s="1150">
        <f t="shared" si="102"/>
        <v>0</v>
      </c>
    </row>
    <row r="2077" spans="8:8">
      <c r="H2077" s="1150">
        <f t="shared" si="102"/>
        <v>0</v>
      </c>
    </row>
    <row r="2078" spans="8:8">
      <c r="H2078" s="1150">
        <f t="shared" si="102"/>
        <v>0</v>
      </c>
    </row>
    <row r="2079" spans="8:8">
      <c r="H2079" s="1150">
        <f t="shared" si="102"/>
        <v>0</v>
      </c>
    </row>
    <row r="2080" spans="8:8">
      <c r="H2080" s="1150">
        <f t="shared" si="102"/>
        <v>0</v>
      </c>
    </row>
    <row r="2081" spans="8:8">
      <c r="H2081" s="1150">
        <f t="shared" si="102"/>
        <v>0</v>
      </c>
    </row>
    <row r="2082" spans="8:8">
      <c r="H2082" s="1150">
        <f t="shared" si="102"/>
        <v>0</v>
      </c>
    </row>
    <row r="2083" spans="8:8">
      <c r="H2083" s="1150">
        <f t="shared" si="102"/>
        <v>0</v>
      </c>
    </row>
    <row r="2084" spans="8:8">
      <c r="H2084" s="1150">
        <f t="shared" si="102"/>
        <v>0</v>
      </c>
    </row>
    <row r="2085" spans="8:8">
      <c r="H2085" s="1150">
        <f t="shared" si="102"/>
        <v>0</v>
      </c>
    </row>
    <row r="2086" spans="8:8">
      <c r="H2086" s="1150">
        <f t="shared" si="102"/>
        <v>0</v>
      </c>
    </row>
    <row r="2087" spans="8:8">
      <c r="H2087" s="1150">
        <f t="shared" si="102"/>
        <v>0</v>
      </c>
    </row>
    <row r="2088" spans="8:8">
      <c r="H2088" s="1150">
        <f t="shared" si="102"/>
        <v>0</v>
      </c>
    </row>
    <row r="2089" spans="8:8">
      <c r="H2089" s="1150">
        <f t="shared" si="102"/>
        <v>0</v>
      </c>
    </row>
    <row r="2090" spans="8:8">
      <c r="H2090" s="1150">
        <f t="shared" ref="H2090:H2153" si="103">F2090-G2090</f>
        <v>0</v>
      </c>
    </row>
    <row r="2091" spans="8:8">
      <c r="H2091" s="1150">
        <f t="shared" si="103"/>
        <v>0</v>
      </c>
    </row>
    <row r="2092" spans="8:8">
      <c r="H2092" s="1150">
        <f t="shared" si="103"/>
        <v>0</v>
      </c>
    </row>
    <row r="2093" spans="8:8">
      <c r="H2093" s="1150">
        <f t="shared" si="103"/>
        <v>0</v>
      </c>
    </row>
    <row r="2094" spans="8:8">
      <c r="H2094" s="1150">
        <f t="shared" si="103"/>
        <v>0</v>
      </c>
    </row>
    <row r="2095" spans="8:8">
      <c r="H2095" s="1150">
        <f t="shared" si="103"/>
        <v>0</v>
      </c>
    </row>
    <row r="2096" spans="8:8">
      <c r="H2096" s="1150">
        <f t="shared" si="103"/>
        <v>0</v>
      </c>
    </row>
    <row r="2097" spans="8:8">
      <c r="H2097" s="1150">
        <f t="shared" si="103"/>
        <v>0</v>
      </c>
    </row>
    <row r="2098" spans="8:8">
      <c r="H2098" s="1150">
        <f t="shared" si="103"/>
        <v>0</v>
      </c>
    </row>
    <row r="2099" spans="8:8">
      <c r="H2099" s="1150">
        <f t="shared" si="103"/>
        <v>0</v>
      </c>
    </row>
    <row r="2100" spans="8:8">
      <c r="H2100" s="1150">
        <f t="shared" si="103"/>
        <v>0</v>
      </c>
    </row>
    <row r="2101" spans="8:8">
      <c r="H2101" s="1150">
        <f t="shared" si="103"/>
        <v>0</v>
      </c>
    </row>
    <row r="2102" spans="8:8">
      <c r="H2102" s="1150">
        <f t="shared" si="103"/>
        <v>0</v>
      </c>
    </row>
    <row r="2103" spans="8:8">
      <c r="H2103" s="1150">
        <f t="shared" si="103"/>
        <v>0</v>
      </c>
    </row>
    <row r="2104" spans="8:8">
      <c r="H2104" s="1150">
        <f t="shared" si="103"/>
        <v>0</v>
      </c>
    </row>
    <row r="2105" spans="8:8">
      <c r="H2105" s="1150">
        <f t="shared" si="103"/>
        <v>0</v>
      </c>
    </row>
    <row r="2106" spans="8:8">
      <c r="H2106" s="1150">
        <f t="shared" si="103"/>
        <v>0</v>
      </c>
    </row>
    <row r="2107" spans="8:8">
      <c r="H2107" s="1150">
        <f t="shared" si="103"/>
        <v>0</v>
      </c>
    </row>
    <row r="2108" spans="8:8">
      <c r="H2108" s="1150">
        <f t="shared" si="103"/>
        <v>0</v>
      </c>
    </row>
    <row r="2109" spans="8:8">
      <c r="H2109" s="1150">
        <f t="shared" si="103"/>
        <v>0</v>
      </c>
    </row>
    <row r="2110" spans="8:8">
      <c r="H2110" s="1150">
        <f t="shared" si="103"/>
        <v>0</v>
      </c>
    </row>
    <row r="2111" spans="8:8">
      <c r="H2111" s="1150">
        <f t="shared" si="103"/>
        <v>0</v>
      </c>
    </row>
    <row r="2112" spans="8:8">
      <c r="H2112" s="1150">
        <f t="shared" si="103"/>
        <v>0</v>
      </c>
    </row>
    <row r="2113" spans="8:8">
      <c r="H2113" s="1150">
        <f t="shared" si="103"/>
        <v>0</v>
      </c>
    </row>
    <row r="2114" spans="8:8">
      <c r="H2114" s="1150">
        <f t="shared" si="103"/>
        <v>0</v>
      </c>
    </row>
    <row r="2115" spans="8:8">
      <c r="H2115" s="1150">
        <f t="shared" si="103"/>
        <v>0</v>
      </c>
    </row>
    <row r="2116" spans="8:8">
      <c r="H2116" s="1150">
        <f t="shared" si="103"/>
        <v>0</v>
      </c>
    </row>
    <row r="2117" spans="8:8">
      <c r="H2117" s="1150">
        <f t="shared" si="103"/>
        <v>0</v>
      </c>
    </row>
    <row r="2118" spans="8:8">
      <c r="H2118" s="1150">
        <f t="shared" si="103"/>
        <v>0</v>
      </c>
    </row>
    <row r="2119" spans="8:8">
      <c r="H2119" s="1150">
        <f t="shared" si="103"/>
        <v>0</v>
      </c>
    </row>
    <row r="2120" spans="8:8">
      <c r="H2120" s="1150">
        <f t="shared" si="103"/>
        <v>0</v>
      </c>
    </row>
    <row r="2121" spans="8:8">
      <c r="H2121" s="1150">
        <f t="shared" si="103"/>
        <v>0</v>
      </c>
    </row>
    <row r="2122" spans="8:8">
      <c r="H2122" s="1150">
        <f t="shared" si="103"/>
        <v>0</v>
      </c>
    </row>
    <row r="2123" spans="8:8">
      <c r="H2123" s="1150">
        <f t="shared" si="103"/>
        <v>0</v>
      </c>
    </row>
    <row r="2124" spans="8:8">
      <c r="H2124" s="1150">
        <f t="shared" si="103"/>
        <v>0</v>
      </c>
    </row>
    <row r="2125" spans="8:8">
      <c r="H2125" s="1150">
        <f t="shared" si="103"/>
        <v>0</v>
      </c>
    </row>
    <row r="2126" spans="8:8">
      <c r="H2126" s="1150">
        <f t="shared" si="103"/>
        <v>0</v>
      </c>
    </row>
    <row r="2127" spans="8:8">
      <c r="H2127" s="1150">
        <f t="shared" si="103"/>
        <v>0</v>
      </c>
    </row>
    <row r="2128" spans="8:8">
      <c r="H2128" s="1150">
        <f t="shared" si="103"/>
        <v>0</v>
      </c>
    </row>
    <row r="2129" spans="8:8">
      <c r="H2129" s="1150">
        <f t="shared" si="103"/>
        <v>0</v>
      </c>
    </row>
    <row r="2130" spans="8:8">
      <c r="H2130" s="1150">
        <f t="shared" si="103"/>
        <v>0</v>
      </c>
    </row>
    <row r="2131" spans="8:8">
      <c r="H2131" s="1150">
        <f t="shared" si="103"/>
        <v>0</v>
      </c>
    </row>
    <row r="2132" spans="8:8">
      <c r="H2132" s="1150">
        <f t="shared" si="103"/>
        <v>0</v>
      </c>
    </row>
    <row r="2133" spans="8:8">
      <c r="H2133" s="1150">
        <f t="shared" si="103"/>
        <v>0</v>
      </c>
    </row>
    <row r="2134" spans="8:8">
      <c r="H2134" s="1150">
        <f t="shared" si="103"/>
        <v>0</v>
      </c>
    </row>
    <row r="2135" spans="8:8">
      <c r="H2135" s="1150">
        <f t="shared" si="103"/>
        <v>0</v>
      </c>
    </row>
    <row r="2136" spans="8:8">
      <c r="H2136" s="1150">
        <f t="shared" si="103"/>
        <v>0</v>
      </c>
    </row>
    <row r="2137" spans="8:8">
      <c r="H2137" s="1150">
        <f t="shared" si="103"/>
        <v>0</v>
      </c>
    </row>
    <row r="2138" spans="8:8">
      <c r="H2138" s="1150">
        <f t="shared" si="103"/>
        <v>0</v>
      </c>
    </row>
    <row r="2139" spans="8:8">
      <c r="H2139" s="1150">
        <f t="shared" si="103"/>
        <v>0</v>
      </c>
    </row>
    <row r="2140" spans="8:8">
      <c r="H2140" s="1150">
        <f t="shared" si="103"/>
        <v>0</v>
      </c>
    </row>
    <row r="2141" spans="8:8">
      <c r="H2141" s="1150">
        <f t="shared" si="103"/>
        <v>0</v>
      </c>
    </row>
    <row r="2142" spans="8:8">
      <c r="H2142" s="1150">
        <f t="shared" si="103"/>
        <v>0</v>
      </c>
    </row>
    <row r="2143" spans="8:8">
      <c r="H2143" s="1150">
        <f t="shared" si="103"/>
        <v>0</v>
      </c>
    </row>
    <row r="2144" spans="8:8">
      <c r="H2144" s="1150">
        <f t="shared" si="103"/>
        <v>0</v>
      </c>
    </row>
    <row r="2145" spans="8:8">
      <c r="H2145" s="1150">
        <f t="shared" si="103"/>
        <v>0</v>
      </c>
    </row>
    <row r="2146" spans="8:8">
      <c r="H2146" s="1150">
        <f t="shared" si="103"/>
        <v>0</v>
      </c>
    </row>
    <row r="2147" spans="8:8">
      <c r="H2147" s="1150">
        <f t="shared" si="103"/>
        <v>0</v>
      </c>
    </row>
    <row r="2148" spans="8:8">
      <c r="H2148" s="1150">
        <f t="shared" si="103"/>
        <v>0</v>
      </c>
    </row>
    <row r="2149" spans="8:8">
      <c r="H2149" s="1150">
        <f t="shared" si="103"/>
        <v>0</v>
      </c>
    </row>
    <row r="2150" spans="8:8">
      <c r="H2150" s="1150">
        <f t="shared" si="103"/>
        <v>0</v>
      </c>
    </row>
    <row r="2151" spans="8:8">
      <c r="H2151" s="1150">
        <f t="shared" si="103"/>
        <v>0</v>
      </c>
    </row>
    <row r="2152" spans="8:8">
      <c r="H2152" s="1150">
        <f t="shared" si="103"/>
        <v>0</v>
      </c>
    </row>
    <row r="2153" spans="8:8">
      <c r="H2153" s="1150">
        <f t="shared" si="103"/>
        <v>0</v>
      </c>
    </row>
    <row r="2154" spans="8:8">
      <c r="H2154" s="1150">
        <f t="shared" ref="H2154:H2217" si="104">F2154-G2154</f>
        <v>0</v>
      </c>
    </row>
    <row r="2155" spans="8:8">
      <c r="H2155" s="1150">
        <f t="shared" si="104"/>
        <v>0</v>
      </c>
    </row>
    <row r="2156" spans="8:8">
      <c r="H2156" s="1150">
        <f t="shared" si="104"/>
        <v>0</v>
      </c>
    </row>
    <row r="2157" spans="8:8">
      <c r="H2157" s="1150">
        <f t="shared" si="104"/>
        <v>0</v>
      </c>
    </row>
    <row r="2158" spans="8:8">
      <c r="H2158" s="1150">
        <f t="shared" si="104"/>
        <v>0</v>
      </c>
    </row>
    <row r="2159" spans="8:8">
      <c r="H2159" s="1150">
        <f t="shared" si="104"/>
        <v>0</v>
      </c>
    </row>
    <row r="2160" spans="8:8">
      <c r="H2160" s="1150">
        <f t="shared" si="104"/>
        <v>0</v>
      </c>
    </row>
    <row r="2161" spans="8:8">
      <c r="H2161" s="1150">
        <f t="shared" si="104"/>
        <v>0</v>
      </c>
    </row>
    <row r="2162" spans="8:8">
      <c r="H2162" s="1150">
        <f t="shared" si="104"/>
        <v>0</v>
      </c>
    </row>
    <row r="2163" spans="8:8">
      <c r="H2163" s="1150">
        <f t="shared" si="104"/>
        <v>0</v>
      </c>
    </row>
    <row r="2164" spans="8:8">
      <c r="H2164" s="1150">
        <f t="shared" si="104"/>
        <v>0</v>
      </c>
    </row>
    <row r="2165" spans="8:8">
      <c r="H2165" s="1150">
        <f t="shared" si="104"/>
        <v>0</v>
      </c>
    </row>
    <row r="2166" spans="8:8">
      <c r="H2166" s="1150">
        <f t="shared" si="104"/>
        <v>0</v>
      </c>
    </row>
    <row r="2167" spans="8:8">
      <c r="H2167" s="1150">
        <f t="shared" si="104"/>
        <v>0</v>
      </c>
    </row>
    <row r="2168" spans="8:8">
      <c r="H2168" s="1150">
        <f t="shared" si="104"/>
        <v>0</v>
      </c>
    </row>
    <row r="2169" spans="8:8">
      <c r="H2169" s="1150">
        <f t="shared" si="104"/>
        <v>0</v>
      </c>
    </row>
    <row r="2170" spans="8:8">
      <c r="H2170" s="1150">
        <f t="shared" si="104"/>
        <v>0</v>
      </c>
    </row>
    <row r="2171" spans="8:8">
      <c r="H2171" s="1150">
        <f t="shared" si="104"/>
        <v>0</v>
      </c>
    </row>
    <row r="2172" spans="8:8">
      <c r="H2172" s="1150">
        <f t="shared" si="104"/>
        <v>0</v>
      </c>
    </row>
    <row r="2173" spans="8:8">
      <c r="H2173" s="1150">
        <f t="shared" si="104"/>
        <v>0</v>
      </c>
    </row>
    <row r="2174" spans="8:8">
      <c r="H2174" s="1150">
        <f t="shared" si="104"/>
        <v>0</v>
      </c>
    </row>
    <row r="2175" spans="8:8">
      <c r="H2175" s="1150">
        <f t="shared" si="104"/>
        <v>0</v>
      </c>
    </row>
    <row r="2176" spans="8:8">
      <c r="H2176" s="1150">
        <f t="shared" si="104"/>
        <v>0</v>
      </c>
    </row>
    <row r="2177" spans="8:8">
      <c r="H2177" s="1150">
        <f t="shared" si="104"/>
        <v>0</v>
      </c>
    </row>
    <row r="2178" spans="8:8">
      <c r="H2178" s="1150">
        <f t="shared" si="104"/>
        <v>0</v>
      </c>
    </row>
    <row r="2179" spans="8:8">
      <c r="H2179" s="1150">
        <f t="shared" si="104"/>
        <v>0</v>
      </c>
    </row>
    <row r="2180" spans="8:8">
      <c r="H2180" s="1150">
        <f t="shared" si="104"/>
        <v>0</v>
      </c>
    </row>
    <row r="2181" spans="8:8">
      <c r="H2181" s="1150">
        <f t="shared" si="104"/>
        <v>0</v>
      </c>
    </row>
    <row r="2182" spans="8:8">
      <c r="H2182" s="1150">
        <f t="shared" si="104"/>
        <v>0</v>
      </c>
    </row>
    <row r="2183" spans="8:8">
      <c r="H2183" s="1150">
        <f t="shared" si="104"/>
        <v>0</v>
      </c>
    </row>
    <row r="2184" spans="8:8">
      <c r="H2184" s="1150">
        <f t="shared" si="104"/>
        <v>0</v>
      </c>
    </row>
    <row r="2185" spans="8:8">
      <c r="H2185" s="1150">
        <f t="shared" si="104"/>
        <v>0</v>
      </c>
    </row>
    <row r="2186" spans="8:8">
      <c r="H2186" s="1150">
        <f t="shared" si="104"/>
        <v>0</v>
      </c>
    </row>
    <row r="2187" spans="8:8">
      <c r="H2187" s="1150">
        <f t="shared" si="104"/>
        <v>0</v>
      </c>
    </row>
    <row r="2188" spans="8:8">
      <c r="H2188" s="1150">
        <f t="shared" si="104"/>
        <v>0</v>
      </c>
    </row>
    <row r="2189" spans="8:8">
      <c r="H2189" s="1150">
        <f t="shared" si="104"/>
        <v>0</v>
      </c>
    </row>
    <row r="2190" spans="8:8">
      <c r="H2190" s="1150">
        <f t="shared" si="104"/>
        <v>0</v>
      </c>
    </row>
    <row r="2191" spans="8:8">
      <c r="H2191" s="1150">
        <f t="shared" si="104"/>
        <v>0</v>
      </c>
    </row>
    <row r="2192" spans="8:8">
      <c r="H2192" s="1150">
        <f t="shared" si="104"/>
        <v>0</v>
      </c>
    </row>
    <row r="2193" spans="8:8">
      <c r="H2193" s="1150">
        <f t="shared" si="104"/>
        <v>0</v>
      </c>
    </row>
    <row r="2194" spans="8:8">
      <c r="H2194" s="1150">
        <f t="shared" si="104"/>
        <v>0</v>
      </c>
    </row>
    <row r="2195" spans="8:8">
      <c r="H2195" s="1150">
        <f t="shared" si="104"/>
        <v>0</v>
      </c>
    </row>
    <row r="2196" spans="8:8">
      <c r="H2196" s="1150">
        <f t="shared" si="104"/>
        <v>0</v>
      </c>
    </row>
    <row r="2197" spans="8:8">
      <c r="H2197" s="1150">
        <f t="shared" si="104"/>
        <v>0</v>
      </c>
    </row>
    <row r="2198" spans="8:8">
      <c r="H2198" s="1150">
        <f t="shared" si="104"/>
        <v>0</v>
      </c>
    </row>
    <row r="2199" spans="8:8">
      <c r="H2199" s="1150">
        <f t="shared" si="104"/>
        <v>0</v>
      </c>
    </row>
    <row r="2200" spans="8:8">
      <c r="H2200" s="1150">
        <f t="shared" si="104"/>
        <v>0</v>
      </c>
    </row>
    <row r="2201" spans="8:8">
      <c r="H2201" s="1150">
        <f t="shared" si="104"/>
        <v>0</v>
      </c>
    </row>
    <row r="2202" spans="8:8">
      <c r="H2202" s="1150">
        <f t="shared" si="104"/>
        <v>0</v>
      </c>
    </row>
    <row r="2203" spans="8:8">
      <c r="H2203" s="1150">
        <f t="shared" si="104"/>
        <v>0</v>
      </c>
    </row>
    <row r="2204" spans="8:8">
      <c r="H2204" s="1150">
        <f t="shared" si="104"/>
        <v>0</v>
      </c>
    </row>
    <row r="2205" spans="8:8">
      <c r="H2205" s="1150">
        <f t="shared" si="104"/>
        <v>0</v>
      </c>
    </row>
    <row r="2206" spans="8:8">
      <c r="H2206" s="1150">
        <f t="shared" si="104"/>
        <v>0</v>
      </c>
    </row>
    <row r="2207" spans="8:8">
      <c r="H2207" s="1150">
        <f t="shared" si="104"/>
        <v>0</v>
      </c>
    </row>
    <row r="2208" spans="8:8">
      <c r="H2208" s="1150">
        <f t="shared" si="104"/>
        <v>0</v>
      </c>
    </row>
    <row r="2209" spans="8:8">
      <c r="H2209" s="1150">
        <f t="shared" si="104"/>
        <v>0</v>
      </c>
    </row>
    <row r="2210" spans="8:8">
      <c r="H2210" s="1150">
        <f t="shared" si="104"/>
        <v>0</v>
      </c>
    </row>
    <row r="2211" spans="8:8">
      <c r="H2211" s="1150">
        <f t="shared" si="104"/>
        <v>0</v>
      </c>
    </row>
    <row r="2212" spans="8:8">
      <c r="H2212" s="1150">
        <f t="shared" si="104"/>
        <v>0</v>
      </c>
    </row>
    <row r="2213" spans="8:8">
      <c r="H2213" s="1150">
        <f t="shared" si="104"/>
        <v>0</v>
      </c>
    </row>
    <row r="2214" spans="8:8">
      <c r="H2214" s="1150">
        <f t="shared" si="104"/>
        <v>0</v>
      </c>
    </row>
    <row r="2215" spans="8:8">
      <c r="H2215" s="1150">
        <f t="shared" si="104"/>
        <v>0</v>
      </c>
    </row>
    <row r="2216" spans="8:8">
      <c r="H2216" s="1150">
        <f t="shared" si="104"/>
        <v>0</v>
      </c>
    </row>
    <row r="2217" spans="8:8">
      <c r="H2217" s="1150">
        <f t="shared" si="104"/>
        <v>0</v>
      </c>
    </row>
    <row r="2218" spans="8:8">
      <c r="H2218" s="1150">
        <f t="shared" ref="H2218:H2281" si="105">F2218-G2218</f>
        <v>0</v>
      </c>
    </row>
    <row r="2219" spans="8:8">
      <c r="H2219" s="1150">
        <f t="shared" si="105"/>
        <v>0</v>
      </c>
    </row>
    <row r="2220" spans="8:8">
      <c r="H2220" s="1150">
        <f t="shared" si="105"/>
        <v>0</v>
      </c>
    </row>
    <row r="2221" spans="8:8">
      <c r="H2221" s="1150">
        <f t="shared" si="105"/>
        <v>0</v>
      </c>
    </row>
    <row r="2222" spans="8:8">
      <c r="H2222" s="1150">
        <f t="shared" si="105"/>
        <v>0</v>
      </c>
    </row>
    <row r="2223" spans="8:8">
      <c r="H2223" s="1150">
        <f t="shared" si="105"/>
        <v>0</v>
      </c>
    </row>
    <row r="2224" spans="8:8">
      <c r="H2224" s="1150">
        <f t="shared" si="105"/>
        <v>0</v>
      </c>
    </row>
    <row r="2225" spans="8:8">
      <c r="H2225" s="1150">
        <f t="shared" si="105"/>
        <v>0</v>
      </c>
    </row>
    <row r="2226" spans="8:8">
      <c r="H2226" s="1150">
        <f t="shared" si="105"/>
        <v>0</v>
      </c>
    </row>
    <row r="2227" spans="8:8">
      <c r="H2227" s="1150">
        <f t="shared" si="105"/>
        <v>0</v>
      </c>
    </row>
    <row r="2228" spans="8:8">
      <c r="H2228" s="1150">
        <f t="shared" si="105"/>
        <v>0</v>
      </c>
    </row>
    <row r="2229" spans="8:8">
      <c r="H2229" s="1150">
        <f t="shared" si="105"/>
        <v>0</v>
      </c>
    </row>
    <row r="2230" spans="8:8">
      <c r="H2230" s="1150">
        <f t="shared" si="105"/>
        <v>0</v>
      </c>
    </row>
    <row r="2231" spans="8:8">
      <c r="H2231" s="1150">
        <f t="shared" si="105"/>
        <v>0</v>
      </c>
    </row>
    <row r="2232" spans="8:8">
      <c r="H2232" s="1150">
        <f t="shared" si="105"/>
        <v>0</v>
      </c>
    </row>
    <row r="2233" spans="8:8">
      <c r="H2233" s="1150">
        <f t="shared" si="105"/>
        <v>0</v>
      </c>
    </row>
    <row r="2234" spans="8:8">
      <c r="H2234" s="1150">
        <f t="shared" si="105"/>
        <v>0</v>
      </c>
    </row>
    <row r="2235" spans="8:8">
      <c r="H2235" s="1150">
        <f t="shared" si="105"/>
        <v>0</v>
      </c>
    </row>
    <row r="2236" spans="8:8">
      <c r="H2236" s="1150">
        <f t="shared" si="105"/>
        <v>0</v>
      </c>
    </row>
    <row r="2237" spans="8:8">
      <c r="H2237" s="1150">
        <f t="shared" si="105"/>
        <v>0</v>
      </c>
    </row>
    <row r="2238" spans="8:8">
      <c r="H2238" s="1150">
        <f t="shared" si="105"/>
        <v>0</v>
      </c>
    </row>
    <row r="2239" spans="8:8">
      <c r="H2239" s="1150">
        <f t="shared" si="105"/>
        <v>0</v>
      </c>
    </row>
    <row r="2240" spans="8:8">
      <c r="H2240" s="1150">
        <f t="shared" si="105"/>
        <v>0</v>
      </c>
    </row>
    <row r="2241" spans="8:8">
      <c r="H2241" s="1150">
        <f t="shared" si="105"/>
        <v>0</v>
      </c>
    </row>
    <row r="2242" spans="8:8">
      <c r="H2242" s="1150">
        <f t="shared" si="105"/>
        <v>0</v>
      </c>
    </row>
    <row r="2243" spans="8:8">
      <c r="H2243" s="1150">
        <f t="shared" si="105"/>
        <v>0</v>
      </c>
    </row>
    <row r="2244" spans="8:8">
      <c r="H2244" s="1150">
        <f t="shared" si="105"/>
        <v>0</v>
      </c>
    </row>
    <row r="2245" spans="8:8">
      <c r="H2245" s="1150">
        <f t="shared" si="105"/>
        <v>0</v>
      </c>
    </row>
    <row r="2246" spans="8:8">
      <c r="H2246" s="1150">
        <f t="shared" si="105"/>
        <v>0</v>
      </c>
    </row>
    <row r="2247" spans="8:8">
      <c r="H2247" s="1150">
        <f t="shared" si="105"/>
        <v>0</v>
      </c>
    </row>
    <row r="2248" spans="8:8">
      <c r="H2248" s="1150">
        <f t="shared" si="105"/>
        <v>0</v>
      </c>
    </row>
    <row r="2249" spans="8:8">
      <c r="H2249" s="1150">
        <f t="shared" si="105"/>
        <v>0</v>
      </c>
    </row>
    <row r="2250" spans="8:8">
      <c r="H2250" s="1150">
        <f t="shared" si="105"/>
        <v>0</v>
      </c>
    </row>
    <row r="2251" spans="8:8">
      <c r="H2251" s="1150">
        <f t="shared" si="105"/>
        <v>0</v>
      </c>
    </row>
    <row r="2252" spans="8:8">
      <c r="H2252" s="1150">
        <f t="shared" si="105"/>
        <v>0</v>
      </c>
    </row>
    <row r="2253" spans="8:8">
      <c r="H2253" s="1150">
        <f t="shared" si="105"/>
        <v>0</v>
      </c>
    </row>
    <row r="2254" spans="8:8">
      <c r="H2254" s="1150">
        <f t="shared" si="105"/>
        <v>0</v>
      </c>
    </row>
    <row r="2255" spans="8:8">
      <c r="H2255" s="1150">
        <f t="shared" si="105"/>
        <v>0</v>
      </c>
    </row>
    <row r="2256" spans="8:8">
      <c r="H2256" s="1150">
        <f t="shared" si="105"/>
        <v>0</v>
      </c>
    </row>
    <row r="2257" spans="8:8">
      <c r="H2257" s="1150">
        <f t="shared" si="105"/>
        <v>0</v>
      </c>
    </row>
    <row r="2258" spans="8:8">
      <c r="H2258" s="1150">
        <f t="shared" si="105"/>
        <v>0</v>
      </c>
    </row>
    <row r="2259" spans="8:8">
      <c r="H2259" s="1150">
        <f t="shared" si="105"/>
        <v>0</v>
      </c>
    </row>
    <row r="2260" spans="8:8">
      <c r="H2260" s="1150">
        <f t="shared" si="105"/>
        <v>0</v>
      </c>
    </row>
    <row r="2261" spans="8:8">
      <c r="H2261" s="1150">
        <f t="shared" si="105"/>
        <v>0</v>
      </c>
    </row>
    <row r="2262" spans="8:8">
      <c r="H2262" s="1150">
        <f t="shared" si="105"/>
        <v>0</v>
      </c>
    </row>
    <row r="2263" spans="8:8">
      <c r="H2263" s="1150">
        <f t="shared" si="105"/>
        <v>0</v>
      </c>
    </row>
    <row r="2264" spans="8:8">
      <c r="H2264" s="1150">
        <f t="shared" si="105"/>
        <v>0</v>
      </c>
    </row>
    <row r="2265" spans="8:8">
      <c r="H2265" s="1150">
        <f t="shared" si="105"/>
        <v>0</v>
      </c>
    </row>
    <row r="2266" spans="8:8">
      <c r="H2266" s="1150">
        <f t="shared" si="105"/>
        <v>0</v>
      </c>
    </row>
    <row r="2267" spans="8:8">
      <c r="H2267" s="1150">
        <f t="shared" si="105"/>
        <v>0</v>
      </c>
    </row>
    <row r="2268" spans="8:8">
      <c r="H2268" s="1150">
        <f t="shared" si="105"/>
        <v>0</v>
      </c>
    </row>
    <row r="2269" spans="8:8">
      <c r="H2269" s="1150">
        <f t="shared" si="105"/>
        <v>0</v>
      </c>
    </row>
    <row r="2270" spans="8:8">
      <c r="H2270" s="1150">
        <f t="shared" si="105"/>
        <v>0</v>
      </c>
    </row>
    <row r="2271" spans="8:8">
      <c r="H2271" s="1150">
        <f t="shared" si="105"/>
        <v>0</v>
      </c>
    </row>
    <row r="2272" spans="8:8">
      <c r="H2272" s="1150">
        <f t="shared" si="105"/>
        <v>0</v>
      </c>
    </row>
    <row r="2273" spans="8:8">
      <c r="H2273" s="1150">
        <f t="shared" si="105"/>
        <v>0</v>
      </c>
    </row>
    <row r="2274" spans="8:8">
      <c r="H2274" s="1150">
        <f t="shared" si="105"/>
        <v>0</v>
      </c>
    </row>
    <row r="2275" spans="8:8">
      <c r="H2275" s="1150">
        <f t="shared" si="105"/>
        <v>0</v>
      </c>
    </row>
    <row r="2276" spans="8:8">
      <c r="H2276" s="1150">
        <f t="shared" si="105"/>
        <v>0</v>
      </c>
    </row>
    <row r="2277" spans="8:8">
      <c r="H2277" s="1150">
        <f t="shared" si="105"/>
        <v>0</v>
      </c>
    </row>
    <row r="2278" spans="8:8">
      <c r="H2278" s="1150">
        <f t="shared" si="105"/>
        <v>0</v>
      </c>
    </row>
    <row r="2279" spans="8:8">
      <c r="H2279" s="1150">
        <f t="shared" si="105"/>
        <v>0</v>
      </c>
    </row>
    <row r="2280" spans="8:8">
      <c r="H2280" s="1150">
        <f t="shared" si="105"/>
        <v>0</v>
      </c>
    </row>
    <row r="2281" spans="8:8">
      <c r="H2281" s="1150">
        <f t="shared" si="105"/>
        <v>0</v>
      </c>
    </row>
    <row r="2282" spans="8:8">
      <c r="H2282" s="1150">
        <f t="shared" ref="H2282:H2345" si="106">F2282-G2282</f>
        <v>0</v>
      </c>
    </row>
    <row r="2283" spans="8:8">
      <c r="H2283" s="1150">
        <f t="shared" si="106"/>
        <v>0</v>
      </c>
    </row>
    <row r="2284" spans="8:8">
      <c r="H2284" s="1150">
        <f t="shared" si="106"/>
        <v>0</v>
      </c>
    </row>
    <row r="2285" spans="8:8">
      <c r="H2285" s="1150">
        <f t="shared" si="106"/>
        <v>0</v>
      </c>
    </row>
    <row r="2286" spans="8:8">
      <c r="H2286" s="1150">
        <f t="shared" si="106"/>
        <v>0</v>
      </c>
    </row>
    <row r="2287" spans="8:8">
      <c r="H2287" s="1150">
        <f t="shared" si="106"/>
        <v>0</v>
      </c>
    </row>
    <row r="2288" spans="8:8">
      <c r="H2288" s="1150">
        <f t="shared" si="106"/>
        <v>0</v>
      </c>
    </row>
    <row r="2289" spans="8:8">
      <c r="H2289" s="1150">
        <f t="shared" si="106"/>
        <v>0</v>
      </c>
    </row>
    <row r="2290" spans="8:8">
      <c r="H2290" s="1150">
        <f t="shared" si="106"/>
        <v>0</v>
      </c>
    </row>
    <row r="2291" spans="8:8">
      <c r="H2291" s="1150">
        <f t="shared" si="106"/>
        <v>0</v>
      </c>
    </row>
    <row r="2292" spans="8:8">
      <c r="H2292" s="1150">
        <f t="shared" si="106"/>
        <v>0</v>
      </c>
    </row>
    <row r="2293" spans="8:8">
      <c r="H2293" s="1150">
        <f t="shared" si="106"/>
        <v>0</v>
      </c>
    </row>
    <row r="2294" spans="8:8">
      <c r="H2294" s="1150">
        <f t="shared" si="106"/>
        <v>0</v>
      </c>
    </row>
    <row r="2295" spans="8:8">
      <c r="H2295" s="1150">
        <f t="shared" si="106"/>
        <v>0</v>
      </c>
    </row>
    <row r="2296" spans="8:8">
      <c r="H2296" s="1150">
        <f t="shared" si="106"/>
        <v>0</v>
      </c>
    </row>
    <row r="2297" spans="8:8">
      <c r="H2297" s="1150">
        <f t="shared" si="106"/>
        <v>0</v>
      </c>
    </row>
    <row r="2298" spans="8:8">
      <c r="H2298" s="1150">
        <f t="shared" si="106"/>
        <v>0</v>
      </c>
    </row>
    <row r="2299" spans="8:8">
      <c r="H2299" s="1150">
        <f t="shared" si="106"/>
        <v>0</v>
      </c>
    </row>
    <row r="2300" spans="8:8">
      <c r="H2300" s="1150">
        <f t="shared" si="106"/>
        <v>0</v>
      </c>
    </row>
    <row r="2301" spans="8:8">
      <c r="H2301" s="1150">
        <f t="shared" si="106"/>
        <v>0</v>
      </c>
    </row>
    <row r="2302" spans="8:8">
      <c r="H2302" s="1150">
        <f t="shared" si="106"/>
        <v>0</v>
      </c>
    </row>
    <row r="2303" spans="8:8">
      <c r="H2303" s="1150">
        <f t="shared" si="106"/>
        <v>0</v>
      </c>
    </row>
    <row r="2304" spans="8:8">
      <c r="H2304" s="1150">
        <f t="shared" si="106"/>
        <v>0</v>
      </c>
    </row>
    <row r="2305" spans="8:8">
      <c r="H2305" s="1150">
        <f t="shared" si="106"/>
        <v>0</v>
      </c>
    </row>
    <row r="2306" spans="8:8">
      <c r="H2306" s="1150">
        <f t="shared" si="106"/>
        <v>0</v>
      </c>
    </row>
    <row r="2307" spans="8:8">
      <c r="H2307" s="1150">
        <f t="shared" si="106"/>
        <v>0</v>
      </c>
    </row>
    <row r="2308" spans="8:8">
      <c r="H2308" s="1150">
        <f t="shared" si="106"/>
        <v>0</v>
      </c>
    </row>
    <row r="2309" spans="8:8">
      <c r="H2309" s="1150">
        <f t="shared" si="106"/>
        <v>0</v>
      </c>
    </row>
    <row r="2310" spans="8:8">
      <c r="H2310" s="1150">
        <f t="shared" si="106"/>
        <v>0</v>
      </c>
    </row>
    <row r="2311" spans="8:8">
      <c r="H2311" s="1150">
        <f t="shared" si="106"/>
        <v>0</v>
      </c>
    </row>
    <row r="2312" spans="8:8">
      <c r="H2312" s="1150">
        <f t="shared" si="106"/>
        <v>0</v>
      </c>
    </row>
    <row r="2313" spans="8:8">
      <c r="H2313" s="1150">
        <f t="shared" si="106"/>
        <v>0</v>
      </c>
    </row>
    <row r="2314" spans="8:8">
      <c r="H2314" s="1150">
        <f t="shared" si="106"/>
        <v>0</v>
      </c>
    </row>
    <row r="2315" spans="8:8">
      <c r="H2315" s="1150">
        <f t="shared" si="106"/>
        <v>0</v>
      </c>
    </row>
    <row r="2316" spans="8:8">
      <c r="H2316" s="1150">
        <f t="shared" si="106"/>
        <v>0</v>
      </c>
    </row>
    <row r="2317" spans="8:8">
      <c r="H2317" s="1150">
        <f t="shared" si="106"/>
        <v>0</v>
      </c>
    </row>
    <row r="2318" spans="8:8">
      <c r="H2318" s="1150">
        <f t="shared" si="106"/>
        <v>0</v>
      </c>
    </row>
    <row r="2319" spans="8:8">
      <c r="H2319" s="1150">
        <f t="shared" si="106"/>
        <v>0</v>
      </c>
    </row>
    <row r="2320" spans="8:8">
      <c r="H2320" s="1150">
        <f t="shared" si="106"/>
        <v>0</v>
      </c>
    </row>
    <row r="2321" spans="8:8">
      <c r="H2321" s="1150">
        <f t="shared" si="106"/>
        <v>0</v>
      </c>
    </row>
    <row r="2322" spans="8:8">
      <c r="H2322" s="1150">
        <f t="shared" si="106"/>
        <v>0</v>
      </c>
    </row>
    <row r="2323" spans="8:8">
      <c r="H2323" s="1150">
        <f t="shared" si="106"/>
        <v>0</v>
      </c>
    </row>
    <row r="2324" spans="8:8">
      <c r="H2324" s="1150">
        <f t="shared" si="106"/>
        <v>0</v>
      </c>
    </row>
    <row r="2325" spans="8:8">
      <c r="H2325" s="1150">
        <f t="shared" si="106"/>
        <v>0</v>
      </c>
    </row>
    <row r="2326" spans="8:8">
      <c r="H2326" s="1150">
        <f t="shared" si="106"/>
        <v>0</v>
      </c>
    </row>
    <row r="2327" spans="8:8">
      <c r="H2327" s="1150">
        <f t="shared" si="106"/>
        <v>0</v>
      </c>
    </row>
    <row r="2328" spans="8:8">
      <c r="H2328" s="1150">
        <f t="shared" si="106"/>
        <v>0</v>
      </c>
    </row>
    <row r="2329" spans="8:8">
      <c r="H2329" s="1150">
        <f t="shared" si="106"/>
        <v>0</v>
      </c>
    </row>
    <row r="2330" spans="8:8">
      <c r="H2330" s="1150">
        <f t="shared" si="106"/>
        <v>0</v>
      </c>
    </row>
    <row r="2331" spans="8:8">
      <c r="H2331" s="1150">
        <f t="shared" si="106"/>
        <v>0</v>
      </c>
    </row>
    <row r="2332" spans="8:8">
      <c r="H2332" s="1150">
        <f t="shared" si="106"/>
        <v>0</v>
      </c>
    </row>
    <row r="2333" spans="8:8">
      <c r="H2333" s="1150">
        <f t="shared" si="106"/>
        <v>0</v>
      </c>
    </row>
    <row r="2334" spans="8:8">
      <c r="H2334" s="1150">
        <f t="shared" si="106"/>
        <v>0</v>
      </c>
    </row>
    <row r="2335" spans="8:8">
      <c r="H2335" s="1150">
        <f t="shared" si="106"/>
        <v>0</v>
      </c>
    </row>
    <row r="2336" spans="8:8">
      <c r="H2336" s="1150">
        <f t="shared" si="106"/>
        <v>0</v>
      </c>
    </row>
    <row r="2337" spans="8:8">
      <c r="H2337" s="1150">
        <f t="shared" si="106"/>
        <v>0</v>
      </c>
    </row>
    <row r="2338" spans="8:8">
      <c r="H2338" s="1150">
        <f t="shared" si="106"/>
        <v>0</v>
      </c>
    </row>
    <row r="2339" spans="8:8">
      <c r="H2339" s="1150">
        <f t="shared" si="106"/>
        <v>0</v>
      </c>
    </row>
    <row r="2340" spans="8:8">
      <c r="H2340" s="1150">
        <f t="shared" si="106"/>
        <v>0</v>
      </c>
    </row>
    <row r="2341" spans="8:8">
      <c r="H2341" s="1150">
        <f t="shared" si="106"/>
        <v>0</v>
      </c>
    </row>
    <row r="2342" spans="8:8">
      <c r="H2342" s="1150">
        <f t="shared" si="106"/>
        <v>0</v>
      </c>
    </row>
    <row r="2343" spans="8:8">
      <c r="H2343" s="1150">
        <f t="shared" si="106"/>
        <v>0</v>
      </c>
    </row>
    <row r="2344" spans="8:8">
      <c r="H2344" s="1150">
        <f t="shared" si="106"/>
        <v>0</v>
      </c>
    </row>
    <row r="2345" spans="8:8">
      <c r="H2345" s="1150">
        <f t="shared" si="106"/>
        <v>0</v>
      </c>
    </row>
    <row r="2346" spans="8:8">
      <c r="H2346" s="1150">
        <f t="shared" ref="H2346:H2409" si="107">F2346-G2346</f>
        <v>0</v>
      </c>
    </row>
    <row r="2347" spans="8:8">
      <c r="H2347" s="1150">
        <f t="shared" si="107"/>
        <v>0</v>
      </c>
    </row>
    <row r="2348" spans="8:8">
      <c r="H2348" s="1150">
        <f t="shared" si="107"/>
        <v>0</v>
      </c>
    </row>
    <row r="2349" spans="8:8">
      <c r="H2349" s="1150">
        <f t="shared" si="107"/>
        <v>0</v>
      </c>
    </row>
    <row r="2350" spans="8:8">
      <c r="H2350" s="1150">
        <f t="shared" si="107"/>
        <v>0</v>
      </c>
    </row>
    <row r="2351" spans="8:8">
      <c r="H2351" s="1150">
        <f t="shared" si="107"/>
        <v>0</v>
      </c>
    </row>
    <row r="2352" spans="8:8">
      <c r="H2352" s="1150">
        <f t="shared" si="107"/>
        <v>0</v>
      </c>
    </row>
    <row r="2353" spans="8:8">
      <c r="H2353" s="1150">
        <f t="shared" si="107"/>
        <v>0</v>
      </c>
    </row>
    <row r="2354" spans="8:8">
      <c r="H2354" s="1150">
        <f t="shared" si="107"/>
        <v>0</v>
      </c>
    </row>
    <row r="2355" spans="8:8">
      <c r="H2355" s="1150">
        <f t="shared" si="107"/>
        <v>0</v>
      </c>
    </row>
    <row r="2356" spans="8:8">
      <c r="H2356" s="1150">
        <f t="shared" si="107"/>
        <v>0</v>
      </c>
    </row>
    <row r="2357" spans="8:8">
      <c r="H2357" s="1150">
        <f t="shared" si="107"/>
        <v>0</v>
      </c>
    </row>
    <row r="2358" spans="8:8">
      <c r="H2358" s="1150">
        <f t="shared" si="107"/>
        <v>0</v>
      </c>
    </row>
    <row r="2359" spans="8:8">
      <c r="H2359" s="1150">
        <f t="shared" si="107"/>
        <v>0</v>
      </c>
    </row>
    <row r="2360" spans="8:8">
      <c r="H2360" s="1150">
        <f t="shared" si="107"/>
        <v>0</v>
      </c>
    </row>
    <row r="2361" spans="8:8">
      <c r="H2361" s="1150">
        <f t="shared" si="107"/>
        <v>0</v>
      </c>
    </row>
    <row r="2362" spans="8:8">
      <c r="H2362" s="1150">
        <f t="shared" si="107"/>
        <v>0</v>
      </c>
    </row>
    <row r="2363" spans="8:8">
      <c r="H2363" s="1150">
        <f t="shared" si="107"/>
        <v>0</v>
      </c>
    </row>
    <row r="2364" spans="8:8">
      <c r="H2364" s="1150">
        <f t="shared" si="107"/>
        <v>0</v>
      </c>
    </row>
    <row r="2365" spans="8:8">
      <c r="H2365" s="1150">
        <f t="shared" si="107"/>
        <v>0</v>
      </c>
    </row>
    <row r="2366" spans="8:8">
      <c r="H2366" s="1150">
        <f t="shared" si="107"/>
        <v>0</v>
      </c>
    </row>
    <row r="2367" spans="8:8">
      <c r="H2367" s="1150">
        <f t="shared" si="107"/>
        <v>0</v>
      </c>
    </row>
    <row r="2368" spans="8:8">
      <c r="H2368" s="1150">
        <f t="shared" si="107"/>
        <v>0</v>
      </c>
    </row>
    <row r="2369" spans="8:8">
      <c r="H2369" s="1150">
        <f t="shared" si="107"/>
        <v>0</v>
      </c>
    </row>
    <row r="2370" spans="8:8">
      <c r="H2370" s="1150">
        <f t="shared" si="107"/>
        <v>0</v>
      </c>
    </row>
    <row r="2371" spans="8:8">
      <c r="H2371" s="1150">
        <f t="shared" si="107"/>
        <v>0</v>
      </c>
    </row>
    <row r="2372" spans="8:8">
      <c r="H2372" s="1150">
        <f t="shared" si="107"/>
        <v>0</v>
      </c>
    </row>
    <row r="2373" spans="8:8">
      <c r="H2373" s="1150">
        <f t="shared" si="107"/>
        <v>0</v>
      </c>
    </row>
    <row r="2374" spans="8:8">
      <c r="H2374" s="1150">
        <f t="shared" si="107"/>
        <v>0</v>
      </c>
    </row>
    <row r="2375" spans="8:8">
      <c r="H2375" s="1150">
        <f t="shared" si="107"/>
        <v>0</v>
      </c>
    </row>
    <row r="2376" spans="8:8">
      <c r="H2376" s="1150">
        <f t="shared" si="107"/>
        <v>0</v>
      </c>
    </row>
    <row r="2377" spans="8:8">
      <c r="H2377" s="1150">
        <f t="shared" si="107"/>
        <v>0</v>
      </c>
    </row>
    <row r="2378" spans="8:8">
      <c r="H2378" s="1150">
        <f t="shared" si="107"/>
        <v>0</v>
      </c>
    </row>
    <row r="2379" spans="8:8">
      <c r="H2379" s="1150">
        <f t="shared" si="107"/>
        <v>0</v>
      </c>
    </row>
    <row r="2380" spans="8:8">
      <c r="H2380" s="1150">
        <f t="shared" si="107"/>
        <v>0</v>
      </c>
    </row>
    <row r="2381" spans="8:8">
      <c r="H2381" s="1150">
        <f t="shared" si="107"/>
        <v>0</v>
      </c>
    </row>
    <row r="2382" spans="8:8">
      <c r="H2382" s="1150">
        <f t="shared" si="107"/>
        <v>0</v>
      </c>
    </row>
    <row r="2383" spans="8:8">
      <c r="H2383" s="1150">
        <f t="shared" si="107"/>
        <v>0</v>
      </c>
    </row>
    <row r="2384" spans="8:8">
      <c r="H2384" s="1150">
        <f t="shared" si="107"/>
        <v>0</v>
      </c>
    </row>
    <row r="2385" spans="8:8">
      <c r="H2385" s="1150">
        <f t="shared" si="107"/>
        <v>0</v>
      </c>
    </row>
    <row r="2386" spans="8:8">
      <c r="H2386" s="1150">
        <f t="shared" si="107"/>
        <v>0</v>
      </c>
    </row>
    <row r="2387" spans="8:8">
      <c r="H2387" s="1150">
        <f t="shared" si="107"/>
        <v>0</v>
      </c>
    </row>
    <row r="2388" spans="8:8">
      <c r="H2388" s="1150">
        <f t="shared" si="107"/>
        <v>0</v>
      </c>
    </row>
    <row r="2389" spans="8:8">
      <c r="H2389" s="1150">
        <f t="shared" si="107"/>
        <v>0</v>
      </c>
    </row>
    <row r="2390" spans="8:8">
      <c r="H2390" s="1150">
        <f t="shared" si="107"/>
        <v>0</v>
      </c>
    </row>
    <row r="2391" spans="8:8">
      <c r="H2391" s="1150">
        <f t="shared" si="107"/>
        <v>0</v>
      </c>
    </row>
    <row r="2392" spans="8:8">
      <c r="H2392" s="1150">
        <f t="shared" si="107"/>
        <v>0</v>
      </c>
    </row>
    <row r="2393" spans="8:8">
      <c r="H2393" s="1150">
        <f t="shared" si="107"/>
        <v>0</v>
      </c>
    </row>
    <row r="2394" spans="8:8">
      <c r="H2394" s="1150">
        <f t="shared" si="107"/>
        <v>0</v>
      </c>
    </row>
    <row r="2395" spans="8:8">
      <c r="H2395" s="1150">
        <f t="shared" si="107"/>
        <v>0</v>
      </c>
    </row>
    <row r="2396" spans="8:8">
      <c r="H2396" s="1150">
        <f t="shared" si="107"/>
        <v>0</v>
      </c>
    </row>
    <row r="2397" spans="8:8">
      <c r="H2397" s="1150">
        <f t="shared" si="107"/>
        <v>0</v>
      </c>
    </row>
    <row r="2398" spans="8:8">
      <c r="H2398" s="1150">
        <f t="shared" si="107"/>
        <v>0</v>
      </c>
    </row>
    <row r="2399" spans="8:8">
      <c r="H2399" s="1150">
        <f t="shared" si="107"/>
        <v>0</v>
      </c>
    </row>
    <row r="2400" spans="8:8">
      <c r="H2400" s="1150">
        <f t="shared" si="107"/>
        <v>0</v>
      </c>
    </row>
    <row r="2401" spans="8:8">
      <c r="H2401" s="1150">
        <f t="shared" si="107"/>
        <v>0</v>
      </c>
    </row>
    <row r="2402" spans="8:8">
      <c r="H2402" s="1150">
        <f t="shared" si="107"/>
        <v>0</v>
      </c>
    </row>
    <row r="2403" spans="8:8">
      <c r="H2403" s="1150">
        <f t="shared" si="107"/>
        <v>0</v>
      </c>
    </row>
    <row r="2404" spans="8:8">
      <c r="H2404" s="1150">
        <f t="shared" si="107"/>
        <v>0</v>
      </c>
    </row>
    <row r="2405" spans="8:8">
      <c r="H2405" s="1150">
        <f t="shared" si="107"/>
        <v>0</v>
      </c>
    </row>
    <row r="2406" spans="8:8">
      <c r="H2406" s="1150">
        <f t="shared" si="107"/>
        <v>0</v>
      </c>
    </row>
    <row r="2407" spans="8:8">
      <c r="H2407" s="1150">
        <f t="shared" si="107"/>
        <v>0</v>
      </c>
    </row>
    <row r="2408" spans="8:8">
      <c r="H2408" s="1150">
        <f t="shared" si="107"/>
        <v>0</v>
      </c>
    </row>
    <row r="2409" spans="8:8">
      <c r="H2409" s="1150">
        <f t="shared" si="107"/>
        <v>0</v>
      </c>
    </row>
    <row r="2410" spans="8:8">
      <c r="H2410" s="1150">
        <f t="shared" ref="H2410:H2473" si="108">F2410-G2410</f>
        <v>0</v>
      </c>
    </row>
    <row r="2411" spans="8:8">
      <c r="H2411" s="1150">
        <f t="shared" si="108"/>
        <v>0</v>
      </c>
    </row>
    <row r="2412" spans="8:8">
      <c r="H2412" s="1150">
        <f t="shared" si="108"/>
        <v>0</v>
      </c>
    </row>
    <row r="2413" spans="8:8">
      <c r="H2413" s="1150">
        <f t="shared" si="108"/>
        <v>0</v>
      </c>
    </row>
    <row r="2414" spans="8:8">
      <c r="H2414" s="1150">
        <f t="shared" si="108"/>
        <v>0</v>
      </c>
    </row>
    <row r="2415" spans="8:8">
      <c r="H2415" s="1150">
        <f t="shared" si="108"/>
        <v>0</v>
      </c>
    </row>
    <row r="2416" spans="8:8">
      <c r="H2416" s="1150">
        <f t="shared" si="108"/>
        <v>0</v>
      </c>
    </row>
    <row r="2417" spans="8:8">
      <c r="H2417" s="1150">
        <f t="shared" si="108"/>
        <v>0</v>
      </c>
    </row>
    <row r="2418" spans="8:8">
      <c r="H2418" s="1150">
        <f t="shared" si="108"/>
        <v>0</v>
      </c>
    </row>
    <row r="2419" spans="8:8">
      <c r="H2419" s="1150">
        <f t="shared" si="108"/>
        <v>0</v>
      </c>
    </row>
    <row r="2420" spans="8:8">
      <c r="H2420" s="1150">
        <f t="shared" si="108"/>
        <v>0</v>
      </c>
    </row>
    <row r="2421" spans="8:8">
      <c r="H2421" s="1150">
        <f t="shared" si="108"/>
        <v>0</v>
      </c>
    </row>
    <row r="2422" spans="8:8">
      <c r="H2422" s="1150">
        <f t="shared" si="108"/>
        <v>0</v>
      </c>
    </row>
    <row r="2423" spans="8:8">
      <c r="H2423" s="1150">
        <f t="shared" si="108"/>
        <v>0</v>
      </c>
    </row>
    <row r="2424" spans="8:8">
      <c r="H2424" s="1150">
        <f t="shared" si="108"/>
        <v>0</v>
      </c>
    </row>
    <row r="2425" spans="8:8">
      <c r="H2425" s="1150">
        <f t="shared" si="108"/>
        <v>0</v>
      </c>
    </row>
    <row r="2426" spans="8:8">
      <c r="H2426" s="1150">
        <f t="shared" si="108"/>
        <v>0</v>
      </c>
    </row>
    <row r="2427" spans="8:8">
      <c r="H2427" s="1150">
        <f t="shared" si="108"/>
        <v>0</v>
      </c>
    </row>
    <row r="2428" spans="8:8">
      <c r="H2428" s="1150">
        <f t="shared" si="108"/>
        <v>0</v>
      </c>
    </row>
    <row r="2429" spans="8:8">
      <c r="H2429" s="1150">
        <f t="shared" si="108"/>
        <v>0</v>
      </c>
    </row>
    <row r="2430" spans="8:8">
      <c r="H2430" s="1150">
        <f t="shared" si="108"/>
        <v>0</v>
      </c>
    </row>
    <row r="2431" spans="8:8">
      <c r="H2431" s="1150">
        <f t="shared" si="108"/>
        <v>0</v>
      </c>
    </row>
    <row r="2432" spans="8:8">
      <c r="H2432" s="1150">
        <f t="shared" si="108"/>
        <v>0</v>
      </c>
    </row>
    <row r="2433" spans="8:8">
      <c r="H2433" s="1150">
        <f t="shared" si="108"/>
        <v>0</v>
      </c>
    </row>
    <row r="2434" spans="8:8">
      <c r="H2434" s="1150">
        <f t="shared" si="108"/>
        <v>0</v>
      </c>
    </row>
    <row r="2435" spans="8:8">
      <c r="H2435" s="1150">
        <f t="shared" si="108"/>
        <v>0</v>
      </c>
    </row>
    <row r="2436" spans="8:8">
      <c r="H2436" s="1150">
        <f t="shared" si="108"/>
        <v>0</v>
      </c>
    </row>
    <row r="2437" spans="8:8">
      <c r="H2437" s="1150">
        <f t="shared" si="108"/>
        <v>0</v>
      </c>
    </row>
    <row r="2438" spans="8:8">
      <c r="H2438" s="1150">
        <f t="shared" si="108"/>
        <v>0</v>
      </c>
    </row>
    <row r="2439" spans="8:8">
      <c r="H2439" s="1150">
        <f t="shared" si="108"/>
        <v>0</v>
      </c>
    </row>
    <row r="2440" spans="8:8">
      <c r="H2440" s="1150">
        <f t="shared" si="108"/>
        <v>0</v>
      </c>
    </row>
    <row r="2441" spans="8:8">
      <c r="H2441" s="1150">
        <f t="shared" si="108"/>
        <v>0</v>
      </c>
    </row>
    <row r="2442" spans="8:8">
      <c r="H2442" s="1150">
        <f t="shared" si="108"/>
        <v>0</v>
      </c>
    </row>
    <row r="2443" spans="8:8">
      <c r="H2443" s="1150">
        <f t="shared" si="108"/>
        <v>0</v>
      </c>
    </row>
    <row r="2444" spans="8:8">
      <c r="H2444" s="1150">
        <f t="shared" si="108"/>
        <v>0</v>
      </c>
    </row>
    <row r="2445" spans="8:8">
      <c r="H2445" s="1150">
        <f t="shared" si="108"/>
        <v>0</v>
      </c>
    </row>
    <row r="2446" spans="8:8">
      <c r="H2446" s="1150">
        <f t="shared" si="108"/>
        <v>0</v>
      </c>
    </row>
    <row r="2447" spans="8:8">
      <c r="H2447" s="1150">
        <f t="shared" si="108"/>
        <v>0</v>
      </c>
    </row>
    <row r="2448" spans="8:8">
      <c r="H2448" s="1150">
        <f t="shared" si="108"/>
        <v>0</v>
      </c>
    </row>
    <row r="2449" spans="8:8">
      <c r="H2449" s="1150">
        <f t="shared" si="108"/>
        <v>0</v>
      </c>
    </row>
    <row r="2450" spans="8:8">
      <c r="H2450" s="1150">
        <f t="shared" si="108"/>
        <v>0</v>
      </c>
    </row>
    <row r="2451" spans="8:8">
      <c r="H2451" s="1150">
        <f t="shared" si="108"/>
        <v>0</v>
      </c>
    </row>
    <row r="2452" spans="8:8">
      <c r="H2452" s="1150">
        <f t="shared" si="108"/>
        <v>0</v>
      </c>
    </row>
    <row r="2453" spans="8:8">
      <c r="H2453" s="1150">
        <f t="shared" si="108"/>
        <v>0</v>
      </c>
    </row>
    <row r="2454" spans="8:8">
      <c r="H2454" s="1150">
        <f t="shared" si="108"/>
        <v>0</v>
      </c>
    </row>
    <row r="2455" spans="8:8">
      <c r="H2455" s="1150">
        <f t="shared" si="108"/>
        <v>0</v>
      </c>
    </row>
    <row r="2456" spans="8:8">
      <c r="H2456" s="1150">
        <f t="shared" si="108"/>
        <v>0</v>
      </c>
    </row>
    <row r="2457" spans="8:8">
      <c r="H2457" s="1150">
        <f t="shared" si="108"/>
        <v>0</v>
      </c>
    </row>
    <row r="2458" spans="8:8">
      <c r="H2458" s="1150">
        <f t="shared" si="108"/>
        <v>0</v>
      </c>
    </row>
    <row r="2459" spans="8:8">
      <c r="H2459" s="1150">
        <f t="shared" si="108"/>
        <v>0</v>
      </c>
    </row>
    <row r="2460" spans="8:8">
      <c r="H2460" s="1150">
        <f t="shared" si="108"/>
        <v>0</v>
      </c>
    </row>
    <row r="2461" spans="8:8">
      <c r="H2461" s="1150">
        <f t="shared" si="108"/>
        <v>0</v>
      </c>
    </row>
    <row r="2462" spans="8:8">
      <c r="H2462" s="1150">
        <f t="shared" si="108"/>
        <v>0</v>
      </c>
    </row>
    <row r="2463" spans="8:8">
      <c r="H2463" s="1150">
        <f t="shared" si="108"/>
        <v>0</v>
      </c>
    </row>
    <row r="2464" spans="8:8">
      <c r="H2464" s="1150">
        <f t="shared" si="108"/>
        <v>0</v>
      </c>
    </row>
    <row r="2465" spans="8:8">
      <c r="H2465" s="1150">
        <f t="shared" si="108"/>
        <v>0</v>
      </c>
    </row>
    <row r="2466" spans="8:8">
      <c r="H2466" s="1150">
        <f t="shared" si="108"/>
        <v>0</v>
      </c>
    </row>
    <row r="2467" spans="8:8">
      <c r="H2467" s="1150">
        <f t="shared" si="108"/>
        <v>0</v>
      </c>
    </row>
    <row r="2468" spans="8:8">
      <c r="H2468" s="1150">
        <f t="shared" si="108"/>
        <v>0</v>
      </c>
    </row>
    <row r="2469" spans="8:8">
      <c r="H2469" s="1150">
        <f t="shared" si="108"/>
        <v>0</v>
      </c>
    </row>
    <row r="2470" spans="8:8">
      <c r="H2470" s="1150">
        <f t="shared" si="108"/>
        <v>0</v>
      </c>
    </row>
    <row r="2471" spans="8:8">
      <c r="H2471" s="1150">
        <f t="shared" si="108"/>
        <v>0</v>
      </c>
    </row>
    <row r="2472" spans="8:8">
      <c r="H2472" s="1150">
        <f t="shared" si="108"/>
        <v>0</v>
      </c>
    </row>
    <row r="2473" spans="8:8">
      <c r="H2473" s="1150">
        <f t="shared" si="108"/>
        <v>0</v>
      </c>
    </row>
    <row r="2474" spans="8:8">
      <c r="H2474" s="1150">
        <f t="shared" ref="H2474:H2537" si="109">F2474-G2474</f>
        <v>0</v>
      </c>
    </row>
    <row r="2475" spans="8:8">
      <c r="H2475" s="1150">
        <f t="shared" si="109"/>
        <v>0</v>
      </c>
    </row>
    <row r="2476" spans="8:8">
      <c r="H2476" s="1150">
        <f t="shared" si="109"/>
        <v>0</v>
      </c>
    </row>
    <row r="2477" spans="8:8">
      <c r="H2477" s="1150">
        <f t="shared" si="109"/>
        <v>0</v>
      </c>
    </row>
    <row r="2478" spans="8:8">
      <c r="H2478" s="1150">
        <f t="shared" si="109"/>
        <v>0</v>
      </c>
    </row>
    <row r="2479" spans="8:8">
      <c r="H2479" s="1150">
        <f t="shared" si="109"/>
        <v>0</v>
      </c>
    </row>
    <row r="2480" spans="8:8">
      <c r="H2480" s="1150">
        <f t="shared" si="109"/>
        <v>0</v>
      </c>
    </row>
    <row r="2481" spans="8:8">
      <c r="H2481" s="1150">
        <f t="shared" si="109"/>
        <v>0</v>
      </c>
    </row>
    <row r="2482" spans="8:8">
      <c r="H2482" s="1150">
        <f t="shared" si="109"/>
        <v>0</v>
      </c>
    </row>
    <row r="2483" spans="8:8">
      <c r="H2483" s="1150">
        <f t="shared" si="109"/>
        <v>0</v>
      </c>
    </row>
    <row r="2484" spans="8:8">
      <c r="H2484" s="1150">
        <f t="shared" si="109"/>
        <v>0</v>
      </c>
    </row>
    <row r="2485" spans="8:8">
      <c r="H2485" s="1150">
        <f t="shared" si="109"/>
        <v>0</v>
      </c>
    </row>
    <row r="2486" spans="8:8">
      <c r="H2486" s="1150">
        <f t="shared" si="109"/>
        <v>0</v>
      </c>
    </row>
    <row r="2487" spans="8:8">
      <c r="H2487" s="1150">
        <f t="shared" si="109"/>
        <v>0</v>
      </c>
    </row>
    <row r="2488" spans="8:8">
      <c r="H2488" s="1150">
        <f t="shared" si="109"/>
        <v>0</v>
      </c>
    </row>
    <row r="2489" spans="8:8">
      <c r="H2489" s="1150">
        <f t="shared" si="109"/>
        <v>0</v>
      </c>
    </row>
    <row r="2490" spans="8:8">
      <c r="H2490" s="1150">
        <f t="shared" si="109"/>
        <v>0</v>
      </c>
    </row>
    <row r="2491" spans="8:8">
      <c r="H2491" s="1150">
        <f t="shared" si="109"/>
        <v>0</v>
      </c>
    </row>
    <row r="2492" spans="8:8">
      <c r="H2492" s="1150">
        <f t="shared" si="109"/>
        <v>0</v>
      </c>
    </row>
    <row r="2493" spans="8:8">
      <c r="H2493" s="1150">
        <f t="shared" si="109"/>
        <v>0</v>
      </c>
    </row>
    <row r="2494" spans="8:8">
      <c r="H2494" s="1150">
        <f t="shared" si="109"/>
        <v>0</v>
      </c>
    </row>
    <row r="2495" spans="8:8">
      <c r="H2495" s="1150">
        <f t="shared" si="109"/>
        <v>0</v>
      </c>
    </row>
    <row r="2496" spans="8:8">
      <c r="H2496" s="1150">
        <f t="shared" si="109"/>
        <v>0</v>
      </c>
    </row>
    <row r="2497" spans="8:8">
      <c r="H2497" s="1150">
        <f t="shared" si="109"/>
        <v>0</v>
      </c>
    </row>
    <row r="2498" spans="8:8">
      <c r="H2498" s="1150">
        <f t="shared" si="109"/>
        <v>0</v>
      </c>
    </row>
    <row r="2499" spans="8:8">
      <c r="H2499" s="1150">
        <f t="shared" si="109"/>
        <v>0</v>
      </c>
    </row>
    <row r="2500" spans="8:8">
      <c r="H2500" s="1150">
        <f t="shared" si="109"/>
        <v>0</v>
      </c>
    </row>
    <row r="2501" spans="8:8">
      <c r="H2501" s="1150">
        <f t="shared" si="109"/>
        <v>0</v>
      </c>
    </row>
    <row r="2502" spans="8:8">
      <c r="H2502" s="1150">
        <f t="shared" si="109"/>
        <v>0</v>
      </c>
    </row>
    <row r="2503" spans="8:8">
      <c r="H2503" s="1150">
        <f t="shared" si="109"/>
        <v>0</v>
      </c>
    </row>
    <row r="2504" spans="8:8">
      <c r="H2504" s="1150">
        <f t="shared" si="109"/>
        <v>0</v>
      </c>
    </row>
    <row r="2505" spans="8:8">
      <c r="H2505" s="1150">
        <f t="shared" si="109"/>
        <v>0</v>
      </c>
    </row>
    <row r="2506" spans="8:8">
      <c r="H2506" s="1150">
        <f t="shared" si="109"/>
        <v>0</v>
      </c>
    </row>
    <row r="2507" spans="8:8">
      <c r="H2507" s="1150">
        <f t="shared" si="109"/>
        <v>0</v>
      </c>
    </row>
    <row r="2508" spans="8:8">
      <c r="H2508" s="1150">
        <f t="shared" si="109"/>
        <v>0</v>
      </c>
    </row>
    <row r="2509" spans="8:8">
      <c r="H2509" s="1150">
        <f t="shared" si="109"/>
        <v>0</v>
      </c>
    </row>
    <row r="2510" spans="8:8">
      <c r="H2510" s="1150">
        <f t="shared" si="109"/>
        <v>0</v>
      </c>
    </row>
    <row r="2511" spans="8:8">
      <c r="H2511" s="1150">
        <f t="shared" si="109"/>
        <v>0</v>
      </c>
    </row>
    <row r="2512" spans="8:8">
      <c r="H2512" s="1150">
        <f t="shared" si="109"/>
        <v>0</v>
      </c>
    </row>
    <row r="2513" spans="8:8">
      <c r="H2513" s="1150">
        <f t="shared" si="109"/>
        <v>0</v>
      </c>
    </row>
    <row r="2514" spans="8:8">
      <c r="H2514" s="1150">
        <f t="shared" si="109"/>
        <v>0</v>
      </c>
    </row>
    <row r="2515" spans="8:8">
      <c r="H2515" s="1150">
        <f t="shared" si="109"/>
        <v>0</v>
      </c>
    </row>
    <row r="2516" spans="8:8">
      <c r="H2516" s="1150">
        <f t="shared" si="109"/>
        <v>0</v>
      </c>
    </row>
    <row r="2517" spans="8:8">
      <c r="H2517" s="1150">
        <f t="shared" si="109"/>
        <v>0</v>
      </c>
    </row>
    <row r="2518" spans="8:8">
      <c r="H2518" s="1150">
        <f t="shared" si="109"/>
        <v>0</v>
      </c>
    </row>
    <row r="2519" spans="8:8">
      <c r="H2519" s="1150">
        <f t="shared" si="109"/>
        <v>0</v>
      </c>
    </row>
    <row r="2520" spans="8:8">
      <c r="H2520" s="1150">
        <f t="shared" si="109"/>
        <v>0</v>
      </c>
    </row>
    <row r="2521" spans="8:8">
      <c r="H2521" s="1150">
        <f t="shared" si="109"/>
        <v>0</v>
      </c>
    </row>
    <row r="2522" spans="8:8">
      <c r="H2522" s="1150">
        <f t="shared" si="109"/>
        <v>0</v>
      </c>
    </row>
    <row r="2523" spans="8:8">
      <c r="H2523" s="1150">
        <f t="shared" si="109"/>
        <v>0</v>
      </c>
    </row>
    <row r="2524" spans="8:8">
      <c r="H2524" s="1150">
        <f t="shared" si="109"/>
        <v>0</v>
      </c>
    </row>
    <row r="2525" spans="8:8">
      <c r="H2525" s="1150">
        <f t="shared" si="109"/>
        <v>0</v>
      </c>
    </row>
    <row r="2526" spans="8:8">
      <c r="H2526" s="1150">
        <f t="shared" si="109"/>
        <v>0</v>
      </c>
    </row>
    <row r="2527" spans="8:8">
      <c r="H2527" s="1150">
        <f t="shared" si="109"/>
        <v>0</v>
      </c>
    </row>
    <row r="2528" spans="8:8">
      <c r="H2528" s="1150">
        <f t="shared" si="109"/>
        <v>0</v>
      </c>
    </row>
    <row r="2529" spans="8:8">
      <c r="H2529" s="1150">
        <f t="shared" si="109"/>
        <v>0</v>
      </c>
    </row>
    <row r="2530" spans="8:8">
      <c r="H2530" s="1150">
        <f t="shared" si="109"/>
        <v>0</v>
      </c>
    </row>
    <row r="2531" spans="8:8">
      <c r="H2531" s="1150">
        <f t="shared" si="109"/>
        <v>0</v>
      </c>
    </row>
    <row r="2532" spans="8:8">
      <c r="H2532" s="1150">
        <f t="shared" si="109"/>
        <v>0</v>
      </c>
    </row>
    <row r="2533" spans="8:8">
      <c r="H2533" s="1150">
        <f t="shared" si="109"/>
        <v>0</v>
      </c>
    </row>
    <row r="2534" spans="8:8">
      <c r="H2534" s="1150">
        <f t="shared" si="109"/>
        <v>0</v>
      </c>
    </row>
    <row r="2535" spans="8:8">
      <c r="H2535" s="1150">
        <f t="shared" si="109"/>
        <v>0</v>
      </c>
    </row>
    <row r="2536" spans="8:8">
      <c r="H2536" s="1150">
        <f t="shared" si="109"/>
        <v>0</v>
      </c>
    </row>
    <row r="2537" spans="8:8">
      <c r="H2537" s="1150">
        <f t="shared" si="109"/>
        <v>0</v>
      </c>
    </row>
    <row r="2538" spans="8:8">
      <c r="H2538" s="1150">
        <f t="shared" ref="H2538:H2601" si="110">F2538-G2538</f>
        <v>0</v>
      </c>
    </row>
    <row r="2539" spans="8:8">
      <c r="H2539" s="1150">
        <f t="shared" si="110"/>
        <v>0</v>
      </c>
    </row>
    <row r="2540" spans="8:8">
      <c r="H2540" s="1150">
        <f t="shared" si="110"/>
        <v>0</v>
      </c>
    </row>
    <row r="2541" spans="8:8">
      <c r="H2541" s="1150">
        <f t="shared" si="110"/>
        <v>0</v>
      </c>
    </row>
    <row r="2542" spans="8:8">
      <c r="H2542" s="1150">
        <f t="shared" si="110"/>
        <v>0</v>
      </c>
    </row>
    <row r="2543" spans="8:8">
      <c r="H2543" s="1150">
        <f t="shared" si="110"/>
        <v>0</v>
      </c>
    </row>
    <row r="2544" spans="8:8">
      <c r="H2544" s="1150">
        <f t="shared" si="110"/>
        <v>0</v>
      </c>
    </row>
    <row r="2545" spans="8:8">
      <c r="H2545" s="1150">
        <f t="shared" si="110"/>
        <v>0</v>
      </c>
    </row>
    <row r="2546" spans="8:8">
      <c r="H2546" s="1150">
        <f t="shared" si="110"/>
        <v>0</v>
      </c>
    </row>
    <row r="2547" spans="8:8">
      <c r="H2547" s="1150">
        <f t="shared" si="110"/>
        <v>0</v>
      </c>
    </row>
    <row r="2548" spans="8:8">
      <c r="H2548" s="1150">
        <f t="shared" si="110"/>
        <v>0</v>
      </c>
    </row>
    <row r="2549" spans="8:8">
      <c r="H2549" s="1150">
        <f t="shared" si="110"/>
        <v>0</v>
      </c>
    </row>
    <row r="2550" spans="8:8">
      <c r="H2550" s="1150">
        <f t="shared" si="110"/>
        <v>0</v>
      </c>
    </row>
    <row r="2551" spans="8:8">
      <c r="H2551" s="1150">
        <f t="shared" si="110"/>
        <v>0</v>
      </c>
    </row>
    <row r="2552" spans="8:8">
      <c r="H2552" s="1150">
        <f t="shared" si="110"/>
        <v>0</v>
      </c>
    </row>
    <row r="2553" spans="8:8">
      <c r="H2553" s="1150">
        <f t="shared" si="110"/>
        <v>0</v>
      </c>
    </row>
    <row r="2554" spans="8:8">
      <c r="H2554" s="1150">
        <f t="shared" si="110"/>
        <v>0</v>
      </c>
    </row>
    <row r="2555" spans="8:8">
      <c r="H2555" s="1150">
        <f t="shared" si="110"/>
        <v>0</v>
      </c>
    </row>
    <row r="2556" spans="8:8">
      <c r="H2556" s="1150">
        <f t="shared" si="110"/>
        <v>0</v>
      </c>
    </row>
    <row r="2557" spans="8:8">
      <c r="H2557" s="1150">
        <f t="shared" si="110"/>
        <v>0</v>
      </c>
    </row>
    <row r="2558" spans="8:8">
      <c r="H2558" s="1150">
        <f t="shared" si="110"/>
        <v>0</v>
      </c>
    </row>
    <row r="2559" spans="8:8">
      <c r="H2559" s="1150">
        <f t="shared" si="110"/>
        <v>0</v>
      </c>
    </row>
    <row r="2560" spans="8:8">
      <c r="H2560" s="1150">
        <f t="shared" si="110"/>
        <v>0</v>
      </c>
    </row>
    <row r="2561" spans="8:8">
      <c r="H2561" s="1150">
        <f t="shared" si="110"/>
        <v>0</v>
      </c>
    </row>
    <row r="2562" spans="8:8">
      <c r="H2562" s="1150">
        <f t="shared" si="110"/>
        <v>0</v>
      </c>
    </row>
    <row r="2563" spans="8:8">
      <c r="H2563" s="1150">
        <f t="shared" si="110"/>
        <v>0</v>
      </c>
    </row>
    <row r="2564" spans="8:8">
      <c r="H2564" s="1150">
        <f t="shared" si="110"/>
        <v>0</v>
      </c>
    </row>
    <row r="2565" spans="8:8">
      <c r="H2565" s="1150">
        <f t="shared" si="110"/>
        <v>0</v>
      </c>
    </row>
    <row r="2566" spans="8:8">
      <c r="H2566" s="1150">
        <f t="shared" si="110"/>
        <v>0</v>
      </c>
    </row>
    <row r="2567" spans="8:8">
      <c r="H2567" s="1150">
        <f t="shared" si="110"/>
        <v>0</v>
      </c>
    </row>
    <row r="2568" spans="8:8">
      <c r="H2568" s="1150">
        <f t="shared" si="110"/>
        <v>0</v>
      </c>
    </row>
    <row r="2569" spans="8:8">
      <c r="H2569" s="1150">
        <f t="shared" si="110"/>
        <v>0</v>
      </c>
    </row>
    <row r="2570" spans="8:8">
      <c r="H2570" s="1150">
        <f t="shared" si="110"/>
        <v>0</v>
      </c>
    </row>
    <row r="2571" spans="8:8">
      <c r="H2571" s="1150">
        <f t="shared" si="110"/>
        <v>0</v>
      </c>
    </row>
    <row r="2572" spans="8:8">
      <c r="H2572" s="1150">
        <f t="shared" si="110"/>
        <v>0</v>
      </c>
    </row>
    <row r="2573" spans="8:8">
      <c r="H2573" s="1150">
        <f t="shared" si="110"/>
        <v>0</v>
      </c>
    </row>
    <row r="2574" spans="8:8">
      <c r="H2574" s="1150">
        <f t="shared" si="110"/>
        <v>0</v>
      </c>
    </row>
    <row r="2575" spans="8:8">
      <c r="H2575" s="1150">
        <f t="shared" si="110"/>
        <v>0</v>
      </c>
    </row>
    <row r="2576" spans="8:8">
      <c r="H2576" s="1150">
        <f t="shared" si="110"/>
        <v>0</v>
      </c>
    </row>
    <row r="2577" spans="8:8">
      <c r="H2577" s="1150">
        <f t="shared" si="110"/>
        <v>0</v>
      </c>
    </row>
    <row r="2578" spans="8:8">
      <c r="H2578" s="1150">
        <f t="shared" si="110"/>
        <v>0</v>
      </c>
    </row>
    <row r="2579" spans="8:8">
      <c r="H2579" s="1150">
        <f t="shared" si="110"/>
        <v>0</v>
      </c>
    </row>
    <row r="2580" spans="8:8">
      <c r="H2580" s="1150">
        <f t="shared" si="110"/>
        <v>0</v>
      </c>
    </row>
    <row r="2581" spans="8:8">
      <c r="H2581" s="1150">
        <f t="shared" si="110"/>
        <v>0</v>
      </c>
    </row>
    <row r="2582" spans="8:8">
      <c r="H2582" s="1150">
        <f t="shared" si="110"/>
        <v>0</v>
      </c>
    </row>
    <row r="2583" spans="8:8">
      <c r="H2583" s="1150">
        <f t="shared" si="110"/>
        <v>0</v>
      </c>
    </row>
    <row r="2584" spans="8:8">
      <c r="H2584" s="1150">
        <f t="shared" si="110"/>
        <v>0</v>
      </c>
    </row>
    <row r="2585" spans="8:8">
      <c r="H2585" s="1150">
        <f t="shared" si="110"/>
        <v>0</v>
      </c>
    </row>
    <row r="2586" spans="8:8">
      <c r="H2586" s="1150">
        <f t="shared" si="110"/>
        <v>0</v>
      </c>
    </row>
    <row r="2587" spans="8:8">
      <c r="H2587" s="1150">
        <f t="shared" si="110"/>
        <v>0</v>
      </c>
    </row>
    <row r="2588" spans="8:8">
      <c r="H2588" s="1150">
        <f t="shared" si="110"/>
        <v>0</v>
      </c>
    </row>
    <row r="2589" spans="8:8">
      <c r="H2589" s="1150">
        <f t="shared" si="110"/>
        <v>0</v>
      </c>
    </row>
    <row r="2590" spans="8:8">
      <c r="H2590" s="1150">
        <f t="shared" si="110"/>
        <v>0</v>
      </c>
    </row>
    <row r="2591" spans="8:8">
      <c r="H2591" s="1150">
        <f t="shared" si="110"/>
        <v>0</v>
      </c>
    </row>
    <row r="2592" spans="8:8">
      <c r="H2592" s="1150">
        <f t="shared" si="110"/>
        <v>0</v>
      </c>
    </row>
    <row r="2593" spans="8:8">
      <c r="H2593" s="1150">
        <f t="shared" si="110"/>
        <v>0</v>
      </c>
    </row>
    <row r="2594" spans="8:8">
      <c r="H2594" s="1150">
        <f t="shared" si="110"/>
        <v>0</v>
      </c>
    </row>
    <row r="2595" spans="8:8">
      <c r="H2595" s="1150">
        <f t="shared" si="110"/>
        <v>0</v>
      </c>
    </row>
    <row r="2596" spans="8:8">
      <c r="H2596" s="1150">
        <f t="shared" si="110"/>
        <v>0</v>
      </c>
    </row>
    <row r="2597" spans="8:8">
      <c r="H2597" s="1150">
        <f t="shared" si="110"/>
        <v>0</v>
      </c>
    </row>
    <row r="2598" spans="8:8">
      <c r="H2598" s="1150">
        <f t="shared" si="110"/>
        <v>0</v>
      </c>
    </row>
    <row r="2599" spans="8:8">
      <c r="H2599" s="1150">
        <f t="shared" si="110"/>
        <v>0</v>
      </c>
    </row>
    <row r="2600" spans="8:8">
      <c r="H2600" s="1150">
        <f t="shared" si="110"/>
        <v>0</v>
      </c>
    </row>
    <row r="2601" spans="8:8">
      <c r="H2601" s="1150">
        <f t="shared" si="110"/>
        <v>0</v>
      </c>
    </row>
    <row r="2602" spans="8:8">
      <c r="H2602" s="1150">
        <f t="shared" ref="H2602:H2665" si="111">F2602-G2602</f>
        <v>0</v>
      </c>
    </row>
    <row r="2603" spans="8:8">
      <c r="H2603" s="1150">
        <f t="shared" si="111"/>
        <v>0</v>
      </c>
    </row>
    <row r="2604" spans="8:8">
      <c r="H2604" s="1150">
        <f t="shared" si="111"/>
        <v>0</v>
      </c>
    </row>
    <row r="2605" spans="8:8">
      <c r="H2605" s="1150">
        <f t="shared" si="111"/>
        <v>0</v>
      </c>
    </row>
    <row r="2606" spans="8:8">
      <c r="H2606" s="1150">
        <f t="shared" si="111"/>
        <v>0</v>
      </c>
    </row>
    <row r="2607" spans="8:8">
      <c r="H2607" s="1150">
        <f t="shared" si="111"/>
        <v>0</v>
      </c>
    </row>
    <row r="2608" spans="8:8">
      <c r="H2608" s="1150">
        <f t="shared" si="111"/>
        <v>0</v>
      </c>
    </row>
    <row r="2609" spans="8:8">
      <c r="H2609" s="1150">
        <f t="shared" si="111"/>
        <v>0</v>
      </c>
    </row>
    <row r="2610" spans="8:8">
      <c r="H2610" s="1150">
        <f t="shared" si="111"/>
        <v>0</v>
      </c>
    </row>
    <row r="2611" spans="8:8">
      <c r="H2611" s="1150">
        <f t="shared" si="111"/>
        <v>0</v>
      </c>
    </row>
    <row r="2612" spans="8:8">
      <c r="H2612" s="1150">
        <f t="shared" si="111"/>
        <v>0</v>
      </c>
    </row>
    <row r="2613" spans="8:8">
      <c r="H2613" s="1150">
        <f t="shared" si="111"/>
        <v>0</v>
      </c>
    </row>
    <row r="2614" spans="8:8">
      <c r="H2614" s="1150">
        <f t="shared" si="111"/>
        <v>0</v>
      </c>
    </row>
    <row r="2615" spans="8:8">
      <c r="H2615" s="1150">
        <f t="shared" si="111"/>
        <v>0</v>
      </c>
    </row>
    <row r="2616" spans="8:8">
      <c r="H2616" s="1150">
        <f t="shared" si="111"/>
        <v>0</v>
      </c>
    </row>
    <row r="2617" spans="8:8">
      <c r="H2617" s="1150">
        <f t="shared" si="111"/>
        <v>0</v>
      </c>
    </row>
    <row r="2618" spans="8:8">
      <c r="H2618" s="1150">
        <f t="shared" si="111"/>
        <v>0</v>
      </c>
    </row>
    <row r="2619" spans="8:8">
      <c r="H2619" s="1150">
        <f t="shared" si="111"/>
        <v>0</v>
      </c>
    </row>
    <row r="2620" spans="8:8">
      <c r="H2620" s="1150">
        <f t="shared" si="111"/>
        <v>0</v>
      </c>
    </row>
    <row r="2621" spans="8:8">
      <c r="H2621" s="1150">
        <f t="shared" si="111"/>
        <v>0</v>
      </c>
    </row>
    <row r="2622" spans="8:8">
      <c r="H2622" s="1150">
        <f t="shared" si="111"/>
        <v>0</v>
      </c>
    </row>
    <row r="2623" spans="8:8">
      <c r="H2623" s="1150">
        <f t="shared" si="111"/>
        <v>0</v>
      </c>
    </row>
    <row r="2624" spans="8:8">
      <c r="H2624" s="1150">
        <f t="shared" si="111"/>
        <v>0</v>
      </c>
    </row>
    <row r="2625" spans="8:8">
      <c r="H2625" s="1150">
        <f t="shared" si="111"/>
        <v>0</v>
      </c>
    </row>
    <row r="2626" spans="8:8">
      <c r="H2626" s="1150">
        <f t="shared" si="111"/>
        <v>0</v>
      </c>
    </row>
    <row r="2627" spans="8:8">
      <c r="H2627" s="1150">
        <f t="shared" si="111"/>
        <v>0</v>
      </c>
    </row>
    <row r="2628" spans="8:8">
      <c r="H2628" s="1150">
        <f t="shared" si="111"/>
        <v>0</v>
      </c>
    </row>
    <row r="2629" spans="8:8">
      <c r="H2629" s="1150">
        <f t="shared" si="111"/>
        <v>0</v>
      </c>
    </row>
    <row r="2630" spans="8:8">
      <c r="H2630" s="1150">
        <f t="shared" si="111"/>
        <v>0</v>
      </c>
    </row>
    <row r="2631" spans="8:8">
      <c r="H2631" s="1150">
        <f t="shared" si="111"/>
        <v>0</v>
      </c>
    </row>
    <row r="2632" spans="8:8">
      <c r="H2632" s="1150">
        <f t="shared" si="111"/>
        <v>0</v>
      </c>
    </row>
    <row r="2633" spans="8:8">
      <c r="H2633" s="1150">
        <f t="shared" si="111"/>
        <v>0</v>
      </c>
    </row>
    <row r="2634" spans="8:8">
      <c r="H2634" s="1150">
        <f t="shared" si="111"/>
        <v>0</v>
      </c>
    </row>
    <row r="2635" spans="8:8">
      <c r="H2635" s="1150">
        <f t="shared" si="111"/>
        <v>0</v>
      </c>
    </row>
    <row r="2636" spans="8:8">
      <c r="H2636" s="1150">
        <f t="shared" si="111"/>
        <v>0</v>
      </c>
    </row>
    <row r="2637" spans="8:8">
      <c r="H2637" s="1150">
        <f t="shared" si="111"/>
        <v>0</v>
      </c>
    </row>
    <row r="2638" spans="8:8">
      <c r="H2638" s="1150">
        <f t="shared" si="111"/>
        <v>0</v>
      </c>
    </row>
    <row r="2639" spans="8:8">
      <c r="H2639" s="1150">
        <f t="shared" si="111"/>
        <v>0</v>
      </c>
    </row>
    <row r="2640" spans="8:8">
      <c r="H2640" s="1150">
        <f t="shared" si="111"/>
        <v>0</v>
      </c>
    </row>
    <row r="2641" spans="8:8">
      <c r="H2641" s="1150">
        <f t="shared" si="111"/>
        <v>0</v>
      </c>
    </row>
    <row r="2642" spans="8:8">
      <c r="H2642" s="1150">
        <f t="shared" si="111"/>
        <v>0</v>
      </c>
    </row>
    <row r="2643" spans="8:8">
      <c r="H2643" s="1150">
        <f t="shared" si="111"/>
        <v>0</v>
      </c>
    </row>
    <row r="2644" spans="8:8">
      <c r="H2644" s="1150">
        <f t="shared" si="111"/>
        <v>0</v>
      </c>
    </row>
    <row r="2645" spans="8:8">
      <c r="H2645" s="1150">
        <f t="shared" si="111"/>
        <v>0</v>
      </c>
    </row>
    <row r="2646" spans="8:8">
      <c r="H2646" s="1150">
        <f t="shared" si="111"/>
        <v>0</v>
      </c>
    </row>
    <row r="2647" spans="8:8">
      <c r="H2647" s="1150">
        <f t="shared" si="111"/>
        <v>0</v>
      </c>
    </row>
    <row r="2648" spans="8:8">
      <c r="H2648" s="1150">
        <f t="shared" si="111"/>
        <v>0</v>
      </c>
    </row>
    <row r="2649" spans="8:8">
      <c r="H2649" s="1150">
        <f t="shared" si="111"/>
        <v>0</v>
      </c>
    </row>
    <row r="2650" spans="8:8">
      <c r="H2650" s="1150">
        <f t="shared" si="111"/>
        <v>0</v>
      </c>
    </row>
    <row r="2651" spans="8:8">
      <c r="H2651" s="1150">
        <f t="shared" si="111"/>
        <v>0</v>
      </c>
    </row>
    <row r="2652" spans="8:8">
      <c r="H2652" s="1150">
        <f t="shared" si="111"/>
        <v>0</v>
      </c>
    </row>
    <row r="2653" spans="8:8">
      <c r="H2653" s="1150">
        <f t="shared" si="111"/>
        <v>0</v>
      </c>
    </row>
    <row r="2654" spans="8:8">
      <c r="H2654" s="1150">
        <f t="shared" si="111"/>
        <v>0</v>
      </c>
    </row>
    <row r="2655" spans="8:8">
      <c r="H2655" s="1150">
        <f t="shared" si="111"/>
        <v>0</v>
      </c>
    </row>
    <row r="2656" spans="8:8">
      <c r="H2656" s="1150">
        <f t="shared" si="111"/>
        <v>0</v>
      </c>
    </row>
    <row r="2657" spans="8:8">
      <c r="H2657" s="1150">
        <f t="shared" si="111"/>
        <v>0</v>
      </c>
    </row>
    <row r="2658" spans="8:8">
      <c r="H2658" s="1150">
        <f t="shared" si="111"/>
        <v>0</v>
      </c>
    </row>
    <row r="2659" spans="8:8">
      <c r="H2659" s="1150">
        <f t="shared" si="111"/>
        <v>0</v>
      </c>
    </row>
    <row r="2660" spans="8:8">
      <c r="H2660" s="1150">
        <f t="shared" si="111"/>
        <v>0</v>
      </c>
    </row>
    <row r="2661" spans="8:8">
      <c r="H2661" s="1150">
        <f t="shared" si="111"/>
        <v>0</v>
      </c>
    </row>
    <row r="2662" spans="8:8">
      <c r="H2662" s="1150">
        <f t="shared" si="111"/>
        <v>0</v>
      </c>
    </row>
    <row r="2663" spans="8:8">
      <c r="H2663" s="1150">
        <f t="shared" si="111"/>
        <v>0</v>
      </c>
    </row>
    <row r="2664" spans="8:8">
      <c r="H2664" s="1150">
        <f t="shared" si="111"/>
        <v>0</v>
      </c>
    </row>
    <row r="2665" spans="8:8">
      <c r="H2665" s="1150">
        <f t="shared" si="111"/>
        <v>0</v>
      </c>
    </row>
    <row r="2666" spans="8:8">
      <c r="H2666" s="1150">
        <f t="shared" ref="H2666:H2729" si="112">F2666-G2666</f>
        <v>0</v>
      </c>
    </row>
    <row r="2667" spans="8:8">
      <c r="H2667" s="1150">
        <f t="shared" si="112"/>
        <v>0</v>
      </c>
    </row>
    <row r="2668" spans="8:8">
      <c r="H2668" s="1150">
        <f t="shared" si="112"/>
        <v>0</v>
      </c>
    </row>
    <row r="2669" spans="8:8">
      <c r="H2669" s="1150">
        <f t="shared" si="112"/>
        <v>0</v>
      </c>
    </row>
    <row r="2670" spans="8:8">
      <c r="H2670" s="1150">
        <f t="shared" si="112"/>
        <v>0</v>
      </c>
    </row>
    <row r="2671" spans="8:8">
      <c r="H2671" s="1150">
        <f t="shared" si="112"/>
        <v>0</v>
      </c>
    </row>
    <row r="2672" spans="8:8">
      <c r="H2672" s="1150">
        <f t="shared" si="112"/>
        <v>0</v>
      </c>
    </row>
    <row r="2673" spans="8:8">
      <c r="H2673" s="1150">
        <f t="shared" si="112"/>
        <v>0</v>
      </c>
    </row>
    <row r="2674" spans="8:8">
      <c r="H2674" s="1150">
        <f t="shared" si="112"/>
        <v>0</v>
      </c>
    </row>
    <row r="2675" spans="8:8">
      <c r="H2675" s="1150">
        <f t="shared" si="112"/>
        <v>0</v>
      </c>
    </row>
    <row r="2676" spans="8:8">
      <c r="H2676" s="1150">
        <f t="shared" si="112"/>
        <v>0</v>
      </c>
    </row>
    <row r="2677" spans="8:8">
      <c r="H2677" s="1150">
        <f t="shared" si="112"/>
        <v>0</v>
      </c>
    </row>
    <row r="2678" spans="8:8">
      <c r="H2678" s="1150">
        <f t="shared" si="112"/>
        <v>0</v>
      </c>
    </row>
    <row r="2679" spans="8:8">
      <c r="H2679" s="1150">
        <f t="shared" si="112"/>
        <v>0</v>
      </c>
    </row>
    <row r="2680" spans="8:8">
      <c r="H2680" s="1150">
        <f t="shared" si="112"/>
        <v>0</v>
      </c>
    </row>
    <row r="2681" spans="8:8">
      <c r="H2681" s="1150">
        <f t="shared" si="112"/>
        <v>0</v>
      </c>
    </row>
    <row r="2682" spans="8:8">
      <c r="H2682" s="1150">
        <f t="shared" si="112"/>
        <v>0</v>
      </c>
    </row>
    <row r="2683" spans="8:8">
      <c r="H2683" s="1150">
        <f t="shared" si="112"/>
        <v>0</v>
      </c>
    </row>
    <row r="2684" spans="8:8">
      <c r="H2684" s="1150">
        <f t="shared" si="112"/>
        <v>0</v>
      </c>
    </row>
    <row r="2685" spans="8:8">
      <c r="H2685" s="1150">
        <f t="shared" si="112"/>
        <v>0</v>
      </c>
    </row>
    <row r="2686" spans="8:8">
      <c r="H2686" s="1150">
        <f t="shared" si="112"/>
        <v>0</v>
      </c>
    </row>
    <row r="2687" spans="8:8">
      <c r="H2687" s="1150">
        <f t="shared" si="112"/>
        <v>0</v>
      </c>
    </row>
    <row r="2688" spans="8:8">
      <c r="H2688" s="1150">
        <f t="shared" si="112"/>
        <v>0</v>
      </c>
    </row>
    <row r="2689" spans="8:8">
      <c r="H2689" s="1150">
        <f t="shared" si="112"/>
        <v>0</v>
      </c>
    </row>
    <row r="2690" spans="8:8">
      <c r="H2690" s="1150">
        <f t="shared" si="112"/>
        <v>0</v>
      </c>
    </row>
    <row r="2691" spans="8:8">
      <c r="H2691" s="1150">
        <f t="shared" si="112"/>
        <v>0</v>
      </c>
    </row>
    <row r="2692" spans="8:8">
      <c r="H2692" s="1150">
        <f t="shared" si="112"/>
        <v>0</v>
      </c>
    </row>
    <row r="2693" spans="8:8">
      <c r="H2693" s="1150">
        <f t="shared" si="112"/>
        <v>0</v>
      </c>
    </row>
    <row r="2694" spans="8:8">
      <c r="H2694" s="1150">
        <f t="shared" si="112"/>
        <v>0</v>
      </c>
    </row>
    <row r="2695" spans="8:8">
      <c r="H2695" s="1150">
        <f t="shared" si="112"/>
        <v>0</v>
      </c>
    </row>
    <row r="2696" spans="8:8">
      <c r="H2696" s="1150">
        <f t="shared" si="112"/>
        <v>0</v>
      </c>
    </row>
    <row r="2697" spans="8:8">
      <c r="H2697" s="1150">
        <f t="shared" si="112"/>
        <v>0</v>
      </c>
    </row>
    <row r="2698" spans="8:8">
      <c r="H2698" s="1150">
        <f t="shared" si="112"/>
        <v>0</v>
      </c>
    </row>
    <row r="2699" spans="8:8">
      <c r="H2699" s="1150">
        <f t="shared" si="112"/>
        <v>0</v>
      </c>
    </row>
    <row r="2700" spans="8:8">
      <c r="H2700" s="1150">
        <f t="shared" si="112"/>
        <v>0</v>
      </c>
    </row>
    <row r="2701" spans="8:8">
      <c r="H2701" s="1150">
        <f t="shared" si="112"/>
        <v>0</v>
      </c>
    </row>
    <row r="2702" spans="8:8">
      <c r="H2702" s="1150">
        <f t="shared" si="112"/>
        <v>0</v>
      </c>
    </row>
    <row r="2703" spans="8:8">
      <c r="H2703" s="1150">
        <f t="shared" si="112"/>
        <v>0</v>
      </c>
    </row>
    <row r="2704" spans="8:8">
      <c r="H2704" s="1150">
        <f t="shared" si="112"/>
        <v>0</v>
      </c>
    </row>
    <row r="2705" spans="8:8">
      <c r="H2705" s="1150">
        <f t="shared" si="112"/>
        <v>0</v>
      </c>
    </row>
    <row r="2706" spans="8:8">
      <c r="H2706" s="1150">
        <f t="shared" si="112"/>
        <v>0</v>
      </c>
    </row>
    <row r="2707" spans="8:8">
      <c r="H2707" s="1150">
        <f t="shared" si="112"/>
        <v>0</v>
      </c>
    </row>
    <row r="2708" spans="8:8">
      <c r="H2708" s="1150">
        <f t="shared" si="112"/>
        <v>0</v>
      </c>
    </row>
    <row r="2709" spans="8:8">
      <c r="H2709" s="1150">
        <f t="shared" si="112"/>
        <v>0</v>
      </c>
    </row>
    <row r="2710" spans="8:8">
      <c r="H2710" s="1150">
        <f t="shared" si="112"/>
        <v>0</v>
      </c>
    </row>
    <row r="2711" spans="8:8">
      <c r="H2711" s="1150">
        <f t="shared" si="112"/>
        <v>0</v>
      </c>
    </row>
    <row r="2712" spans="8:8">
      <c r="H2712" s="1150">
        <f t="shared" si="112"/>
        <v>0</v>
      </c>
    </row>
    <row r="2713" spans="8:8">
      <c r="H2713" s="1150">
        <f t="shared" si="112"/>
        <v>0</v>
      </c>
    </row>
    <row r="2714" spans="8:8">
      <c r="H2714" s="1150">
        <f t="shared" si="112"/>
        <v>0</v>
      </c>
    </row>
    <row r="2715" spans="8:8">
      <c r="H2715" s="1150">
        <f t="shared" si="112"/>
        <v>0</v>
      </c>
    </row>
    <row r="2716" spans="8:8">
      <c r="H2716" s="1150">
        <f t="shared" si="112"/>
        <v>0</v>
      </c>
    </row>
    <row r="2717" spans="8:8">
      <c r="H2717" s="1150">
        <f t="shared" si="112"/>
        <v>0</v>
      </c>
    </row>
    <row r="2718" spans="8:8">
      <c r="H2718" s="1150">
        <f t="shared" si="112"/>
        <v>0</v>
      </c>
    </row>
    <row r="2719" spans="8:8">
      <c r="H2719" s="1150">
        <f t="shared" si="112"/>
        <v>0</v>
      </c>
    </row>
    <row r="2720" spans="8:8">
      <c r="H2720" s="1150">
        <f t="shared" si="112"/>
        <v>0</v>
      </c>
    </row>
    <row r="2721" spans="8:8">
      <c r="H2721" s="1150">
        <f t="shared" si="112"/>
        <v>0</v>
      </c>
    </row>
    <row r="2722" spans="8:8">
      <c r="H2722" s="1150">
        <f t="shared" si="112"/>
        <v>0</v>
      </c>
    </row>
    <row r="2723" spans="8:8">
      <c r="H2723" s="1150">
        <f t="shared" si="112"/>
        <v>0</v>
      </c>
    </row>
    <row r="2724" spans="8:8">
      <c r="H2724" s="1150">
        <f t="shared" si="112"/>
        <v>0</v>
      </c>
    </row>
    <row r="2725" spans="8:8">
      <c r="H2725" s="1150">
        <f t="shared" si="112"/>
        <v>0</v>
      </c>
    </row>
    <row r="2726" spans="8:8">
      <c r="H2726" s="1150">
        <f t="shared" si="112"/>
        <v>0</v>
      </c>
    </row>
    <row r="2727" spans="8:8">
      <c r="H2727" s="1150">
        <f t="shared" si="112"/>
        <v>0</v>
      </c>
    </row>
    <row r="2728" spans="8:8">
      <c r="H2728" s="1150">
        <f t="shared" si="112"/>
        <v>0</v>
      </c>
    </row>
    <row r="2729" spans="8:8">
      <c r="H2729" s="1150">
        <f t="shared" si="112"/>
        <v>0</v>
      </c>
    </row>
    <row r="2730" spans="8:8">
      <c r="H2730" s="1150">
        <f t="shared" ref="H2730:H2793" si="113">F2730-G2730</f>
        <v>0</v>
      </c>
    </row>
    <row r="2731" spans="8:8">
      <c r="H2731" s="1150">
        <f t="shared" si="113"/>
        <v>0</v>
      </c>
    </row>
    <row r="2732" spans="8:8">
      <c r="H2732" s="1150">
        <f t="shared" si="113"/>
        <v>0</v>
      </c>
    </row>
    <row r="2733" spans="8:8">
      <c r="H2733" s="1150">
        <f t="shared" si="113"/>
        <v>0</v>
      </c>
    </row>
    <row r="2734" spans="8:8">
      <c r="H2734" s="1150">
        <f t="shared" si="113"/>
        <v>0</v>
      </c>
    </row>
    <row r="2735" spans="8:8">
      <c r="H2735" s="1150">
        <f t="shared" si="113"/>
        <v>0</v>
      </c>
    </row>
    <row r="2736" spans="8:8">
      <c r="H2736" s="1150">
        <f t="shared" si="113"/>
        <v>0</v>
      </c>
    </row>
    <row r="2737" spans="8:8">
      <c r="H2737" s="1150">
        <f t="shared" si="113"/>
        <v>0</v>
      </c>
    </row>
    <row r="2738" spans="8:8">
      <c r="H2738" s="1150">
        <f t="shared" si="113"/>
        <v>0</v>
      </c>
    </row>
    <row r="2739" spans="8:8">
      <c r="H2739" s="1150">
        <f t="shared" si="113"/>
        <v>0</v>
      </c>
    </row>
    <row r="2740" spans="8:8">
      <c r="H2740" s="1150">
        <f t="shared" si="113"/>
        <v>0</v>
      </c>
    </row>
    <row r="2741" spans="8:8">
      <c r="H2741" s="1150">
        <f t="shared" si="113"/>
        <v>0</v>
      </c>
    </row>
    <row r="2742" spans="8:8">
      <c r="H2742" s="1150">
        <f t="shared" si="113"/>
        <v>0</v>
      </c>
    </row>
    <row r="2743" spans="8:8">
      <c r="H2743" s="1150">
        <f t="shared" si="113"/>
        <v>0</v>
      </c>
    </row>
    <row r="2744" spans="8:8">
      <c r="H2744" s="1150">
        <f t="shared" si="113"/>
        <v>0</v>
      </c>
    </row>
    <row r="2745" spans="8:8">
      <c r="H2745" s="1150">
        <f t="shared" si="113"/>
        <v>0</v>
      </c>
    </row>
    <row r="2746" spans="8:8">
      <c r="H2746" s="1150">
        <f t="shared" si="113"/>
        <v>0</v>
      </c>
    </row>
    <row r="2747" spans="8:8">
      <c r="H2747" s="1150">
        <f t="shared" si="113"/>
        <v>0</v>
      </c>
    </row>
    <row r="2748" spans="8:8">
      <c r="H2748" s="1150">
        <f t="shared" si="113"/>
        <v>0</v>
      </c>
    </row>
    <row r="2749" spans="8:8">
      <c r="H2749" s="1150">
        <f t="shared" si="113"/>
        <v>0</v>
      </c>
    </row>
    <row r="2750" spans="8:8">
      <c r="H2750" s="1150">
        <f t="shared" si="113"/>
        <v>0</v>
      </c>
    </row>
    <row r="2751" spans="8:8">
      <c r="H2751" s="1150">
        <f t="shared" si="113"/>
        <v>0</v>
      </c>
    </row>
    <row r="2752" spans="8:8">
      <c r="H2752" s="1150">
        <f t="shared" si="113"/>
        <v>0</v>
      </c>
    </row>
    <row r="2753" spans="8:8">
      <c r="H2753" s="1150">
        <f t="shared" si="113"/>
        <v>0</v>
      </c>
    </row>
    <row r="2754" spans="8:8">
      <c r="H2754" s="1150">
        <f t="shared" si="113"/>
        <v>0</v>
      </c>
    </row>
    <row r="2755" spans="8:8">
      <c r="H2755" s="1150">
        <f t="shared" si="113"/>
        <v>0</v>
      </c>
    </row>
    <row r="2756" spans="8:8">
      <c r="H2756" s="1150">
        <f t="shared" si="113"/>
        <v>0</v>
      </c>
    </row>
    <row r="2757" spans="8:8">
      <c r="H2757" s="1150">
        <f t="shared" si="113"/>
        <v>0</v>
      </c>
    </row>
    <row r="2758" spans="8:8">
      <c r="H2758" s="1150">
        <f t="shared" si="113"/>
        <v>0</v>
      </c>
    </row>
    <row r="2759" spans="8:8">
      <c r="H2759" s="1150">
        <f t="shared" si="113"/>
        <v>0</v>
      </c>
    </row>
    <row r="2760" spans="8:8">
      <c r="H2760" s="1150">
        <f t="shared" si="113"/>
        <v>0</v>
      </c>
    </row>
    <row r="2761" spans="8:8">
      <c r="H2761" s="1150">
        <f t="shared" si="113"/>
        <v>0</v>
      </c>
    </row>
    <row r="2762" spans="8:8">
      <c r="H2762" s="1150">
        <f t="shared" si="113"/>
        <v>0</v>
      </c>
    </row>
    <row r="2763" spans="8:8">
      <c r="H2763" s="1150">
        <f t="shared" si="113"/>
        <v>0</v>
      </c>
    </row>
    <row r="2764" spans="8:8">
      <c r="H2764" s="1150">
        <f t="shared" si="113"/>
        <v>0</v>
      </c>
    </row>
    <row r="2765" spans="8:8">
      <c r="H2765" s="1150">
        <f t="shared" si="113"/>
        <v>0</v>
      </c>
    </row>
    <row r="2766" spans="8:8">
      <c r="H2766" s="1150">
        <f t="shared" si="113"/>
        <v>0</v>
      </c>
    </row>
    <row r="2767" spans="8:8">
      <c r="H2767" s="1150">
        <f t="shared" si="113"/>
        <v>0</v>
      </c>
    </row>
    <row r="2768" spans="8:8">
      <c r="H2768" s="1150">
        <f t="shared" si="113"/>
        <v>0</v>
      </c>
    </row>
    <row r="2769" spans="8:8">
      <c r="H2769" s="1150">
        <f t="shared" si="113"/>
        <v>0</v>
      </c>
    </row>
    <row r="2770" spans="8:8">
      <c r="H2770" s="1150">
        <f t="shared" si="113"/>
        <v>0</v>
      </c>
    </row>
    <row r="2771" spans="8:8">
      <c r="H2771" s="1150">
        <f t="shared" si="113"/>
        <v>0</v>
      </c>
    </row>
    <row r="2772" spans="8:8">
      <c r="H2772" s="1150">
        <f t="shared" si="113"/>
        <v>0</v>
      </c>
    </row>
    <row r="2773" spans="8:8">
      <c r="H2773" s="1150">
        <f t="shared" si="113"/>
        <v>0</v>
      </c>
    </row>
    <row r="2774" spans="8:8">
      <c r="H2774" s="1150">
        <f t="shared" si="113"/>
        <v>0</v>
      </c>
    </row>
    <row r="2775" spans="8:8">
      <c r="H2775" s="1150">
        <f t="shared" si="113"/>
        <v>0</v>
      </c>
    </row>
    <row r="2776" spans="8:8">
      <c r="H2776" s="1150">
        <f t="shared" si="113"/>
        <v>0</v>
      </c>
    </row>
    <row r="2777" spans="8:8">
      <c r="H2777" s="1150">
        <f t="shared" si="113"/>
        <v>0</v>
      </c>
    </row>
    <row r="2778" spans="8:8">
      <c r="H2778" s="1150">
        <f t="shared" si="113"/>
        <v>0</v>
      </c>
    </row>
    <row r="2779" spans="8:8">
      <c r="H2779" s="1150">
        <f t="shared" si="113"/>
        <v>0</v>
      </c>
    </row>
    <row r="2780" spans="8:8">
      <c r="H2780" s="1150">
        <f t="shared" si="113"/>
        <v>0</v>
      </c>
    </row>
    <row r="2781" spans="8:8">
      <c r="H2781" s="1150">
        <f t="shared" si="113"/>
        <v>0</v>
      </c>
    </row>
    <row r="2782" spans="8:8">
      <c r="H2782" s="1150">
        <f t="shared" si="113"/>
        <v>0</v>
      </c>
    </row>
    <row r="2783" spans="8:8">
      <c r="H2783" s="1150">
        <f t="shared" si="113"/>
        <v>0</v>
      </c>
    </row>
    <row r="2784" spans="8:8">
      <c r="H2784" s="1150">
        <f t="shared" si="113"/>
        <v>0</v>
      </c>
    </row>
    <row r="2785" spans="8:8">
      <c r="H2785" s="1150">
        <f t="shared" si="113"/>
        <v>0</v>
      </c>
    </row>
    <row r="2786" spans="8:8">
      <c r="H2786" s="1150">
        <f t="shared" si="113"/>
        <v>0</v>
      </c>
    </row>
    <row r="2787" spans="8:8">
      <c r="H2787" s="1150">
        <f t="shared" si="113"/>
        <v>0</v>
      </c>
    </row>
    <row r="2788" spans="8:8">
      <c r="H2788" s="1150">
        <f t="shared" si="113"/>
        <v>0</v>
      </c>
    </row>
    <row r="2789" spans="8:8">
      <c r="H2789" s="1150">
        <f t="shared" si="113"/>
        <v>0</v>
      </c>
    </row>
    <row r="2790" spans="8:8">
      <c r="H2790" s="1150">
        <f t="shared" si="113"/>
        <v>0</v>
      </c>
    </row>
    <row r="2791" spans="8:8">
      <c r="H2791" s="1150">
        <f t="shared" si="113"/>
        <v>0</v>
      </c>
    </row>
    <row r="2792" spans="8:8">
      <c r="H2792" s="1150">
        <f t="shared" si="113"/>
        <v>0</v>
      </c>
    </row>
    <row r="2793" spans="8:8">
      <c r="H2793" s="1150">
        <f t="shared" si="113"/>
        <v>0</v>
      </c>
    </row>
    <row r="2794" spans="8:8">
      <c r="H2794" s="1150">
        <f t="shared" ref="H2794:H2857" si="114">F2794-G2794</f>
        <v>0</v>
      </c>
    </row>
    <row r="2795" spans="8:8">
      <c r="H2795" s="1150">
        <f t="shared" si="114"/>
        <v>0</v>
      </c>
    </row>
    <row r="2796" spans="8:8">
      <c r="H2796" s="1150">
        <f t="shared" si="114"/>
        <v>0</v>
      </c>
    </row>
    <row r="2797" spans="8:8">
      <c r="H2797" s="1150">
        <f t="shared" si="114"/>
        <v>0</v>
      </c>
    </row>
    <row r="2798" spans="8:8">
      <c r="H2798" s="1150">
        <f t="shared" si="114"/>
        <v>0</v>
      </c>
    </row>
    <row r="2799" spans="8:8">
      <c r="H2799" s="1150">
        <f t="shared" si="114"/>
        <v>0</v>
      </c>
    </row>
    <row r="2800" spans="8:8">
      <c r="H2800" s="1150">
        <f t="shared" si="114"/>
        <v>0</v>
      </c>
    </row>
    <row r="2801" spans="8:8">
      <c r="H2801" s="1150">
        <f t="shared" si="114"/>
        <v>0</v>
      </c>
    </row>
    <row r="2802" spans="8:8">
      <c r="H2802" s="1150">
        <f t="shared" si="114"/>
        <v>0</v>
      </c>
    </row>
    <row r="2803" spans="8:8">
      <c r="H2803" s="1150">
        <f t="shared" si="114"/>
        <v>0</v>
      </c>
    </row>
    <row r="2804" spans="8:8">
      <c r="H2804" s="1150">
        <f t="shared" si="114"/>
        <v>0</v>
      </c>
    </row>
    <row r="2805" spans="8:8">
      <c r="H2805" s="1150">
        <f t="shared" si="114"/>
        <v>0</v>
      </c>
    </row>
    <row r="2806" spans="8:8">
      <c r="H2806" s="1150">
        <f t="shared" si="114"/>
        <v>0</v>
      </c>
    </row>
    <row r="2807" spans="8:8">
      <c r="H2807" s="1150">
        <f t="shared" si="114"/>
        <v>0</v>
      </c>
    </row>
    <row r="2808" spans="8:8">
      <c r="H2808" s="1150">
        <f t="shared" si="114"/>
        <v>0</v>
      </c>
    </row>
    <row r="2809" spans="8:8">
      <c r="H2809" s="1150">
        <f t="shared" si="114"/>
        <v>0</v>
      </c>
    </row>
    <row r="2810" spans="8:8">
      <c r="H2810" s="1150">
        <f t="shared" si="114"/>
        <v>0</v>
      </c>
    </row>
    <row r="2811" spans="8:8">
      <c r="H2811" s="1150">
        <f t="shared" si="114"/>
        <v>0</v>
      </c>
    </row>
    <row r="2812" spans="8:8">
      <c r="H2812" s="1150">
        <f t="shared" si="114"/>
        <v>0</v>
      </c>
    </row>
    <row r="2813" spans="8:8">
      <c r="H2813" s="1150">
        <f t="shared" si="114"/>
        <v>0</v>
      </c>
    </row>
    <row r="2814" spans="8:8">
      <c r="H2814" s="1150">
        <f t="shared" si="114"/>
        <v>0</v>
      </c>
    </row>
    <row r="2815" spans="8:8">
      <c r="H2815" s="1150">
        <f t="shared" si="114"/>
        <v>0</v>
      </c>
    </row>
    <row r="2816" spans="8:8">
      <c r="H2816" s="1150">
        <f t="shared" si="114"/>
        <v>0</v>
      </c>
    </row>
    <row r="2817" spans="8:8">
      <c r="H2817" s="1150">
        <f t="shared" si="114"/>
        <v>0</v>
      </c>
    </row>
    <row r="2818" spans="8:8">
      <c r="H2818" s="1150">
        <f t="shared" si="114"/>
        <v>0</v>
      </c>
    </row>
    <row r="2819" spans="8:8">
      <c r="H2819" s="1150">
        <f t="shared" si="114"/>
        <v>0</v>
      </c>
    </row>
    <row r="2820" spans="8:8">
      <c r="H2820" s="1150">
        <f t="shared" si="114"/>
        <v>0</v>
      </c>
    </row>
    <row r="2821" spans="8:8">
      <c r="H2821" s="1150">
        <f t="shared" si="114"/>
        <v>0</v>
      </c>
    </row>
    <row r="2822" spans="8:8">
      <c r="H2822" s="1150">
        <f t="shared" si="114"/>
        <v>0</v>
      </c>
    </row>
    <row r="2823" spans="8:8">
      <c r="H2823" s="1150">
        <f t="shared" si="114"/>
        <v>0</v>
      </c>
    </row>
    <row r="2824" spans="8:8">
      <c r="H2824" s="1150">
        <f t="shared" si="114"/>
        <v>0</v>
      </c>
    </row>
    <row r="2825" spans="8:8">
      <c r="H2825" s="1150">
        <f t="shared" si="114"/>
        <v>0</v>
      </c>
    </row>
    <row r="2826" spans="8:8">
      <c r="H2826" s="1150">
        <f t="shared" si="114"/>
        <v>0</v>
      </c>
    </row>
    <row r="2827" spans="8:8">
      <c r="H2827" s="1150">
        <f t="shared" si="114"/>
        <v>0</v>
      </c>
    </row>
    <row r="2828" spans="8:8">
      <c r="H2828" s="1150">
        <f t="shared" si="114"/>
        <v>0</v>
      </c>
    </row>
    <row r="2829" spans="8:8">
      <c r="H2829" s="1150">
        <f t="shared" si="114"/>
        <v>0</v>
      </c>
    </row>
    <row r="2830" spans="8:8">
      <c r="H2830" s="1150">
        <f t="shared" si="114"/>
        <v>0</v>
      </c>
    </row>
    <row r="2831" spans="8:8">
      <c r="H2831" s="1150">
        <f t="shared" si="114"/>
        <v>0</v>
      </c>
    </row>
    <row r="2832" spans="8:8">
      <c r="H2832" s="1150">
        <f t="shared" si="114"/>
        <v>0</v>
      </c>
    </row>
    <row r="2833" spans="8:8">
      <c r="H2833" s="1150">
        <f t="shared" si="114"/>
        <v>0</v>
      </c>
    </row>
    <row r="2834" spans="8:8">
      <c r="H2834" s="1150">
        <f t="shared" si="114"/>
        <v>0</v>
      </c>
    </row>
    <row r="2835" spans="8:8">
      <c r="H2835" s="1150">
        <f t="shared" si="114"/>
        <v>0</v>
      </c>
    </row>
    <row r="2836" spans="8:8">
      <c r="H2836" s="1150">
        <f t="shared" si="114"/>
        <v>0</v>
      </c>
    </row>
    <row r="2837" spans="8:8">
      <c r="H2837" s="1150">
        <f t="shared" si="114"/>
        <v>0</v>
      </c>
    </row>
    <row r="2838" spans="8:8">
      <c r="H2838" s="1150">
        <f t="shared" si="114"/>
        <v>0</v>
      </c>
    </row>
    <row r="2839" spans="8:8">
      <c r="H2839" s="1150">
        <f t="shared" si="114"/>
        <v>0</v>
      </c>
    </row>
    <row r="2840" spans="8:8">
      <c r="H2840" s="1150">
        <f t="shared" si="114"/>
        <v>0</v>
      </c>
    </row>
    <row r="2841" spans="8:8">
      <c r="H2841" s="1150">
        <f t="shared" si="114"/>
        <v>0</v>
      </c>
    </row>
    <row r="2842" spans="8:8">
      <c r="H2842" s="1150">
        <f t="shared" si="114"/>
        <v>0</v>
      </c>
    </row>
    <row r="2843" spans="8:8">
      <c r="H2843" s="1150">
        <f t="shared" si="114"/>
        <v>0</v>
      </c>
    </row>
    <row r="2844" spans="8:8">
      <c r="H2844" s="1150">
        <f t="shared" si="114"/>
        <v>0</v>
      </c>
    </row>
    <row r="2845" spans="8:8">
      <c r="H2845" s="1150">
        <f t="shared" si="114"/>
        <v>0</v>
      </c>
    </row>
    <row r="2846" spans="8:8">
      <c r="H2846" s="1150">
        <f t="shared" si="114"/>
        <v>0</v>
      </c>
    </row>
    <row r="2847" spans="8:8">
      <c r="H2847" s="1150">
        <f t="shared" si="114"/>
        <v>0</v>
      </c>
    </row>
    <row r="2848" spans="8:8">
      <c r="H2848" s="1150">
        <f t="shared" si="114"/>
        <v>0</v>
      </c>
    </row>
    <row r="2849" spans="8:8">
      <c r="H2849" s="1150">
        <f t="shared" si="114"/>
        <v>0</v>
      </c>
    </row>
    <row r="2850" spans="8:8">
      <c r="H2850" s="1150">
        <f t="shared" si="114"/>
        <v>0</v>
      </c>
    </row>
    <row r="2851" spans="8:8">
      <c r="H2851" s="1150">
        <f t="shared" si="114"/>
        <v>0</v>
      </c>
    </row>
    <row r="2852" spans="8:8">
      <c r="H2852" s="1150">
        <f t="shared" si="114"/>
        <v>0</v>
      </c>
    </row>
    <row r="2853" spans="8:8">
      <c r="H2853" s="1150">
        <f t="shared" si="114"/>
        <v>0</v>
      </c>
    </row>
    <row r="2854" spans="8:8">
      <c r="H2854" s="1150">
        <f t="shared" si="114"/>
        <v>0</v>
      </c>
    </row>
    <row r="2855" spans="8:8">
      <c r="H2855" s="1150">
        <f t="shared" si="114"/>
        <v>0</v>
      </c>
    </row>
    <row r="2856" spans="8:8">
      <c r="H2856" s="1150">
        <f t="shared" si="114"/>
        <v>0</v>
      </c>
    </row>
    <row r="2857" spans="8:8">
      <c r="H2857" s="1150">
        <f t="shared" si="114"/>
        <v>0</v>
      </c>
    </row>
    <row r="2858" spans="8:8">
      <c r="H2858" s="1150">
        <f t="shared" ref="H2858:H2921" si="115">F2858-G2858</f>
        <v>0</v>
      </c>
    </row>
    <row r="2859" spans="8:8">
      <c r="H2859" s="1150">
        <f t="shared" si="115"/>
        <v>0</v>
      </c>
    </row>
    <row r="2860" spans="8:8">
      <c r="H2860" s="1150">
        <f t="shared" si="115"/>
        <v>0</v>
      </c>
    </row>
    <row r="2861" spans="8:8">
      <c r="H2861" s="1150">
        <f t="shared" si="115"/>
        <v>0</v>
      </c>
    </row>
    <row r="2862" spans="8:8">
      <c r="H2862" s="1150">
        <f t="shared" si="115"/>
        <v>0</v>
      </c>
    </row>
    <row r="2863" spans="8:8">
      <c r="H2863" s="1150">
        <f t="shared" si="115"/>
        <v>0</v>
      </c>
    </row>
    <row r="2864" spans="8:8">
      <c r="H2864" s="1150">
        <f t="shared" si="115"/>
        <v>0</v>
      </c>
    </row>
    <row r="2865" spans="8:8">
      <c r="H2865" s="1150">
        <f t="shared" si="115"/>
        <v>0</v>
      </c>
    </row>
    <row r="2866" spans="8:8">
      <c r="H2866" s="1150">
        <f t="shared" si="115"/>
        <v>0</v>
      </c>
    </row>
    <row r="2867" spans="8:8">
      <c r="H2867" s="1150">
        <f t="shared" si="115"/>
        <v>0</v>
      </c>
    </row>
    <row r="2868" spans="8:8">
      <c r="H2868" s="1150">
        <f t="shared" si="115"/>
        <v>0</v>
      </c>
    </row>
    <row r="2869" spans="8:8">
      <c r="H2869" s="1150">
        <f t="shared" si="115"/>
        <v>0</v>
      </c>
    </row>
    <row r="2870" spans="8:8">
      <c r="H2870" s="1150">
        <f t="shared" si="115"/>
        <v>0</v>
      </c>
    </row>
    <row r="2871" spans="8:8">
      <c r="H2871" s="1150">
        <f t="shared" si="115"/>
        <v>0</v>
      </c>
    </row>
    <row r="2872" spans="8:8">
      <c r="H2872" s="1150">
        <f t="shared" si="115"/>
        <v>0</v>
      </c>
    </row>
    <row r="2873" spans="8:8">
      <c r="H2873" s="1150">
        <f t="shared" si="115"/>
        <v>0</v>
      </c>
    </row>
    <row r="2874" spans="8:8">
      <c r="H2874" s="1150">
        <f t="shared" si="115"/>
        <v>0</v>
      </c>
    </row>
    <row r="2875" spans="8:8">
      <c r="H2875" s="1150">
        <f t="shared" si="115"/>
        <v>0</v>
      </c>
    </row>
    <row r="2876" spans="8:8">
      <c r="H2876" s="1150">
        <f t="shared" si="115"/>
        <v>0</v>
      </c>
    </row>
    <row r="2877" spans="8:8">
      <c r="H2877" s="1150">
        <f t="shared" si="115"/>
        <v>0</v>
      </c>
    </row>
    <row r="2878" spans="8:8">
      <c r="H2878" s="1150">
        <f t="shared" si="115"/>
        <v>0</v>
      </c>
    </row>
    <row r="2879" spans="8:8">
      <c r="H2879" s="1150">
        <f t="shared" si="115"/>
        <v>0</v>
      </c>
    </row>
    <row r="2880" spans="8:8">
      <c r="H2880" s="1150">
        <f t="shared" si="115"/>
        <v>0</v>
      </c>
    </row>
    <row r="2881" spans="8:8">
      <c r="H2881" s="1150">
        <f t="shared" si="115"/>
        <v>0</v>
      </c>
    </row>
    <row r="2882" spans="8:8">
      <c r="H2882" s="1150">
        <f t="shared" si="115"/>
        <v>0</v>
      </c>
    </row>
    <row r="2883" spans="8:8">
      <c r="H2883" s="1150">
        <f t="shared" si="115"/>
        <v>0</v>
      </c>
    </row>
    <row r="2884" spans="8:8">
      <c r="H2884" s="1150">
        <f t="shared" si="115"/>
        <v>0</v>
      </c>
    </row>
    <row r="2885" spans="8:8">
      <c r="H2885" s="1150">
        <f t="shared" si="115"/>
        <v>0</v>
      </c>
    </row>
    <row r="2886" spans="8:8">
      <c r="H2886" s="1150">
        <f t="shared" si="115"/>
        <v>0</v>
      </c>
    </row>
    <row r="2887" spans="8:8">
      <c r="H2887" s="1150">
        <f t="shared" si="115"/>
        <v>0</v>
      </c>
    </row>
    <row r="2888" spans="8:8">
      <c r="H2888" s="1150">
        <f t="shared" si="115"/>
        <v>0</v>
      </c>
    </row>
    <row r="2889" spans="8:8">
      <c r="H2889" s="1150">
        <f t="shared" si="115"/>
        <v>0</v>
      </c>
    </row>
    <row r="2890" spans="8:8">
      <c r="H2890" s="1150">
        <f t="shared" si="115"/>
        <v>0</v>
      </c>
    </row>
    <row r="2891" spans="8:8">
      <c r="H2891" s="1150">
        <f t="shared" si="115"/>
        <v>0</v>
      </c>
    </row>
    <row r="2892" spans="8:8">
      <c r="H2892" s="1150">
        <f t="shared" si="115"/>
        <v>0</v>
      </c>
    </row>
    <row r="2893" spans="8:8">
      <c r="H2893" s="1150">
        <f t="shared" si="115"/>
        <v>0</v>
      </c>
    </row>
    <row r="2894" spans="8:8">
      <c r="H2894" s="1150">
        <f t="shared" si="115"/>
        <v>0</v>
      </c>
    </row>
    <row r="2895" spans="8:8">
      <c r="H2895" s="1150">
        <f t="shared" si="115"/>
        <v>0</v>
      </c>
    </row>
    <row r="2896" spans="8:8">
      <c r="H2896" s="1150">
        <f t="shared" si="115"/>
        <v>0</v>
      </c>
    </row>
    <row r="2897" spans="8:8">
      <c r="H2897" s="1150">
        <f t="shared" si="115"/>
        <v>0</v>
      </c>
    </row>
    <row r="2898" spans="8:8">
      <c r="H2898" s="1150">
        <f t="shared" si="115"/>
        <v>0</v>
      </c>
    </row>
    <row r="2899" spans="8:8">
      <c r="H2899" s="1150">
        <f t="shared" si="115"/>
        <v>0</v>
      </c>
    </row>
    <row r="2900" spans="8:8">
      <c r="H2900" s="1150">
        <f t="shared" si="115"/>
        <v>0</v>
      </c>
    </row>
    <row r="2901" spans="8:8">
      <c r="H2901" s="1150">
        <f t="shared" si="115"/>
        <v>0</v>
      </c>
    </row>
    <row r="2902" spans="8:8">
      <c r="H2902" s="1150">
        <f t="shared" si="115"/>
        <v>0</v>
      </c>
    </row>
    <row r="2903" spans="8:8">
      <c r="H2903" s="1150">
        <f t="shared" si="115"/>
        <v>0</v>
      </c>
    </row>
    <row r="2904" spans="8:8">
      <c r="H2904" s="1150">
        <f t="shared" si="115"/>
        <v>0</v>
      </c>
    </row>
    <row r="2905" spans="8:8">
      <c r="H2905" s="1150">
        <f t="shared" si="115"/>
        <v>0</v>
      </c>
    </row>
    <row r="2906" spans="8:8">
      <c r="H2906" s="1150">
        <f t="shared" si="115"/>
        <v>0</v>
      </c>
    </row>
    <row r="2907" spans="8:8">
      <c r="H2907" s="1150">
        <f t="shared" si="115"/>
        <v>0</v>
      </c>
    </row>
    <row r="2908" spans="8:8">
      <c r="H2908" s="1150">
        <f t="shared" si="115"/>
        <v>0</v>
      </c>
    </row>
    <row r="2909" spans="8:8">
      <c r="H2909" s="1150">
        <f t="shared" si="115"/>
        <v>0</v>
      </c>
    </row>
    <row r="2910" spans="8:8">
      <c r="H2910" s="1150">
        <f t="shared" si="115"/>
        <v>0</v>
      </c>
    </row>
    <row r="2911" spans="8:8">
      <c r="H2911" s="1150">
        <f t="shared" si="115"/>
        <v>0</v>
      </c>
    </row>
    <row r="2912" spans="8:8">
      <c r="H2912" s="1150">
        <f t="shared" si="115"/>
        <v>0</v>
      </c>
    </row>
    <row r="2913" spans="8:8">
      <c r="H2913" s="1150">
        <f t="shared" si="115"/>
        <v>0</v>
      </c>
    </row>
    <row r="2914" spans="8:8">
      <c r="H2914" s="1150">
        <f t="shared" si="115"/>
        <v>0</v>
      </c>
    </row>
    <row r="2915" spans="8:8">
      <c r="H2915" s="1150">
        <f t="shared" si="115"/>
        <v>0</v>
      </c>
    </row>
    <row r="2916" spans="8:8">
      <c r="H2916" s="1150">
        <f t="shared" si="115"/>
        <v>0</v>
      </c>
    </row>
    <row r="2917" spans="8:8">
      <c r="H2917" s="1150">
        <f t="shared" si="115"/>
        <v>0</v>
      </c>
    </row>
    <row r="2918" spans="8:8">
      <c r="H2918" s="1150">
        <f t="shared" si="115"/>
        <v>0</v>
      </c>
    </row>
    <row r="2919" spans="8:8">
      <c r="H2919" s="1150">
        <f t="shared" si="115"/>
        <v>0</v>
      </c>
    </row>
    <row r="2920" spans="8:8">
      <c r="H2920" s="1150">
        <f t="shared" si="115"/>
        <v>0</v>
      </c>
    </row>
    <row r="2921" spans="8:8">
      <c r="H2921" s="1150">
        <f t="shared" si="115"/>
        <v>0</v>
      </c>
    </row>
    <row r="2922" spans="8:8">
      <c r="H2922" s="1150">
        <f t="shared" ref="H2922:H2985" si="116">F2922-G2922</f>
        <v>0</v>
      </c>
    </row>
    <row r="2923" spans="8:8">
      <c r="H2923" s="1150">
        <f t="shared" si="116"/>
        <v>0</v>
      </c>
    </row>
    <row r="2924" spans="8:8">
      <c r="H2924" s="1150">
        <f t="shared" si="116"/>
        <v>0</v>
      </c>
    </row>
    <row r="2925" spans="8:8">
      <c r="H2925" s="1150">
        <f t="shared" si="116"/>
        <v>0</v>
      </c>
    </row>
    <row r="2926" spans="8:8">
      <c r="H2926" s="1150">
        <f t="shared" si="116"/>
        <v>0</v>
      </c>
    </row>
    <row r="2927" spans="8:8">
      <c r="H2927" s="1150">
        <f t="shared" si="116"/>
        <v>0</v>
      </c>
    </row>
    <row r="2928" spans="8:8">
      <c r="H2928" s="1150">
        <f t="shared" si="116"/>
        <v>0</v>
      </c>
    </row>
    <row r="2929" spans="8:8">
      <c r="H2929" s="1150">
        <f t="shared" si="116"/>
        <v>0</v>
      </c>
    </row>
    <row r="2930" spans="8:8">
      <c r="H2930" s="1150">
        <f t="shared" si="116"/>
        <v>0</v>
      </c>
    </row>
    <row r="2931" spans="8:8">
      <c r="H2931" s="1150">
        <f t="shared" si="116"/>
        <v>0</v>
      </c>
    </row>
    <row r="2932" spans="8:8">
      <c r="H2932" s="1150">
        <f t="shared" si="116"/>
        <v>0</v>
      </c>
    </row>
    <row r="2933" spans="8:8">
      <c r="H2933" s="1150">
        <f t="shared" si="116"/>
        <v>0</v>
      </c>
    </row>
    <row r="2934" spans="8:8">
      <c r="H2934" s="1150">
        <f t="shared" si="116"/>
        <v>0</v>
      </c>
    </row>
    <row r="2935" spans="8:8">
      <c r="H2935" s="1150">
        <f t="shared" si="116"/>
        <v>0</v>
      </c>
    </row>
    <row r="2936" spans="8:8">
      <c r="H2936" s="1150">
        <f t="shared" si="116"/>
        <v>0</v>
      </c>
    </row>
    <row r="2937" spans="8:8">
      <c r="H2937" s="1150">
        <f t="shared" si="116"/>
        <v>0</v>
      </c>
    </row>
    <row r="2938" spans="8:8">
      <c r="H2938" s="1150">
        <f t="shared" si="116"/>
        <v>0</v>
      </c>
    </row>
    <row r="2939" spans="8:8">
      <c r="H2939" s="1150">
        <f t="shared" si="116"/>
        <v>0</v>
      </c>
    </row>
    <row r="2940" spans="8:8">
      <c r="H2940" s="1150">
        <f t="shared" si="116"/>
        <v>0</v>
      </c>
    </row>
    <row r="2941" spans="8:8">
      <c r="H2941" s="1150">
        <f t="shared" si="116"/>
        <v>0</v>
      </c>
    </row>
    <row r="2942" spans="8:8">
      <c r="H2942" s="1150">
        <f t="shared" si="116"/>
        <v>0</v>
      </c>
    </row>
    <row r="2943" spans="8:8">
      <c r="H2943" s="1150">
        <f t="shared" si="116"/>
        <v>0</v>
      </c>
    </row>
    <row r="2944" spans="8:8">
      <c r="H2944" s="1150">
        <f t="shared" si="116"/>
        <v>0</v>
      </c>
    </row>
    <row r="2945" spans="8:8">
      <c r="H2945" s="1150">
        <f t="shared" si="116"/>
        <v>0</v>
      </c>
    </row>
    <row r="2946" spans="8:8">
      <c r="H2946" s="1150">
        <f t="shared" si="116"/>
        <v>0</v>
      </c>
    </row>
    <row r="2947" spans="8:8">
      <c r="H2947" s="1150">
        <f t="shared" si="116"/>
        <v>0</v>
      </c>
    </row>
    <row r="2948" spans="8:8">
      <c r="H2948" s="1150">
        <f t="shared" si="116"/>
        <v>0</v>
      </c>
    </row>
    <row r="2949" spans="8:8">
      <c r="H2949" s="1150">
        <f t="shared" si="116"/>
        <v>0</v>
      </c>
    </row>
    <row r="2950" spans="8:8">
      <c r="H2950" s="1150">
        <f t="shared" si="116"/>
        <v>0</v>
      </c>
    </row>
    <row r="2951" spans="8:8">
      <c r="H2951" s="1150">
        <f t="shared" si="116"/>
        <v>0</v>
      </c>
    </row>
    <row r="2952" spans="8:8">
      <c r="H2952" s="1150">
        <f t="shared" si="116"/>
        <v>0</v>
      </c>
    </row>
    <row r="2953" spans="8:8">
      <c r="H2953" s="1150">
        <f t="shared" si="116"/>
        <v>0</v>
      </c>
    </row>
    <row r="2954" spans="8:8">
      <c r="H2954" s="1150">
        <f t="shared" si="116"/>
        <v>0</v>
      </c>
    </row>
    <row r="2955" spans="8:8">
      <c r="H2955" s="1150">
        <f t="shared" si="116"/>
        <v>0</v>
      </c>
    </row>
    <row r="2956" spans="8:8">
      <c r="H2956" s="1150">
        <f t="shared" si="116"/>
        <v>0</v>
      </c>
    </row>
    <row r="2957" spans="8:8">
      <c r="H2957" s="1150">
        <f t="shared" si="116"/>
        <v>0</v>
      </c>
    </row>
    <row r="2958" spans="8:8">
      <c r="H2958" s="1150">
        <f t="shared" si="116"/>
        <v>0</v>
      </c>
    </row>
    <row r="2959" spans="8:8">
      <c r="H2959" s="1150">
        <f t="shared" si="116"/>
        <v>0</v>
      </c>
    </row>
    <row r="2960" spans="8:8">
      <c r="H2960" s="1150">
        <f t="shared" si="116"/>
        <v>0</v>
      </c>
    </row>
    <row r="2961" spans="8:8">
      <c r="H2961" s="1150">
        <f t="shared" si="116"/>
        <v>0</v>
      </c>
    </row>
    <row r="2962" spans="8:8">
      <c r="H2962" s="1150">
        <f t="shared" si="116"/>
        <v>0</v>
      </c>
    </row>
    <row r="2963" spans="8:8">
      <c r="H2963" s="1150">
        <f t="shared" si="116"/>
        <v>0</v>
      </c>
    </row>
    <row r="2964" spans="8:8">
      <c r="H2964" s="1150">
        <f t="shared" si="116"/>
        <v>0</v>
      </c>
    </row>
    <row r="2965" spans="8:8">
      <c r="H2965" s="1150">
        <f t="shared" si="116"/>
        <v>0</v>
      </c>
    </row>
    <row r="2966" spans="8:8">
      <c r="H2966" s="1150">
        <f t="shared" si="116"/>
        <v>0</v>
      </c>
    </row>
    <row r="2967" spans="8:8">
      <c r="H2967" s="1150">
        <f t="shared" si="116"/>
        <v>0</v>
      </c>
    </row>
    <row r="2968" spans="8:8">
      <c r="H2968" s="1150">
        <f t="shared" si="116"/>
        <v>0</v>
      </c>
    </row>
    <row r="2969" spans="8:8">
      <c r="H2969" s="1150">
        <f t="shared" si="116"/>
        <v>0</v>
      </c>
    </row>
    <row r="2970" spans="8:8">
      <c r="H2970" s="1150">
        <f t="shared" si="116"/>
        <v>0</v>
      </c>
    </row>
    <row r="2971" spans="8:8">
      <c r="H2971" s="1150">
        <f t="shared" si="116"/>
        <v>0</v>
      </c>
    </row>
    <row r="2972" spans="8:8">
      <c r="H2972" s="1150">
        <f t="shared" si="116"/>
        <v>0</v>
      </c>
    </row>
    <row r="2973" spans="8:8">
      <c r="H2973" s="1150">
        <f t="shared" si="116"/>
        <v>0</v>
      </c>
    </row>
    <row r="2974" spans="8:8">
      <c r="H2974" s="1150">
        <f t="shared" si="116"/>
        <v>0</v>
      </c>
    </row>
    <row r="2975" spans="8:8">
      <c r="H2975" s="1150">
        <f t="shared" si="116"/>
        <v>0</v>
      </c>
    </row>
    <row r="2976" spans="8:8">
      <c r="H2976" s="1150">
        <f t="shared" si="116"/>
        <v>0</v>
      </c>
    </row>
    <row r="2977" spans="8:8">
      <c r="H2977" s="1150">
        <f t="shared" si="116"/>
        <v>0</v>
      </c>
    </row>
    <row r="2978" spans="8:8">
      <c r="H2978" s="1150">
        <f t="shared" si="116"/>
        <v>0</v>
      </c>
    </row>
    <row r="2979" spans="8:8">
      <c r="H2979" s="1150">
        <f t="shared" si="116"/>
        <v>0</v>
      </c>
    </row>
    <row r="2980" spans="8:8">
      <c r="H2980" s="1150">
        <f t="shared" si="116"/>
        <v>0</v>
      </c>
    </row>
    <row r="2981" spans="8:8">
      <c r="H2981" s="1150">
        <f t="shared" si="116"/>
        <v>0</v>
      </c>
    </row>
    <row r="2982" spans="8:8">
      <c r="H2982" s="1150">
        <f t="shared" si="116"/>
        <v>0</v>
      </c>
    </row>
    <row r="2983" spans="8:8">
      <c r="H2983" s="1150">
        <f t="shared" si="116"/>
        <v>0</v>
      </c>
    </row>
    <row r="2984" spans="8:8">
      <c r="H2984" s="1150">
        <f t="shared" si="116"/>
        <v>0</v>
      </c>
    </row>
    <row r="2985" spans="8:8">
      <c r="H2985" s="1150">
        <f t="shared" si="116"/>
        <v>0</v>
      </c>
    </row>
    <row r="2986" spans="8:8">
      <c r="H2986" s="1150">
        <f t="shared" ref="H2986:H2999" si="117">F2986-G2986</f>
        <v>0</v>
      </c>
    </row>
    <row r="2987" spans="8:8">
      <c r="H2987" s="1150">
        <f t="shared" si="117"/>
        <v>0</v>
      </c>
    </row>
    <row r="2988" spans="8:8">
      <c r="H2988" s="1150">
        <f t="shared" si="117"/>
        <v>0</v>
      </c>
    </row>
    <row r="2989" spans="8:8">
      <c r="H2989" s="1150">
        <f t="shared" si="117"/>
        <v>0</v>
      </c>
    </row>
    <row r="2990" spans="8:8">
      <c r="H2990" s="1150">
        <f t="shared" si="117"/>
        <v>0</v>
      </c>
    </row>
    <row r="2991" spans="8:8">
      <c r="H2991" s="1150">
        <f t="shared" si="117"/>
        <v>0</v>
      </c>
    </row>
    <row r="2992" spans="8:8">
      <c r="H2992" s="1150">
        <f t="shared" si="117"/>
        <v>0</v>
      </c>
    </row>
    <row r="2993" spans="8:8">
      <c r="H2993" s="1150">
        <f t="shared" si="117"/>
        <v>0</v>
      </c>
    </row>
    <row r="2994" spans="8:8">
      <c r="H2994" s="1150">
        <f t="shared" si="117"/>
        <v>0</v>
      </c>
    </row>
    <row r="2995" spans="8:8">
      <c r="H2995" s="1150">
        <f t="shared" si="117"/>
        <v>0</v>
      </c>
    </row>
    <row r="2996" spans="8:8">
      <c r="H2996" s="1150">
        <f t="shared" si="117"/>
        <v>0</v>
      </c>
    </row>
    <row r="2997" spans="8:8">
      <c r="H2997" s="1150">
        <f t="shared" si="117"/>
        <v>0</v>
      </c>
    </row>
    <row r="2998" spans="8:8">
      <c r="H2998" s="1150">
        <f t="shared" si="117"/>
        <v>0</v>
      </c>
    </row>
    <row r="2999" spans="8:8">
      <c r="H2999" s="1150">
        <f t="shared" si="117"/>
        <v>0</v>
      </c>
    </row>
  </sheetData>
  <autoFilter ref="A3:Q2999" xr:uid="{65154F1D-18D4-4C8E-B2F2-5C5639D65F9B}"/>
  <sortState xmlns:xlrd2="http://schemas.microsoft.com/office/spreadsheetml/2017/richdata2" ref="D305:D320">
    <sortCondition ref="D305:D320"/>
  </sortState>
  <phoneticPr fontId="132" type="noConversion"/>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344CE-F3A9-4D08-9882-8466B62026E9}">
  <sheetPr codeName="Sheet18">
    <tabColor theme="0" tint="-0.14999847407452621"/>
  </sheetPr>
  <dimension ref="A1:K1760"/>
  <sheetViews>
    <sheetView topLeftCell="A1698" zoomScale="80" zoomScaleNormal="80" workbookViewId="0">
      <selection activeCell="B1712" sqref="B1712"/>
    </sheetView>
  </sheetViews>
  <sheetFormatPr defaultRowHeight="14.4"/>
  <cols>
    <col min="1" max="1" width="8.5546875" style="34"/>
    <col min="2" max="2" width="19.21875" bestFit="1" customWidth="1"/>
    <col min="3" max="3" width="10" customWidth="1"/>
    <col min="4" max="4" width="31.5546875" bestFit="1" customWidth="1"/>
    <col min="5" max="5" width="31.5546875" style="355" bestFit="1" customWidth="1"/>
    <col min="6" max="6" width="31.5546875" bestFit="1" customWidth="1"/>
    <col min="7" max="7" width="28.5546875" bestFit="1" customWidth="1"/>
    <col min="8" max="8" width="14.44140625" style="34" customWidth="1"/>
    <col min="9" max="9" width="32.77734375" bestFit="1" customWidth="1"/>
    <col min="10" max="10" width="28.5546875" bestFit="1" customWidth="1"/>
    <col min="11" max="11" width="34.5546875" bestFit="1" customWidth="1"/>
  </cols>
  <sheetData>
    <row r="1" spans="1:9">
      <c r="A1" s="1146" t="s">
        <v>2882</v>
      </c>
      <c r="B1" s="1146" t="s">
        <v>2883</v>
      </c>
      <c r="C1" s="1147" t="s">
        <v>2884</v>
      </c>
      <c r="D1" s="1146" t="s">
        <v>313</v>
      </c>
      <c r="E1" s="1146" t="s">
        <v>314</v>
      </c>
      <c r="F1" s="1146" t="s">
        <v>316</v>
      </c>
      <c r="G1" s="1146" t="s">
        <v>304</v>
      </c>
      <c r="H1" s="1146" t="s">
        <v>289</v>
      </c>
      <c r="I1" s="1146" t="s">
        <v>69</v>
      </c>
    </row>
    <row r="2" spans="1:9">
      <c r="A2" s="998">
        <v>1</v>
      </c>
      <c r="B2" s="1002" t="s">
        <v>2885</v>
      </c>
      <c r="C2" s="1003" t="s">
        <v>389</v>
      </c>
      <c r="D2" s="999" t="str">
        <f>VLOOKUP($C2,Table1[#All],2,0)</f>
        <v>BWID BINH DUONG</v>
      </c>
      <c r="E2" s="999" t="s">
        <v>2886</v>
      </c>
      <c r="F2" s="1093" t="s">
        <v>80</v>
      </c>
      <c r="G2" s="999" t="s">
        <v>308</v>
      </c>
      <c r="H2" s="999" t="str">
        <f>VLOOKUP($C2,Table1[#All],3,0)</f>
        <v>BWID JSC</v>
      </c>
      <c r="I2" s="999" t="str" cm="1">
        <f t="array" ref="I2">_xlfn.XLOOKUP(Acc_Char!$E2,Table4[[#All],[Branch]],Table4[[#All],[Bank]],"recheck",0)</f>
        <v>OTHERS</v>
      </c>
    </row>
    <row r="3" spans="1:9">
      <c r="A3" s="998">
        <f t="shared" ref="A3:A66" si="0">A2+1</f>
        <v>2</v>
      </c>
      <c r="B3" s="1002" t="s">
        <v>479</v>
      </c>
      <c r="C3" s="1003" t="s">
        <v>389</v>
      </c>
      <c r="D3" s="999" t="str">
        <f>VLOOKUP($C3,Table1[#All],2,0)</f>
        <v>BWID BINH DUONG</v>
      </c>
      <c r="E3" s="999" t="s">
        <v>85</v>
      </c>
      <c r="F3" s="1093" t="s">
        <v>81</v>
      </c>
      <c r="G3" s="999" t="s">
        <v>308</v>
      </c>
      <c r="H3" s="999" t="str">
        <f>VLOOKUP($C3,Table1[#All],3,0)</f>
        <v>BWID JSC</v>
      </c>
      <c r="I3" s="999" t="str" cm="1">
        <f t="array" ref="I3">_xlfn.XLOOKUP(Acc_Char!$E40,Table4[[#All],[Branch]],Table4[[#All],[Bank]],"recheck",0)</f>
        <v>VIETINBANK - TIEN SON</v>
      </c>
    </row>
    <row r="4" spans="1:9">
      <c r="A4" s="998">
        <f t="shared" si="0"/>
        <v>3</v>
      </c>
      <c r="B4" s="1002" t="s">
        <v>470</v>
      </c>
      <c r="C4" s="1003" t="s">
        <v>389</v>
      </c>
      <c r="D4" s="999" t="str">
        <f>VLOOKUP($C4,Table1[#All],2,0)</f>
        <v>BWID BINH DUONG</v>
      </c>
      <c r="E4" s="999" t="s">
        <v>92</v>
      </c>
      <c r="F4" s="1093" t="s">
        <v>80</v>
      </c>
      <c r="G4" s="999" t="s">
        <v>308</v>
      </c>
      <c r="H4" s="999" t="str">
        <f>VLOOKUP($C4,Table1[#All],3,0)</f>
        <v>BWID JSC</v>
      </c>
      <c r="I4" s="999" t="str" cm="1">
        <f t="array" ref="I4">_xlfn.XLOOKUP(Acc_Char!$E4,Table4[[#All],[Branch]],Table4[[#All],[Bank]],"recheck",0)</f>
        <v>BIDV - THANH XUAN</v>
      </c>
    </row>
    <row r="5" spans="1:9">
      <c r="A5" s="998">
        <f t="shared" si="0"/>
        <v>4</v>
      </c>
      <c r="B5" s="1098" t="s">
        <v>2887</v>
      </c>
      <c r="C5" s="1000" t="s">
        <v>389</v>
      </c>
      <c r="D5" s="932" t="str">
        <f>VLOOKUP($C5,Table1[#All],2,0)</f>
        <v>BWID BINH DUONG</v>
      </c>
      <c r="E5" s="932" t="s">
        <v>92</v>
      </c>
      <c r="F5" s="998" t="s">
        <v>80</v>
      </c>
      <c r="G5" s="932" t="s">
        <v>310</v>
      </c>
      <c r="H5" s="932" t="str">
        <f>VLOOKUP($C5,Table1[#All],3,0)</f>
        <v>BWID JSC</v>
      </c>
      <c r="I5" s="932" t="str" cm="1">
        <f t="array" ref="I5">_xlfn.XLOOKUP(Acc_Char!$E5,Table4[[#All],[Branch]],Table4[[#All],[Bank]],"recheck",0)</f>
        <v>BIDV - THANH XUAN</v>
      </c>
    </row>
    <row r="6" spans="1:9">
      <c r="A6" s="998">
        <f t="shared" si="0"/>
        <v>5</v>
      </c>
      <c r="B6" s="1004" t="s">
        <v>501</v>
      </c>
      <c r="C6" s="1000" t="s">
        <v>2888</v>
      </c>
      <c r="D6" s="932" t="str">
        <f>VLOOKUP($C6,Table1[#All],2,0)</f>
        <v>BWID HAI DUONG</v>
      </c>
      <c r="E6" s="932" t="s">
        <v>85</v>
      </c>
      <c r="F6" s="998" t="s">
        <v>81</v>
      </c>
      <c r="G6" s="932" t="s">
        <v>308</v>
      </c>
      <c r="H6" s="932" t="str">
        <f>VLOOKUP($C6,Table1[#All],3,0)</f>
        <v>Subsidiaries</v>
      </c>
      <c r="I6" s="932" t="str" cm="1">
        <f t="array" ref="I6">_xlfn.XLOOKUP(Acc_Char!$E93,Table4[[#All],[Branch]],Table4[[#All],[Bank]],"recheck",0)</f>
        <v>VIETINBANK - TIEN SON</v>
      </c>
    </row>
    <row r="7" spans="1:9">
      <c r="A7" s="998">
        <f t="shared" si="0"/>
        <v>6</v>
      </c>
      <c r="B7" s="1098" t="s">
        <v>2889</v>
      </c>
      <c r="C7" s="1000" t="s">
        <v>389</v>
      </c>
      <c r="D7" s="932" t="str">
        <f>VLOOKUP($C7,Table1[#All],2,0)</f>
        <v>BWID BINH DUONG</v>
      </c>
      <c r="E7" s="932" t="s">
        <v>94</v>
      </c>
      <c r="F7" s="998" t="s">
        <v>80</v>
      </c>
      <c r="G7" s="932" t="s">
        <v>310</v>
      </c>
      <c r="H7" s="932" t="str">
        <f>VLOOKUP($C7,Table1[#All],3,0)</f>
        <v>BWID JSC</v>
      </c>
      <c r="I7" s="932" t="str" cm="1">
        <f t="array" ref="I7">_xlfn.XLOOKUP(Acc_Char!$E7,Table4[[#All],[Branch]],Table4[[#All],[Bank]],"recheck",0)</f>
        <v>BIDV - LONG BIEN</v>
      </c>
    </row>
    <row r="8" spans="1:9">
      <c r="A8" s="998">
        <f t="shared" si="0"/>
        <v>7</v>
      </c>
      <c r="B8" s="1097" t="s">
        <v>472</v>
      </c>
      <c r="C8" s="1003" t="s">
        <v>389</v>
      </c>
      <c r="D8" s="999" t="str">
        <f>VLOOKUP($C8,Table1[#All],2,0)</f>
        <v>BWID BINH DUONG</v>
      </c>
      <c r="E8" s="999" t="s">
        <v>89</v>
      </c>
      <c r="F8" s="1093" t="s">
        <v>80</v>
      </c>
      <c r="G8" s="999" t="s">
        <v>308</v>
      </c>
      <c r="H8" s="999" t="str">
        <f>VLOOKUP($C8,Table1[#All],3,0)</f>
        <v>BWID JSC</v>
      </c>
      <c r="I8" s="999" t="str" cm="1">
        <f t="array" ref="I8">_xlfn.XLOOKUP(Acc_Char!$E8,Table4[[#All],[Branch]],Table4[[#All],[Bank]],"recheck",0)</f>
        <v>VIETCOMBANK - BA DINH</v>
      </c>
    </row>
    <row r="9" spans="1:9">
      <c r="A9" s="998">
        <f t="shared" si="0"/>
        <v>8</v>
      </c>
      <c r="B9" s="1097" t="s">
        <v>505</v>
      </c>
      <c r="C9" s="1003" t="s">
        <v>432</v>
      </c>
      <c r="D9" s="999" t="str">
        <f>VLOOKUP($C9,Table1[#All],2,0)</f>
        <v>BWID BAC NINH</v>
      </c>
      <c r="E9" s="999" t="s">
        <v>85</v>
      </c>
      <c r="F9" s="1093" t="s">
        <v>81</v>
      </c>
      <c r="G9" s="999" t="s">
        <v>308</v>
      </c>
      <c r="H9" s="999" t="str">
        <f>VLOOKUP($C9,Table1[#All],3,0)</f>
        <v>Subsidiaries</v>
      </c>
      <c r="I9" s="999" t="str" cm="1">
        <f t="array" ref="I9">_xlfn.XLOOKUP(Acc_Char!$E102,Table4[[#All],[Branch]],Table4[[#All],[Bank]],"recheck",0)</f>
        <v>VIETINBANK - TIEN SON</v>
      </c>
    </row>
    <row r="10" spans="1:9">
      <c r="A10" s="998">
        <f t="shared" si="0"/>
        <v>9</v>
      </c>
      <c r="B10" s="1097" t="s">
        <v>2890</v>
      </c>
      <c r="C10" s="1003" t="s">
        <v>389</v>
      </c>
      <c r="D10" s="999" t="str">
        <f>VLOOKUP($C10,Table1[#All],2,0)</f>
        <v>BWID BINH DUONG</v>
      </c>
      <c r="E10" s="999" t="s">
        <v>89</v>
      </c>
      <c r="F10" s="1093" t="s">
        <v>80</v>
      </c>
      <c r="G10" s="999" t="s">
        <v>310</v>
      </c>
      <c r="H10" s="999" t="str">
        <f>VLOOKUP($C10,Table1[#All],3,0)</f>
        <v>BWID JSC</v>
      </c>
      <c r="I10" s="999" t="str" cm="1">
        <f t="array" ref="I10">_xlfn.XLOOKUP(Acc_Char!$E10,Table4[[#All],[Branch]],Table4[[#All],[Bank]],"recheck",0)</f>
        <v>VIETCOMBANK - BA DINH</v>
      </c>
    </row>
    <row r="11" spans="1:9">
      <c r="A11" s="998">
        <f t="shared" si="0"/>
        <v>10</v>
      </c>
      <c r="B11" s="1098" t="s">
        <v>2891</v>
      </c>
      <c r="C11" s="1000" t="s">
        <v>389</v>
      </c>
      <c r="D11" s="932" t="str">
        <f>VLOOKUP($C11,Table1[#All],2,0)</f>
        <v>BWID BINH DUONG</v>
      </c>
      <c r="E11" s="932" t="s">
        <v>89</v>
      </c>
      <c r="F11" s="998" t="s">
        <v>80</v>
      </c>
      <c r="G11" s="932" t="s">
        <v>310</v>
      </c>
      <c r="H11" s="932" t="str">
        <f>VLOOKUP($C11,Table1[#All],3,0)</f>
        <v>BWID JSC</v>
      </c>
      <c r="I11" s="932" t="str" cm="1">
        <f t="array" ref="I11">_xlfn.XLOOKUP(Acc_Char!$E11,Table4[[#All],[Branch]],Table4[[#All],[Bank]],"recheck",0)</f>
        <v>VIETCOMBANK - BA DINH</v>
      </c>
    </row>
    <row r="12" spans="1:9">
      <c r="A12" s="998">
        <f t="shared" si="0"/>
        <v>11</v>
      </c>
      <c r="B12" s="1097" t="s">
        <v>2892</v>
      </c>
      <c r="C12" s="1003" t="s">
        <v>389</v>
      </c>
      <c r="D12" s="999" t="str">
        <f>VLOOKUP($C12,Table1[#All],2,0)</f>
        <v>BWID BINH DUONG</v>
      </c>
      <c r="E12" s="999" t="s">
        <v>89</v>
      </c>
      <c r="F12" s="1093" t="s">
        <v>80</v>
      </c>
      <c r="G12" s="999" t="s">
        <v>310</v>
      </c>
      <c r="H12" s="999" t="str">
        <f>VLOOKUP($C12,Table1[#All],3,0)</f>
        <v>BWID JSC</v>
      </c>
      <c r="I12" s="999" t="str" cm="1">
        <f t="array" ref="I12">_xlfn.XLOOKUP(Acc_Char!$E12,Table4[[#All],[Branch]],Table4[[#All],[Bank]],"recheck",0)</f>
        <v>VIETCOMBANK - BA DINH</v>
      </c>
    </row>
    <row r="13" spans="1:9">
      <c r="A13" s="998">
        <f t="shared" si="0"/>
        <v>12</v>
      </c>
      <c r="B13" s="1098" t="s">
        <v>2893</v>
      </c>
      <c r="C13" s="1000" t="s">
        <v>389</v>
      </c>
      <c r="D13" s="932" t="str">
        <f>VLOOKUP($C13,Table1[#All],2,0)</f>
        <v>BWID BINH DUONG</v>
      </c>
      <c r="E13" s="932" t="s">
        <v>89</v>
      </c>
      <c r="F13" s="998" t="s">
        <v>80</v>
      </c>
      <c r="G13" s="932" t="s">
        <v>310</v>
      </c>
      <c r="H13" s="932" t="str">
        <f>VLOOKUP($C13,Table1[#All],3,0)</f>
        <v>BWID JSC</v>
      </c>
      <c r="I13" s="932" t="str" cm="1">
        <f t="array" ref="I13">_xlfn.XLOOKUP(Acc_Char!$E13,Table4[[#All],[Branch]],Table4[[#All],[Bank]],"recheck",0)</f>
        <v>VIETCOMBANK - BA DINH</v>
      </c>
    </row>
    <row r="14" spans="1:9">
      <c r="A14" s="998">
        <f t="shared" si="0"/>
        <v>13</v>
      </c>
      <c r="B14" s="1097" t="s">
        <v>2894</v>
      </c>
      <c r="C14" s="1003" t="s">
        <v>389</v>
      </c>
      <c r="D14" s="999" t="str">
        <f>VLOOKUP($C14,Table1[#All],2,0)</f>
        <v>BWID BINH DUONG</v>
      </c>
      <c r="E14" s="999" t="s">
        <v>527</v>
      </c>
      <c r="F14" s="1093" t="s">
        <v>80</v>
      </c>
      <c r="G14" s="999" t="s">
        <v>308</v>
      </c>
      <c r="H14" s="999" t="str">
        <f>VLOOKUP($C14,Table1[#All],3,0)</f>
        <v>BWID JSC</v>
      </c>
      <c r="I14" s="999" t="str" cm="1">
        <f t="array" ref="I14">_xlfn.XLOOKUP(Acc_Char!$E14,Table4[[#All],[Branch]],Table4[[#All],[Bank]],"recheck",0)</f>
        <v>OTHERS</v>
      </c>
    </row>
    <row r="15" spans="1:9">
      <c r="A15" s="998">
        <f t="shared" si="0"/>
        <v>14</v>
      </c>
      <c r="B15" s="1098" t="s">
        <v>509</v>
      </c>
      <c r="C15" s="1000" t="s">
        <v>2895</v>
      </c>
      <c r="D15" s="932" t="str">
        <f>VLOOKUP($C15,Table1[#All],2,0)</f>
        <v>BWID HAI DUONG 2</v>
      </c>
      <c r="E15" s="932" t="s">
        <v>85</v>
      </c>
      <c r="F15" s="998" t="s">
        <v>81</v>
      </c>
      <c r="G15" s="932" t="s">
        <v>308</v>
      </c>
      <c r="H15" s="932" t="str">
        <f>VLOOKUP($C15,Table1[#All],3,0)</f>
        <v>Subsidiaries</v>
      </c>
      <c r="I15" s="932" t="str" cm="1">
        <f t="array" ref="I15">_xlfn.XLOOKUP(Acc_Char!$E109,Table4[[#All],[Branch]],Table4[[#All],[Bank]],"recheck",0)</f>
        <v>VIETINBANK - TIEN SON</v>
      </c>
    </row>
    <row r="16" spans="1:9">
      <c r="A16" s="998">
        <f t="shared" si="0"/>
        <v>15</v>
      </c>
      <c r="B16" s="1097" t="s">
        <v>474</v>
      </c>
      <c r="C16" s="1003" t="s">
        <v>389</v>
      </c>
      <c r="D16" s="999" t="str">
        <f>VLOOKUP($C16,Table1[#All],2,0)</f>
        <v>BWID BINH DUONG</v>
      </c>
      <c r="E16" s="999" t="s">
        <v>91</v>
      </c>
      <c r="F16" s="1093" t="s">
        <v>81</v>
      </c>
      <c r="G16" s="999" t="s">
        <v>307</v>
      </c>
      <c r="H16" s="999" t="str">
        <f>VLOOKUP($C16,Table1[#All],3,0)</f>
        <v>BWID JSC</v>
      </c>
      <c r="I16" s="999" t="str" cm="1">
        <f t="array" ref="I16">_xlfn.XLOOKUP(Acc_Char!$E16,Table4[[#All],[Branch]],Table4[[#All],[Bank]],"recheck",0)</f>
        <v>VIETCOMBANK - HCM</v>
      </c>
    </row>
    <row r="17" spans="1:9">
      <c r="A17" s="998">
        <f t="shared" si="0"/>
        <v>16</v>
      </c>
      <c r="B17" s="1098" t="s">
        <v>475</v>
      </c>
      <c r="C17" s="1000" t="s">
        <v>389</v>
      </c>
      <c r="D17" s="932" t="str">
        <f>VLOOKUP($C17,Table1[#All],2,0)</f>
        <v>BWID BINH DUONG</v>
      </c>
      <c r="E17" s="932" t="s">
        <v>91</v>
      </c>
      <c r="F17" s="998" t="s">
        <v>80</v>
      </c>
      <c r="G17" s="932" t="s">
        <v>307</v>
      </c>
      <c r="H17" s="932" t="str">
        <f>VLOOKUP($C17,Table1[#All],3,0)</f>
        <v>BWID JSC</v>
      </c>
      <c r="I17" s="932" t="str" cm="1">
        <f t="array" ref="I17">_xlfn.XLOOKUP(Acc_Char!$E17,Table4[[#All],[Branch]],Table4[[#All],[Bank]],"recheck",0)</f>
        <v>VIETCOMBANK - HCM</v>
      </c>
    </row>
    <row r="18" spans="1:9">
      <c r="A18" s="998">
        <f t="shared" si="0"/>
        <v>17</v>
      </c>
      <c r="B18" s="1002" t="s">
        <v>512</v>
      </c>
      <c r="C18" s="1003" t="s">
        <v>434</v>
      </c>
      <c r="D18" s="999" t="str">
        <f>VLOOKUP($C18,Table1[#All],2,0)</f>
        <v>BWID HAI PHONG</v>
      </c>
      <c r="E18" s="999" t="s">
        <v>85</v>
      </c>
      <c r="F18" s="1093" t="s">
        <v>81</v>
      </c>
      <c r="G18" s="999" t="s">
        <v>308</v>
      </c>
      <c r="H18" s="999" t="str">
        <f>VLOOKUP($C18,Table1[#All],3,0)</f>
        <v>Subsidiaries</v>
      </c>
      <c r="I18" s="999" t="str" cm="1">
        <f t="array" ref="I18">_xlfn.XLOOKUP(Acc_Char!$E114,Table4[[#All],[Branch]],Table4[[#All],[Bank]],"recheck",0)</f>
        <v>VIETINBANK - TIEN SON</v>
      </c>
    </row>
    <row r="19" spans="1:9">
      <c r="A19" s="998">
        <f t="shared" si="0"/>
        <v>18</v>
      </c>
      <c r="B19" s="1098" t="s">
        <v>2896</v>
      </c>
      <c r="C19" s="1000" t="s">
        <v>389</v>
      </c>
      <c r="D19" s="932" t="str">
        <f>VLOOKUP($C19,Table1[#All],2,0)</f>
        <v>BWID BINH DUONG</v>
      </c>
      <c r="E19" s="932" t="s">
        <v>91</v>
      </c>
      <c r="F19" s="998" t="s">
        <v>80</v>
      </c>
      <c r="G19" s="932" t="s">
        <v>310</v>
      </c>
      <c r="H19" s="932" t="str">
        <f>VLOOKUP($C19,Table1[#All],3,0)</f>
        <v>BWID JSC</v>
      </c>
      <c r="I19" s="932" t="str" cm="1">
        <f t="array" ref="I19">_xlfn.XLOOKUP(Acc_Char!$E19,Table4[[#All],[Branch]],Table4[[#All],[Bank]],"recheck",0)</f>
        <v>VIETCOMBANK - HCM</v>
      </c>
    </row>
    <row r="20" spans="1:9">
      <c r="A20" s="998">
        <f t="shared" si="0"/>
        <v>19</v>
      </c>
      <c r="B20" s="1097" t="s">
        <v>2897</v>
      </c>
      <c r="C20" s="1003" t="s">
        <v>389</v>
      </c>
      <c r="D20" s="999" t="str">
        <f>VLOOKUP($C20,Table1[#All],2,0)</f>
        <v>BWID BINH DUONG</v>
      </c>
      <c r="E20" s="999" t="s">
        <v>91</v>
      </c>
      <c r="F20" s="1093" t="s">
        <v>80</v>
      </c>
      <c r="G20" s="999" t="s">
        <v>310</v>
      </c>
      <c r="H20" s="999" t="str">
        <f>VLOOKUP($C20,Table1[#All],3,0)</f>
        <v>BWID JSC</v>
      </c>
      <c r="I20" s="999" t="str" cm="1">
        <f t="array" ref="I20">_xlfn.XLOOKUP(Acc_Char!$E20,Table4[[#All],[Branch]],Table4[[#All],[Bank]],"recheck",0)</f>
        <v>VIETCOMBANK - HCM</v>
      </c>
    </row>
    <row r="21" spans="1:9">
      <c r="A21" s="998">
        <f t="shared" si="0"/>
        <v>20</v>
      </c>
      <c r="B21" s="1098" t="s">
        <v>2898</v>
      </c>
      <c r="C21" s="1000" t="s">
        <v>389</v>
      </c>
      <c r="D21" s="932" t="str">
        <f>VLOOKUP($C21,Table1[#All],2,0)</f>
        <v>BWID BINH DUONG</v>
      </c>
      <c r="E21" s="932" t="s">
        <v>91</v>
      </c>
      <c r="F21" s="998" t="s">
        <v>80</v>
      </c>
      <c r="G21" s="932" t="s">
        <v>310</v>
      </c>
      <c r="H21" s="932" t="str">
        <f>VLOOKUP($C21,Table1[#All],3,0)</f>
        <v>BWID JSC</v>
      </c>
      <c r="I21" s="932" t="str" cm="1">
        <f t="array" ref="I21">_xlfn.XLOOKUP(Acc_Char!$E21,Table4[[#All],[Branch]],Table4[[#All],[Bank]],"recheck",0)</f>
        <v>VIETCOMBANK - HCM</v>
      </c>
    </row>
    <row r="22" spans="1:9">
      <c r="A22" s="998">
        <f t="shared" si="0"/>
        <v>21</v>
      </c>
      <c r="B22" s="1097" t="s">
        <v>2899</v>
      </c>
      <c r="C22" s="1003" t="s">
        <v>389</v>
      </c>
      <c r="D22" s="999" t="str">
        <f>VLOOKUP($C22,Table1[#All],2,0)</f>
        <v>BWID BINH DUONG</v>
      </c>
      <c r="E22" s="999" t="s">
        <v>91</v>
      </c>
      <c r="F22" s="1093" t="s">
        <v>80</v>
      </c>
      <c r="G22" s="999" t="s">
        <v>310</v>
      </c>
      <c r="H22" s="999" t="str">
        <f>VLOOKUP($C22,Table1[#All],3,0)</f>
        <v>BWID JSC</v>
      </c>
      <c r="I22" s="999" t="str" cm="1">
        <f t="array" ref="I22">_xlfn.XLOOKUP(Acc_Char!$E22,Table4[[#All],[Branch]],Table4[[#All],[Bank]],"recheck",0)</f>
        <v>VIETCOMBANK - HCM</v>
      </c>
    </row>
    <row r="23" spans="1:9">
      <c r="A23" s="998">
        <f t="shared" si="0"/>
        <v>22</v>
      </c>
      <c r="B23" s="1098" t="s">
        <v>2900</v>
      </c>
      <c r="C23" s="1000" t="s">
        <v>389</v>
      </c>
      <c r="D23" s="932" t="str">
        <f>VLOOKUP($C23,Table1[#All],2,0)</f>
        <v>BWID BINH DUONG</v>
      </c>
      <c r="E23" s="932" t="s">
        <v>91</v>
      </c>
      <c r="F23" s="998" t="s">
        <v>80</v>
      </c>
      <c r="G23" s="932" t="s">
        <v>310</v>
      </c>
      <c r="H23" s="932" t="str">
        <f>VLOOKUP($C23,Table1[#All],3,0)</f>
        <v>BWID JSC</v>
      </c>
      <c r="I23" s="932" t="str" cm="1">
        <f t="array" ref="I23">_xlfn.XLOOKUP(Acc_Char!$E23,Table4[[#All],[Branch]],Table4[[#All],[Bank]],"recheck",0)</f>
        <v>VIETCOMBANK - HCM</v>
      </c>
    </row>
    <row r="24" spans="1:9">
      <c r="A24" s="998">
        <f t="shared" si="0"/>
        <v>23</v>
      </c>
      <c r="B24" s="1097" t="s">
        <v>2901</v>
      </c>
      <c r="C24" s="1003" t="s">
        <v>389</v>
      </c>
      <c r="D24" s="999" t="str">
        <f>VLOOKUP($C24,Table1[#All],2,0)</f>
        <v>BWID BINH DUONG</v>
      </c>
      <c r="E24" s="999" t="s">
        <v>91</v>
      </c>
      <c r="F24" s="1093" t="s">
        <v>80</v>
      </c>
      <c r="G24" s="999" t="s">
        <v>310</v>
      </c>
      <c r="H24" s="999" t="str">
        <f>VLOOKUP($C24,Table1[#All],3,0)</f>
        <v>BWID JSC</v>
      </c>
      <c r="I24" s="999" t="str" cm="1">
        <f t="array" ref="I24">_xlfn.XLOOKUP(Acc_Char!$E24,Table4[[#All],[Branch]],Table4[[#All],[Bank]],"recheck",0)</f>
        <v>VIETCOMBANK - HCM</v>
      </c>
    </row>
    <row r="25" spans="1:9">
      <c r="A25" s="998">
        <f t="shared" si="0"/>
        <v>24</v>
      </c>
      <c r="B25" s="1098" t="s">
        <v>2902</v>
      </c>
      <c r="C25" s="1000" t="s">
        <v>389</v>
      </c>
      <c r="D25" s="932" t="str">
        <f>VLOOKUP($C25,Table1[#All],2,0)</f>
        <v>BWID BINH DUONG</v>
      </c>
      <c r="E25" s="932" t="s">
        <v>91</v>
      </c>
      <c r="F25" s="998" t="s">
        <v>80</v>
      </c>
      <c r="G25" s="932" t="s">
        <v>310</v>
      </c>
      <c r="H25" s="932" t="str">
        <f>VLOOKUP($C25,Table1[#All],3,0)</f>
        <v>BWID JSC</v>
      </c>
      <c r="I25" s="932" t="str" cm="1">
        <f t="array" ref="I25">_xlfn.XLOOKUP(Acc_Char!$E25,Table4[[#All],[Branch]],Table4[[#All],[Bank]],"recheck",0)</f>
        <v>VIETCOMBANK - HCM</v>
      </c>
    </row>
    <row r="26" spans="1:9">
      <c r="A26" s="998">
        <f t="shared" si="0"/>
        <v>25</v>
      </c>
      <c r="B26" s="1097" t="s">
        <v>2903</v>
      </c>
      <c r="C26" s="1003" t="s">
        <v>389</v>
      </c>
      <c r="D26" s="999" t="str">
        <f>VLOOKUP($C26,Table1[#All],2,0)</f>
        <v>BWID BINH DUONG</v>
      </c>
      <c r="E26" s="999" t="s">
        <v>91</v>
      </c>
      <c r="F26" s="1093" t="s">
        <v>80</v>
      </c>
      <c r="G26" s="999" t="s">
        <v>310</v>
      </c>
      <c r="H26" s="999" t="str">
        <f>VLOOKUP($C26,Table1[#All],3,0)</f>
        <v>BWID JSC</v>
      </c>
      <c r="I26" s="999" t="str" cm="1">
        <f t="array" ref="I26">_xlfn.XLOOKUP(Acc_Char!$E26,Table4[[#All],[Branch]],Table4[[#All],[Bank]],"recheck",0)</f>
        <v>VIETCOMBANK - HCM</v>
      </c>
    </row>
    <row r="27" spans="1:9">
      <c r="A27" s="998">
        <f t="shared" si="0"/>
        <v>26</v>
      </c>
      <c r="B27" s="1098" t="s">
        <v>2904</v>
      </c>
      <c r="C27" s="1000" t="s">
        <v>389</v>
      </c>
      <c r="D27" s="932" t="str">
        <f>VLOOKUP($C27,Table1[#All],2,0)</f>
        <v>BWID BINH DUONG</v>
      </c>
      <c r="E27" s="932" t="s">
        <v>91</v>
      </c>
      <c r="F27" s="998" t="s">
        <v>80</v>
      </c>
      <c r="G27" s="932" t="s">
        <v>310</v>
      </c>
      <c r="H27" s="932" t="str">
        <f>VLOOKUP($C27,Table1[#All],3,0)</f>
        <v>BWID JSC</v>
      </c>
      <c r="I27" s="932" t="str" cm="1">
        <f t="array" ref="I27">_xlfn.XLOOKUP(Acc_Char!$E27,Table4[[#All],[Branch]],Table4[[#All],[Bank]],"recheck",0)</f>
        <v>VIETCOMBANK - HCM</v>
      </c>
    </row>
    <row r="28" spans="1:9">
      <c r="A28" s="998">
        <f t="shared" si="0"/>
        <v>27</v>
      </c>
      <c r="B28" s="1097" t="s">
        <v>2905</v>
      </c>
      <c r="C28" s="1003" t="s">
        <v>389</v>
      </c>
      <c r="D28" s="999" t="str">
        <f>VLOOKUP($C28,Table1[#All],2,0)</f>
        <v>BWID BINH DUONG</v>
      </c>
      <c r="E28" s="999" t="s">
        <v>91</v>
      </c>
      <c r="F28" s="1093" t="s">
        <v>80</v>
      </c>
      <c r="G28" s="999" t="s">
        <v>310</v>
      </c>
      <c r="H28" s="999" t="str">
        <f>VLOOKUP($C28,Table1[#All],3,0)</f>
        <v>BWID JSC</v>
      </c>
      <c r="I28" s="999" t="str" cm="1">
        <f t="array" ref="I28">_xlfn.XLOOKUP(Acc_Char!$E28,Table4[[#All],[Branch]],Table4[[#All],[Bank]],"recheck",0)</f>
        <v>VIETCOMBANK - HCM</v>
      </c>
    </row>
    <row r="29" spans="1:9">
      <c r="A29" s="998">
        <f t="shared" si="0"/>
        <v>28</v>
      </c>
      <c r="B29" s="1098" t="s">
        <v>2906</v>
      </c>
      <c r="C29" s="1000" t="s">
        <v>389</v>
      </c>
      <c r="D29" s="932" t="str">
        <f>VLOOKUP($C29,Table1[#All],2,0)</f>
        <v>BWID BINH DUONG</v>
      </c>
      <c r="E29" s="932" t="s">
        <v>91</v>
      </c>
      <c r="F29" s="998" t="s">
        <v>80</v>
      </c>
      <c r="G29" s="932" t="s">
        <v>310</v>
      </c>
      <c r="H29" s="932" t="str">
        <f>VLOOKUP($C29,Table1[#All],3,0)</f>
        <v>BWID JSC</v>
      </c>
      <c r="I29" s="932" t="str" cm="1">
        <f t="array" ref="I29">_xlfn.XLOOKUP(Acc_Char!$E29,Table4[[#All],[Branch]],Table4[[#All],[Bank]],"recheck",0)</f>
        <v>VIETCOMBANK - HCM</v>
      </c>
    </row>
    <row r="30" spans="1:9">
      <c r="A30" s="998">
        <f t="shared" si="0"/>
        <v>29</v>
      </c>
      <c r="B30" s="1097" t="s">
        <v>2907</v>
      </c>
      <c r="C30" s="1003" t="s">
        <v>389</v>
      </c>
      <c r="D30" s="999" t="str">
        <f>VLOOKUP($C30,Table1[#All],2,0)</f>
        <v>BWID BINH DUONG</v>
      </c>
      <c r="E30" s="999" t="s">
        <v>91</v>
      </c>
      <c r="F30" s="1093" t="s">
        <v>80</v>
      </c>
      <c r="G30" s="999" t="s">
        <v>310</v>
      </c>
      <c r="H30" s="999" t="str">
        <f>VLOOKUP($C30,Table1[#All],3,0)</f>
        <v>BWID JSC</v>
      </c>
      <c r="I30" s="999" t="str" cm="1">
        <f t="array" ref="I30">_xlfn.XLOOKUP(Acc_Char!$E30,Table4[[#All],[Branch]],Table4[[#All],[Bank]],"recheck",0)</f>
        <v>VIETCOMBANK - HCM</v>
      </c>
    </row>
    <row r="31" spans="1:9">
      <c r="A31" s="998">
        <f t="shared" si="0"/>
        <v>30</v>
      </c>
      <c r="B31" s="1098" t="s">
        <v>2908</v>
      </c>
      <c r="C31" s="1000" t="s">
        <v>389</v>
      </c>
      <c r="D31" s="932" t="str">
        <f>VLOOKUP($C31,Table1[#All],2,0)</f>
        <v>BWID BINH DUONG</v>
      </c>
      <c r="E31" s="932" t="s">
        <v>91</v>
      </c>
      <c r="F31" s="998" t="s">
        <v>80</v>
      </c>
      <c r="G31" s="932" t="s">
        <v>310</v>
      </c>
      <c r="H31" s="932" t="str">
        <f>VLOOKUP($C31,Table1[#All],3,0)</f>
        <v>BWID JSC</v>
      </c>
      <c r="I31" s="932" t="str" cm="1">
        <f t="array" ref="I31">_xlfn.XLOOKUP(Acc_Char!$E31,Table4[[#All],[Branch]],Table4[[#All],[Bank]],"recheck",0)</f>
        <v>VIETCOMBANK - HCM</v>
      </c>
    </row>
    <row r="32" spans="1:9">
      <c r="A32" s="998">
        <f t="shared" si="0"/>
        <v>31</v>
      </c>
      <c r="B32" s="999" t="s">
        <v>5390</v>
      </c>
      <c r="C32" s="1003" t="s">
        <v>389</v>
      </c>
      <c r="D32" s="999" t="str">
        <f>VLOOKUP($C32,Table1[#All],2,0)</f>
        <v>BWID BINH DUONG</v>
      </c>
      <c r="E32" s="999" t="s">
        <v>91</v>
      </c>
      <c r="F32" s="1093" t="s">
        <v>80</v>
      </c>
      <c r="G32" s="999" t="s">
        <v>310</v>
      </c>
      <c r="H32" s="999" t="str">
        <f>VLOOKUP($C32,Table1[#All],3,0)</f>
        <v>BWID JSC</v>
      </c>
      <c r="I32" s="999" t="str" cm="1">
        <f t="array" ref="I32">_xlfn.XLOOKUP(Acc_Char!$E32,Table4[[#All],[Branch]],Table4[[#All],[Bank]],"recheck",0)</f>
        <v>VIETCOMBANK - HCM</v>
      </c>
    </row>
    <row r="33" spans="1:9">
      <c r="A33" s="998">
        <f t="shared" si="0"/>
        <v>32</v>
      </c>
      <c r="B33" s="1098" t="s">
        <v>477</v>
      </c>
      <c r="C33" s="1000" t="s">
        <v>389</v>
      </c>
      <c r="D33" s="932" t="str">
        <f>VLOOKUP($C33,Table1[#All],2,0)</f>
        <v>BWID BINH DUONG</v>
      </c>
      <c r="E33" s="932" t="s">
        <v>91</v>
      </c>
      <c r="F33" s="998" t="s">
        <v>80</v>
      </c>
      <c r="G33" s="932" t="s">
        <v>308</v>
      </c>
      <c r="H33" s="932" t="str">
        <f>VLOOKUP($C33,Table1[#All],3,0)</f>
        <v>BWID JSC</v>
      </c>
      <c r="I33" s="932" t="str" cm="1">
        <f t="array" ref="I33">_xlfn.XLOOKUP(Acc_Char!$E33,Table4[[#All],[Branch]],Table4[[#All],[Bank]],"recheck",0)</f>
        <v>VIETCOMBANK - HCM</v>
      </c>
    </row>
    <row r="34" spans="1:9">
      <c r="A34" s="998">
        <f t="shared" si="0"/>
        <v>33</v>
      </c>
      <c r="B34" s="1097" t="s">
        <v>2909</v>
      </c>
      <c r="C34" s="1003" t="s">
        <v>389</v>
      </c>
      <c r="D34" s="999" t="str">
        <f>VLOOKUP($C34,Table1[#All],2,0)</f>
        <v>BWID BINH DUONG</v>
      </c>
      <c r="E34" s="999" t="s">
        <v>91</v>
      </c>
      <c r="F34" s="1093" t="s">
        <v>80</v>
      </c>
      <c r="G34" s="999" t="s">
        <v>2910</v>
      </c>
      <c r="H34" s="999" t="str">
        <f>VLOOKUP($C34,Table1[#All],3,0)</f>
        <v>BWID JSC</v>
      </c>
      <c r="I34" s="999" t="str" cm="1">
        <f t="array" ref="I34">_xlfn.XLOOKUP(Acc_Char!$E34,Table4[[#All],[Branch]],Table4[[#All],[Bank]],"recheck",0)</f>
        <v>VIETCOMBANK - HCM</v>
      </c>
    </row>
    <row r="35" spans="1:9">
      <c r="A35" s="998">
        <f t="shared" si="0"/>
        <v>34</v>
      </c>
      <c r="B35" s="932" t="s">
        <v>5391</v>
      </c>
      <c r="C35" s="1000" t="s">
        <v>389</v>
      </c>
      <c r="D35" s="932" t="str">
        <f>VLOOKUP($C35,Table1[#All],2,0)</f>
        <v>BWID BINH DUONG</v>
      </c>
      <c r="E35" s="932" t="s">
        <v>91</v>
      </c>
      <c r="F35" s="998" t="s">
        <v>80</v>
      </c>
      <c r="G35" s="932" t="s">
        <v>310</v>
      </c>
      <c r="H35" s="932" t="str">
        <f>VLOOKUP($C35,Table1[#All],3,0)</f>
        <v>BWID JSC</v>
      </c>
      <c r="I35" s="932" t="str" cm="1">
        <f t="array" ref="I35">_xlfn.XLOOKUP(Acc_Char!$E35,Table4[[#All],[Branch]],Table4[[#All],[Bank]],"recheck",0)</f>
        <v>VIETCOMBANK - HCM</v>
      </c>
    </row>
    <row r="36" spans="1:9">
      <c r="A36" s="998">
        <f t="shared" si="0"/>
        <v>35</v>
      </c>
      <c r="B36" s="1002" t="s">
        <v>478</v>
      </c>
      <c r="C36" s="1003" t="s">
        <v>389</v>
      </c>
      <c r="D36" s="999" t="str">
        <f>VLOOKUP($C36,Table1[#All],2,0)</f>
        <v>BWID BINH DUONG</v>
      </c>
      <c r="E36" s="999" t="s">
        <v>85</v>
      </c>
      <c r="F36" s="1093" t="s">
        <v>80</v>
      </c>
      <c r="G36" s="999" t="s">
        <v>308</v>
      </c>
      <c r="H36" s="999" t="str">
        <f>VLOOKUP($C36,Table1[#All],3,0)</f>
        <v>BWID JSC</v>
      </c>
      <c r="I36" s="999" t="str" cm="1">
        <f t="array" ref="I36">_xlfn.XLOOKUP(Acc_Char!$E36,Table4[[#All],[Branch]],Table4[[#All],[Bank]],"recheck",0)</f>
        <v>VIETINBANK - TIEN SON</v>
      </c>
    </row>
    <row r="37" spans="1:9">
      <c r="A37" s="998">
        <f t="shared" si="0"/>
        <v>36</v>
      </c>
      <c r="B37" s="1098" t="s">
        <v>2911</v>
      </c>
      <c r="C37" s="1000" t="s">
        <v>389</v>
      </c>
      <c r="D37" s="932" t="str">
        <f>VLOOKUP($C37,Table1[#All],2,0)</f>
        <v>BWID BINH DUONG</v>
      </c>
      <c r="E37" s="932" t="s">
        <v>85</v>
      </c>
      <c r="F37" s="998" t="s">
        <v>80</v>
      </c>
      <c r="G37" s="932" t="s">
        <v>310</v>
      </c>
      <c r="H37" s="932" t="str">
        <f>VLOOKUP($C37,Table1[#All],3,0)</f>
        <v>BWID JSC</v>
      </c>
      <c r="I37" s="932" t="str" cm="1">
        <f t="array" ref="I37">_xlfn.XLOOKUP(Acc_Char!$E37,Table4[[#All],[Branch]],Table4[[#All],[Bank]],"recheck",0)</f>
        <v>VIETINBANK - TIEN SON</v>
      </c>
    </row>
    <row r="38" spans="1:9">
      <c r="A38" s="998">
        <f t="shared" si="0"/>
        <v>37</v>
      </c>
      <c r="B38" s="1097" t="s">
        <v>2912</v>
      </c>
      <c r="C38" s="1003" t="s">
        <v>389</v>
      </c>
      <c r="D38" s="999" t="str">
        <f>VLOOKUP($C38,Table1[#All],2,0)</f>
        <v>BWID BINH DUONG</v>
      </c>
      <c r="E38" s="999" t="s">
        <v>85</v>
      </c>
      <c r="F38" s="1093" t="s">
        <v>80</v>
      </c>
      <c r="G38" s="999" t="s">
        <v>310</v>
      </c>
      <c r="H38" s="999" t="str">
        <f>VLOOKUP($C38,Table1[#All],3,0)</f>
        <v>BWID JSC</v>
      </c>
      <c r="I38" s="999" t="str" cm="1">
        <f t="array" ref="I38">_xlfn.XLOOKUP(Acc_Char!$E38,Table4[[#All],[Branch]],Table4[[#All],[Bank]],"recheck",0)</f>
        <v>VIETINBANK - TIEN SON</v>
      </c>
    </row>
    <row r="39" spans="1:9">
      <c r="A39" s="998">
        <f t="shared" si="0"/>
        <v>38</v>
      </c>
      <c r="B39" s="1098" t="s">
        <v>2913</v>
      </c>
      <c r="C39" s="1000" t="s">
        <v>389</v>
      </c>
      <c r="D39" s="932" t="str">
        <f>VLOOKUP($C39,Table1[#All],2,0)</f>
        <v>BWID BINH DUONG</v>
      </c>
      <c r="E39" s="932" t="s">
        <v>85</v>
      </c>
      <c r="F39" s="998" t="s">
        <v>80</v>
      </c>
      <c r="G39" s="932" t="s">
        <v>310</v>
      </c>
      <c r="H39" s="932" t="str">
        <f>VLOOKUP($C39,Table1[#All],3,0)</f>
        <v>BWID JSC</v>
      </c>
      <c r="I39" s="932" t="str" cm="1">
        <f t="array" ref="I39">_xlfn.XLOOKUP(Acc_Char!$E39,Table4[[#All],[Branch]],Table4[[#All],[Bank]],"recheck",0)</f>
        <v>VIETINBANK - TIEN SON</v>
      </c>
    </row>
    <row r="40" spans="1:9">
      <c r="A40" s="998">
        <f t="shared" si="0"/>
        <v>39</v>
      </c>
      <c r="B40" s="1097" t="s">
        <v>2914</v>
      </c>
      <c r="C40" s="1003" t="s">
        <v>2915</v>
      </c>
      <c r="D40" s="999" t="str">
        <f>VLOOKUP($C40,Table1[#All],2,0)</f>
        <v>BW DINH VU</v>
      </c>
      <c r="E40" s="999" t="s">
        <v>85</v>
      </c>
      <c r="F40" s="1093" t="s">
        <v>81</v>
      </c>
      <c r="G40" s="999" t="s">
        <v>308</v>
      </c>
      <c r="H40" s="999" t="str">
        <f>VLOOKUP($C40,Table1[#All],3,0)</f>
        <v>Subsidiaries</v>
      </c>
      <c r="I40" s="999" t="str" cm="1">
        <f t="array" ref="I40">_xlfn.XLOOKUP(Acc_Char!$E219,Table4[[#All],[Branch]],Table4[[#All],[Bank]],"recheck",0)</f>
        <v>VIETINBANK - BINH DUONG + QM</v>
      </c>
    </row>
    <row r="41" spans="1:9">
      <c r="A41" s="998">
        <f t="shared" si="0"/>
        <v>40</v>
      </c>
      <c r="B41" s="1004" t="s">
        <v>481</v>
      </c>
      <c r="C41" s="1000" t="s">
        <v>389</v>
      </c>
      <c r="D41" s="932" t="str">
        <f>VLOOKUP($C41,Table1[#All],2,0)</f>
        <v>BWID BINH DUONG</v>
      </c>
      <c r="E41" s="932" t="s">
        <v>153</v>
      </c>
      <c r="F41" s="998" t="s">
        <v>80</v>
      </c>
      <c r="G41" s="932" t="s">
        <v>308</v>
      </c>
      <c r="H41" s="932" t="str">
        <f>VLOOKUP($C41,Table1[#All],3,0)</f>
        <v>BWID JSC</v>
      </c>
      <c r="I41" s="932" t="str" cm="1">
        <f t="array" ref="I41">_xlfn.XLOOKUP(Acc_Char!$E41,Table4[[#All],[Branch]],Table4[[#All],[Bank]],"recheck",0)</f>
        <v>VIETINBANK - BINH DUONG + QM</v>
      </c>
    </row>
    <row r="42" spans="1:9">
      <c r="A42" s="998">
        <f t="shared" si="0"/>
        <v>41</v>
      </c>
      <c r="B42" s="1098" t="s">
        <v>588</v>
      </c>
      <c r="C42" s="1000" t="s">
        <v>67</v>
      </c>
      <c r="D42" s="932" t="str">
        <f>VLOOKUP($C42,Table1[#All],2,0)</f>
        <v>SAO HOA</v>
      </c>
      <c r="E42" s="932" t="s">
        <v>85</v>
      </c>
      <c r="F42" s="998" t="s">
        <v>81</v>
      </c>
      <c r="G42" s="932" t="s">
        <v>308</v>
      </c>
      <c r="H42" s="932" t="str">
        <f>VLOOKUP($C42,Table1[#All],3,0)</f>
        <v>VC3</v>
      </c>
      <c r="I42" s="932" t="str" cm="1">
        <f t="array" ref="I42">_xlfn.XLOOKUP(Acc_Char!$E297,Table4[[#All],[Branch]],Table4[[#All],[Bank]],"recheck",0)</f>
        <v>VIETINBANK - CN1</v>
      </c>
    </row>
    <row r="43" spans="1:9">
      <c r="A43" s="998">
        <f t="shared" si="0"/>
        <v>42</v>
      </c>
      <c r="B43" s="1098" t="s">
        <v>2916</v>
      </c>
      <c r="C43" s="1000" t="s">
        <v>389</v>
      </c>
      <c r="D43" s="932" t="str">
        <f>VLOOKUP($C43,Table1[#All],2,0)</f>
        <v>BWID BINH DUONG</v>
      </c>
      <c r="E43" s="932" t="s">
        <v>153</v>
      </c>
      <c r="F43" s="998" t="s">
        <v>80</v>
      </c>
      <c r="G43" s="932" t="s">
        <v>310</v>
      </c>
      <c r="H43" s="932" t="str">
        <f>VLOOKUP($C43,Table1[#All],3,0)</f>
        <v>BWID JSC</v>
      </c>
      <c r="I43" s="932" t="str" cm="1">
        <f t="array" ref="I43">_xlfn.XLOOKUP(Acc_Char!$E43,Table4[[#All],[Branch]],Table4[[#All],[Bank]],"recheck",0)</f>
        <v>VIETINBANK - BINH DUONG + QM</v>
      </c>
    </row>
    <row r="44" spans="1:9">
      <c r="A44" s="998">
        <f t="shared" si="0"/>
        <v>43</v>
      </c>
      <c r="B44" s="1097" t="s">
        <v>2917</v>
      </c>
      <c r="C44" s="1003" t="s">
        <v>389</v>
      </c>
      <c r="D44" s="999" t="str">
        <f>VLOOKUP($C44,Table1[#All],2,0)</f>
        <v>BWID BINH DUONG</v>
      </c>
      <c r="E44" s="999" t="s">
        <v>153</v>
      </c>
      <c r="F44" s="1093" t="s">
        <v>80</v>
      </c>
      <c r="G44" s="999" t="s">
        <v>310</v>
      </c>
      <c r="H44" s="999" t="str">
        <f>VLOOKUP($C44,Table1[#All],3,0)</f>
        <v>BWID JSC</v>
      </c>
      <c r="I44" s="999" t="str" cm="1">
        <f t="array" ref="I44">_xlfn.XLOOKUP(Acc_Char!$E44,Table4[[#All],[Branch]],Table4[[#All],[Bank]],"recheck",0)</f>
        <v>VIETINBANK - BINH DUONG + QM</v>
      </c>
    </row>
    <row r="45" spans="1:9">
      <c r="A45" s="998">
        <f t="shared" si="0"/>
        <v>44</v>
      </c>
      <c r="B45" s="1098" t="s">
        <v>2918</v>
      </c>
      <c r="C45" s="1000" t="s">
        <v>389</v>
      </c>
      <c r="D45" s="932" t="str">
        <f>VLOOKUP($C45,Table1[#All],2,0)</f>
        <v>BWID BINH DUONG</v>
      </c>
      <c r="E45" s="932" t="s">
        <v>153</v>
      </c>
      <c r="F45" s="998" t="s">
        <v>80</v>
      </c>
      <c r="G45" s="932" t="s">
        <v>310</v>
      </c>
      <c r="H45" s="932" t="str">
        <f>VLOOKUP($C45,Table1[#All],3,0)</f>
        <v>BWID JSC</v>
      </c>
      <c r="I45" s="932" t="str" cm="1">
        <f t="array" ref="I45">_xlfn.XLOOKUP(Acc_Char!$E45,Table4[[#All],[Branch]],Table4[[#All],[Bank]],"recheck",0)</f>
        <v>VIETINBANK - BINH DUONG + QM</v>
      </c>
    </row>
    <row r="46" spans="1:9">
      <c r="A46" s="998">
        <f t="shared" si="0"/>
        <v>45</v>
      </c>
      <c r="B46" s="1097" t="s">
        <v>2919</v>
      </c>
      <c r="C46" s="1003" t="s">
        <v>389</v>
      </c>
      <c r="D46" s="999" t="str">
        <f>VLOOKUP($C46,Table1[#All],2,0)</f>
        <v>BWID BINH DUONG</v>
      </c>
      <c r="E46" s="999" t="s">
        <v>153</v>
      </c>
      <c r="F46" s="1093" t="s">
        <v>80</v>
      </c>
      <c r="G46" s="999" t="s">
        <v>310</v>
      </c>
      <c r="H46" s="999" t="str">
        <f>VLOOKUP($C46,Table1[#All],3,0)</f>
        <v>BWID JSC</v>
      </c>
      <c r="I46" s="999" t="str" cm="1">
        <f t="array" ref="I46">_xlfn.XLOOKUP(Acc_Char!$E46,Table4[[#All],[Branch]],Table4[[#All],[Bank]],"recheck",0)</f>
        <v>VIETINBANK - BINH DUONG + QM</v>
      </c>
    </row>
    <row r="47" spans="1:9">
      <c r="A47" s="998">
        <f t="shared" si="0"/>
        <v>46</v>
      </c>
      <c r="B47" s="1004" t="s">
        <v>2920</v>
      </c>
      <c r="C47" s="1000" t="s">
        <v>389</v>
      </c>
      <c r="D47" s="932" t="str">
        <f>VLOOKUP($C47,Table1[#All],2,0)</f>
        <v>BWID BINH DUONG</v>
      </c>
      <c r="E47" s="932" t="s">
        <v>153</v>
      </c>
      <c r="F47" s="998" t="s">
        <v>80</v>
      </c>
      <c r="G47" s="932" t="s">
        <v>310</v>
      </c>
      <c r="H47" s="932" t="str">
        <f>VLOOKUP($C47,Table1[#All],3,0)</f>
        <v>BWID JSC</v>
      </c>
      <c r="I47" s="932" t="str" cm="1">
        <f t="array" ref="I47">_xlfn.XLOOKUP(Acc_Char!$E47,Table4[[#All],[Branch]],Table4[[#All],[Bank]],"recheck",0)</f>
        <v>VIETINBANK - BINH DUONG + QM</v>
      </c>
    </row>
    <row r="48" spans="1:9">
      <c r="A48" s="998">
        <f t="shared" si="0"/>
        <v>47</v>
      </c>
      <c r="B48" s="1097" t="s">
        <v>2920</v>
      </c>
      <c r="C48" s="1003" t="s">
        <v>389</v>
      </c>
      <c r="D48" s="999" t="str">
        <f>VLOOKUP($C48,Table1[#All],2,0)</f>
        <v>BWID BINH DUONG</v>
      </c>
      <c r="E48" s="999" t="s">
        <v>153</v>
      </c>
      <c r="F48" s="1093" t="s">
        <v>80</v>
      </c>
      <c r="G48" s="999" t="s">
        <v>310</v>
      </c>
      <c r="H48" s="999" t="str">
        <f>VLOOKUP($C48,Table1[#All],3,0)</f>
        <v>BWID JSC</v>
      </c>
      <c r="I48" s="999" t="str" cm="1">
        <f t="array" ref="I48">_xlfn.XLOOKUP(Acc_Char!$E48,Table4[[#All],[Branch]],Table4[[#All],[Bank]],"recheck",0)</f>
        <v>VIETINBANK - BINH DUONG + QM</v>
      </c>
    </row>
    <row r="49" spans="1:9">
      <c r="A49" s="998">
        <f t="shared" si="0"/>
        <v>48</v>
      </c>
      <c r="B49" s="1098" t="s">
        <v>2921</v>
      </c>
      <c r="C49" s="1000" t="s">
        <v>389</v>
      </c>
      <c r="D49" s="932" t="str">
        <f>VLOOKUP($C49,Table1[#All],2,0)</f>
        <v>BWID BINH DUONG</v>
      </c>
      <c r="E49" s="932" t="s">
        <v>153</v>
      </c>
      <c r="F49" s="998" t="s">
        <v>80</v>
      </c>
      <c r="G49" s="932" t="s">
        <v>310</v>
      </c>
      <c r="H49" s="932" t="str">
        <f>VLOOKUP($C49,Table1[#All],3,0)</f>
        <v>BWID JSC</v>
      </c>
      <c r="I49" s="932" t="str" cm="1">
        <f t="array" ref="I49">_xlfn.XLOOKUP(Acc_Char!$E49,Table4[[#All],[Branch]],Table4[[#All],[Bank]],"recheck",0)</f>
        <v>VIETINBANK - BINH DUONG + QM</v>
      </c>
    </row>
    <row r="50" spans="1:9">
      <c r="A50" s="998">
        <f t="shared" si="0"/>
        <v>49</v>
      </c>
      <c r="B50" s="1097" t="s">
        <v>2922</v>
      </c>
      <c r="C50" s="1003" t="s">
        <v>389</v>
      </c>
      <c r="D50" s="999" t="str">
        <f>VLOOKUP($C50,Table1[#All],2,0)</f>
        <v>BWID BINH DUONG</v>
      </c>
      <c r="E50" s="999" t="s">
        <v>153</v>
      </c>
      <c r="F50" s="1093" t="s">
        <v>80</v>
      </c>
      <c r="G50" s="999" t="s">
        <v>310</v>
      </c>
      <c r="H50" s="999" t="str">
        <f>VLOOKUP($C50,Table1[#All],3,0)</f>
        <v>BWID JSC</v>
      </c>
      <c r="I50" s="999" t="str" cm="1">
        <f t="array" ref="I50">_xlfn.XLOOKUP(Acc_Char!$E50,Table4[[#All],[Branch]],Table4[[#All],[Bank]],"recheck",0)</f>
        <v>VIETINBANK - BINH DUONG + QM</v>
      </c>
    </row>
    <row r="51" spans="1:9">
      <c r="A51" s="998">
        <f t="shared" si="0"/>
        <v>50</v>
      </c>
      <c r="B51" s="1098" t="s">
        <v>2923</v>
      </c>
      <c r="C51" s="1000" t="s">
        <v>389</v>
      </c>
      <c r="D51" s="932" t="str">
        <f>VLOOKUP($C51,Table1[#All],2,0)</f>
        <v>BWID BINH DUONG</v>
      </c>
      <c r="E51" s="932" t="s">
        <v>153</v>
      </c>
      <c r="F51" s="998" t="s">
        <v>80</v>
      </c>
      <c r="G51" s="932" t="s">
        <v>310</v>
      </c>
      <c r="H51" s="932" t="str">
        <f>VLOOKUP($C51,Table1[#All],3,0)</f>
        <v>BWID JSC</v>
      </c>
      <c r="I51" s="932" t="str" cm="1">
        <f t="array" ref="I51">_xlfn.XLOOKUP(Acc_Char!$E51,Table4[[#All],[Branch]],Table4[[#All],[Bank]],"recheck",0)</f>
        <v>VIETINBANK - BINH DUONG + QM</v>
      </c>
    </row>
    <row r="52" spans="1:9">
      <c r="A52" s="998">
        <f t="shared" si="0"/>
        <v>51</v>
      </c>
      <c r="B52" s="1097" t="s">
        <v>2924</v>
      </c>
      <c r="C52" s="1003" t="s">
        <v>389</v>
      </c>
      <c r="D52" s="999" t="str">
        <f>VLOOKUP($C52,Table1[#All],2,0)</f>
        <v>BWID BINH DUONG</v>
      </c>
      <c r="E52" s="999" t="s">
        <v>153</v>
      </c>
      <c r="F52" s="1093" t="s">
        <v>80</v>
      </c>
      <c r="G52" s="999" t="s">
        <v>310</v>
      </c>
      <c r="H52" s="999" t="str">
        <f>VLOOKUP($C52,Table1[#All],3,0)</f>
        <v>BWID JSC</v>
      </c>
      <c r="I52" s="999" t="str" cm="1">
        <f t="array" ref="I52">_xlfn.XLOOKUP(Acc_Char!$E52,Table4[[#All],[Branch]],Table4[[#All],[Bank]],"recheck",0)</f>
        <v>VIETINBANK - BINH DUONG + QM</v>
      </c>
    </row>
    <row r="53" spans="1:9">
      <c r="A53" s="998">
        <f t="shared" si="0"/>
        <v>52</v>
      </c>
      <c r="B53" s="1004" t="s">
        <v>483</v>
      </c>
      <c r="C53" s="1000" t="s">
        <v>389</v>
      </c>
      <c r="D53" s="932" t="str">
        <f>VLOOKUP($C53,Table1[#All],2,0)</f>
        <v>BWID BINH DUONG</v>
      </c>
      <c r="E53" s="932" t="s">
        <v>155</v>
      </c>
      <c r="F53" s="998" t="s">
        <v>80</v>
      </c>
      <c r="G53" s="932" t="s">
        <v>308</v>
      </c>
      <c r="H53" s="932" t="str">
        <f>VLOOKUP($C53,Table1[#All],3,0)</f>
        <v>BWID JSC</v>
      </c>
      <c r="I53" s="932" t="str" cm="1">
        <f t="array" ref="I53">_xlfn.XLOOKUP(Acc_Char!$E53,Table4[[#All],[Branch]],Table4[[#All],[Bank]],"recheck",0)</f>
        <v>VIETINBANK - BINH DUONG + QM</v>
      </c>
    </row>
    <row r="54" spans="1:9">
      <c r="A54" s="998">
        <f t="shared" si="0"/>
        <v>53</v>
      </c>
      <c r="B54" s="1098" t="s">
        <v>622</v>
      </c>
      <c r="C54" s="1000" t="s">
        <v>620</v>
      </c>
      <c r="D54" s="932" t="str">
        <f>VLOOKUP($C54,Table1[#All],2,0)</f>
        <v>SPV4A</v>
      </c>
      <c r="E54" s="932" t="s">
        <v>85</v>
      </c>
      <c r="F54" s="998" t="s">
        <v>81</v>
      </c>
      <c r="G54" s="932" t="s">
        <v>308</v>
      </c>
      <c r="H54" s="932" t="str">
        <f>VLOOKUP($C54,Table1[#All],3,0)</f>
        <v>Subsidiaries</v>
      </c>
      <c r="I54" s="932" t="str" cm="1">
        <f t="array" ref="I54">_xlfn.XLOOKUP(Acc_Char!$E388,Table4[[#All],[Branch]],Table4[[#All],[Bank]],"recheck",0)</f>
        <v>VIETCOMBANK - HCM</v>
      </c>
    </row>
    <row r="55" spans="1:9">
      <c r="A55" s="998">
        <f t="shared" si="0"/>
        <v>54</v>
      </c>
      <c r="B55" s="1098" t="s">
        <v>2925</v>
      </c>
      <c r="C55" s="1000" t="s">
        <v>389</v>
      </c>
      <c r="D55" s="932" t="str">
        <f>VLOOKUP($C55,Table1[#All],2,0)</f>
        <v>BWID BINH DUONG</v>
      </c>
      <c r="E55" s="932" t="s">
        <v>155</v>
      </c>
      <c r="F55" s="998" t="s">
        <v>80</v>
      </c>
      <c r="G55" s="932" t="s">
        <v>310</v>
      </c>
      <c r="H55" s="932" t="str">
        <f>VLOOKUP($C55,Table1[#All],3,0)</f>
        <v>BWID JSC</v>
      </c>
      <c r="I55" s="932" t="str" cm="1">
        <f t="array" ref="I55">_xlfn.XLOOKUP(Acc_Char!$E55,Table4[[#All],[Branch]],Table4[[#All],[Bank]],"recheck",0)</f>
        <v>VIETINBANK - BINH DUONG + QM</v>
      </c>
    </row>
    <row r="56" spans="1:9">
      <c r="A56" s="998">
        <f t="shared" si="0"/>
        <v>55</v>
      </c>
      <c r="B56" s="1097" t="s">
        <v>2926</v>
      </c>
      <c r="C56" s="1003" t="s">
        <v>389</v>
      </c>
      <c r="D56" s="999" t="str">
        <f>VLOOKUP($C56,Table1[#All],2,0)</f>
        <v>BWID BINH DUONG</v>
      </c>
      <c r="E56" s="999" t="s">
        <v>155</v>
      </c>
      <c r="F56" s="1093" t="s">
        <v>80</v>
      </c>
      <c r="G56" s="999" t="s">
        <v>310</v>
      </c>
      <c r="H56" s="999" t="str">
        <f>VLOOKUP($C56,Table1[#All],3,0)</f>
        <v>BWID JSC</v>
      </c>
      <c r="I56" s="999" t="str" cm="1">
        <f t="array" ref="I56">_xlfn.XLOOKUP(Acc_Char!$E56,Table4[[#All],[Branch]],Table4[[#All],[Bank]],"recheck",0)</f>
        <v>VIETINBANK - BINH DUONG + QM</v>
      </c>
    </row>
    <row r="57" spans="1:9">
      <c r="A57" s="998">
        <f t="shared" si="0"/>
        <v>56</v>
      </c>
      <c r="B57" s="1098" t="s">
        <v>2927</v>
      </c>
      <c r="C57" s="1000" t="s">
        <v>389</v>
      </c>
      <c r="D57" s="932" t="str">
        <f>VLOOKUP($C57,Table1[#All],2,0)</f>
        <v>BWID BINH DUONG</v>
      </c>
      <c r="E57" s="932" t="s">
        <v>155</v>
      </c>
      <c r="F57" s="998" t="s">
        <v>80</v>
      </c>
      <c r="G57" s="932" t="s">
        <v>310</v>
      </c>
      <c r="H57" s="932" t="str">
        <f>VLOOKUP($C57,Table1[#All],3,0)</f>
        <v>BWID JSC</v>
      </c>
      <c r="I57" s="932" t="str" cm="1">
        <f t="array" ref="I57">_xlfn.XLOOKUP(Acc_Char!$E57,Table4[[#All],[Branch]],Table4[[#All],[Bank]],"recheck",0)</f>
        <v>VIETINBANK - BINH DUONG + QM</v>
      </c>
    </row>
    <row r="58" spans="1:9">
      <c r="A58" s="998">
        <f t="shared" si="0"/>
        <v>57</v>
      </c>
      <c r="B58" s="1097" t="s">
        <v>2928</v>
      </c>
      <c r="C58" s="1003" t="s">
        <v>389</v>
      </c>
      <c r="D58" s="999" t="str">
        <f>VLOOKUP($C58,Table1[#All],2,0)</f>
        <v>BWID BINH DUONG</v>
      </c>
      <c r="E58" s="999" t="s">
        <v>88</v>
      </c>
      <c r="F58" s="1093" t="s">
        <v>80</v>
      </c>
      <c r="G58" s="999" t="s">
        <v>308</v>
      </c>
      <c r="H58" s="999" t="str">
        <f>VLOOKUP($C58,Table1[#All],3,0)</f>
        <v>BWID JSC</v>
      </c>
      <c r="I58" s="999" t="str" cm="1">
        <f t="array" ref="I58">_xlfn.XLOOKUP(Acc_Char!$E58,Table4[[#All],[Branch]],Table4[[#All],[Bank]],"recheck",0)</f>
        <v>VIETINBANK - DONG SAI GON</v>
      </c>
    </row>
    <row r="59" spans="1:9">
      <c r="A59" s="998">
        <f t="shared" si="0"/>
        <v>58</v>
      </c>
      <c r="B59" s="1098" t="s">
        <v>628</v>
      </c>
      <c r="C59" s="1000" t="s">
        <v>626</v>
      </c>
      <c r="D59" s="932" t="str">
        <f>VLOOKUP($C59,Table1[#All],2,0)</f>
        <v>SPV4C</v>
      </c>
      <c r="E59" s="932" t="s">
        <v>85</v>
      </c>
      <c r="F59" s="998" t="s">
        <v>81</v>
      </c>
      <c r="G59" s="932" t="s">
        <v>308</v>
      </c>
      <c r="H59" s="932" t="str">
        <f>VLOOKUP($C59,Table1[#All],3,0)</f>
        <v>Subsidiaries</v>
      </c>
      <c r="I59" s="932" t="str" cm="1">
        <f t="array" ref="I59">_xlfn.XLOOKUP(Acc_Char!$E392,Table4[[#All],[Branch]],Table4[[#All],[Bank]],"recheck",0)</f>
        <v>VIETCOMBANK - HCM</v>
      </c>
    </row>
    <row r="60" spans="1:9">
      <c r="A60" s="998">
        <f t="shared" si="0"/>
        <v>59</v>
      </c>
      <c r="B60" s="1097" t="s">
        <v>2929</v>
      </c>
      <c r="C60" s="1003" t="s">
        <v>389</v>
      </c>
      <c r="D60" s="999" t="str">
        <f>VLOOKUP($C60,Table1[#All],2,0)</f>
        <v>BWID BINH DUONG</v>
      </c>
      <c r="E60" s="999" t="s">
        <v>88</v>
      </c>
      <c r="F60" s="1093" t="s">
        <v>81</v>
      </c>
      <c r="G60" s="999" t="s">
        <v>310</v>
      </c>
      <c r="H60" s="999" t="str">
        <f>VLOOKUP($C60,Table1[#All],3,0)</f>
        <v>BWID JSC</v>
      </c>
      <c r="I60" s="999" t="str" cm="1">
        <f t="array" ref="I60">_xlfn.XLOOKUP(Acc_Char!$E60,Table4[[#All],[Branch]],Table4[[#All],[Bank]],"recheck",0)</f>
        <v>VIETINBANK - DONG SAI GON</v>
      </c>
    </row>
    <row r="61" spans="1:9">
      <c r="A61" s="998">
        <f t="shared" si="0"/>
        <v>60</v>
      </c>
      <c r="B61" s="1098" t="s">
        <v>2930</v>
      </c>
      <c r="C61" s="1000" t="s">
        <v>389</v>
      </c>
      <c r="D61" s="932" t="str">
        <f>VLOOKUP($C61,Table1[#All],2,0)</f>
        <v>BWID BINH DUONG</v>
      </c>
      <c r="E61" s="932" t="s">
        <v>88</v>
      </c>
      <c r="F61" s="998" t="s">
        <v>80</v>
      </c>
      <c r="G61" s="932" t="s">
        <v>2910</v>
      </c>
      <c r="H61" s="932" t="str">
        <f>VLOOKUP($C61,Table1[#All],3,0)</f>
        <v>BWID JSC</v>
      </c>
      <c r="I61" s="932" t="str" cm="1">
        <f t="array" ref="I61">_xlfn.XLOOKUP(Acc_Char!$E61,Table4[[#All],[Branch]],Table4[[#All],[Bank]],"recheck",0)</f>
        <v>VIETINBANK - DONG SAI GON</v>
      </c>
    </row>
    <row r="62" spans="1:9">
      <c r="A62" s="998">
        <f t="shared" si="0"/>
        <v>61</v>
      </c>
      <c r="B62" s="1097" t="s">
        <v>2931</v>
      </c>
      <c r="C62" s="1003" t="s">
        <v>389</v>
      </c>
      <c r="D62" s="999" t="str">
        <f>VLOOKUP($C62,Table1[#All],2,0)</f>
        <v>BWID BINH DUONG</v>
      </c>
      <c r="E62" s="999" t="s">
        <v>88</v>
      </c>
      <c r="F62" s="1093" t="s">
        <v>80</v>
      </c>
      <c r="G62" s="999" t="s">
        <v>2910</v>
      </c>
      <c r="H62" s="999" t="str">
        <f>VLOOKUP($C62,Table1[#All],3,0)</f>
        <v>BWID JSC</v>
      </c>
      <c r="I62" s="999" t="str" cm="1">
        <f t="array" ref="I62">_xlfn.XLOOKUP(Acc_Char!$E62,Table4[[#All],[Branch]],Table4[[#All],[Bank]],"recheck",0)</f>
        <v>VIETINBANK - DONG SAI GON</v>
      </c>
    </row>
    <row r="63" spans="1:9">
      <c r="A63" s="998">
        <f t="shared" si="0"/>
        <v>62</v>
      </c>
      <c r="B63" s="1098" t="s">
        <v>486</v>
      </c>
      <c r="C63" s="1000" t="s">
        <v>389</v>
      </c>
      <c r="D63" s="932" t="str">
        <f>VLOOKUP($C63,Table1[#All],2,0)</f>
        <v>BWID BINH DUONG</v>
      </c>
      <c r="E63" s="932" t="s">
        <v>86</v>
      </c>
      <c r="F63" s="998" t="s">
        <v>80</v>
      </c>
      <c r="G63" s="932" t="s">
        <v>308</v>
      </c>
      <c r="H63" s="932" t="str">
        <f>VLOOKUP($C63,Table1[#All],3,0)</f>
        <v>BWID JSC</v>
      </c>
      <c r="I63" s="932" t="str" cm="1">
        <f t="array" ref="I63">_xlfn.XLOOKUP(Acc_Char!$E63,Table4[[#All],[Branch]],Table4[[#All],[Bank]],"recheck",0)</f>
        <v>VIETINBANK - CN1</v>
      </c>
    </row>
    <row r="64" spans="1:9">
      <c r="A64" s="998">
        <f t="shared" si="0"/>
        <v>63</v>
      </c>
      <c r="B64" s="1097" t="s">
        <v>2932</v>
      </c>
      <c r="C64" s="1003" t="s">
        <v>389</v>
      </c>
      <c r="D64" s="999" t="str">
        <f>VLOOKUP($C64,Table1[#All],2,0)</f>
        <v>BWID BINH DUONG</v>
      </c>
      <c r="E64" s="999" t="s">
        <v>86</v>
      </c>
      <c r="F64" s="1093" t="s">
        <v>80</v>
      </c>
      <c r="G64" s="999" t="s">
        <v>308</v>
      </c>
      <c r="H64" s="999" t="str">
        <f>VLOOKUP($C64,Table1[#All],3,0)</f>
        <v>BWID JSC</v>
      </c>
      <c r="I64" s="999" t="str" cm="1">
        <f t="array" ref="I64">_xlfn.XLOOKUP(Acc_Char!$E64,Table4[[#All],[Branch]],Table4[[#All],[Bank]],"recheck",0)</f>
        <v>VIETINBANK - CN1</v>
      </c>
    </row>
    <row r="65" spans="1:9">
      <c r="A65" s="998">
        <f t="shared" si="0"/>
        <v>64</v>
      </c>
      <c r="B65" s="1098" t="s">
        <v>2933</v>
      </c>
      <c r="C65" s="1000" t="s">
        <v>389</v>
      </c>
      <c r="D65" s="932" t="str">
        <f>VLOOKUP($C65,Table1[#All],2,0)</f>
        <v>BWID BINH DUONG</v>
      </c>
      <c r="E65" s="932" t="s">
        <v>86</v>
      </c>
      <c r="F65" s="998" t="s">
        <v>81</v>
      </c>
      <c r="G65" s="932" t="s">
        <v>310</v>
      </c>
      <c r="H65" s="932" t="str">
        <f>VLOOKUP($C65,Table1[#All],3,0)</f>
        <v>BWID JSC</v>
      </c>
      <c r="I65" s="932" t="str" cm="1">
        <f t="array" ref="I65">_xlfn.XLOOKUP(Acc_Char!$E65,Table4[[#All],[Branch]],Table4[[#All],[Bank]],"recheck",0)</f>
        <v>VIETINBANK - CN1</v>
      </c>
    </row>
    <row r="66" spans="1:9">
      <c r="A66" s="998">
        <f t="shared" si="0"/>
        <v>65</v>
      </c>
      <c r="B66" s="1097" t="s">
        <v>2934</v>
      </c>
      <c r="C66" s="1003" t="s">
        <v>389</v>
      </c>
      <c r="D66" s="999" t="str">
        <f>VLOOKUP($C66,Table1[#All],2,0)</f>
        <v>BWID BINH DUONG</v>
      </c>
      <c r="E66" s="999" t="s">
        <v>86</v>
      </c>
      <c r="F66" s="1093" t="s">
        <v>80</v>
      </c>
      <c r="G66" s="999" t="s">
        <v>310</v>
      </c>
      <c r="H66" s="999" t="str">
        <f>VLOOKUP($C66,Table1[#All],3,0)</f>
        <v>BWID JSC</v>
      </c>
      <c r="I66" s="999" t="str" cm="1">
        <f t="array" ref="I66">_xlfn.XLOOKUP(Acc_Char!$E66,Table4[[#All],[Branch]],Table4[[#All],[Bank]],"recheck",0)</f>
        <v>VIETINBANK - CN1</v>
      </c>
    </row>
    <row r="67" spans="1:9">
      <c r="A67" s="998">
        <f t="shared" ref="A67:A130" si="1">A66+1</f>
        <v>66</v>
      </c>
      <c r="B67" s="1098" t="s">
        <v>2935</v>
      </c>
      <c r="C67" s="1000" t="s">
        <v>389</v>
      </c>
      <c r="D67" s="932" t="str">
        <f>VLOOKUP($C67,Table1[#All],2,0)</f>
        <v>BWID BINH DUONG</v>
      </c>
      <c r="E67" s="932" t="s">
        <v>86</v>
      </c>
      <c r="F67" s="998" t="s">
        <v>80</v>
      </c>
      <c r="G67" s="932" t="s">
        <v>310</v>
      </c>
      <c r="H67" s="932" t="str">
        <f>VLOOKUP($C67,Table1[#All],3,0)</f>
        <v>BWID JSC</v>
      </c>
      <c r="I67" s="932" t="str" cm="1">
        <f t="array" ref="I67">_xlfn.XLOOKUP(Acc_Char!$E67,Table4[[#All],[Branch]],Table4[[#All],[Bank]],"recheck",0)</f>
        <v>VIETINBANK - CN1</v>
      </c>
    </row>
    <row r="68" spans="1:9">
      <c r="A68" s="998">
        <f t="shared" si="1"/>
        <v>67</v>
      </c>
      <c r="B68" s="1097" t="s">
        <v>2936</v>
      </c>
      <c r="C68" s="1003" t="s">
        <v>389</v>
      </c>
      <c r="D68" s="999" t="str">
        <f>VLOOKUP($C68,Table1[#All],2,0)</f>
        <v>BWID BINH DUONG</v>
      </c>
      <c r="E68" s="999" t="s">
        <v>86</v>
      </c>
      <c r="F68" s="1093" t="s">
        <v>80</v>
      </c>
      <c r="G68" s="999" t="s">
        <v>310</v>
      </c>
      <c r="H68" s="999" t="str">
        <f>VLOOKUP($C68,Table1[#All],3,0)</f>
        <v>BWID JSC</v>
      </c>
      <c r="I68" s="999" t="str" cm="1">
        <f t="array" ref="I68">_xlfn.XLOOKUP(Acc_Char!$E68,Table4[[#All],[Branch]],Table4[[#All],[Bank]],"recheck",0)</f>
        <v>VIETINBANK - CN1</v>
      </c>
    </row>
    <row r="69" spans="1:9">
      <c r="A69" s="998">
        <f t="shared" si="1"/>
        <v>68</v>
      </c>
      <c r="B69" s="1004" t="s">
        <v>488</v>
      </c>
      <c r="C69" s="1000" t="s">
        <v>389</v>
      </c>
      <c r="D69" s="932" t="str">
        <f>VLOOKUP($C69,Table1[#All],2,0)</f>
        <v>BWID BINH DUONG</v>
      </c>
      <c r="E69" s="932" t="s">
        <v>487</v>
      </c>
      <c r="F69" s="998" t="s">
        <v>80</v>
      </c>
      <c r="G69" s="932" t="s">
        <v>308</v>
      </c>
      <c r="H69" s="932" t="str">
        <f>VLOOKUP($C69,Table1[#All],3,0)</f>
        <v>BWID JSC</v>
      </c>
      <c r="I69" s="932" t="str" cm="1">
        <f t="array" ref="I69">_xlfn.XLOOKUP(Acc_Char!$E69,Table4[[#All],[Branch]],Table4[[#All],[Bank]],"recheck",0)</f>
        <v>OTHERS</v>
      </c>
    </row>
    <row r="70" spans="1:9">
      <c r="A70" s="998">
        <f t="shared" si="1"/>
        <v>69</v>
      </c>
      <c r="B70" s="1098" t="s">
        <v>632</v>
      </c>
      <c r="C70" s="1000" t="s">
        <v>630</v>
      </c>
      <c r="D70" s="932" t="str">
        <f>VLOOKUP($C70,Table1[#All],2,0)</f>
        <v>SPV4D</v>
      </c>
      <c r="E70" s="932" t="s">
        <v>85</v>
      </c>
      <c r="F70" s="998" t="s">
        <v>81</v>
      </c>
      <c r="G70" s="932" t="s">
        <v>308</v>
      </c>
      <c r="H70" s="932" t="str">
        <f>VLOOKUP($C70,Table1[#All],3,0)</f>
        <v>Subsidiaries</v>
      </c>
      <c r="I70" s="932" t="str" cm="1">
        <f t="array" ref="I70">_xlfn.XLOOKUP(Acc_Char!$E396,Table4[[#All],[Branch]],Table4[[#All],[Bank]],"recheck",0)</f>
        <v>OTHERS</v>
      </c>
    </row>
    <row r="71" spans="1:9">
      <c r="A71" s="998">
        <f t="shared" si="1"/>
        <v>70</v>
      </c>
      <c r="B71" s="1098" t="s">
        <v>2937</v>
      </c>
      <c r="C71" s="1000" t="s">
        <v>389</v>
      </c>
      <c r="D71" s="932" t="str">
        <f>VLOOKUP($C71,Table1[#All],2,0)</f>
        <v>BWID BINH DUONG</v>
      </c>
      <c r="E71" s="932" t="s">
        <v>97</v>
      </c>
      <c r="F71" s="998" t="s">
        <v>80</v>
      </c>
      <c r="G71" s="932" t="s">
        <v>308</v>
      </c>
      <c r="H71" s="932" t="str">
        <f>VLOOKUP($C71,Table1[#All],3,0)</f>
        <v>BWID JSC</v>
      </c>
      <c r="I71" s="932" t="str" cm="1">
        <f t="array" ref="I71">_xlfn.XLOOKUP(Acc_Char!$E71,Table4[[#All],[Branch]],Table4[[#All],[Bank]],"recheck",0)</f>
        <v>MB - BAC SAI GON</v>
      </c>
    </row>
    <row r="72" spans="1:9">
      <c r="A72" s="998">
        <f t="shared" si="1"/>
        <v>71</v>
      </c>
      <c r="B72" s="1097" t="s">
        <v>2938</v>
      </c>
      <c r="C72" s="1003" t="s">
        <v>389</v>
      </c>
      <c r="D72" s="999" t="str">
        <f>VLOOKUP($C72,Table1[#All],2,0)</f>
        <v>BWID BINH DUONG</v>
      </c>
      <c r="E72" s="999" t="s">
        <v>201</v>
      </c>
      <c r="F72" s="1093" t="s">
        <v>80</v>
      </c>
      <c r="G72" s="999" t="s">
        <v>308</v>
      </c>
      <c r="H72" s="999" t="str">
        <f>VLOOKUP($C72,Table1[#All],3,0)</f>
        <v>BWID JSC</v>
      </c>
      <c r="I72" s="999" t="str" cm="1">
        <f t="array" ref="I72">_xlfn.XLOOKUP(Acc_Char!$E72,Table4[[#All],[Branch]],Table4[[#All],[Bank]],"recheck",0)</f>
        <v>STANDARD CHARTERED</v>
      </c>
    </row>
    <row r="73" spans="1:9">
      <c r="A73" s="998">
        <f t="shared" si="1"/>
        <v>72</v>
      </c>
      <c r="B73" s="1098" t="s">
        <v>490</v>
      </c>
      <c r="C73" s="1000" t="s">
        <v>389</v>
      </c>
      <c r="D73" s="932" t="str">
        <f>VLOOKUP($C73,Table1[#All],2,0)</f>
        <v>BWID BINH DUONG</v>
      </c>
      <c r="E73" s="932" t="s">
        <v>96</v>
      </c>
      <c r="F73" s="998" t="s">
        <v>80</v>
      </c>
      <c r="G73" s="932" t="s">
        <v>308</v>
      </c>
      <c r="H73" s="932" t="str">
        <f>VLOOKUP($C73,Table1[#All],3,0)</f>
        <v>BWID JSC</v>
      </c>
      <c r="I73" s="932" t="str" cm="1">
        <f t="array" ref="I73">_xlfn.XLOOKUP(Acc_Char!$E73,Table4[[#All],[Branch]],Table4[[#All],[Bank]],"recheck",0)</f>
        <v>VIB - HOI SO</v>
      </c>
    </row>
    <row r="74" spans="1:9">
      <c r="A74" s="998">
        <f t="shared" si="1"/>
        <v>73</v>
      </c>
      <c r="B74" s="1097" t="s">
        <v>636</v>
      </c>
      <c r="C74" s="1003" t="s">
        <v>634</v>
      </c>
      <c r="D74" s="999" t="str">
        <f>VLOOKUP($C74,Table1[#All],2,0)</f>
        <v>SPV4E</v>
      </c>
      <c r="E74" s="999" t="s">
        <v>85</v>
      </c>
      <c r="F74" s="1093" t="s">
        <v>81</v>
      </c>
      <c r="G74" s="999" t="s">
        <v>308</v>
      </c>
      <c r="H74" s="999" t="str">
        <f>VLOOKUP($C74,Table1[#All],3,0)</f>
        <v>Subsidiaries</v>
      </c>
      <c r="I74" s="999" t="str" cm="1">
        <f t="array" ref="I74">_xlfn.XLOOKUP(Acc_Char!$E399,Table4[[#All],[Branch]],Table4[[#All],[Bank]],"recheck",0)</f>
        <v>VIETCOMBANK - BA DINH</v>
      </c>
    </row>
    <row r="75" spans="1:9">
      <c r="A75" s="998">
        <f t="shared" si="1"/>
        <v>74</v>
      </c>
      <c r="B75" s="1098" t="s">
        <v>2939</v>
      </c>
      <c r="C75" s="1000" t="s">
        <v>389</v>
      </c>
      <c r="D75" s="932" t="str">
        <f>VLOOKUP($C75,Table1[#All],2,0)</f>
        <v>BWID BINH DUONG</v>
      </c>
      <c r="E75" s="932" t="s">
        <v>96</v>
      </c>
      <c r="F75" s="998" t="s">
        <v>80</v>
      </c>
      <c r="G75" s="932" t="s">
        <v>310</v>
      </c>
      <c r="H75" s="932" t="str">
        <f>VLOOKUP($C75,Table1[#All],3,0)</f>
        <v>BWID JSC</v>
      </c>
      <c r="I75" s="932" t="str" cm="1">
        <f t="array" ref="I75">_xlfn.XLOOKUP(Acc_Char!$E75,Table4[[#All],[Branch]],Table4[[#All],[Bank]],"recheck",0)</f>
        <v>VIB - HOI SO</v>
      </c>
    </row>
    <row r="76" spans="1:9">
      <c r="A76" s="998">
        <f t="shared" si="1"/>
        <v>75</v>
      </c>
      <c r="B76" s="1097" t="s">
        <v>492</v>
      </c>
      <c r="C76" s="1003" t="s">
        <v>389</v>
      </c>
      <c r="D76" s="999" t="str">
        <f>VLOOKUP($C76,Table1[#All],2,0)</f>
        <v>BWID BINH DUONG</v>
      </c>
      <c r="E76" s="999" t="s">
        <v>338</v>
      </c>
      <c r="F76" s="1093" t="s">
        <v>80</v>
      </c>
      <c r="G76" s="999" t="s">
        <v>308</v>
      </c>
      <c r="H76" s="999" t="str">
        <f>VLOOKUP($C76,Table1[#All],3,0)</f>
        <v>BWID JSC</v>
      </c>
      <c r="I76" s="999" t="str" cm="1">
        <f t="array" ref="I76">_xlfn.XLOOKUP(Acc_Char!$E76,Table4[[#All],[Branch]],Table4[[#All],[Bank]],"recheck",0)</f>
        <v>TECHCOMBANK</v>
      </c>
    </row>
    <row r="77" spans="1:9">
      <c r="A77" s="998">
        <f t="shared" si="1"/>
        <v>76</v>
      </c>
      <c r="B77" s="1098" t="s">
        <v>493</v>
      </c>
      <c r="C77" s="1000" t="s">
        <v>389</v>
      </c>
      <c r="D77" s="932" t="str">
        <f>VLOOKUP($C77,Table1[#All],2,0)</f>
        <v>BWID BINH DUONG</v>
      </c>
      <c r="E77" s="932" t="s">
        <v>95</v>
      </c>
      <c r="F77" s="998" t="s">
        <v>80</v>
      </c>
      <c r="G77" s="932" t="s">
        <v>308</v>
      </c>
      <c r="H77" s="932" t="str">
        <f>VLOOKUP($C77,Table1[#All],3,0)</f>
        <v>BWID JSC</v>
      </c>
      <c r="I77" s="932" t="str" cm="1">
        <f t="array" ref="I77">_xlfn.XLOOKUP(Acc_Char!$E77,Table4[[#All],[Branch]],Table4[[#All],[Bank]],"recheck",0)</f>
        <v>OCB - BINH DUONG</v>
      </c>
    </row>
    <row r="78" spans="1:9">
      <c r="A78" s="998">
        <f t="shared" si="1"/>
        <v>77</v>
      </c>
      <c r="B78" s="1097" t="s">
        <v>2940</v>
      </c>
      <c r="C78" s="1003" t="s">
        <v>389</v>
      </c>
      <c r="D78" s="999" t="str">
        <f>VLOOKUP($C78,Table1[#All],2,0)</f>
        <v>BWID BINH DUONG</v>
      </c>
      <c r="E78" s="999" t="s">
        <v>95</v>
      </c>
      <c r="F78" s="1093" t="s">
        <v>80</v>
      </c>
      <c r="G78" s="999" t="s">
        <v>310</v>
      </c>
      <c r="H78" s="999" t="str">
        <f>VLOOKUP($C78,Table1[#All],3,0)</f>
        <v>BWID JSC</v>
      </c>
      <c r="I78" s="999" t="str" cm="1">
        <f t="array" ref="I78">_xlfn.XLOOKUP(Acc_Char!$E78,Table4[[#All],[Branch]],Table4[[#All],[Bank]],"recheck",0)</f>
        <v>OCB - BINH DUONG</v>
      </c>
    </row>
    <row r="79" spans="1:9">
      <c r="A79" s="998">
        <f t="shared" si="1"/>
        <v>78</v>
      </c>
      <c r="B79" s="1098" t="s">
        <v>2941</v>
      </c>
      <c r="C79" s="1000" t="s">
        <v>389</v>
      </c>
      <c r="D79" s="932" t="str">
        <f>VLOOKUP($C79,Table1[#All],2,0)</f>
        <v>BWID BINH DUONG</v>
      </c>
      <c r="E79" s="932" t="s">
        <v>95</v>
      </c>
      <c r="F79" s="998" t="s">
        <v>80</v>
      </c>
      <c r="G79" s="932" t="s">
        <v>310</v>
      </c>
      <c r="H79" s="932" t="str">
        <f>VLOOKUP($C79,Table1[#All],3,0)</f>
        <v>BWID JSC</v>
      </c>
      <c r="I79" s="932" t="str" cm="1">
        <f t="array" ref="I79">_xlfn.XLOOKUP(Acc_Char!$E79,Table4[[#All],[Branch]],Table4[[#All],[Bank]],"recheck",0)</f>
        <v>OCB - BINH DUONG</v>
      </c>
    </row>
    <row r="80" spans="1:9">
      <c r="A80" s="998">
        <f t="shared" si="1"/>
        <v>79</v>
      </c>
      <c r="B80" s="1097" t="s">
        <v>2942</v>
      </c>
      <c r="C80" s="1003" t="s">
        <v>389</v>
      </c>
      <c r="D80" s="999" t="str">
        <f>VLOOKUP($C80,Table1[#All],2,0)</f>
        <v>BWID BINH DUONG</v>
      </c>
      <c r="E80" s="999" t="s">
        <v>95</v>
      </c>
      <c r="F80" s="1093" t="s">
        <v>80</v>
      </c>
      <c r="G80" s="999" t="s">
        <v>310</v>
      </c>
      <c r="H80" s="999" t="str">
        <f>VLOOKUP($C80,Table1[#All],3,0)</f>
        <v>BWID JSC</v>
      </c>
      <c r="I80" s="999" t="str" cm="1">
        <f t="array" ref="I80">_xlfn.XLOOKUP(Acc_Char!$E80,Table4[[#All],[Branch]],Table4[[#All],[Bank]],"recheck",0)</f>
        <v>OCB - BINH DUONG</v>
      </c>
    </row>
    <row r="81" spans="1:9">
      <c r="A81" s="998">
        <f t="shared" si="1"/>
        <v>80</v>
      </c>
      <c r="B81" s="1098" t="s">
        <v>2943</v>
      </c>
      <c r="C81" s="1000" t="s">
        <v>389</v>
      </c>
      <c r="D81" s="932" t="str">
        <f>VLOOKUP($C81,Table1[#All],2,0)</f>
        <v>BWID BINH DUONG</v>
      </c>
      <c r="E81" s="932" t="s">
        <v>95</v>
      </c>
      <c r="F81" s="998" t="s">
        <v>80</v>
      </c>
      <c r="G81" s="932" t="s">
        <v>310</v>
      </c>
      <c r="H81" s="932" t="str">
        <f>VLOOKUP($C81,Table1[#All],3,0)</f>
        <v>BWID JSC</v>
      </c>
      <c r="I81" s="932" t="str" cm="1">
        <f t="array" ref="I81">_xlfn.XLOOKUP(Acc_Char!$E81,Table4[[#All],[Branch]],Table4[[#All],[Bank]],"recheck",0)</f>
        <v>OCB - BINH DUONG</v>
      </c>
    </row>
    <row r="82" spans="1:9">
      <c r="A82" s="998">
        <f t="shared" si="1"/>
        <v>81</v>
      </c>
      <c r="B82" s="1098" t="s">
        <v>640</v>
      </c>
      <c r="C82" s="1000" t="s">
        <v>638</v>
      </c>
      <c r="D82" s="932" t="str">
        <f>VLOOKUP($C82,Table1[#All],2,0)</f>
        <v>SPV5A</v>
      </c>
      <c r="E82" s="932" t="s">
        <v>85</v>
      </c>
      <c r="F82" s="998" t="s">
        <v>81</v>
      </c>
      <c r="G82" s="932" t="s">
        <v>308</v>
      </c>
      <c r="H82" s="932" t="str">
        <f>VLOOKUP($C82,Table1[#All],3,0)</f>
        <v>Subsidiaries</v>
      </c>
      <c r="I82" s="932" t="str" cm="1">
        <f t="array" ref="I82">_xlfn.XLOOKUP(Acc_Char!$E402,Table4[[#All],[Branch]],Table4[[#All],[Bank]],"recheck",0)</f>
        <v>VIETCOMBANK - BA DINH</v>
      </c>
    </row>
    <row r="83" spans="1:9">
      <c r="A83" s="998">
        <f t="shared" si="1"/>
        <v>82</v>
      </c>
      <c r="B83" s="1098" t="s">
        <v>495</v>
      </c>
      <c r="C83" s="1000" t="s">
        <v>389</v>
      </c>
      <c r="D83" s="932" t="str">
        <f>VLOOKUP($C83,Table1[#All],2,0)</f>
        <v>BWID BINH DUONG</v>
      </c>
      <c r="E83" s="932" t="s">
        <v>339</v>
      </c>
      <c r="F83" s="998" t="s">
        <v>80</v>
      </c>
      <c r="G83" s="932" t="s">
        <v>308</v>
      </c>
      <c r="H83" s="932" t="str">
        <f>VLOOKUP($C83,Table1[#All],3,0)</f>
        <v>BWID JSC</v>
      </c>
      <c r="I83" s="932" t="str" cm="1">
        <f t="array" ref="I83">_xlfn.XLOOKUP(Acc_Char!$E83,Table4[[#All],[Branch]],Table4[[#All],[Bank]],"recheck",0)</f>
        <v>ACB - HCM</v>
      </c>
    </row>
    <row r="84" spans="1:9">
      <c r="A84" s="998">
        <f t="shared" si="1"/>
        <v>83</v>
      </c>
      <c r="B84" s="1097" t="s">
        <v>2944</v>
      </c>
      <c r="C84" s="1003" t="s">
        <v>389</v>
      </c>
      <c r="D84" s="999" t="str">
        <f>VLOOKUP($C84,Table1[#All],2,0)</f>
        <v>BWID BINH DUONG</v>
      </c>
      <c r="E84" s="999" t="s">
        <v>339</v>
      </c>
      <c r="F84" s="1093" t="s">
        <v>80</v>
      </c>
      <c r="G84" s="999" t="s">
        <v>310</v>
      </c>
      <c r="H84" s="999" t="str">
        <f>VLOOKUP($C84,Table1[#All],3,0)</f>
        <v>BWID JSC</v>
      </c>
      <c r="I84" s="999" t="str" cm="1">
        <f t="array" ref="I84">_xlfn.XLOOKUP(Acc_Char!$E84,Table4[[#All],[Branch]],Table4[[#All],[Bank]],"recheck",0)</f>
        <v>ACB - HCM</v>
      </c>
    </row>
    <row r="85" spans="1:9">
      <c r="A85" s="998">
        <f t="shared" si="1"/>
        <v>84</v>
      </c>
      <c r="B85" s="1098" t="s">
        <v>2945</v>
      </c>
      <c r="C85" s="1000" t="s">
        <v>389</v>
      </c>
      <c r="D85" s="932" t="str">
        <f>VLOOKUP($C85,Table1[#All],2,0)</f>
        <v>BWID BINH DUONG</v>
      </c>
      <c r="E85" s="932" t="s">
        <v>339</v>
      </c>
      <c r="F85" s="998" t="s">
        <v>80</v>
      </c>
      <c r="G85" s="932" t="s">
        <v>310</v>
      </c>
      <c r="H85" s="932" t="str">
        <f>VLOOKUP($C85,Table1[#All],3,0)</f>
        <v>BWID JSC</v>
      </c>
      <c r="I85" s="932" t="str" cm="1">
        <f t="array" ref="I85">_xlfn.XLOOKUP(Acc_Char!$E85,Table4[[#All],[Branch]],Table4[[#All],[Bank]],"recheck",0)</f>
        <v>ACB - HCM</v>
      </c>
    </row>
    <row r="86" spans="1:9">
      <c r="A86" s="998">
        <f t="shared" si="1"/>
        <v>85</v>
      </c>
      <c r="B86" s="1097" t="s">
        <v>2946</v>
      </c>
      <c r="C86" s="1003" t="s">
        <v>389</v>
      </c>
      <c r="D86" s="999" t="str">
        <f>VLOOKUP($C86,Table1[#All],2,0)</f>
        <v>BWID BINH DUONG</v>
      </c>
      <c r="E86" s="999" t="s">
        <v>339</v>
      </c>
      <c r="F86" s="1093" t="s">
        <v>80</v>
      </c>
      <c r="G86" s="999" t="s">
        <v>310</v>
      </c>
      <c r="H86" s="999" t="str">
        <f>VLOOKUP($C86,Table1[#All],3,0)</f>
        <v>BWID JSC</v>
      </c>
      <c r="I86" s="999" t="str" cm="1">
        <f t="array" ref="I86">_xlfn.XLOOKUP(Acc_Char!$E86,Table4[[#All],[Branch]],Table4[[#All],[Bank]],"recheck",0)</f>
        <v>ACB - HCM</v>
      </c>
    </row>
    <row r="87" spans="1:9">
      <c r="A87" s="998">
        <f t="shared" si="1"/>
        <v>86</v>
      </c>
      <c r="B87" s="1098" t="s">
        <v>643</v>
      </c>
      <c r="C87" s="1000" t="s">
        <v>641</v>
      </c>
      <c r="D87" s="932" t="str">
        <f>VLOOKUP($C87,Table1[#All],2,0)</f>
        <v>SPV5C</v>
      </c>
      <c r="E87" s="932" t="s">
        <v>85</v>
      </c>
      <c r="F87" s="998" t="s">
        <v>81</v>
      </c>
      <c r="G87" s="932" t="s">
        <v>308</v>
      </c>
      <c r="H87" s="932" t="str">
        <f>VLOOKUP($C87,Table1[#All],3,0)</f>
        <v>Subsidiaries</v>
      </c>
      <c r="I87" s="932" t="str" cm="1">
        <f t="array" ref="I87">_xlfn.XLOOKUP(Acc_Char!$E404,Table4[[#All],[Branch]],Table4[[#All],[Bank]],"recheck",0)</f>
        <v>VIETCOMBANK - BA DINH</v>
      </c>
    </row>
    <row r="88" spans="1:9">
      <c r="A88" s="998">
        <f t="shared" si="1"/>
        <v>87</v>
      </c>
      <c r="B88" s="1097" t="s">
        <v>647</v>
      </c>
      <c r="C88" s="1003" t="s">
        <v>645</v>
      </c>
      <c r="D88" s="999" t="str">
        <f>VLOOKUP($C88,Table1[#All],2,0)</f>
        <v>SPV5B</v>
      </c>
      <c r="E88" s="999" t="s">
        <v>85</v>
      </c>
      <c r="F88" s="1093" t="s">
        <v>81</v>
      </c>
      <c r="G88" s="999" t="s">
        <v>308</v>
      </c>
      <c r="H88" s="999" t="str">
        <f>VLOOKUP($C88,Table1[#All],3,0)</f>
        <v>Subsidiaries</v>
      </c>
      <c r="I88" s="999" t="str" cm="1">
        <f t="array" ref="I88">_xlfn.XLOOKUP(Acc_Char!$E407,Table4[[#All],[Branch]],Table4[[#All],[Bank]],"recheck",0)</f>
        <v>VIB - HOI SO</v>
      </c>
    </row>
    <row r="89" spans="1:9">
      <c r="A89" s="998">
        <f t="shared" si="1"/>
        <v>88</v>
      </c>
      <c r="B89" s="1098" t="s">
        <v>2947</v>
      </c>
      <c r="C89" s="1000" t="s">
        <v>389</v>
      </c>
      <c r="D89" s="932" t="str">
        <f>VLOOKUP($C89,Table1[#All],2,0)</f>
        <v>BWID BINH DUONG</v>
      </c>
      <c r="E89" s="932" t="s">
        <v>2948</v>
      </c>
      <c r="F89" s="998" t="s">
        <v>80</v>
      </c>
      <c r="G89" s="932" t="s">
        <v>308</v>
      </c>
      <c r="H89" s="932" t="str">
        <f>VLOOKUP($C89,Table1[#All],3,0)</f>
        <v>BWID JSC</v>
      </c>
      <c r="I89" s="932" t="str" cm="1">
        <f t="array" ref="I89">_xlfn.XLOOKUP(Acc_Char!$E89,Table4[[#All],[Branch]],Table4[[#All],[Bank]],"recheck",0)</f>
        <v>OTHERS</v>
      </c>
    </row>
    <row r="90" spans="1:9">
      <c r="A90" s="998">
        <f t="shared" si="1"/>
        <v>89</v>
      </c>
      <c r="B90" s="1097" t="s">
        <v>2949</v>
      </c>
      <c r="C90" s="1003" t="s">
        <v>389</v>
      </c>
      <c r="D90" s="999" t="str">
        <f>VLOOKUP($C90,Table1[#All],2,0)</f>
        <v>BWID BINH DUONG</v>
      </c>
      <c r="E90" s="999" t="s">
        <v>2950</v>
      </c>
      <c r="F90" s="1093" t="s">
        <v>80</v>
      </c>
      <c r="G90" s="999" t="s">
        <v>308</v>
      </c>
      <c r="H90" s="999" t="str">
        <f>VLOOKUP($C90,Table1[#All],3,0)</f>
        <v>BWID JSC</v>
      </c>
      <c r="I90" s="999" t="str" cm="1">
        <f t="array" ref="I90">_xlfn.XLOOKUP(Acc_Char!$E90,Table4[[#All],[Branch]],Table4[[#All],[Bank]],"recheck",0)</f>
        <v>OTHERS</v>
      </c>
    </row>
    <row r="91" spans="1:9">
      <c r="A91" s="998">
        <f t="shared" si="1"/>
        <v>90</v>
      </c>
      <c r="B91" s="1098" t="s">
        <v>2951</v>
      </c>
      <c r="C91" s="1000" t="s">
        <v>389</v>
      </c>
      <c r="D91" s="932" t="str">
        <f>VLOOKUP($C91,Table1[#All],2,0)</f>
        <v>BWID BINH DUONG</v>
      </c>
      <c r="E91" s="932" t="s">
        <v>2952</v>
      </c>
      <c r="F91" s="998" t="s">
        <v>80</v>
      </c>
      <c r="G91" s="932" t="s">
        <v>308</v>
      </c>
      <c r="H91" s="932" t="str">
        <f>VLOOKUP($C91,Table1[#All],3,0)</f>
        <v>BWID JSC</v>
      </c>
      <c r="I91" s="932" t="str" cm="1">
        <f t="array" ref="I91">_xlfn.XLOOKUP(Acc_Char!$E91,Table4[[#All],[Branch]],Table4[[#All],[Bank]],"recheck",0)</f>
        <v>OTHERS</v>
      </c>
    </row>
    <row r="92" spans="1:9">
      <c r="A92" s="998">
        <f t="shared" si="1"/>
        <v>91</v>
      </c>
      <c r="B92" s="1002" t="s">
        <v>500</v>
      </c>
      <c r="C92" s="1003" t="s">
        <v>2888</v>
      </c>
      <c r="D92" s="999" t="str">
        <f>VLOOKUP($C92,Table1[#All],2,0)</f>
        <v>BWID HAI DUONG</v>
      </c>
      <c r="E92" s="999" t="s">
        <v>85</v>
      </c>
      <c r="F92" s="1093" t="s">
        <v>80</v>
      </c>
      <c r="G92" s="999" t="s">
        <v>308</v>
      </c>
      <c r="H92" s="999" t="str">
        <f>VLOOKUP($C92,Table1[#All],3,0)</f>
        <v>Subsidiaries</v>
      </c>
      <c r="I92" s="999" t="str" cm="1">
        <f t="array" ref="I92">_xlfn.XLOOKUP(Acc_Char!$E92,Table4[[#All],[Branch]],Table4[[#All],[Bank]],"recheck",0)</f>
        <v>VIETINBANK - TIEN SON</v>
      </c>
    </row>
    <row r="93" spans="1:9">
      <c r="A93" s="998">
        <f t="shared" si="1"/>
        <v>92</v>
      </c>
      <c r="B93" s="1097" t="s">
        <v>655</v>
      </c>
      <c r="C93" s="1003" t="s">
        <v>653</v>
      </c>
      <c r="D93" s="999" t="str">
        <f>VLOOKUP($C93,Table1[#All],2,0)</f>
        <v>SPV5D</v>
      </c>
      <c r="E93" s="999" t="s">
        <v>85</v>
      </c>
      <c r="F93" s="1093" t="s">
        <v>81</v>
      </c>
      <c r="G93" s="999" t="s">
        <v>308</v>
      </c>
      <c r="H93" s="999" t="str">
        <f>VLOOKUP($C93,Table1[#All],3,0)</f>
        <v>Subsidiaries</v>
      </c>
      <c r="I93" s="999" t="str" cm="1">
        <f t="array" ref="I93">_xlfn.XLOOKUP(Acc_Char!$E421,Table4[[#All],[Branch]],Table4[[#All],[Bank]],"recheck",0)</f>
        <v>UOB</v>
      </c>
    </row>
    <row r="94" spans="1:9">
      <c r="A94" s="998">
        <f t="shared" si="1"/>
        <v>93</v>
      </c>
      <c r="B94" s="1097" t="s">
        <v>2953</v>
      </c>
      <c r="C94" s="1003" t="s">
        <v>2888</v>
      </c>
      <c r="D94" s="999" t="str">
        <f>VLOOKUP($C94,Table1[#All],2,0)</f>
        <v>BWID HAI DUONG</v>
      </c>
      <c r="E94" s="999" t="s">
        <v>85</v>
      </c>
      <c r="F94" s="1093" t="s">
        <v>80</v>
      </c>
      <c r="G94" s="999" t="s">
        <v>310</v>
      </c>
      <c r="H94" s="999" t="str">
        <f>VLOOKUP($C94,Table1[#All],3,0)</f>
        <v>Subsidiaries</v>
      </c>
      <c r="I94" s="999" t="str" cm="1">
        <f t="array" ref="I94">_xlfn.XLOOKUP(Acc_Char!$E94,Table4[[#All],[Branch]],Table4[[#All],[Bank]],"recheck",0)</f>
        <v>VIETINBANK - TIEN SON</v>
      </c>
    </row>
    <row r="95" spans="1:9">
      <c r="A95" s="998">
        <f t="shared" si="1"/>
        <v>94</v>
      </c>
      <c r="B95" s="1098" t="s">
        <v>2954</v>
      </c>
      <c r="C95" s="1000" t="s">
        <v>2888</v>
      </c>
      <c r="D95" s="932" t="str">
        <f>VLOOKUP($C95,Table1[#All],2,0)</f>
        <v>BWID HAI DUONG</v>
      </c>
      <c r="E95" s="932" t="s">
        <v>85</v>
      </c>
      <c r="F95" s="998" t="s">
        <v>80</v>
      </c>
      <c r="G95" s="932" t="s">
        <v>310</v>
      </c>
      <c r="H95" s="932" t="str">
        <f>VLOOKUP($C95,Table1[#All],3,0)</f>
        <v>Subsidiaries</v>
      </c>
      <c r="I95" s="932" t="str" cm="1">
        <f t="array" ref="I95">_xlfn.XLOOKUP(Acc_Char!$E95,Table4[[#All],[Branch]],Table4[[#All],[Bank]],"recheck",0)</f>
        <v>VIETINBANK - TIEN SON</v>
      </c>
    </row>
    <row r="96" spans="1:9">
      <c r="A96" s="998">
        <f t="shared" si="1"/>
        <v>95</v>
      </c>
      <c r="B96" s="1097" t="s">
        <v>502</v>
      </c>
      <c r="C96" s="1003" t="s">
        <v>2888</v>
      </c>
      <c r="D96" s="999" t="str">
        <f>VLOOKUP($C96,Table1[#All],2,0)</f>
        <v>BWID HAI DUONG</v>
      </c>
      <c r="E96" s="999" t="s">
        <v>85</v>
      </c>
      <c r="F96" s="1093" t="s">
        <v>80</v>
      </c>
      <c r="G96" s="999" t="s">
        <v>310</v>
      </c>
      <c r="H96" s="999" t="str">
        <f>VLOOKUP($C96,Table1[#All],3,0)</f>
        <v>Subsidiaries</v>
      </c>
      <c r="I96" s="999" t="str" cm="1">
        <f t="array" ref="I96">_xlfn.XLOOKUP(Acc_Char!$E96,Table4[[#All],[Branch]],Table4[[#All],[Bank]],"recheck",0)</f>
        <v>VIETINBANK - TIEN SON</v>
      </c>
    </row>
    <row r="97" spans="1:9">
      <c r="A97" s="998">
        <f t="shared" si="1"/>
        <v>96</v>
      </c>
      <c r="B97" s="1098" t="s">
        <v>2955</v>
      </c>
      <c r="C97" s="1000" t="s">
        <v>2888</v>
      </c>
      <c r="D97" s="932" t="str">
        <f>VLOOKUP($C97,Table1[#All],2,0)</f>
        <v>BWID HAI DUONG</v>
      </c>
      <c r="E97" s="932" t="s">
        <v>85</v>
      </c>
      <c r="F97" s="998" t="s">
        <v>80</v>
      </c>
      <c r="G97" s="932" t="s">
        <v>310</v>
      </c>
      <c r="H97" s="932" t="str">
        <f>VLOOKUP($C97,Table1[#All],3,0)</f>
        <v>Subsidiaries</v>
      </c>
      <c r="I97" s="932" t="str" cm="1">
        <f t="array" ref="I97">_xlfn.XLOOKUP(Acc_Char!$E97,Table4[[#All],[Branch]],Table4[[#All],[Bank]],"recheck",0)</f>
        <v>VIETINBANK - TIEN SON</v>
      </c>
    </row>
    <row r="98" spans="1:9">
      <c r="A98" s="998">
        <f t="shared" si="1"/>
        <v>97</v>
      </c>
      <c r="B98" s="1097" t="s">
        <v>2956</v>
      </c>
      <c r="C98" s="1003" t="s">
        <v>2888</v>
      </c>
      <c r="D98" s="999" t="str">
        <f>VLOOKUP($C98,Table1[#All],2,0)</f>
        <v>BWID HAI DUONG</v>
      </c>
      <c r="E98" s="999" t="s">
        <v>85</v>
      </c>
      <c r="F98" s="1093" t="s">
        <v>80</v>
      </c>
      <c r="G98" s="999" t="s">
        <v>310</v>
      </c>
      <c r="H98" s="999" t="str">
        <f>VLOOKUP($C98,Table1[#All],3,0)</f>
        <v>Subsidiaries</v>
      </c>
      <c r="I98" s="999" t="str" cm="1">
        <f t="array" ref="I98">_xlfn.XLOOKUP(Acc_Char!$E98,Table4[[#All],[Branch]],Table4[[#All],[Bank]],"recheck",0)</f>
        <v>VIETINBANK - TIEN SON</v>
      </c>
    </row>
    <row r="99" spans="1:9">
      <c r="A99" s="998">
        <f t="shared" si="1"/>
        <v>98</v>
      </c>
      <c r="B99" s="1098" t="s">
        <v>2957</v>
      </c>
      <c r="C99" s="1000" t="s">
        <v>2888</v>
      </c>
      <c r="D99" s="932" t="str">
        <f>VLOOKUP($C99,Table1[#All],2,0)</f>
        <v>BWID HAI DUONG</v>
      </c>
      <c r="E99" s="932" t="s">
        <v>85</v>
      </c>
      <c r="F99" s="998" t="s">
        <v>80</v>
      </c>
      <c r="G99" s="932" t="s">
        <v>310</v>
      </c>
      <c r="H99" s="932" t="str">
        <f>VLOOKUP($C99,Table1[#All],3,0)</f>
        <v>Subsidiaries</v>
      </c>
      <c r="I99" s="932" t="str" cm="1">
        <f t="array" ref="I99">_xlfn.XLOOKUP(Acc_Char!$E99,Table4[[#All],[Branch]],Table4[[#All],[Bank]],"recheck",0)</f>
        <v>VIETINBANK - TIEN SON</v>
      </c>
    </row>
    <row r="100" spans="1:9">
      <c r="A100" s="998">
        <f t="shared" si="1"/>
        <v>99</v>
      </c>
      <c r="B100" s="1097" t="s">
        <v>2958</v>
      </c>
      <c r="C100" s="1003" t="s">
        <v>432</v>
      </c>
      <c r="D100" s="999" t="str">
        <f>VLOOKUP($C100,Table1[#All],2,0)</f>
        <v>BWID BAC NINH</v>
      </c>
      <c r="E100" s="999" t="s">
        <v>85</v>
      </c>
      <c r="F100" s="1093" t="s">
        <v>80</v>
      </c>
      <c r="G100" s="999" t="s">
        <v>310</v>
      </c>
      <c r="H100" s="999" t="str">
        <f>VLOOKUP($C100,Table1[#All],3,0)</f>
        <v>Subsidiaries</v>
      </c>
      <c r="I100" s="999" t="str" cm="1">
        <f t="array" ref="I100">_xlfn.XLOOKUP(Acc_Char!$E100,Table4[[#All],[Branch]],Table4[[#All],[Bank]],"recheck",0)</f>
        <v>VIETINBANK - TIEN SON</v>
      </c>
    </row>
    <row r="101" spans="1:9">
      <c r="A101" s="998">
        <f t="shared" si="1"/>
        <v>100</v>
      </c>
      <c r="B101" s="1004" t="s">
        <v>504</v>
      </c>
      <c r="C101" s="1000" t="s">
        <v>432</v>
      </c>
      <c r="D101" s="932" t="str">
        <f>VLOOKUP($C101,Table1[#All],2,0)</f>
        <v>BWID BAC NINH</v>
      </c>
      <c r="E101" s="932" t="s">
        <v>85</v>
      </c>
      <c r="F101" s="998" t="s">
        <v>80</v>
      </c>
      <c r="G101" s="932" t="s">
        <v>308</v>
      </c>
      <c r="H101" s="932" t="str">
        <f>VLOOKUP($C101,Table1[#All],3,0)</f>
        <v>Subsidiaries</v>
      </c>
      <c r="I101" s="932" t="str" cm="1">
        <f t="array" ref="I101">_xlfn.XLOOKUP(Acc_Char!$E101,Table4[[#All],[Branch]],Table4[[#All],[Bank]],"recheck",0)</f>
        <v>VIETINBANK - TIEN SON</v>
      </c>
    </row>
    <row r="102" spans="1:9">
      <c r="A102" s="998">
        <f t="shared" si="1"/>
        <v>101</v>
      </c>
      <c r="B102" s="1098" t="s">
        <v>658</v>
      </c>
      <c r="C102" s="1000" t="s">
        <v>656</v>
      </c>
      <c r="D102" s="932" t="str">
        <f>VLOOKUP($C102,Table1[#All],2,0)</f>
        <v>SPV5E</v>
      </c>
      <c r="E102" s="932" t="s">
        <v>85</v>
      </c>
      <c r="F102" s="998" t="s">
        <v>81</v>
      </c>
      <c r="G102" s="932" t="s">
        <v>308</v>
      </c>
      <c r="H102" s="932" t="str">
        <f>VLOOKUP($C102,Table1[#All],3,0)</f>
        <v>Subsidiaries</v>
      </c>
      <c r="I102" s="932" t="str" cm="1">
        <f t="array" ref="I102">_xlfn.XLOOKUP(Acc_Char!$E424,Table4[[#All],[Branch]],Table4[[#All],[Bank]],"recheck",0)</f>
        <v>UOB</v>
      </c>
    </row>
    <row r="103" spans="1:9">
      <c r="A103" s="998">
        <f t="shared" si="1"/>
        <v>102</v>
      </c>
      <c r="B103" s="1098" t="s">
        <v>2959</v>
      </c>
      <c r="C103" s="1000" t="s">
        <v>2895</v>
      </c>
      <c r="D103" s="932" t="str">
        <f>VLOOKUP($C103,Table1[#All],2,0)</f>
        <v>BWID HAI DUONG 2</v>
      </c>
      <c r="E103" s="932" t="s">
        <v>85</v>
      </c>
      <c r="F103" s="998" t="s">
        <v>80</v>
      </c>
      <c r="G103" s="932" t="s">
        <v>310</v>
      </c>
      <c r="H103" s="932" t="str">
        <f>VLOOKUP($C103,Table1[#All],3,0)</f>
        <v>Subsidiaries</v>
      </c>
      <c r="I103" s="932" t="str" cm="1">
        <f t="array" ref="I103">_xlfn.XLOOKUP(Acc_Char!$E103,Table4[[#All],[Branch]],Table4[[#All],[Bank]],"recheck",0)</f>
        <v>VIETINBANK - TIEN SON</v>
      </c>
    </row>
    <row r="104" spans="1:9">
      <c r="A104" s="998">
        <f t="shared" si="1"/>
        <v>103</v>
      </c>
      <c r="B104" s="1097" t="s">
        <v>2960</v>
      </c>
      <c r="C104" s="1003" t="s">
        <v>2895</v>
      </c>
      <c r="D104" s="999" t="str">
        <f>VLOOKUP($C104,Table1[#All],2,0)</f>
        <v>BWID HAI DUONG 2</v>
      </c>
      <c r="E104" s="999" t="s">
        <v>85</v>
      </c>
      <c r="F104" s="1093" t="s">
        <v>80</v>
      </c>
      <c r="G104" s="999" t="s">
        <v>310</v>
      </c>
      <c r="H104" s="999" t="str">
        <f>VLOOKUP($C104,Table1[#All],3,0)</f>
        <v>Subsidiaries</v>
      </c>
      <c r="I104" s="999" t="str" cm="1">
        <f t="array" ref="I104">_xlfn.XLOOKUP(Acc_Char!$E104,Table4[[#All],[Branch]],Table4[[#All],[Bank]],"recheck",0)</f>
        <v>VIETINBANK - TIEN SON</v>
      </c>
    </row>
    <row r="105" spans="1:9">
      <c r="A105" s="998">
        <f t="shared" si="1"/>
        <v>104</v>
      </c>
      <c r="B105" s="1098" t="s">
        <v>2961</v>
      </c>
      <c r="C105" s="1000" t="s">
        <v>2895</v>
      </c>
      <c r="D105" s="932" t="str">
        <f>VLOOKUP($C105,Table1[#All],2,0)</f>
        <v>BWID HAI DUONG 2</v>
      </c>
      <c r="E105" s="932" t="s">
        <v>85</v>
      </c>
      <c r="F105" s="998" t="s">
        <v>80</v>
      </c>
      <c r="G105" s="932" t="s">
        <v>310</v>
      </c>
      <c r="H105" s="932" t="str">
        <f>VLOOKUP($C105,Table1[#All],3,0)</f>
        <v>Subsidiaries</v>
      </c>
      <c r="I105" s="932" t="str" cm="1">
        <f t="array" ref="I105">_xlfn.XLOOKUP(Acc_Char!$E105,Table4[[#All],[Branch]],Table4[[#All],[Bank]],"recheck",0)</f>
        <v>VIETINBANK - TIEN SON</v>
      </c>
    </row>
    <row r="106" spans="1:9">
      <c r="A106" s="998">
        <f t="shared" si="1"/>
        <v>105</v>
      </c>
      <c r="B106" s="1097" t="s">
        <v>2962</v>
      </c>
      <c r="C106" s="1003" t="s">
        <v>2895</v>
      </c>
      <c r="D106" s="999" t="str">
        <f>VLOOKUP($C106,Table1[#All],2,0)</f>
        <v>BWID HAI DUONG 2</v>
      </c>
      <c r="E106" s="999" t="s">
        <v>85</v>
      </c>
      <c r="F106" s="1093" t="s">
        <v>80</v>
      </c>
      <c r="G106" s="999" t="s">
        <v>310</v>
      </c>
      <c r="H106" s="999" t="str">
        <f>VLOOKUP($C106,Table1[#All],3,0)</f>
        <v>Subsidiaries</v>
      </c>
      <c r="I106" s="999" t="str" cm="1">
        <f t="array" ref="I106">_xlfn.XLOOKUP(Acc_Char!$E106,Table4[[#All],[Branch]],Table4[[#All],[Bank]],"recheck",0)</f>
        <v>VIETINBANK - TIEN SON</v>
      </c>
    </row>
    <row r="107" spans="1:9">
      <c r="A107" s="998">
        <f t="shared" si="1"/>
        <v>106</v>
      </c>
      <c r="B107" s="1098" t="s">
        <v>2963</v>
      </c>
      <c r="C107" s="1000" t="s">
        <v>2895</v>
      </c>
      <c r="D107" s="932" t="str">
        <f>VLOOKUP($C107,Table1[#All],2,0)</f>
        <v>BWID HAI DUONG 2</v>
      </c>
      <c r="E107" s="932" t="s">
        <v>85</v>
      </c>
      <c r="F107" s="998" t="s">
        <v>80</v>
      </c>
      <c r="G107" s="932" t="s">
        <v>310</v>
      </c>
      <c r="H107" s="932" t="str">
        <f>VLOOKUP($C107,Table1[#All],3,0)</f>
        <v>Subsidiaries</v>
      </c>
      <c r="I107" s="932" t="str" cm="1">
        <f t="array" ref="I107">_xlfn.XLOOKUP(Acc_Char!$E107,Table4[[#All],[Branch]],Table4[[#All],[Bank]],"recheck",0)</f>
        <v>VIETINBANK - TIEN SON</v>
      </c>
    </row>
    <row r="108" spans="1:9">
      <c r="A108" s="998">
        <f t="shared" si="1"/>
        <v>107</v>
      </c>
      <c r="B108" s="1002" t="s">
        <v>507</v>
      </c>
      <c r="C108" s="1003" t="s">
        <v>2895</v>
      </c>
      <c r="D108" s="999" t="str">
        <f>VLOOKUP($C108,Table1[#All],2,0)</f>
        <v>BWID HAI DUONG 2</v>
      </c>
      <c r="E108" s="999" t="s">
        <v>85</v>
      </c>
      <c r="F108" s="1093" t="s">
        <v>80</v>
      </c>
      <c r="G108" s="999" t="s">
        <v>308</v>
      </c>
      <c r="H108" s="999" t="str">
        <f>VLOOKUP($C108,Table1[#All],3,0)</f>
        <v>Subsidiaries</v>
      </c>
      <c r="I108" s="999" t="str" cm="1">
        <f t="array" ref="I108">_xlfn.XLOOKUP(Acc_Char!$E108,Table4[[#All],[Branch]],Table4[[#All],[Bank]],"recheck",0)</f>
        <v>VIETINBANK - TIEN SON</v>
      </c>
    </row>
    <row r="109" spans="1:9">
      <c r="A109" s="998">
        <f t="shared" si="1"/>
        <v>108</v>
      </c>
      <c r="B109" s="1097" t="s">
        <v>664</v>
      </c>
      <c r="C109" s="1003" t="s">
        <v>2964</v>
      </c>
      <c r="D109" s="999" t="str">
        <f>VLOOKUP($C109,Table1[#All],2,0)</f>
        <v>GIA TAN</v>
      </c>
      <c r="E109" s="999" t="s">
        <v>85</v>
      </c>
      <c r="F109" s="1093" t="s">
        <v>81</v>
      </c>
      <c r="G109" s="999" t="s">
        <v>308</v>
      </c>
      <c r="H109" s="999" t="str">
        <f>VLOOKUP($C109,Table1[#All],3,0)</f>
        <v>Subsidiaries</v>
      </c>
      <c r="I109" s="999" t="str" cm="1">
        <f t="array" ref="I109">_xlfn.XLOOKUP(Acc_Char!$E429,Table4[[#All],[Branch]],Table4[[#All],[Bank]],"recheck",0)</f>
        <v>UOB</v>
      </c>
    </row>
    <row r="110" spans="1:9">
      <c r="A110" s="998">
        <f t="shared" si="1"/>
        <v>109</v>
      </c>
      <c r="B110" s="1097" t="s">
        <v>2965</v>
      </c>
      <c r="C110" s="1003" t="s">
        <v>434</v>
      </c>
      <c r="D110" s="999" t="str">
        <f>VLOOKUP($C110,Table1[#All],2,0)</f>
        <v>BWID HAI PHONG</v>
      </c>
      <c r="E110" s="999" t="s">
        <v>85</v>
      </c>
      <c r="F110" s="1093" t="s">
        <v>80</v>
      </c>
      <c r="G110" s="999" t="s">
        <v>310</v>
      </c>
      <c r="H110" s="999" t="str">
        <f>VLOOKUP($C110,Table1[#All],3,0)</f>
        <v>Subsidiaries</v>
      </c>
      <c r="I110" s="999" t="str" cm="1">
        <f t="array" ref="I110">_xlfn.XLOOKUP(Acc_Char!$E110,Table4[[#All],[Branch]],Table4[[#All],[Bank]],"recheck",0)</f>
        <v>VIETINBANK - TIEN SON</v>
      </c>
    </row>
    <row r="111" spans="1:9">
      <c r="A111" s="998">
        <f t="shared" si="1"/>
        <v>110</v>
      </c>
      <c r="B111" s="1098" t="s">
        <v>2966</v>
      </c>
      <c r="C111" s="1000" t="s">
        <v>434</v>
      </c>
      <c r="D111" s="932" t="str">
        <f>VLOOKUP($C111,Table1[#All],2,0)</f>
        <v>BWID HAI PHONG</v>
      </c>
      <c r="E111" s="932" t="s">
        <v>85</v>
      </c>
      <c r="F111" s="998" t="s">
        <v>80</v>
      </c>
      <c r="G111" s="932" t="s">
        <v>310</v>
      </c>
      <c r="H111" s="932" t="str">
        <f>VLOOKUP($C111,Table1[#All],3,0)</f>
        <v>Subsidiaries</v>
      </c>
      <c r="I111" s="932" t="str" cm="1">
        <f t="array" ref="I111">_xlfn.XLOOKUP(Acc_Char!$E111,Table4[[#All],[Branch]],Table4[[#All],[Bank]],"recheck",0)</f>
        <v>VIETINBANK - TIEN SON</v>
      </c>
    </row>
    <row r="112" spans="1:9">
      <c r="A112" s="998">
        <f t="shared" si="1"/>
        <v>111</v>
      </c>
      <c r="B112" s="1097" t="s">
        <v>2967</v>
      </c>
      <c r="C112" s="1003" t="s">
        <v>434</v>
      </c>
      <c r="D112" s="999" t="str">
        <f>VLOOKUP($C112,Table1[#All],2,0)</f>
        <v>BWID HAI PHONG</v>
      </c>
      <c r="E112" s="999" t="s">
        <v>85</v>
      </c>
      <c r="F112" s="1093" t="s">
        <v>80</v>
      </c>
      <c r="G112" s="999" t="s">
        <v>310</v>
      </c>
      <c r="H112" s="999" t="str">
        <f>VLOOKUP($C112,Table1[#All],3,0)</f>
        <v>Subsidiaries</v>
      </c>
      <c r="I112" s="999" t="str" cm="1">
        <f t="array" ref="I112">_xlfn.XLOOKUP(Acc_Char!$E112,Table4[[#All],[Branch]],Table4[[#All],[Bank]],"recheck",0)</f>
        <v>VIETINBANK - TIEN SON</v>
      </c>
    </row>
    <row r="113" spans="1:9">
      <c r="A113" s="998">
        <f t="shared" si="1"/>
        <v>112</v>
      </c>
      <c r="B113" s="1004" t="s">
        <v>511</v>
      </c>
      <c r="C113" s="1000" t="s">
        <v>434</v>
      </c>
      <c r="D113" s="932" t="str">
        <f>VLOOKUP($C113,Table1[#All],2,0)</f>
        <v>BWID HAI PHONG</v>
      </c>
      <c r="E113" s="932" t="s">
        <v>85</v>
      </c>
      <c r="F113" s="998" t="s">
        <v>80</v>
      </c>
      <c r="G113" s="932" t="s">
        <v>308</v>
      </c>
      <c r="H113" s="932" t="str">
        <f>VLOOKUP($C113,Table1[#All],3,0)</f>
        <v>Subsidiaries</v>
      </c>
      <c r="I113" s="932" t="str" cm="1">
        <f t="array" ref="I113">_xlfn.XLOOKUP(Acc_Char!$E113,Table4[[#All],[Branch]],Table4[[#All],[Bank]],"recheck",0)</f>
        <v>VIETINBANK - TIEN SON</v>
      </c>
    </row>
    <row r="114" spans="1:9">
      <c r="A114" s="998">
        <f t="shared" si="1"/>
        <v>113</v>
      </c>
      <c r="B114" s="1097" t="s">
        <v>667</v>
      </c>
      <c r="C114" s="1003" t="s">
        <v>2968</v>
      </c>
      <c r="D114" s="999" t="str">
        <f>VLOOKUP($C114,Table1[#All],2,0)</f>
        <v>BCI JSC</v>
      </c>
      <c r="E114" s="999" t="s">
        <v>85</v>
      </c>
      <c r="F114" s="1093" t="s">
        <v>81</v>
      </c>
      <c r="G114" s="999" t="s">
        <v>308</v>
      </c>
      <c r="H114" s="999" t="str">
        <f>VLOOKUP($C114,Table1[#All],3,0)</f>
        <v>Subsidiaries</v>
      </c>
      <c r="I114" s="999" t="str" cm="1">
        <f t="array" ref="I114">_xlfn.XLOOKUP(Acc_Char!$E433,Table4[[#All],[Branch]],Table4[[#All],[Bank]],"recheck",0)</f>
        <v>UOB</v>
      </c>
    </row>
    <row r="115" spans="1:9">
      <c r="A115" s="998">
        <f t="shared" si="1"/>
        <v>114</v>
      </c>
      <c r="B115" s="1098" t="s">
        <v>514</v>
      </c>
      <c r="C115" s="1000" t="s">
        <v>2969</v>
      </c>
      <c r="D115" s="932" t="str">
        <f>VLOOKUP($C115,Table1[#All],2,0)</f>
        <v>BWID NHON TRACH</v>
      </c>
      <c r="E115" s="932" t="s">
        <v>91</v>
      </c>
      <c r="F115" s="998" t="s">
        <v>80</v>
      </c>
      <c r="G115" s="932" t="s">
        <v>308</v>
      </c>
      <c r="H115" s="932" t="str">
        <f>VLOOKUP($C115,Table1[#All],3,0)</f>
        <v>Subsidiaries</v>
      </c>
      <c r="I115" s="932" t="str" cm="1">
        <f t="array" ref="I115">_xlfn.XLOOKUP(Acc_Char!$E115,Table4[[#All],[Branch]],Table4[[#All],[Bank]],"recheck",0)</f>
        <v>VIETCOMBANK - HCM</v>
      </c>
    </row>
    <row r="116" spans="1:9">
      <c r="A116" s="998">
        <f t="shared" si="1"/>
        <v>115</v>
      </c>
      <c r="B116" s="1098" t="s">
        <v>1419</v>
      </c>
      <c r="C116" s="1000" t="s">
        <v>2969</v>
      </c>
      <c r="D116" s="932" t="str">
        <f>VLOOKUP($C116,Table1[#All],2,0)</f>
        <v>BWID NHON TRACH</v>
      </c>
      <c r="E116" s="932" t="s">
        <v>91</v>
      </c>
      <c r="F116" s="998" t="s">
        <v>80</v>
      </c>
      <c r="G116" s="932" t="s">
        <v>310</v>
      </c>
      <c r="H116" s="932" t="str">
        <f>VLOOKUP($C116,Table1[#All],3,0)</f>
        <v>Subsidiaries</v>
      </c>
      <c r="I116" s="932" t="str" cm="1">
        <f t="array" ref="I116">_xlfn.XLOOKUP(Acc_Char!$E116,Table4[[#All],[Branch]],Table4[[#All],[Bank]],"recheck",0)</f>
        <v>VIETCOMBANK - HCM</v>
      </c>
    </row>
    <row r="117" spans="1:9">
      <c r="A117" s="998">
        <f t="shared" si="1"/>
        <v>116</v>
      </c>
      <c r="B117" s="1098" t="s">
        <v>1417</v>
      </c>
      <c r="C117" s="1000" t="s">
        <v>2969</v>
      </c>
      <c r="D117" s="932" t="str">
        <f>VLOOKUP($C117,Table1[#All],2,0)</f>
        <v>BWID NHON TRACH</v>
      </c>
      <c r="E117" s="932" t="s">
        <v>91</v>
      </c>
      <c r="F117" s="998" t="s">
        <v>80</v>
      </c>
      <c r="G117" s="932" t="s">
        <v>310</v>
      </c>
      <c r="H117" s="932" t="str">
        <f>VLOOKUP($C117,Table1[#All],3,0)</f>
        <v>Subsidiaries</v>
      </c>
      <c r="I117" s="932" t="str" cm="1">
        <f t="array" ref="I117">_xlfn.XLOOKUP(Acc_Char!$E117,Table4[[#All],[Branch]],Table4[[#All],[Bank]],"recheck",0)</f>
        <v>VIETCOMBANK - HCM</v>
      </c>
    </row>
    <row r="118" spans="1:9">
      <c r="A118" s="998">
        <f t="shared" si="1"/>
        <v>117</v>
      </c>
      <c r="B118" s="1098" t="s">
        <v>1418</v>
      </c>
      <c r="C118" s="1000" t="s">
        <v>2969</v>
      </c>
      <c r="D118" s="932" t="str">
        <f>VLOOKUP($C118,Table1[#All],2,0)</f>
        <v>BWID NHON TRACH</v>
      </c>
      <c r="E118" s="932" t="s">
        <v>91</v>
      </c>
      <c r="F118" s="998" t="s">
        <v>80</v>
      </c>
      <c r="G118" s="932" t="s">
        <v>310</v>
      </c>
      <c r="H118" s="932" t="str">
        <f>VLOOKUP($C118,Table1[#All],3,0)</f>
        <v>Subsidiaries</v>
      </c>
      <c r="I118" s="932" t="str" cm="1">
        <f t="array" ref="I118">_xlfn.XLOOKUP(Acc_Char!$E118,Table4[[#All],[Branch]],Table4[[#All],[Bank]],"recheck",0)</f>
        <v>VIETCOMBANK - HCM</v>
      </c>
    </row>
    <row r="119" spans="1:9">
      <c r="A119" s="998">
        <f t="shared" si="1"/>
        <v>118</v>
      </c>
      <c r="B119" s="1326" t="s">
        <v>5386</v>
      </c>
      <c r="C119" s="1003" t="s">
        <v>2969</v>
      </c>
      <c r="D119" s="999" t="str">
        <f>VLOOKUP($C119,Table1[#All],2,0)</f>
        <v>BWID NHON TRACH</v>
      </c>
      <c r="E119" s="999" t="s">
        <v>91</v>
      </c>
      <c r="F119" s="1093" t="s">
        <v>80</v>
      </c>
      <c r="G119" s="999" t="s">
        <v>310</v>
      </c>
      <c r="H119" s="999" t="str">
        <f>VLOOKUP($C119,Table1[#All],3,0)</f>
        <v>Subsidiaries</v>
      </c>
      <c r="I119" s="999" t="str" cm="1">
        <f t="array" ref="I119">_xlfn.XLOOKUP(Acc_Char!$E119,Table4[[#All],[Branch]],Table4[[#All],[Bank]],"recheck",0)</f>
        <v>VIETCOMBANK - HCM</v>
      </c>
    </row>
    <row r="120" spans="1:9">
      <c r="A120" s="998">
        <f t="shared" si="1"/>
        <v>119</v>
      </c>
      <c r="B120" s="1098" t="s">
        <v>2970</v>
      </c>
      <c r="C120" s="1000" t="s">
        <v>2969</v>
      </c>
      <c r="D120" s="932" t="str">
        <f>VLOOKUP($C120,Table1[#All],2,0)</f>
        <v>BWID NHON TRACH</v>
      </c>
      <c r="E120" s="932" t="s">
        <v>91</v>
      </c>
      <c r="F120" s="998" t="s">
        <v>80</v>
      </c>
      <c r="G120" s="932" t="s">
        <v>310</v>
      </c>
      <c r="H120" s="932" t="str">
        <f>VLOOKUP($C120,Table1[#All],3,0)</f>
        <v>Subsidiaries</v>
      </c>
      <c r="I120" s="932" t="str" cm="1">
        <f t="array" ref="I120">_xlfn.XLOOKUP(Acc_Char!$E120,Table4[[#All],[Branch]],Table4[[#All],[Bank]],"recheck",0)</f>
        <v>VIETCOMBANK - HCM</v>
      </c>
    </row>
    <row r="121" spans="1:9">
      <c r="A121" s="998">
        <f t="shared" si="1"/>
        <v>120</v>
      </c>
      <c r="B121" s="1097" t="s">
        <v>685</v>
      </c>
      <c r="C121" s="1003" t="s">
        <v>2971</v>
      </c>
      <c r="D121" s="999" t="str">
        <f>VLOOKUP($C121,Table1[#All],2,0)</f>
        <v>HOLDCO5F</v>
      </c>
      <c r="E121" s="999" t="s">
        <v>85</v>
      </c>
      <c r="F121" s="1093" t="s">
        <v>81</v>
      </c>
      <c r="G121" s="999" t="s">
        <v>308</v>
      </c>
      <c r="H121" s="999" t="str">
        <f>VLOOKUP($C121,Table1[#All],3,0)</f>
        <v>Subsidiaries</v>
      </c>
      <c r="I121" s="999" t="str" cm="1">
        <f t="array" ref="I121">_xlfn.XLOOKUP(Acc_Char!$E455,Table4[[#All],[Branch]],Table4[[#All],[Bank]],"recheck",0)</f>
        <v>STANDARD CHARTERED</v>
      </c>
    </row>
    <row r="122" spans="1:9">
      <c r="A122" s="998">
        <f t="shared" si="1"/>
        <v>121</v>
      </c>
      <c r="B122" s="1004" t="s">
        <v>2972</v>
      </c>
      <c r="C122" s="1000" t="s">
        <v>2969</v>
      </c>
      <c r="D122" s="932" t="str">
        <f>VLOOKUP($C122,Table1[#All],2,0)</f>
        <v>BWID NHON TRACH</v>
      </c>
      <c r="E122" s="932" t="s">
        <v>190</v>
      </c>
      <c r="F122" s="998" t="s">
        <v>80</v>
      </c>
      <c r="G122" s="932" t="s">
        <v>308</v>
      </c>
      <c r="H122" s="932" t="str">
        <f>VLOOKUP($C122,Table1[#All],3,0)</f>
        <v>Subsidiaries</v>
      </c>
      <c r="I122" s="932" t="str" cm="1">
        <f t="array" ref="I122">_xlfn.XLOOKUP(Acc_Char!$E122,Table4[[#All],[Branch]],Table4[[#All],[Bank]],"recheck",0)</f>
        <v>VIETINBANK - HA NOI</v>
      </c>
    </row>
    <row r="123" spans="1:9">
      <c r="A123" s="998">
        <f t="shared" si="1"/>
        <v>122</v>
      </c>
      <c r="B123" s="1002" t="s">
        <v>2973</v>
      </c>
      <c r="C123" s="1003" t="s">
        <v>2974</v>
      </c>
      <c r="D123" s="999" t="str">
        <f>VLOOKUP($C123,Table1[#All],2,0)</f>
        <v>BWID HAI DUONG 3</v>
      </c>
      <c r="E123" s="999" t="s">
        <v>85</v>
      </c>
      <c r="F123" s="1093" t="s">
        <v>80</v>
      </c>
      <c r="G123" s="999" t="s">
        <v>308</v>
      </c>
      <c r="H123" s="999" t="str">
        <f>VLOOKUP($C123,Table1[#All],3,0)</f>
        <v>Subsidiaries</v>
      </c>
      <c r="I123" s="999" t="str" cm="1">
        <f t="array" ref="I123">_xlfn.XLOOKUP(Acc_Char!$E123,Table4[[#All],[Branch]],Table4[[#All],[Bank]],"recheck",0)</f>
        <v>VIETINBANK - TIEN SON</v>
      </c>
    </row>
    <row r="124" spans="1:9">
      <c r="A124" s="998">
        <f t="shared" si="1"/>
        <v>123</v>
      </c>
      <c r="B124" s="1098" t="s">
        <v>2975</v>
      </c>
      <c r="C124" s="1000" t="s">
        <v>2974</v>
      </c>
      <c r="D124" s="932" t="str">
        <f>VLOOKUP($C124,Table1[#All],2,0)</f>
        <v>BWID HAI DUONG 3</v>
      </c>
      <c r="E124" s="932" t="s">
        <v>85</v>
      </c>
      <c r="F124" s="998" t="s">
        <v>80</v>
      </c>
      <c r="G124" s="932" t="s">
        <v>310</v>
      </c>
      <c r="H124" s="932" t="str">
        <f>VLOOKUP($C124,Table1[#All],3,0)</f>
        <v>Subsidiaries</v>
      </c>
      <c r="I124" s="932" t="str" cm="1">
        <f t="array" ref="I124">_xlfn.XLOOKUP(Acc_Char!$E124,Table4[[#All],[Branch]],Table4[[#All],[Bank]],"recheck",0)</f>
        <v>VIETINBANK - TIEN SON</v>
      </c>
    </row>
    <row r="125" spans="1:9">
      <c r="A125" s="998">
        <f t="shared" si="1"/>
        <v>124</v>
      </c>
      <c r="B125" s="1002" t="s">
        <v>517</v>
      </c>
      <c r="C125" s="1003" t="s">
        <v>2974</v>
      </c>
      <c r="D125" s="999" t="str">
        <f>VLOOKUP($C125,Table1[#All],2,0)</f>
        <v>BWID HAI DUONG 3</v>
      </c>
      <c r="E125" s="999" t="s">
        <v>92</v>
      </c>
      <c r="F125" s="1093" t="s">
        <v>80</v>
      </c>
      <c r="G125" s="999" t="s">
        <v>308</v>
      </c>
      <c r="H125" s="999" t="str">
        <f>VLOOKUP($C125,Table1[#All],3,0)</f>
        <v>Subsidiaries</v>
      </c>
      <c r="I125" s="999" t="str" cm="1">
        <f t="array" ref="I125">_xlfn.XLOOKUP(Acc_Char!$E125,Table4[[#All],[Branch]],Table4[[#All],[Bank]],"recheck",0)</f>
        <v>BIDV - THANH XUAN</v>
      </c>
    </row>
    <row r="126" spans="1:9">
      <c r="A126" s="998">
        <f t="shared" si="1"/>
        <v>125</v>
      </c>
      <c r="B126" s="1098" t="s">
        <v>2976</v>
      </c>
      <c r="C126" s="1000" t="s">
        <v>2974</v>
      </c>
      <c r="D126" s="932" t="str">
        <f>VLOOKUP($C126,Table1[#All],2,0)</f>
        <v>BWID HAI DUONG 3</v>
      </c>
      <c r="E126" s="932" t="s">
        <v>92</v>
      </c>
      <c r="F126" s="998" t="s">
        <v>80</v>
      </c>
      <c r="G126" s="932" t="s">
        <v>310</v>
      </c>
      <c r="H126" s="932" t="str">
        <f>VLOOKUP($C126,Table1[#All],3,0)</f>
        <v>Subsidiaries</v>
      </c>
      <c r="I126" s="932" t="str" cm="1">
        <f t="array" ref="I126">_xlfn.XLOOKUP(Acc_Char!$E126,Table4[[#All],[Branch]],Table4[[#All],[Bank]],"recheck",0)</f>
        <v>BIDV - THANH XUAN</v>
      </c>
    </row>
    <row r="127" spans="1:9">
      <c r="A127" s="998">
        <f t="shared" si="1"/>
        <v>126</v>
      </c>
      <c r="B127" s="1097" t="s">
        <v>2977</v>
      </c>
      <c r="C127" s="1003" t="s">
        <v>2974</v>
      </c>
      <c r="D127" s="999" t="str">
        <f>VLOOKUP($C127,Table1[#All],2,0)</f>
        <v>BWID HAI DUONG 3</v>
      </c>
      <c r="E127" s="999" t="s">
        <v>92</v>
      </c>
      <c r="F127" s="1093" t="s">
        <v>80</v>
      </c>
      <c r="G127" s="999" t="s">
        <v>310</v>
      </c>
      <c r="H127" s="999" t="str">
        <f>VLOOKUP($C127,Table1[#All],3,0)</f>
        <v>Subsidiaries</v>
      </c>
      <c r="I127" s="999" t="str" cm="1">
        <f t="array" ref="I127">_xlfn.XLOOKUP(Acc_Char!$E127,Table4[[#All],[Branch]],Table4[[#All],[Bank]],"recheck",0)</f>
        <v>BIDV - THANH XUAN</v>
      </c>
    </row>
    <row r="128" spans="1:9">
      <c r="A128" s="998">
        <f t="shared" si="1"/>
        <v>127</v>
      </c>
      <c r="B128" s="1098" t="s">
        <v>2978</v>
      </c>
      <c r="C128" s="1000" t="s">
        <v>2974</v>
      </c>
      <c r="D128" s="932" t="str">
        <f>VLOOKUP($C128,Table1[#All],2,0)</f>
        <v>BWID HAI DUONG 3</v>
      </c>
      <c r="E128" s="932" t="s">
        <v>92</v>
      </c>
      <c r="F128" s="998" t="s">
        <v>80</v>
      </c>
      <c r="G128" s="932" t="s">
        <v>310</v>
      </c>
      <c r="H128" s="932" t="str">
        <f>VLOOKUP($C128,Table1[#All],3,0)</f>
        <v>Subsidiaries</v>
      </c>
      <c r="I128" s="932" t="str" cm="1">
        <f t="array" ref="I128">_xlfn.XLOOKUP(Acc_Char!$E128,Table4[[#All],[Branch]],Table4[[#All],[Bank]],"recheck",0)</f>
        <v>BIDV - THANH XUAN</v>
      </c>
    </row>
    <row r="129" spans="1:9">
      <c r="A129" s="998">
        <f t="shared" si="1"/>
        <v>128</v>
      </c>
      <c r="B129" s="1097" t="s">
        <v>2979</v>
      </c>
      <c r="C129" s="1003" t="s">
        <v>2980</v>
      </c>
      <c r="D129" s="999" t="str">
        <f>VLOOKUP($C129,Table1[#All],2,0)</f>
        <v>BWID THOI HOA</v>
      </c>
      <c r="E129" s="999" t="s">
        <v>153</v>
      </c>
      <c r="F129" s="1093" t="s">
        <v>80</v>
      </c>
      <c r="G129" s="999" t="s">
        <v>308</v>
      </c>
      <c r="H129" s="999" t="str">
        <f>VLOOKUP($C129,Table1[#All],3,0)</f>
        <v>Subsidiaries</v>
      </c>
      <c r="I129" s="999" t="str" cm="1">
        <f t="array" ref="I129">_xlfn.XLOOKUP(Acc_Char!$E129,Table4[[#All],[Branch]],Table4[[#All],[Bank]],"recheck",0)</f>
        <v>VIETINBANK - BINH DUONG + QM</v>
      </c>
    </row>
    <row r="130" spans="1:9">
      <c r="A130" s="998">
        <f t="shared" si="1"/>
        <v>129</v>
      </c>
      <c r="B130" s="1098" t="s">
        <v>519</v>
      </c>
      <c r="C130" s="1000" t="s">
        <v>2980</v>
      </c>
      <c r="D130" s="932" t="str">
        <f>VLOOKUP($C130,Table1[#All],2,0)</f>
        <v>BWID THOI HOA</v>
      </c>
      <c r="E130" s="932" t="s">
        <v>95</v>
      </c>
      <c r="F130" s="998" t="s">
        <v>80</v>
      </c>
      <c r="G130" s="932" t="s">
        <v>308</v>
      </c>
      <c r="H130" s="932" t="str">
        <f>VLOOKUP($C130,Table1[#All],3,0)</f>
        <v>Subsidiaries</v>
      </c>
      <c r="I130" s="932" t="str" cm="1">
        <f t="array" ref="I130">_xlfn.XLOOKUP(Acc_Char!$E130,Table4[[#All],[Branch]],Table4[[#All],[Bank]],"recheck",0)</f>
        <v>OCB - BINH DUONG</v>
      </c>
    </row>
    <row r="131" spans="1:9">
      <c r="A131" s="998">
        <f t="shared" ref="A131:A194" si="2">A130+1</f>
        <v>130</v>
      </c>
      <c r="B131" s="1097" t="s">
        <v>2981</v>
      </c>
      <c r="C131" s="1003" t="s">
        <v>2980</v>
      </c>
      <c r="D131" s="999" t="str">
        <f>VLOOKUP($C131,Table1[#All],2,0)</f>
        <v>BWID THOI HOA</v>
      </c>
      <c r="E131" s="999" t="s">
        <v>95</v>
      </c>
      <c r="F131" s="1093" t="s">
        <v>80</v>
      </c>
      <c r="G131" s="999" t="s">
        <v>310</v>
      </c>
      <c r="H131" s="999" t="str">
        <f>VLOOKUP($C131,Table1[#All],3,0)</f>
        <v>Subsidiaries</v>
      </c>
      <c r="I131" s="999" t="str" cm="1">
        <f t="array" ref="I131">_xlfn.XLOOKUP(Acc_Char!$E131,Table4[[#All],[Branch]],Table4[[#All],[Bank]],"recheck",0)</f>
        <v>OCB - BINH DUONG</v>
      </c>
    </row>
    <row r="132" spans="1:9">
      <c r="A132" s="998">
        <f t="shared" si="2"/>
        <v>131</v>
      </c>
      <c r="B132" s="1098" t="s">
        <v>2982</v>
      </c>
      <c r="C132" s="1000" t="s">
        <v>2980</v>
      </c>
      <c r="D132" s="932" t="str">
        <f>VLOOKUP($C132,Table1[#All],2,0)</f>
        <v>BWID THOI HOA</v>
      </c>
      <c r="E132" s="932" t="s">
        <v>95</v>
      </c>
      <c r="F132" s="998" t="s">
        <v>80</v>
      </c>
      <c r="G132" s="932" t="s">
        <v>310</v>
      </c>
      <c r="H132" s="932" t="str">
        <f>VLOOKUP($C132,Table1[#All],3,0)</f>
        <v>Subsidiaries</v>
      </c>
      <c r="I132" s="932" t="str" cm="1">
        <f t="array" ref="I132">_xlfn.XLOOKUP(Acc_Char!$E132,Table4[[#All],[Branch]],Table4[[#All],[Bank]],"recheck",0)</f>
        <v>OCB - BINH DUONG</v>
      </c>
    </row>
    <row r="133" spans="1:9">
      <c r="A133" s="998">
        <f t="shared" si="2"/>
        <v>132</v>
      </c>
      <c r="B133" s="1097" t="s">
        <v>2983</v>
      </c>
      <c r="C133" s="1003" t="s">
        <v>2980</v>
      </c>
      <c r="D133" s="999" t="str">
        <f>VLOOKUP($C133,Table1[#All],2,0)</f>
        <v>BWID THOI HOA</v>
      </c>
      <c r="E133" s="999" t="s">
        <v>95</v>
      </c>
      <c r="F133" s="1093" t="s">
        <v>80</v>
      </c>
      <c r="G133" s="999" t="s">
        <v>310</v>
      </c>
      <c r="H133" s="999" t="str">
        <f>VLOOKUP($C133,Table1[#All],3,0)</f>
        <v>Subsidiaries</v>
      </c>
      <c r="I133" s="999" t="str" cm="1">
        <f t="array" ref="I133">_xlfn.XLOOKUP(Acc_Char!$E133,Table4[[#All],[Branch]],Table4[[#All],[Bank]],"recheck",0)</f>
        <v>OCB - BINH DUONG</v>
      </c>
    </row>
    <row r="134" spans="1:9">
      <c r="A134" s="998">
        <f t="shared" si="2"/>
        <v>133</v>
      </c>
      <c r="B134" s="1098" t="s">
        <v>2984</v>
      </c>
      <c r="C134" s="1000" t="s">
        <v>2980</v>
      </c>
      <c r="D134" s="932" t="str">
        <f>VLOOKUP($C134,Table1[#All],2,0)</f>
        <v>BWID THOI HOA</v>
      </c>
      <c r="E134" s="932" t="s">
        <v>95</v>
      </c>
      <c r="F134" s="998" t="s">
        <v>80</v>
      </c>
      <c r="G134" s="932" t="s">
        <v>310</v>
      </c>
      <c r="H134" s="932" t="str">
        <f>VLOOKUP($C134,Table1[#All],3,0)</f>
        <v>Subsidiaries</v>
      </c>
      <c r="I134" s="932" t="str" cm="1">
        <f t="array" ref="I134">_xlfn.XLOOKUP(Acc_Char!$E134,Table4[[#All],[Branch]],Table4[[#All],[Bank]],"recheck",0)</f>
        <v>OCB - BINH DUONG</v>
      </c>
    </row>
    <row r="135" spans="1:9">
      <c r="A135" s="998">
        <f t="shared" si="2"/>
        <v>134</v>
      </c>
      <c r="B135" s="1097" t="s">
        <v>2985</v>
      </c>
      <c r="C135" s="1003" t="s">
        <v>2980</v>
      </c>
      <c r="D135" s="999" t="str">
        <f>VLOOKUP($C135,Table1[#All],2,0)</f>
        <v>BWID THOI HOA</v>
      </c>
      <c r="E135" s="999" t="s">
        <v>95</v>
      </c>
      <c r="F135" s="1093" t="s">
        <v>80</v>
      </c>
      <c r="G135" s="999" t="s">
        <v>310</v>
      </c>
      <c r="H135" s="999" t="str">
        <f>VLOOKUP($C135,Table1[#All],3,0)</f>
        <v>Subsidiaries</v>
      </c>
      <c r="I135" s="999" t="str" cm="1">
        <f t="array" ref="I135">_xlfn.XLOOKUP(Acc_Char!$E135,Table4[[#All],[Branch]],Table4[[#All],[Bank]],"recheck",0)</f>
        <v>OCB - BINH DUONG</v>
      </c>
    </row>
    <row r="136" spans="1:9">
      <c r="A136" s="998">
        <f t="shared" si="2"/>
        <v>135</v>
      </c>
      <c r="B136" s="1098" t="s">
        <v>2986</v>
      </c>
      <c r="C136" s="1000" t="s">
        <v>2980</v>
      </c>
      <c r="D136" s="932" t="str">
        <f>VLOOKUP($C136,Table1[#All],2,0)</f>
        <v>BWID THOI HOA</v>
      </c>
      <c r="E136" s="932" t="s">
        <v>95</v>
      </c>
      <c r="F136" s="998" t="s">
        <v>80</v>
      </c>
      <c r="G136" s="932" t="s">
        <v>310</v>
      </c>
      <c r="H136" s="932" t="str">
        <f>VLOOKUP($C136,Table1[#All],3,0)</f>
        <v>Subsidiaries</v>
      </c>
      <c r="I136" s="932" t="str" cm="1">
        <f t="array" ref="I136">_xlfn.XLOOKUP(Acc_Char!$E136,Table4[[#All],[Branch]],Table4[[#All],[Bank]],"recheck",0)</f>
        <v>OCB - BINH DUONG</v>
      </c>
    </row>
    <row r="137" spans="1:9">
      <c r="A137" s="998">
        <f t="shared" si="2"/>
        <v>136</v>
      </c>
      <c r="B137" s="1097" t="s">
        <v>2987</v>
      </c>
      <c r="C137" s="1003" t="s">
        <v>2980</v>
      </c>
      <c r="D137" s="999" t="str">
        <f>VLOOKUP($C137,Table1[#All],2,0)</f>
        <v>BWID THOI HOA</v>
      </c>
      <c r="E137" s="999" t="s">
        <v>95</v>
      </c>
      <c r="F137" s="1093" t="s">
        <v>80</v>
      </c>
      <c r="G137" s="999" t="s">
        <v>310</v>
      </c>
      <c r="H137" s="999" t="str">
        <f>VLOOKUP($C137,Table1[#All],3,0)</f>
        <v>Subsidiaries</v>
      </c>
      <c r="I137" s="999" t="str" cm="1">
        <f t="array" ref="I137">_xlfn.XLOOKUP(Acc_Char!$E137,Table4[[#All],[Branch]],Table4[[#All],[Bank]],"recheck",0)</f>
        <v>OCB - BINH DUONG</v>
      </c>
    </row>
    <row r="138" spans="1:9">
      <c r="A138" s="998">
        <f t="shared" si="2"/>
        <v>137</v>
      </c>
      <c r="B138" s="1098" t="s">
        <v>2988</v>
      </c>
      <c r="C138" s="1000" t="s">
        <v>2980</v>
      </c>
      <c r="D138" s="932" t="str">
        <f>VLOOKUP($C138,Table1[#All],2,0)</f>
        <v>BWID THOI HOA</v>
      </c>
      <c r="E138" s="932" t="s">
        <v>95</v>
      </c>
      <c r="F138" s="998" t="s">
        <v>80</v>
      </c>
      <c r="G138" s="932" t="s">
        <v>310</v>
      </c>
      <c r="H138" s="932" t="str">
        <f>VLOOKUP($C138,Table1[#All],3,0)</f>
        <v>Subsidiaries</v>
      </c>
      <c r="I138" s="932" t="str" cm="1">
        <f t="array" ref="I138">_xlfn.XLOOKUP(Acc_Char!$E138,Table4[[#All],[Branch]],Table4[[#All],[Bank]],"recheck",0)</f>
        <v>OCB - BINH DUONG</v>
      </c>
    </row>
    <row r="139" spans="1:9">
      <c r="A139" s="998">
        <f t="shared" si="2"/>
        <v>138</v>
      </c>
      <c r="B139" s="1097" t="s">
        <v>2989</v>
      </c>
      <c r="C139" s="1003" t="s">
        <v>2980</v>
      </c>
      <c r="D139" s="999" t="str">
        <f>VLOOKUP($C139,Table1[#All],2,0)</f>
        <v>BWID THOI HOA</v>
      </c>
      <c r="E139" s="999" t="s">
        <v>95</v>
      </c>
      <c r="F139" s="1093" t="s">
        <v>80</v>
      </c>
      <c r="G139" s="999" t="s">
        <v>310</v>
      </c>
      <c r="H139" s="999" t="str">
        <f>VLOOKUP($C139,Table1[#All],3,0)</f>
        <v>Subsidiaries</v>
      </c>
      <c r="I139" s="999" t="str" cm="1">
        <f t="array" ref="I139">_xlfn.XLOOKUP(Acc_Char!$E139,Table4[[#All],[Branch]],Table4[[#All],[Bank]],"recheck",0)</f>
        <v>OCB - BINH DUONG</v>
      </c>
    </row>
    <row r="140" spans="1:9">
      <c r="A140" s="998">
        <f t="shared" si="2"/>
        <v>139</v>
      </c>
      <c r="B140" s="1098" t="s">
        <v>2990</v>
      </c>
      <c r="C140" s="1000" t="s">
        <v>2980</v>
      </c>
      <c r="D140" s="932" t="str">
        <f>VLOOKUP($C140,Table1[#All],2,0)</f>
        <v>BWID THOI HOA</v>
      </c>
      <c r="E140" s="932" t="s">
        <v>95</v>
      </c>
      <c r="F140" s="998" t="s">
        <v>80</v>
      </c>
      <c r="G140" s="932" t="s">
        <v>310</v>
      </c>
      <c r="H140" s="932" t="str">
        <f>VLOOKUP($C140,Table1[#All],3,0)</f>
        <v>Subsidiaries</v>
      </c>
      <c r="I140" s="932" t="str" cm="1">
        <f t="array" ref="I140">_xlfn.XLOOKUP(Acc_Char!$E140,Table4[[#All],[Branch]],Table4[[#All],[Bank]],"recheck",0)</f>
        <v>OCB - BINH DUONG</v>
      </c>
    </row>
    <row r="141" spans="1:9">
      <c r="A141" s="998">
        <f t="shared" si="2"/>
        <v>140</v>
      </c>
      <c r="B141" s="1097" t="s">
        <v>2991</v>
      </c>
      <c r="C141" s="1003" t="s">
        <v>2980</v>
      </c>
      <c r="D141" s="999" t="str">
        <f>VLOOKUP($C141,Table1[#All],2,0)</f>
        <v>BWID THOI HOA</v>
      </c>
      <c r="E141" s="999" t="s">
        <v>95</v>
      </c>
      <c r="F141" s="1093" t="s">
        <v>80</v>
      </c>
      <c r="G141" s="999" t="s">
        <v>310</v>
      </c>
      <c r="H141" s="999" t="str">
        <f>VLOOKUP($C141,Table1[#All],3,0)</f>
        <v>Subsidiaries</v>
      </c>
      <c r="I141" s="999" t="str" cm="1">
        <f t="array" ref="I141">_xlfn.XLOOKUP(Acc_Char!$E141,Table4[[#All],[Branch]],Table4[[#All],[Bank]],"recheck",0)</f>
        <v>OCB - BINH DUONG</v>
      </c>
    </row>
    <row r="142" spans="1:9">
      <c r="A142" s="998">
        <f t="shared" si="2"/>
        <v>141</v>
      </c>
      <c r="B142" s="1098" t="s">
        <v>2992</v>
      </c>
      <c r="C142" s="1000" t="s">
        <v>2980</v>
      </c>
      <c r="D142" s="932" t="str">
        <f>VLOOKUP($C142,Table1[#All],2,0)</f>
        <v>BWID THOI HOA</v>
      </c>
      <c r="E142" s="932" t="s">
        <v>95</v>
      </c>
      <c r="F142" s="998" t="s">
        <v>80</v>
      </c>
      <c r="G142" s="932" t="s">
        <v>310</v>
      </c>
      <c r="H142" s="932" t="str">
        <f>VLOOKUP($C142,Table1[#All],3,0)</f>
        <v>Subsidiaries</v>
      </c>
      <c r="I142" s="932" t="str" cm="1">
        <f t="array" ref="I142">_xlfn.XLOOKUP(Acc_Char!$E142,Table4[[#All],[Branch]],Table4[[#All],[Bank]],"recheck",0)</f>
        <v>OCB - BINH DUONG</v>
      </c>
    </row>
    <row r="143" spans="1:9">
      <c r="A143" s="998">
        <f t="shared" si="2"/>
        <v>142</v>
      </c>
      <c r="B143" s="1097" t="s">
        <v>2993</v>
      </c>
      <c r="C143" s="1003" t="s">
        <v>2980</v>
      </c>
      <c r="D143" s="999" t="str">
        <f>VLOOKUP($C143,Table1[#All],2,0)</f>
        <v>BWID THOI HOA</v>
      </c>
      <c r="E143" s="999" t="s">
        <v>95</v>
      </c>
      <c r="F143" s="1093" t="s">
        <v>80</v>
      </c>
      <c r="G143" s="999" t="s">
        <v>310</v>
      </c>
      <c r="H143" s="999" t="str">
        <f>VLOOKUP($C143,Table1[#All],3,0)</f>
        <v>Subsidiaries</v>
      </c>
      <c r="I143" s="999" t="str" cm="1">
        <f t="array" ref="I143">_xlfn.XLOOKUP(Acc_Char!$E143,Table4[[#All],[Branch]],Table4[[#All],[Bank]],"recheck",0)</f>
        <v>OCB - BINH DUONG</v>
      </c>
    </row>
    <row r="144" spans="1:9">
      <c r="A144" s="998">
        <f t="shared" si="2"/>
        <v>143</v>
      </c>
      <c r="B144" s="1098" t="s">
        <v>2994</v>
      </c>
      <c r="C144" s="1000" t="s">
        <v>2980</v>
      </c>
      <c r="D144" s="932" t="str">
        <f>VLOOKUP($C144,Table1[#All],2,0)</f>
        <v>BWID THOI HOA</v>
      </c>
      <c r="E144" s="932" t="s">
        <v>95</v>
      </c>
      <c r="F144" s="998" t="s">
        <v>80</v>
      </c>
      <c r="G144" s="932" t="s">
        <v>310</v>
      </c>
      <c r="H144" s="932" t="str">
        <f>VLOOKUP($C144,Table1[#All],3,0)</f>
        <v>Subsidiaries</v>
      </c>
      <c r="I144" s="932" t="str" cm="1">
        <f t="array" ref="I144">_xlfn.XLOOKUP(Acc_Char!$E144,Table4[[#All],[Branch]],Table4[[#All],[Bank]],"recheck",0)</f>
        <v>OCB - BINH DUONG</v>
      </c>
    </row>
    <row r="145" spans="1:9">
      <c r="A145" s="998">
        <f t="shared" si="2"/>
        <v>144</v>
      </c>
      <c r="B145" s="1097" t="s">
        <v>2995</v>
      </c>
      <c r="C145" s="1003" t="s">
        <v>2980</v>
      </c>
      <c r="D145" s="999" t="str">
        <f>VLOOKUP($C145,Table1[#All],2,0)</f>
        <v>BWID THOI HOA</v>
      </c>
      <c r="E145" s="999" t="s">
        <v>95</v>
      </c>
      <c r="F145" s="1093" t="s">
        <v>80</v>
      </c>
      <c r="G145" s="999" t="s">
        <v>310</v>
      </c>
      <c r="H145" s="999" t="str">
        <f>VLOOKUP($C145,Table1[#All],3,0)</f>
        <v>Subsidiaries</v>
      </c>
      <c r="I145" s="999" t="str" cm="1">
        <f t="array" ref="I145">_xlfn.XLOOKUP(Acc_Char!$E145,Table4[[#All],[Branch]],Table4[[#All],[Bank]],"recheck",0)</f>
        <v>OCB - BINH DUONG</v>
      </c>
    </row>
    <row r="146" spans="1:9">
      <c r="A146" s="998">
        <f t="shared" si="2"/>
        <v>145</v>
      </c>
      <c r="B146" s="1098" t="s">
        <v>521</v>
      </c>
      <c r="C146" s="1000" t="s">
        <v>2996</v>
      </c>
      <c r="D146" s="932" t="str">
        <f>VLOOKUP($C146,Table1[#All],2,0)</f>
        <v>TH1 HOLDCO</v>
      </c>
      <c r="E146" s="932" t="s">
        <v>86</v>
      </c>
      <c r="F146" s="998" t="s">
        <v>80</v>
      </c>
      <c r="G146" s="932" t="s">
        <v>308</v>
      </c>
      <c r="H146" s="932" t="str">
        <f>VLOOKUP($C146,Table1[#All],3,0)</f>
        <v>Subsidiaries</v>
      </c>
      <c r="I146" s="932" t="str" cm="1">
        <f t="array" ref="I146">_xlfn.XLOOKUP(Acc_Char!$E146,Table4[[#All],[Branch]],Table4[[#All],[Bank]],"recheck",0)</f>
        <v>VIETINBANK - CN1</v>
      </c>
    </row>
    <row r="147" spans="1:9">
      <c r="A147" s="998">
        <f t="shared" si="2"/>
        <v>146</v>
      </c>
      <c r="B147" s="1097" t="s">
        <v>2997</v>
      </c>
      <c r="C147" s="1003" t="s">
        <v>2998</v>
      </c>
      <c r="D147" s="999" t="str">
        <f>VLOOKUP($C147,Table1[#All],2,0)</f>
        <v>BWID THOI HOA 2</v>
      </c>
      <c r="E147" s="999" t="s">
        <v>153</v>
      </c>
      <c r="F147" s="1093" t="s">
        <v>80</v>
      </c>
      <c r="G147" s="999" t="s">
        <v>308</v>
      </c>
      <c r="H147" s="999" t="str">
        <f>VLOOKUP($C147,Table1[#All],3,0)</f>
        <v>Subsidiaries</v>
      </c>
      <c r="I147" s="999" t="str" cm="1">
        <f t="array" ref="I147">_xlfn.XLOOKUP(Acc_Char!$E147,Table4[[#All],[Branch]],Table4[[#All],[Bank]],"recheck",0)</f>
        <v>VIETINBANK - BINH DUONG + QM</v>
      </c>
    </row>
    <row r="148" spans="1:9">
      <c r="A148" s="998">
        <f t="shared" si="2"/>
        <v>147</v>
      </c>
      <c r="B148" s="1098" t="s">
        <v>523</v>
      </c>
      <c r="C148" s="1000" t="s">
        <v>2998</v>
      </c>
      <c r="D148" s="932" t="str">
        <f>VLOOKUP($C148,Table1[#All],2,0)</f>
        <v>BWID THOI HOA 2</v>
      </c>
      <c r="E148" s="932" t="s">
        <v>95</v>
      </c>
      <c r="F148" s="998" t="s">
        <v>80</v>
      </c>
      <c r="G148" s="932" t="s">
        <v>308</v>
      </c>
      <c r="H148" s="932" t="str">
        <f>VLOOKUP($C148,Table1[#All],3,0)</f>
        <v>Subsidiaries</v>
      </c>
      <c r="I148" s="932" t="str" cm="1">
        <f t="array" ref="I148">_xlfn.XLOOKUP(Acc_Char!$E148,Table4[[#All],[Branch]],Table4[[#All],[Bank]],"recheck",0)</f>
        <v>OCB - BINH DUONG</v>
      </c>
    </row>
    <row r="149" spans="1:9">
      <c r="A149" s="998">
        <f t="shared" si="2"/>
        <v>148</v>
      </c>
      <c r="B149" s="1097" t="s">
        <v>2999</v>
      </c>
      <c r="C149" s="1003" t="s">
        <v>2998</v>
      </c>
      <c r="D149" s="999" t="str">
        <f>VLOOKUP($C149,Table1[#All],2,0)</f>
        <v>BWID THOI HOA 2</v>
      </c>
      <c r="E149" s="999" t="s">
        <v>95</v>
      </c>
      <c r="F149" s="1093" t="s">
        <v>80</v>
      </c>
      <c r="G149" s="999" t="s">
        <v>310</v>
      </c>
      <c r="H149" s="999" t="str">
        <f>VLOOKUP($C149,Table1[#All],3,0)</f>
        <v>Subsidiaries</v>
      </c>
      <c r="I149" s="999" t="str" cm="1">
        <f t="array" ref="I149">_xlfn.XLOOKUP(Acc_Char!$E149,Table4[[#All],[Branch]],Table4[[#All],[Bank]],"recheck",0)</f>
        <v>OCB - BINH DUONG</v>
      </c>
    </row>
    <row r="150" spans="1:9">
      <c r="A150" s="998">
        <f t="shared" si="2"/>
        <v>149</v>
      </c>
      <c r="B150" s="1098" t="s">
        <v>3000</v>
      </c>
      <c r="C150" s="1000" t="s">
        <v>2998</v>
      </c>
      <c r="D150" s="932" t="str">
        <f>VLOOKUP($C150,Table1[#All],2,0)</f>
        <v>BWID THOI HOA 2</v>
      </c>
      <c r="E150" s="932" t="s">
        <v>95</v>
      </c>
      <c r="F150" s="998" t="s">
        <v>80</v>
      </c>
      <c r="G150" s="932" t="s">
        <v>310</v>
      </c>
      <c r="H150" s="932" t="str">
        <f>VLOOKUP($C150,Table1[#All],3,0)</f>
        <v>Subsidiaries</v>
      </c>
      <c r="I150" s="932" t="str" cm="1">
        <f t="array" ref="I150">_xlfn.XLOOKUP(Acc_Char!$E150,Table4[[#All],[Branch]],Table4[[#All],[Bank]],"recheck",0)</f>
        <v>OCB - BINH DUONG</v>
      </c>
    </row>
    <row r="151" spans="1:9">
      <c r="A151" s="998">
        <f t="shared" si="2"/>
        <v>150</v>
      </c>
      <c r="B151" s="1097" t="s">
        <v>3001</v>
      </c>
      <c r="C151" s="1003" t="s">
        <v>2998</v>
      </c>
      <c r="D151" s="999" t="str">
        <f>VLOOKUP($C151,Table1[#All],2,0)</f>
        <v>BWID THOI HOA 2</v>
      </c>
      <c r="E151" s="999" t="s">
        <v>95</v>
      </c>
      <c r="F151" s="1093" t="s">
        <v>80</v>
      </c>
      <c r="G151" s="999" t="s">
        <v>310</v>
      </c>
      <c r="H151" s="999" t="str">
        <f>VLOOKUP($C151,Table1[#All],3,0)</f>
        <v>Subsidiaries</v>
      </c>
      <c r="I151" s="999" t="str" cm="1">
        <f t="array" ref="I151">_xlfn.XLOOKUP(Acc_Char!$E151,Table4[[#All],[Branch]],Table4[[#All],[Bank]],"recheck",0)</f>
        <v>OCB - BINH DUONG</v>
      </c>
    </row>
    <row r="152" spans="1:9">
      <c r="A152" s="998">
        <f t="shared" si="2"/>
        <v>151</v>
      </c>
      <c r="B152" s="1098" t="s">
        <v>3002</v>
      </c>
      <c r="C152" s="1000" t="s">
        <v>2998</v>
      </c>
      <c r="D152" s="932" t="str">
        <f>VLOOKUP($C152,Table1[#All],2,0)</f>
        <v>BWID THOI HOA 2</v>
      </c>
      <c r="E152" s="932" t="s">
        <v>95</v>
      </c>
      <c r="F152" s="998" t="s">
        <v>80</v>
      </c>
      <c r="G152" s="932" t="s">
        <v>310</v>
      </c>
      <c r="H152" s="932" t="str">
        <f>VLOOKUP($C152,Table1[#All],3,0)</f>
        <v>Subsidiaries</v>
      </c>
      <c r="I152" s="932" t="str" cm="1">
        <f t="array" ref="I152">_xlfn.XLOOKUP(Acc_Char!$E152,Table4[[#All],[Branch]],Table4[[#All],[Bank]],"recheck",0)</f>
        <v>OCB - BINH DUONG</v>
      </c>
    </row>
    <row r="153" spans="1:9">
      <c r="A153" s="998">
        <f t="shared" si="2"/>
        <v>152</v>
      </c>
      <c r="B153" s="1097" t="s">
        <v>3003</v>
      </c>
      <c r="C153" s="1003" t="s">
        <v>2998</v>
      </c>
      <c r="D153" s="999" t="str">
        <f>VLOOKUP($C153,Table1[#All],2,0)</f>
        <v>BWID THOI HOA 2</v>
      </c>
      <c r="E153" s="999" t="s">
        <v>95</v>
      </c>
      <c r="F153" s="1093" t="s">
        <v>80</v>
      </c>
      <c r="G153" s="999" t="s">
        <v>310</v>
      </c>
      <c r="H153" s="999" t="str">
        <f>VLOOKUP($C153,Table1[#All],3,0)</f>
        <v>Subsidiaries</v>
      </c>
      <c r="I153" s="999" t="str" cm="1">
        <f t="array" ref="I153">_xlfn.XLOOKUP(Acc_Char!$E153,Table4[[#All],[Branch]],Table4[[#All],[Bank]],"recheck",0)</f>
        <v>OCB - BINH DUONG</v>
      </c>
    </row>
    <row r="154" spans="1:9">
      <c r="A154" s="998">
        <f t="shared" si="2"/>
        <v>153</v>
      </c>
      <c r="B154" s="1098" t="s">
        <v>3004</v>
      </c>
      <c r="C154" s="1000" t="s">
        <v>2998</v>
      </c>
      <c r="D154" s="932" t="str">
        <f>VLOOKUP($C154,Table1[#All],2,0)</f>
        <v>BWID THOI HOA 2</v>
      </c>
      <c r="E154" s="932" t="s">
        <v>95</v>
      </c>
      <c r="F154" s="998" t="s">
        <v>80</v>
      </c>
      <c r="G154" s="932" t="s">
        <v>310</v>
      </c>
      <c r="H154" s="932" t="str">
        <f>VLOOKUP($C154,Table1[#All],3,0)</f>
        <v>Subsidiaries</v>
      </c>
      <c r="I154" s="932" t="str" cm="1">
        <f t="array" ref="I154">_xlfn.XLOOKUP(Acc_Char!$E154,Table4[[#All],[Branch]],Table4[[#All],[Bank]],"recheck",0)</f>
        <v>OCB - BINH DUONG</v>
      </c>
    </row>
    <row r="155" spans="1:9">
      <c r="A155" s="998">
        <f t="shared" si="2"/>
        <v>154</v>
      </c>
      <c r="B155" s="1097" t="s">
        <v>3005</v>
      </c>
      <c r="C155" s="1003" t="s">
        <v>2998</v>
      </c>
      <c r="D155" s="999" t="str">
        <f>VLOOKUP($C155,Table1[#All],2,0)</f>
        <v>BWID THOI HOA 2</v>
      </c>
      <c r="E155" s="999" t="s">
        <v>95</v>
      </c>
      <c r="F155" s="1093" t="s">
        <v>80</v>
      </c>
      <c r="G155" s="999" t="s">
        <v>310</v>
      </c>
      <c r="H155" s="999" t="str">
        <f>VLOOKUP($C155,Table1[#All],3,0)</f>
        <v>Subsidiaries</v>
      </c>
      <c r="I155" s="999" t="str" cm="1">
        <f t="array" ref="I155">_xlfn.XLOOKUP(Acc_Char!$E155,Table4[[#All],[Branch]],Table4[[#All],[Bank]],"recheck",0)</f>
        <v>OCB - BINH DUONG</v>
      </c>
    </row>
    <row r="156" spans="1:9">
      <c r="A156" s="998">
        <f t="shared" si="2"/>
        <v>155</v>
      </c>
      <c r="B156" s="1098" t="s">
        <v>3006</v>
      </c>
      <c r="C156" s="1000" t="s">
        <v>2998</v>
      </c>
      <c r="D156" s="932" t="str">
        <f>VLOOKUP($C156,Table1[#All],2,0)</f>
        <v>BWID THOI HOA 2</v>
      </c>
      <c r="E156" s="932" t="s">
        <v>95</v>
      </c>
      <c r="F156" s="998" t="s">
        <v>80</v>
      </c>
      <c r="G156" s="932" t="s">
        <v>310</v>
      </c>
      <c r="H156" s="932" t="str">
        <f>VLOOKUP($C156,Table1[#All],3,0)</f>
        <v>Subsidiaries</v>
      </c>
      <c r="I156" s="932" t="str" cm="1">
        <f t="array" ref="I156">_xlfn.XLOOKUP(Acc_Char!$E156,Table4[[#All],[Branch]],Table4[[#All],[Bank]],"recheck",0)</f>
        <v>OCB - BINH DUONG</v>
      </c>
    </row>
    <row r="157" spans="1:9">
      <c r="A157" s="998">
        <f t="shared" si="2"/>
        <v>156</v>
      </c>
      <c r="B157" s="1097" t="s">
        <v>3007</v>
      </c>
      <c r="C157" s="1003" t="s">
        <v>2998</v>
      </c>
      <c r="D157" s="999" t="str">
        <f>VLOOKUP($C157,Table1[#All],2,0)</f>
        <v>BWID THOI HOA 2</v>
      </c>
      <c r="E157" s="999" t="s">
        <v>95</v>
      </c>
      <c r="F157" s="1093" t="s">
        <v>80</v>
      </c>
      <c r="G157" s="999" t="s">
        <v>310</v>
      </c>
      <c r="H157" s="999" t="str">
        <f>VLOOKUP($C157,Table1[#All],3,0)</f>
        <v>Subsidiaries</v>
      </c>
      <c r="I157" s="999" t="str" cm="1">
        <f t="array" ref="I157">_xlfn.XLOOKUP(Acc_Char!$E157,Table4[[#All],[Branch]],Table4[[#All],[Bank]],"recheck",0)</f>
        <v>OCB - BINH DUONG</v>
      </c>
    </row>
    <row r="158" spans="1:9">
      <c r="A158" s="998">
        <f t="shared" si="2"/>
        <v>157</v>
      </c>
      <c r="B158" s="1098" t="s">
        <v>3008</v>
      </c>
      <c r="C158" s="1000" t="s">
        <v>2998</v>
      </c>
      <c r="D158" s="932" t="str">
        <f>VLOOKUP($C158,Table1[#All],2,0)</f>
        <v>BWID THOI HOA 2</v>
      </c>
      <c r="E158" s="932" t="s">
        <v>95</v>
      </c>
      <c r="F158" s="998" t="s">
        <v>80</v>
      </c>
      <c r="G158" s="932" t="s">
        <v>310</v>
      </c>
      <c r="H158" s="932" t="str">
        <f>VLOOKUP($C158,Table1[#All],3,0)</f>
        <v>Subsidiaries</v>
      </c>
      <c r="I158" s="932" t="str" cm="1">
        <f t="array" ref="I158">_xlfn.XLOOKUP(Acc_Char!$E158,Table4[[#All],[Branch]],Table4[[#All],[Bank]],"recheck",0)</f>
        <v>OCB - BINH DUONG</v>
      </c>
    </row>
    <row r="159" spans="1:9">
      <c r="A159" s="998">
        <f t="shared" si="2"/>
        <v>158</v>
      </c>
      <c r="B159" s="1097" t="s">
        <v>525</v>
      </c>
      <c r="C159" s="1003" t="s">
        <v>3009</v>
      </c>
      <c r="D159" s="999" t="str">
        <f>VLOOKUP($C159,Table1[#All],2,0)</f>
        <v>TH2 HOLDCO</v>
      </c>
      <c r="E159" s="999" t="s">
        <v>86</v>
      </c>
      <c r="F159" s="1093" t="s">
        <v>80</v>
      </c>
      <c r="G159" s="999" t="s">
        <v>308</v>
      </c>
      <c r="H159" s="999" t="str">
        <f>VLOOKUP($C159,Table1[#All],3,0)</f>
        <v>Subsidiaries</v>
      </c>
      <c r="I159" s="999" t="str" cm="1">
        <f t="array" ref="I159">_xlfn.XLOOKUP(Acc_Char!$E159,Table4[[#All],[Branch]],Table4[[#All],[Bank]],"recheck",0)</f>
        <v>VIETINBANK - CN1</v>
      </c>
    </row>
    <row r="160" spans="1:9">
      <c r="A160" s="998">
        <f t="shared" si="2"/>
        <v>159</v>
      </c>
      <c r="B160" s="1098" t="s">
        <v>528</v>
      </c>
      <c r="C160" s="1000" t="s">
        <v>3010</v>
      </c>
      <c r="D160" s="932" t="str">
        <f>VLOOKUP($C160,Table1[#All],2,0)</f>
        <v>BWID LOGISTICS TAN UYEN</v>
      </c>
      <c r="E160" s="932" t="s">
        <v>527</v>
      </c>
      <c r="F160" s="998" t="s">
        <v>80</v>
      </c>
      <c r="G160" s="932" t="s">
        <v>308</v>
      </c>
      <c r="H160" s="932" t="str">
        <f>VLOOKUP($C160,Table1[#All],3,0)</f>
        <v>Subsidiaries</v>
      </c>
      <c r="I160" s="932" t="str" cm="1">
        <f t="array" ref="I160">_xlfn.XLOOKUP(Acc_Char!$E160,Table4[[#All],[Branch]],Table4[[#All],[Bank]],"recheck",0)</f>
        <v>OTHERS</v>
      </c>
    </row>
    <row r="161" spans="1:9">
      <c r="A161" s="998">
        <f t="shared" si="2"/>
        <v>160</v>
      </c>
      <c r="B161" s="1097" t="s">
        <v>529</v>
      </c>
      <c r="C161" s="1003" t="s">
        <v>3010</v>
      </c>
      <c r="D161" s="999" t="str">
        <f>VLOOKUP($C161,Table1[#All],2,0)</f>
        <v>BWID LOGISTICS TAN UYEN</v>
      </c>
      <c r="E161" s="999" t="s">
        <v>89</v>
      </c>
      <c r="F161" s="1093" t="s">
        <v>80</v>
      </c>
      <c r="G161" s="999" t="s">
        <v>308</v>
      </c>
      <c r="H161" s="999" t="str">
        <f>VLOOKUP($C161,Table1[#All],3,0)</f>
        <v>Subsidiaries</v>
      </c>
      <c r="I161" s="999" t="str" cm="1">
        <f t="array" ref="I161">_xlfn.XLOOKUP(Acc_Char!$E161,Table4[[#All],[Branch]],Table4[[#All],[Bank]],"recheck",0)</f>
        <v>VIETCOMBANK - BA DINH</v>
      </c>
    </row>
    <row r="162" spans="1:9">
      <c r="A162" s="998">
        <f t="shared" si="2"/>
        <v>161</v>
      </c>
      <c r="B162" s="1098" t="s">
        <v>690</v>
      </c>
      <c r="C162" s="1000" t="s">
        <v>3011</v>
      </c>
      <c r="D162" s="932" t="str">
        <f>VLOOKUP($C162,Table1[#All],2,0)</f>
        <v>HOLDCO5H</v>
      </c>
      <c r="E162" s="932" t="s">
        <v>85</v>
      </c>
      <c r="F162" s="998" t="s">
        <v>81</v>
      </c>
      <c r="G162" s="932" t="s">
        <v>308</v>
      </c>
      <c r="H162" s="932" t="str">
        <f>VLOOKUP($C162,Table1[#All],3,0)</f>
        <v>Subsidiaries</v>
      </c>
      <c r="I162" s="932" t="str" cm="1">
        <f t="array" ref="I162">_xlfn.XLOOKUP(Acc_Char!$E458,Table4[[#All],[Branch]],Table4[[#All],[Bank]],"recheck",0)</f>
        <v>STANDARD CHARTERED</v>
      </c>
    </row>
    <row r="163" spans="1:9">
      <c r="A163" s="998">
        <f t="shared" si="2"/>
        <v>162</v>
      </c>
      <c r="B163" s="1097" t="s">
        <v>3012</v>
      </c>
      <c r="C163" s="1003" t="s">
        <v>3010</v>
      </c>
      <c r="D163" s="999" t="str">
        <f>VLOOKUP($C163,Table1[#All],2,0)</f>
        <v>BWID LOGISTICS TAN UYEN</v>
      </c>
      <c r="E163" s="999" t="s">
        <v>89</v>
      </c>
      <c r="F163" s="1093" t="s">
        <v>80</v>
      </c>
      <c r="G163" s="999" t="s">
        <v>310</v>
      </c>
      <c r="H163" s="999" t="str">
        <f>VLOOKUP($C163,Table1[#All],3,0)</f>
        <v>Subsidiaries</v>
      </c>
      <c r="I163" s="999" t="str" cm="1">
        <f t="array" ref="I163">_xlfn.XLOOKUP(Acc_Char!$E163,Table4[[#All],[Branch]],Table4[[#All],[Bank]],"recheck",0)</f>
        <v>VIETCOMBANK - BA DINH</v>
      </c>
    </row>
    <row r="164" spans="1:9">
      <c r="A164" s="998">
        <f t="shared" si="2"/>
        <v>163</v>
      </c>
      <c r="B164" s="1098" t="s">
        <v>3013</v>
      </c>
      <c r="C164" s="1000" t="s">
        <v>3010</v>
      </c>
      <c r="D164" s="932" t="str">
        <f>VLOOKUP($C164,Table1[#All],2,0)</f>
        <v>BWID LOGISTICS TAN UYEN</v>
      </c>
      <c r="E164" s="932" t="s">
        <v>89</v>
      </c>
      <c r="F164" s="998" t="s">
        <v>80</v>
      </c>
      <c r="G164" s="932" t="s">
        <v>310</v>
      </c>
      <c r="H164" s="932" t="str">
        <f>VLOOKUP($C164,Table1[#All],3,0)</f>
        <v>Subsidiaries</v>
      </c>
      <c r="I164" s="932" t="str" cm="1">
        <f t="array" ref="I164">_xlfn.XLOOKUP(Acc_Char!$E164,Table4[[#All],[Branch]],Table4[[#All],[Bank]],"recheck",0)</f>
        <v>VIETCOMBANK - BA DINH</v>
      </c>
    </row>
    <row r="165" spans="1:9">
      <c r="A165" s="998">
        <f t="shared" si="2"/>
        <v>164</v>
      </c>
      <c r="B165" s="1097" t="s">
        <v>3014</v>
      </c>
      <c r="C165" s="1003" t="s">
        <v>3010</v>
      </c>
      <c r="D165" s="999" t="str">
        <f>VLOOKUP($C165,Table1[#All],2,0)</f>
        <v>BWID LOGISTICS TAN UYEN</v>
      </c>
      <c r="E165" s="999" t="s">
        <v>89</v>
      </c>
      <c r="F165" s="1093" t="s">
        <v>80</v>
      </c>
      <c r="G165" s="999" t="s">
        <v>310</v>
      </c>
      <c r="H165" s="999" t="str">
        <f>VLOOKUP($C165,Table1[#All],3,0)</f>
        <v>Subsidiaries</v>
      </c>
      <c r="I165" s="999" t="str" cm="1">
        <f t="array" ref="I165">_xlfn.XLOOKUP(Acc_Char!$E165,Table4[[#All],[Branch]],Table4[[#All],[Bank]],"recheck",0)</f>
        <v>VIETCOMBANK - BA DINH</v>
      </c>
    </row>
    <row r="166" spans="1:9">
      <c r="A166" s="998">
        <f t="shared" si="2"/>
        <v>165</v>
      </c>
      <c r="B166" s="1098" t="s">
        <v>3015</v>
      </c>
      <c r="C166" s="1000" t="s">
        <v>3010</v>
      </c>
      <c r="D166" s="932" t="str">
        <f>VLOOKUP($C166,Table1[#All],2,0)</f>
        <v>BWID LOGISTICS TAN UYEN</v>
      </c>
      <c r="E166" s="932" t="s">
        <v>89</v>
      </c>
      <c r="F166" s="998" t="s">
        <v>80</v>
      </c>
      <c r="G166" s="932" t="s">
        <v>310</v>
      </c>
      <c r="H166" s="932" t="str">
        <f>VLOOKUP($C166,Table1[#All],3,0)</f>
        <v>Subsidiaries</v>
      </c>
      <c r="I166" s="932" t="str" cm="1">
        <f t="array" ref="I166">_xlfn.XLOOKUP(Acc_Char!$E166,Table4[[#All],[Branch]],Table4[[#All],[Bank]],"recheck",0)</f>
        <v>VIETCOMBANK - BA DINH</v>
      </c>
    </row>
    <row r="167" spans="1:9">
      <c r="A167" s="998">
        <f t="shared" si="2"/>
        <v>166</v>
      </c>
      <c r="B167" s="1097" t="s">
        <v>3016</v>
      </c>
      <c r="C167" s="1003" t="s">
        <v>3010</v>
      </c>
      <c r="D167" s="999" t="str">
        <f>VLOOKUP($C167,Table1[#All],2,0)</f>
        <v>BWID LOGISTICS TAN UYEN</v>
      </c>
      <c r="E167" s="999" t="s">
        <v>89</v>
      </c>
      <c r="F167" s="1093" t="s">
        <v>80</v>
      </c>
      <c r="G167" s="999" t="s">
        <v>310</v>
      </c>
      <c r="H167" s="999" t="str">
        <f>VLOOKUP($C167,Table1[#All],3,0)</f>
        <v>Subsidiaries</v>
      </c>
      <c r="I167" s="999" t="str" cm="1">
        <f t="array" ref="I167">_xlfn.XLOOKUP(Acc_Char!$E167,Table4[[#All],[Branch]],Table4[[#All],[Bank]],"recheck",0)</f>
        <v>VIETCOMBANK - BA DINH</v>
      </c>
    </row>
    <row r="168" spans="1:9">
      <c r="A168" s="998">
        <f t="shared" si="2"/>
        <v>167</v>
      </c>
      <c r="B168" s="1098" t="s">
        <v>3017</v>
      </c>
      <c r="C168" s="1000" t="s">
        <v>3010</v>
      </c>
      <c r="D168" s="932" t="str">
        <f>VLOOKUP($C168,Table1[#All],2,0)</f>
        <v>BWID LOGISTICS TAN UYEN</v>
      </c>
      <c r="E168" s="932" t="s">
        <v>89</v>
      </c>
      <c r="F168" s="998" t="s">
        <v>80</v>
      </c>
      <c r="G168" s="932" t="s">
        <v>310</v>
      </c>
      <c r="H168" s="932" t="str">
        <f>VLOOKUP($C168,Table1[#All],3,0)</f>
        <v>Subsidiaries</v>
      </c>
      <c r="I168" s="932" t="str" cm="1">
        <f t="array" ref="I168">_xlfn.XLOOKUP(Acc_Char!$E168,Table4[[#All],[Branch]],Table4[[#All],[Bank]],"recheck",0)</f>
        <v>VIETCOMBANK - BA DINH</v>
      </c>
    </row>
    <row r="169" spans="1:9">
      <c r="A169" s="998">
        <f t="shared" si="2"/>
        <v>168</v>
      </c>
      <c r="B169" s="1097" t="s">
        <v>3018</v>
      </c>
      <c r="C169" s="1003" t="s">
        <v>3010</v>
      </c>
      <c r="D169" s="999" t="str">
        <f>VLOOKUP($C169,Table1[#All],2,0)</f>
        <v>BWID LOGISTICS TAN UYEN</v>
      </c>
      <c r="E169" s="999" t="s">
        <v>89</v>
      </c>
      <c r="F169" s="1093" t="s">
        <v>80</v>
      </c>
      <c r="G169" s="999" t="s">
        <v>310</v>
      </c>
      <c r="H169" s="999" t="str">
        <f>VLOOKUP($C169,Table1[#All],3,0)</f>
        <v>Subsidiaries</v>
      </c>
      <c r="I169" s="999" t="str" cm="1">
        <f t="array" ref="I169">_xlfn.XLOOKUP(Acc_Char!$E169,Table4[[#All],[Branch]],Table4[[#All],[Bank]],"recheck",0)</f>
        <v>VIETCOMBANK - BA DINH</v>
      </c>
    </row>
    <row r="170" spans="1:9">
      <c r="A170" s="998">
        <f t="shared" si="2"/>
        <v>169</v>
      </c>
      <c r="B170" s="1098" t="s">
        <v>3019</v>
      </c>
      <c r="C170" s="1000" t="s">
        <v>3010</v>
      </c>
      <c r="D170" s="932" t="str">
        <f>VLOOKUP($C170,Table1[#All],2,0)</f>
        <v>BWID LOGISTICS TAN UYEN</v>
      </c>
      <c r="E170" s="932" t="s">
        <v>89</v>
      </c>
      <c r="F170" s="998" t="s">
        <v>80</v>
      </c>
      <c r="G170" s="932" t="s">
        <v>310</v>
      </c>
      <c r="H170" s="932" t="str">
        <f>VLOOKUP($C170,Table1[#All],3,0)</f>
        <v>Subsidiaries</v>
      </c>
      <c r="I170" s="932" t="str" cm="1">
        <f t="array" ref="I170">_xlfn.XLOOKUP(Acc_Char!$E170,Table4[[#All],[Branch]],Table4[[#All],[Bank]],"recheck",0)</f>
        <v>VIETCOMBANK - BA DINH</v>
      </c>
    </row>
    <row r="171" spans="1:9">
      <c r="A171" s="998">
        <f t="shared" si="2"/>
        <v>170</v>
      </c>
      <c r="B171" s="1097" t="s">
        <v>3020</v>
      </c>
      <c r="C171" s="1003" t="s">
        <v>3010</v>
      </c>
      <c r="D171" s="999" t="str">
        <f>VLOOKUP($C171,Table1[#All],2,0)</f>
        <v>BWID LOGISTICS TAN UYEN</v>
      </c>
      <c r="E171" s="999" t="s">
        <v>89</v>
      </c>
      <c r="F171" s="1093" t="s">
        <v>80</v>
      </c>
      <c r="G171" s="999" t="s">
        <v>310</v>
      </c>
      <c r="H171" s="999" t="str">
        <f>VLOOKUP($C171,Table1[#All],3,0)</f>
        <v>Subsidiaries</v>
      </c>
      <c r="I171" s="999" t="str" cm="1">
        <f t="array" ref="I171">_xlfn.XLOOKUP(Acc_Char!$E171,Table4[[#All],[Branch]],Table4[[#All],[Bank]],"recheck",0)</f>
        <v>VIETCOMBANK - BA DINH</v>
      </c>
    </row>
    <row r="172" spans="1:9">
      <c r="A172" s="998">
        <f t="shared" si="2"/>
        <v>171</v>
      </c>
      <c r="B172" s="1098" t="s">
        <v>3021</v>
      </c>
      <c r="C172" s="1000" t="s">
        <v>3010</v>
      </c>
      <c r="D172" s="932" t="str">
        <f>VLOOKUP($C172,Table1[#All],2,0)</f>
        <v>BWID LOGISTICS TAN UYEN</v>
      </c>
      <c r="E172" s="932" t="s">
        <v>89</v>
      </c>
      <c r="F172" s="998" t="s">
        <v>80</v>
      </c>
      <c r="G172" s="932" t="s">
        <v>310</v>
      </c>
      <c r="H172" s="932" t="str">
        <f>VLOOKUP($C172,Table1[#All],3,0)</f>
        <v>Subsidiaries</v>
      </c>
      <c r="I172" s="932" t="str" cm="1">
        <f t="array" ref="I172">_xlfn.XLOOKUP(Acc_Char!$E172,Table4[[#All],[Branch]],Table4[[#All],[Bank]],"recheck",0)</f>
        <v>VIETCOMBANK - BA DINH</v>
      </c>
    </row>
    <row r="173" spans="1:9">
      <c r="A173" s="998">
        <f t="shared" si="2"/>
        <v>172</v>
      </c>
      <c r="B173" s="1097" t="s">
        <v>3022</v>
      </c>
      <c r="C173" s="1003" t="s">
        <v>3010</v>
      </c>
      <c r="D173" s="999" t="str">
        <f>VLOOKUP($C173,Table1[#All],2,0)</f>
        <v>BWID LOGISTICS TAN UYEN</v>
      </c>
      <c r="E173" s="999" t="s">
        <v>89</v>
      </c>
      <c r="F173" s="1093" t="s">
        <v>80</v>
      </c>
      <c r="G173" s="999" t="s">
        <v>310</v>
      </c>
      <c r="H173" s="999" t="str">
        <f>VLOOKUP($C173,Table1[#All],3,0)</f>
        <v>Subsidiaries</v>
      </c>
      <c r="I173" s="999" t="str" cm="1">
        <f t="array" ref="I173">_xlfn.XLOOKUP(Acc_Char!$E173,Table4[[#All],[Branch]],Table4[[#All],[Bank]],"recheck",0)</f>
        <v>VIETCOMBANK - BA DINH</v>
      </c>
    </row>
    <row r="174" spans="1:9">
      <c r="A174" s="998">
        <f t="shared" si="2"/>
        <v>173</v>
      </c>
      <c r="B174" s="1098" t="s">
        <v>531</v>
      </c>
      <c r="C174" s="1000" t="s">
        <v>3010</v>
      </c>
      <c r="D174" s="932" t="str">
        <f>VLOOKUP($C174,Table1[#All],2,0)</f>
        <v>BWID LOGISTICS TAN UYEN</v>
      </c>
      <c r="E174" s="932" t="s">
        <v>89</v>
      </c>
      <c r="F174" s="998" t="s">
        <v>80</v>
      </c>
      <c r="G174" s="932" t="s">
        <v>310</v>
      </c>
      <c r="H174" s="932" t="str">
        <f>VLOOKUP($C174,Table1[#All],3,0)</f>
        <v>Subsidiaries</v>
      </c>
      <c r="I174" s="932" t="str" cm="1">
        <f t="array" ref="I174">_xlfn.XLOOKUP(Acc_Char!$E174,Table4[[#All],[Branch]],Table4[[#All],[Bank]],"recheck",0)</f>
        <v>VIETCOMBANK - BA DINH</v>
      </c>
    </row>
    <row r="175" spans="1:9">
      <c r="A175" s="998">
        <f t="shared" si="2"/>
        <v>174</v>
      </c>
      <c r="B175" s="1097" t="s">
        <v>3023</v>
      </c>
      <c r="C175" s="1003" t="s">
        <v>3010</v>
      </c>
      <c r="D175" s="999" t="str">
        <f>VLOOKUP($C175,Table1[#All],2,0)</f>
        <v>BWID LOGISTICS TAN UYEN</v>
      </c>
      <c r="E175" s="999" t="s">
        <v>89</v>
      </c>
      <c r="F175" s="1093" t="s">
        <v>80</v>
      </c>
      <c r="G175" s="999" t="s">
        <v>310</v>
      </c>
      <c r="H175" s="999" t="str">
        <f>VLOOKUP($C175,Table1[#All],3,0)</f>
        <v>Subsidiaries</v>
      </c>
      <c r="I175" s="999" t="str" cm="1">
        <f t="array" ref="I175">_xlfn.XLOOKUP(Acc_Char!$E175,Table4[[#All],[Branch]],Table4[[#All],[Bank]],"recheck",0)</f>
        <v>VIETCOMBANK - BA DINH</v>
      </c>
    </row>
    <row r="176" spans="1:9">
      <c r="A176" s="998">
        <f t="shared" si="2"/>
        <v>175</v>
      </c>
      <c r="B176" s="1098" t="s">
        <v>3024</v>
      </c>
      <c r="C176" s="1000" t="s">
        <v>3010</v>
      </c>
      <c r="D176" s="932" t="str">
        <f>VLOOKUP($C176,Table1[#All],2,0)</f>
        <v>BWID LOGISTICS TAN UYEN</v>
      </c>
      <c r="E176" s="932" t="s">
        <v>89</v>
      </c>
      <c r="F176" s="998" t="s">
        <v>80</v>
      </c>
      <c r="G176" s="932" t="s">
        <v>310</v>
      </c>
      <c r="H176" s="932" t="str">
        <f>VLOOKUP($C176,Table1[#All],3,0)</f>
        <v>Subsidiaries</v>
      </c>
      <c r="I176" s="932" t="str" cm="1">
        <f t="array" ref="I176">_xlfn.XLOOKUP(Acc_Char!$E176,Table4[[#All],[Branch]],Table4[[#All],[Bank]],"recheck",0)</f>
        <v>VIETCOMBANK - BA DINH</v>
      </c>
    </row>
    <row r="177" spans="1:9">
      <c r="A177" s="998">
        <f t="shared" si="2"/>
        <v>176</v>
      </c>
      <c r="B177" s="1097" t="s">
        <v>3025</v>
      </c>
      <c r="C177" s="1003" t="s">
        <v>3026</v>
      </c>
      <c r="D177" s="999" t="str">
        <f>VLOOKUP($C177,Table1[#All],2,0)</f>
        <v>BW SAI GON</v>
      </c>
      <c r="E177" s="999" t="s">
        <v>97</v>
      </c>
      <c r="F177" s="1093" t="s">
        <v>80</v>
      </c>
      <c r="G177" s="999" t="s">
        <v>308</v>
      </c>
      <c r="H177" s="999" t="str">
        <f>VLOOKUP($C177,Table1[#All],3,0)</f>
        <v>Subsidiaries</v>
      </c>
      <c r="I177" s="999" t="str" cm="1">
        <f t="array" ref="I177">_xlfn.XLOOKUP(Acc_Char!$E177,Table4[[#All],[Branch]],Table4[[#All],[Bank]],"recheck",0)</f>
        <v>MB - BAC SAI GON</v>
      </c>
    </row>
    <row r="178" spans="1:9">
      <c r="A178" s="998">
        <f t="shared" si="2"/>
        <v>177</v>
      </c>
      <c r="B178" s="1098" t="s">
        <v>3027</v>
      </c>
      <c r="C178" s="1000" t="s">
        <v>3026</v>
      </c>
      <c r="D178" s="932" t="str">
        <f>VLOOKUP($C178,Table1[#All],2,0)</f>
        <v>BW SAI GON</v>
      </c>
      <c r="E178" s="932" t="s">
        <v>97</v>
      </c>
      <c r="F178" s="998" t="s">
        <v>80</v>
      </c>
      <c r="G178" s="932" t="s">
        <v>310</v>
      </c>
      <c r="H178" s="932" t="str">
        <f>VLOOKUP($C178,Table1[#All],3,0)</f>
        <v>Subsidiaries</v>
      </c>
      <c r="I178" s="932" t="str" cm="1">
        <f t="array" ref="I178">_xlfn.XLOOKUP(Acc_Char!$E178,Table4[[#All],[Branch]],Table4[[#All],[Bank]],"recheck",0)</f>
        <v>MB - BAC SAI GON</v>
      </c>
    </row>
    <row r="179" spans="1:9">
      <c r="A179" s="998">
        <f t="shared" si="2"/>
        <v>178</v>
      </c>
      <c r="B179" s="1097" t="s">
        <v>3028</v>
      </c>
      <c r="C179" s="1003" t="s">
        <v>3026</v>
      </c>
      <c r="D179" s="999" t="str">
        <f>VLOOKUP($C179,Table1[#All],2,0)</f>
        <v>BW SAI GON</v>
      </c>
      <c r="E179" s="999" t="s">
        <v>97</v>
      </c>
      <c r="F179" s="1093" t="s">
        <v>80</v>
      </c>
      <c r="G179" s="999" t="s">
        <v>310</v>
      </c>
      <c r="H179" s="999" t="str">
        <f>VLOOKUP($C179,Table1[#All],3,0)</f>
        <v>Subsidiaries</v>
      </c>
      <c r="I179" s="999" t="str" cm="1">
        <f t="array" ref="I179">_xlfn.XLOOKUP(Acc_Char!$E179,Table4[[#All],[Branch]],Table4[[#All],[Bank]],"recheck",0)</f>
        <v>MB - BAC SAI GON</v>
      </c>
    </row>
    <row r="180" spans="1:9">
      <c r="A180" s="998">
        <f t="shared" si="2"/>
        <v>179</v>
      </c>
      <c r="B180" s="1098" t="s">
        <v>3029</v>
      </c>
      <c r="C180" s="1000" t="s">
        <v>3026</v>
      </c>
      <c r="D180" s="932" t="str">
        <f>VLOOKUP($C180,Table1[#All],2,0)</f>
        <v>BW SAI GON</v>
      </c>
      <c r="E180" s="932" t="s">
        <v>97</v>
      </c>
      <c r="F180" s="998" t="s">
        <v>80</v>
      </c>
      <c r="G180" s="932" t="s">
        <v>310</v>
      </c>
      <c r="H180" s="932" t="str">
        <f>VLOOKUP($C180,Table1[#All],3,0)</f>
        <v>Subsidiaries</v>
      </c>
      <c r="I180" s="932" t="str" cm="1">
        <f t="array" ref="I180">_xlfn.XLOOKUP(Acc_Char!$E180,Table4[[#All],[Branch]],Table4[[#All],[Bank]],"recheck",0)</f>
        <v>MB - BAC SAI GON</v>
      </c>
    </row>
    <row r="181" spans="1:9">
      <c r="A181" s="998">
        <f t="shared" si="2"/>
        <v>180</v>
      </c>
      <c r="B181" s="1097" t="s">
        <v>3030</v>
      </c>
      <c r="C181" s="1003" t="s">
        <v>3026</v>
      </c>
      <c r="D181" s="999" t="str">
        <f>VLOOKUP($C181,Table1[#All],2,0)</f>
        <v>BW SAI GON</v>
      </c>
      <c r="E181" s="999" t="s">
        <v>97</v>
      </c>
      <c r="F181" s="1093" t="s">
        <v>80</v>
      </c>
      <c r="G181" s="999" t="s">
        <v>310</v>
      </c>
      <c r="H181" s="999" t="str">
        <f>VLOOKUP($C181,Table1[#All],3,0)</f>
        <v>Subsidiaries</v>
      </c>
      <c r="I181" s="999" t="str" cm="1">
        <f t="array" ref="I181">_xlfn.XLOOKUP(Acc_Char!$E181,Table4[[#All],[Branch]],Table4[[#All],[Bank]],"recheck",0)</f>
        <v>MB - BAC SAI GON</v>
      </c>
    </row>
    <row r="182" spans="1:9">
      <c r="A182" s="998">
        <f t="shared" si="2"/>
        <v>181</v>
      </c>
      <c r="B182" s="1098" t="s">
        <v>3031</v>
      </c>
      <c r="C182" s="1000" t="s">
        <v>3026</v>
      </c>
      <c r="D182" s="932" t="str">
        <f>VLOOKUP($C182,Table1[#All],2,0)</f>
        <v>BW SAI GON</v>
      </c>
      <c r="E182" s="932" t="s">
        <v>97</v>
      </c>
      <c r="F182" s="998" t="s">
        <v>80</v>
      </c>
      <c r="G182" s="932" t="s">
        <v>310</v>
      </c>
      <c r="H182" s="932" t="str">
        <f>VLOOKUP($C182,Table1[#All],3,0)</f>
        <v>Subsidiaries</v>
      </c>
      <c r="I182" s="932" t="str" cm="1">
        <f t="array" ref="I182">_xlfn.XLOOKUP(Acc_Char!$E182,Table4[[#All],[Branch]],Table4[[#All],[Bank]],"recheck",0)</f>
        <v>MB - BAC SAI GON</v>
      </c>
    </row>
    <row r="183" spans="1:9">
      <c r="A183" s="998">
        <f t="shared" si="2"/>
        <v>182</v>
      </c>
      <c r="B183" s="1097" t="s">
        <v>3032</v>
      </c>
      <c r="C183" s="1003" t="s">
        <v>3026</v>
      </c>
      <c r="D183" s="999" t="str">
        <f>VLOOKUP($C183,Table1[#All],2,0)</f>
        <v>BW SAI GON</v>
      </c>
      <c r="E183" s="999" t="s">
        <v>97</v>
      </c>
      <c r="F183" s="1093" t="s">
        <v>80</v>
      </c>
      <c r="G183" s="999" t="s">
        <v>310</v>
      </c>
      <c r="H183" s="999" t="str">
        <f>VLOOKUP($C183,Table1[#All],3,0)</f>
        <v>Subsidiaries</v>
      </c>
      <c r="I183" s="999" t="str" cm="1">
        <f t="array" ref="I183">_xlfn.XLOOKUP(Acc_Char!$E183,Table4[[#All],[Branch]],Table4[[#All],[Bank]],"recheck",0)</f>
        <v>MB - BAC SAI GON</v>
      </c>
    </row>
    <row r="184" spans="1:9">
      <c r="A184" s="998">
        <f t="shared" si="2"/>
        <v>183</v>
      </c>
      <c r="B184" s="1098" t="s">
        <v>3033</v>
      </c>
      <c r="C184" s="1000" t="s">
        <v>3026</v>
      </c>
      <c r="D184" s="932" t="str">
        <f>VLOOKUP($C184,Table1[#All],2,0)</f>
        <v>BW SAI GON</v>
      </c>
      <c r="E184" s="932" t="s">
        <v>97</v>
      </c>
      <c r="F184" s="998" t="s">
        <v>80</v>
      </c>
      <c r="G184" s="932" t="s">
        <v>310</v>
      </c>
      <c r="H184" s="932" t="str">
        <f>VLOOKUP($C184,Table1[#All],3,0)</f>
        <v>Subsidiaries</v>
      </c>
      <c r="I184" s="932" t="str" cm="1">
        <f t="array" ref="I184">_xlfn.XLOOKUP(Acc_Char!$E184,Table4[[#All],[Branch]],Table4[[#All],[Bank]],"recheck",0)</f>
        <v>MB - BAC SAI GON</v>
      </c>
    </row>
    <row r="185" spans="1:9">
      <c r="A185" s="998">
        <f t="shared" si="2"/>
        <v>184</v>
      </c>
      <c r="B185" s="1097" t="s">
        <v>3034</v>
      </c>
      <c r="C185" s="1003" t="s">
        <v>3026</v>
      </c>
      <c r="D185" s="999" t="str">
        <f>VLOOKUP($C185,Table1[#All],2,0)</f>
        <v>BW SAI GON</v>
      </c>
      <c r="E185" s="999" t="s">
        <v>97</v>
      </c>
      <c r="F185" s="1093" t="s">
        <v>80</v>
      </c>
      <c r="G185" s="999" t="s">
        <v>310</v>
      </c>
      <c r="H185" s="999" t="str">
        <f>VLOOKUP($C185,Table1[#All],3,0)</f>
        <v>Subsidiaries</v>
      </c>
      <c r="I185" s="999" t="str" cm="1">
        <f t="array" ref="I185">_xlfn.XLOOKUP(Acc_Char!$E185,Table4[[#All],[Branch]],Table4[[#All],[Bank]],"recheck",0)</f>
        <v>MB - BAC SAI GON</v>
      </c>
    </row>
    <row r="186" spans="1:9">
      <c r="A186" s="998">
        <f t="shared" si="2"/>
        <v>185</v>
      </c>
      <c r="B186" s="1098" t="s">
        <v>3035</v>
      </c>
      <c r="C186" s="1000" t="s">
        <v>3026</v>
      </c>
      <c r="D186" s="932" t="str">
        <f>VLOOKUP($C186,Table1[#All],2,0)</f>
        <v>BW SAI GON</v>
      </c>
      <c r="E186" s="932" t="s">
        <v>97</v>
      </c>
      <c r="F186" s="998" t="s">
        <v>80</v>
      </c>
      <c r="G186" s="932" t="s">
        <v>310</v>
      </c>
      <c r="H186" s="932" t="str">
        <f>VLOOKUP($C186,Table1[#All],3,0)</f>
        <v>Subsidiaries</v>
      </c>
      <c r="I186" s="932" t="str" cm="1">
        <f t="array" ref="I186">_xlfn.XLOOKUP(Acc_Char!$E186,Table4[[#All],[Branch]],Table4[[#All],[Bank]],"recheck",0)</f>
        <v>MB - BAC SAI GON</v>
      </c>
    </row>
    <row r="187" spans="1:9">
      <c r="A187" s="998">
        <f t="shared" si="2"/>
        <v>186</v>
      </c>
      <c r="B187" s="1097" t="s">
        <v>3036</v>
      </c>
      <c r="C187" s="1003" t="s">
        <v>3026</v>
      </c>
      <c r="D187" s="999" t="str">
        <f>VLOOKUP($C187,Table1[#All],2,0)</f>
        <v>BW SAI GON</v>
      </c>
      <c r="E187" s="999" t="s">
        <v>97</v>
      </c>
      <c r="F187" s="1093" t="s">
        <v>80</v>
      </c>
      <c r="G187" s="999" t="s">
        <v>310</v>
      </c>
      <c r="H187" s="999" t="str">
        <f>VLOOKUP($C187,Table1[#All],3,0)</f>
        <v>Subsidiaries</v>
      </c>
      <c r="I187" s="999" t="str" cm="1">
        <f t="array" ref="I187">_xlfn.XLOOKUP(Acc_Char!$E187,Table4[[#All],[Branch]],Table4[[#All],[Bank]],"recheck",0)</f>
        <v>MB - BAC SAI GON</v>
      </c>
    </row>
    <row r="188" spans="1:9">
      <c r="A188" s="998">
        <f t="shared" si="2"/>
        <v>187</v>
      </c>
      <c r="B188" s="1098" t="s">
        <v>3037</v>
      </c>
      <c r="C188" s="1000" t="s">
        <v>3026</v>
      </c>
      <c r="D188" s="932" t="str">
        <f>VLOOKUP($C188,Table1[#All],2,0)</f>
        <v>BW SAI GON</v>
      </c>
      <c r="E188" s="932" t="s">
        <v>97</v>
      </c>
      <c r="F188" s="998" t="s">
        <v>80</v>
      </c>
      <c r="G188" s="932" t="s">
        <v>310</v>
      </c>
      <c r="H188" s="932" t="str">
        <f>VLOOKUP($C188,Table1[#All],3,0)</f>
        <v>Subsidiaries</v>
      </c>
      <c r="I188" s="932" t="str" cm="1">
        <f t="array" ref="I188">_xlfn.XLOOKUP(Acc_Char!$E188,Table4[[#All],[Branch]],Table4[[#All],[Bank]],"recheck",0)</f>
        <v>MB - BAC SAI GON</v>
      </c>
    </row>
    <row r="189" spans="1:9">
      <c r="A189" s="998">
        <f t="shared" si="2"/>
        <v>188</v>
      </c>
      <c r="B189" s="1097" t="s">
        <v>3038</v>
      </c>
      <c r="C189" s="1003" t="s">
        <v>3026</v>
      </c>
      <c r="D189" s="999" t="str">
        <f>VLOOKUP($C189,Table1[#All],2,0)</f>
        <v>BW SAI GON</v>
      </c>
      <c r="E189" s="999" t="s">
        <v>97</v>
      </c>
      <c r="F189" s="1093" t="s">
        <v>80</v>
      </c>
      <c r="G189" s="999" t="s">
        <v>310</v>
      </c>
      <c r="H189" s="999" t="str">
        <f>VLOOKUP($C189,Table1[#All],3,0)</f>
        <v>Subsidiaries</v>
      </c>
      <c r="I189" s="999" t="str" cm="1">
        <f t="array" ref="I189">_xlfn.XLOOKUP(Acc_Char!$E189,Table4[[#All],[Branch]],Table4[[#All],[Bank]],"recheck",0)</f>
        <v>MB - BAC SAI GON</v>
      </c>
    </row>
    <row r="190" spans="1:9">
      <c r="A190" s="998">
        <f t="shared" si="2"/>
        <v>189</v>
      </c>
      <c r="B190" s="1098" t="s">
        <v>533</v>
      </c>
      <c r="C190" s="1000" t="s">
        <v>3026</v>
      </c>
      <c r="D190" s="932" t="str">
        <f>VLOOKUP($C190,Table1[#All],2,0)</f>
        <v>BW SAI GON</v>
      </c>
      <c r="E190" s="932" t="s">
        <v>98</v>
      </c>
      <c r="F190" s="998" t="s">
        <v>80</v>
      </c>
      <c r="G190" s="932" t="s">
        <v>308</v>
      </c>
      <c r="H190" s="932" t="str">
        <f>VLOOKUP($C190,Table1[#All],3,0)</f>
        <v>Subsidiaries</v>
      </c>
      <c r="I190" s="932" t="str" cm="1">
        <f t="array" ref="I190">_xlfn.XLOOKUP(Acc_Char!$E190,Table4[[#All],[Branch]],Table4[[#All],[Bank]],"recheck",0)</f>
        <v>SINOPAC</v>
      </c>
    </row>
    <row r="191" spans="1:9">
      <c r="A191" s="998">
        <f t="shared" si="2"/>
        <v>190</v>
      </c>
      <c r="B191" s="1097" t="s">
        <v>534</v>
      </c>
      <c r="C191" s="1003" t="s">
        <v>3026</v>
      </c>
      <c r="D191" s="999" t="str">
        <f>VLOOKUP($C191,Table1[#All],2,0)</f>
        <v>BW SAI GON</v>
      </c>
      <c r="E191" s="999" t="s">
        <v>98</v>
      </c>
      <c r="F191" s="1093" t="s">
        <v>80</v>
      </c>
      <c r="G191" s="999" t="s">
        <v>308</v>
      </c>
      <c r="H191" s="999" t="str">
        <f>VLOOKUP($C191,Table1[#All],3,0)</f>
        <v>Subsidiaries</v>
      </c>
      <c r="I191" s="999" t="str" cm="1">
        <f t="array" ref="I191">_xlfn.XLOOKUP(Acc_Char!$E191,Table4[[#All],[Branch]],Table4[[#All],[Bank]],"recheck",0)</f>
        <v>SINOPAC</v>
      </c>
    </row>
    <row r="192" spans="1:9">
      <c r="A192" s="998">
        <f t="shared" si="2"/>
        <v>191</v>
      </c>
      <c r="B192" s="1098" t="s">
        <v>3039</v>
      </c>
      <c r="C192" s="1000" t="s">
        <v>3026</v>
      </c>
      <c r="D192" s="932" t="str">
        <f>VLOOKUP($C192,Table1[#All],2,0)</f>
        <v>BW SAI GON</v>
      </c>
      <c r="E192" s="932" t="s">
        <v>98</v>
      </c>
      <c r="F192" s="998" t="s">
        <v>80</v>
      </c>
      <c r="G192" s="932" t="s">
        <v>310</v>
      </c>
      <c r="H192" s="932" t="str">
        <f>VLOOKUP($C192,Table1[#All],3,0)</f>
        <v>Subsidiaries</v>
      </c>
      <c r="I192" s="932" t="str" cm="1">
        <f t="array" ref="I192">_xlfn.XLOOKUP(Acc_Char!$E192,Table4[[#All],[Branch]],Table4[[#All],[Bank]],"recheck",0)</f>
        <v>SINOPAC</v>
      </c>
    </row>
    <row r="193" spans="1:9">
      <c r="A193" s="998">
        <f t="shared" si="2"/>
        <v>192</v>
      </c>
      <c r="B193" s="1097" t="s">
        <v>535</v>
      </c>
      <c r="C193" s="1003" t="s">
        <v>3026</v>
      </c>
      <c r="D193" s="999" t="str">
        <f>VLOOKUP($C193,Table1[#All],2,0)</f>
        <v>BW SAI GON</v>
      </c>
      <c r="E193" s="999" t="s">
        <v>338</v>
      </c>
      <c r="F193" s="1093" t="s">
        <v>80</v>
      </c>
      <c r="G193" s="999" t="s">
        <v>308</v>
      </c>
      <c r="H193" s="999" t="str">
        <f>VLOOKUP($C193,Table1[#All],3,0)</f>
        <v>Subsidiaries</v>
      </c>
      <c r="I193" s="999" t="str" cm="1">
        <f t="array" ref="I193">_xlfn.XLOOKUP(Acc_Char!$E193,Table4[[#All],[Branch]],Table4[[#All],[Bank]],"recheck",0)</f>
        <v>TECHCOMBANK</v>
      </c>
    </row>
    <row r="194" spans="1:9">
      <c r="A194" s="998">
        <f t="shared" si="2"/>
        <v>193</v>
      </c>
      <c r="B194" s="1098" t="s">
        <v>3040</v>
      </c>
      <c r="C194" s="1000" t="s">
        <v>3026</v>
      </c>
      <c r="D194" s="932" t="str">
        <f>VLOOKUP($C194,Table1[#All],2,0)</f>
        <v>BW SAI GON</v>
      </c>
      <c r="E194" s="932" t="s">
        <v>91</v>
      </c>
      <c r="F194" s="998" t="s">
        <v>80</v>
      </c>
      <c r="G194" s="932" t="s">
        <v>308</v>
      </c>
      <c r="H194" s="932" t="str">
        <f>VLOOKUP($C194,Table1[#All],3,0)</f>
        <v>Subsidiaries</v>
      </c>
      <c r="I194" s="932" t="str" cm="1">
        <f t="array" ref="I194">_xlfn.XLOOKUP(Acc_Char!$E194,Table4[[#All],[Branch]],Table4[[#All],[Bank]],"recheck",0)</f>
        <v>VIETCOMBANK - HCM</v>
      </c>
    </row>
    <row r="195" spans="1:9">
      <c r="A195" s="998">
        <f t="shared" ref="A195:A258" si="3">A194+1</f>
        <v>194</v>
      </c>
      <c r="B195" s="1004" t="s">
        <v>961</v>
      </c>
      <c r="C195" s="1000" t="s">
        <v>463</v>
      </c>
      <c r="D195" s="932" t="str">
        <f>VLOOKUP($C195,Table1[#All],2,0)</f>
        <v>PHO NOI A</v>
      </c>
      <c r="E195" s="932" t="s">
        <v>85</v>
      </c>
      <c r="F195" s="998" t="s">
        <v>81</v>
      </c>
      <c r="G195" s="932" t="s">
        <v>308</v>
      </c>
      <c r="H195" s="932" t="str">
        <f>VLOOKUP($C195,Table1[#All],3,0)</f>
        <v>Subsidiaries</v>
      </c>
      <c r="I195" s="932" t="str" cm="1">
        <f t="array" ref="I195">_xlfn.XLOOKUP(Acc_Char!$E934,Table4[[#All],[Branch]],Table4[[#All],[Bank]],"recheck",0)</f>
        <v>BIDV - THANH XUAN</v>
      </c>
    </row>
    <row r="196" spans="1:9">
      <c r="A196" s="998">
        <f t="shared" si="3"/>
        <v>195</v>
      </c>
      <c r="B196" s="1098" t="s">
        <v>3041</v>
      </c>
      <c r="C196" s="1000" t="s">
        <v>3042</v>
      </c>
      <c r="D196" s="932" t="str">
        <f>VLOOKUP($C196,Table1[#All],2,0)</f>
        <v>BW NEW CITY</v>
      </c>
      <c r="E196" s="932" t="s">
        <v>91</v>
      </c>
      <c r="F196" s="998" t="s">
        <v>80</v>
      </c>
      <c r="G196" s="932" t="s">
        <v>308</v>
      </c>
      <c r="H196" s="932" t="str">
        <f>VLOOKUP($C196,Table1[#All],3,0)</f>
        <v>Subsidiaries</v>
      </c>
      <c r="I196" s="932" t="str" cm="1">
        <f t="array" ref="I196">_xlfn.XLOOKUP(Acc_Char!$E196,Table4[[#All],[Branch]],Table4[[#All],[Bank]],"recheck",0)</f>
        <v>VIETCOMBANK - HCM</v>
      </c>
    </row>
    <row r="197" spans="1:9">
      <c r="A197" s="998">
        <f t="shared" si="3"/>
        <v>196</v>
      </c>
      <c r="B197" s="1002" t="s">
        <v>484</v>
      </c>
      <c r="C197" s="1003" t="s">
        <v>389</v>
      </c>
      <c r="D197" s="999" t="str">
        <f>VLOOKUP($C197,Table1[#All],2,0)</f>
        <v>BWID BINH DUONG</v>
      </c>
      <c r="E197" s="999" t="s">
        <v>155</v>
      </c>
      <c r="F197" s="1093" t="s">
        <v>81</v>
      </c>
      <c r="G197" s="999" t="s">
        <v>308</v>
      </c>
      <c r="H197" s="999" t="str">
        <f>VLOOKUP($C197,Table1[#All],3,0)</f>
        <v>BWID JSC</v>
      </c>
      <c r="I197" s="999" t="str" cm="1">
        <f t="array" ref="I197">_xlfn.XLOOKUP(Acc_Char!$E54,Table4[[#All],[Branch]],Table4[[#All],[Bank]],"recheck",0)</f>
        <v>VIETINBANK - TIEN SON</v>
      </c>
    </row>
    <row r="198" spans="1:9">
      <c r="A198" s="998">
        <f t="shared" si="3"/>
        <v>197</v>
      </c>
      <c r="B198" s="1098" t="s">
        <v>539</v>
      </c>
      <c r="C198" s="1000" t="s">
        <v>3042</v>
      </c>
      <c r="D198" s="932" t="str">
        <f>VLOOKUP($C198,Table1[#All],2,0)</f>
        <v>BW NEW CITY</v>
      </c>
      <c r="E198" s="932" t="s">
        <v>91</v>
      </c>
      <c r="F198" s="998" t="s">
        <v>80</v>
      </c>
      <c r="G198" s="932" t="s">
        <v>308</v>
      </c>
      <c r="H198" s="932" t="str">
        <f>VLOOKUP($C198,Table1[#All],3,0)</f>
        <v>Subsidiaries</v>
      </c>
      <c r="I198" s="932" t="str" cm="1">
        <f t="array" ref="I198">_xlfn.XLOOKUP(Acc_Char!$E198,Table4[[#All],[Branch]],Table4[[#All],[Bank]],"recheck",0)</f>
        <v>VIETCOMBANK - HCM</v>
      </c>
    </row>
    <row r="199" spans="1:9">
      <c r="A199" s="998">
        <f t="shared" si="3"/>
        <v>198</v>
      </c>
      <c r="B199" s="1097" t="s">
        <v>3043</v>
      </c>
      <c r="C199" s="1003" t="s">
        <v>3042</v>
      </c>
      <c r="D199" s="999" t="str">
        <f>VLOOKUP($C199,Table1[#All],2,0)</f>
        <v>BW NEW CITY</v>
      </c>
      <c r="E199" s="999" t="s">
        <v>91</v>
      </c>
      <c r="F199" s="1093" t="s">
        <v>80</v>
      </c>
      <c r="G199" s="999" t="s">
        <v>310</v>
      </c>
      <c r="H199" s="999" t="str">
        <f>VLOOKUP($C199,Table1[#All],3,0)</f>
        <v>Subsidiaries</v>
      </c>
      <c r="I199" s="999" t="str" cm="1">
        <f t="array" ref="I199">_xlfn.XLOOKUP(Acc_Char!$E199,Table4[[#All],[Branch]],Table4[[#All],[Bank]],"recheck",0)</f>
        <v>VIETCOMBANK - HCM</v>
      </c>
    </row>
    <row r="200" spans="1:9">
      <c r="A200" s="998">
        <f t="shared" si="3"/>
        <v>199</v>
      </c>
      <c r="B200" s="1098" t="s">
        <v>3044</v>
      </c>
      <c r="C200" s="1000" t="s">
        <v>3042</v>
      </c>
      <c r="D200" s="932" t="str">
        <f>VLOOKUP($C200,Table1[#All],2,0)</f>
        <v>BW NEW CITY</v>
      </c>
      <c r="E200" s="932" t="s">
        <v>91</v>
      </c>
      <c r="F200" s="998" t="s">
        <v>80</v>
      </c>
      <c r="G200" s="932" t="s">
        <v>310</v>
      </c>
      <c r="H200" s="932" t="str">
        <f>VLOOKUP($C200,Table1[#All],3,0)</f>
        <v>Subsidiaries</v>
      </c>
      <c r="I200" s="932" t="str" cm="1">
        <f t="array" ref="I200">_xlfn.XLOOKUP(Acc_Char!$E200,Table4[[#All],[Branch]],Table4[[#All],[Bank]],"recheck",0)</f>
        <v>VIETCOMBANK - HCM</v>
      </c>
    </row>
    <row r="201" spans="1:9">
      <c r="A201" s="998">
        <f t="shared" si="3"/>
        <v>200</v>
      </c>
      <c r="B201" s="1097" t="s">
        <v>3045</v>
      </c>
      <c r="C201" s="1003" t="s">
        <v>3042</v>
      </c>
      <c r="D201" s="999" t="str">
        <f>VLOOKUP($C201,Table1[#All],2,0)</f>
        <v>BW NEW CITY</v>
      </c>
      <c r="E201" s="999" t="s">
        <v>91</v>
      </c>
      <c r="F201" s="1093" t="s">
        <v>80</v>
      </c>
      <c r="G201" s="999" t="s">
        <v>310</v>
      </c>
      <c r="H201" s="999" t="str">
        <f>VLOOKUP($C201,Table1[#All],3,0)</f>
        <v>Subsidiaries</v>
      </c>
      <c r="I201" s="999" t="str" cm="1">
        <f t="array" ref="I201">_xlfn.XLOOKUP(Acc_Char!$E201,Table4[[#All],[Branch]],Table4[[#All],[Bank]],"recheck",0)</f>
        <v>VIETCOMBANK - HCM</v>
      </c>
    </row>
    <row r="202" spans="1:9">
      <c r="A202" s="998">
        <f t="shared" si="3"/>
        <v>201</v>
      </c>
      <c r="B202" s="1098" t="s">
        <v>540</v>
      </c>
      <c r="C202" s="1000" t="s">
        <v>3042</v>
      </c>
      <c r="D202" s="932" t="str">
        <f>VLOOKUP($C202,Table1[#All],2,0)</f>
        <v>BW NEW CITY</v>
      </c>
      <c r="E202" s="932" t="s">
        <v>92</v>
      </c>
      <c r="F202" s="998" t="s">
        <v>80</v>
      </c>
      <c r="G202" s="932" t="s">
        <v>308</v>
      </c>
      <c r="H202" s="932" t="str">
        <f>VLOOKUP($C202,Table1[#All],3,0)</f>
        <v>Subsidiaries</v>
      </c>
      <c r="I202" s="932" t="str" cm="1">
        <f t="array" ref="I202">_xlfn.XLOOKUP(Acc_Char!$E202,Table4[[#All],[Branch]],Table4[[#All],[Bank]],"recheck",0)</f>
        <v>BIDV - THANH XUAN</v>
      </c>
    </row>
    <row r="203" spans="1:9">
      <c r="A203" s="998">
        <f t="shared" si="3"/>
        <v>202</v>
      </c>
      <c r="B203" s="1097" t="s">
        <v>3046</v>
      </c>
      <c r="C203" s="1003" t="s">
        <v>3047</v>
      </c>
      <c r="D203" s="999" t="str">
        <f>VLOOKUP($C203,Table1[#All],2,0)</f>
        <v>BW SAIGON LOGISTICS</v>
      </c>
      <c r="E203" s="999" t="s">
        <v>95</v>
      </c>
      <c r="F203" s="1093" t="s">
        <v>80</v>
      </c>
      <c r="G203" s="999" t="s">
        <v>308</v>
      </c>
      <c r="H203" s="999" t="str">
        <f>VLOOKUP($C203,Table1[#All],3,0)</f>
        <v>Subsidiaries</v>
      </c>
      <c r="I203" s="999" t="str" cm="1">
        <f t="array" ref="I203">_xlfn.XLOOKUP(Acc_Char!$E203,Table4[[#All],[Branch]],Table4[[#All],[Bank]],"recheck",0)</f>
        <v>OCB - BINH DUONG</v>
      </c>
    </row>
    <row r="204" spans="1:9">
      <c r="A204" s="998">
        <f t="shared" si="3"/>
        <v>203</v>
      </c>
      <c r="B204" s="1004" t="s">
        <v>914</v>
      </c>
      <c r="C204" s="1000" t="s">
        <v>456</v>
      </c>
      <c r="D204" s="932" t="str">
        <f>VLOOKUP($C204,Table1[#All],2,0)</f>
        <v>DONG TIEN PHONG</v>
      </c>
      <c r="E204" s="932" t="s">
        <v>155</v>
      </c>
      <c r="F204" s="998" t="s">
        <v>81</v>
      </c>
      <c r="G204" s="932" t="s">
        <v>308</v>
      </c>
      <c r="H204" s="932" t="str">
        <f>VLOOKUP($C204,Table1[#All],3,0)</f>
        <v>Subsidiaries</v>
      </c>
      <c r="I204" s="932" t="str" cm="1">
        <f t="array" ref="I204">_xlfn.XLOOKUP(Acc_Char!$E870,Table4[[#All],[Branch]],Table4[[#All],[Bank]],"recheck",0)</f>
        <v>OTHERS</v>
      </c>
    </row>
    <row r="205" spans="1:9">
      <c r="A205" s="998">
        <f t="shared" si="3"/>
        <v>204</v>
      </c>
      <c r="B205" s="1097" t="s">
        <v>3048</v>
      </c>
      <c r="C205" s="1003" t="s">
        <v>3047</v>
      </c>
      <c r="D205" s="999" t="str">
        <f>VLOOKUP($C205,Table1[#All],2,0)</f>
        <v>BW SAIGON LOGISTICS</v>
      </c>
      <c r="E205" s="999" t="s">
        <v>95</v>
      </c>
      <c r="F205" s="1093" t="s">
        <v>80</v>
      </c>
      <c r="G205" s="999" t="s">
        <v>310</v>
      </c>
      <c r="H205" s="999" t="str">
        <f>VLOOKUP($C205,Table1[#All],3,0)</f>
        <v>Subsidiaries</v>
      </c>
      <c r="I205" s="999" t="str" cm="1">
        <f t="array" ref="I205">_xlfn.XLOOKUP(Acc_Char!$E205,Table4[[#All],[Branch]],Table4[[#All],[Bank]],"recheck",0)</f>
        <v>OCB - BINH DUONG</v>
      </c>
    </row>
    <row r="206" spans="1:9">
      <c r="A206" s="998">
        <f t="shared" si="3"/>
        <v>205</v>
      </c>
      <c r="B206" s="1098" t="s">
        <v>3049</v>
      </c>
      <c r="C206" s="1000" t="s">
        <v>3047</v>
      </c>
      <c r="D206" s="932" t="str">
        <f>VLOOKUP($C206,Table1[#All],2,0)</f>
        <v>BW SAIGON LOGISTICS</v>
      </c>
      <c r="E206" s="932" t="s">
        <v>95</v>
      </c>
      <c r="F206" s="998" t="s">
        <v>80</v>
      </c>
      <c r="G206" s="932" t="s">
        <v>310</v>
      </c>
      <c r="H206" s="932" t="str">
        <f>VLOOKUP($C206,Table1[#All],3,0)</f>
        <v>Subsidiaries</v>
      </c>
      <c r="I206" s="932" t="str" cm="1">
        <f t="array" ref="I206">_xlfn.XLOOKUP(Acc_Char!$E206,Table4[[#All],[Branch]],Table4[[#All],[Bank]],"recheck",0)</f>
        <v>OCB - BINH DUONG</v>
      </c>
    </row>
    <row r="207" spans="1:9">
      <c r="A207" s="998">
        <f t="shared" si="3"/>
        <v>206</v>
      </c>
      <c r="B207" s="1097" t="s">
        <v>3050</v>
      </c>
      <c r="C207" s="1003" t="s">
        <v>3047</v>
      </c>
      <c r="D207" s="999" t="str">
        <f>VLOOKUP($C207,Table1[#All],2,0)</f>
        <v>BW SAIGON LOGISTICS</v>
      </c>
      <c r="E207" s="999" t="s">
        <v>95</v>
      </c>
      <c r="F207" s="1093" t="s">
        <v>80</v>
      </c>
      <c r="G207" s="999" t="s">
        <v>310</v>
      </c>
      <c r="H207" s="999" t="str">
        <f>VLOOKUP($C207,Table1[#All],3,0)</f>
        <v>Subsidiaries</v>
      </c>
      <c r="I207" s="999" t="str" cm="1">
        <f t="array" ref="I207">_xlfn.XLOOKUP(Acc_Char!$E207,Table4[[#All],[Branch]],Table4[[#All],[Bank]],"recheck",0)</f>
        <v>OCB - BINH DUONG</v>
      </c>
    </row>
    <row r="208" spans="1:9">
      <c r="A208" s="998">
        <f t="shared" si="3"/>
        <v>207</v>
      </c>
      <c r="B208" s="1098" t="s">
        <v>3051</v>
      </c>
      <c r="C208" s="1000" t="s">
        <v>3052</v>
      </c>
      <c r="D208" s="932" t="str">
        <f>VLOOKUP($C208,Table1[#All],2,0)</f>
        <v>GREAT KINGDOM NT 2</v>
      </c>
      <c r="E208" s="932" t="s">
        <v>88</v>
      </c>
      <c r="F208" s="998" t="s">
        <v>80</v>
      </c>
      <c r="G208" s="932" t="s">
        <v>308</v>
      </c>
      <c r="H208" s="932" t="str">
        <f>VLOOKUP($C208,Table1[#All],3,0)</f>
        <v>Subsidiaries</v>
      </c>
      <c r="I208" s="932" t="str" cm="1">
        <f t="array" ref="I208">_xlfn.XLOOKUP(Acc_Char!$E208,Table4[[#All],[Branch]],Table4[[#All],[Bank]],"recheck",0)</f>
        <v>VIETINBANK - DONG SAI GON</v>
      </c>
    </row>
    <row r="209" spans="1:9">
      <c r="A209" s="998">
        <f t="shared" si="3"/>
        <v>208</v>
      </c>
      <c r="B209" s="1097" t="s">
        <v>542</v>
      </c>
      <c r="C209" s="1003" t="s">
        <v>3052</v>
      </c>
      <c r="D209" s="999" t="str">
        <f>VLOOKUP($C209,Table1[#All],2,0)</f>
        <v>GREAT KINGDOM NT 2</v>
      </c>
      <c r="E209" s="999" t="s">
        <v>86</v>
      </c>
      <c r="F209" s="1093" t="s">
        <v>80</v>
      </c>
      <c r="G209" s="999" t="s">
        <v>310</v>
      </c>
      <c r="H209" s="999" t="str">
        <f>VLOOKUP($C209,Table1[#All],3,0)</f>
        <v>Subsidiaries</v>
      </c>
      <c r="I209" s="999" t="str" cm="1">
        <f t="array" ref="I209">_xlfn.XLOOKUP(Acc_Char!$E209,Table4[[#All],[Branch]],Table4[[#All],[Bank]],"recheck",0)</f>
        <v>VIETINBANK - CN1</v>
      </c>
    </row>
    <row r="210" spans="1:9">
      <c r="A210" s="998">
        <f t="shared" si="3"/>
        <v>209</v>
      </c>
      <c r="B210" s="1098" t="s">
        <v>543</v>
      </c>
      <c r="C210" s="1000" t="s">
        <v>3052</v>
      </c>
      <c r="D210" s="932" t="str">
        <f>VLOOKUP($C210,Table1[#All],2,0)</f>
        <v>GREAT KINGDOM NT 2</v>
      </c>
      <c r="E210" s="932" t="s">
        <v>86</v>
      </c>
      <c r="F210" s="998" t="s">
        <v>80</v>
      </c>
      <c r="G210" s="932" t="s">
        <v>308</v>
      </c>
      <c r="H210" s="932" t="str">
        <f>VLOOKUP($C210,Table1[#All],3,0)</f>
        <v>Subsidiaries</v>
      </c>
      <c r="I210" s="932" t="str" cm="1">
        <f t="array" ref="I210">_xlfn.XLOOKUP(Acc_Char!$E210,Table4[[#All],[Branch]],Table4[[#All],[Bank]],"recheck",0)</f>
        <v>VIETINBANK - CN1</v>
      </c>
    </row>
    <row r="211" spans="1:9">
      <c r="A211" s="998">
        <f t="shared" si="3"/>
        <v>210</v>
      </c>
      <c r="B211" s="1097" t="s">
        <v>545</v>
      </c>
      <c r="C211" s="1003" t="s">
        <v>3053</v>
      </c>
      <c r="D211" s="999" t="str">
        <f>VLOOKUP($C211,Table1[#All],2,0)</f>
        <v>BW BAU BANG</v>
      </c>
      <c r="E211" s="999" t="s">
        <v>85</v>
      </c>
      <c r="F211" s="1093" t="s">
        <v>80</v>
      </c>
      <c r="G211" s="999" t="s">
        <v>308</v>
      </c>
      <c r="H211" s="999" t="str">
        <f>VLOOKUP($C211,Table1[#All],3,0)</f>
        <v>Subsidiaries</v>
      </c>
      <c r="I211" s="999" t="str" cm="1">
        <f t="array" ref="I211">_xlfn.XLOOKUP(Acc_Char!$E211,Table4[[#All],[Branch]],Table4[[#All],[Bank]],"recheck",0)</f>
        <v>VIETINBANK - TIEN SON</v>
      </c>
    </row>
    <row r="212" spans="1:9">
      <c r="A212" s="998">
        <f t="shared" si="3"/>
        <v>211</v>
      </c>
      <c r="B212" s="1098" t="s">
        <v>3054</v>
      </c>
      <c r="C212" s="1000" t="s">
        <v>445</v>
      </c>
      <c r="D212" s="932" t="str">
        <f>VLOOKUP($C212,Table1[#All],2,0)</f>
        <v>BW PHU NGHIA</v>
      </c>
      <c r="E212" s="932" t="s">
        <v>89</v>
      </c>
      <c r="F212" s="998" t="s">
        <v>80</v>
      </c>
      <c r="G212" s="932" t="s">
        <v>310</v>
      </c>
      <c r="H212" s="932" t="str">
        <f>VLOOKUP($C212,Table1[#All],3,0)</f>
        <v>Subsidiaries</v>
      </c>
      <c r="I212" s="932" t="str" cm="1">
        <f t="array" ref="I212">_xlfn.XLOOKUP(Acc_Char!$E212,Table4[[#All],[Branch]],Table4[[#All],[Bank]],"recheck",0)</f>
        <v>VIETCOMBANK - BA DINH</v>
      </c>
    </row>
    <row r="213" spans="1:9">
      <c r="A213" s="998">
        <f t="shared" si="3"/>
        <v>212</v>
      </c>
      <c r="B213" s="1097" t="s">
        <v>3055</v>
      </c>
      <c r="C213" s="1003" t="s">
        <v>445</v>
      </c>
      <c r="D213" s="999" t="str">
        <f>VLOOKUP($C213,Table1[#All],2,0)</f>
        <v>BW PHU NGHIA</v>
      </c>
      <c r="E213" s="999" t="s">
        <v>89</v>
      </c>
      <c r="F213" s="1093" t="s">
        <v>80</v>
      </c>
      <c r="G213" s="999" t="s">
        <v>308</v>
      </c>
      <c r="H213" s="999" t="str">
        <f>VLOOKUP($C213,Table1[#All],3,0)</f>
        <v>Subsidiaries</v>
      </c>
      <c r="I213" s="999" t="str" cm="1">
        <f t="array" ref="I213">_xlfn.XLOOKUP(Acc_Char!$E213,Table4[[#All],[Branch]],Table4[[#All],[Bank]],"recheck",0)</f>
        <v>VIETCOMBANK - BA DINH</v>
      </c>
    </row>
    <row r="214" spans="1:9">
      <c r="A214" s="998">
        <f t="shared" si="3"/>
        <v>213</v>
      </c>
      <c r="B214" s="1098" t="s">
        <v>3056</v>
      </c>
      <c r="C214" s="1000" t="s">
        <v>445</v>
      </c>
      <c r="D214" s="932" t="str">
        <f>VLOOKUP($C214,Table1[#All],2,0)</f>
        <v>BW PHU NGHIA</v>
      </c>
      <c r="E214" s="932" t="s">
        <v>89</v>
      </c>
      <c r="F214" s="998" t="s">
        <v>80</v>
      </c>
      <c r="G214" s="932" t="s">
        <v>310</v>
      </c>
      <c r="H214" s="932" t="str">
        <f>VLOOKUP($C214,Table1[#All],3,0)</f>
        <v>Subsidiaries</v>
      </c>
      <c r="I214" s="932" t="str" cm="1">
        <f t="array" ref="I214">_xlfn.XLOOKUP(Acc_Char!$E214,Table4[[#All],[Branch]],Table4[[#All],[Bank]],"recheck",0)</f>
        <v>VIETCOMBANK - BA DINH</v>
      </c>
    </row>
    <row r="215" spans="1:9">
      <c r="A215" s="998">
        <f t="shared" si="3"/>
        <v>214</v>
      </c>
      <c r="B215" s="1002" t="s">
        <v>547</v>
      </c>
      <c r="C215" s="1003" t="s">
        <v>445</v>
      </c>
      <c r="D215" s="999" t="str">
        <f>VLOOKUP($C215,Table1[#All],2,0)</f>
        <v>BW PHU NGHIA</v>
      </c>
      <c r="E215" s="999" t="s">
        <v>92</v>
      </c>
      <c r="F215" s="1093" t="s">
        <v>80</v>
      </c>
      <c r="G215" s="999" t="s">
        <v>308</v>
      </c>
      <c r="H215" s="999" t="str">
        <f>VLOOKUP($C215,Table1[#All],3,0)</f>
        <v>Subsidiaries</v>
      </c>
      <c r="I215" s="999" t="str" cm="1">
        <f t="array" ref="I215">_xlfn.XLOOKUP(Acc_Char!$E215,Table4[[#All],[Branch]],Table4[[#All],[Bank]],"recheck",0)</f>
        <v>BIDV - THANH XUAN</v>
      </c>
    </row>
    <row r="216" spans="1:9">
      <c r="A216" s="998">
        <f t="shared" si="3"/>
        <v>215</v>
      </c>
      <c r="B216" s="1098" t="s">
        <v>3057</v>
      </c>
      <c r="C216" s="1000" t="s">
        <v>445</v>
      </c>
      <c r="D216" s="932" t="str">
        <f>VLOOKUP($C216,Table1[#All],2,0)</f>
        <v>BW PHU NGHIA</v>
      </c>
      <c r="E216" s="932" t="s">
        <v>92</v>
      </c>
      <c r="F216" s="998" t="s">
        <v>80</v>
      </c>
      <c r="G216" s="932" t="s">
        <v>310</v>
      </c>
      <c r="H216" s="932" t="str">
        <f>VLOOKUP($C216,Table1[#All],3,0)</f>
        <v>Subsidiaries</v>
      </c>
      <c r="I216" s="932" t="str" cm="1">
        <f t="array" ref="I216">_xlfn.XLOOKUP(Acc_Char!$E216,Table4[[#All],[Branch]],Table4[[#All],[Bank]],"recheck",0)</f>
        <v>BIDV - THANH XUAN</v>
      </c>
    </row>
    <row r="217" spans="1:9">
      <c r="A217" s="998">
        <f t="shared" si="3"/>
        <v>216</v>
      </c>
      <c r="B217" s="1097" t="s">
        <v>3058</v>
      </c>
      <c r="C217" s="1003" t="s">
        <v>445</v>
      </c>
      <c r="D217" s="999" t="str">
        <f>VLOOKUP($C217,Table1[#All],2,0)</f>
        <v>BW PHU NGHIA</v>
      </c>
      <c r="E217" s="999" t="s">
        <v>155</v>
      </c>
      <c r="F217" s="1093" t="s">
        <v>80</v>
      </c>
      <c r="G217" s="999" t="s">
        <v>308</v>
      </c>
      <c r="H217" s="999" t="str">
        <f>VLOOKUP($C217,Table1[#All],3,0)</f>
        <v>Subsidiaries</v>
      </c>
      <c r="I217" s="999" t="str" cm="1">
        <f t="array" ref="I217">_xlfn.XLOOKUP(Acc_Char!$E217,Table4[[#All],[Branch]],Table4[[#All],[Bank]],"recheck",0)</f>
        <v>VIETINBANK - BINH DUONG + QM</v>
      </c>
    </row>
    <row r="218" spans="1:9">
      <c r="A218" s="998">
        <f t="shared" si="3"/>
        <v>217</v>
      </c>
      <c r="B218" s="1098" t="s">
        <v>3059</v>
      </c>
      <c r="C218" s="1000" t="s">
        <v>2915</v>
      </c>
      <c r="D218" s="932" t="str">
        <f>VLOOKUP($C218,Table1[#All],2,0)</f>
        <v>BW DINH VU</v>
      </c>
      <c r="E218" s="932" t="s">
        <v>85</v>
      </c>
      <c r="F218" s="998" t="s">
        <v>80</v>
      </c>
      <c r="G218" s="932" t="s">
        <v>308</v>
      </c>
      <c r="H218" s="932" t="str">
        <f>VLOOKUP($C218,Table1[#All],3,0)</f>
        <v>Subsidiaries</v>
      </c>
      <c r="I218" s="932" t="str" cm="1">
        <f t="array" ref="I218">_xlfn.XLOOKUP(Acc_Char!$E218,Table4[[#All],[Branch]],Table4[[#All],[Bank]],"recheck",0)</f>
        <v>VIETINBANK - TIEN SON</v>
      </c>
    </row>
    <row r="219" spans="1:9">
      <c r="A219" s="998">
        <f t="shared" si="3"/>
        <v>218</v>
      </c>
      <c r="B219" s="1004" t="s">
        <v>917</v>
      </c>
      <c r="C219" s="1000" t="s">
        <v>67</v>
      </c>
      <c r="D219" s="932" t="str">
        <f>VLOOKUP($C219,Table1[#All],2,0)</f>
        <v>SAO HOA</v>
      </c>
      <c r="E219" s="932" t="s">
        <v>155</v>
      </c>
      <c r="F219" s="998" t="s">
        <v>81</v>
      </c>
      <c r="G219" s="932" t="s">
        <v>308</v>
      </c>
      <c r="H219" s="932" t="str">
        <f>VLOOKUP($C219,Table1[#All],3,0)</f>
        <v>VC3</v>
      </c>
      <c r="I219" s="932" t="str" cm="1">
        <f t="array" ref="I219">_xlfn.XLOOKUP(Acc_Char!$E875,Table4[[#All],[Branch]],Table4[[#All],[Bank]],"recheck",0)</f>
        <v>BIDV - THANH XUAN</v>
      </c>
    </row>
    <row r="220" spans="1:9">
      <c r="A220" s="998">
        <f t="shared" si="3"/>
        <v>219</v>
      </c>
      <c r="B220" s="1004" t="s">
        <v>549</v>
      </c>
      <c r="C220" s="1000" t="s">
        <v>2915</v>
      </c>
      <c r="D220" s="932" t="str">
        <f>VLOOKUP($C220,Table1[#All],2,0)</f>
        <v>BW DINH VU</v>
      </c>
      <c r="E220" s="932" t="s">
        <v>92</v>
      </c>
      <c r="F220" s="998" t="s">
        <v>80</v>
      </c>
      <c r="G220" s="932" t="s">
        <v>308</v>
      </c>
      <c r="H220" s="932" t="str">
        <f>VLOOKUP($C220,Table1[#All],3,0)</f>
        <v>Subsidiaries</v>
      </c>
      <c r="I220" s="932" t="str" cm="1">
        <f t="array" ref="I220">_xlfn.XLOOKUP(Acc_Char!$E220,Table4[[#All],[Branch]],Table4[[#All],[Bank]],"recheck",0)</f>
        <v>BIDV - THANH XUAN</v>
      </c>
    </row>
    <row r="221" spans="1:9">
      <c r="A221" s="998">
        <f t="shared" si="3"/>
        <v>220</v>
      </c>
      <c r="B221" s="1004" t="s">
        <v>923</v>
      </c>
      <c r="C221" s="1000" t="s">
        <v>416</v>
      </c>
      <c r="D221" s="932" t="str">
        <f>VLOOKUP($C221,Table1[#All],2,0)</f>
        <v>TCS JSC</v>
      </c>
      <c r="E221" s="932" t="s">
        <v>155</v>
      </c>
      <c r="F221" s="998" t="s">
        <v>81</v>
      </c>
      <c r="G221" s="932" t="s">
        <v>308</v>
      </c>
      <c r="H221" s="932" t="str">
        <f>VLOOKUP($C221,Table1[#All],3,0)</f>
        <v>Subsidiaries</v>
      </c>
      <c r="I221" s="932" t="str" cm="1">
        <f t="array" ref="I221">_xlfn.XLOOKUP(Acc_Char!$E896,Table4[[#All],[Branch]],Table4[[#All],[Bank]],"recheck",0)</f>
        <v>BIDV - THANH XUAN</v>
      </c>
    </row>
    <row r="222" spans="1:9">
      <c r="A222" s="998">
        <f t="shared" si="3"/>
        <v>221</v>
      </c>
      <c r="B222" s="1098" t="s">
        <v>551</v>
      </c>
      <c r="C222" s="1000" t="s">
        <v>2915</v>
      </c>
      <c r="D222" s="932" t="str">
        <f>VLOOKUP($C222,Table1[#All],2,0)</f>
        <v>BW DINH VU</v>
      </c>
      <c r="E222" s="932" t="s">
        <v>92</v>
      </c>
      <c r="F222" s="998" t="s">
        <v>80</v>
      </c>
      <c r="G222" s="932" t="s">
        <v>310</v>
      </c>
      <c r="H222" s="932" t="str">
        <f>VLOOKUP($C222,Table1[#All],3,0)</f>
        <v>Subsidiaries</v>
      </c>
      <c r="I222" s="932" t="str" cm="1">
        <f t="array" ref="I222">_xlfn.XLOOKUP(Acc_Char!$E222,Table4[[#All],[Branch]],Table4[[#All],[Bank]],"recheck",0)</f>
        <v>BIDV - THANH XUAN</v>
      </c>
    </row>
    <row r="223" spans="1:9">
      <c r="A223" s="998">
        <f t="shared" si="3"/>
        <v>222</v>
      </c>
      <c r="B223" s="1097" t="s">
        <v>3060</v>
      </c>
      <c r="C223" s="1003" t="s">
        <v>2915</v>
      </c>
      <c r="D223" s="999" t="str">
        <f>VLOOKUP($C223,Table1[#All],2,0)</f>
        <v>BW DINH VU</v>
      </c>
      <c r="E223" s="999" t="s">
        <v>92</v>
      </c>
      <c r="F223" s="1093" t="s">
        <v>80</v>
      </c>
      <c r="G223" s="999" t="s">
        <v>310</v>
      </c>
      <c r="H223" s="999" t="str">
        <f>VLOOKUP($C223,Table1[#All],3,0)</f>
        <v>Subsidiaries</v>
      </c>
      <c r="I223" s="999" t="str" cm="1">
        <f t="array" ref="I223">_xlfn.XLOOKUP(Acc_Char!$E223,Table4[[#All],[Branch]],Table4[[#All],[Bank]],"recheck",0)</f>
        <v>BIDV - THANH XUAN</v>
      </c>
    </row>
    <row r="224" spans="1:9">
      <c r="A224" s="998">
        <f t="shared" si="3"/>
        <v>223</v>
      </c>
      <c r="B224" s="1098" t="s">
        <v>3061</v>
      </c>
      <c r="C224" s="1000" t="s">
        <v>2915</v>
      </c>
      <c r="D224" s="932" t="str">
        <f>VLOOKUP($C224,Table1[#All],2,0)</f>
        <v>BW DINH VU</v>
      </c>
      <c r="E224" s="932" t="s">
        <v>92</v>
      </c>
      <c r="F224" s="998" t="s">
        <v>80</v>
      </c>
      <c r="G224" s="932" t="s">
        <v>310</v>
      </c>
      <c r="H224" s="932" t="str">
        <f>VLOOKUP($C224,Table1[#All],3,0)</f>
        <v>Subsidiaries</v>
      </c>
      <c r="I224" s="932" t="str" cm="1">
        <f t="array" ref="I224">_xlfn.XLOOKUP(Acc_Char!$E224,Table4[[#All],[Branch]],Table4[[#All],[Bank]],"recheck",0)</f>
        <v>BIDV - THANH XUAN</v>
      </c>
    </row>
    <row r="225" spans="1:9">
      <c r="A225" s="998">
        <f t="shared" si="3"/>
        <v>224</v>
      </c>
      <c r="B225" s="1097" t="s">
        <v>3062</v>
      </c>
      <c r="C225" s="1003" t="s">
        <v>2915</v>
      </c>
      <c r="D225" s="999" t="str">
        <f>VLOOKUP($C225,Table1[#All],2,0)</f>
        <v>BW DINH VU</v>
      </c>
      <c r="E225" s="999" t="s">
        <v>92</v>
      </c>
      <c r="F225" s="1093" t="s">
        <v>80</v>
      </c>
      <c r="G225" s="999" t="s">
        <v>310</v>
      </c>
      <c r="H225" s="999" t="str">
        <f>VLOOKUP($C225,Table1[#All],3,0)</f>
        <v>Subsidiaries</v>
      </c>
      <c r="I225" s="999" t="str" cm="1">
        <f t="array" ref="I225">_xlfn.XLOOKUP(Acc_Char!$E225,Table4[[#All],[Branch]],Table4[[#All],[Bank]],"recheck",0)</f>
        <v>BIDV - THANH XUAN</v>
      </c>
    </row>
    <row r="226" spans="1:9">
      <c r="A226" s="998">
        <f t="shared" si="3"/>
        <v>225</v>
      </c>
      <c r="B226" s="1098" t="s">
        <v>3063</v>
      </c>
      <c r="C226" s="1000" t="s">
        <v>2915</v>
      </c>
      <c r="D226" s="932" t="str">
        <f>VLOOKUP($C226,Table1[#All],2,0)</f>
        <v>BW DINH VU</v>
      </c>
      <c r="E226" s="932" t="s">
        <v>92</v>
      </c>
      <c r="F226" s="998" t="s">
        <v>80</v>
      </c>
      <c r="G226" s="932" t="s">
        <v>310</v>
      </c>
      <c r="H226" s="932" t="str">
        <f>VLOOKUP($C226,Table1[#All],3,0)</f>
        <v>Subsidiaries</v>
      </c>
      <c r="I226" s="932" t="str" cm="1">
        <f t="array" ref="I226">_xlfn.XLOOKUP(Acc_Char!$E226,Table4[[#All],[Branch]],Table4[[#All],[Bank]],"recheck",0)</f>
        <v>BIDV - THANH XUAN</v>
      </c>
    </row>
    <row r="227" spans="1:9">
      <c r="A227" s="998">
        <f t="shared" si="3"/>
        <v>226</v>
      </c>
      <c r="B227" s="1097" t="s">
        <v>3064</v>
      </c>
      <c r="C227" s="1003" t="s">
        <v>2915</v>
      </c>
      <c r="D227" s="999" t="str">
        <f>VLOOKUP($C227,Table1[#All],2,0)</f>
        <v>BW DINH VU</v>
      </c>
      <c r="E227" s="999" t="s">
        <v>92</v>
      </c>
      <c r="F227" s="1093" t="s">
        <v>80</v>
      </c>
      <c r="G227" s="999" t="s">
        <v>310</v>
      </c>
      <c r="H227" s="999" t="str">
        <f>VLOOKUP($C227,Table1[#All],3,0)</f>
        <v>Subsidiaries</v>
      </c>
      <c r="I227" s="999" t="str" cm="1">
        <f t="array" ref="I227">_xlfn.XLOOKUP(Acc_Char!$E227,Table4[[#All],[Branch]],Table4[[#All],[Bank]],"recheck",0)</f>
        <v>BIDV - THANH XUAN</v>
      </c>
    </row>
    <row r="228" spans="1:9">
      <c r="A228" s="998">
        <f t="shared" si="3"/>
        <v>227</v>
      </c>
      <c r="B228" s="1098" t="s">
        <v>3065</v>
      </c>
      <c r="C228" s="1000" t="s">
        <v>2915</v>
      </c>
      <c r="D228" s="932" t="str">
        <f>VLOOKUP($C228,Table1[#All],2,0)</f>
        <v>BW DINH VU</v>
      </c>
      <c r="E228" s="932" t="s">
        <v>92</v>
      </c>
      <c r="F228" s="998" t="s">
        <v>80</v>
      </c>
      <c r="G228" s="932" t="s">
        <v>310</v>
      </c>
      <c r="H228" s="932" t="str">
        <f>VLOOKUP($C228,Table1[#All],3,0)</f>
        <v>Subsidiaries</v>
      </c>
      <c r="I228" s="932" t="str" cm="1">
        <f t="array" ref="I228">_xlfn.XLOOKUP(Acc_Char!$E228,Table4[[#All],[Branch]],Table4[[#All],[Bank]],"recheck",0)</f>
        <v>BIDV - THANH XUAN</v>
      </c>
    </row>
    <row r="229" spans="1:9">
      <c r="A229" s="998">
        <f t="shared" si="3"/>
        <v>228</v>
      </c>
      <c r="B229" s="1097" t="s">
        <v>3066</v>
      </c>
      <c r="C229" s="1003" t="s">
        <v>2915</v>
      </c>
      <c r="D229" s="999" t="str">
        <f>VLOOKUP($C229,Table1[#All],2,0)</f>
        <v>BW DINH VU</v>
      </c>
      <c r="E229" s="999" t="s">
        <v>92</v>
      </c>
      <c r="F229" s="1093" t="s">
        <v>80</v>
      </c>
      <c r="G229" s="999" t="s">
        <v>310</v>
      </c>
      <c r="H229" s="999" t="str">
        <f>VLOOKUP($C229,Table1[#All],3,0)</f>
        <v>Subsidiaries</v>
      </c>
      <c r="I229" s="999" t="str" cm="1">
        <f t="array" ref="I229">_xlfn.XLOOKUP(Acc_Char!$E229,Table4[[#All],[Branch]],Table4[[#All],[Bank]],"recheck",0)</f>
        <v>BIDV - THANH XUAN</v>
      </c>
    </row>
    <row r="230" spans="1:9">
      <c r="A230" s="998">
        <f t="shared" si="3"/>
        <v>229</v>
      </c>
      <c r="B230" s="1098" t="s">
        <v>3067</v>
      </c>
      <c r="C230" s="1000" t="s">
        <v>440</v>
      </c>
      <c r="D230" s="932" t="str">
        <f>VLOOKUP($C230,Table1[#All],2,0)</f>
        <v>BW NAM DINH VU</v>
      </c>
      <c r="E230" s="932" t="s">
        <v>85</v>
      </c>
      <c r="F230" s="998" t="s">
        <v>80</v>
      </c>
      <c r="G230" s="932" t="s">
        <v>308</v>
      </c>
      <c r="H230" s="932" t="str">
        <f>VLOOKUP($C230,Table1[#All],3,0)</f>
        <v>Subsidiaries</v>
      </c>
      <c r="I230" s="932" t="str" cm="1">
        <f t="array" ref="I230">_xlfn.XLOOKUP(Acc_Char!$E230,Table4[[#All],[Branch]],Table4[[#All],[Bank]],"recheck",0)</f>
        <v>VIETINBANK - TIEN SON</v>
      </c>
    </row>
    <row r="231" spans="1:9">
      <c r="A231" s="998">
        <f t="shared" si="3"/>
        <v>230</v>
      </c>
      <c r="B231" s="1098" t="s">
        <v>485</v>
      </c>
      <c r="C231" s="1000" t="s">
        <v>389</v>
      </c>
      <c r="D231" s="932" t="str">
        <f>VLOOKUP($C231,Table1[#All],2,0)</f>
        <v>BWID BINH DUONG</v>
      </c>
      <c r="E231" s="932" t="s">
        <v>88</v>
      </c>
      <c r="F231" s="998" t="s">
        <v>81</v>
      </c>
      <c r="G231" s="932" t="s">
        <v>308</v>
      </c>
      <c r="H231" s="932" t="str">
        <f>VLOOKUP($C231,Table1[#All],3,0)</f>
        <v>BWID JSC</v>
      </c>
      <c r="I231" s="932" t="str" cm="1">
        <f t="array" ref="I231">_xlfn.XLOOKUP(Acc_Char!$E59,Table4[[#All],[Branch]],Table4[[#All],[Bank]],"recheck",0)</f>
        <v>VIETINBANK - TIEN SON</v>
      </c>
    </row>
    <row r="232" spans="1:9">
      <c r="A232" s="998">
        <f t="shared" si="3"/>
        <v>231</v>
      </c>
      <c r="B232" s="1004" t="s">
        <v>336</v>
      </c>
      <c r="C232" s="1000" t="s">
        <v>440</v>
      </c>
      <c r="D232" s="932" t="str">
        <f>VLOOKUP($C232,Table1[#All],2,0)</f>
        <v>BW NAM DINH VU</v>
      </c>
      <c r="E232" s="932" t="s">
        <v>94</v>
      </c>
      <c r="F232" s="998" t="s">
        <v>80</v>
      </c>
      <c r="G232" s="932" t="s">
        <v>308</v>
      </c>
      <c r="H232" s="932" t="str">
        <f>VLOOKUP($C232,Table1[#All],3,0)</f>
        <v>Subsidiaries</v>
      </c>
      <c r="I232" s="932" t="str" cm="1">
        <f t="array" ref="I232">_xlfn.XLOOKUP(Acc_Char!$E232,Table4[[#All],[Branch]],Table4[[#All],[Bank]],"recheck",0)</f>
        <v>BIDV - LONG BIEN</v>
      </c>
    </row>
    <row r="233" spans="1:9">
      <c r="A233" s="998">
        <f t="shared" si="3"/>
        <v>232</v>
      </c>
      <c r="B233" s="1097" t="s">
        <v>3068</v>
      </c>
      <c r="C233" s="1003" t="s">
        <v>440</v>
      </c>
      <c r="D233" s="999" t="str">
        <f>VLOOKUP($C233,Table1[#All],2,0)</f>
        <v>BW NAM DINH VU</v>
      </c>
      <c r="E233" s="932" t="s">
        <v>94</v>
      </c>
      <c r="F233" s="1093" t="s">
        <v>80</v>
      </c>
      <c r="G233" s="999" t="s">
        <v>310</v>
      </c>
      <c r="H233" s="999" t="str">
        <f>VLOOKUP($C233,Table1[#All],3,0)</f>
        <v>Subsidiaries</v>
      </c>
      <c r="I233" s="999" t="str" cm="1">
        <f t="array" ref="I233">_xlfn.XLOOKUP(Acc_Char!$E233,Table4[[#All],[Branch]],Table4[[#All],[Bank]],"recheck",0)</f>
        <v>BIDV - LONG BIEN</v>
      </c>
    </row>
    <row r="234" spans="1:9">
      <c r="A234" s="998">
        <f t="shared" si="3"/>
        <v>233</v>
      </c>
      <c r="B234" s="1098" t="s">
        <v>3069</v>
      </c>
      <c r="C234" s="1000" t="s">
        <v>440</v>
      </c>
      <c r="D234" s="932" t="str">
        <f>VLOOKUP($C234,Table1[#All],2,0)</f>
        <v>BW NAM DINH VU</v>
      </c>
      <c r="E234" s="932" t="s">
        <v>94</v>
      </c>
      <c r="F234" s="998" t="s">
        <v>80</v>
      </c>
      <c r="G234" s="932" t="s">
        <v>310</v>
      </c>
      <c r="H234" s="932" t="str">
        <f>VLOOKUP($C234,Table1[#All],3,0)</f>
        <v>Subsidiaries</v>
      </c>
      <c r="I234" s="932" t="str" cm="1">
        <f t="array" ref="I234">_xlfn.XLOOKUP(Acc_Char!$E234,Table4[[#All],[Branch]],Table4[[#All],[Bank]],"recheck",0)</f>
        <v>BIDV - LONG BIEN</v>
      </c>
    </row>
    <row r="235" spans="1:9">
      <c r="A235" s="998">
        <f t="shared" si="3"/>
        <v>234</v>
      </c>
      <c r="B235" s="1097" t="s">
        <v>3070</v>
      </c>
      <c r="C235" s="1003" t="s">
        <v>440</v>
      </c>
      <c r="D235" s="999" t="str">
        <f>VLOOKUP($C235,Table1[#All],2,0)</f>
        <v>BW NAM DINH VU</v>
      </c>
      <c r="E235" s="932" t="s">
        <v>94</v>
      </c>
      <c r="F235" s="1093" t="s">
        <v>80</v>
      </c>
      <c r="G235" s="999" t="s">
        <v>310</v>
      </c>
      <c r="H235" s="999" t="str">
        <f>VLOOKUP($C235,Table1[#All],3,0)</f>
        <v>Subsidiaries</v>
      </c>
      <c r="I235" s="999" t="str" cm="1">
        <f t="array" ref="I235">_xlfn.XLOOKUP(Acc_Char!$E235,Table4[[#All],[Branch]],Table4[[#All],[Bank]],"recheck",0)</f>
        <v>BIDV - LONG BIEN</v>
      </c>
    </row>
    <row r="236" spans="1:9">
      <c r="A236" s="998">
        <f t="shared" si="3"/>
        <v>235</v>
      </c>
      <c r="B236" s="1098" t="s">
        <v>3071</v>
      </c>
      <c r="C236" s="1000" t="s">
        <v>440</v>
      </c>
      <c r="D236" s="932" t="str">
        <f>VLOOKUP($C236,Table1[#All],2,0)</f>
        <v>BW NAM DINH VU</v>
      </c>
      <c r="E236" s="932" t="s">
        <v>94</v>
      </c>
      <c r="F236" s="998" t="s">
        <v>80</v>
      </c>
      <c r="G236" s="932" t="s">
        <v>310</v>
      </c>
      <c r="H236" s="932" t="str">
        <f>VLOOKUP($C236,Table1[#All],3,0)</f>
        <v>Subsidiaries</v>
      </c>
      <c r="I236" s="932" t="str" cm="1">
        <f t="array" ref="I236">_xlfn.XLOOKUP(Acc_Char!$E236,Table4[[#All],[Branch]],Table4[[#All],[Bank]],"recheck",0)</f>
        <v>BIDV - LONG BIEN</v>
      </c>
    </row>
    <row r="237" spans="1:9">
      <c r="A237" s="998">
        <f t="shared" si="3"/>
        <v>236</v>
      </c>
      <c r="B237" s="1097" t="s">
        <v>553</v>
      </c>
      <c r="C237" s="1003" t="s">
        <v>3072</v>
      </c>
      <c r="D237" s="999" t="str">
        <f>VLOOKUP($C237,Table1[#All],2,0)</f>
        <v>BWID TAN DONG HIEP</v>
      </c>
      <c r="E237" s="999" t="s">
        <v>96</v>
      </c>
      <c r="F237" s="1093" t="s">
        <v>80</v>
      </c>
      <c r="G237" s="999" t="s">
        <v>308</v>
      </c>
      <c r="H237" s="999" t="str">
        <f>VLOOKUP($C237,Table1[#All],3,0)</f>
        <v>Subsidiaries</v>
      </c>
      <c r="I237" s="999" t="str" cm="1">
        <f t="array" ref="I237">_xlfn.XLOOKUP(Acc_Char!$E237,Table4[[#All],[Branch]],Table4[[#All],[Bank]],"recheck",0)</f>
        <v>VIB - HOI SO</v>
      </c>
    </row>
    <row r="238" spans="1:9">
      <c r="A238" s="998">
        <f t="shared" si="3"/>
        <v>237</v>
      </c>
      <c r="B238" s="1098" t="s">
        <v>3073</v>
      </c>
      <c r="C238" s="1000" t="s">
        <v>3072</v>
      </c>
      <c r="D238" s="932" t="str">
        <f>VLOOKUP($C238,Table1[#All],2,0)</f>
        <v>BWID TAN DONG HIEP</v>
      </c>
      <c r="E238" s="932" t="s">
        <v>96</v>
      </c>
      <c r="F238" s="998" t="s">
        <v>80</v>
      </c>
      <c r="G238" s="932" t="s">
        <v>310</v>
      </c>
      <c r="H238" s="932" t="str">
        <f>VLOOKUP($C238,Table1[#All],3,0)</f>
        <v>Subsidiaries</v>
      </c>
      <c r="I238" s="932" t="str" cm="1">
        <f t="array" ref="I238">_xlfn.XLOOKUP(Acc_Char!$E238,Table4[[#All],[Branch]],Table4[[#All],[Bank]],"recheck",0)</f>
        <v>VIB - HOI SO</v>
      </c>
    </row>
    <row r="239" spans="1:9">
      <c r="A239" s="998">
        <f t="shared" si="3"/>
        <v>238</v>
      </c>
      <c r="B239" s="1097" t="s">
        <v>555</v>
      </c>
      <c r="C239" s="1003" t="s">
        <v>402</v>
      </c>
      <c r="D239" s="999" t="str">
        <f>VLOOKUP($C239,Table1[#All],2,0)</f>
        <v>BWID DONG AN LID</v>
      </c>
      <c r="E239" s="999" t="s">
        <v>88</v>
      </c>
      <c r="F239" s="1093" t="s">
        <v>80</v>
      </c>
      <c r="G239" s="999" t="s">
        <v>308</v>
      </c>
      <c r="H239" s="999" t="str">
        <f>VLOOKUP($C239,Table1[#All],3,0)</f>
        <v>Subsidiaries</v>
      </c>
      <c r="I239" s="999" t="str" cm="1">
        <f t="array" ref="I239">_xlfn.XLOOKUP(Acc_Char!$E239,Table4[[#All],[Branch]],Table4[[#All],[Bank]],"recheck",0)</f>
        <v>VIETINBANK - DONG SAI GON</v>
      </c>
    </row>
    <row r="240" spans="1:9">
      <c r="A240" s="998">
        <f t="shared" si="3"/>
        <v>239</v>
      </c>
      <c r="B240" s="1098" t="s">
        <v>3074</v>
      </c>
      <c r="C240" s="1000" t="s">
        <v>402</v>
      </c>
      <c r="D240" s="932" t="str">
        <f>VLOOKUP($C240,Table1[#All],2,0)</f>
        <v>BWID DONG AN LID</v>
      </c>
      <c r="E240" s="932" t="s">
        <v>88</v>
      </c>
      <c r="F240" s="998" t="s">
        <v>80</v>
      </c>
      <c r="G240" s="932" t="s">
        <v>310</v>
      </c>
      <c r="H240" s="932" t="str">
        <f>VLOOKUP($C240,Table1[#All],3,0)</f>
        <v>Subsidiaries</v>
      </c>
      <c r="I240" s="932" t="str" cm="1">
        <f t="array" ref="I240">_xlfn.XLOOKUP(Acc_Char!$E240,Table4[[#All],[Branch]],Table4[[#All],[Bank]],"recheck",0)</f>
        <v>VIETINBANK - DONG SAI GON</v>
      </c>
    </row>
    <row r="241" spans="1:9">
      <c r="A241" s="998">
        <f t="shared" si="3"/>
        <v>240</v>
      </c>
      <c r="B241" s="1097" t="s">
        <v>556</v>
      </c>
      <c r="C241" s="1003" t="s">
        <v>402</v>
      </c>
      <c r="D241" s="999" t="str">
        <f>VLOOKUP($C241,Table1[#All],2,0)</f>
        <v>BWID DONG AN LID</v>
      </c>
      <c r="E241" s="999" t="s">
        <v>88</v>
      </c>
      <c r="F241" s="1093" t="s">
        <v>80</v>
      </c>
      <c r="G241" s="999" t="s">
        <v>310</v>
      </c>
      <c r="H241" s="999" t="str">
        <f>VLOOKUP($C241,Table1[#All],3,0)</f>
        <v>Subsidiaries</v>
      </c>
      <c r="I241" s="999" t="str" cm="1">
        <f t="array" ref="I241">_xlfn.XLOOKUP(Acc_Char!$E241,Table4[[#All],[Branch]],Table4[[#All],[Bank]],"recheck",0)</f>
        <v>VIETINBANK - DONG SAI GON</v>
      </c>
    </row>
    <row r="242" spans="1:9">
      <c r="A242" s="998">
        <f t="shared" si="3"/>
        <v>241</v>
      </c>
      <c r="B242" s="1098" t="s">
        <v>3075</v>
      </c>
      <c r="C242" s="1000" t="s">
        <v>402</v>
      </c>
      <c r="D242" s="932" t="str">
        <f>VLOOKUP($C242,Table1[#All],2,0)</f>
        <v>BWID DONG AN LID</v>
      </c>
      <c r="E242" s="932" t="s">
        <v>88</v>
      </c>
      <c r="F242" s="998" t="s">
        <v>80</v>
      </c>
      <c r="G242" s="932" t="s">
        <v>310</v>
      </c>
      <c r="H242" s="932" t="str">
        <f>VLOOKUP($C242,Table1[#All],3,0)</f>
        <v>Subsidiaries</v>
      </c>
      <c r="I242" s="932" t="str" cm="1">
        <f t="array" ref="I242">_xlfn.XLOOKUP(Acc_Char!$E242,Table4[[#All],[Branch]],Table4[[#All],[Bank]],"recheck",0)</f>
        <v>VIETINBANK - DONG SAI GON</v>
      </c>
    </row>
    <row r="243" spans="1:9">
      <c r="A243" s="998">
        <f t="shared" si="3"/>
        <v>242</v>
      </c>
      <c r="B243" s="1097" t="s">
        <v>3076</v>
      </c>
      <c r="C243" s="1003" t="s">
        <v>402</v>
      </c>
      <c r="D243" s="999" t="str">
        <f>VLOOKUP($C243,Table1[#All],2,0)</f>
        <v>BWID DONG AN LID</v>
      </c>
      <c r="E243" s="999" t="s">
        <v>88</v>
      </c>
      <c r="F243" s="1093" t="s">
        <v>80</v>
      </c>
      <c r="G243" s="999" t="s">
        <v>310</v>
      </c>
      <c r="H243" s="999" t="str">
        <f>VLOOKUP($C243,Table1[#All],3,0)</f>
        <v>Subsidiaries</v>
      </c>
      <c r="I243" s="999" t="str" cm="1">
        <f t="array" ref="I243">_xlfn.XLOOKUP(Acc_Char!$E243,Table4[[#All],[Branch]],Table4[[#All],[Bank]],"recheck",0)</f>
        <v>VIETINBANK - DONG SAI GON</v>
      </c>
    </row>
    <row r="244" spans="1:9">
      <c r="A244" s="998">
        <f t="shared" si="3"/>
        <v>243</v>
      </c>
      <c r="B244" s="1098" t="s">
        <v>3077</v>
      </c>
      <c r="C244" s="1000" t="s">
        <v>402</v>
      </c>
      <c r="D244" s="932" t="str">
        <f>VLOOKUP($C244,Table1[#All],2,0)</f>
        <v>BWID DONG AN LID</v>
      </c>
      <c r="E244" s="932" t="s">
        <v>2952</v>
      </c>
      <c r="F244" s="998" t="s">
        <v>80</v>
      </c>
      <c r="G244" s="932" t="s">
        <v>308</v>
      </c>
      <c r="H244" s="932" t="str">
        <f>VLOOKUP($C244,Table1[#All],3,0)</f>
        <v>Subsidiaries</v>
      </c>
      <c r="I244" s="932" t="str" cm="1">
        <f t="array" ref="I244">_xlfn.XLOOKUP(Acc_Char!$E244,Table4[[#All],[Branch]],Table4[[#All],[Bank]],"recheck",0)</f>
        <v>OTHERS</v>
      </c>
    </row>
    <row r="245" spans="1:9">
      <c r="A245" s="998">
        <f t="shared" si="3"/>
        <v>244</v>
      </c>
      <c r="B245" s="1097" t="s">
        <v>558</v>
      </c>
      <c r="C245" s="1003" t="s">
        <v>3078</v>
      </c>
      <c r="D245" s="999" t="str">
        <f>VLOOKUP($C245,Table1[#All],2,0)</f>
        <v>BWID LONG AN</v>
      </c>
      <c r="E245" s="999" t="s">
        <v>95</v>
      </c>
      <c r="F245" s="1093" t="s">
        <v>80</v>
      </c>
      <c r="G245" s="999" t="s">
        <v>308</v>
      </c>
      <c r="H245" s="999" t="str">
        <f>VLOOKUP($C245,Table1[#All],3,0)</f>
        <v>Subsidiaries</v>
      </c>
      <c r="I245" s="999" t="str" cm="1">
        <f t="array" ref="I245">_xlfn.XLOOKUP(Acc_Char!$E245,Table4[[#All],[Branch]],Table4[[#All],[Bank]],"recheck",0)</f>
        <v>OCB - BINH DUONG</v>
      </c>
    </row>
    <row r="246" spans="1:9">
      <c r="A246" s="998">
        <f t="shared" si="3"/>
        <v>245</v>
      </c>
      <c r="B246" s="1098" t="s">
        <v>560</v>
      </c>
      <c r="C246" s="1000" t="s">
        <v>3079</v>
      </c>
      <c r="D246" s="932" t="str">
        <f>VLOOKUP($C246,Table1[#All],2,0)</f>
        <v>SG LOGISTICS</v>
      </c>
      <c r="E246" s="932" t="s">
        <v>85</v>
      </c>
      <c r="F246" s="998" t="s">
        <v>80</v>
      </c>
      <c r="G246" s="932" t="s">
        <v>308</v>
      </c>
      <c r="H246" s="932" t="str">
        <f>VLOOKUP($C246,Table1[#All],3,0)</f>
        <v>Subsidiaries</v>
      </c>
      <c r="I246" s="932" t="str" cm="1">
        <f t="array" ref="I246">_xlfn.XLOOKUP(Acc_Char!$E246,Table4[[#All],[Branch]],Table4[[#All],[Bank]],"recheck",0)</f>
        <v>VIETINBANK - TIEN SON</v>
      </c>
    </row>
    <row r="247" spans="1:9">
      <c r="A247" s="998">
        <f t="shared" si="3"/>
        <v>246</v>
      </c>
      <c r="B247" s="1097" t="s">
        <v>3080</v>
      </c>
      <c r="C247" s="1003" t="s">
        <v>3079</v>
      </c>
      <c r="D247" s="999" t="str">
        <f>VLOOKUP($C247,Table1[#All],2,0)</f>
        <v>SG LOGISTICS</v>
      </c>
      <c r="E247" s="999" t="s">
        <v>86</v>
      </c>
      <c r="F247" s="1093" t="s">
        <v>80</v>
      </c>
      <c r="G247" s="999" t="s">
        <v>308</v>
      </c>
      <c r="H247" s="999" t="str">
        <f>VLOOKUP($C247,Table1[#All],3,0)</f>
        <v>Subsidiaries</v>
      </c>
      <c r="I247" s="999" t="str" cm="1">
        <f t="array" ref="I247">_xlfn.XLOOKUP(Acc_Char!$E247,Table4[[#All],[Branch]],Table4[[#All],[Bank]],"recheck",0)</f>
        <v>VIETINBANK - CN1</v>
      </c>
    </row>
    <row r="248" spans="1:9">
      <c r="A248" s="998">
        <f t="shared" si="3"/>
        <v>247</v>
      </c>
      <c r="B248" s="1098" t="s">
        <v>3081</v>
      </c>
      <c r="C248" s="1000" t="s">
        <v>3079</v>
      </c>
      <c r="D248" s="932" t="str">
        <f>VLOOKUP($C248,Table1[#All],2,0)</f>
        <v>SG LOGISTICS</v>
      </c>
      <c r="E248" s="932" t="s">
        <v>86</v>
      </c>
      <c r="F248" s="998" t="s">
        <v>80</v>
      </c>
      <c r="G248" s="932" t="s">
        <v>310</v>
      </c>
      <c r="H248" s="932" t="str">
        <f>VLOOKUP($C248,Table1[#All],3,0)</f>
        <v>Subsidiaries</v>
      </c>
      <c r="I248" s="932" t="str" cm="1">
        <f t="array" ref="I248">_xlfn.XLOOKUP(Acc_Char!$E248,Table4[[#All],[Branch]],Table4[[#All],[Bank]],"recheck",0)</f>
        <v>VIETINBANK - CN1</v>
      </c>
    </row>
    <row r="249" spans="1:9">
      <c r="A249" s="998">
        <f t="shared" si="3"/>
        <v>248</v>
      </c>
      <c r="B249" s="1097" t="s">
        <v>3082</v>
      </c>
      <c r="C249" s="1003" t="s">
        <v>3079</v>
      </c>
      <c r="D249" s="999" t="str">
        <f>VLOOKUP($C249,Table1[#All],2,0)</f>
        <v>SG LOGISTICS</v>
      </c>
      <c r="E249" s="999" t="s">
        <v>96</v>
      </c>
      <c r="F249" s="1093" t="s">
        <v>80</v>
      </c>
      <c r="G249" s="999" t="s">
        <v>308</v>
      </c>
      <c r="H249" s="999" t="str">
        <f>VLOOKUP($C249,Table1[#All],3,0)</f>
        <v>Subsidiaries</v>
      </c>
      <c r="I249" s="999" t="str" cm="1">
        <f t="array" ref="I249">_xlfn.XLOOKUP(Acc_Char!$E249,Table4[[#All],[Branch]],Table4[[#All],[Bank]],"recheck",0)</f>
        <v>VIB - HOI SO</v>
      </c>
    </row>
    <row r="250" spans="1:9">
      <c r="A250" s="998">
        <f t="shared" si="3"/>
        <v>249</v>
      </c>
      <c r="B250" s="1098" t="s">
        <v>3083</v>
      </c>
      <c r="C250" s="1000" t="s">
        <v>3084</v>
      </c>
      <c r="D250" s="932" t="str">
        <f>VLOOKUP($C250,Table1[#All],2,0)</f>
        <v>HANOI MANAGEMENT SERVICES</v>
      </c>
      <c r="E250" s="932" t="s">
        <v>85</v>
      </c>
      <c r="F250" s="998" t="s">
        <v>80</v>
      </c>
      <c r="G250" s="932" t="s">
        <v>310</v>
      </c>
      <c r="H250" s="932" t="str">
        <f>VLOOKUP($C250,Table1[#All],3,0)</f>
        <v>Subsidiaries</v>
      </c>
      <c r="I250" s="932" t="str" cm="1">
        <f t="array" ref="I250">_xlfn.XLOOKUP(Acc_Char!$E250,Table4[[#All],[Branch]],Table4[[#All],[Bank]],"recheck",0)</f>
        <v>VIETINBANK - TIEN SON</v>
      </c>
    </row>
    <row r="251" spans="1:9">
      <c r="A251" s="998">
        <f t="shared" si="3"/>
        <v>250</v>
      </c>
      <c r="B251" s="1097" t="s">
        <v>562</v>
      </c>
      <c r="C251" s="1003" t="s">
        <v>3084</v>
      </c>
      <c r="D251" s="999" t="str">
        <f>VLOOKUP($C251,Table1[#All],2,0)</f>
        <v>HANOI MANAGEMENT SERVICES</v>
      </c>
      <c r="E251" s="999" t="s">
        <v>85</v>
      </c>
      <c r="F251" s="1093" t="s">
        <v>80</v>
      </c>
      <c r="G251" s="999" t="s">
        <v>308</v>
      </c>
      <c r="H251" s="999" t="str">
        <f>VLOOKUP($C251,Table1[#All],3,0)</f>
        <v>Subsidiaries</v>
      </c>
      <c r="I251" s="999" t="str" cm="1">
        <f t="array" ref="I251">_xlfn.XLOOKUP(Acc_Char!$E251,Table4[[#All],[Branch]],Table4[[#All],[Bank]],"recheck",0)</f>
        <v>VIETINBANK - TIEN SON</v>
      </c>
    </row>
    <row r="252" spans="1:9">
      <c r="A252" s="998">
        <f t="shared" si="3"/>
        <v>251</v>
      </c>
      <c r="B252" s="1098" t="s">
        <v>564</v>
      </c>
      <c r="C252" s="1000" t="s">
        <v>3085</v>
      </c>
      <c r="D252" s="932" t="str">
        <f>VLOOKUP($C252,Table1[#All],2,0)</f>
        <v>IRE CONSULTANCY &amp; MANAGEMENT</v>
      </c>
      <c r="E252" s="932" t="s">
        <v>85</v>
      </c>
      <c r="F252" s="998" t="s">
        <v>80</v>
      </c>
      <c r="G252" s="932" t="s">
        <v>308</v>
      </c>
      <c r="H252" s="932" t="str">
        <f>VLOOKUP($C252,Table1[#All],3,0)</f>
        <v>Subsidiaries</v>
      </c>
      <c r="I252" s="932" t="str" cm="1">
        <f t="array" ref="I252">_xlfn.XLOOKUP(Acc_Char!$E252,Table4[[#All],[Branch]],Table4[[#All],[Bank]],"recheck",0)</f>
        <v>VIETINBANK - TIEN SON</v>
      </c>
    </row>
    <row r="253" spans="1:9">
      <c r="A253" s="998">
        <f t="shared" si="3"/>
        <v>252</v>
      </c>
      <c r="B253" s="1097" t="s">
        <v>566</v>
      </c>
      <c r="C253" s="1003" t="s">
        <v>3086</v>
      </c>
      <c r="D253" s="999" t="str">
        <f>VLOOKUP($C253,Table1[#All],2,0)</f>
        <v>BW THU DAU MOT</v>
      </c>
      <c r="E253" s="999" t="s">
        <v>85</v>
      </c>
      <c r="F253" s="1093" t="s">
        <v>80</v>
      </c>
      <c r="G253" s="999" t="s">
        <v>308</v>
      </c>
      <c r="H253" s="999" t="str">
        <f>VLOOKUP($C253,Table1[#All],3,0)</f>
        <v>Subsidiaries</v>
      </c>
      <c r="I253" s="999" t="str" cm="1">
        <f t="array" ref="I253">_xlfn.XLOOKUP(Acc_Char!$E253,Table4[[#All],[Branch]],Table4[[#All],[Bank]],"recheck",0)</f>
        <v>VIETINBANK - TIEN SON</v>
      </c>
    </row>
    <row r="254" spans="1:9">
      <c r="A254" s="998">
        <f t="shared" si="3"/>
        <v>253</v>
      </c>
      <c r="B254" s="1004" t="s">
        <v>568</v>
      </c>
      <c r="C254" s="1000" t="s">
        <v>430</v>
      </c>
      <c r="D254" s="932" t="str">
        <f>VLOOKUP($C254,Table1[#All],2,0)</f>
        <v>KIM TRUC DN</v>
      </c>
      <c r="E254" s="932" t="s">
        <v>93</v>
      </c>
      <c r="F254" s="998" t="s">
        <v>80</v>
      </c>
      <c r="G254" s="932" t="s">
        <v>308</v>
      </c>
      <c r="H254" s="932" t="str">
        <f>VLOOKUP($C254,Table1[#All],3,0)</f>
        <v>Subsidiaries</v>
      </c>
      <c r="I254" s="932" t="str" cm="1">
        <f t="array" ref="I254">_xlfn.XLOOKUP(Acc_Char!$E254,Table4[[#All],[Branch]],Table4[[#All],[Bank]],"recheck",0)</f>
        <v>BIDV - NAM SAI GON</v>
      </c>
    </row>
    <row r="255" spans="1:9">
      <c r="A255" s="998">
        <f t="shared" si="3"/>
        <v>254</v>
      </c>
      <c r="B255" s="1097" t="s">
        <v>569</v>
      </c>
      <c r="C255" s="1003" t="s">
        <v>430</v>
      </c>
      <c r="D255" s="999" t="str">
        <f>VLOOKUP($C255,Table1[#All],2,0)</f>
        <v>KIM TRUC DN</v>
      </c>
      <c r="E255" s="999" t="s">
        <v>93</v>
      </c>
      <c r="F255" s="1093" t="s">
        <v>80</v>
      </c>
      <c r="G255" s="999" t="s">
        <v>310</v>
      </c>
      <c r="H255" s="999" t="str">
        <f>VLOOKUP($C255,Table1[#All],3,0)</f>
        <v>Subsidiaries</v>
      </c>
      <c r="I255" s="999" t="str" cm="1">
        <f t="array" ref="I255">_xlfn.XLOOKUP(Acc_Char!$E255,Table4[[#All],[Branch]],Table4[[#All],[Bank]],"recheck",0)</f>
        <v>BIDV - NAM SAI GON</v>
      </c>
    </row>
    <row r="256" spans="1:9">
      <c r="A256" s="998">
        <f t="shared" si="3"/>
        <v>255</v>
      </c>
      <c r="B256" s="1098" t="s">
        <v>3087</v>
      </c>
      <c r="C256" s="1000" t="s">
        <v>430</v>
      </c>
      <c r="D256" s="932" t="str">
        <f>VLOOKUP($C256,Table1[#All],2,0)</f>
        <v>KIM TRUC DN</v>
      </c>
      <c r="E256" s="932" t="s">
        <v>93</v>
      </c>
      <c r="F256" s="998" t="s">
        <v>80</v>
      </c>
      <c r="G256" s="932" t="s">
        <v>310</v>
      </c>
      <c r="H256" s="932" t="str">
        <f>VLOOKUP($C256,Table1[#All],3,0)</f>
        <v>Subsidiaries</v>
      </c>
      <c r="I256" s="932" t="str" cm="1">
        <f t="array" ref="I256">_xlfn.XLOOKUP(Acc_Char!$E256,Table4[[#All],[Branch]],Table4[[#All],[Bank]],"recheck",0)</f>
        <v>BIDV - NAM SAI GON</v>
      </c>
    </row>
    <row r="257" spans="1:9">
      <c r="A257" s="998">
        <f t="shared" si="3"/>
        <v>256</v>
      </c>
      <c r="B257" s="1097" t="s">
        <v>3088</v>
      </c>
      <c r="C257" s="1003" t="s">
        <v>430</v>
      </c>
      <c r="D257" s="999" t="str">
        <f>VLOOKUP($C257,Table1[#All],2,0)</f>
        <v>KIM TRUC DN</v>
      </c>
      <c r="E257" s="999" t="s">
        <v>93</v>
      </c>
      <c r="F257" s="1093" t="s">
        <v>80</v>
      </c>
      <c r="G257" s="999" t="s">
        <v>310</v>
      </c>
      <c r="H257" s="999" t="str">
        <f>VLOOKUP($C257,Table1[#All],3,0)</f>
        <v>Subsidiaries</v>
      </c>
      <c r="I257" s="999" t="str" cm="1">
        <f t="array" ref="I257">_xlfn.XLOOKUP(Acc_Char!$E257,Table4[[#All],[Branch]],Table4[[#All],[Bank]],"recheck",0)</f>
        <v>BIDV - NAM SAI GON</v>
      </c>
    </row>
    <row r="258" spans="1:9">
      <c r="A258" s="998">
        <f t="shared" si="3"/>
        <v>257</v>
      </c>
      <c r="B258" s="1098" t="s">
        <v>3089</v>
      </c>
      <c r="C258" s="1000" t="s">
        <v>430</v>
      </c>
      <c r="D258" s="932" t="str">
        <f>VLOOKUP($C258,Table1[#All],2,0)</f>
        <v>KIM TRUC DN</v>
      </c>
      <c r="E258" s="932" t="s">
        <v>93</v>
      </c>
      <c r="F258" s="998" t="s">
        <v>80</v>
      </c>
      <c r="G258" s="932" t="s">
        <v>310</v>
      </c>
      <c r="H258" s="932" t="str">
        <f>VLOOKUP($C258,Table1[#All],3,0)</f>
        <v>Subsidiaries</v>
      </c>
      <c r="I258" s="932" t="str" cm="1">
        <f t="array" ref="I258">_xlfn.XLOOKUP(Acc_Char!$E258,Table4[[#All],[Branch]],Table4[[#All],[Bank]],"recheck",0)</f>
        <v>BIDV - NAM SAI GON</v>
      </c>
    </row>
    <row r="259" spans="1:9">
      <c r="A259" s="998">
        <f t="shared" ref="A259:A322" si="4">A258+1</f>
        <v>258</v>
      </c>
      <c r="B259" s="1097" t="s">
        <v>3090</v>
      </c>
      <c r="C259" s="1003" t="s">
        <v>430</v>
      </c>
      <c r="D259" s="999" t="str">
        <f>VLOOKUP($C259,Table1[#All],2,0)</f>
        <v>KIM TRUC DN</v>
      </c>
      <c r="E259" s="999" t="s">
        <v>93</v>
      </c>
      <c r="F259" s="1093" t="s">
        <v>80</v>
      </c>
      <c r="G259" s="999" t="s">
        <v>310</v>
      </c>
      <c r="H259" s="999" t="str">
        <f>VLOOKUP($C259,Table1[#All],3,0)</f>
        <v>Subsidiaries</v>
      </c>
      <c r="I259" s="999" t="str" cm="1">
        <f t="array" ref="I259">_xlfn.XLOOKUP(Acc_Char!$E259,Table4[[#All],[Branch]],Table4[[#All],[Bank]],"recheck",0)</f>
        <v>BIDV - NAM SAI GON</v>
      </c>
    </row>
    <row r="260" spans="1:9">
      <c r="A260" s="998">
        <f t="shared" si="4"/>
        <v>259</v>
      </c>
      <c r="B260" s="1098" t="s">
        <v>3091</v>
      </c>
      <c r="C260" s="1000" t="s">
        <v>430</v>
      </c>
      <c r="D260" s="932" t="str">
        <f>VLOOKUP($C260,Table1[#All],2,0)</f>
        <v>KIM TRUC DN</v>
      </c>
      <c r="E260" s="932" t="s">
        <v>86</v>
      </c>
      <c r="F260" s="998" t="s">
        <v>80</v>
      </c>
      <c r="G260" s="932" t="s">
        <v>308</v>
      </c>
      <c r="H260" s="932" t="str">
        <f>VLOOKUP($C260,Table1[#All],3,0)</f>
        <v>Subsidiaries</v>
      </c>
      <c r="I260" s="932" t="str" cm="1">
        <f t="array" ref="I260">_xlfn.XLOOKUP(Acc_Char!$E260,Table4[[#All],[Branch]],Table4[[#All],[Bank]],"recheck",0)</f>
        <v>VIETINBANK - CN1</v>
      </c>
    </row>
    <row r="261" spans="1:9">
      <c r="A261" s="998">
        <f t="shared" si="4"/>
        <v>260</v>
      </c>
      <c r="B261" s="1097" t="s">
        <v>3092</v>
      </c>
      <c r="C261" s="1003" t="s">
        <v>430</v>
      </c>
      <c r="D261" s="999" t="str">
        <f>VLOOKUP($C261,Table1[#All],2,0)</f>
        <v>KIM TRUC DN</v>
      </c>
      <c r="E261" s="999" t="s">
        <v>95</v>
      </c>
      <c r="F261" s="1093" t="s">
        <v>80</v>
      </c>
      <c r="G261" s="999" t="s">
        <v>308</v>
      </c>
      <c r="H261" s="999" t="str">
        <f>VLOOKUP($C261,Table1[#All],3,0)</f>
        <v>Subsidiaries</v>
      </c>
      <c r="I261" s="999" t="str" cm="1">
        <f t="array" ref="I261">_xlfn.XLOOKUP(Acc_Char!$E261,Table4[[#All],[Branch]],Table4[[#All],[Bank]],"recheck",0)</f>
        <v>OCB - BINH DUONG</v>
      </c>
    </row>
    <row r="262" spans="1:9">
      <c r="A262" s="998">
        <f t="shared" si="4"/>
        <v>261</v>
      </c>
      <c r="B262" s="1098" t="s">
        <v>572</v>
      </c>
      <c r="C262" s="1000" t="s">
        <v>403</v>
      </c>
      <c r="D262" s="932" t="str">
        <f>VLOOKUP($C262,Table1[#All],2,0)</f>
        <v>BW SUPLLY CHAIN CITY</v>
      </c>
      <c r="E262" s="932" t="s">
        <v>571</v>
      </c>
      <c r="F262" s="998" t="s">
        <v>80</v>
      </c>
      <c r="G262" s="932" t="s">
        <v>308</v>
      </c>
      <c r="H262" s="932" t="str">
        <f>VLOOKUP($C262,Table1[#All],3,0)</f>
        <v>Subsidiaries</v>
      </c>
      <c r="I262" s="932" t="str" cm="1">
        <f t="array" ref="I262">_xlfn.XLOOKUP(Acc_Char!$E262,Table4[[#All],[Branch]],Table4[[#All],[Bank]],"recheck",0)</f>
        <v>OTHERS</v>
      </c>
    </row>
    <row r="263" spans="1:9">
      <c r="A263" s="998">
        <f t="shared" si="4"/>
        <v>262</v>
      </c>
      <c r="B263" s="1097" t="s">
        <v>573</v>
      </c>
      <c r="C263" s="1003" t="s">
        <v>403</v>
      </c>
      <c r="D263" s="999" t="str">
        <f>VLOOKUP($C263,Table1[#All],2,0)</f>
        <v>BW SUPLLY CHAIN CITY</v>
      </c>
      <c r="E263" s="999" t="s">
        <v>571</v>
      </c>
      <c r="F263" s="1093" t="s">
        <v>80</v>
      </c>
      <c r="G263" s="999" t="s">
        <v>308</v>
      </c>
      <c r="H263" s="999" t="str">
        <f>VLOOKUP($C263,Table1[#All],3,0)</f>
        <v>Subsidiaries</v>
      </c>
      <c r="I263" s="999" t="str" cm="1">
        <f t="array" ref="I263">_xlfn.XLOOKUP(Acc_Char!$E263,Table4[[#All],[Branch]],Table4[[#All],[Bank]],"recheck",0)</f>
        <v>OTHERS</v>
      </c>
    </row>
    <row r="264" spans="1:9">
      <c r="A264" s="998">
        <f t="shared" si="4"/>
        <v>263</v>
      </c>
      <c r="B264" s="1098" t="s">
        <v>574</v>
      </c>
      <c r="C264" s="1000" t="s">
        <v>403</v>
      </c>
      <c r="D264" s="932" t="str">
        <f>VLOOKUP($C264,Table1[#All],2,0)</f>
        <v>BW SUPLLY CHAIN CITY</v>
      </c>
      <c r="E264" s="932" t="s">
        <v>91</v>
      </c>
      <c r="F264" s="998" t="s">
        <v>80</v>
      </c>
      <c r="G264" s="932" t="s">
        <v>308</v>
      </c>
      <c r="H264" s="932" t="str">
        <f>VLOOKUP($C264,Table1[#All],3,0)</f>
        <v>Subsidiaries</v>
      </c>
      <c r="I264" s="932" t="str" cm="1">
        <f t="array" ref="I264">_xlfn.XLOOKUP(Acc_Char!$E264,Table4[[#All],[Branch]],Table4[[#All],[Bank]],"recheck",0)</f>
        <v>VIETCOMBANK - HCM</v>
      </c>
    </row>
    <row r="265" spans="1:9">
      <c r="A265" s="998">
        <f t="shared" si="4"/>
        <v>264</v>
      </c>
      <c r="B265" s="1098" t="s">
        <v>1416</v>
      </c>
      <c r="C265" s="1000" t="s">
        <v>403</v>
      </c>
      <c r="D265" s="932" t="str">
        <f>VLOOKUP($C265,Table1[#All],2,0)</f>
        <v>BW SUPLLY CHAIN CITY</v>
      </c>
      <c r="E265" s="932" t="s">
        <v>91</v>
      </c>
      <c r="F265" s="998" t="s">
        <v>80</v>
      </c>
      <c r="G265" s="932" t="s">
        <v>310</v>
      </c>
      <c r="H265" s="932" t="str">
        <f>VLOOKUP($C265,Table1[#All],3,0)</f>
        <v>Subsidiaries</v>
      </c>
      <c r="I265" s="932" t="str" cm="1">
        <f t="array" ref="I265">_xlfn.XLOOKUP(Acc_Char!$E265,Table4[[#All],[Branch]],Table4[[#All],[Bank]],"recheck",0)</f>
        <v>VIETCOMBANK - HCM</v>
      </c>
    </row>
    <row r="266" spans="1:9">
      <c r="A266" s="998">
        <f t="shared" si="4"/>
        <v>265</v>
      </c>
      <c r="B266" s="1098" t="s">
        <v>616</v>
      </c>
      <c r="C266" s="1000" t="s">
        <v>3093</v>
      </c>
      <c r="D266" s="932" t="str">
        <f>VLOOKUP($C266,Table1[#All],2,0)</f>
        <v>SONGTHAN LID</v>
      </c>
      <c r="E266" s="932" t="s">
        <v>88</v>
      </c>
      <c r="F266" s="998" t="s">
        <v>81</v>
      </c>
      <c r="G266" s="932" t="s">
        <v>308</v>
      </c>
      <c r="H266" s="932" t="str">
        <f>VLOOKUP($C266,Table1[#All],3,0)</f>
        <v>Subsidiaries</v>
      </c>
      <c r="I266" s="932" t="str" cm="1">
        <f t="array" ref="I266">_xlfn.XLOOKUP(Acc_Char!$E378,Table4[[#All],[Branch]],Table4[[#All],[Bank]],"recheck",0)</f>
        <v>VIETCOMBANK - HCM</v>
      </c>
    </row>
    <row r="267" spans="1:9">
      <c r="A267" s="998">
        <f t="shared" si="4"/>
        <v>266</v>
      </c>
      <c r="B267" s="1098" t="s">
        <v>3094</v>
      </c>
      <c r="C267" s="1000" t="s">
        <v>403</v>
      </c>
      <c r="D267" s="932" t="str">
        <f>VLOOKUP($C267,Table1[#All],2,0)</f>
        <v>BW SUPLLY CHAIN CITY</v>
      </c>
      <c r="E267" s="932" t="s">
        <v>91</v>
      </c>
      <c r="F267" s="998" t="s">
        <v>80</v>
      </c>
      <c r="G267" s="932" t="s">
        <v>310</v>
      </c>
      <c r="H267" s="932" t="str">
        <f>VLOOKUP($C267,Table1[#All],3,0)</f>
        <v>Subsidiaries</v>
      </c>
      <c r="I267" s="932" t="str" cm="1">
        <f t="array" ref="I267">_xlfn.XLOOKUP(Acc_Char!$E267,Table4[[#All],[Branch]],Table4[[#All],[Bank]],"recheck",0)</f>
        <v>VIETCOMBANK - HCM</v>
      </c>
    </row>
    <row r="268" spans="1:9">
      <c r="A268" s="998">
        <f t="shared" si="4"/>
        <v>267</v>
      </c>
      <c r="B268" s="1097" t="s">
        <v>3095</v>
      </c>
      <c r="C268" s="1003" t="s">
        <v>403</v>
      </c>
      <c r="D268" s="999" t="str">
        <f>VLOOKUP($C268,Table1[#All],2,0)</f>
        <v>BW SUPLLY CHAIN CITY</v>
      </c>
      <c r="E268" s="999" t="s">
        <v>91</v>
      </c>
      <c r="F268" s="1093" t="s">
        <v>80</v>
      </c>
      <c r="G268" s="999" t="s">
        <v>310</v>
      </c>
      <c r="H268" s="999" t="str">
        <f>VLOOKUP($C268,Table1[#All],3,0)</f>
        <v>Subsidiaries</v>
      </c>
      <c r="I268" s="999" t="str" cm="1">
        <f t="array" ref="I268">_xlfn.XLOOKUP(Acc_Char!$E268,Table4[[#All],[Branch]],Table4[[#All],[Bank]],"recheck",0)</f>
        <v>VIETCOMBANK - HCM</v>
      </c>
    </row>
    <row r="269" spans="1:9">
      <c r="A269" s="998">
        <f t="shared" si="4"/>
        <v>268</v>
      </c>
      <c r="B269" s="1098" t="s">
        <v>3096</v>
      </c>
      <c r="C269" s="1000" t="s">
        <v>403</v>
      </c>
      <c r="D269" s="932" t="str">
        <f>VLOOKUP($C269,Table1[#All],2,0)</f>
        <v>BW SUPLLY CHAIN CITY</v>
      </c>
      <c r="E269" s="932" t="s">
        <v>91</v>
      </c>
      <c r="F269" s="998" t="s">
        <v>80</v>
      </c>
      <c r="G269" s="932" t="s">
        <v>310</v>
      </c>
      <c r="H269" s="932" t="str">
        <f>VLOOKUP($C269,Table1[#All],3,0)</f>
        <v>Subsidiaries</v>
      </c>
      <c r="I269" s="932" t="str" cm="1">
        <f t="array" ref="I269">_xlfn.XLOOKUP(Acc_Char!$E269,Table4[[#All],[Branch]],Table4[[#All],[Bank]],"recheck",0)</f>
        <v>VIETCOMBANK - HCM</v>
      </c>
    </row>
    <row r="270" spans="1:9">
      <c r="A270" s="998">
        <f t="shared" si="4"/>
        <v>269</v>
      </c>
      <c r="B270" s="1097" t="s">
        <v>3097</v>
      </c>
      <c r="C270" s="1003" t="s">
        <v>403</v>
      </c>
      <c r="D270" s="999" t="str">
        <f>VLOOKUP($C270,Table1[#All],2,0)</f>
        <v>BW SUPLLY CHAIN CITY</v>
      </c>
      <c r="E270" s="999" t="s">
        <v>91</v>
      </c>
      <c r="F270" s="1093" t="s">
        <v>80</v>
      </c>
      <c r="G270" s="999" t="s">
        <v>310</v>
      </c>
      <c r="H270" s="999" t="str">
        <f>VLOOKUP($C270,Table1[#All],3,0)</f>
        <v>Subsidiaries</v>
      </c>
      <c r="I270" s="999" t="str" cm="1">
        <f t="array" ref="I270">_xlfn.XLOOKUP(Acc_Char!$E270,Table4[[#All],[Branch]],Table4[[#All],[Bank]],"recheck",0)</f>
        <v>VIETCOMBANK - HCM</v>
      </c>
    </row>
    <row r="271" spans="1:9">
      <c r="A271" s="998">
        <f t="shared" si="4"/>
        <v>270</v>
      </c>
      <c r="B271" s="1098" t="s">
        <v>3098</v>
      </c>
      <c r="C271" s="1000" t="s">
        <v>403</v>
      </c>
      <c r="D271" s="932" t="str">
        <f>VLOOKUP($C271,Table1[#All],2,0)</f>
        <v>BW SUPLLY CHAIN CITY</v>
      </c>
      <c r="E271" s="932" t="s">
        <v>91</v>
      </c>
      <c r="F271" s="998" t="s">
        <v>80</v>
      </c>
      <c r="G271" s="932" t="s">
        <v>310</v>
      </c>
      <c r="H271" s="932" t="str">
        <f>VLOOKUP($C271,Table1[#All],3,0)</f>
        <v>Subsidiaries</v>
      </c>
      <c r="I271" s="932" t="str" cm="1">
        <f t="array" ref="I271">_xlfn.XLOOKUP(Acc_Char!$E271,Table4[[#All],[Branch]],Table4[[#All],[Bank]],"recheck",0)</f>
        <v>VIETCOMBANK - HCM</v>
      </c>
    </row>
    <row r="272" spans="1:9">
      <c r="A272" s="998">
        <f t="shared" si="4"/>
        <v>271</v>
      </c>
      <c r="B272" s="1097" t="s">
        <v>3099</v>
      </c>
      <c r="C272" s="1003" t="s">
        <v>403</v>
      </c>
      <c r="D272" s="999" t="str">
        <f>VLOOKUP($C272,Table1[#All],2,0)</f>
        <v>BW SUPLLY CHAIN CITY</v>
      </c>
      <c r="E272" s="999" t="s">
        <v>91</v>
      </c>
      <c r="F272" s="1093" t="s">
        <v>80</v>
      </c>
      <c r="G272" s="999" t="s">
        <v>310</v>
      </c>
      <c r="H272" s="999" t="str">
        <f>VLOOKUP($C272,Table1[#All],3,0)</f>
        <v>Subsidiaries</v>
      </c>
      <c r="I272" s="999" t="str" cm="1">
        <f t="array" ref="I272">_xlfn.XLOOKUP(Acc_Char!$E272,Table4[[#All],[Branch]],Table4[[#All],[Bank]],"recheck",0)</f>
        <v>VIETCOMBANK - HCM</v>
      </c>
    </row>
    <row r="273" spans="1:9">
      <c r="A273" s="998">
        <f t="shared" si="4"/>
        <v>272</v>
      </c>
      <c r="B273" s="1098" t="s">
        <v>3100</v>
      </c>
      <c r="C273" s="1000" t="s">
        <v>403</v>
      </c>
      <c r="D273" s="932" t="str">
        <f>VLOOKUP($C273,Table1[#All],2,0)</f>
        <v>BW SUPLLY CHAIN CITY</v>
      </c>
      <c r="E273" s="932" t="s">
        <v>91</v>
      </c>
      <c r="F273" s="998" t="s">
        <v>80</v>
      </c>
      <c r="G273" s="932" t="s">
        <v>310</v>
      </c>
      <c r="H273" s="932" t="str">
        <f>VLOOKUP($C273,Table1[#All],3,0)</f>
        <v>Subsidiaries</v>
      </c>
      <c r="I273" s="932" t="str" cm="1">
        <f t="array" ref="I273">_xlfn.XLOOKUP(Acc_Char!$E273,Table4[[#All],[Branch]],Table4[[#All],[Bank]],"recheck",0)</f>
        <v>VIETCOMBANK - HCM</v>
      </c>
    </row>
    <row r="274" spans="1:9">
      <c r="A274" s="998">
        <f t="shared" si="4"/>
        <v>273</v>
      </c>
      <c r="B274" s="1097" t="s">
        <v>3101</v>
      </c>
      <c r="C274" s="1003" t="s">
        <v>403</v>
      </c>
      <c r="D274" s="999" t="str">
        <f>VLOOKUP($C274,Table1[#All],2,0)</f>
        <v>BW SUPLLY CHAIN CITY</v>
      </c>
      <c r="E274" s="999" t="s">
        <v>91</v>
      </c>
      <c r="F274" s="1093" t="s">
        <v>80</v>
      </c>
      <c r="G274" s="999" t="s">
        <v>310</v>
      </c>
      <c r="H274" s="999" t="str">
        <f>VLOOKUP($C274,Table1[#All],3,0)</f>
        <v>Subsidiaries</v>
      </c>
      <c r="I274" s="999" t="str" cm="1">
        <f t="array" ref="I274">_xlfn.XLOOKUP(Acc_Char!$E274,Table4[[#All],[Branch]],Table4[[#All],[Bank]],"recheck",0)</f>
        <v>VIETCOMBANK - HCM</v>
      </c>
    </row>
    <row r="275" spans="1:9">
      <c r="A275" s="998">
        <f t="shared" si="4"/>
        <v>274</v>
      </c>
      <c r="B275" s="1098" t="s">
        <v>3102</v>
      </c>
      <c r="C275" s="1000" t="s">
        <v>403</v>
      </c>
      <c r="D275" s="932" t="str">
        <f>VLOOKUP($C275,Table1[#All],2,0)</f>
        <v>BW SUPLLY CHAIN CITY</v>
      </c>
      <c r="E275" s="932" t="s">
        <v>91</v>
      </c>
      <c r="F275" s="998" t="s">
        <v>80</v>
      </c>
      <c r="G275" s="932" t="s">
        <v>310</v>
      </c>
      <c r="H275" s="932" t="str">
        <f>VLOOKUP($C275,Table1[#All],3,0)</f>
        <v>Subsidiaries</v>
      </c>
      <c r="I275" s="932" t="str" cm="1">
        <f t="array" ref="I275">_xlfn.XLOOKUP(Acc_Char!$E275,Table4[[#All],[Branch]],Table4[[#All],[Bank]],"recheck",0)</f>
        <v>VIETCOMBANK - HCM</v>
      </c>
    </row>
    <row r="276" spans="1:9">
      <c r="A276" s="998">
        <f t="shared" si="4"/>
        <v>275</v>
      </c>
      <c r="B276" s="1097" t="s">
        <v>3103</v>
      </c>
      <c r="C276" s="1003" t="s">
        <v>403</v>
      </c>
      <c r="D276" s="999" t="str">
        <f>VLOOKUP($C276,Table1[#All],2,0)</f>
        <v>BW SUPLLY CHAIN CITY</v>
      </c>
      <c r="E276" s="999" t="s">
        <v>91</v>
      </c>
      <c r="F276" s="1093" t="s">
        <v>80</v>
      </c>
      <c r="G276" s="999" t="s">
        <v>310</v>
      </c>
      <c r="H276" s="999" t="str">
        <f>VLOOKUP($C276,Table1[#All],3,0)</f>
        <v>Subsidiaries</v>
      </c>
      <c r="I276" s="999" t="str" cm="1">
        <f t="array" ref="I276">_xlfn.XLOOKUP(Acc_Char!$E276,Table4[[#All],[Branch]],Table4[[#All],[Bank]],"recheck",0)</f>
        <v>VIETCOMBANK - HCM</v>
      </c>
    </row>
    <row r="277" spans="1:9">
      <c r="A277" s="998">
        <f t="shared" si="4"/>
        <v>276</v>
      </c>
      <c r="B277" s="1098" t="s">
        <v>3104</v>
      </c>
      <c r="C277" s="1000" t="s">
        <v>403</v>
      </c>
      <c r="D277" s="932" t="str">
        <f>VLOOKUP($C277,Table1[#All],2,0)</f>
        <v>BW SUPLLY CHAIN CITY</v>
      </c>
      <c r="E277" s="932" t="s">
        <v>91</v>
      </c>
      <c r="F277" s="998" t="s">
        <v>80</v>
      </c>
      <c r="G277" s="932" t="s">
        <v>310</v>
      </c>
      <c r="H277" s="932" t="str">
        <f>VLOOKUP($C277,Table1[#All],3,0)</f>
        <v>Subsidiaries</v>
      </c>
      <c r="I277" s="932" t="str" cm="1">
        <f t="array" ref="I277">_xlfn.XLOOKUP(Acc_Char!$E277,Table4[[#All],[Branch]],Table4[[#All],[Bank]],"recheck",0)</f>
        <v>VIETCOMBANK - HCM</v>
      </c>
    </row>
    <row r="278" spans="1:9">
      <c r="A278" s="998">
        <f t="shared" si="4"/>
        <v>277</v>
      </c>
      <c r="B278" s="1097" t="s">
        <v>3105</v>
      </c>
      <c r="C278" s="1003" t="s">
        <v>403</v>
      </c>
      <c r="D278" s="999" t="str">
        <f>VLOOKUP($C278,Table1[#All],2,0)</f>
        <v>BW SUPLLY CHAIN CITY</v>
      </c>
      <c r="E278" s="999" t="s">
        <v>91</v>
      </c>
      <c r="F278" s="1093" t="s">
        <v>80</v>
      </c>
      <c r="G278" s="999" t="s">
        <v>310</v>
      </c>
      <c r="H278" s="999" t="str">
        <f>VLOOKUP($C278,Table1[#All],3,0)</f>
        <v>Subsidiaries</v>
      </c>
      <c r="I278" s="999" t="str" cm="1">
        <f t="array" ref="I278">_xlfn.XLOOKUP(Acc_Char!$E278,Table4[[#All],[Branch]],Table4[[#All],[Bank]],"recheck",0)</f>
        <v>VIETCOMBANK - HCM</v>
      </c>
    </row>
    <row r="279" spans="1:9">
      <c r="A279" s="998">
        <f t="shared" si="4"/>
        <v>278</v>
      </c>
      <c r="B279" s="1098" t="s">
        <v>3106</v>
      </c>
      <c r="C279" s="1000" t="s">
        <v>403</v>
      </c>
      <c r="D279" s="932" t="str">
        <f>VLOOKUP($C279,Table1[#All],2,0)</f>
        <v>BW SUPLLY CHAIN CITY</v>
      </c>
      <c r="E279" s="932" t="s">
        <v>91</v>
      </c>
      <c r="F279" s="998" t="s">
        <v>80</v>
      </c>
      <c r="G279" s="932" t="s">
        <v>310</v>
      </c>
      <c r="H279" s="932" t="str">
        <f>VLOOKUP($C279,Table1[#All],3,0)</f>
        <v>Subsidiaries</v>
      </c>
      <c r="I279" s="932" t="str" cm="1">
        <f t="array" ref="I279">_xlfn.XLOOKUP(Acc_Char!$E279,Table4[[#All],[Branch]],Table4[[#All],[Bank]],"recheck",0)</f>
        <v>VIETCOMBANK - HCM</v>
      </c>
    </row>
    <row r="280" spans="1:9">
      <c r="A280" s="998">
        <f t="shared" si="4"/>
        <v>279</v>
      </c>
      <c r="B280" s="1097" t="s">
        <v>3107</v>
      </c>
      <c r="C280" s="1003" t="s">
        <v>403</v>
      </c>
      <c r="D280" s="999" t="str">
        <f>VLOOKUP($C280,Table1[#All],2,0)</f>
        <v>BW SUPLLY CHAIN CITY</v>
      </c>
      <c r="E280" s="999" t="s">
        <v>91</v>
      </c>
      <c r="F280" s="1093" t="s">
        <v>80</v>
      </c>
      <c r="G280" s="999" t="s">
        <v>310</v>
      </c>
      <c r="H280" s="999" t="str">
        <f>VLOOKUP($C280,Table1[#All],3,0)</f>
        <v>Subsidiaries</v>
      </c>
      <c r="I280" s="999" t="str" cm="1">
        <f t="array" ref="I280">_xlfn.XLOOKUP(Acc_Char!$E280,Table4[[#All],[Branch]],Table4[[#All],[Bank]],"recheck",0)</f>
        <v>VIETCOMBANK - HCM</v>
      </c>
    </row>
    <row r="281" spans="1:9">
      <c r="A281" s="998">
        <f t="shared" si="4"/>
        <v>280</v>
      </c>
      <c r="B281" s="1098" t="s">
        <v>3108</v>
      </c>
      <c r="C281" s="1000" t="s">
        <v>403</v>
      </c>
      <c r="D281" s="932" t="str">
        <f>VLOOKUP($C281,Table1[#All],2,0)</f>
        <v>BW SUPLLY CHAIN CITY</v>
      </c>
      <c r="E281" s="932" t="s">
        <v>91</v>
      </c>
      <c r="F281" s="998" t="s">
        <v>80</v>
      </c>
      <c r="G281" s="932" t="s">
        <v>310</v>
      </c>
      <c r="H281" s="932" t="str">
        <f>VLOOKUP($C281,Table1[#All],3,0)</f>
        <v>Subsidiaries</v>
      </c>
      <c r="I281" s="932" t="str" cm="1">
        <f t="array" ref="I281">_xlfn.XLOOKUP(Acc_Char!$E281,Table4[[#All],[Branch]],Table4[[#All],[Bank]],"recheck",0)</f>
        <v>VIETCOMBANK - HCM</v>
      </c>
    </row>
    <row r="282" spans="1:9">
      <c r="A282" s="998">
        <f t="shared" si="4"/>
        <v>281</v>
      </c>
      <c r="B282" s="1097" t="s">
        <v>3109</v>
      </c>
      <c r="C282" s="1003" t="s">
        <v>403</v>
      </c>
      <c r="D282" s="999" t="str">
        <f>VLOOKUP($C282,Table1[#All],2,0)</f>
        <v>BW SUPLLY CHAIN CITY</v>
      </c>
      <c r="E282" s="999" t="s">
        <v>91</v>
      </c>
      <c r="F282" s="1093" t="s">
        <v>80</v>
      </c>
      <c r="G282" s="999" t="s">
        <v>310</v>
      </c>
      <c r="H282" s="999" t="str">
        <f>VLOOKUP($C282,Table1[#All],3,0)</f>
        <v>Subsidiaries</v>
      </c>
      <c r="I282" s="999" t="str" cm="1">
        <f t="array" ref="I282">_xlfn.XLOOKUP(Acc_Char!$E282,Table4[[#All],[Branch]],Table4[[#All],[Bank]],"recheck",0)</f>
        <v>VIETCOMBANK - HCM</v>
      </c>
    </row>
    <row r="283" spans="1:9">
      <c r="A283" s="998">
        <f t="shared" si="4"/>
        <v>282</v>
      </c>
      <c r="B283" s="1098" t="s">
        <v>3110</v>
      </c>
      <c r="C283" s="1000" t="s">
        <v>403</v>
      </c>
      <c r="D283" s="932" t="str">
        <f>VLOOKUP($C283,Table1[#All],2,0)</f>
        <v>BW SUPLLY CHAIN CITY</v>
      </c>
      <c r="E283" s="932" t="s">
        <v>91</v>
      </c>
      <c r="F283" s="998" t="s">
        <v>80</v>
      </c>
      <c r="G283" s="932" t="s">
        <v>310</v>
      </c>
      <c r="H283" s="932" t="str">
        <f>VLOOKUP($C283,Table1[#All],3,0)</f>
        <v>Subsidiaries</v>
      </c>
      <c r="I283" s="932" t="str" cm="1">
        <f t="array" ref="I283">_xlfn.XLOOKUP(Acc_Char!$E283,Table4[[#All],[Branch]],Table4[[#All],[Bank]],"recheck",0)</f>
        <v>VIETCOMBANK - HCM</v>
      </c>
    </row>
    <row r="284" spans="1:9">
      <c r="A284" s="998">
        <f t="shared" si="4"/>
        <v>283</v>
      </c>
      <c r="B284" s="1097" t="s">
        <v>577</v>
      </c>
      <c r="C284" s="1003" t="s">
        <v>3111</v>
      </c>
      <c r="D284" s="999" t="str">
        <f>VLOOKUP($C284,Table1[#All],2,0)</f>
        <v>SAO THO</v>
      </c>
      <c r="E284" s="999" t="s">
        <v>86</v>
      </c>
      <c r="F284" s="1093" t="s">
        <v>80</v>
      </c>
      <c r="G284" s="999" t="s">
        <v>308</v>
      </c>
      <c r="H284" s="999" t="str">
        <f>VLOOKUP($C284,Table1[#All],3,0)</f>
        <v>Subsidiaries</v>
      </c>
      <c r="I284" s="999" t="str" cm="1">
        <f t="array" ref="I284">_xlfn.XLOOKUP(Acc_Char!$E284,Table4[[#All],[Branch]],Table4[[#All],[Bank]],"recheck",0)</f>
        <v>VIETINBANK - CN1</v>
      </c>
    </row>
    <row r="285" spans="1:9">
      <c r="A285" s="998">
        <f t="shared" si="4"/>
        <v>284</v>
      </c>
      <c r="B285" s="1004" t="s">
        <v>764</v>
      </c>
      <c r="C285" s="1000" t="s">
        <v>389</v>
      </c>
      <c r="D285" s="932" t="str">
        <f>VLOOKUP($C285,Table1[#All],2,0)</f>
        <v>BWID BINH DUONG</v>
      </c>
      <c r="E285" s="932" t="s">
        <v>88</v>
      </c>
      <c r="F285" s="998" t="s">
        <v>81</v>
      </c>
      <c r="G285" s="932" t="s">
        <v>308</v>
      </c>
      <c r="H285" s="932" t="str">
        <f>VLOOKUP($C285,Table1[#All],3,0)</f>
        <v>BWID JSC</v>
      </c>
      <c r="I285" s="932" t="str" cm="1">
        <f t="array" ref="I285">_xlfn.XLOOKUP(Acc_Char!$E576,Table4[[#All],[Branch]],Table4[[#All],[Bank]],"recheck",0)</f>
        <v>SINOPAC</v>
      </c>
    </row>
    <row r="286" spans="1:9">
      <c r="A286" s="998">
        <f t="shared" si="4"/>
        <v>285</v>
      </c>
      <c r="B286" s="1097" t="s">
        <v>580</v>
      </c>
      <c r="C286" s="1003" t="s">
        <v>3112</v>
      </c>
      <c r="D286" s="999" t="str">
        <f>VLOOKUP($C286,Table1[#All],2,0)</f>
        <v>SAO MOC</v>
      </c>
      <c r="E286" s="999" t="s">
        <v>86</v>
      </c>
      <c r="F286" s="1093" t="s">
        <v>80</v>
      </c>
      <c r="G286" s="999" t="s">
        <v>308</v>
      </c>
      <c r="H286" s="999" t="str">
        <f>VLOOKUP($C286,Table1[#All],3,0)</f>
        <v>Subsidiaries</v>
      </c>
      <c r="I286" s="999" t="str" cm="1">
        <f t="array" ref="I286">_xlfn.XLOOKUP(Acc_Char!$E286,Table4[[#All],[Branch]],Table4[[#All],[Bank]],"recheck",0)</f>
        <v>VIETINBANK - CN1</v>
      </c>
    </row>
    <row r="287" spans="1:9">
      <c r="A287" s="998">
        <f t="shared" si="4"/>
        <v>286</v>
      </c>
      <c r="B287" s="1004" t="s">
        <v>765</v>
      </c>
      <c r="C287" s="1000" t="s">
        <v>67</v>
      </c>
      <c r="D287" s="932" t="str">
        <f>VLOOKUP($C287,Table1[#All],2,0)</f>
        <v>SAO HOA</v>
      </c>
      <c r="E287" s="932" t="s">
        <v>88</v>
      </c>
      <c r="F287" s="998" t="s">
        <v>81</v>
      </c>
      <c r="G287" s="932" t="s">
        <v>308</v>
      </c>
      <c r="H287" s="932" t="str">
        <f>VLOOKUP($C287,Table1[#All],3,0)</f>
        <v>VC3</v>
      </c>
      <c r="I287" s="932" t="str" cm="1">
        <f t="array" ref="I287">_xlfn.XLOOKUP(Acc_Char!$E578,Table4[[#All],[Branch]],Table4[[#All],[Bank]],"recheck",0)</f>
        <v>SINOPAC</v>
      </c>
    </row>
    <row r="288" spans="1:9">
      <c r="A288" s="998">
        <f t="shared" si="4"/>
        <v>287</v>
      </c>
      <c r="B288" s="1097" t="s">
        <v>583</v>
      </c>
      <c r="C288" s="1003" t="s">
        <v>67</v>
      </c>
      <c r="D288" s="999" t="str">
        <f>VLOOKUP($C288,Table1[#All],2,0)</f>
        <v>SAO HOA</v>
      </c>
      <c r="E288" s="999" t="s">
        <v>86</v>
      </c>
      <c r="F288" s="1093" t="s">
        <v>80</v>
      </c>
      <c r="G288" s="999" t="s">
        <v>308</v>
      </c>
      <c r="H288" s="999" t="str">
        <f>VLOOKUP($C288,Table1[#All],3,0)</f>
        <v>VC3</v>
      </c>
      <c r="I288" s="999" t="str" cm="1">
        <f t="array" ref="I288">_xlfn.XLOOKUP(Acc_Char!$E288,Table4[[#All],[Branch]],Table4[[#All],[Bank]],"recheck",0)</f>
        <v>VIETINBANK - CN1</v>
      </c>
    </row>
    <row r="289" spans="1:9">
      <c r="A289" s="998">
        <f t="shared" si="4"/>
        <v>288</v>
      </c>
      <c r="B289" s="1098" t="s">
        <v>578</v>
      </c>
      <c r="C289" s="1000" t="s">
        <v>3111</v>
      </c>
      <c r="D289" s="932" t="str">
        <f>VLOOKUP($C289,Table1[#All],2,0)</f>
        <v>SAO THO</v>
      </c>
      <c r="E289" s="932" t="s">
        <v>86</v>
      </c>
      <c r="F289" s="998" t="s">
        <v>81</v>
      </c>
      <c r="G289" s="932" t="s">
        <v>308</v>
      </c>
      <c r="H289" s="932" t="str">
        <f>VLOOKUP($C289,Table1[#All],3,0)</f>
        <v>Subsidiaries</v>
      </c>
      <c r="I289" s="932" t="str" cm="1">
        <f t="array" ref="I289">_xlfn.XLOOKUP(Acc_Char!$E285,Table4[[#All],[Branch]],Table4[[#All],[Bank]],"recheck",0)</f>
        <v>VIETINBANK - DONG SAI GON</v>
      </c>
    </row>
    <row r="290" spans="1:9">
      <c r="A290" s="998">
        <f t="shared" si="4"/>
        <v>289</v>
      </c>
      <c r="B290" s="1098" t="s">
        <v>581</v>
      </c>
      <c r="C290" s="1000" t="s">
        <v>3112</v>
      </c>
      <c r="D290" s="932" t="str">
        <f>VLOOKUP($C290,Table1[#All],2,0)</f>
        <v>SAO MOC</v>
      </c>
      <c r="E290" s="932" t="s">
        <v>86</v>
      </c>
      <c r="F290" s="998" t="s">
        <v>81</v>
      </c>
      <c r="G290" s="932" t="s">
        <v>308</v>
      </c>
      <c r="H290" s="932" t="str">
        <f>VLOOKUP($C290,Table1[#All],3,0)</f>
        <v>Subsidiaries</v>
      </c>
      <c r="I290" s="932" t="str" cm="1">
        <f t="array" ref="I290">_xlfn.XLOOKUP(Acc_Char!$E287,Table4[[#All],[Branch]],Table4[[#All],[Bank]],"recheck",0)</f>
        <v>VIETINBANK - DONG SAI GON</v>
      </c>
    </row>
    <row r="291" spans="1:9">
      <c r="A291" s="998">
        <f t="shared" si="4"/>
        <v>290</v>
      </c>
      <c r="B291" s="1098" t="s">
        <v>3113</v>
      </c>
      <c r="C291" s="1000" t="s">
        <v>67</v>
      </c>
      <c r="D291" s="932" t="str">
        <f>VLOOKUP($C291,Table1[#All],2,0)</f>
        <v>SAO HOA</v>
      </c>
      <c r="E291" s="932" t="s">
        <v>155</v>
      </c>
      <c r="F291" s="998" t="s">
        <v>81</v>
      </c>
      <c r="G291" s="932" t="s">
        <v>310</v>
      </c>
      <c r="H291" s="932" t="str">
        <f>VLOOKUP($C291,Table1[#All],3,0)</f>
        <v>VC3</v>
      </c>
      <c r="I291" s="932" t="str" cm="1">
        <f t="array" ref="I291">_xlfn.XLOOKUP(Acc_Char!$E291,Table4[[#All],[Branch]],Table4[[#All],[Bank]],"recheck",0)</f>
        <v>VIETINBANK - BINH DUONG + QM</v>
      </c>
    </row>
    <row r="292" spans="1:9">
      <c r="A292" s="998">
        <f t="shared" si="4"/>
        <v>291</v>
      </c>
      <c r="B292" s="1097" t="s">
        <v>3114</v>
      </c>
      <c r="C292" s="1003" t="s">
        <v>67</v>
      </c>
      <c r="D292" s="999" t="str">
        <f>VLOOKUP($C292,Table1[#All],2,0)</f>
        <v>SAO HOA</v>
      </c>
      <c r="E292" s="999" t="s">
        <v>155</v>
      </c>
      <c r="F292" s="1093" t="s">
        <v>80</v>
      </c>
      <c r="G292" s="999" t="s">
        <v>310</v>
      </c>
      <c r="H292" s="999" t="str">
        <f>VLOOKUP($C292,Table1[#All],3,0)</f>
        <v>VC3</v>
      </c>
      <c r="I292" s="999" t="str" cm="1">
        <f t="array" ref="I292">_xlfn.XLOOKUP(Acc_Char!$E292,Table4[[#All],[Branch]],Table4[[#All],[Bank]],"recheck",0)</f>
        <v>VIETINBANK - BINH DUONG + QM</v>
      </c>
    </row>
    <row r="293" spans="1:9">
      <c r="A293" s="998">
        <f t="shared" si="4"/>
        <v>292</v>
      </c>
      <c r="B293" s="1098" t="s">
        <v>3115</v>
      </c>
      <c r="C293" s="1000" t="s">
        <v>67</v>
      </c>
      <c r="D293" s="932" t="str">
        <f>VLOOKUP($C293,Table1[#All],2,0)</f>
        <v>SAO HOA</v>
      </c>
      <c r="E293" s="932" t="s">
        <v>155</v>
      </c>
      <c r="F293" s="998" t="s">
        <v>80</v>
      </c>
      <c r="G293" s="932" t="s">
        <v>310</v>
      </c>
      <c r="H293" s="932" t="str">
        <f>VLOOKUP($C293,Table1[#All],3,0)</f>
        <v>VC3</v>
      </c>
      <c r="I293" s="932" t="str" cm="1">
        <f t="array" ref="I293">_xlfn.XLOOKUP(Acc_Char!$E293,Table4[[#All],[Branch]],Table4[[#All],[Bank]],"recheck",0)</f>
        <v>VIETINBANK - BINH DUONG + QM</v>
      </c>
    </row>
    <row r="294" spans="1:9">
      <c r="A294" s="998">
        <f t="shared" si="4"/>
        <v>293</v>
      </c>
      <c r="B294" s="1097" t="s">
        <v>586</v>
      </c>
      <c r="C294" s="1003" t="s">
        <v>67</v>
      </c>
      <c r="D294" s="999" t="str">
        <f>VLOOKUP($C294,Table1[#All],2,0)</f>
        <v>SAO HOA</v>
      </c>
      <c r="E294" s="999" t="s">
        <v>155</v>
      </c>
      <c r="F294" s="1093" t="s">
        <v>80</v>
      </c>
      <c r="G294" s="999" t="s">
        <v>308</v>
      </c>
      <c r="H294" s="999" t="str">
        <f>VLOOKUP($C294,Table1[#All],3,0)</f>
        <v>VC3</v>
      </c>
      <c r="I294" s="999" t="str" cm="1">
        <f t="array" ref="I294">_xlfn.XLOOKUP(Acc_Char!$E294,Table4[[#All],[Branch]],Table4[[#All],[Bank]],"recheck",0)</f>
        <v>VIETINBANK - BINH DUONG + QM</v>
      </c>
    </row>
    <row r="295" spans="1:9">
      <c r="A295" s="998">
        <f t="shared" si="4"/>
        <v>294</v>
      </c>
      <c r="B295" s="1098" t="s">
        <v>3116</v>
      </c>
      <c r="C295" s="1000" t="s">
        <v>67</v>
      </c>
      <c r="D295" s="932" t="str">
        <f>VLOOKUP($C295,Table1[#All],2,0)</f>
        <v>SAO HOA</v>
      </c>
      <c r="E295" s="932" t="s">
        <v>155</v>
      </c>
      <c r="F295" s="998" t="s">
        <v>80</v>
      </c>
      <c r="G295" s="932" t="s">
        <v>342</v>
      </c>
      <c r="H295" s="932" t="str">
        <f>VLOOKUP($C295,Table1[#All],3,0)</f>
        <v>VC3</v>
      </c>
      <c r="I295" s="932" t="str" cm="1">
        <f t="array" ref="I295">_xlfn.XLOOKUP(Acc_Char!$E295,Table4[[#All],[Branch]],Table4[[#All],[Bank]],"recheck",0)</f>
        <v>VIETINBANK - BINH DUONG + QM</v>
      </c>
    </row>
    <row r="296" spans="1:9">
      <c r="A296" s="998">
        <f t="shared" si="4"/>
        <v>295</v>
      </c>
      <c r="B296" s="1097" t="s">
        <v>587</v>
      </c>
      <c r="C296" s="1003" t="s">
        <v>67</v>
      </c>
      <c r="D296" s="999" t="str">
        <f>VLOOKUP($C296,Table1[#All],2,0)</f>
        <v>SAO HOA</v>
      </c>
      <c r="E296" s="999" t="s">
        <v>85</v>
      </c>
      <c r="F296" s="1093" t="s">
        <v>80</v>
      </c>
      <c r="G296" s="999" t="s">
        <v>308</v>
      </c>
      <c r="H296" s="999" t="str">
        <f>VLOOKUP($C296,Table1[#All],3,0)</f>
        <v>VC3</v>
      </c>
      <c r="I296" s="999" t="str" cm="1">
        <f t="array" ref="I296">_xlfn.XLOOKUP(Acc_Char!$E296,Table4[[#All],[Branch]],Table4[[#All],[Bank]],"recheck",0)</f>
        <v>VIETINBANK - TIEN SON</v>
      </c>
    </row>
    <row r="297" spans="1:9">
      <c r="A297" s="998">
        <f t="shared" si="4"/>
        <v>296</v>
      </c>
      <c r="B297" s="1098" t="s">
        <v>584</v>
      </c>
      <c r="C297" s="1000" t="s">
        <v>67</v>
      </c>
      <c r="D297" s="932" t="str">
        <f>VLOOKUP($C297,Table1[#All],2,0)</f>
        <v>SAO HOA</v>
      </c>
      <c r="E297" s="932" t="s">
        <v>86</v>
      </c>
      <c r="F297" s="998" t="s">
        <v>81</v>
      </c>
      <c r="G297" s="932" t="s">
        <v>309</v>
      </c>
      <c r="H297" s="932" t="str">
        <f>VLOOKUP($C297,Table1[#All],3,0)</f>
        <v>VC3</v>
      </c>
      <c r="I297" s="932" t="str" cm="1">
        <f t="array" ref="I297">_xlfn.XLOOKUP(Acc_Char!$E289,Table4[[#All],[Branch]],Table4[[#All],[Bank]],"recheck",0)</f>
        <v>VIETINBANK - CN1</v>
      </c>
    </row>
    <row r="298" spans="1:9">
      <c r="A298" s="998">
        <f t="shared" si="4"/>
        <v>297</v>
      </c>
      <c r="B298" s="1097" t="s">
        <v>3117</v>
      </c>
      <c r="C298" s="1003" t="s">
        <v>67</v>
      </c>
      <c r="D298" s="999" t="str">
        <f>VLOOKUP($C298,Table1[#All],2,0)</f>
        <v>SAO HOA</v>
      </c>
      <c r="E298" s="999" t="s">
        <v>85</v>
      </c>
      <c r="F298" s="1093" t="s">
        <v>80</v>
      </c>
      <c r="G298" s="999" t="s">
        <v>310</v>
      </c>
      <c r="H298" s="999" t="str">
        <f>VLOOKUP($C298,Table1[#All],3,0)</f>
        <v>VC3</v>
      </c>
      <c r="I298" s="999" t="str" cm="1">
        <f t="array" ref="I298">_xlfn.XLOOKUP(Acc_Char!$E298,Table4[[#All],[Branch]],Table4[[#All],[Bank]],"recheck",0)</f>
        <v>VIETINBANK - TIEN SON</v>
      </c>
    </row>
    <row r="299" spans="1:9">
      <c r="A299" s="998">
        <f t="shared" si="4"/>
        <v>298</v>
      </c>
      <c r="B299" s="1098" t="s">
        <v>3118</v>
      </c>
      <c r="C299" s="1000" t="s">
        <v>67</v>
      </c>
      <c r="D299" s="932" t="str">
        <f>VLOOKUP($C299,Table1[#All],2,0)</f>
        <v>SAO HOA</v>
      </c>
      <c r="E299" s="932" t="s">
        <v>85</v>
      </c>
      <c r="F299" s="998" t="s">
        <v>80</v>
      </c>
      <c r="G299" s="932" t="s">
        <v>310</v>
      </c>
      <c r="H299" s="932" t="str">
        <f>VLOOKUP($C299,Table1[#All],3,0)</f>
        <v>VC3</v>
      </c>
      <c r="I299" s="932" t="str" cm="1">
        <f t="array" ref="I299">_xlfn.XLOOKUP(Acc_Char!$E299,Table4[[#All],[Branch]],Table4[[#All],[Bank]],"recheck",0)</f>
        <v>VIETINBANK - TIEN SON</v>
      </c>
    </row>
    <row r="300" spans="1:9">
      <c r="A300" s="998">
        <f t="shared" si="4"/>
        <v>299</v>
      </c>
      <c r="B300" s="1097" t="s">
        <v>3119</v>
      </c>
      <c r="C300" s="1003" t="s">
        <v>67</v>
      </c>
      <c r="D300" s="999" t="str">
        <f>VLOOKUP($C300,Table1[#All],2,0)</f>
        <v>SAO HOA</v>
      </c>
      <c r="E300" s="999" t="s">
        <v>85</v>
      </c>
      <c r="F300" s="1093" t="s">
        <v>81</v>
      </c>
      <c r="G300" s="999" t="s">
        <v>310</v>
      </c>
      <c r="H300" s="999" t="str">
        <f>VLOOKUP($C300,Table1[#All],3,0)</f>
        <v>VC3</v>
      </c>
      <c r="I300" s="999" t="str" cm="1">
        <f t="array" ref="I300">_xlfn.XLOOKUP(Acc_Char!$E300,Table4[[#All],[Branch]],Table4[[#All],[Bank]],"recheck",0)</f>
        <v>VIETINBANK - TIEN SON</v>
      </c>
    </row>
    <row r="301" spans="1:9">
      <c r="A301" s="998">
        <f t="shared" si="4"/>
        <v>300</v>
      </c>
      <c r="B301" s="1098" t="s">
        <v>3120</v>
      </c>
      <c r="C301" s="1000" t="s">
        <v>67</v>
      </c>
      <c r="D301" s="932" t="str">
        <f>VLOOKUP($C301,Table1[#All],2,0)</f>
        <v>SAO HOA</v>
      </c>
      <c r="E301" s="932" t="s">
        <v>153</v>
      </c>
      <c r="F301" s="998" t="s">
        <v>80</v>
      </c>
      <c r="G301" s="932" t="s">
        <v>310</v>
      </c>
      <c r="H301" s="932" t="str">
        <f>VLOOKUP($C301,Table1[#All],3,0)</f>
        <v>VC3</v>
      </c>
      <c r="I301" s="932" t="str" cm="1">
        <f t="array" ref="I301">_xlfn.XLOOKUP(Acc_Char!$E301,Table4[[#All],[Branch]],Table4[[#All],[Bank]],"recheck",0)</f>
        <v>VIETINBANK - BINH DUONG + QM</v>
      </c>
    </row>
    <row r="302" spans="1:9">
      <c r="A302" s="998">
        <f t="shared" si="4"/>
        <v>301</v>
      </c>
      <c r="B302" s="1097" t="s">
        <v>3121</v>
      </c>
      <c r="C302" s="1003" t="s">
        <v>67</v>
      </c>
      <c r="D302" s="999" t="str">
        <f>VLOOKUP($C302,Table1[#All],2,0)</f>
        <v>SAO HOA</v>
      </c>
      <c r="E302" s="999" t="s">
        <v>153</v>
      </c>
      <c r="F302" s="1093" t="s">
        <v>80</v>
      </c>
      <c r="G302" s="999" t="s">
        <v>310</v>
      </c>
      <c r="H302" s="999" t="str">
        <f>VLOOKUP($C302,Table1[#All],3,0)</f>
        <v>VC3</v>
      </c>
      <c r="I302" s="999" t="str" cm="1">
        <f t="array" ref="I302">_xlfn.XLOOKUP(Acc_Char!$E302,Table4[[#All],[Branch]],Table4[[#All],[Bank]],"recheck",0)</f>
        <v>VIETINBANK - BINH DUONG + QM</v>
      </c>
    </row>
    <row r="303" spans="1:9">
      <c r="A303" s="998">
        <f t="shared" si="4"/>
        <v>302</v>
      </c>
      <c r="B303" s="1098" t="s">
        <v>3122</v>
      </c>
      <c r="C303" s="1000" t="s">
        <v>67</v>
      </c>
      <c r="D303" s="932" t="str">
        <f>VLOOKUP($C303,Table1[#All],2,0)</f>
        <v>SAO HOA</v>
      </c>
      <c r="E303" s="932" t="s">
        <v>153</v>
      </c>
      <c r="F303" s="998" t="s">
        <v>80</v>
      </c>
      <c r="G303" s="932" t="s">
        <v>310</v>
      </c>
      <c r="H303" s="932" t="str">
        <f>VLOOKUP($C303,Table1[#All],3,0)</f>
        <v>VC3</v>
      </c>
      <c r="I303" s="932" t="str" cm="1">
        <f t="array" ref="I303">_xlfn.XLOOKUP(Acc_Char!$E303,Table4[[#All],[Branch]],Table4[[#All],[Bank]],"recheck",0)</f>
        <v>VIETINBANK - BINH DUONG + QM</v>
      </c>
    </row>
    <row r="304" spans="1:9">
      <c r="A304" s="998">
        <f t="shared" si="4"/>
        <v>303</v>
      </c>
      <c r="B304" s="1097" t="s">
        <v>3123</v>
      </c>
      <c r="C304" s="1003" t="s">
        <v>67</v>
      </c>
      <c r="D304" s="999" t="str">
        <f>VLOOKUP($C304,Table1[#All],2,0)</f>
        <v>SAO HOA</v>
      </c>
      <c r="E304" s="999" t="s">
        <v>153</v>
      </c>
      <c r="F304" s="1093" t="s">
        <v>80</v>
      </c>
      <c r="G304" s="999" t="s">
        <v>310</v>
      </c>
      <c r="H304" s="999" t="str">
        <f>VLOOKUP($C304,Table1[#All],3,0)</f>
        <v>VC3</v>
      </c>
      <c r="I304" s="999" t="str" cm="1">
        <f t="array" ref="I304">_xlfn.XLOOKUP(Acc_Char!$E304,Table4[[#All],[Branch]],Table4[[#All],[Bank]],"recheck",0)</f>
        <v>VIETINBANK - BINH DUONG + QM</v>
      </c>
    </row>
    <row r="305" spans="1:9">
      <c r="A305" s="998">
        <f t="shared" si="4"/>
        <v>304</v>
      </c>
      <c r="B305" s="1098" t="s">
        <v>589</v>
      </c>
      <c r="C305" s="1000" t="s">
        <v>67</v>
      </c>
      <c r="D305" s="932" t="str">
        <f>VLOOKUP($C305,Table1[#All],2,0)</f>
        <v>SAO HOA</v>
      </c>
      <c r="E305" s="932" t="s">
        <v>153</v>
      </c>
      <c r="F305" s="998" t="s">
        <v>80</v>
      </c>
      <c r="G305" s="932" t="s">
        <v>308</v>
      </c>
      <c r="H305" s="932" t="str">
        <f>VLOOKUP($C305,Table1[#All],3,0)</f>
        <v>VC3</v>
      </c>
      <c r="I305" s="932" t="str" cm="1">
        <f t="array" ref="I305">_xlfn.XLOOKUP(Acc_Char!$E305,Table4[[#All],[Branch]],Table4[[#All],[Bank]],"recheck",0)</f>
        <v>VIETINBANK - BINH DUONG + QM</v>
      </c>
    </row>
    <row r="306" spans="1:9">
      <c r="A306" s="998">
        <f t="shared" si="4"/>
        <v>305</v>
      </c>
      <c r="B306" s="1097" t="s">
        <v>585</v>
      </c>
      <c r="C306" s="1003" t="s">
        <v>67</v>
      </c>
      <c r="D306" s="999" t="str">
        <f>VLOOKUP($C306,Table1[#All],2,0)</f>
        <v>SAO HOA</v>
      </c>
      <c r="E306" s="999" t="s">
        <v>86</v>
      </c>
      <c r="F306" s="1093" t="s">
        <v>81</v>
      </c>
      <c r="G306" s="999" t="s">
        <v>308</v>
      </c>
      <c r="H306" s="999" t="str">
        <f>VLOOKUP($C306,Table1[#All],3,0)</f>
        <v>VC3</v>
      </c>
      <c r="I306" s="999" t="str" cm="1">
        <f t="array" ref="I306">_xlfn.XLOOKUP(Acc_Char!$E290,Table4[[#All],[Branch]],Table4[[#All],[Bank]],"recheck",0)</f>
        <v>VIETINBANK - CN1</v>
      </c>
    </row>
    <row r="307" spans="1:9">
      <c r="A307" s="998">
        <f t="shared" si="4"/>
        <v>306</v>
      </c>
      <c r="B307" s="1098" t="s">
        <v>3124</v>
      </c>
      <c r="C307" s="1000" t="s">
        <v>67</v>
      </c>
      <c r="D307" s="932" t="str">
        <f>VLOOKUP($C307,Table1[#All],2,0)</f>
        <v>SAO HOA</v>
      </c>
      <c r="E307" s="932" t="s">
        <v>88</v>
      </c>
      <c r="F307" s="998" t="s">
        <v>81</v>
      </c>
      <c r="G307" s="932" t="s">
        <v>310</v>
      </c>
      <c r="H307" s="932" t="str">
        <f>VLOOKUP($C307,Table1[#All],3,0)</f>
        <v>VC3</v>
      </c>
      <c r="I307" s="932" t="str" cm="1">
        <f t="array" ref="I307">_xlfn.XLOOKUP(Acc_Char!$E307,Table4[[#All],[Branch]],Table4[[#All],[Bank]],"recheck",0)</f>
        <v>VIETINBANK - DONG SAI GON</v>
      </c>
    </row>
    <row r="308" spans="1:9">
      <c r="A308" s="998">
        <f t="shared" si="4"/>
        <v>307</v>
      </c>
      <c r="B308" s="1097" t="s">
        <v>3125</v>
      </c>
      <c r="C308" s="1003" t="s">
        <v>67</v>
      </c>
      <c r="D308" s="999" t="str">
        <f>VLOOKUP($C308,Table1[#All],2,0)</f>
        <v>SAO HOA</v>
      </c>
      <c r="E308" s="999" t="s">
        <v>88</v>
      </c>
      <c r="F308" s="1093" t="s">
        <v>80</v>
      </c>
      <c r="G308" s="999" t="s">
        <v>310</v>
      </c>
      <c r="H308" s="999" t="str">
        <f>VLOOKUP($C308,Table1[#All],3,0)</f>
        <v>VC3</v>
      </c>
      <c r="I308" s="999" t="str" cm="1">
        <f t="array" ref="I308">_xlfn.XLOOKUP(Acc_Char!$E308,Table4[[#All],[Branch]],Table4[[#All],[Bank]],"recheck",0)</f>
        <v>VIETINBANK - DONG SAI GON</v>
      </c>
    </row>
    <row r="309" spans="1:9">
      <c r="A309" s="998">
        <f t="shared" si="4"/>
        <v>308</v>
      </c>
      <c r="B309" s="1098" t="s">
        <v>3126</v>
      </c>
      <c r="C309" s="1000" t="s">
        <v>67</v>
      </c>
      <c r="D309" s="932" t="str">
        <f>VLOOKUP($C309,Table1[#All],2,0)</f>
        <v>SAO HOA</v>
      </c>
      <c r="E309" s="932" t="s">
        <v>88</v>
      </c>
      <c r="F309" s="998" t="s">
        <v>80</v>
      </c>
      <c r="G309" s="932" t="s">
        <v>310</v>
      </c>
      <c r="H309" s="932" t="str">
        <f>VLOOKUP($C309,Table1[#All],3,0)</f>
        <v>VC3</v>
      </c>
      <c r="I309" s="932" t="str" cm="1">
        <f t="array" ref="I309">_xlfn.XLOOKUP(Acc_Char!$E309,Table4[[#All],[Branch]],Table4[[#All],[Bank]],"recheck",0)</f>
        <v>VIETINBANK - DONG SAI GON</v>
      </c>
    </row>
    <row r="310" spans="1:9">
      <c r="A310" s="998">
        <f t="shared" si="4"/>
        <v>309</v>
      </c>
      <c r="B310" s="1097" t="s">
        <v>3127</v>
      </c>
      <c r="C310" s="1003" t="s">
        <v>67</v>
      </c>
      <c r="D310" s="999" t="str">
        <f>VLOOKUP($C310,Table1[#All],2,0)</f>
        <v>SAO HOA</v>
      </c>
      <c r="E310" s="999" t="s">
        <v>88</v>
      </c>
      <c r="F310" s="1093" t="s">
        <v>80</v>
      </c>
      <c r="G310" s="999" t="s">
        <v>310</v>
      </c>
      <c r="H310" s="999" t="str">
        <f>VLOOKUP($C310,Table1[#All],3,0)</f>
        <v>VC3</v>
      </c>
      <c r="I310" s="999" t="str" cm="1">
        <f t="array" ref="I310">_xlfn.XLOOKUP(Acc_Char!$E310,Table4[[#All],[Branch]],Table4[[#All],[Bank]],"recheck",0)</f>
        <v>VIETINBANK - DONG SAI GON</v>
      </c>
    </row>
    <row r="311" spans="1:9">
      <c r="A311" s="998">
        <f t="shared" si="4"/>
        <v>310</v>
      </c>
      <c r="B311" s="1098" t="s">
        <v>591</v>
      </c>
      <c r="C311" s="1000" t="s">
        <v>67</v>
      </c>
      <c r="D311" s="932" t="str">
        <f>VLOOKUP($C311,Table1[#All],2,0)</f>
        <v>SAO HOA</v>
      </c>
      <c r="E311" s="932" t="s">
        <v>91</v>
      </c>
      <c r="F311" s="998" t="s">
        <v>80</v>
      </c>
      <c r="G311" s="932" t="s">
        <v>308</v>
      </c>
      <c r="H311" s="932" t="str">
        <f>VLOOKUP($C311,Table1[#All],3,0)</f>
        <v>VC3</v>
      </c>
      <c r="I311" s="932" t="str" cm="1">
        <f t="array" ref="I311">_xlfn.XLOOKUP(Acc_Char!$E311,Table4[[#All],[Branch]],Table4[[#All],[Bank]],"recheck",0)</f>
        <v>VIETCOMBANK - HCM</v>
      </c>
    </row>
    <row r="312" spans="1:9">
      <c r="A312" s="998">
        <f t="shared" si="4"/>
        <v>311</v>
      </c>
      <c r="B312" s="1098" t="s">
        <v>1415</v>
      </c>
      <c r="C312" s="1000" t="s">
        <v>67</v>
      </c>
      <c r="D312" s="932" t="str">
        <f>VLOOKUP($C312,Table1[#All],2,0)</f>
        <v>SAO HOA</v>
      </c>
      <c r="E312" s="932" t="s">
        <v>91</v>
      </c>
      <c r="F312" s="998" t="s">
        <v>80</v>
      </c>
      <c r="G312" s="932" t="s">
        <v>310</v>
      </c>
      <c r="H312" s="932" t="str">
        <f>VLOOKUP($C312,Table1[#All],3,0)</f>
        <v>VC3</v>
      </c>
      <c r="I312" s="932" t="str" cm="1">
        <f t="array" ref="I312">_xlfn.XLOOKUP(Acc_Char!$E312,Table4[[#All],[Branch]],Table4[[#All],[Bank]],"recheck",0)</f>
        <v>VIETCOMBANK - HCM</v>
      </c>
    </row>
    <row r="313" spans="1:9">
      <c r="A313" s="998">
        <f t="shared" si="4"/>
        <v>312</v>
      </c>
      <c r="B313" s="1001" t="s">
        <v>757</v>
      </c>
      <c r="C313" s="1000" t="s">
        <v>3052</v>
      </c>
      <c r="D313" s="932" t="str">
        <f>VLOOKUP($C313,Table1[#All],2,0)</f>
        <v>GREAT KINGDOM NT 2</v>
      </c>
      <c r="E313" s="932" t="s">
        <v>86</v>
      </c>
      <c r="F313" s="998" t="s">
        <v>81</v>
      </c>
      <c r="G313" s="932" t="s">
        <v>308</v>
      </c>
      <c r="H313" s="932" t="str">
        <f>VLOOKUP($C313,Table1[#All],3,0)</f>
        <v>Subsidiaries</v>
      </c>
      <c r="I313" s="932" t="str" cm="1">
        <f t="array" ref="I313">_xlfn.XLOOKUP(Acc_Char!$E549,Table4[[#All],[Branch]],Table4[[#All],[Bank]],"recheck",0)</f>
        <v>STANDARD CHARTERED</v>
      </c>
    </row>
    <row r="314" spans="1:9">
      <c r="A314" s="998">
        <f t="shared" si="4"/>
        <v>313</v>
      </c>
      <c r="B314" s="1098" t="s">
        <v>3128</v>
      </c>
      <c r="C314" s="1000" t="s">
        <v>67</v>
      </c>
      <c r="D314" s="932" t="str">
        <f>VLOOKUP($C314,Table1[#All],2,0)</f>
        <v>SAO HOA</v>
      </c>
      <c r="E314" s="932" t="s">
        <v>91</v>
      </c>
      <c r="F314" s="998" t="s">
        <v>80</v>
      </c>
      <c r="G314" s="932" t="s">
        <v>310</v>
      </c>
      <c r="H314" s="932" t="str">
        <f>VLOOKUP($C314,Table1[#All],3,0)</f>
        <v>VC3</v>
      </c>
      <c r="I314" s="932" t="str" cm="1">
        <f t="array" ref="I314">_xlfn.XLOOKUP(Acc_Char!$E314,Table4[[#All],[Branch]],Table4[[#All],[Bank]],"recheck",0)</f>
        <v>VIETCOMBANK - HCM</v>
      </c>
    </row>
    <row r="315" spans="1:9">
      <c r="A315" s="998">
        <f t="shared" si="4"/>
        <v>314</v>
      </c>
      <c r="B315" s="1097" t="s">
        <v>3129</v>
      </c>
      <c r="C315" s="1003" t="s">
        <v>67</v>
      </c>
      <c r="D315" s="999" t="str">
        <f>VLOOKUP($C315,Table1[#All],2,0)</f>
        <v>SAO HOA</v>
      </c>
      <c r="E315" s="999" t="s">
        <v>91</v>
      </c>
      <c r="F315" s="1093" t="s">
        <v>80</v>
      </c>
      <c r="G315" s="999" t="s">
        <v>310</v>
      </c>
      <c r="H315" s="999" t="str">
        <f>VLOOKUP($C315,Table1[#All],3,0)</f>
        <v>VC3</v>
      </c>
      <c r="I315" s="999" t="str" cm="1">
        <f t="array" ref="I315">_xlfn.XLOOKUP(Acc_Char!$E315,Table4[[#All],[Branch]],Table4[[#All],[Bank]],"recheck",0)</f>
        <v>VIETCOMBANK - HCM</v>
      </c>
    </row>
    <row r="316" spans="1:9">
      <c r="A316" s="998">
        <f t="shared" si="4"/>
        <v>315</v>
      </c>
      <c r="B316" s="1098" t="s">
        <v>3130</v>
      </c>
      <c r="C316" s="1000" t="s">
        <v>67</v>
      </c>
      <c r="D316" s="932" t="str">
        <f>VLOOKUP($C316,Table1[#All],2,0)</f>
        <v>SAO HOA</v>
      </c>
      <c r="E316" s="932" t="s">
        <v>91</v>
      </c>
      <c r="F316" s="998" t="s">
        <v>80</v>
      </c>
      <c r="G316" s="932" t="s">
        <v>310</v>
      </c>
      <c r="H316" s="932" t="str">
        <f>VLOOKUP($C316,Table1[#All],3,0)</f>
        <v>VC3</v>
      </c>
      <c r="I316" s="932" t="str" cm="1">
        <f t="array" ref="I316">_xlfn.XLOOKUP(Acc_Char!$E316,Table4[[#All],[Branch]],Table4[[#All],[Bank]],"recheck",0)</f>
        <v>VIETCOMBANK - HCM</v>
      </c>
    </row>
    <row r="317" spans="1:9">
      <c r="A317" s="998">
        <f t="shared" si="4"/>
        <v>316</v>
      </c>
      <c r="B317" s="1097" t="s">
        <v>3131</v>
      </c>
      <c r="C317" s="1003" t="s">
        <v>67</v>
      </c>
      <c r="D317" s="999" t="str">
        <f>VLOOKUP($C317,Table1[#All],2,0)</f>
        <v>SAO HOA</v>
      </c>
      <c r="E317" s="999" t="s">
        <v>91</v>
      </c>
      <c r="F317" s="1093" t="s">
        <v>80</v>
      </c>
      <c r="G317" s="999" t="s">
        <v>310</v>
      </c>
      <c r="H317" s="999" t="str">
        <f>VLOOKUP($C317,Table1[#All],3,0)</f>
        <v>VC3</v>
      </c>
      <c r="I317" s="999" t="str" cm="1">
        <f t="array" ref="I317">_xlfn.XLOOKUP(Acc_Char!$E317,Table4[[#All],[Branch]],Table4[[#All],[Bank]],"recheck",0)</f>
        <v>VIETCOMBANK - HCM</v>
      </c>
    </row>
    <row r="318" spans="1:9">
      <c r="A318" s="998">
        <f t="shared" si="4"/>
        <v>317</v>
      </c>
      <c r="B318" s="1098" t="s">
        <v>3132</v>
      </c>
      <c r="C318" s="1000" t="s">
        <v>67</v>
      </c>
      <c r="D318" s="932" t="str">
        <f>VLOOKUP($C318,Table1[#All],2,0)</f>
        <v>SAO HOA</v>
      </c>
      <c r="E318" s="932" t="s">
        <v>91</v>
      </c>
      <c r="F318" s="998" t="s">
        <v>80</v>
      </c>
      <c r="G318" s="932" t="s">
        <v>310</v>
      </c>
      <c r="H318" s="932" t="str">
        <f>VLOOKUP($C318,Table1[#All],3,0)</f>
        <v>VC3</v>
      </c>
      <c r="I318" s="932" t="str" cm="1">
        <f t="array" ref="I318">_xlfn.XLOOKUP(Acc_Char!$E318,Table4[[#All],[Branch]],Table4[[#All],[Bank]],"recheck",0)</f>
        <v>VIETCOMBANK - HCM</v>
      </c>
    </row>
    <row r="319" spans="1:9">
      <c r="A319" s="998">
        <f t="shared" si="4"/>
        <v>318</v>
      </c>
      <c r="B319" s="1097" t="s">
        <v>3133</v>
      </c>
      <c r="C319" s="1003" t="s">
        <v>67</v>
      </c>
      <c r="D319" s="999" t="str">
        <f>VLOOKUP($C319,Table1[#All],2,0)</f>
        <v>SAO HOA</v>
      </c>
      <c r="E319" s="999" t="s">
        <v>91</v>
      </c>
      <c r="F319" s="1093" t="s">
        <v>80</v>
      </c>
      <c r="G319" s="999" t="s">
        <v>310</v>
      </c>
      <c r="H319" s="999" t="str">
        <f>VLOOKUP($C319,Table1[#All],3,0)</f>
        <v>VC3</v>
      </c>
      <c r="I319" s="999" t="str" cm="1">
        <f t="array" ref="I319">_xlfn.XLOOKUP(Acc_Char!$E319,Table4[[#All],[Branch]],Table4[[#All],[Bank]],"recheck",0)</f>
        <v>VIETCOMBANK - HCM</v>
      </c>
    </row>
    <row r="320" spans="1:9">
      <c r="A320" s="998">
        <f t="shared" si="4"/>
        <v>319</v>
      </c>
      <c r="B320" s="1098" t="s">
        <v>3134</v>
      </c>
      <c r="C320" s="1000" t="s">
        <v>67</v>
      </c>
      <c r="D320" s="932" t="str">
        <f>VLOOKUP($C320,Table1[#All],2,0)</f>
        <v>SAO HOA</v>
      </c>
      <c r="E320" s="932" t="s">
        <v>91</v>
      </c>
      <c r="F320" s="998" t="s">
        <v>80</v>
      </c>
      <c r="G320" s="932" t="s">
        <v>310</v>
      </c>
      <c r="H320" s="932" t="str">
        <f>VLOOKUP($C320,Table1[#All],3,0)</f>
        <v>VC3</v>
      </c>
      <c r="I320" s="932" t="str" cm="1">
        <f t="array" ref="I320">_xlfn.XLOOKUP(Acc_Char!$E320,Table4[[#All],[Branch]],Table4[[#All],[Bank]],"recheck",0)</f>
        <v>VIETCOMBANK - HCM</v>
      </c>
    </row>
    <row r="321" spans="1:9">
      <c r="A321" s="998">
        <f t="shared" si="4"/>
        <v>320</v>
      </c>
      <c r="B321" s="1097" t="s">
        <v>3135</v>
      </c>
      <c r="C321" s="1003" t="s">
        <v>67</v>
      </c>
      <c r="D321" s="999" t="str">
        <f>VLOOKUP($C321,Table1[#All],2,0)</f>
        <v>SAO HOA</v>
      </c>
      <c r="E321" s="999" t="s">
        <v>91</v>
      </c>
      <c r="F321" s="1093" t="s">
        <v>80</v>
      </c>
      <c r="G321" s="999" t="s">
        <v>310</v>
      </c>
      <c r="H321" s="999" t="str">
        <f>VLOOKUP($C321,Table1[#All],3,0)</f>
        <v>VC3</v>
      </c>
      <c r="I321" s="999" t="str" cm="1">
        <f t="array" ref="I321">_xlfn.XLOOKUP(Acc_Char!$E321,Table4[[#All],[Branch]],Table4[[#All],[Bank]],"recheck",0)</f>
        <v>VIETCOMBANK - HCM</v>
      </c>
    </row>
    <row r="322" spans="1:9">
      <c r="A322" s="998">
        <f t="shared" si="4"/>
        <v>321</v>
      </c>
      <c r="B322" s="1098" t="s">
        <v>3136</v>
      </c>
      <c r="C322" s="1000" t="s">
        <v>67</v>
      </c>
      <c r="D322" s="932" t="str">
        <f>VLOOKUP($C322,Table1[#All],2,0)</f>
        <v>SAO HOA</v>
      </c>
      <c r="E322" s="932" t="s">
        <v>91</v>
      </c>
      <c r="F322" s="998" t="s">
        <v>80</v>
      </c>
      <c r="G322" s="932" t="s">
        <v>310</v>
      </c>
      <c r="H322" s="932" t="str">
        <f>VLOOKUP($C322,Table1[#All],3,0)</f>
        <v>VC3</v>
      </c>
      <c r="I322" s="932" t="str" cm="1">
        <f t="array" ref="I322">_xlfn.XLOOKUP(Acc_Char!$E322,Table4[[#All],[Branch]],Table4[[#All],[Bank]],"recheck",0)</f>
        <v>VIETCOMBANK - HCM</v>
      </c>
    </row>
    <row r="323" spans="1:9">
      <c r="A323" s="998">
        <f t="shared" ref="A323:A386" si="5">A322+1</f>
        <v>322</v>
      </c>
      <c r="B323" s="1097" t="s">
        <v>3137</v>
      </c>
      <c r="C323" s="1003" t="s">
        <v>67</v>
      </c>
      <c r="D323" s="999" t="str">
        <f>VLOOKUP($C323,Table1[#All],2,0)</f>
        <v>SAO HOA</v>
      </c>
      <c r="E323" s="999" t="s">
        <v>91</v>
      </c>
      <c r="F323" s="1093" t="s">
        <v>80</v>
      </c>
      <c r="G323" s="999" t="s">
        <v>310</v>
      </c>
      <c r="H323" s="999" t="str">
        <f>VLOOKUP($C323,Table1[#All],3,0)</f>
        <v>VC3</v>
      </c>
      <c r="I323" s="999" t="str" cm="1">
        <f t="array" ref="I323">_xlfn.XLOOKUP(Acc_Char!$E323,Table4[[#All],[Branch]],Table4[[#All],[Bank]],"recheck",0)</f>
        <v>VIETCOMBANK - HCM</v>
      </c>
    </row>
    <row r="324" spans="1:9">
      <c r="A324" s="998">
        <f t="shared" si="5"/>
        <v>323</v>
      </c>
      <c r="B324" s="1098" t="s">
        <v>3138</v>
      </c>
      <c r="C324" s="1000" t="s">
        <v>67</v>
      </c>
      <c r="D324" s="932" t="str">
        <f>VLOOKUP($C324,Table1[#All],2,0)</f>
        <v>SAO HOA</v>
      </c>
      <c r="E324" s="932" t="s">
        <v>91</v>
      </c>
      <c r="F324" s="998" t="s">
        <v>80</v>
      </c>
      <c r="G324" s="932" t="s">
        <v>310</v>
      </c>
      <c r="H324" s="932" t="str">
        <f>VLOOKUP($C324,Table1[#All],3,0)</f>
        <v>VC3</v>
      </c>
      <c r="I324" s="932" t="str" cm="1">
        <f t="array" ref="I324">_xlfn.XLOOKUP(Acc_Char!$E324,Table4[[#All],[Branch]],Table4[[#All],[Bank]],"recheck",0)</f>
        <v>VIETCOMBANK - HCM</v>
      </c>
    </row>
    <row r="325" spans="1:9">
      <c r="A325" s="998">
        <f t="shared" si="5"/>
        <v>324</v>
      </c>
      <c r="B325" s="1097" t="s">
        <v>3139</v>
      </c>
      <c r="C325" s="1003" t="s">
        <v>67</v>
      </c>
      <c r="D325" s="999" t="str">
        <f>VLOOKUP($C325,Table1[#All],2,0)</f>
        <v>SAO HOA</v>
      </c>
      <c r="E325" s="999" t="s">
        <v>91</v>
      </c>
      <c r="F325" s="1093" t="s">
        <v>80</v>
      </c>
      <c r="G325" s="999" t="s">
        <v>310</v>
      </c>
      <c r="H325" s="999" t="str">
        <f>VLOOKUP($C325,Table1[#All],3,0)</f>
        <v>VC3</v>
      </c>
      <c r="I325" s="999" t="str" cm="1">
        <f t="array" ref="I325">_xlfn.XLOOKUP(Acc_Char!$E325,Table4[[#All],[Branch]],Table4[[#All],[Bank]],"recheck",0)</f>
        <v>VIETCOMBANK - HCM</v>
      </c>
    </row>
    <row r="326" spans="1:9">
      <c r="A326" s="998">
        <f t="shared" si="5"/>
        <v>325</v>
      </c>
      <c r="B326" s="1098" t="s">
        <v>3140</v>
      </c>
      <c r="C326" s="1000" t="s">
        <v>67</v>
      </c>
      <c r="D326" s="932" t="str">
        <f>VLOOKUP($C326,Table1[#All],2,0)</f>
        <v>SAO HOA</v>
      </c>
      <c r="E326" s="932" t="s">
        <v>91</v>
      </c>
      <c r="F326" s="998" t="s">
        <v>80</v>
      </c>
      <c r="G326" s="932" t="s">
        <v>310</v>
      </c>
      <c r="H326" s="932" t="str">
        <f>VLOOKUP($C326,Table1[#All],3,0)</f>
        <v>VC3</v>
      </c>
      <c r="I326" s="932" t="str" cm="1">
        <f t="array" ref="I326">_xlfn.XLOOKUP(Acc_Char!$E326,Table4[[#All],[Branch]],Table4[[#All],[Bank]],"recheck",0)</f>
        <v>VIETCOMBANK - HCM</v>
      </c>
    </row>
    <row r="327" spans="1:9">
      <c r="A327" s="998">
        <f t="shared" si="5"/>
        <v>326</v>
      </c>
      <c r="B327" s="1097" t="s">
        <v>3141</v>
      </c>
      <c r="C327" s="1003" t="s">
        <v>67</v>
      </c>
      <c r="D327" s="999" t="str">
        <f>VLOOKUP($C327,Table1[#All],2,0)</f>
        <v>SAO HOA</v>
      </c>
      <c r="E327" s="999" t="s">
        <v>91</v>
      </c>
      <c r="F327" s="1093" t="s">
        <v>80</v>
      </c>
      <c r="G327" s="999" t="s">
        <v>310</v>
      </c>
      <c r="H327" s="999" t="str">
        <f>VLOOKUP($C327,Table1[#All],3,0)</f>
        <v>VC3</v>
      </c>
      <c r="I327" s="999" t="str" cm="1">
        <f t="array" ref="I327">_xlfn.XLOOKUP(Acc_Char!$E327,Table4[[#All],[Branch]],Table4[[#All],[Bank]],"recheck",0)</f>
        <v>VIETCOMBANK - HCM</v>
      </c>
    </row>
    <row r="328" spans="1:9">
      <c r="A328" s="998">
        <f t="shared" si="5"/>
        <v>327</v>
      </c>
      <c r="B328" s="1098" t="s">
        <v>3142</v>
      </c>
      <c r="C328" s="1000" t="s">
        <v>67</v>
      </c>
      <c r="D328" s="932" t="str">
        <f>VLOOKUP($C328,Table1[#All],2,0)</f>
        <v>SAO HOA</v>
      </c>
      <c r="E328" s="932" t="s">
        <v>91</v>
      </c>
      <c r="F328" s="998" t="s">
        <v>80</v>
      </c>
      <c r="G328" s="932" t="s">
        <v>310</v>
      </c>
      <c r="H328" s="932" t="str">
        <f>VLOOKUP($C328,Table1[#All],3,0)</f>
        <v>VC3</v>
      </c>
      <c r="I328" s="932" t="str" cm="1">
        <f t="array" ref="I328">_xlfn.XLOOKUP(Acc_Char!$E328,Table4[[#All],[Branch]],Table4[[#All],[Bank]],"recheck",0)</f>
        <v>VIETCOMBANK - HCM</v>
      </c>
    </row>
    <row r="329" spans="1:9">
      <c r="A329" s="998">
        <f t="shared" si="5"/>
        <v>328</v>
      </c>
      <c r="B329" s="1097" t="s">
        <v>593</v>
      </c>
      <c r="C329" s="1003" t="s">
        <v>67</v>
      </c>
      <c r="D329" s="999" t="str">
        <f>VLOOKUP($C329,Table1[#All],2,0)</f>
        <v>SAO HOA</v>
      </c>
      <c r="E329" s="999" t="s">
        <v>89</v>
      </c>
      <c r="F329" s="1093" t="s">
        <v>80</v>
      </c>
      <c r="G329" s="999" t="s">
        <v>308</v>
      </c>
      <c r="H329" s="999" t="str">
        <f>VLOOKUP($C329,Table1[#All],3,0)</f>
        <v>VC3</v>
      </c>
      <c r="I329" s="999" t="str" cm="1">
        <f t="array" ref="I329">_xlfn.XLOOKUP(Acc_Char!$E329,Table4[[#All],[Branch]],Table4[[#All],[Bank]],"recheck",0)</f>
        <v>VIETCOMBANK - BA DINH</v>
      </c>
    </row>
    <row r="330" spans="1:9">
      <c r="A330" s="998">
        <f t="shared" si="5"/>
        <v>329</v>
      </c>
      <c r="B330" s="1002" t="s">
        <v>763</v>
      </c>
      <c r="C330" s="1003" t="s">
        <v>389</v>
      </c>
      <c r="D330" s="932" t="str">
        <f>VLOOKUP($C330,Table1[#All],2,0)</f>
        <v>BWID BINH DUONG</v>
      </c>
      <c r="E330" s="932" t="s">
        <v>86</v>
      </c>
      <c r="F330" s="998" t="s">
        <v>81</v>
      </c>
      <c r="G330" s="932" t="s">
        <v>308</v>
      </c>
      <c r="H330" s="932" t="str">
        <f>VLOOKUP($C330,Table1[#All],3,0)</f>
        <v>BWID JSC</v>
      </c>
      <c r="I330" s="932" t="str" cm="1">
        <f t="array" ref="I330">_xlfn.XLOOKUP(Acc_Char!$E575,Table4[[#All],[Branch]],Table4[[#All],[Bank]],"recheck",0)</f>
        <v>STANDARD CHARTERED</v>
      </c>
    </row>
    <row r="331" spans="1:9">
      <c r="A331" s="998">
        <f t="shared" si="5"/>
        <v>330</v>
      </c>
      <c r="B331" s="1097" t="s">
        <v>595</v>
      </c>
      <c r="C331" s="1003" t="s">
        <v>67</v>
      </c>
      <c r="D331" s="999" t="str">
        <f>VLOOKUP($C331,Table1[#All],2,0)</f>
        <v>SAO HOA</v>
      </c>
      <c r="E331" s="999" t="s">
        <v>97</v>
      </c>
      <c r="F331" s="1093" t="s">
        <v>80</v>
      </c>
      <c r="G331" s="999" t="s">
        <v>308</v>
      </c>
      <c r="H331" s="999" t="str">
        <f>VLOOKUP($C331,Table1[#All],3,0)</f>
        <v>VC3</v>
      </c>
      <c r="I331" s="999" t="str" cm="1">
        <f t="array" ref="I331">_xlfn.XLOOKUP(Acc_Char!$E331,Table4[[#All],[Branch]],Table4[[#All],[Bank]],"recheck",0)</f>
        <v>MB - BAC SAI GON</v>
      </c>
    </row>
    <row r="332" spans="1:9">
      <c r="A332" s="998">
        <f t="shared" si="5"/>
        <v>331</v>
      </c>
      <c r="B332" s="1002" t="s">
        <v>482</v>
      </c>
      <c r="C332" s="1003" t="s">
        <v>389</v>
      </c>
      <c r="D332" s="999" t="str">
        <f>VLOOKUP($C332,Table1[#All],2,0)</f>
        <v>BWID BINH DUONG</v>
      </c>
      <c r="E332" s="999" t="s">
        <v>153</v>
      </c>
      <c r="F332" s="1093" t="s">
        <v>81</v>
      </c>
      <c r="G332" s="999" t="s">
        <v>308</v>
      </c>
      <c r="H332" s="999" t="str">
        <f>VLOOKUP($C332,Table1[#All],3,0)</f>
        <v>BWID JSC</v>
      </c>
      <c r="I332" s="999" t="str" cm="1">
        <f t="array" ref="I332">_xlfn.XLOOKUP(Acc_Char!$E42,Table4[[#All],[Branch]],Table4[[#All],[Bank]],"recheck",0)</f>
        <v>VIETINBANK - TIEN SON</v>
      </c>
    </row>
    <row r="333" spans="1:9">
      <c r="A333" s="998">
        <f t="shared" si="5"/>
        <v>332</v>
      </c>
      <c r="B333" s="1097" t="s">
        <v>597</v>
      </c>
      <c r="C333" s="1003" t="s">
        <v>67</v>
      </c>
      <c r="D333" s="999" t="str">
        <f>VLOOKUP($C333,Table1[#All],2,0)</f>
        <v>SAO HOA</v>
      </c>
      <c r="E333" s="999" t="s">
        <v>95</v>
      </c>
      <c r="F333" s="1093" t="s">
        <v>80</v>
      </c>
      <c r="G333" s="999" t="s">
        <v>308</v>
      </c>
      <c r="H333" s="999" t="str">
        <f>VLOOKUP($C333,Table1[#All],3,0)</f>
        <v>VC3</v>
      </c>
      <c r="I333" s="999" t="str" cm="1">
        <f t="array" ref="I333">_xlfn.XLOOKUP(Acc_Char!$E333,Table4[[#All],[Branch]],Table4[[#All],[Bank]],"recheck",0)</f>
        <v>OCB - BINH DUONG</v>
      </c>
    </row>
    <row r="334" spans="1:9">
      <c r="A334" s="998">
        <f t="shared" si="5"/>
        <v>333</v>
      </c>
      <c r="B334" s="1002" t="s">
        <v>590</v>
      </c>
      <c r="C334" s="1003" t="s">
        <v>67</v>
      </c>
      <c r="D334" s="999" t="str">
        <f>VLOOKUP($C334,Table1[#All],2,0)</f>
        <v>SAO HOA</v>
      </c>
      <c r="E334" s="999" t="s">
        <v>153</v>
      </c>
      <c r="F334" s="1093" t="s">
        <v>81</v>
      </c>
      <c r="G334" s="999" t="s">
        <v>308</v>
      </c>
      <c r="H334" s="999" t="str">
        <f>VLOOKUP($C334,Table1[#All],3,0)</f>
        <v>VC3</v>
      </c>
      <c r="I334" s="999" t="str" cm="1">
        <f t="array" ref="I334">_xlfn.XLOOKUP(Acc_Char!$E306,Table4[[#All],[Branch]],Table4[[#All],[Bank]],"recheck",0)</f>
        <v>VIETINBANK - CN1</v>
      </c>
    </row>
    <row r="335" spans="1:9">
      <c r="A335" s="998">
        <f t="shared" si="5"/>
        <v>334</v>
      </c>
      <c r="B335" s="1097" t="s">
        <v>3143</v>
      </c>
      <c r="C335" s="1003" t="s">
        <v>67</v>
      </c>
      <c r="D335" s="999" t="str">
        <f>VLOOKUP($C335,Table1[#All],2,0)</f>
        <v>SAO HOA</v>
      </c>
      <c r="E335" s="999" t="s">
        <v>95</v>
      </c>
      <c r="F335" s="1093" t="s">
        <v>80</v>
      </c>
      <c r="G335" s="999" t="s">
        <v>310</v>
      </c>
      <c r="H335" s="999" t="str">
        <f>VLOOKUP($C335,Table1[#All],3,0)</f>
        <v>VC3</v>
      </c>
      <c r="I335" s="999" t="str" cm="1">
        <f t="array" ref="I335">_xlfn.XLOOKUP(Acc_Char!$E335,Table4[[#All],[Branch]],Table4[[#All],[Bank]],"recheck",0)</f>
        <v>OCB - BINH DUONG</v>
      </c>
    </row>
    <row r="336" spans="1:9">
      <c r="A336" s="998">
        <f t="shared" si="5"/>
        <v>335</v>
      </c>
      <c r="B336" s="1098" t="s">
        <v>3144</v>
      </c>
      <c r="C336" s="1000" t="s">
        <v>67</v>
      </c>
      <c r="D336" s="932" t="str">
        <f>VLOOKUP($C336,Table1[#All],2,0)</f>
        <v>SAO HOA</v>
      </c>
      <c r="E336" s="932" t="s">
        <v>95</v>
      </c>
      <c r="F336" s="998" t="s">
        <v>80</v>
      </c>
      <c r="G336" s="932" t="s">
        <v>310</v>
      </c>
      <c r="H336" s="932" t="str">
        <f>VLOOKUP($C336,Table1[#All],3,0)</f>
        <v>VC3</v>
      </c>
      <c r="I336" s="932" t="str" cm="1">
        <f t="array" ref="I336">_xlfn.XLOOKUP(Acc_Char!$E336,Table4[[#All],[Branch]],Table4[[#All],[Bank]],"recheck",0)</f>
        <v>OCB - BINH DUONG</v>
      </c>
    </row>
    <row r="337" spans="1:9">
      <c r="A337" s="998">
        <f t="shared" si="5"/>
        <v>336</v>
      </c>
      <c r="B337" s="1097" t="s">
        <v>599</v>
      </c>
      <c r="C337" s="1003" t="s">
        <v>67</v>
      </c>
      <c r="D337" s="999" t="str">
        <f>VLOOKUP($C337,Table1[#All],2,0)</f>
        <v>SAO HOA</v>
      </c>
      <c r="E337" s="999" t="s">
        <v>96</v>
      </c>
      <c r="F337" s="1093" t="s">
        <v>80</v>
      </c>
      <c r="G337" s="999" t="s">
        <v>308</v>
      </c>
      <c r="H337" s="999" t="str">
        <f>VLOOKUP($C337,Table1[#All],3,0)</f>
        <v>VC3</v>
      </c>
      <c r="I337" s="999" t="str" cm="1">
        <f t="array" ref="I337">_xlfn.XLOOKUP(Acc_Char!$E337,Table4[[#All],[Branch]],Table4[[#All],[Bank]],"recheck",0)</f>
        <v>VIB - HOI SO</v>
      </c>
    </row>
    <row r="338" spans="1:9">
      <c r="A338" s="998">
        <f t="shared" si="5"/>
        <v>337</v>
      </c>
      <c r="B338" s="1098" t="s">
        <v>608</v>
      </c>
      <c r="C338" s="1000" t="s">
        <v>3145</v>
      </c>
      <c r="D338" s="932" t="str">
        <f>VLOOKUP($C338,Table1[#All],2,0)</f>
        <v>BAU BANG 3</v>
      </c>
      <c r="E338" s="932" t="s">
        <v>153</v>
      </c>
      <c r="F338" s="998" t="s">
        <v>81</v>
      </c>
      <c r="G338" s="932" t="s">
        <v>308</v>
      </c>
      <c r="H338" s="932" t="str">
        <f>VLOOKUP($C338,Table1[#All],3,0)</f>
        <v>Subsidiaries</v>
      </c>
      <c r="I338" s="932" t="str" cm="1">
        <f t="array" ref="I338">_xlfn.XLOOKUP(Acc_Char!$E358,Table4[[#All],[Branch]],Table4[[#All],[Bank]],"recheck",0)</f>
        <v>VIETCOMBANK - HCM</v>
      </c>
    </row>
    <row r="339" spans="1:9">
      <c r="A339" s="998">
        <f t="shared" si="5"/>
        <v>338</v>
      </c>
      <c r="B339" s="1097" t="s">
        <v>3146</v>
      </c>
      <c r="C339" s="1003" t="s">
        <v>67</v>
      </c>
      <c r="D339" s="999" t="str">
        <f>VLOOKUP($C339,Table1[#All],2,0)</f>
        <v>SAO HOA</v>
      </c>
      <c r="E339" s="999" t="s">
        <v>96</v>
      </c>
      <c r="F339" s="1093" t="s">
        <v>80</v>
      </c>
      <c r="G339" s="999" t="s">
        <v>310</v>
      </c>
      <c r="H339" s="999" t="str">
        <f>VLOOKUP($C339,Table1[#All],3,0)</f>
        <v>VC3</v>
      </c>
      <c r="I339" s="1148" t="str" cm="1">
        <f t="array" ref="I339">_xlfn.XLOOKUP(Acc_Char!$E339,Table4[[#All],[Branch]],Table4[[#All],[Bank]],"recheck",0)</f>
        <v>VIB - HOI SO</v>
      </c>
    </row>
    <row r="340" spans="1:9">
      <c r="A340" s="998">
        <f t="shared" si="5"/>
        <v>339</v>
      </c>
      <c r="B340" s="1098" t="s">
        <v>3147</v>
      </c>
      <c r="C340" s="1000" t="s">
        <v>67</v>
      </c>
      <c r="D340" s="932" t="str">
        <f>VLOOKUP($C340,Table1[#All],2,0)</f>
        <v>SAO HOA</v>
      </c>
      <c r="E340" s="932" t="s">
        <v>96</v>
      </c>
      <c r="F340" s="998" t="s">
        <v>80</v>
      </c>
      <c r="G340" s="932" t="s">
        <v>310</v>
      </c>
      <c r="H340" s="932" t="str">
        <f>VLOOKUP($C340,Table1[#All],3,0)</f>
        <v>VC3</v>
      </c>
      <c r="I340" s="932" t="str" cm="1">
        <f t="array" ref="I340">_xlfn.XLOOKUP(Acc_Char!$E340,Table4[[#All],[Branch]],Table4[[#All],[Bank]],"recheck",0)</f>
        <v>VIB - HOI SO</v>
      </c>
    </row>
    <row r="341" spans="1:9">
      <c r="A341" s="998">
        <f t="shared" si="5"/>
        <v>340</v>
      </c>
      <c r="B341" s="1097" t="s">
        <v>3148</v>
      </c>
      <c r="C341" s="1003" t="s">
        <v>67</v>
      </c>
      <c r="D341" s="999" t="str">
        <f>VLOOKUP($C341,Table1[#All],2,0)</f>
        <v>SAO HOA</v>
      </c>
      <c r="E341" s="999" t="s">
        <v>96</v>
      </c>
      <c r="F341" s="1093" t="s">
        <v>80</v>
      </c>
      <c r="G341" s="999" t="s">
        <v>310</v>
      </c>
      <c r="H341" s="999" t="str">
        <f>VLOOKUP($C341,Table1[#All],3,0)</f>
        <v>VC3</v>
      </c>
      <c r="I341" s="999" t="str" cm="1">
        <f t="array" ref="I341">_xlfn.XLOOKUP(Acc_Char!$E341,Table4[[#All],[Branch]],Table4[[#All],[Bank]],"recheck",0)</f>
        <v>VIB - HOI SO</v>
      </c>
    </row>
    <row r="342" spans="1:9">
      <c r="A342" s="998">
        <f t="shared" si="5"/>
        <v>341</v>
      </c>
      <c r="B342" s="1098" t="s">
        <v>601</v>
      </c>
      <c r="C342" s="1000" t="s">
        <v>67</v>
      </c>
      <c r="D342" s="932" t="str">
        <f>VLOOKUP($C342,Table1[#All],2,0)</f>
        <v>SAO HOA</v>
      </c>
      <c r="E342" s="932" t="s">
        <v>92</v>
      </c>
      <c r="F342" s="998" t="s">
        <v>80</v>
      </c>
      <c r="G342" s="932" t="s">
        <v>308</v>
      </c>
      <c r="H342" s="932" t="str">
        <f>VLOOKUP($C342,Table1[#All],3,0)</f>
        <v>VC3</v>
      </c>
      <c r="I342" s="932" t="str" cm="1">
        <f t="array" ref="I342">_xlfn.XLOOKUP(Acc_Char!$E342,Table4[[#All],[Branch]],Table4[[#All],[Bank]],"recheck",0)</f>
        <v>BIDV - THANH XUAN</v>
      </c>
    </row>
    <row r="343" spans="1:9">
      <c r="A343" s="998">
        <f t="shared" si="5"/>
        <v>342</v>
      </c>
      <c r="B343" s="1098" t="s">
        <v>613</v>
      </c>
      <c r="C343" s="1000" t="s">
        <v>3149</v>
      </c>
      <c r="D343" s="932" t="str">
        <f>VLOOKUP($C343,Table1[#All],2,0)</f>
        <v>BAU BANG 4</v>
      </c>
      <c r="E343" s="932" t="s">
        <v>153</v>
      </c>
      <c r="F343" s="998" t="s">
        <v>81</v>
      </c>
      <c r="G343" s="932" t="s">
        <v>308</v>
      </c>
      <c r="H343" s="932" t="str">
        <f>VLOOKUP($C343,Table1[#All],3,0)</f>
        <v>Subsidiaries</v>
      </c>
      <c r="I343" s="932" t="str" cm="1">
        <f t="array" ref="I343">_xlfn.XLOOKUP(Acc_Char!$E368,Table4[[#All],[Branch]],Table4[[#All],[Bank]],"recheck",0)</f>
        <v>VIETCOMBANK - HCM</v>
      </c>
    </row>
    <row r="344" spans="1:9">
      <c r="A344" s="998">
        <f t="shared" si="5"/>
        <v>343</v>
      </c>
      <c r="B344" s="1097" t="s">
        <v>476</v>
      </c>
      <c r="C344" s="1003" t="s">
        <v>389</v>
      </c>
      <c r="D344" s="999" t="str">
        <f>VLOOKUP($C344,Table1[#All],2,0)</f>
        <v>BWID BINH DUONG</v>
      </c>
      <c r="E344" s="999" t="s">
        <v>91</v>
      </c>
      <c r="F344" s="1093" t="s">
        <v>81</v>
      </c>
      <c r="G344" s="999" t="s">
        <v>308</v>
      </c>
      <c r="H344" s="999" t="str">
        <f>VLOOKUP($C344,Table1[#All],3,0)</f>
        <v>BWID JSC</v>
      </c>
      <c r="I344" s="999" t="str" cm="1">
        <f t="array" ref="I344">_xlfn.XLOOKUP(Acc_Char!$E18,Table4[[#All],[Branch]],Table4[[#All],[Bank]],"recheck",0)</f>
        <v>VIETINBANK - TIEN SON</v>
      </c>
    </row>
    <row r="345" spans="1:9">
      <c r="A345" s="998">
        <f t="shared" si="5"/>
        <v>344</v>
      </c>
      <c r="B345" s="1097" t="s">
        <v>3150</v>
      </c>
      <c r="C345" s="1003" t="s">
        <v>67</v>
      </c>
      <c r="D345" s="999" t="str">
        <f>VLOOKUP($C345,Table1[#All],2,0)</f>
        <v>SAO HOA</v>
      </c>
      <c r="E345" s="999" t="s">
        <v>92</v>
      </c>
      <c r="F345" s="1093" t="s">
        <v>80</v>
      </c>
      <c r="G345" s="999" t="s">
        <v>310</v>
      </c>
      <c r="H345" s="999" t="str">
        <f>VLOOKUP($C345,Table1[#All],3,0)</f>
        <v>VC3</v>
      </c>
      <c r="I345" s="999" t="str" cm="1">
        <f t="array" ref="I345">_xlfn.XLOOKUP(Acc_Char!$E345,Table4[[#All],[Branch]],Table4[[#All],[Bank]],"recheck",0)</f>
        <v>BIDV - THANH XUAN</v>
      </c>
    </row>
    <row r="346" spans="1:9">
      <c r="A346" s="998">
        <f t="shared" si="5"/>
        <v>345</v>
      </c>
      <c r="B346" s="1098" t="s">
        <v>3151</v>
      </c>
      <c r="C346" s="1000" t="s">
        <v>67</v>
      </c>
      <c r="D346" s="932" t="str">
        <f>VLOOKUP($C346,Table1[#All],2,0)</f>
        <v>SAO HOA</v>
      </c>
      <c r="E346" s="932" t="s">
        <v>92</v>
      </c>
      <c r="F346" s="998" t="s">
        <v>80</v>
      </c>
      <c r="G346" s="932" t="s">
        <v>310</v>
      </c>
      <c r="H346" s="932" t="str">
        <f>VLOOKUP($C346,Table1[#All],3,0)</f>
        <v>VC3</v>
      </c>
      <c r="I346" s="932" t="str" cm="1">
        <f t="array" ref="I346">_xlfn.XLOOKUP(Acc_Char!$E346,Table4[[#All],[Branch]],Table4[[#All],[Bank]],"recheck",0)</f>
        <v>BIDV - THANH XUAN</v>
      </c>
    </row>
    <row r="347" spans="1:9">
      <c r="A347" s="998">
        <f t="shared" si="5"/>
        <v>346</v>
      </c>
      <c r="B347" s="1097" t="s">
        <v>3152</v>
      </c>
      <c r="C347" s="1003" t="s">
        <v>67</v>
      </c>
      <c r="D347" s="999" t="str">
        <f>VLOOKUP($C347,Table1[#All],2,0)</f>
        <v>SAO HOA</v>
      </c>
      <c r="E347" s="999" t="s">
        <v>92</v>
      </c>
      <c r="F347" s="1093" t="s">
        <v>80</v>
      </c>
      <c r="G347" s="999" t="s">
        <v>310</v>
      </c>
      <c r="H347" s="999" t="str">
        <f>VLOOKUP($C347,Table1[#All],3,0)</f>
        <v>VC3</v>
      </c>
      <c r="I347" s="999" t="str" cm="1">
        <f t="array" ref="I347">_xlfn.XLOOKUP(Acc_Char!$E347,Table4[[#All],[Branch]],Table4[[#All],[Bank]],"recheck",0)</f>
        <v>BIDV - THANH XUAN</v>
      </c>
    </row>
    <row r="348" spans="1:9">
      <c r="A348" s="998">
        <f t="shared" si="5"/>
        <v>347</v>
      </c>
      <c r="B348" s="1098" t="s">
        <v>3153</v>
      </c>
      <c r="C348" s="1000" t="s">
        <v>67</v>
      </c>
      <c r="D348" s="932" t="str">
        <f>VLOOKUP($C348,Table1[#All],2,0)</f>
        <v>SAO HOA</v>
      </c>
      <c r="E348" s="932" t="s">
        <v>92</v>
      </c>
      <c r="F348" s="998" t="s">
        <v>80</v>
      </c>
      <c r="G348" s="932" t="s">
        <v>310</v>
      </c>
      <c r="H348" s="932" t="str">
        <f>VLOOKUP($C348,Table1[#All],3,0)</f>
        <v>VC3</v>
      </c>
      <c r="I348" s="932" t="str" cm="1">
        <f t="array" ref="I348">_xlfn.XLOOKUP(Acc_Char!$E348,Table4[[#All],[Branch]],Table4[[#All],[Bank]],"recheck",0)</f>
        <v>BIDV - THANH XUAN</v>
      </c>
    </row>
    <row r="349" spans="1:9">
      <c r="A349" s="998">
        <f t="shared" si="5"/>
        <v>348</v>
      </c>
      <c r="B349" s="1097" t="s">
        <v>3154</v>
      </c>
      <c r="C349" s="1003" t="s">
        <v>67</v>
      </c>
      <c r="D349" s="999" t="str">
        <f>VLOOKUP($C349,Table1[#All],2,0)</f>
        <v>SAO HOA</v>
      </c>
      <c r="E349" s="999" t="s">
        <v>92</v>
      </c>
      <c r="F349" s="1093" t="s">
        <v>80</v>
      </c>
      <c r="G349" s="999" t="s">
        <v>310</v>
      </c>
      <c r="H349" s="999" t="str">
        <f>VLOOKUP($C349,Table1[#All],3,0)</f>
        <v>VC3</v>
      </c>
      <c r="I349" s="999" t="str" cm="1">
        <f t="array" ref="I349">_xlfn.XLOOKUP(Acc_Char!$E349,Table4[[#All],[Branch]],Table4[[#All],[Bank]],"recheck",0)</f>
        <v>BIDV - THANH XUAN</v>
      </c>
    </row>
    <row r="350" spans="1:9">
      <c r="A350" s="998">
        <f t="shared" si="5"/>
        <v>349</v>
      </c>
      <c r="B350" s="1098" t="s">
        <v>3155</v>
      </c>
      <c r="C350" s="1000" t="s">
        <v>67</v>
      </c>
      <c r="D350" s="932" t="str">
        <f>VLOOKUP($C350,Table1[#All],2,0)</f>
        <v>SAO HOA</v>
      </c>
      <c r="E350" s="932" t="s">
        <v>94</v>
      </c>
      <c r="F350" s="998" t="s">
        <v>80</v>
      </c>
      <c r="G350" s="932" t="s">
        <v>310</v>
      </c>
      <c r="H350" s="932" t="str">
        <f>VLOOKUP($C350,Table1[#All],3,0)</f>
        <v>VC3</v>
      </c>
      <c r="I350" s="932" t="str" cm="1">
        <f t="array" ref="I350">_xlfn.XLOOKUP(Acc_Char!$E350,Table4[[#All],[Branch]],Table4[[#All],[Bank]],"recheck",0)</f>
        <v>BIDV - LONG BIEN</v>
      </c>
    </row>
    <row r="351" spans="1:9">
      <c r="A351" s="998">
        <f t="shared" si="5"/>
        <v>350</v>
      </c>
      <c r="B351" s="1097" t="s">
        <v>3156</v>
      </c>
      <c r="C351" s="1003" t="s">
        <v>67</v>
      </c>
      <c r="D351" s="999" t="str">
        <f>VLOOKUP($C351,Table1[#All],2,0)</f>
        <v>SAO HOA</v>
      </c>
      <c r="E351" s="999" t="s">
        <v>93</v>
      </c>
      <c r="F351" s="1093" t="s">
        <v>80</v>
      </c>
      <c r="G351" s="999" t="s">
        <v>310</v>
      </c>
      <c r="H351" s="999" t="str">
        <f>VLOOKUP($C351,Table1[#All],3,0)</f>
        <v>VC3</v>
      </c>
      <c r="I351" s="999" t="str" cm="1">
        <f t="array" ref="I351">_xlfn.XLOOKUP(Acc_Char!$E351,Table4[[#All],[Branch]],Table4[[#All],[Bank]],"recheck",0)</f>
        <v>BIDV - NAM SAI GON</v>
      </c>
    </row>
    <row r="352" spans="1:9">
      <c r="A352" s="998">
        <f t="shared" si="5"/>
        <v>351</v>
      </c>
      <c r="B352" s="1098" t="s">
        <v>3157</v>
      </c>
      <c r="C352" s="1000" t="s">
        <v>67</v>
      </c>
      <c r="D352" s="932" t="str">
        <f>VLOOKUP($C352,Table1[#All],2,0)</f>
        <v>SAO HOA</v>
      </c>
      <c r="E352" s="932" t="s">
        <v>93</v>
      </c>
      <c r="F352" s="998" t="s">
        <v>80</v>
      </c>
      <c r="G352" s="932" t="s">
        <v>310</v>
      </c>
      <c r="H352" s="932" t="str">
        <f>VLOOKUP($C352,Table1[#All],3,0)</f>
        <v>VC3</v>
      </c>
      <c r="I352" s="932" t="str" cm="1">
        <f t="array" ref="I352">_xlfn.XLOOKUP(Acc_Char!$E352,Table4[[#All],[Branch]],Table4[[#All],[Bank]],"recheck",0)</f>
        <v>BIDV - NAM SAI GON</v>
      </c>
    </row>
    <row r="353" spans="1:9">
      <c r="A353" s="998">
        <f t="shared" si="5"/>
        <v>352</v>
      </c>
      <c r="B353" s="1097" t="s">
        <v>3158</v>
      </c>
      <c r="C353" s="1003" t="s">
        <v>67</v>
      </c>
      <c r="D353" s="999" t="str">
        <f>VLOOKUP($C353,Table1[#All],2,0)</f>
        <v>SAO HOA</v>
      </c>
      <c r="E353" s="999" t="s">
        <v>93</v>
      </c>
      <c r="F353" s="1093" t="s">
        <v>80</v>
      </c>
      <c r="G353" s="999" t="s">
        <v>310</v>
      </c>
      <c r="H353" s="999" t="str">
        <f>VLOOKUP($C353,Table1[#All],3,0)</f>
        <v>VC3</v>
      </c>
      <c r="I353" s="999" t="str" cm="1">
        <f t="array" ref="I353">_xlfn.XLOOKUP(Acc_Char!$E353,Table4[[#All],[Branch]],Table4[[#All],[Bank]],"recheck",0)</f>
        <v>BIDV - NAM SAI GON</v>
      </c>
    </row>
    <row r="354" spans="1:9">
      <c r="A354" s="998">
        <f t="shared" si="5"/>
        <v>353</v>
      </c>
      <c r="B354" s="1098" t="s">
        <v>604</v>
      </c>
      <c r="C354" s="1000" t="s">
        <v>67</v>
      </c>
      <c r="D354" s="932" t="str">
        <f>VLOOKUP($C354,Table1[#All],2,0)</f>
        <v>SAO HOA</v>
      </c>
      <c r="E354" s="932" t="s">
        <v>339</v>
      </c>
      <c r="F354" s="998" t="s">
        <v>80</v>
      </c>
      <c r="G354" s="932" t="s">
        <v>308</v>
      </c>
      <c r="H354" s="932" t="str">
        <f>VLOOKUP($C354,Table1[#All],3,0)</f>
        <v>VC3</v>
      </c>
      <c r="I354" s="932" t="str" cm="1">
        <f t="array" ref="I354">_xlfn.XLOOKUP(Acc_Char!$E354,Table4[[#All],[Branch]],Table4[[#All],[Bank]],"recheck",0)</f>
        <v>ACB - HCM</v>
      </c>
    </row>
    <row r="355" spans="1:9">
      <c r="A355" s="998">
        <f t="shared" si="5"/>
        <v>354</v>
      </c>
      <c r="B355" s="1097" t="s">
        <v>515</v>
      </c>
      <c r="C355" s="1003" t="s">
        <v>2969</v>
      </c>
      <c r="D355" s="999" t="str">
        <f>VLOOKUP($C355,Table1[#All],2,0)</f>
        <v>BWID NHON TRACH</v>
      </c>
      <c r="E355" s="999" t="s">
        <v>91</v>
      </c>
      <c r="F355" s="1093" t="s">
        <v>81</v>
      </c>
      <c r="G355" s="999" t="s">
        <v>308</v>
      </c>
      <c r="H355" s="999" t="str">
        <f>VLOOKUP($C355,Table1[#All],3,0)</f>
        <v>Subsidiaries</v>
      </c>
      <c r="I355" s="999" t="str" cm="1">
        <f t="array" ref="I355">_xlfn.XLOOKUP(Acc_Char!$E121,Table4[[#All],[Branch]],Table4[[#All],[Bank]],"recheck",0)</f>
        <v>VIETINBANK - TIEN SON</v>
      </c>
    </row>
    <row r="356" spans="1:9">
      <c r="A356" s="998">
        <f t="shared" si="5"/>
        <v>355</v>
      </c>
      <c r="B356" s="1097" t="s">
        <v>536</v>
      </c>
      <c r="C356" s="1003" t="s">
        <v>3026</v>
      </c>
      <c r="D356" s="999" t="str">
        <f>VLOOKUP($C356,Table1[#All],2,0)</f>
        <v>BW SAI GON</v>
      </c>
      <c r="E356" s="999" t="s">
        <v>91</v>
      </c>
      <c r="F356" s="1093" t="s">
        <v>81</v>
      </c>
      <c r="G356" s="999" t="s">
        <v>308</v>
      </c>
      <c r="H356" s="999" t="str">
        <f>VLOOKUP($C356,Table1[#All],3,0)</f>
        <v>Subsidiaries</v>
      </c>
      <c r="I356" s="999" t="str" cm="1">
        <f t="array" ref="I356">_xlfn.XLOOKUP(Acc_Char!$E195,Table4[[#All],[Branch]],Table4[[#All],[Bank]],"recheck",0)</f>
        <v>VIETINBANK - TIEN SON</v>
      </c>
    </row>
    <row r="357" spans="1:9">
      <c r="A357" s="998">
        <f t="shared" si="5"/>
        <v>356</v>
      </c>
      <c r="B357" s="1097" t="s">
        <v>607</v>
      </c>
      <c r="C357" s="1003" t="s">
        <v>3145</v>
      </c>
      <c r="D357" s="999" t="str">
        <f>VLOOKUP($C357,Table1[#All],2,0)</f>
        <v>BAU BANG 3</v>
      </c>
      <c r="E357" s="999" t="s">
        <v>153</v>
      </c>
      <c r="F357" s="1093" t="s">
        <v>80</v>
      </c>
      <c r="G357" s="999" t="s">
        <v>308</v>
      </c>
      <c r="H357" s="999" t="str">
        <f>VLOOKUP($C357,Table1[#All],3,0)</f>
        <v>Subsidiaries</v>
      </c>
      <c r="I357" s="999" t="str" cm="1">
        <f t="array" ref="I357">_xlfn.XLOOKUP(Acc_Char!$E357,Table4[[#All],[Branch]],Table4[[#All],[Bank]],"recheck",0)</f>
        <v>VIETINBANK - BINH DUONG + QM</v>
      </c>
    </row>
    <row r="358" spans="1:9">
      <c r="A358" s="998">
        <f t="shared" si="5"/>
        <v>357</v>
      </c>
      <c r="B358" s="1097" t="s">
        <v>538</v>
      </c>
      <c r="C358" s="1003" t="s">
        <v>3042</v>
      </c>
      <c r="D358" s="999" t="str">
        <f>VLOOKUP($C358,Table1[#All],2,0)</f>
        <v>BW NEW CITY</v>
      </c>
      <c r="E358" s="999" t="s">
        <v>91</v>
      </c>
      <c r="F358" s="1093" t="s">
        <v>81</v>
      </c>
      <c r="G358" s="999" t="s">
        <v>308</v>
      </c>
      <c r="H358" s="999" t="str">
        <f>VLOOKUP($C358,Table1[#All],3,0)</f>
        <v>Subsidiaries</v>
      </c>
      <c r="I358" s="999" t="str" cm="1">
        <f t="array" ref="I358">_xlfn.XLOOKUP(Acc_Char!$E197,Table4[[#All],[Branch]],Table4[[#All],[Bank]],"recheck",0)</f>
        <v>VIETINBANK - BINH DUONG + QM</v>
      </c>
    </row>
    <row r="359" spans="1:9">
      <c r="A359" s="998">
        <f t="shared" si="5"/>
        <v>358</v>
      </c>
      <c r="B359" s="1097" t="s">
        <v>3159</v>
      </c>
      <c r="C359" s="1003" t="s">
        <v>3160</v>
      </c>
      <c r="D359" s="999" t="str">
        <f>VLOOKUP($C359,Table1[#All],2,0)</f>
        <v>BWID Tan Phu Trung</v>
      </c>
      <c r="E359" s="999" t="s">
        <v>96</v>
      </c>
      <c r="F359" s="1093" t="s">
        <v>80</v>
      </c>
      <c r="G359" s="999" t="s">
        <v>308</v>
      </c>
      <c r="H359" s="999" t="str">
        <f>VLOOKUP($C359,Table1[#All],3,0)</f>
        <v>Subsidiaries</v>
      </c>
      <c r="I359" s="999" t="str" cm="1">
        <f t="array" ref="I359">_xlfn.XLOOKUP(Acc_Char!$E359,Table4[[#All],[Branch]],Table4[[#All],[Bank]],"recheck",0)</f>
        <v>VIB - HOI SO</v>
      </c>
    </row>
    <row r="360" spans="1:9">
      <c r="A360" s="998">
        <f t="shared" si="5"/>
        <v>359</v>
      </c>
      <c r="B360" s="1098" t="s">
        <v>3161</v>
      </c>
      <c r="C360" s="1000" t="s">
        <v>3160</v>
      </c>
      <c r="D360" s="932" t="str">
        <f>VLOOKUP($C360,Table1[#All],2,0)</f>
        <v>BWID Tan Phu Trung</v>
      </c>
      <c r="E360" s="932" t="s">
        <v>85</v>
      </c>
      <c r="F360" s="998" t="s">
        <v>80</v>
      </c>
      <c r="G360" s="932" t="s">
        <v>310</v>
      </c>
      <c r="H360" s="932" t="str">
        <f>VLOOKUP($C360,Table1[#All],3,0)</f>
        <v>Subsidiaries</v>
      </c>
      <c r="I360" s="932" t="str" cm="1">
        <f t="array" ref="I360">_xlfn.XLOOKUP(Acc_Char!$E360,Table4[[#All],[Branch]],Table4[[#All],[Bank]],"recheck",0)</f>
        <v>VIETINBANK - TIEN SON</v>
      </c>
    </row>
    <row r="361" spans="1:9">
      <c r="A361" s="998">
        <f t="shared" si="5"/>
        <v>360</v>
      </c>
      <c r="B361" s="1097" t="s">
        <v>3162</v>
      </c>
      <c r="C361" s="1003" t="s">
        <v>3160</v>
      </c>
      <c r="D361" s="999" t="str">
        <f>VLOOKUP($C361,Table1[#All],2,0)</f>
        <v>BWID Tan Phu Trung</v>
      </c>
      <c r="E361" s="999" t="s">
        <v>85</v>
      </c>
      <c r="F361" s="1093" t="s">
        <v>80</v>
      </c>
      <c r="G361" s="999" t="s">
        <v>310</v>
      </c>
      <c r="H361" s="999" t="str">
        <f>VLOOKUP($C361,Table1[#All],3,0)</f>
        <v>Subsidiaries</v>
      </c>
      <c r="I361" s="999" t="str" cm="1">
        <f t="array" ref="I361">_xlfn.XLOOKUP(Acc_Char!$E361,Table4[[#All],[Branch]],Table4[[#All],[Bank]],"recheck",0)</f>
        <v>VIETINBANK - TIEN SON</v>
      </c>
    </row>
    <row r="362" spans="1:9">
      <c r="A362" s="998">
        <f t="shared" si="5"/>
        <v>361</v>
      </c>
      <c r="B362" s="1098" t="s">
        <v>3163</v>
      </c>
      <c r="C362" s="1000" t="s">
        <v>3160</v>
      </c>
      <c r="D362" s="932" t="str">
        <f>VLOOKUP($C362,Table1[#All],2,0)</f>
        <v>BWID Tan Phu Trung</v>
      </c>
      <c r="E362" s="932" t="s">
        <v>85</v>
      </c>
      <c r="F362" s="998" t="s">
        <v>80</v>
      </c>
      <c r="G362" s="932" t="s">
        <v>310</v>
      </c>
      <c r="H362" s="932" t="str">
        <f>VLOOKUP($C362,Table1[#All],3,0)</f>
        <v>Subsidiaries</v>
      </c>
      <c r="I362" s="932" t="str" cm="1">
        <f t="array" ref="I362">_xlfn.XLOOKUP(Acc_Char!$E362,Table4[[#All],[Branch]],Table4[[#All],[Bank]],"recheck",0)</f>
        <v>VIETINBANK - TIEN SON</v>
      </c>
    </row>
    <row r="363" spans="1:9">
      <c r="A363" s="998">
        <f t="shared" si="5"/>
        <v>362</v>
      </c>
      <c r="B363" s="1097" t="s">
        <v>3164</v>
      </c>
      <c r="C363" s="1003" t="s">
        <v>3160</v>
      </c>
      <c r="D363" s="999" t="str">
        <f>VLOOKUP($C363,Table1[#All],2,0)</f>
        <v>BWID Tan Phu Trung</v>
      </c>
      <c r="E363" s="999" t="s">
        <v>85</v>
      </c>
      <c r="F363" s="1093" t="s">
        <v>80</v>
      </c>
      <c r="G363" s="999" t="s">
        <v>310</v>
      </c>
      <c r="H363" s="999" t="str">
        <f>VLOOKUP($C363,Table1[#All],3,0)</f>
        <v>Subsidiaries</v>
      </c>
      <c r="I363" s="999" t="str" cm="1">
        <f t="array" ref="I363">_xlfn.XLOOKUP(Acc_Char!$E363,Table4[[#All],[Branch]],Table4[[#All],[Bank]],"recheck",0)</f>
        <v>VIETINBANK - TIEN SON</v>
      </c>
    </row>
    <row r="364" spans="1:9">
      <c r="A364" s="998">
        <f t="shared" si="5"/>
        <v>363</v>
      </c>
      <c r="B364" s="1098" t="s">
        <v>3165</v>
      </c>
      <c r="C364" s="1000" t="s">
        <v>3160</v>
      </c>
      <c r="D364" s="932" t="str">
        <f>VLOOKUP($C364,Table1[#All],2,0)</f>
        <v>BWID Tan Phu Trung</v>
      </c>
      <c r="E364" s="932" t="s">
        <v>85</v>
      </c>
      <c r="F364" s="998" t="s">
        <v>80</v>
      </c>
      <c r="G364" s="932" t="s">
        <v>310</v>
      </c>
      <c r="H364" s="932" t="str">
        <f>VLOOKUP($C364,Table1[#All],3,0)</f>
        <v>Subsidiaries</v>
      </c>
      <c r="I364" s="932" t="str" cm="1">
        <f t="array" ref="I364">_xlfn.XLOOKUP(Acc_Char!$E364,Table4[[#All],[Branch]],Table4[[#All],[Bank]],"recheck",0)</f>
        <v>VIETINBANK - TIEN SON</v>
      </c>
    </row>
    <row r="365" spans="1:9">
      <c r="A365" s="998">
        <f t="shared" si="5"/>
        <v>364</v>
      </c>
      <c r="B365" s="1097" t="s">
        <v>3166</v>
      </c>
      <c r="C365" s="1003" t="s">
        <v>3160</v>
      </c>
      <c r="D365" s="999" t="str">
        <f>VLOOKUP($C365,Table1[#All],2,0)</f>
        <v>BWID Tan Phu Trung</v>
      </c>
      <c r="E365" s="999" t="s">
        <v>85</v>
      </c>
      <c r="F365" s="1093" t="s">
        <v>80</v>
      </c>
      <c r="G365" s="999" t="s">
        <v>310</v>
      </c>
      <c r="H365" s="999" t="str">
        <f>VLOOKUP($C365,Table1[#All],3,0)</f>
        <v>Subsidiaries</v>
      </c>
      <c r="I365" s="999" t="str" cm="1">
        <f t="array" ref="I365">_xlfn.XLOOKUP(Acc_Char!$E365,Table4[[#All],[Branch]],Table4[[#All],[Bank]],"recheck",0)</f>
        <v>VIETINBANK - TIEN SON</v>
      </c>
    </row>
    <row r="366" spans="1:9">
      <c r="A366" s="998">
        <f t="shared" si="5"/>
        <v>365</v>
      </c>
      <c r="B366" s="1098" t="s">
        <v>610</v>
      </c>
      <c r="C366" s="1000" t="s">
        <v>3160</v>
      </c>
      <c r="D366" s="932" t="str">
        <f>VLOOKUP($C366,Table1[#All],2,0)</f>
        <v>BWID Tan Phu Trung</v>
      </c>
      <c r="E366" s="932" t="s">
        <v>85</v>
      </c>
      <c r="F366" s="998" t="s">
        <v>80</v>
      </c>
      <c r="G366" s="932" t="s">
        <v>308</v>
      </c>
      <c r="H366" s="932" t="str">
        <f>VLOOKUP($C366,Table1[#All],3,0)</f>
        <v>Subsidiaries</v>
      </c>
      <c r="I366" s="932" t="str" cm="1">
        <f t="array" ref="I366">_xlfn.XLOOKUP(Acc_Char!$E366,Table4[[#All],[Branch]],Table4[[#All],[Bank]],"recheck",0)</f>
        <v>VIETINBANK - TIEN SON</v>
      </c>
    </row>
    <row r="367" spans="1:9">
      <c r="A367" s="998">
        <f t="shared" si="5"/>
        <v>366</v>
      </c>
      <c r="B367" s="1097" t="s">
        <v>612</v>
      </c>
      <c r="C367" s="1003" t="s">
        <v>3149</v>
      </c>
      <c r="D367" s="999" t="str">
        <f>VLOOKUP($C367,Table1[#All],2,0)</f>
        <v>BAU BANG 4</v>
      </c>
      <c r="E367" s="999" t="s">
        <v>153</v>
      </c>
      <c r="F367" s="1093" t="s">
        <v>80</v>
      </c>
      <c r="G367" s="999" t="s">
        <v>308</v>
      </c>
      <c r="H367" s="999" t="str">
        <f>VLOOKUP($C367,Table1[#All],3,0)</f>
        <v>Subsidiaries</v>
      </c>
      <c r="I367" s="999" t="str" cm="1">
        <f t="array" ref="I367">_xlfn.XLOOKUP(Acc_Char!$E367,Table4[[#All],[Branch]],Table4[[#All],[Bank]],"recheck",0)</f>
        <v>VIETINBANK - BINH DUONG + QM</v>
      </c>
    </row>
    <row r="368" spans="1:9">
      <c r="A368" s="998">
        <f t="shared" si="5"/>
        <v>367</v>
      </c>
      <c r="B368" s="1097" t="s">
        <v>575</v>
      </c>
      <c r="C368" s="1003" t="s">
        <v>403</v>
      </c>
      <c r="D368" s="999" t="str">
        <f>VLOOKUP($C368,Table1[#All],2,0)</f>
        <v>BW SUPLLY CHAIN CITY</v>
      </c>
      <c r="E368" s="999" t="s">
        <v>91</v>
      </c>
      <c r="F368" s="1093" t="s">
        <v>81</v>
      </c>
      <c r="G368" s="999" t="s">
        <v>308</v>
      </c>
      <c r="H368" s="999" t="str">
        <f>VLOOKUP($C368,Table1[#All],3,0)</f>
        <v>Subsidiaries</v>
      </c>
      <c r="I368" s="999" t="str" cm="1">
        <f t="array" ref="I368">_xlfn.XLOOKUP(Acc_Char!$E266,Table4[[#All],[Branch]],Table4[[#All],[Bank]],"recheck",0)</f>
        <v>VIETINBANK - DONG SAI GON</v>
      </c>
    </row>
    <row r="369" spans="1:9">
      <c r="A369" s="998">
        <f t="shared" si="5"/>
        <v>368</v>
      </c>
      <c r="B369" s="1097" t="s">
        <v>615</v>
      </c>
      <c r="C369" s="1003" t="s">
        <v>3093</v>
      </c>
      <c r="D369" s="999" t="str">
        <f>VLOOKUP($C369,Table1[#All],2,0)</f>
        <v>SONGTHAN LID</v>
      </c>
      <c r="E369" s="999" t="s">
        <v>88</v>
      </c>
      <c r="F369" s="1093" t="s">
        <v>80</v>
      </c>
      <c r="G369" s="999" t="s">
        <v>308</v>
      </c>
      <c r="H369" s="999" t="str">
        <f>VLOOKUP($C369,Table1[#All],3,0)</f>
        <v>Subsidiaries</v>
      </c>
      <c r="I369" s="999" t="str" cm="1">
        <f t="array" ref="I369">_xlfn.XLOOKUP(Acc_Char!$E369,Table4[[#All],[Branch]],Table4[[#All],[Bank]],"recheck",0)</f>
        <v>VIETINBANK - DONG SAI GON</v>
      </c>
    </row>
    <row r="370" spans="1:9">
      <c r="A370" s="998">
        <f t="shared" si="5"/>
        <v>369</v>
      </c>
      <c r="B370" s="1098" t="s">
        <v>3167</v>
      </c>
      <c r="C370" s="1000" t="s">
        <v>3093</v>
      </c>
      <c r="D370" s="932" t="str">
        <f>VLOOKUP($C370,Table1[#All],2,0)</f>
        <v>SONGTHAN LID</v>
      </c>
      <c r="E370" s="932" t="s">
        <v>88</v>
      </c>
      <c r="F370" s="998" t="s">
        <v>80</v>
      </c>
      <c r="G370" s="932" t="s">
        <v>310</v>
      </c>
      <c r="H370" s="932" t="str">
        <f>VLOOKUP($C370,Table1[#All],3,0)</f>
        <v>Subsidiaries</v>
      </c>
      <c r="I370" s="932" t="str" cm="1">
        <f t="array" ref="I370">_xlfn.XLOOKUP(Acc_Char!$E370,Table4[[#All],[Branch]],Table4[[#All],[Bank]],"recheck",0)</f>
        <v>VIETINBANK - DONG SAI GON</v>
      </c>
    </row>
    <row r="371" spans="1:9">
      <c r="A371" s="998">
        <f t="shared" si="5"/>
        <v>370</v>
      </c>
      <c r="B371" s="1097" t="s">
        <v>3168</v>
      </c>
      <c r="C371" s="1003" t="s">
        <v>3093</v>
      </c>
      <c r="D371" s="999" t="str">
        <f>VLOOKUP($C371,Table1[#All],2,0)</f>
        <v>SONGTHAN LID</v>
      </c>
      <c r="E371" s="999" t="s">
        <v>88</v>
      </c>
      <c r="F371" s="1093" t="s">
        <v>80</v>
      </c>
      <c r="G371" s="999" t="s">
        <v>310</v>
      </c>
      <c r="H371" s="999" t="str">
        <f>VLOOKUP($C371,Table1[#All],3,0)</f>
        <v>Subsidiaries</v>
      </c>
      <c r="I371" s="999" t="str" cm="1">
        <f t="array" ref="I371">_xlfn.XLOOKUP(Acc_Char!$E371,Table4[[#All],[Branch]],Table4[[#All],[Bank]],"recheck",0)</f>
        <v>VIETINBANK - DONG SAI GON</v>
      </c>
    </row>
    <row r="372" spans="1:9">
      <c r="A372" s="998">
        <f t="shared" si="5"/>
        <v>371</v>
      </c>
      <c r="B372" s="1098" t="s">
        <v>3169</v>
      </c>
      <c r="C372" s="1000" t="s">
        <v>3093</v>
      </c>
      <c r="D372" s="932" t="str">
        <f>VLOOKUP($C372,Table1[#All],2,0)</f>
        <v>SONGTHAN LID</v>
      </c>
      <c r="E372" s="932" t="s">
        <v>88</v>
      </c>
      <c r="F372" s="998" t="s">
        <v>80</v>
      </c>
      <c r="G372" s="932" t="s">
        <v>310</v>
      </c>
      <c r="H372" s="932" t="str">
        <f>VLOOKUP($C372,Table1[#All],3,0)</f>
        <v>Subsidiaries</v>
      </c>
      <c r="I372" s="932" t="str" cm="1">
        <f t="array" ref="I372">_xlfn.XLOOKUP(Acc_Char!$E372,Table4[[#All],[Branch]],Table4[[#All],[Bank]],"recheck",0)</f>
        <v>VIETINBANK - DONG SAI GON</v>
      </c>
    </row>
    <row r="373" spans="1:9">
      <c r="A373" s="998">
        <f t="shared" si="5"/>
        <v>372</v>
      </c>
      <c r="B373" s="1097" t="s">
        <v>3170</v>
      </c>
      <c r="C373" s="1003" t="s">
        <v>3093</v>
      </c>
      <c r="D373" s="999" t="str">
        <f>VLOOKUP($C373,Table1[#All],2,0)</f>
        <v>SONGTHAN LID</v>
      </c>
      <c r="E373" s="999" t="s">
        <v>88</v>
      </c>
      <c r="F373" s="1093" t="s">
        <v>80</v>
      </c>
      <c r="G373" s="999" t="s">
        <v>310</v>
      </c>
      <c r="H373" s="999" t="str">
        <f>VLOOKUP($C373,Table1[#All],3,0)</f>
        <v>Subsidiaries</v>
      </c>
      <c r="I373" s="999" t="str" cm="1">
        <f t="array" ref="I373">_xlfn.XLOOKUP(Acc_Char!$E373,Table4[[#All],[Branch]],Table4[[#All],[Bank]],"recheck",0)</f>
        <v>VIETINBANK - DONG SAI GON</v>
      </c>
    </row>
    <row r="374" spans="1:9">
      <c r="A374" s="998">
        <f t="shared" si="5"/>
        <v>373</v>
      </c>
      <c r="B374" s="1098" t="s">
        <v>3171</v>
      </c>
      <c r="C374" s="1000" t="s">
        <v>3093</v>
      </c>
      <c r="D374" s="932" t="str">
        <f>VLOOKUP($C374,Table1[#All],2,0)</f>
        <v>SONGTHAN LID</v>
      </c>
      <c r="E374" s="932" t="s">
        <v>88</v>
      </c>
      <c r="F374" s="998" t="s">
        <v>80</v>
      </c>
      <c r="G374" s="932" t="s">
        <v>310</v>
      </c>
      <c r="H374" s="932" t="str">
        <f>VLOOKUP($C374,Table1[#All],3,0)</f>
        <v>Subsidiaries</v>
      </c>
      <c r="I374" s="932" t="str" cm="1">
        <f t="array" ref="I374">_xlfn.XLOOKUP(Acc_Char!$E374,Table4[[#All],[Branch]],Table4[[#All],[Bank]],"recheck",0)</f>
        <v>VIETINBANK - DONG SAI GON</v>
      </c>
    </row>
    <row r="375" spans="1:9">
      <c r="A375" s="998">
        <f t="shared" si="5"/>
        <v>374</v>
      </c>
      <c r="B375" s="1097" t="s">
        <v>3172</v>
      </c>
      <c r="C375" s="1003" t="s">
        <v>3093</v>
      </c>
      <c r="D375" s="999" t="str">
        <f>VLOOKUP($C375,Table1[#All],2,0)</f>
        <v>SONGTHAN LID</v>
      </c>
      <c r="E375" s="999" t="s">
        <v>88</v>
      </c>
      <c r="F375" s="1093" t="s">
        <v>80</v>
      </c>
      <c r="G375" s="999" t="s">
        <v>310</v>
      </c>
      <c r="H375" s="999" t="str">
        <f>VLOOKUP($C375,Table1[#All],3,0)</f>
        <v>Subsidiaries</v>
      </c>
      <c r="I375" s="999" t="str" cm="1">
        <f t="array" ref="I375">_xlfn.XLOOKUP(Acc_Char!$E375,Table4[[#All],[Branch]],Table4[[#All],[Bank]],"recheck",0)</f>
        <v>VIETINBANK - DONG SAI GON</v>
      </c>
    </row>
    <row r="376" spans="1:9">
      <c r="A376" s="998">
        <f t="shared" si="5"/>
        <v>375</v>
      </c>
      <c r="B376" s="1098" t="s">
        <v>3173</v>
      </c>
      <c r="C376" s="1000" t="s">
        <v>3093</v>
      </c>
      <c r="D376" s="932" t="str">
        <f>VLOOKUP($C376,Table1[#All],2,0)</f>
        <v>SONGTHAN LID</v>
      </c>
      <c r="E376" s="932" t="s">
        <v>88</v>
      </c>
      <c r="F376" s="998" t="s">
        <v>80</v>
      </c>
      <c r="G376" s="932" t="s">
        <v>310</v>
      </c>
      <c r="H376" s="932" t="str">
        <f>VLOOKUP($C376,Table1[#All],3,0)</f>
        <v>Subsidiaries</v>
      </c>
      <c r="I376" s="932" t="str" cm="1">
        <f t="array" ref="I376">_xlfn.XLOOKUP(Acc_Char!$E376,Table4[[#All],[Branch]],Table4[[#All],[Bank]],"recheck",0)</f>
        <v>VIETINBANK - DONG SAI GON</v>
      </c>
    </row>
    <row r="377" spans="1:9">
      <c r="A377" s="998">
        <f t="shared" si="5"/>
        <v>376</v>
      </c>
      <c r="B377" s="1097" t="s">
        <v>3174</v>
      </c>
      <c r="C377" s="1003" t="s">
        <v>3093</v>
      </c>
      <c r="D377" s="999" t="str">
        <f>VLOOKUP($C377,Table1[#All],2,0)</f>
        <v>SONGTHAN LID</v>
      </c>
      <c r="E377" s="999" t="s">
        <v>88</v>
      </c>
      <c r="F377" s="1093" t="s">
        <v>80</v>
      </c>
      <c r="G377" s="999" t="s">
        <v>310</v>
      </c>
      <c r="H377" s="999" t="str">
        <f>VLOOKUP($C377,Table1[#All],3,0)</f>
        <v>Subsidiaries</v>
      </c>
      <c r="I377" s="999" t="str" cm="1">
        <f t="array" ref="I377">_xlfn.XLOOKUP(Acc_Char!$E377,Table4[[#All],[Branch]],Table4[[#All],[Bank]],"recheck",0)</f>
        <v>VIETINBANK - DONG SAI GON</v>
      </c>
    </row>
    <row r="378" spans="1:9">
      <c r="A378" s="998">
        <f t="shared" si="5"/>
        <v>377</v>
      </c>
      <c r="B378" s="1097" t="s">
        <v>592</v>
      </c>
      <c r="C378" s="1003" t="s">
        <v>67</v>
      </c>
      <c r="D378" s="999" t="str">
        <f>VLOOKUP($C378,Table1[#All],2,0)</f>
        <v>SAO HOA</v>
      </c>
      <c r="E378" s="999" t="s">
        <v>91</v>
      </c>
      <c r="F378" s="1093" t="s">
        <v>81</v>
      </c>
      <c r="G378" s="999" t="s">
        <v>308</v>
      </c>
      <c r="H378" s="999" t="str">
        <f>VLOOKUP($C378,Table1[#All],3,0)</f>
        <v>VC3</v>
      </c>
      <c r="I378" s="999" t="str" cm="1">
        <f t="array" ref="I378">_xlfn.XLOOKUP(Acc_Char!$E313,Table4[[#All],[Branch]],Table4[[#All],[Bank]],"recheck",0)</f>
        <v>VIETINBANK - CN1</v>
      </c>
    </row>
    <row r="379" spans="1:9">
      <c r="A379" s="998">
        <f t="shared" si="5"/>
        <v>378</v>
      </c>
      <c r="B379" s="1002" t="s">
        <v>618</v>
      </c>
      <c r="C379" s="1003" t="s">
        <v>3175</v>
      </c>
      <c r="D379" s="999" t="str">
        <f>VLOOKUP($C379,Table1[#All],2,0)</f>
        <v>BW HAI AN</v>
      </c>
      <c r="E379" s="999" t="s">
        <v>92</v>
      </c>
      <c r="F379" s="1093" t="s">
        <v>80</v>
      </c>
      <c r="G379" s="999" t="s">
        <v>308</v>
      </c>
      <c r="H379" s="999" t="str">
        <f>VLOOKUP($C379,Table1[#All],3,0)</f>
        <v>Subsidiaries</v>
      </c>
      <c r="I379" s="999" t="str" cm="1">
        <f t="array" ref="I379">_xlfn.XLOOKUP(Acc_Char!$E379,Table4[[#All],[Branch]],Table4[[#All],[Bank]],"recheck",0)</f>
        <v>BIDV - THANH XUAN</v>
      </c>
    </row>
    <row r="380" spans="1:9">
      <c r="A380" s="998">
        <f t="shared" si="5"/>
        <v>379</v>
      </c>
      <c r="B380" s="1098" t="s">
        <v>3176</v>
      </c>
      <c r="C380" s="1000" t="s">
        <v>3175</v>
      </c>
      <c r="D380" s="932" t="str">
        <f>VLOOKUP($C380,Table1[#All],2,0)</f>
        <v>BW HAI AN</v>
      </c>
      <c r="E380" s="932" t="s">
        <v>92</v>
      </c>
      <c r="F380" s="998" t="s">
        <v>80</v>
      </c>
      <c r="G380" s="932" t="s">
        <v>310</v>
      </c>
      <c r="H380" s="932" t="str">
        <f>VLOOKUP($C380,Table1[#All],3,0)</f>
        <v>Subsidiaries</v>
      </c>
      <c r="I380" s="932" t="str" cm="1">
        <f t="array" ref="I380">_xlfn.XLOOKUP(Acc_Char!$E380,Table4[[#All],[Branch]],Table4[[#All],[Bank]],"recheck",0)</f>
        <v>BIDV - THANH XUAN</v>
      </c>
    </row>
    <row r="381" spans="1:9">
      <c r="A381" s="998">
        <f t="shared" si="5"/>
        <v>380</v>
      </c>
      <c r="B381" s="1097" t="s">
        <v>3177</v>
      </c>
      <c r="C381" s="1003" t="s">
        <v>3175</v>
      </c>
      <c r="D381" s="999" t="str">
        <f>VLOOKUP($C381,Table1[#All],2,0)</f>
        <v>BW HAI AN</v>
      </c>
      <c r="E381" s="999" t="s">
        <v>92</v>
      </c>
      <c r="F381" s="1093" t="s">
        <v>80</v>
      </c>
      <c r="G381" s="999" t="s">
        <v>310</v>
      </c>
      <c r="H381" s="999" t="str">
        <f>VLOOKUP($C381,Table1[#All],3,0)</f>
        <v>Subsidiaries</v>
      </c>
      <c r="I381" s="999" t="str" cm="1">
        <f t="array" ref="I381">_xlfn.XLOOKUP(Acc_Char!$E381,Table4[[#All],[Branch]],Table4[[#All],[Bank]],"recheck",0)</f>
        <v>BIDV - THANH XUAN</v>
      </c>
    </row>
    <row r="382" spans="1:9">
      <c r="A382" s="998">
        <f t="shared" si="5"/>
        <v>381</v>
      </c>
      <c r="B382" s="1098" t="s">
        <v>3178</v>
      </c>
      <c r="C382" s="1000" t="s">
        <v>3175</v>
      </c>
      <c r="D382" s="932" t="str">
        <f>VLOOKUP($C382,Table1[#All],2,0)</f>
        <v>BW HAI AN</v>
      </c>
      <c r="E382" s="932" t="s">
        <v>92</v>
      </c>
      <c r="F382" s="998" t="s">
        <v>80</v>
      </c>
      <c r="G382" s="932" t="s">
        <v>310</v>
      </c>
      <c r="H382" s="932" t="str">
        <f>VLOOKUP($C382,Table1[#All],3,0)</f>
        <v>Subsidiaries</v>
      </c>
      <c r="I382" s="932" t="str" cm="1">
        <f t="array" ref="I382">_xlfn.XLOOKUP(Acc_Char!$E382,Table4[[#All],[Branch]],Table4[[#All],[Bank]],"recheck",0)</f>
        <v>BIDV - THANH XUAN</v>
      </c>
    </row>
    <row r="383" spans="1:9">
      <c r="A383" s="998">
        <f t="shared" si="5"/>
        <v>382</v>
      </c>
      <c r="B383" s="1097" t="s">
        <v>3179</v>
      </c>
      <c r="C383" s="1003" t="s">
        <v>3175</v>
      </c>
      <c r="D383" s="999" t="str">
        <f>VLOOKUP($C383,Table1[#All],2,0)</f>
        <v>BW HAI AN</v>
      </c>
      <c r="E383" s="999" t="s">
        <v>92</v>
      </c>
      <c r="F383" s="1093" t="s">
        <v>80</v>
      </c>
      <c r="G383" s="999" t="s">
        <v>310</v>
      </c>
      <c r="H383" s="999" t="str">
        <f>VLOOKUP($C383,Table1[#All],3,0)</f>
        <v>Subsidiaries</v>
      </c>
      <c r="I383" s="999" t="str" cm="1">
        <f t="array" ref="I383">_xlfn.XLOOKUP(Acc_Char!$E383,Table4[[#All],[Branch]],Table4[[#All],[Bank]],"recheck",0)</f>
        <v>BIDV - THANH XUAN</v>
      </c>
    </row>
    <row r="384" spans="1:9">
      <c r="A384" s="998">
        <f t="shared" si="5"/>
        <v>383</v>
      </c>
      <c r="B384" s="1098" t="s">
        <v>619</v>
      </c>
      <c r="C384" s="1000" t="s">
        <v>3175</v>
      </c>
      <c r="D384" s="932" t="str">
        <f>VLOOKUP($C384,Table1[#All],2,0)</f>
        <v>BW HAI AN</v>
      </c>
      <c r="E384" s="932" t="s">
        <v>92</v>
      </c>
      <c r="F384" s="998" t="s">
        <v>80</v>
      </c>
      <c r="G384" s="932" t="s">
        <v>310</v>
      </c>
      <c r="H384" s="932" t="str">
        <f>VLOOKUP($C384,Table1[#All],3,0)</f>
        <v>Subsidiaries</v>
      </c>
      <c r="I384" s="932" t="str" cm="1">
        <f t="array" ref="I384">_xlfn.XLOOKUP(Acc_Char!$E384,Table4[[#All],[Branch]],Table4[[#All],[Bank]],"recheck",0)</f>
        <v>BIDV - THANH XUAN</v>
      </c>
    </row>
    <row r="385" spans="1:9">
      <c r="A385" s="998">
        <f t="shared" si="5"/>
        <v>384</v>
      </c>
      <c r="B385" s="1097" t="s">
        <v>3180</v>
      </c>
      <c r="C385" s="1003" t="s">
        <v>3175</v>
      </c>
      <c r="D385" s="999" t="str">
        <f>VLOOKUP($C385,Table1[#All],2,0)</f>
        <v>BW HAI AN</v>
      </c>
      <c r="E385" s="999" t="s">
        <v>92</v>
      </c>
      <c r="F385" s="1093" t="s">
        <v>80</v>
      </c>
      <c r="G385" s="999" t="s">
        <v>310</v>
      </c>
      <c r="H385" s="999" t="str">
        <f>VLOOKUP($C385,Table1[#All],3,0)</f>
        <v>Subsidiaries</v>
      </c>
      <c r="I385" s="999" t="str" cm="1">
        <f t="array" ref="I385">_xlfn.XLOOKUP(Acc_Char!$E385,Table4[[#All],[Branch]],Table4[[#All],[Bank]],"recheck",0)</f>
        <v>BIDV - THANH XUAN</v>
      </c>
    </row>
    <row r="386" spans="1:9">
      <c r="A386" s="998">
        <f t="shared" si="5"/>
        <v>385</v>
      </c>
      <c r="B386" s="1098" t="s">
        <v>3181</v>
      </c>
      <c r="C386" s="1000" t="s">
        <v>3175</v>
      </c>
      <c r="D386" s="932" t="str">
        <f>VLOOKUP($C386,Table1[#All],2,0)</f>
        <v>BW HAI AN</v>
      </c>
      <c r="E386" s="932" t="s">
        <v>92</v>
      </c>
      <c r="F386" s="998" t="s">
        <v>80</v>
      </c>
      <c r="G386" s="932" t="s">
        <v>310</v>
      </c>
      <c r="H386" s="932" t="str">
        <f>VLOOKUP($C386,Table1[#All],3,0)</f>
        <v>Subsidiaries</v>
      </c>
      <c r="I386" s="932" t="str" cm="1">
        <f t="array" ref="I386">_xlfn.XLOOKUP(Acc_Char!$E386,Table4[[#All],[Branch]],Table4[[#All],[Bank]],"recheck",0)</f>
        <v>BIDV - THANH XUAN</v>
      </c>
    </row>
    <row r="387" spans="1:9">
      <c r="A387" s="998">
        <f t="shared" ref="A387:A450" si="6">A386+1</f>
        <v>386</v>
      </c>
      <c r="B387" s="1097" t="s">
        <v>621</v>
      </c>
      <c r="C387" s="1003" t="s">
        <v>620</v>
      </c>
      <c r="D387" s="999" t="str">
        <f>VLOOKUP($C387,Table1[#All],2,0)</f>
        <v>SPV4A</v>
      </c>
      <c r="E387" s="999" t="s">
        <v>85</v>
      </c>
      <c r="F387" s="1093" t="s">
        <v>80</v>
      </c>
      <c r="G387" s="999" t="s">
        <v>308</v>
      </c>
      <c r="H387" s="999" t="str">
        <f>VLOOKUP($C387,Table1[#All],3,0)</f>
        <v>Subsidiaries</v>
      </c>
      <c r="I387" s="999" t="str" cm="1">
        <f t="array" ref="I387">_xlfn.XLOOKUP(Acc_Char!$E387,Table4[[#All],[Branch]],Table4[[#All],[Bank]],"recheck",0)</f>
        <v>VIETINBANK - TIEN SON</v>
      </c>
    </row>
    <row r="388" spans="1:9">
      <c r="A388" s="998">
        <f t="shared" si="6"/>
        <v>387</v>
      </c>
      <c r="B388" s="1097" t="s">
        <v>661</v>
      </c>
      <c r="C388" s="1003" t="s">
        <v>3182</v>
      </c>
      <c r="D388" s="999" t="str">
        <f>VLOOKUP($C388,Table1[#All],2,0)</f>
        <v>PHUOC LOI</v>
      </c>
      <c r="E388" s="999" t="s">
        <v>91</v>
      </c>
      <c r="F388" s="1093" t="s">
        <v>81</v>
      </c>
      <c r="G388" s="999" t="s">
        <v>308</v>
      </c>
      <c r="H388" s="999" t="str">
        <f>VLOOKUP($C388,Table1[#All],3,0)</f>
        <v>Subsidiaries</v>
      </c>
      <c r="I388" s="999" t="str" cm="1">
        <f t="array" ref="I388">_xlfn.XLOOKUP(Acc_Char!$E427,Table4[[#All],[Branch]],Table4[[#All],[Bank]],"recheck",0)</f>
        <v>UOB</v>
      </c>
    </row>
    <row r="389" spans="1:9">
      <c r="A389" s="998">
        <f t="shared" si="6"/>
        <v>388</v>
      </c>
      <c r="B389" s="1097" t="s">
        <v>623</v>
      </c>
      <c r="C389" s="1003" t="s">
        <v>620</v>
      </c>
      <c r="D389" s="999" t="str">
        <f>VLOOKUP($C389,Table1[#All],2,0)</f>
        <v>SPV4A</v>
      </c>
      <c r="E389" s="999" t="s">
        <v>95</v>
      </c>
      <c r="F389" s="1093" t="s">
        <v>80</v>
      </c>
      <c r="G389" s="999" t="s">
        <v>308</v>
      </c>
      <c r="H389" s="999" t="str">
        <f>VLOOKUP($C389,Table1[#All],3,0)</f>
        <v>Subsidiaries</v>
      </c>
      <c r="I389" s="999" t="str" cm="1">
        <f t="array" ref="I389">_xlfn.XLOOKUP(Acc_Char!$E389,Table4[[#All],[Branch]],Table4[[#All],[Bank]],"recheck",0)</f>
        <v>OCB - BINH DUONG</v>
      </c>
    </row>
    <row r="390" spans="1:9">
      <c r="A390" s="998">
        <f t="shared" si="6"/>
        <v>389</v>
      </c>
      <c r="B390" s="1098" t="s">
        <v>625</v>
      </c>
      <c r="C390" s="1000" t="s">
        <v>624</v>
      </c>
      <c r="D390" s="932" t="str">
        <f>VLOOKUP($C390,Table1[#All],2,0)</f>
        <v>SPV4B</v>
      </c>
      <c r="E390" s="932" t="s">
        <v>85</v>
      </c>
      <c r="F390" s="998" t="s">
        <v>80</v>
      </c>
      <c r="G390" s="932" t="s">
        <v>308</v>
      </c>
      <c r="H390" s="932" t="str">
        <f>VLOOKUP($C390,Table1[#All],3,0)</f>
        <v>Subsidiaries</v>
      </c>
      <c r="I390" s="932" t="str" cm="1">
        <f t="array" ref="I390">_xlfn.XLOOKUP(Acc_Char!$E390,Table4[[#All],[Branch]],Table4[[#All],[Bank]],"recheck",0)</f>
        <v>VIETINBANK - TIEN SON</v>
      </c>
    </row>
    <row r="391" spans="1:9">
      <c r="A391" s="998">
        <f t="shared" si="6"/>
        <v>390</v>
      </c>
      <c r="B391" s="1097" t="s">
        <v>627</v>
      </c>
      <c r="C391" s="1003" t="s">
        <v>626</v>
      </c>
      <c r="D391" s="999" t="str">
        <f>VLOOKUP($C391,Table1[#All],2,0)</f>
        <v>SPV4C</v>
      </c>
      <c r="E391" s="999" t="s">
        <v>85</v>
      </c>
      <c r="F391" s="1093" t="s">
        <v>80</v>
      </c>
      <c r="G391" s="999" t="s">
        <v>308</v>
      </c>
      <c r="H391" s="999" t="str">
        <f>VLOOKUP($C391,Table1[#All],3,0)</f>
        <v>Subsidiaries</v>
      </c>
      <c r="I391" s="999" t="str" cm="1">
        <f t="array" ref="I391">_xlfn.XLOOKUP(Acc_Char!$E391,Table4[[#All],[Branch]],Table4[[#All],[Bank]],"recheck",0)</f>
        <v>VIETINBANK - TIEN SON</v>
      </c>
    </row>
    <row r="392" spans="1:9">
      <c r="A392" s="998">
        <f t="shared" si="6"/>
        <v>391</v>
      </c>
      <c r="B392" s="1002" t="s">
        <v>810</v>
      </c>
      <c r="C392" s="1000" t="s">
        <v>3047</v>
      </c>
      <c r="D392" s="932" t="str">
        <f>VLOOKUP($C392,Table1[#All],2,0)</f>
        <v>BW SAIGON LOGISTICS</v>
      </c>
      <c r="E392" s="932" t="s">
        <v>91</v>
      </c>
      <c r="F392" s="998" t="s">
        <v>81</v>
      </c>
      <c r="G392" s="932" t="s">
        <v>308</v>
      </c>
      <c r="H392" s="932" t="str">
        <f>VLOOKUP($C392,Table1[#All],3,0)</f>
        <v>Subsidiaries</v>
      </c>
      <c r="I392" s="932" t="str" cm="1">
        <f t="array" ref="I392">_xlfn.XLOOKUP(Acc_Char!$E723,Table4[[#All],[Branch]],Table4[[#All],[Bank]],"recheck",0)</f>
        <v>SINOPAC</v>
      </c>
    </row>
    <row r="393" spans="1:9">
      <c r="A393" s="998">
        <f t="shared" si="6"/>
        <v>392</v>
      </c>
      <c r="B393" s="1097" t="s">
        <v>629</v>
      </c>
      <c r="C393" s="1003" t="s">
        <v>626</v>
      </c>
      <c r="D393" s="999" t="str">
        <f>VLOOKUP($C393,Table1[#All],2,0)</f>
        <v>SPV4C</v>
      </c>
      <c r="E393" s="999" t="s">
        <v>95</v>
      </c>
      <c r="F393" s="1093" t="s">
        <v>80</v>
      </c>
      <c r="G393" s="999" t="s">
        <v>308</v>
      </c>
      <c r="H393" s="999" t="str">
        <f>VLOOKUP($C393,Table1[#All],3,0)</f>
        <v>Subsidiaries</v>
      </c>
      <c r="I393" s="999" t="str" cm="1">
        <f t="array" ref="I393">_xlfn.XLOOKUP(Acc_Char!$E393,Table4[[#All],[Branch]],Table4[[#All],[Bank]],"recheck",0)</f>
        <v>OCB - BINH DUONG</v>
      </c>
    </row>
    <row r="394" spans="1:9">
      <c r="A394" s="998">
        <f t="shared" si="6"/>
        <v>393</v>
      </c>
      <c r="B394" s="1098" t="s">
        <v>631</v>
      </c>
      <c r="C394" s="1000" t="s">
        <v>630</v>
      </c>
      <c r="D394" s="932" t="str">
        <f>VLOOKUP($C394,Table1[#All],2,0)</f>
        <v>SPV4D</v>
      </c>
      <c r="E394" s="932" t="s">
        <v>85</v>
      </c>
      <c r="F394" s="998" t="s">
        <v>80</v>
      </c>
      <c r="G394" s="932" t="s">
        <v>308</v>
      </c>
      <c r="H394" s="932" t="str">
        <f>VLOOKUP($C394,Table1[#All],3,0)</f>
        <v>Subsidiaries</v>
      </c>
      <c r="I394" s="932" t="str" cm="1">
        <f t="array" ref="I394">_xlfn.XLOOKUP(Acc_Char!$E394,Table4[[#All],[Branch]],Table4[[#All],[Bank]],"recheck",0)</f>
        <v>VIETINBANK - TIEN SON</v>
      </c>
    </row>
    <row r="395" spans="1:9">
      <c r="A395" s="998">
        <f t="shared" si="6"/>
        <v>394</v>
      </c>
      <c r="B395" s="1097" t="s">
        <v>3183</v>
      </c>
      <c r="C395" s="1003" t="s">
        <v>630</v>
      </c>
      <c r="D395" s="999" t="str">
        <f>VLOOKUP($C395,Table1[#All],2,0)</f>
        <v>SPV4D</v>
      </c>
      <c r="E395" s="999" t="s">
        <v>85</v>
      </c>
      <c r="F395" s="1093" t="s">
        <v>80</v>
      </c>
      <c r="G395" s="999" t="s">
        <v>310</v>
      </c>
      <c r="H395" s="999" t="str">
        <f>VLOOKUP($C395,Table1[#All],3,0)</f>
        <v>Subsidiaries</v>
      </c>
      <c r="I395" s="999" t="str" cm="1">
        <f t="array" ref="I395">_xlfn.XLOOKUP(Acc_Char!$E395,Table4[[#All],[Branch]],Table4[[#All],[Bank]],"recheck",0)</f>
        <v>VIETINBANK - TIEN SON</v>
      </c>
    </row>
    <row r="396" spans="1:9">
      <c r="A396" s="998">
        <f t="shared" si="6"/>
        <v>395</v>
      </c>
      <c r="B396" s="1098" t="s">
        <v>3184</v>
      </c>
      <c r="C396" s="1000" t="s">
        <v>389</v>
      </c>
      <c r="D396" s="932" t="str">
        <f>VLOOKUP($C396,Table1[#All],2,0)</f>
        <v>BWID BINH DUONG</v>
      </c>
      <c r="E396" s="932" t="s">
        <v>527</v>
      </c>
      <c r="F396" s="998" t="s">
        <v>81</v>
      </c>
      <c r="G396" s="932" t="s">
        <v>308</v>
      </c>
      <c r="H396" s="932" t="str">
        <f>VLOOKUP($C396,Table1[#All],3,0)</f>
        <v>BWID JSC</v>
      </c>
      <c r="I396" s="932" t="str" cm="1">
        <f t="array" ref="I396">_xlfn.XLOOKUP(Acc_Char!$E15,Table4[[#All],[Branch]],Table4[[#All],[Bank]],"recheck",0)</f>
        <v>VIETINBANK - TIEN SON</v>
      </c>
    </row>
    <row r="397" spans="1:9">
      <c r="A397" s="998">
        <f t="shared" si="6"/>
        <v>396</v>
      </c>
      <c r="B397" s="1097" t="s">
        <v>633</v>
      </c>
      <c r="C397" s="1003" t="s">
        <v>630</v>
      </c>
      <c r="D397" s="999" t="str">
        <f>VLOOKUP($C397,Table1[#All],2,0)</f>
        <v>SPV4D</v>
      </c>
      <c r="E397" s="999" t="s">
        <v>85</v>
      </c>
      <c r="F397" s="1093" t="s">
        <v>81</v>
      </c>
      <c r="G397" s="999" t="s">
        <v>307</v>
      </c>
      <c r="H397" s="999" t="str">
        <f>VLOOKUP($C397,Table1[#All],3,0)</f>
        <v>Subsidiaries</v>
      </c>
      <c r="I397" s="999" t="str" cm="1">
        <f t="array" ref="I397">_xlfn.XLOOKUP(Acc_Char!$E397,Table4[[#All],[Branch]],Table4[[#All],[Bank]],"recheck",0)</f>
        <v>VIETINBANK - TIEN SON</v>
      </c>
    </row>
    <row r="398" spans="1:9">
      <c r="A398" s="998">
        <f t="shared" si="6"/>
        <v>397</v>
      </c>
      <c r="B398" s="1098" t="s">
        <v>635</v>
      </c>
      <c r="C398" s="1000" t="s">
        <v>634</v>
      </c>
      <c r="D398" s="932" t="str">
        <f>VLOOKUP($C398,Table1[#All],2,0)</f>
        <v>SPV4E</v>
      </c>
      <c r="E398" s="932" t="s">
        <v>85</v>
      </c>
      <c r="F398" s="998" t="s">
        <v>80</v>
      </c>
      <c r="G398" s="932" t="s">
        <v>308</v>
      </c>
      <c r="H398" s="932" t="str">
        <f>VLOOKUP($C398,Table1[#All],3,0)</f>
        <v>Subsidiaries</v>
      </c>
      <c r="I398" s="932" t="str" cm="1">
        <f t="array" ref="I398">_xlfn.XLOOKUP(Acc_Char!$E398,Table4[[#All],[Branch]],Table4[[#All],[Bank]],"recheck",0)</f>
        <v>VIETINBANK - TIEN SON</v>
      </c>
    </row>
    <row r="399" spans="1:9">
      <c r="A399" s="998">
        <f t="shared" si="6"/>
        <v>398</v>
      </c>
      <c r="B399" s="1004" t="s">
        <v>473</v>
      </c>
      <c r="C399" s="1000" t="s">
        <v>389</v>
      </c>
      <c r="D399" s="932" t="str">
        <f>VLOOKUP($C399,Table1[#All],2,0)</f>
        <v>BWID BINH DUONG</v>
      </c>
      <c r="E399" s="932" t="s">
        <v>89</v>
      </c>
      <c r="F399" s="998" t="s">
        <v>81</v>
      </c>
      <c r="G399" s="932" t="s">
        <v>308</v>
      </c>
      <c r="H399" s="932" t="str">
        <f>VLOOKUP($C399,Table1[#All],3,0)</f>
        <v>BWID JSC</v>
      </c>
      <c r="I399" s="932" t="str" cm="1">
        <f t="array" ref="I399">_xlfn.XLOOKUP(Acc_Char!$E9,Table4[[#All],[Branch]],Table4[[#All],[Bank]],"recheck",0)</f>
        <v>VIETINBANK - TIEN SON</v>
      </c>
    </row>
    <row r="400" spans="1:9">
      <c r="A400" s="998">
        <f t="shared" si="6"/>
        <v>399</v>
      </c>
      <c r="B400" s="1098" t="s">
        <v>637</v>
      </c>
      <c r="C400" s="1000" t="s">
        <v>634</v>
      </c>
      <c r="D400" s="932" t="str">
        <f>VLOOKUP($C400,Table1[#All],2,0)</f>
        <v>SPV4E</v>
      </c>
      <c r="E400" s="932" t="s">
        <v>85</v>
      </c>
      <c r="F400" s="998" t="s">
        <v>81</v>
      </c>
      <c r="G400" s="932" t="s">
        <v>307</v>
      </c>
      <c r="H400" s="932" t="str">
        <f>VLOOKUP($C400,Table1[#All],3,0)</f>
        <v>Subsidiaries</v>
      </c>
      <c r="I400" s="932" t="str" cm="1">
        <f t="array" ref="I400">_xlfn.XLOOKUP(Acc_Char!$E400,Table4[[#All],[Branch]],Table4[[#All],[Bank]],"recheck",0)</f>
        <v>VIETINBANK - TIEN SON</v>
      </c>
    </row>
    <row r="401" spans="1:9">
      <c r="A401" s="998">
        <f t="shared" si="6"/>
        <v>400</v>
      </c>
      <c r="B401" s="1097" t="s">
        <v>639</v>
      </c>
      <c r="C401" s="1003" t="s">
        <v>638</v>
      </c>
      <c r="D401" s="999" t="str">
        <f>VLOOKUP($C401,Table1[#All],2,0)</f>
        <v>SPV5A</v>
      </c>
      <c r="E401" s="999" t="s">
        <v>85</v>
      </c>
      <c r="F401" s="1093" t="s">
        <v>80</v>
      </c>
      <c r="G401" s="999" t="s">
        <v>308</v>
      </c>
      <c r="H401" s="999" t="str">
        <f>VLOOKUP($C401,Table1[#All],3,0)</f>
        <v>Subsidiaries</v>
      </c>
      <c r="I401" s="999" t="str" cm="1">
        <f t="array" ref="I401">_xlfn.XLOOKUP(Acc_Char!$E401,Table4[[#All],[Branch]],Table4[[#All],[Bank]],"recheck",0)</f>
        <v>VIETINBANK - TIEN SON</v>
      </c>
    </row>
    <row r="402" spans="1:9">
      <c r="A402" s="998">
        <f t="shared" si="6"/>
        <v>401</v>
      </c>
      <c r="B402" s="1098" t="s">
        <v>530</v>
      </c>
      <c r="C402" s="1000" t="s">
        <v>3010</v>
      </c>
      <c r="D402" s="932" t="str">
        <f>VLOOKUP($C402,Table1[#All],2,0)</f>
        <v>BWID LOGISTICS TAN UYEN</v>
      </c>
      <c r="E402" s="932" t="s">
        <v>89</v>
      </c>
      <c r="F402" s="998" t="s">
        <v>81</v>
      </c>
      <c r="G402" s="932" t="s">
        <v>308</v>
      </c>
      <c r="H402" s="932" t="str">
        <f>VLOOKUP($C402,Table1[#All],3,0)</f>
        <v>Subsidiaries</v>
      </c>
      <c r="I402" s="932" t="str" cm="1">
        <f t="array" ref="I402">_xlfn.XLOOKUP(Acc_Char!$E162,Table4[[#All],[Branch]],Table4[[#All],[Bank]],"recheck",0)</f>
        <v>VIETINBANK - TIEN SON</v>
      </c>
    </row>
    <row r="403" spans="1:9">
      <c r="A403" s="998">
        <f t="shared" si="6"/>
        <v>402</v>
      </c>
      <c r="B403" s="1002" t="s">
        <v>642</v>
      </c>
      <c r="C403" s="1003" t="s">
        <v>641</v>
      </c>
      <c r="D403" s="999" t="str">
        <f>VLOOKUP($C403,Table1[#All],2,0)</f>
        <v>SPV5C</v>
      </c>
      <c r="E403" s="999" t="s">
        <v>85</v>
      </c>
      <c r="F403" s="1093" t="s">
        <v>80</v>
      </c>
      <c r="G403" s="999" t="s">
        <v>308</v>
      </c>
      <c r="H403" s="999" t="str">
        <f>VLOOKUP($C403,Table1[#All],3,0)</f>
        <v>Subsidiaries</v>
      </c>
      <c r="I403" s="999" t="str" cm="1">
        <f t="array" ref="I403">_xlfn.XLOOKUP(Acc_Char!$E403,Table4[[#All],[Branch]],Table4[[#All],[Bank]],"recheck",0)</f>
        <v>VIETINBANK - TIEN SON</v>
      </c>
    </row>
    <row r="404" spans="1:9">
      <c r="A404" s="998">
        <f t="shared" si="6"/>
        <v>403</v>
      </c>
      <c r="B404" s="1098" t="s">
        <v>594</v>
      </c>
      <c r="C404" s="1000" t="s">
        <v>67</v>
      </c>
      <c r="D404" s="932" t="str">
        <f>VLOOKUP($C404,Table1[#All],2,0)</f>
        <v>SAO HOA</v>
      </c>
      <c r="E404" s="932" t="s">
        <v>89</v>
      </c>
      <c r="F404" s="998" t="s">
        <v>81</v>
      </c>
      <c r="G404" s="932" t="s">
        <v>308</v>
      </c>
      <c r="H404" s="932" t="str">
        <f>VLOOKUP($C404,Table1[#All],3,0)</f>
        <v>VC3</v>
      </c>
      <c r="I404" s="932" t="str" cm="1">
        <f t="array" ref="I404">_xlfn.XLOOKUP(Acc_Char!$E330,Table4[[#All],[Branch]],Table4[[#All],[Bank]],"recheck",0)</f>
        <v>VIETINBANK - CN1</v>
      </c>
    </row>
    <row r="405" spans="1:9">
      <c r="A405" s="998">
        <f t="shared" si="6"/>
        <v>404</v>
      </c>
      <c r="B405" s="1097" t="s">
        <v>644</v>
      </c>
      <c r="C405" s="1003" t="s">
        <v>641</v>
      </c>
      <c r="D405" s="999" t="str">
        <f>VLOOKUP($C405,Table1[#All],2,0)</f>
        <v>SPV5C</v>
      </c>
      <c r="E405" s="999" t="s">
        <v>95</v>
      </c>
      <c r="F405" s="1093" t="s">
        <v>80</v>
      </c>
      <c r="G405" s="999" t="s">
        <v>308</v>
      </c>
      <c r="H405" s="999" t="str">
        <f>VLOOKUP($C405,Table1[#All],3,0)</f>
        <v>Subsidiaries</v>
      </c>
      <c r="I405" s="999" t="str" cm="1">
        <f t="array" ref="I405">_xlfn.XLOOKUP(Acc_Char!$E405,Table4[[#All],[Branch]],Table4[[#All],[Bank]],"recheck",0)</f>
        <v>OCB - BINH DUONG</v>
      </c>
    </row>
    <row r="406" spans="1:9">
      <c r="A406" s="998">
        <f t="shared" si="6"/>
        <v>405</v>
      </c>
      <c r="B406" s="1098" t="s">
        <v>646</v>
      </c>
      <c r="C406" s="1000" t="s">
        <v>645</v>
      </c>
      <c r="D406" s="932" t="str">
        <f>VLOOKUP($C406,Table1[#All],2,0)</f>
        <v>SPV5B</v>
      </c>
      <c r="E406" s="932" t="s">
        <v>85</v>
      </c>
      <c r="F406" s="998" t="s">
        <v>80</v>
      </c>
      <c r="G406" s="932" t="s">
        <v>308</v>
      </c>
      <c r="H406" s="932" t="str">
        <f>VLOOKUP($C406,Table1[#All],3,0)</f>
        <v>Subsidiaries</v>
      </c>
      <c r="I406" s="932" t="str" cm="1">
        <f t="array" ref="I406">_xlfn.XLOOKUP(Acc_Char!$E406,Table4[[#All],[Branch]],Table4[[#All],[Bank]],"recheck",0)</f>
        <v>VIETINBANK - TIEN SON</v>
      </c>
    </row>
    <row r="407" spans="1:9">
      <c r="A407" s="998">
        <f t="shared" si="6"/>
        <v>406</v>
      </c>
      <c r="B407" s="1097" t="s">
        <v>491</v>
      </c>
      <c r="C407" s="1003" t="s">
        <v>389</v>
      </c>
      <c r="D407" s="999" t="str">
        <f>VLOOKUP($C407,Table1[#All],2,0)</f>
        <v>BWID BINH DUONG</v>
      </c>
      <c r="E407" s="999" t="s">
        <v>96</v>
      </c>
      <c r="F407" s="1093" t="s">
        <v>81</v>
      </c>
      <c r="G407" s="999" t="s">
        <v>308</v>
      </c>
      <c r="H407" s="999" t="str">
        <f>VLOOKUP($C407,Table1[#All],3,0)</f>
        <v>BWID JSC</v>
      </c>
      <c r="I407" s="999" t="str" cm="1">
        <f t="array" ref="I407">_xlfn.XLOOKUP(Acc_Char!$E74,Table4[[#All],[Branch]],Table4[[#All],[Bank]],"recheck",0)</f>
        <v>VIETINBANK - TIEN SON</v>
      </c>
    </row>
    <row r="408" spans="1:9">
      <c r="A408" s="998">
        <f t="shared" si="6"/>
        <v>407</v>
      </c>
      <c r="B408" s="1098" t="s">
        <v>3185</v>
      </c>
      <c r="C408" s="1000" t="s">
        <v>645</v>
      </c>
      <c r="D408" s="932" t="str">
        <f>VLOOKUP($C408,Table1[#All],2,0)</f>
        <v>SPV5B</v>
      </c>
      <c r="E408" s="932" t="s">
        <v>86</v>
      </c>
      <c r="F408" s="998" t="s">
        <v>81</v>
      </c>
      <c r="G408" s="932" t="s">
        <v>310</v>
      </c>
      <c r="H408" s="932" t="str">
        <f>VLOOKUP($C408,Table1[#All],3,0)</f>
        <v>Subsidiaries</v>
      </c>
      <c r="I408" s="932" t="str" cm="1">
        <f t="array" ref="I408">_xlfn.XLOOKUP(Acc_Char!$E408,Table4[[#All],[Branch]],Table4[[#All],[Bank]],"recheck",0)</f>
        <v>VIETINBANK - CN1</v>
      </c>
    </row>
    <row r="409" spans="1:9">
      <c r="A409" s="998">
        <f t="shared" si="6"/>
        <v>408</v>
      </c>
      <c r="B409" s="1097" t="s">
        <v>3186</v>
      </c>
      <c r="C409" s="1003" t="s">
        <v>645</v>
      </c>
      <c r="D409" s="999" t="str">
        <f>VLOOKUP($C409,Table1[#All],2,0)</f>
        <v>SPV5B</v>
      </c>
      <c r="E409" s="999" t="s">
        <v>86</v>
      </c>
      <c r="F409" s="1093" t="s">
        <v>81</v>
      </c>
      <c r="G409" s="999" t="s">
        <v>310</v>
      </c>
      <c r="H409" s="999" t="str">
        <f>VLOOKUP($C409,Table1[#All],3,0)</f>
        <v>Subsidiaries</v>
      </c>
      <c r="I409" s="999" t="str" cm="1">
        <f t="array" ref="I409">_xlfn.XLOOKUP(Acc_Char!$E409,Table4[[#All],[Branch]],Table4[[#All],[Bank]],"recheck",0)</f>
        <v>VIETINBANK - CN1</v>
      </c>
    </row>
    <row r="410" spans="1:9">
      <c r="A410" s="998">
        <f t="shared" si="6"/>
        <v>409</v>
      </c>
      <c r="B410" s="1098" t="s">
        <v>3187</v>
      </c>
      <c r="C410" s="1000" t="s">
        <v>645</v>
      </c>
      <c r="D410" s="932" t="str">
        <f>VLOOKUP($C410,Table1[#All],2,0)</f>
        <v>SPV5B</v>
      </c>
      <c r="E410" s="999" t="s">
        <v>86</v>
      </c>
      <c r="F410" s="998" t="s">
        <v>81</v>
      </c>
      <c r="G410" s="932" t="s">
        <v>310</v>
      </c>
      <c r="H410" s="932" t="str">
        <f>VLOOKUP($C410,Table1[#All],3,0)</f>
        <v>Subsidiaries</v>
      </c>
      <c r="I410" s="932" t="str" cm="1">
        <f t="array" ref="I410">_xlfn.XLOOKUP(Acc_Char!$E410,Table4[[#All],[Branch]],Table4[[#All],[Bank]],"recheck",0)</f>
        <v>VIETINBANK - CN1</v>
      </c>
    </row>
    <row r="411" spans="1:9">
      <c r="A411" s="998">
        <f t="shared" si="6"/>
        <v>410</v>
      </c>
      <c r="B411" s="1097" t="s">
        <v>3188</v>
      </c>
      <c r="C411" s="1003" t="s">
        <v>645</v>
      </c>
      <c r="D411" s="999" t="str">
        <f>VLOOKUP($C411,Table1[#All],2,0)</f>
        <v>SPV5B</v>
      </c>
      <c r="E411" s="999" t="s">
        <v>98</v>
      </c>
      <c r="F411" s="1093" t="s">
        <v>80</v>
      </c>
      <c r="G411" s="999" t="s">
        <v>308</v>
      </c>
      <c r="H411" s="999" t="str">
        <f>VLOOKUP($C411,Table1[#All],3,0)</f>
        <v>Subsidiaries</v>
      </c>
      <c r="I411" s="999" t="str" cm="1">
        <f t="array" ref="I411">_xlfn.XLOOKUP(Acc_Char!$E411,Table4[[#All],[Branch]],Table4[[#All],[Bank]],"recheck",0)</f>
        <v>SINOPAC</v>
      </c>
    </row>
    <row r="412" spans="1:9">
      <c r="A412" s="998">
        <f t="shared" si="6"/>
        <v>411</v>
      </c>
      <c r="B412" s="1098" t="s">
        <v>648</v>
      </c>
      <c r="C412" s="1000" t="s">
        <v>645</v>
      </c>
      <c r="D412" s="932" t="str">
        <f>VLOOKUP($C412,Table1[#All],2,0)</f>
        <v>SPV5B</v>
      </c>
      <c r="E412" s="932" t="s">
        <v>98</v>
      </c>
      <c r="F412" s="998" t="s">
        <v>80</v>
      </c>
      <c r="G412" s="932" t="s">
        <v>308</v>
      </c>
      <c r="H412" s="932" t="str">
        <f>VLOOKUP($C412,Table1[#All],3,0)</f>
        <v>Subsidiaries</v>
      </c>
      <c r="I412" s="932" t="str" cm="1">
        <f t="array" ref="I412">_xlfn.XLOOKUP(Acc_Char!$E412,Table4[[#All],[Branch]],Table4[[#All],[Bank]],"recheck",0)</f>
        <v>SINOPAC</v>
      </c>
    </row>
    <row r="413" spans="1:9">
      <c r="A413" s="998">
        <f t="shared" si="6"/>
        <v>412</v>
      </c>
      <c r="B413" s="1097" t="s">
        <v>3189</v>
      </c>
      <c r="C413" s="1003" t="s">
        <v>645</v>
      </c>
      <c r="D413" s="999" t="str">
        <f>VLOOKUP($C413,Table1[#All],2,0)</f>
        <v>SPV5B</v>
      </c>
      <c r="E413" s="999" t="s">
        <v>98</v>
      </c>
      <c r="F413" s="1093" t="s">
        <v>80</v>
      </c>
      <c r="G413" s="999" t="s">
        <v>342</v>
      </c>
      <c r="H413" s="999" t="str">
        <f>VLOOKUP($C413,Table1[#All],3,0)</f>
        <v>Subsidiaries</v>
      </c>
      <c r="I413" s="999" t="str" cm="1">
        <f t="array" ref="I413">_xlfn.XLOOKUP(Acc_Char!$E413,Table4[[#All],[Branch]],Table4[[#All],[Bank]],"recheck",0)</f>
        <v>SINOPAC</v>
      </c>
    </row>
    <row r="414" spans="1:9">
      <c r="A414" s="998">
        <f t="shared" si="6"/>
        <v>413</v>
      </c>
      <c r="B414" s="1004" t="s">
        <v>600</v>
      </c>
      <c r="C414" s="1000" t="s">
        <v>67</v>
      </c>
      <c r="D414" s="932" t="str">
        <f>VLOOKUP($C414,Table1[#All],2,0)</f>
        <v>SAO HOA</v>
      </c>
      <c r="E414" s="932" t="s">
        <v>96</v>
      </c>
      <c r="F414" s="998" t="s">
        <v>81</v>
      </c>
      <c r="G414" s="932" t="s">
        <v>308</v>
      </c>
      <c r="H414" s="932" t="str">
        <f>VLOOKUP($C414,Table1[#All],3,0)</f>
        <v>VC3</v>
      </c>
      <c r="I414" s="932" t="str" cm="1">
        <f t="array" ref="I414">_xlfn.XLOOKUP(Acc_Char!$E338,Table4[[#All],[Branch]],Table4[[#All],[Bank]],"recheck",0)</f>
        <v>VIETINBANK - BINH DUONG + QM</v>
      </c>
    </row>
    <row r="415" spans="1:9">
      <c r="A415" s="998">
        <f t="shared" si="6"/>
        <v>414</v>
      </c>
      <c r="B415" s="1004" t="s">
        <v>903</v>
      </c>
      <c r="C415" s="1000" t="s">
        <v>459</v>
      </c>
      <c r="D415" s="932" t="str">
        <f>VLOOKUP($C415,Table1[#All],2,0)</f>
        <v>YEN PHONG PROJECT CO</v>
      </c>
      <c r="E415" s="932" t="s">
        <v>803</v>
      </c>
      <c r="F415" s="998" t="s">
        <v>81</v>
      </c>
      <c r="G415" s="932" t="s">
        <v>308</v>
      </c>
      <c r="H415" s="932" t="str">
        <f>VLOOKUP($C415,Table1[#All],3,0)</f>
        <v>Subsidiaries</v>
      </c>
      <c r="I415" s="932" t="str" cm="1">
        <f t="array" ref="I415">_xlfn.XLOOKUP(Acc_Char!$E861,Table4[[#All],[Branch]],Table4[[#All],[Bank]],"recheck",0)</f>
        <v>OTHERS</v>
      </c>
    </row>
    <row r="416" spans="1:9">
      <c r="A416" s="998">
        <f t="shared" si="6"/>
        <v>415</v>
      </c>
      <c r="B416" s="1004" t="s">
        <v>910</v>
      </c>
      <c r="C416" s="1000" t="s">
        <v>3190</v>
      </c>
      <c r="D416" s="932" t="str">
        <f>VLOOKUP($C416,Table1[#All],2,0)</f>
        <v>NDV PROJECT CO</v>
      </c>
      <c r="E416" s="932" t="s">
        <v>803</v>
      </c>
      <c r="F416" s="998" t="s">
        <v>81</v>
      </c>
      <c r="G416" s="932" t="s">
        <v>308</v>
      </c>
      <c r="H416" s="932" t="str">
        <f>VLOOKUP($C416,Table1[#All],3,0)</f>
        <v>Subsidiaries</v>
      </c>
      <c r="I416" s="932" t="str" cm="1">
        <f t="array" ref="I416">_xlfn.XLOOKUP(Acc_Char!$E867,Table4[[#All],[Branch]],Table4[[#All],[Bank]],"recheck",0)</f>
        <v>KEB Hana - HCM</v>
      </c>
    </row>
    <row r="417" spans="1:9">
      <c r="A417" s="998">
        <f t="shared" si="6"/>
        <v>416</v>
      </c>
      <c r="B417" s="1097" t="s">
        <v>651</v>
      </c>
      <c r="C417" s="1003" t="s">
        <v>645</v>
      </c>
      <c r="D417" s="999" t="str">
        <f>VLOOKUP($C417,Table1[#All],2,0)</f>
        <v>SPV5B</v>
      </c>
      <c r="E417" s="999" t="s">
        <v>98</v>
      </c>
      <c r="F417" s="1093" t="s">
        <v>81</v>
      </c>
      <c r="G417" s="999" t="s">
        <v>311</v>
      </c>
      <c r="H417" s="999" t="str">
        <f>VLOOKUP($C417,Table1[#All],3,0)</f>
        <v>Subsidiaries</v>
      </c>
      <c r="I417" s="999" t="str" cm="1">
        <f t="array" ref="I417">_xlfn.XLOOKUP(Acc_Char!$E417,Table4[[#All],[Branch]],Table4[[#All],[Bank]],"recheck",0)</f>
        <v>SINOPAC</v>
      </c>
    </row>
    <row r="418" spans="1:9">
      <c r="A418" s="998">
        <f t="shared" si="6"/>
        <v>417</v>
      </c>
      <c r="B418" s="1098" t="s">
        <v>652</v>
      </c>
      <c r="C418" s="1000" t="s">
        <v>645</v>
      </c>
      <c r="D418" s="932" t="str">
        <f>VLOOKUP($C418,Table1[#All],2,0)</f>
        <v>SPV5B</v>
      </c>
      <c r="E418" s="932" t="s">
        <v>98</v>
      </c>
      <c r="F418" s="998" t="s">
        <v>81</v>
      </c>
      <c r="G418" s="932" t="s">
        <v>311</v>
      </c>
      <c r="H418" s="932" t="str">
        <f>VLOOKUP($C418,Table1[#All],3,0)</f>
        <v>Subsidiaries</v>
      </c>
      <c r="I418" s="932" t="str" cm="1">
        <f t="array" ref="I418">_xlfn.XLOOKUP(Acc_Char!$E418,Table4[[#All],[Branch]],Table4[[#All],[Bank]],"recheck",0)</f>
        <v>SINOPAC</v>
      </c>
    </row>
    <row r="419" spans="1:9">
      <c r="A419" s="998">
        <f t="shared" si="6"/>
        <v>418</v>
      </c>
      <c r="B419" s="1097" t="s">
        <v>654</v>
      </c>
      <c r="C419" s="1003" t="s">
        <v>653</v>
      </c>
      <c r="D419" s="999" t="str">
        <f>VLOOKUP($C419,Table1[#All],2,0)</f>
        <v>SPV5D</v>
      </c>
      <c r="E419" s="999" t="s">
        <v>85</v>
      </c>
      <c r="F419" s="1093" t="s">
        <v>80</v>
      </c>
      <c r="G419" s="999" t="s">
        <v>308</v>
      </c>
      <c r="H419" s="999" t="str">
        <f>VLOOKUP($C419,Table1[#All],3,0)</f>
        <v>Subsidiaries</v>
      </c>
      <c r="I419" s="999" t="str" cm="1">
        <f t="array" ref="I419">_xlfn.XLOOKUP(Acc_Char!$E419,Table4[[#All],[Branch]],Table4[[#All],[Bank]],"recheck",0)</f>
        <v>VIETINBANK - TIEN SON</v>
      </c>
    </row>
    <row r="420" spans="1:9">
      <c r="A420" s="998">
        <f t="shared" si="6"/>
        <v>419</v>
      </c>
      <c r="B420" s="1098" t="s">
        <v>3191</v>
      </c>
      <c r="C420" s="1000" t="s">
        <v>653</v>
      </c>
      <c r="D420" s="932" t="str">
        <f>VLOOKUP($C420,Table1[#All],2,0)</f>
        <v>SPV5D</v>
      </c>
      <c r="E420" s="932" t="s">
        <v>85</v>
      </c>
      <c r="F420" s="998" t="s">
        <v>80</v>
      </c>
      <c r="G420" s="932" t="s">
        <v>310</v>
      </c>
      <c r="H420" s="932" t="str">
        <f>VLOOKUP($C420,Table1[#All],3,0)</f>
        <v>Subsidiaries</v>
      </c>
      <c r="I420" s="932" t="str" cm="1">
        <f t="array" ref="I420">_xlfn.XLOOKUP(Acc_Char!$E420,Table4[[#All],[Branch]],Table4[[#All],[Bank]],"recheck",0)</f>
        <v>VIETINBANK - TIEN SON</v>
      </c>
    </row>
    <row r="421" spans="1:9">
      <c r="A421" s="998">
        <f t="shared" si="6"/>
        <v>420</v>
      </c>
      <c r="B421" s="1004" t="s">
        <v>934</v>
      </c>
      <c r="C421" s="1000" t="s">
        <v>3190</v>
      </c>
      <c r="D421" s="932" t="str">
        <f>VLOOKUP($C421,Table1[#All],2,0)</f>
        <v>NDV PROJECT CO</v>
      </c>
      <c r="E421" s="932" t="s">
        <v>803</v>
      </c>
      <c r="F421" s="998" t="s">
        <v>81</v>
      </c>
      <c r="G421" s="932" t="s">
        <v>309</v>
      </c>
      <c r="H421" s="932" t="str">
        <f>VLOOKUP($C421,Table1[#All],3,0)</f>
        <v>Subsidiaries</v>
      </c>
      <c r="I421" s="932" t="str" cm="1">
        <f t="array" ref="I421">_xlfn.XLOOKUP(Acc_Char!$E905,Table4[[#All],[Branch]],Table4[[#All],[Bank]],"recheck",0)</f>
        <v>BIDV - THANH XUAN</v>
      </c>
    </row>
    <row r="422" spans="1:9">
      <c r="A422" s="998">
        <f t="shared" si="6"/>
        <v>421</v>
      </c>
      <c r="B422" s="1098" t="s">
        <v>657</v>
      </c>
      <c r="C422" s="1000" t="s">
        <v>656</v>
      </c>
      <c r="D422" s="932" t="str">
        <f>VLOOKUP($C422,Table1[#All],2,0)</f>
        <v>SPV5E</v>
      </c>
      <c r="E422" s="932" t="s">
        <v>85</v>
      </c>
      <c r="F422" s="998" t="s">
        <v>80</v>
      </c>
      <c r="G422" s="932" t="s">
        <v>308</v>
      </c>
      <c r="H422" s="932" t="str">
        <f>VLOOKUP($C422,Table1[#All],3,0)</f>
        <v>Subsidiaries</v>
      </c>
      <c r="I422" s="932" t="str" cm="1">
        <f t="array" ref="I422">_xlfn.XLOOKUP(Acc_Char!$E422,Table4[[#All],[Branch]],Table4[[#All],[Bank]],"recheck",0)</f>
        <v>VIETINBANK - TIEN SON</v>
      </c>
    </row>
    <row r="423" spans="1:9">
      <c r="A423" s="998">
        <f t="shared" si="6"/>
        <v>422</v>
      </c>
      <c r="B423" s="1097" t="s">
        <v>3192</v>
      </c>
      <c r="C423" s="1003" t="s">
        <v>656</v>
      </c>
      <c r="D423" s="999" t="str">
        <f>VLOOKUP($C423,Table1[#All],2,0)</f>
        <v>SPV5E</v>
      </c>
      <c r="E423" s="999" t="s">
        <v>85</v>
      </c>
      <c r="F423" s="1093" t="s">
        <v>80</v>
      </c>
      <c r="G423" s="999" t="s">
        <v>310</v>
      </c>
      <c r="H423" s="999" t="str">
        <f>VLOOKUP($C423,Table1[#All],3,0)</f>
        <v>Subsidiaries</v>
      </c>
      <c r="I423" s="999" t="str" cm="1">
        <f t="array" ref="I423">_xlfn.XLOOKUP(Acc_Char!$E423,Table4[[#All],[Branch]],Table4[[#All],[Bank]],"recheck",0)</f>
        <v>VIETINBANK - TIEN SON</v>
      </c>
    </row>
    <row r="424" spans="1:9">
      <c r="A424" s="998">
        <f t="shared" si="6"/>
        <v>423</v>
      </c>
      <c r="B424" s="1004" t="s">
        <v>935</v>
      </c>
      <c r="C424" s="1000" t="s">
        <v>459</v>
      </c>
      <c r="D424" s="932" t="str">
        <f>VLOOKUP($C424,Table1[#All],2,0)</f>
        <v>YEN PHONG PROJECT CO</v>
      </c>
      <c r="E424" s="932" t="s">
        <v>803</v>
      </c>
      <c r="F424" s="998" t="s">
        <v>81</v>
      </c>
      <c r="G424" s="932" t="s">
        <v>309</v>
      </c>
      <c r="H424" s="932" t="str">
        <f>VLOOKUP($C424,Table1[#All],3,0)</f>
        <v>Subsidiaries</v>
      </c>
      <c r="I424" s="932" t="str" cm="1">
        <f t="array" ref="I424">_xlfn.XLOOKUP(Acc_Char!$E906,Table4[[#All],[Branch]],Table4[[#All],[Bank]],"recheck",0)</f>
        <v>BIDV - THANH XUAN</v>
      </c>
    </row>
    <row r="425" spans="1:9">
      <c r="A425" s="998">
        <f t="shared" si="6"/>
        <v>424</v>
      </c>
      <c r="B425" s="1097" t="s">
        <v>660</v>
      </c>
      <c r="C425" s="1003" t="s">
        <v>3182</v>
      </c>
      <c r="D425" s="999" t="str">
        <f>VLOOKUP($C425,Table1[#All],2,0)</f>
        <v>PHUOC LOI</v>
      </c>
      <c r="E425" s="999" t="s">
        <v>91</v>
      </c>
      <c r="F425" s="1093" t="s">
        <v>80</v>
      </c>
      <c r="G425" s="999" t="s">
        <v>308</v>
      </c>
      <c r="H425" s="999" t="str">
        <f>VLOOKUP($C425,Table1[#All],3,0)</f>
        <v>Subsidiaries</v>
      </c>
      <c r="I425" s="999" t="str" cm="1">
        <f t="array" ref="I425">_xlfn.XLOOKUP(Acc_Char!$E425,Table4[[#All],[Branch]],Table4[[#All],[Bank]],"recheck",0)</f>
        <v>VIETCOMBANK - HCM</v>
      </c>
    </row>
    <row r="426" spans="1:9">
      <c r="A426" s="998">
        <f t="shared" si="6"/>
        <v>425</v>
      </c>
      <c r="B426" s="1098" t="s">
        <v>3193</v>
      </c>
      <c r="C426" s="1000" t="s">
        <v>3182</v>
      </c>
      <c r="D426" s="932" t="str">
        <f>VLOOKUP($C426,Table1[#All],2,0)</f>
        <v>PHUOC LOI</v>
      </c>
      <c r="E426" s="932" t="s">
        <v>91</v>
      </c>
      <c r="F426" s="998" t="s">
        <v>80</v>
      </c>
      <c r="G426" s="932" t="s">
        <v>308</v>
      </c>
      <c r="H426" s="932" t="str">
        <f>VLOOKUP($C426,Table1[#All],3,0)</f>
        <v>Subsidiaries</v>
      </c>
      <c r="I426" s="932" t="str" cm="1">
        <f t="array" ref="I426">_xlfn.XLOOKUP(Acc_Char!$E426,Table4[[#All],[Branch]],Table4[[#All],[Bank]],"recheck",0)</f>
        <v>VIETCOMBANK - HCM</v>
      </c>
    </row>
    <row r="427" spans="1:9">
      <c r="A427" s="998">
        <f t="shared" si="6"/>
        <v>426</v>
      </c>
      <c r="B427" s="1004" t="s">
        <v>963</v>
      </c>
      <c r="C427" s="1000" t="s">
        <v>389</v>
      </c>
      <c r="D427" s="932" t="str">
        <f>VLOOKUP($C427,Table1[#All],2,0)</f>
        <v>BWID BINH DUONG</v>
      </c>
      <c r="E427" s="932" t="s">
        <v>803</v>
      </c>
      <c r="F427" s="998" t="s">
        <v>81</v>
      </c>
      <c r="G427" s="932" t="s">
        <v>308</v>
      </c>
      <c r="H427" s="932" t="str">
        <f>VLOOKUP($C427,Table1[#All],3,0)</f>
        <v>BWID JSC</v>
      </c>
      <c r="I427" s="932" t="str" cm="1">
        <f t="array" ref="I427">_xlfn.XLOOKUP(Acc_Char!$E940,Table4[[#All],[Branch]],Table4[[#All],[Bank]],"recheck",0)</f>
        <v>BIDV - THANH XUAN</v>
      </c>
    </row>
    <row r="428" spans="1:9">
      <c r="A428" s="998">
        <f t="shared" si="6"/>
        <v>427</v>
      </c>
      <c r="B428" s="1098" t="s">
        <v>663</v>
      </c>
      <c r="C428" s="1000" t="s">
        <v>2964</v>
      </c>
      <c r="D428" s="932" t="str">
        <f>VLOOKUP($C428,Table1[#All],2,0)</f>
        <v>GIA TAN</v>
      </c>
      <c r="E428" s="932" t="s">
        <v>85</v>
      </c>
      <c r="F428" s="998" t="s">
        <v>80</v>
      </c>
      <c r="G428" s="932" t="s">
        <v>308</v>
      </c>
      <c r="H428" s="932" t="str">
        <f>VLOOKUP($C428,Table1[#All],3,0)</f>
        <v>Subsidiaries</v>
      </c>
      <c r="I428" s="932" t="str" cm="1">
        <f t="array" ref="I428">_xlfn.XLOOKUP(Acc_Char!$E428,Table4[[#All],[Branch]],Table4[[#All],[Bank]],"recheck",0)</f>
        <v>VIETINBANK - TIEN SON</v>
      </c>
    </row>
    <row r="429" spans="1:9">
      <c r="A429" s="998">
        <f t="shared" si="6"/>
        <v>428</v>
      </c>
      <c r="B429" s="1004" t="s">
        <v>975</v>
      </c>
      <c r="C429" s="1000" t="s">
        <v>67</v>
      </c>
      <c r="D429" s="932" t="str">
        <f>VLOOKUP($C429,Table1[#All],2,0)</f>
        <v>SAO HOA</v>
      </c>
      <c r="E429" s="932" t="s">
        <v>803</v>
      </c>
      <c r="F429" s="998" t="s">
        <v>81</v>
      </c>
      <c r="G429" s="932" t="s">
        <v>308</v>
      </c>
      <c r="H429" s="932" t="str">
        <f>VLOOKUP($C429,Table1[#All],3,0)</f>
        <v>VC3</v>
      </c>
      <c r="I429" s="932" t="str" cm="1">
        <f t="array" ref="I429">_xlfn.XLOOKUP(Acc_Char!$E429,Table4[[#All],[Branch]],Table4[[#All],[Bank]],"recheck",0)</f>
        <v>UOB</v>
      </c>
    </row>
    <row r="430" spans="1:9">
      <c r="A430" s="998">
        <f t="shared" si="6"/>
        <v>429</v>
      </c>
      <c r="B430" s="1098" t="s">
        <v>3194</v>
      </c>
      <c r="C430" s="1000" t="s">
        <v>2968</v>
      </c>
      <c r="D430" s="932" t="str">
        <f>VLOOKUP($C430,Table1[#All],2,0)</f>
        <v>BCI JSC</v>
      </c>
      <c r="E430" s="932" t="s">
        <v>85</v>
      </c>
      <c r="F430" s="998" t="s">
        <v>80</v>
      </c>
      <c r="G430" s="932" t="s">
        <v>310</v>
      </c>
      <c r="H430" s="932" t="str">
        <f>VLOOKUP($C430,Table1[#All],3,0)</f>
        <v>Subsidiaries</v>
      </c>
      <c r="I430" s="932" t="str" cm="1">
        <f t="array" ref="I430">_xlfn.XLOOKUP(Acc_Char!$E430,Table4[[#All],[Branch]],Table4[[#All],[Bank]],"recheck",0)</f>
        <v>VIETINBANK - TIEN SON</v>
      </c>
    </row>
    <row r="431" spans="1:9">
      <c r="A431" s="998">
        <f t="shared" si="6"/>
        <v>430</v>
      </c>
      <c r="B431" s="1097" t="s">
        <v>3195</v>
      </c>
      <c r="C431" s="1003" t="s">
        <v>2968</v>
      </c>
      <c r="D431" s="999" t="str">
        <f>VLOOKUP($C431,Table1[#All],2,0)</f>
        <v>BCI JSC</v>
      </c>
      <c r="E431" s="999" t="s">
        <v>85</v>
      </c>
      <c r="F431" s="1093" t="s">
        <v>80</v>
      </c>
      <c r="G431" s="999" t="s">
        <v>310</v>
      </c>
      <c r="H431" s="999" t="str">
        <f>VLOOKUP($C431,Table1[#All],3,0)</f>
        <v>Subsidiaries</v>
      </c>
      <c r="I431" s="999" t="str" cm="1">
        <f t="array" ref="I431">_xlfn.XLOOKUP(Acc_Char!$E431,Table4[[#All],[Branch]],Table4[[#All],[Bank]],"recheck",0)</f>
        <v>VIETINBANK - TIEN SON</v>
      </c>
    </row>
    <row r="432" spans="1:9">
      <c r="A432" s="998">
        <f t="shared" si="6"/>
        <v>431</v>
      </c>
      <c r="B432" s="1098" t="s">
        <v>666</v>
      </c>
      <c r="C432" s="1000" t="s">
        <v>2968</v>
      </c>
      <c r="D432" s="932" t="str">
        <f>VLOOKUP($C432,Table1[#All],2,0)</f>
        <v>BCI JSC</v>
      </c>
      <c r="E432" s="932" t="s">
        <v>85</v>
      </c>
      <c r="F432" s="998" t="s">
        <v>80</v>
      </c>
      <c r="G432" s="932" t="s">
        <v>308</v>
      </c>
      <c r="H432" s="932" t="str">
        <f>VLOOKUP($C432,Table1[#All],3,0)</f>
        <v>Subsidiaries</v>
      </c>
      <c r="I432" s="932" t="str" cm="1">
        <f t="array" ref="I432">_xlfn.XLOOKUP(Acc_Char!$E432,Table4[[#All],[Branch]],Table4[[#All],[Bank]],"recheck",0)</f>
        <v>VIETINBANK - TIEN SON</v>
      </c>
    </row>
    <row r="433" spans="1:9">
      <c r="A433" s="998">
        <f t="shared" si="6"/>
        <v>432</v>
      </c>
      <c r="B433" s="1004" t="s">
        <v>978</v>
      </c>
      <c r="C433" s="1000" t="s">
        <v>67</v>
      </c>
      <c r="D433" s="932" t="str">
        <f>VLOOKUP($C433,Table1[#All],2,0)</f>
        <v>SAO HOA</v>
      </c>
      <c r="E433" s="932" t="s">
        <v>803</v>
      </c>
      <c r="F433" s="998" t="s">
        <v>81</v>
      </c>
      <c r="G433" s="932" t="s">
        <v>308</v>
      </c>
      <c r="H433" s="932" t="str">
        <f>VLOOKUP($C433,Table1[#All],3,0)</f>
        <v>VC3</v>
      </c>
      <c r="I433" s="932" t="str" cm="1">
        <f t="array" ref="I433">_xlfn.XLOOKUP(Acc_Char!$E433,Table4[[#All],[Branch]],Table4[[#All],[Bank]],"recheck",0)</f>
        <v>UOB</v>
      </c>
    </row>
    <row r="434" spans="1:9">
      <c r="A434" s="998">
        <f t="shared" si="6"/>
        <v>433</v>
      </c>
      <c r="B434" s="1098" t="s">
        <v>3196</v>
      </c>
      <c r="C434" s="1000" t="s">
        <v>2968</v>
      </c>
      <c r="D434" s="932" t="str">
        <f>VLOOKUP($C434,Table1[#All],2,0)</f>
        <v>BCI JSC</v>
      </c>
      <c r="E434" s="932" t="s">
        <v>3197</v>
      </c>
      <c r="F434" s="998" t="s">
        <v>80</v>
      </c>
      <c r="G434" s="932" t="s">
        <v>308</v>
      </c>
      <c r="H434" s="932" t="str">
        <f>VLOOKUP($C434,Table1[#All],3,0)</f>
        <v>Subsidiaries</v>
      </c>
      <c r="I434" s="932" t="str" cm="1">
        <f t="array" ref="I434">_xlfn.XLOOKUP(Acc_Char!$E434,Table4[[#All],[Branch]],Table4[[#All],[Bank]],"recheck",0)</f>
        <v>OTHERS</v>
      </c>
    </row>
    <row r="435" spans="1:9">
      <c r="A435" s="998">
        <f t="shared" si="6"/>
        <v>434</v>
      </c>
      <c r="B435" s="1097" t="s">
        <v>3198</v>
      </c>
      <c r="C435" s="1003" t="s">
        <v>3199</v>
      </c>
      <c r="D435" s="999" t="str">
        <f>VLOOKUP($C435,Table1[#All],2,0)</f>
        <v>VINA PARTNERS INVESTMENT</v>
      </c>
      <c r="E435" s="999" t="s">
        <v>97</v>
      </c>
      <c r="F435" s="1093" t="s">
        <v>80</v>
      </c>
      <c r="G435" s="999" t="s">
        <v>308</v>
      </c>
      <c r="H435" s="999" t="str">
        <f>VLOOKUP($C435,Table1[#All],3,0)</f>
        <v>Subsidiaries</v>
      </c>
      <c r="I435" s="999" t="str" cm="1">
        <f t="array" ref="I435">_xlfn.XLOOKUP(Acc_Char!$E435,Table4[[#All],[Branch]],Table4[[#All],[Bank]],"recheck",0)</f>
        <v>MB - BAC SAI GON</v>
      </c>
    </row>
    <row r="436" spans="1:9">
      <c r="A436" s="998">
        <f t="shared" si="6"/>
        <v>435</v>
      </c>
      <c r="B436" s="1098" t="s">
        <v>669</v>
      </c>
      <c r="C436" s="1000" t="s">
        <v>3199</v>
      </c>
      <c r="D436" s="932" t="str">
        <f>VLOOKUP($C436,Table1[#All],2,0)</f>
        <v>VINA PARTNERS INVESTMENT</v>
      </c>
      <c r="E436" s="932" t="s">
        <v>86</v>
      </c>
      <c r="F436" s="998" t="s">
        <v>80</v>
      </c>
      <c r="G436" s="932" t="s">
        <v>308</v>
      </c>
      <c r="H436" s="932" t="str">
        <f>VLOOKUP($C436,Table1[#All],3,0)</f>
        <v>Subsidiaries</v>
      </c>
      <c r="I436" s="932" t="str" cm="1">
        <f t="array" ref="I436">_xlfn.XLOOKUP(Acc_Char!$E436,Table4[[#All],[Branch]],Table4[[#All],[Bank]],"recheck",0)</f>
        <v>VIETINBANK - CN1</v>
      </c>
    </row>
    <row r="437" spans="1:9">
      <c r="A437" s="998">
        <f t="shared" si="6"/>
        <v>436</v>
      </c>
      <c r="B437" s="1097" t="s">
        <v>3200</v>
      </c>
      <c r="C437" s="1003" t="s">
        <v>3199</v>
      </c>
      <c r="D437" s="999" t="str">
        <f>VLOOKUP($C437,Table1[#All],2,0)</f>
        <v>VINA PARTNERS INVESTMENT</v>
      </c>
      <c r="E437" s="999" t="s">
        <v>86</v>
      </c>
      <c r="F437" s="1093" t="s">
        <v>80</v>
      </c>
      <c r="G437" s="999" t="s">
        <v>310</v>
      </c>
      <c r="H437" s="999" t="str">
        <f>VLOOKUP($C437,Table1[#All],3,0)</f>
        <v>Subsidiaries</v>
      </c>
      <c r="I437" s="999" t="str" cm="1">
        <f t="array" ref="I437">_xlfn.XLOOKUP(Acc_Char!$E437,Table4[[#All],[Branch]],Table4[[#All],[Bank]],"recheck",0)</f>
        <v>VIETINBANK - CN1</v>
      </c>
    </row>
    <row r="438" spans="1:9">
      <c r="A438" s="998">
        <f t="shared" si="6"/>
        <v>437</v>
      </c>
      <c r="B438" s="1098" t="s">
        <v>3201</v>
      </c>
      <c r="C438" s="1000" t="s">
        <v>3199</v>
      </c>
      <c r="D438" s="932" t="str">
        <f>VLOOKUP($C438,Table1[#All],2,0)</f>
        <v>VINA PARTNERS INVESTMENT</v>
      </c>
      <c r="E438" s="932" t="s">
        <v>86</v>
      </c>
      <c r="F438" s="998" t="s">
        <v>80</v>
      </c>
      <c r="G438" s="932" t="s">
        <v>310</v>
      </c>
      <c r="H438" s="932" t="str">
        <f>VLOOKUP($C438,Table1[#All],3,0)</f>
        <v>Subsidiaries</v>
      </c>
      <c r="I438" s="932" t="str" cm="1">
        <f t="array" ref="I438">_xlfn.XLOOKUP(Acc_Char!$E438,Table4[[#All],[Branch]],Table4[[#All],[Bank]],"recheck",0)</f>
        <v>VIETINBANK - CN1</v>
      </c>
    </row>
    <row r="439" spans="1:9">
      <c r="A439" s="998">
        <f t="shared" si="6"/>
        <v>438</v>
      </c>
      <c r="B439" s="1097" t="s">
        <v>3202</v>
      </c>
      <c r="C439" s="1003" t="s">
        <v>3199</v>
      </c>
      <c r="D439" s="999" t="str">
        <f>VLOOKUP($C439,Table1[#All],2,0)</f>
        <v>VINA PARTNERS INVESTMENT</v>
      </c>
      <c r="E439" s="999" t="s">
        <v>86</v>
      </c>
      <c r="F439" s="1093" t="s">
        <v>80</v>
      </c>
      <c r="G439" s="999" t="s">
        <v>310</v>
      </c>
      <c r="H439" s="999" t="str">
        <f>VLOOKUP($C439,Table1[#All],3,0)</f>
        <v>Subsidiaries</v>
      </c>
      <c r="I439" s="999" t="str" cm="1">
        <f t="array" ref="I439">_xlfn.XLOOKUP(Acc_Char!$E439,Table4[[#All],[Branch]],Table4[[#All],[Bank]],"recheck",0)</f>
        <v>VIETINBANK - CN1</v>
      </c>
    </row>
    <row r="440" spans="1:9">
      <c r="A440" s="998">
        <f t="shared" si="6"/>
        <v>439</v>
      </c>
      <c r="B440" s="1098" t="s">
        <v>3203</v>
      </c>
      <c r="C440" s="1000" t="s">
        <v>3199</v>
      </c>
      <c r="D440" s="932" t="str">
        <f>VLOOKUP($C440,Table1[#All],2,0)</f>
        <v>VINA PARTNERS INVESTMENT</v>
      </c>
      <c r="E440" s="932" t="s">
        <v>86</v>
      </c>
      <c r="F440" s="998" t="s">
        <v>80</v>
      </c>
      <c r="G440" s="932" t="s">
        <v>310</v>
      </c>
      <c r="H440" s="932" t="str">
        <f>VLOOKUP($C440,Table1[#All],3,0)</f>
        <v>Subsidiaries</v>
      </c>
      <c r="I440" s="932" t="str" cm="1">
        <f t="array" ref="I440">_xlfn.XLOOKUP(Acc_Char!$E440,Table4[[#All],[Branch]],Table4[[#All],[Bank]],"recheck",0)</f>
        <v>VIETINBANK - CN1</v>
      </c>
    </row>
    <row r="441" spans="1:9">
      <c r="A441" s="998">
        <f t="shared" si="6"/>
        <v>440</v>
      </c>
      <c r="B441" s="1097" t="s">
        <v>3204</v>
      </c>
      <c r="C441" s="1003" t="s">
        <v>3199</v>
      </c>
      <c r="D441" s="999" t="str">
        <f>VLOOKUP($C441,Table1[#All],2,0)</f>
        <v>VINA PARTNERS INVESTMENT</v>
      </c>
      <c r="E441" s="999" t="s">
        <v>86</v>
      </c>
      <c r="F441" s="1093" t="s">
        <v>80</v>
      </c>
      <c r="G441" s="999" t="s">
        <v>310</v>
      </c>
      <c r="H441" s="999" t="str">
        <f>VLOOKUP($C441,Table1[#All],3,0)</f>
        <v>Subsidiaries</v>
      </c>
      <c r="I441" s="999" t="str" cm="1">
        <f t="array" ref="I441">_xlfn.XLOOKUP(Acc_Char!$E441,Table4[[#All],[Branch]],Table4[[#All],[Bank]],"recheck",0)</f>
        <v>VIETINBANK - CN1</v>
      </c>
    </row>
    <row r="442" spans="1:9">
      <c r="A442" s="998">
        <f t="shared" si="6"/>
        <v>441</v>
      </c>
      <c r="B442" s="1098" t="s">
        <v>670</v>
      </c>
      <c r="C442" s="1000" t="s">
        <v>3199</v>
      </c>
      <c r="D442" s="932" t="str">
        <f>VLOOKUP($C442,Table1[#All],2,0)</f>
        <v>VINA PARTNERS INVESTMENT</v>
      </c>
      <c r="E442" s="932" t="s">
        <v>86</v>
      </c>
      <c r="F442" s="998" t="s">
        <v>80</v>
      </c>
      <c r="G442" s="932" t="s">
        <v>310</v>
      </c>
      <c r="H442" s="932" t="str">
        <f>VLOOKUP($C442,Table1[#All],3,0)</f>
        <v>Subsidiaries</v>
      </c>
      <c r="I442" s="932" t="str" cm="1">
        <f t="array" ref="I442">_xlfn.XLOOKUP(Acc_Char!$E442,Table4[[#All],[Branch]],Table4[[#All],[Bank]],"recheck",0)</f>
        <v>VIETINBANK - CN1</v>
      </c>
    </row>
    <row r="443" spans="1:9">
      <c r="A443" s="998">
        <f t="shared" si="6"/>
        <v>442</v>
      </c>
      <c r="B443" s="1097" t="s">
        <v>3205</v>
      </c>
      <c r="C443" s="1003" t="s">
        <v>3199</v>
      </c>
      <c r="D443" s="999" t="str">
        <f>VLOOKUP($C443,Table1[#All],2,0)</f>
        <v>VINA PARTNERS INVESTMENT</v>
      </c>
      <c r="E443" s="999" t="s">
        <v>86</v>
      </c>
      <c r="F443" s="1093" t="s">
        <v>80</v>
      </c>
      <c r="G443" s="999" t="s">
        <v>310</v>
      </c>
      <c r="H443" s="999" t="str">
        <f>VLOOKUP($C443,Table1[#All],3,0)</f>
        <v>Subsidiaries</v>
      </c>
      <c r="I443" s="999" t="str" cm="1">
        <f t="array" ref="I443">_xlfn.XLOOKUP(Acc_Char!$E443,Table4[[#All],[Branch]],Table4[[#All],[Bank]],"recheck",0)</f>
        <v>VIETINBANK - CN1</v>
      </c>
    </row>
    <row r="444" spans="1:9">
      <c r="A444" s="998">
        <f t="shared" si="6"/>
        <v>443</v>
      </c>
      <c r="B444" s="1098" t="s">
        <v>3206</v>
      </c>
      <c r="C444" s="1000" t="s">
        <v>3199</v>
      </c>
      <c r="D444" s="932" t="str">
        <f>VLOOKUP($C444,Table1[#All],2,0)</f>
        <v>VINA PARTNERS INVESTMENT</v>
      </c>
      <c r="E444" s="932" t="s">
        <v>86</v>
      </c>
      <c r="F444" s="998" t="s">
        <v>80</v>
      </c>
      <c r="G444" s="932" t="s">
        <v>310</v>
      </c>
      <c r="H444" s="932" t="str">
        <f>VLOOKUP($C444,Table1[#All],3,0)</f>
        <v>Subsidiaries</v>
      </c>
      <c r="I444" s="932" t="str" cm="1">
        <f t="array" ref="I444">_xlfn.XLOOKUP(Acc_Char!$E444,Table4[[#All],[Branch]],Table4[[#All],[Bank]],"recheck",0)</f>
        <v>VIETINBANK - CN1</v>
      </c>
    </row>
    <row r="445" spans="1:9">
      <c r="A445" s="998">
        <f t="shared" si="6"/>
        <v>444</v>
      </c>
      <c r="B445" s="1097" t="s">
        <v>3207</v>
      </c>
      <c r="C445" s="1003" t="s">
        <v>3199</v>
      </c>
      <c r="D445" s="999" t="str">
        <f>VLOOKUP($C445,Table1[#All],2,0)</f>
        <v>VINA PARTNERS INVESTMENT</v>
      </c>
      <c r="E445" s="999" t="s">
        <v>3208</v>
      </c>
      <c r="F445" s="1093" t="s">
        <v>80</v>
      </c>
      <c r="G445" s="999" t="s">
        <v>308</v>
      </c>
      <c r="H445" s="999" t="str">
        <f>VLOOKUP($C445,Table1[#All],3,0)</f>
        <v>Subsidiaries</v>
      </c>
      <c r="I445" s="999" t="str" cm="1">
        <f t="array" ref="I445">_xlfn.XLOOKUP(Acc_Char!$E445,Table4[[#All],[Branch]],Table4[[#All],[Bank]],"recheck",0)</f>
        <v>OTHERS</v>
      </c>
    </row>
    <row r="446" spans="1:9">
      <c r="A446" s="998">
        <f t="shared" si="6"/>
        <v>445</v>
      </c>
      <c r="B446" s="1098" t="s">
        <v>672</v>
      </c>
      <c r="C446" s="1000" t="s">
        <v>3209</v>
      </c>
      <c r="D446" s="932" t="str">
        <f>VLOOKUP($C446,Table1[#All],2,0)</f>
        <v>HOLDCO4F</v>
      </c>
      <c r="E446" s="932" t="s">
        <v>85</v>
      </c>
      <c r="F446" s="998" t="s">
        <v>80</v>
      </c>
      <c r="G446" s="932" t="s">
        <v>308</v>
      </c>
      <c r="H446" s="932" t="str">
        <f>VLOOKUP($C446,Table1[#All],3,0)</f>
        <v>Subsidiaries</v>
      </c>
      <c r="I446" s="932" t="str" cm="1">
        <f t="array" ref="I446">_xlfn.XLOOKUP(Acc_Char!$E446,Table4[[#All],[Branch]],Table4[[#All],[Bank]],"recheck",0)</f>
        <v>VIETINBANK - TIEN SON</v>
      </c>
    </row>
    <row r="447" spans="1:9">
      <c r="A447" s="998">
        <f t="shared" si="6"/>
        <v>446</v>
      </c>
      <c r="B447" s="1097" t="s">
        <v>3210</v>
      </c>
      <c r="C447" s="1003" t="s">
        <v>3209</v>
      </c>
      <c r="D447" s="999" t="str">
        <f>VLOOKUP($C447,Table1[#All],2,0)</f>
        <v>HOLDCO4F</v>
      </c>
      <c r="E447" s="999" t="s">
        <v>95</v>
      </c>
      <c r="F447" s="1093" t="s">
        <v>80</v>
      </c>
      <c r="G447" s="999" t="s">
        <v>308</v>
      </c>
      <c r="H447" s="999" t="str">
        <f>VLOOKUP($C447,Table1[#All],3,0)</f>
        <v>Subsidiaries</v>
      </c>
      <c r="I447" s="999" t="str" cm="1">
        <f t="array" ref="I447">_xlfn.XLOOKUP(Acc_Char!$E447,Table4[[#All],[Branch]],Table4[[#All],[Bank]],"recheck",0)</f>
        <v>OCB - BINH DUONG</v>
      </c>
    </row>
    <row r="448" spans="1:9">
      <c r="A448" s="998">
        <f t="shared" si="6"/>
        <v>447</v>
      </c>
      <c r="B448" s="1098" t="s">
        <v>674</v>
      </c>
      <c r="C448" s="1000" t="s">
        <v>3211</v>
      </c>
      <c r="D448" s="932" t="str">
        <f>VLOOKUP($C448,Table1[#All],2,0)</f>
        <v>HOLDCO4H</v>
      </c>
      <c r="E448" s="932" t="s">
        <v>85</v>
      </c>
      <c r="F448" s="998" t="s">
        <v>80</v>
      </c>
      <c r="G448" s="932" t="s">
        <v>308</v>
      </c>
      <c r="H448" s="932" t="str">
        <f>VLOOKUP($C448,Table1[#All],3,0)</f>
        <v>Subsidiaries</v>
      </c>
      <c r="I448" s="932" t="str" cm="1">
        <f t="array" ref="I448">_xlfn.XLOOKUP(Acc_Char!$E448,Table4[[#All],[Branch]],Table4[[#All],[Bank]],"recheck",0)</f>
        <v>VIETINBANK - TIEN SON</v>
      </c>
    </row>
    <row r="449" spans="1:9">
      <c r="A449" s="998">
        <f t="shared" si="6"/>
        <v>448</v>
      </c>
      <c r="B449" s="1097" t="s">
        <v>675</v>
      </c>
      <c r="C449" s="1003" t="s">
        <v>3211</v>
      </c>
      <c r="D449" s="999" t="str">
        <f>VLOOKUP($C449,Table1[#All],2,0)</f>
        <v>HOLDCO4H</v>
      </c>
      <c r="E449" s="999" t="s">
        <v>95</v>
      </c>
      <c r="F449" s="1093" t="s">
        <v>80</v>
      </c>
      <c r="G449" s="999" t="s">
        <v>308</v>
      </c>
      <c r="H449" s="999" t="str">
        <f>VLOOKUP($C449,Table1[#All],3,0)</f>
        <v>Subsidiaries</v>
      </c>
      <c r="I449" s="999" t="str" cm="1">
        <f t="array" ref="I449">_xlfn.XLOOKUP(Acc_Char!$E449,Table4[[#All],[Branch]],Table4[[#All],[Bank]],"recheck",0)</f>
        <v>OCB - BINH DUONG</v>
      </c>
    </row>
    <row r="450" spans="1:9">
      <c r="A450" s="998">
        <f t="shared" si="6"/>
        <v>449</v>
      </c>
      <c r="B450" s="1098" t="s">
        <v>677</v>
      </c>
      <c r="C450" s="1000" t="s">
        <v>3212</v>
      </c>
      <c r="D450" s="932" t="str">
        <f>VLOOKUP($C450,Table1[#All],2,0)</f>
        <v>HOLDCO4G</v>
      </c>
      <c r="E450" s="932" t="s">
        <v>85</v>
      </c>
      <c r="F450" s="998" t="s">
        <v>80</v>
      </c>
      <c r="G450" s="932" t="s">
        <v>308</v>
      </c>
      <c r="H450" s="932" t="str">
        <f>VLOOKUP($C450,Table1[#All],3,0)</f>
        <v>Subsidiaries</v>
      </c>
      <c r="I450" s="932" t="str" cm="1">
        <f t="array" ref="I450">_xlfn.XLOOKUP(Acc_Char!$E450,Table4[[#All],[Branch]],Table4[[#All],[Bank]],"recheck",0)</f>
        <v>VIETINBANK - TIEN SON</v>
      </c>
    </row>
    <row r="451" spans="1:9">
      <c r="A451" s="998">
        <f t="shared" ref="A451:A514" si="7">A450+1</f>
        <v>450</v>
      </c>
      <c r="B451" s="1097" t="s">
        <v>679</v>
      </c>
      <c r="C451" s="1003" t="s">
        <v>3213</v>
      </c>
      <c r="D451" s="999" t="str">
        <f>VLOOKUP($C451,Table1[#All],2,0)</f>
        <v>HOLDCO4I</v>
      </c>
      <c r="E451" s="999" t="s">
        <v>85</v>
      </c>
      <c r="F451" s="1093" t="s">
        <v>80</v>
      </c>
      <c r="G451" s="999" t="s">
        <v>308</v>
      </c>
      <c r="H451" s="999" t="str">
        <f>VLOOKUP($C451,Table1[#All],3,0)</f>
        <v>Subsidiaries</v>
      </c>
      <c r="I451" s="999" t="str" cm="1">
        <f t="array" ref="I451">_xlfn.XLOOKUP(Acc_Char!$E451,Table4[[#All],[Branch]],Table4[[#All],[Bank]],"recheck",0)</f>
        <v>VIETINBANK - TIEN SON</v>
      </c>
    </row>
    <row r="452" spans="1:9">
      <c r="A452" s="998">
        <f t="shared" si="7"/>
        <v>451</v>
      </c>
      <c r="B452" s="1098" t="s">
        <v>681</v>
      </c>
      <c r="C452" s="1000" t="s">
        <v>3214</v>
      </c>
      <c r="D452" s="932" t="str">
        <f>VLOOKUP($C452,Table1[#All],2,0)</f>
        <v>HOLDCO4J</v>
      </c>
      <c r="E452" s="932" t="s">
        <v>85</v>
      </c>
      <c r="F452" s="998" t="s">
        <v>80</v>
      </c>
      <c r="G452" s="932" t="s">
        <v>308</v>
      </c>
      <c r="H452" s="932" t="str">
        <f>VLOOKUP($C452,Table1[#All],3,0)</f>
        <v>Subsidiaries</v>
      </c>
      <c r="I452" s="932" t="str" cm="1">
        <f t="array" ref="I452">_xlfn.XLOOKUP(Acc_Char!$E452,Table4[[#All],[Branch]],Table4[[#All],[Bank]],"recheck",0)</f>
        <v>VIETINBANK - TIEN SON</v>
      </c>
    </row>
    <row r="453" spans="1:9">
      <c r="A453" s="998">
        <f t="shared" si="7"/>
        <v>452</v>
      </c>
      <c r="B453" s="1097" t="s">
        <v>682</v>
      </c>
      <c r="C453" s="1003" t="s">
        <v>3214</v>
      </c>
      <c r="D453" s="999" t="str">
        <f>VLOOKUP($C453,Table1[#All],2,0)</f>
        <v>HOLDCO4J</v>
      </c>
      <c r="E453" s="999" t="s">
        <v>95</v>
      </c>
      <c r="F453" s="1093" t="s">
        <v>80</v>
      </c>
      <c r="G453" s="999" t="s">
        <v>308</v>
      </c>
      <c r="H453" s="999" t="str">
        <f>VLOOKUP($C453,Table1[#All],3,0)</f>
        <v>Subsidiaries</v>
      </c>
      <c r="I453" s="999" t="str" cm="1">
        <f t="array" ref="I453">_xlfn.XLOOKUP(Acc_Char!$E453,Table4[[#All],[Branch]],Table4[[#All],[Bank]],"recheck",0)</f>
        <v>OCB - BINH DUONG</v>
      </c>
    </row>
    <row r="454" spans="1:9">
      <c r="A454" s="998">
        <f t="shared" si="7"/>
        <v>453</v>
      </c>
      <c r="B454" s="1098" t="s">
        <v>684</v>
      </c>
      <c r="C454" s="1000" t="s">
        <v>2971</v>
      </c>
      <c r="D454" s="932" t="str">
        <f>VLOOKUP($C454,Table1[#All],2,0)</f>
        <v>HOLDCO5F</v>
      </c>
      <c r="E454" s="932" t="s">
        <v>85</v>
      </c>
      <c r="F454" s="998" t="s">
        <v>80</v>
      </c>
      <c r="G454" s="932" t="s">
        <v>308</v>
      </c>
      <c r="H454" s="932" t="str">
        <f>VLOOKUP($C454,Table1[#All],3,0)</f>
        <v>Subsidiaries</v>
      </c>
      <c r="I454" s="932" t="str" cm="1">
        <f t="array" ref="I454">_xlfn.XLOOKUP(Acc_Char!$E454,Table4[[#All],[Branch]],Table4[[#All],[Bank]],"recheck",0)</f>
        <v>VIETINBANK - TIEN SON</v>
      </c>
    </row>
    <row r="455" spans="1:9">
      <c r="A455" s="998">
        <f t="shared" si="7"/>
        <v>454</v>
      </c>
      <c r="B455" s="1004" t="s">
        <v>1014</v>
      </c>
      <c r="C455" s="1000" t="s">
        <v>414</v>
      </c>
      <c r="D455" s="932" t="str">
        <f>VLOOKUP($C455,Table1[#All],2,0)</f>
        <v>DEEP C 2B</v>
      </c>
      <c r="E455" s="932" t="s">
        <v>201</v>
      </c>
      <c r="F455" s="998" t="s">
        <v>81</v>
      </c>
      <c r="G455" s="932" t="s">
        <v>308</v>
      </c>
      <c r="H455" s="932" t="str">
        <f>VLOOKUP($C455,Table1[#All],3,0)</f>
        <v>Subsidiaries</v>
      </c>
      <c r="I455" s="932" t="str" cm="1">
        <f t="array" ref="I455">_xlfn.XLOOKUP(Acc_Char!$E1066,Table4[[#All],[Branch]],Table4[[#All],[Bank]],"recheck",0)</f>
        <v>BIDV - THANH XUAN</v>
      </c>
    </row>
    <row r="456" spans="1:9">
      <c r="A456" s="998">
        <f t="shared" si="7"/>
        <v>455</v>
      </c>
      <c r="B456" s="1098" t="s">
        <v>687</v>
      </c>
      <c r="C456" s="1000" t="s">
        <v>3215</v>
      </c>
      <c r="D456" s="932" t="str">
        <f>VLOOKUP($C456,Table1[#All],2,0)</f>
        <v>HOLDCO5G</v>
      </c>
      <c r="E456" s="932" t="s">
        <v>85</v>
      </c>
      <c r="F456" s="998" t="s">
        <v>80</v>
      </c>
      <c r="G456" s="932" t="s">
        <v>308</v>
      </c>
      <c r="H456" s="932" t="str">
        <f>VLOOKUP($C456,Table1[#All],3,0)</f>
        <v>Subsidiaries</v>
      </c>
      <c r="I456" s="932" t="str" cm="1">
        <f t="array" ref="I456">_xlfn.XLOOKUP(Acc_Char!$E456,Table4[[#All],[Branch]],Table4[[#All],[Bank]],"recheck",0)</f>
        <v>VIETINBANK - TIEN SON</v>
      </c>
    </row>
    <row r="457" spans="1:9">
      <c r="A457" s="998">
        <f t="shared" si="7"/>
        <v>456</v>
      </c>
      <c r="B457" s="1002" t="s">
        <v>689</v>
      </c>
      <c r="C457" s="1003" t="s">
        <v>3011</v>
      </c>
      <c r="D457" s="999" t="str">
        <f>VLOOKUP($C457,Table1[#All],2,0)</f>
        <v>HOLDCO5H</v>
      </c>
      <c r="E457" s="999" t="s">
        <v>85</v>
      </c>
      <c r="F457" s="1093" t="s">
        <v>80</v>
      </c>
      <c r="G457" s="999" t="s">
        <v>308</v>
      </c>
      <c r="H457" s="999" t="str">
        <f>VLOOKUP($C457,Table1[#All],3,0)</f>
        <v>Subsidiaries</v>
      </c>
      <c r="I457" s="999" t="str" cm="1">
        <f t="array" ref="I457">_xlfn.XLOOKUP(Acc_Char!$E457,Table4[[#All],[Branch]],Table4[[#All],[Bank]],"recheck",0)</f>
        <v>VIETINBANK - TIEN SON</v>
      </c>
    </row>
    <row r="458" spans="1:9">
      <c r="A458" s="998">
        <f t="shared" si="7"/>
        <v>457</v>
      </c>
      <c r="B458" s="1004" t="s">
        <v>1019</v>
      </c>
      <c r="C458" s="1000" t="s">
        <v>3216</v>
      </c>
      <c r="D458" s="932" t="str">
        <f>VLOOKUP($C458,Table1[#All],2,0)</f>
        <v>PHU AN THANH</v>
      </c>
      <c r="E458" s="932" t="s">
        <v>201</v>
      </c>
      <c r="F458" s="998" t="s">
        <v>81</v>
      </c>
      <c r="G458" s="932" t="s">
        <v>308</v>
      </c>
      <c r="H458" s="932" t="str">
        <f>VLOOKUP($C458,Table1[#All],3,0)</f>
        <v>Subsidiaries</v>
      </c>
      <c r="I458" s="932" t="str" cm="1">
        <f t="array" ref="I458">_xlfn.XLOOKUP(Acc_Char!$E1070,Table4[[#All],[Branch]],Table4[[#All],[Bank]],"recheck",0)</f>
        <v>BIDV - LONG BIEN</v>
      </c>
    </row>
    <row r="459" spans="1:9">
      <c r="A459" s="998">
        <f t="shared" si="7"/>
        <v>458</v>
      </c>
      <c r="B459" s="1097" t="s">
        <v>692</v>
      </c>
      <c r="C459" s="1003" t="s">
        <v>3217</v>
      </c>
      <c r="D459" s="999" t="str">
        <f>VLOOKUP($C459,Table1[#All],2,0)</f>
        <v>HOLDCO5I</v>
      </c>
      <c r="E459" s="999" t="s">
        <v>85</v>
      </c>
      <c r="F459" s="1093" t="s">
        <v>80</v>
      </c>
      <c r="G459" s="999" t="s">
        <v>308</v>
      </c>
      <c r="H459" s="999" t="str">
        <f>VLOOKUP($C459,Table1[#All],3,0)</f>
        <v>Subsidiaries</v>
      </c>
      <c r="I459" s="999" t="str" cm="1">
        <f t="array" ref="I459">_xlfn.XLOOKUP(Acc_Char!$E459,Table4[[#All],[Branch]],Table4[[#All],[Bank]],"recheck",0)</f>
        <v>VIETINBANK - TIEN SON</v>
      </c>
    </row>
    <row r="460" spans="1:9">
      <c r="A460" s="998">
        <f t="shared" si="7"/>
        <v>459</v>
      </c>
      <c r="B460" s="1098" t="s">
        <v>694</v>
      </c>
      <c r="C460" s="1000" t="s">
        <v>3218</v>
      </c>
      <c r="D460" s="932" t="str">
        <f>VLOOKUP($C460,Table1[#All],2,0)</f>
        <v>HOLDCO5J</v>
      </c>
      <c r="E460" s="932" t="s">
        <v>85</v>
      </c>
      <c r="F460" s="998" t="s">
        <v>80</v>
      </c>
      <c r="G460" s="932" t="s">
        <v>308</v>
      </c>
      <c r="H460" s="932" t="str">
        <f>VLOOKUP($C460,Table1[#All],3,0)</f>
        <v>Subsidiaries</v>
      </c>
      <c r="I460" s="932" t="str" cm="1">
        <f t="array" ref="I460">_xlfn.XLOOKUP(Acc_Char!$E460,Table4[[#All],[Branch]],Table4[[#All],[Bank]],"recheck",0)</f>
        <v>VIETINBANK - TIEN SON</v>
      </c>
    </row>
    <row r="461" spans="1:9">
      <c r="A461" s="998">
        <f t="shared" si="7"/>
        <v>460</v>
      </c>
      <c r="B461" s="1097" t="s">
        <v>3219</v>
      </c>
      <c r="C461" s="1003" t="s">
        <v>412</v>
      </c>
      <c r="D461" s="999" t="str">
        <f>VLOOKUP($C461,Table1[#All],2,0)</f>
        <v>DELIWAY</v>
      </c>
      <c r="E461" s="999" t="s">
        <v>98</v>
      </c>
      <c r="F461" s="1093" t="s">
        <v>80</v>
      </c>
      <c r="G461" s="999" t="s">
        <v>308</v>
      </c>
      <c r="H461" s="999" t="str">
        <f>VLOOKUP($C461,Table1[#All],3,0)</f>
        <v>Subsidiaries</v>
      </c>
      <c r="I461" s="999" t="str" cm="1">
        <f t="array" ref="I461">_xlfn.XLOOKUP(Acc_Char!$E461,Table4[[#All],[Branch]],Table4[[#All],[Bank]],"recheck",0)</f>
        <v>SINOPAC</v>
      </c>
    </row>
    <row r="462" spans="1:9">
      <c r="A462" s="998">
        <f t="shared" si="7"/>
        <v>461</v>
      </c>
      <c r="B462" s="1098" t="s">
        <v>3220</v>
      </c>
      <c r="C462" s="1000" t="s">
        <v>412</v>
      </c>
      <c r="D462" s="932" t="str">
        <f>VLOOKUP($C462,Table1[#All],2,0)</f>
        <v>DELIWAY</v>
      </c>
      <c r="E462" s="932" t="s">
        <v>98</v>
      </c>
      <c r="F462" s="998" t="s">
        <v>80</v>
      </c>
      <c r="G462" s="932" t="s">
        <v>310</v>
      </c>
      <c r="H462" s="932" t="str">
        <f>VLOOKUP($C462,Table1[#All],3,0)</f>
        <v>Subsidiaries</v>
      </c>
      <c r="I462" s="932" t="str" cm="1">
        <f t="array" ref="I462">_xlfn.XLOOKUP(Acc_Char!$E462,Table4[[#All],[Branch]],Table4[[#All],[Bank]],"recheck",0)</f>
        <v>SINOPAC</v>
      </c>
    </row>
    <row r="463" spans="1:9">
      <c r="A463" s="998">
        <f t="shared" si="7"/>
        <v>462</v>
      </c>
      <c r="B463" s="1097" t="s">
        <v>3221</v>
      </c>
      <c r="C463" s="1003" t="s">
        <v>412</v>
      </c>
      <c r="D463" s="999" t="str">
        <f>VLOOKUP($C463,Table1[#All],2,0)</f>
        <v>DELIWAY</v>
      </c>
      <c r="E463" s="999" t="s">
        <v>98</v>
      </c>
      <c r="F463" s="1093" t="s">
        <v>80</v>
      </c>
      <c r="G463" s="999" t="s">
        <v>310</v>
      </c>
      <c r="H463" s="999" t="str">
        <f>VLOOKUP($C463,Table1[#All],3,0)</f>
        <v>Subsidiaries</v>
      </c>
      <c r="I463" s="999" t="str" cm="1">
        <f t="array" ref="I463">_xlfn.XLOOKUP(Acc_Char!$E463,Table4[[#All],[Branch]],Table4[[#All],[Bank]],"recheck",0)</f>
        <v>SINOPAC</v>
      </c>
    </row>
    <row r="464" spans="1:9">
      <c r="A464" s="998">
        <f t="shared" si="7"/>
        <v>463</v>
      </c>
      <c r="B464" s="1098" t="s">
        <v>3222</v>
      </c>
      <c r="C464" s="1000" t="s">
        <v>412</v>
      </c>
      <c r="D464" s="932" t="str">
        <f>VLOOKUP($C464,Table1[#All],2,0)</f>
        <v>DELIWAY</v>
      </c>
      <c r="E464" s="932" t="s">
        <v>98</v>
      </c>
      <c r="F464" s="998" t="s">
        <v>80</v>
      </c>
      <c r="G464" s="932" t="s">
        <v>310</v>
      </c>
      <c r="H464" s="932" t="str">
        <f>VLOOKUP($C464,Table1[#All],3,0)</f>
        <v>Subsidiaries</v>
      </c>
      <c r="I464" s="932" t="str" cm="1">
        <f t="array" ref="I464">_xlfn.XLOOKUP(Acc_Char!$E464,Table4[[#All],[Branch]],Table4[[#All],[Bank]],"recheck",0)</f>
        <v>SINOPAC</v>
      </c>
    </row>
    <row r="465" spans="1:9">
      <c r="A465" s="998">
        <f t="shared" si="7"/>
        <v>464</v>
      </c>
      <c r="B465" s="1097" t="s">
        <v>3223</v>
      </c>
      <c r="C465" s="1003" t="s">
        <v>412</v>
      </c>
      <c r="D465" s="999" t="str">
        <f>VLOOKUP($C465,Table1[#All],2,0)</f>
        <v>DELIWAY</v>
      </c>
      <c r="E465" s="999" t="s">
        <v>340</v>
      </c>
      <c r="F465" s="1093" t="s">
        <v>80</v>
      </c>
      <c r="G465" s="999" t="s">
        <v>310</v>
      </c>
      <c r="H465" s="999" t="str">
        <f>VLOOKUP($C465,Table1[#All],3,0)</f>
        <v>Subsidiaries</v>
      </c>
      <c r="I465" s="999" t="str" cm="1">
        <f t="array" ref="I465">_xlfn.XLOOKUP(Acc_Char!$E465,Table4[[#All],[Branch]],Table4[[#All],[Bank]],"recheck",0)</f>
        <v>ACB - SAI GON</v>
      </c>
    </row>
    <row r="466" spans="1:9">
      <c r="A466" s="998">
        <f t="shared" si="7"/>
        <v>465</v>
      </c>
      <c r="B466" s="1098" t="s">
        <v>3224</v>
      </c>
      <c r="C466" s="1000" t="s">
        <v>412</v>
      </c>
      <c r="D466" s="932" t="str">
        <f>VLOOKUP($C466,Table1[#All],2,0)</f>
        <v>DELIWAY</v>
      </c>
      <c r="E466" s="932" t="s">
        <v>340</v>
      </c>
      <c r="F466" s="998" t="s">
        <v>80</v>
      </c>
      <c r="G466" s="932" t="s">
        <v>310</v>
      </c>
      <c r="H466" s="932" t="str">
        <f>VLOOKUP($C466,Table1[#All],3,0)</f>
        <v>Subsidiaries</v>
      </c>
      <c r="I466" s="932" t="str" cm="1">
        <f t="array" ref="I466">_xlfn.XLOOKUP(Acc_Char!$E466,Table4[[#All],[Branch]],Table4[[#All],[Bank]],"recheck",0)</f>
        <v>ACB - SAI GON</v>
      </c>
    </row>
    <row r="467" spans="1:9">
      <c r="A467" s="998">
        <f t="shared" si="7"/>
        <v>466</v>
      </c>
      <c r="B467" s="1097" t="s">
        <v>3225</v>
      </c>
      <c r="C467" s="1003" t="s">
        <v>412</v>
      </c>
      <c r="D467" s="999" t="str">
        <f>VLOOKUP($C467,Table1[#All],2,0)</f>
        <v>DELIWAY</v>
      </c>
      <c r="E467" s="999" t="s">
        <v>340</v>
      </c>
      <c r="F467" s="1093" t="s">
        <v>80</v>
      </c>
      <c r="G467" s="999" t="s">
        <v>310</v>
      </c>
      <c r="H467" s="999" t="str">
        <f>VLOOKUP($C467,Table1[#All],3,0)</f>
        <v>Subsidiaries</v>
      </c>
      <c r="I467" s="999" t="str" cm="1">
        <f t="array" ref="I467">_xlfn.XLOOKUP(Acc_Char!$E467,Table4[[#All],[Branch]],Table4[[#All],[Bank]],"recheck",0)</f>
        <v>ACB - SAI GON</v>
      </c>
    </row>
    <row r="468" spans="1:9">
      <c r="A468" s="998">
        <f t="shared" si="7"/>
        <v>467</v>
      </c>
      <c r="B468" s="1098" t="s">
        <v>696</v>
      </c>
      <c r="C468" s="1000" t="s">
        <v>412</v>
      </c>
      <c r="D468" s="932" t="str">
        <f>VLOOKUP($C468,Table1[#All],2,0)</f>
        <v>DELIWAY</v>
      </c>
      <c r="E468" s="932" t="s">
        <v>340</v>
      </c>
      <c r="F468" s="998" t="s">
        <v>80</v>
      </c>
      <c r="G468" s="932" t="s">
        <v>308</v>
      </c>
      <c r="H468" s="932" t="str">
        <f>VLOOKUP($C468,Table1[#All],3,0)</f>
        <v>Subsidiaries</v>
      </c>
      <c r="I468" s="932" t="str" cm="1">
        <f t="array" ref="I468">_xlfn.XLOOKUP(Acc_Char!$E468,Table4[[#All],[Branch]],Table4[[#All],[Bank]],"recheck",0)</f>
        <v>ACB - SAI GON</v>
      </c>
    </row>
    <row r="469" spans="1:9">
      <c r="A469" s="998">
        <f t="shared" si="7"/>
        <v>468</v>
      </c>
      <c r="B469" s="1097" t="s">
        <v>698</v>
      </c>
      <c r="C469" s="1003" t="s">
        <v>3226</v>
      </c>
      <c r="D469" s="999" t="str">
        <f>VLOOKUP($C469,Table1[#All],2,0)</f>
        <v>YEN PHONG</v>
      </c>
      <c r="E469" s="999" t="s">
        <v>85</v>
      </c>
      <c r="F469" s="1093" t="s">
        <v>80</v>
      </c>
      <c r="G469" s="999" t="s">
        <v>308</v>
      </c>
      <c r="H469" s="999" t="str">
        <f>VLOOKUP($C469,Table1[#All],3,0)</f>
        <v>Subsidiaries</v>
      </c>
      <c r="I469" s="999" t="str" cm="1">
        <f t="array" ref="I469">_xlfn.XLOOKUP(Acc_Char!$E469,Table4[[#All],[Branch]],Table4[[#All],[Bank]],"recheck",0)</f>
        <v>VIETINBANK - TIEN SON</v>
      </c>
    </row>
    <row r="470" spans="1:9">
      <c r="A470" s="998">
        <f t="shared" si="7"/>
        <v>469</v>
      </c>
      <c r="B470" s="1098" t="s">
        <v>3227</v>
      </c>
      <c r="C470" s="1000" t="s">
        <v>3226</v>
      </c>
      <c r="D470" s="932" t="str">
        <f>VLOOKUP($C470,Table1[#All],2,0)</f>
        <v>YEN PHONG</v>
      </c>
      <c r="E470" s="932" t="s">
        <v>85</v>
      </c>
      <c r="F470" s="998" t="s">
        <v>80</v>
      </c>
      <c r="G470" s="932" t="s">
        <v>310</v>
      </c>
      <c r="H470" s="932" t="str">
        <f>VLOOKUP($C470,Table1[#All],3,0)</f>
        <v>Subsidiaries</v>
      </c>
      <c r="I470" s="932" t="str" cm="1">
        <f t="array" ref="I470">_xlfn.XLOOKUP(Acc_Char!$E470,Table4[[#All],[Branch]],Table4[[#All],[Bank]],"recheck",0)</f>
        <v>VIETINBANK - TIEN SON</v>
      </c>
    </row>
    <row r="471" spans="1:9">
      <c r="A471" s="998">
        <f t="shared" si="7"/>
        <v>470</v>
      </c>
      <c r="B471" s="1097" t="s">
        <v>3228</v>
      </c>
      <c r="C471" s="1003" t="s">
        <v>3226</v>
      </c>
      <c r="D471" s="999" t="str">
        <f>VLOOKUP($C471,Table1[#All],2,0)</f>
        <v>YEN PHONG</v>
      </c>
      <c r="E471" s="999" t="s">
        <v>85</v>
      </c>
      <c r="F471" s="1093" t="s">
        <v>80</v>
      </c>
      <c r="G471" s="999" t="s">
        <v>310</v>
      </c>
      <c r="H471" s="999" t="str">
        <f>VLOOKUP($C471,Table1[#All],3,0)</f>
        <v>Subsidiaries</v>
      </c>
      <c r="I471" s="999" t="str" cm="1">
        <f t="array" ref="I471">_xlfn.XLOOKUP(Acc_Char!$E471,Table4[[#All],[Branch]],Table4[[#All],[Bank]],"recheck",0)</f>
        <v>VIETINBANK - TIEN SON</v>
      </c>
    </row>
    <row r="472" spans="1:9">
      <c r="A472" s="998">
        <f t="shared" si="7"/>
        <v>471</v>
      </c>
      <c r="B472" s="1098" t="s">
        <v>3229</v>
      </c>
      <c r="C472" s="1000" t="s">
        <v>3226</v>
      </c>
      <c r="D472" s="932" t="str">
        <f>VLOOKUP($C472,Table1[#All],2,0)</f>
        <v>YEN PHONG</v>
      </c>
      <c r="E472" s="932" t="s">
        <v>85</v>
      </c>
      <c r="F472" s="998" t="s">
        <v>80</v>
      </c>
      <c r="G472" s="932" t="s">
        <v>310</v>
      </c>
      <c r="H472" s="932" t="str">
        <f>VLOOKUP($C472,Table1[#All],3,0)</f>
        <v>Subsidiaries</v>
      </c>
      <c r="I472" s="932" t="str" cm="1">
        <f t="array" ref="I472">_xlfn.XLOOKUP(Acc_Char!$E472,Table4[[#All],[Branch]],Table4[[#All],[Bank]],"recheck",0)</f>
        <v>VIETINBANK - TIEN SON</v>
      </c>
    </row>
    <row r="473" spans="1:9">
      <c r="A473" s="998">
        <f t="shared" si="7"/>
        <v>472</v>
      </c>
      <c r="B473" s="1097" t="s">
        <v>3230</v>
      </c>
      <c r="C473" s="1003" t="s">
        <v>3226</v>
      </c>
      <c r="D473" s="999" t="str">
        <f>VLOOKUP($C473,Table1[#All],2,0)</f>
        <v>YEN PHONG</v>
      </c>
      <c r="E473" s="999" t="s">
        <v>85</v>
      </c>
      <c r="F473" s="1093" t="s">
        <v>80</v>
      </c>
      <c r="G473" s="999" t="s">
        <v>310</v>
      </c>
      <c r="H473" s="999" t="str">
        <f>VLOOKUP($C473,Table1[#All],3,0)</f>
        <v>Subsidiaries</v>
      </c>
      <c r="I473" s="999" t="str" cm="1">
        <f t="array" ref="I473">_xlfn.XLOOKUP(Acc_Char!$E473,Table4[[#All],[Branch]],Table4[[#All],[Bank]],"recheck",0)</f>
        <v>VIETINBANK - TIEN SON</v>
      </c>
    </row>
    <row r="474" spans="1:9">
      <c r="A474" s="998">
        <f t="shared" si="7"/>
        <v>473</v>
      </c>
      <c r="B474" s="1098" t="s">
        <v>3231</v>
      </c>
      <c r="C474" s="1000" t="s">
        <v>3226</v>
      </c>
      <c r="D474" s="932" t="str">
        <f>VLOOKUP($C474,Table1[#All],2,0)</f>
        <v>YEN PHONG</v>
      </c>
      <c r="E474" s="932" t="s">
        <v>85</v>
      </c>
      <c r="F474" s="998" t="s">
        <v>80</v>
      </c>
      <c r="G474" s="932" t="s">
        <v>310</v>
      </c>
      <c r="H474" s="932" t="str">
        <f>VLOOKUP($C474,Table1[#All],3,0)</f>
        <v>Subsidiaries</v>
      </c>
      <c r="I474" s="932" t="str" cm="1">
        <f t="array" ref="I474">_xlfn.XLOOKUP(Acc_Char!$E474,Table4[[#All],[Branch]],Table4[[#All],[Bank]],"recheck",0)</f>
        <v>VIETINBANK - TIEN SON</v>
      </c>
    </row>
    <row r="475" spans="1:9">
      <c r="A475" s="998">
        <f t="shared" si="7"/>
        <v>474</v>
      </c>
      <c r="B475" s="1097" t="s">
        <v>3232</v>
      </c>
      <c r="C475" s="1003" t="s">
        <v>3226</v>
      </c>
      <c r="D475" s="999" t="str">
        <f>VLOOKUP($C475,Table1[#All],2,0)</f>
        <v>YEN PHONG</v>
      </c>
      <c r="E475" s="999" t="s">
        <v>85</v>
      </c>
      <c r="F475" s="1093" t="s">
        <v>80</v>
      </c>
      <c r="G475" s="999" t="s">
        <v>310</v>
      </c>
      <c r="H475" s="999" t="str">
        <f>VLOOKUP($C475,Table1[#All],3,0)</f>
        <v>Subsidiaries</v>
      </c>
      <c r="I475" s="999" t="str" cm="1">
        <f t="array" ref="I475">_xlfn.XLOOKUP(Acc_Char!$E475,Table4[[#All],[Branch]],Table4[[#All],[Bank]],"recheck",0)</f>
        <v>VIETINBANK - TIEN SON</v>
      </c>
    </row>
    <row r="476" spans="1:9">
      <c r="A476" s="998">
        <f t="shared" si="7"/>
        <v>475</v>
      </c>
      <c r="B476" s="1098" t="s">
        <v>700</v>
      </c>
      <c r="C476" s="1000" t="s">
        <v>426</v>
      </c>
      <c r="D476" s="932" t="str">
        <f>VLOOKUP($C476,Table1[#All],2,0)</f>
        <v>BAU BANG 5</v>
      </c>
      <c r="E476" s="932" t="s">
        <v>153</v>
      </c>
      <c r="F476" s="998" t="s">
        <v>80</v>
      </c>
      <c r="G476" s="932" t="s">
        <v>308</v>
      </c>
      <c r="H476" s="932" t="str">
        <f>VLOOKUP($C476,Table1[#All],3,0)</f>
        <v>Subsidiaries</v>
      </c>
      <c r="I476" s="932" t="str" cm="1">
        <f t="array" ref="I476">_xlfn.XLOOKUP(Acc_Char!$E476,Table4[[#All],[Branch]],Table4[[#All],[Bank]],"recheck",0)</f>
        <v>VIETINBANK - BINH DUONG + QM</v>
      </c>
    </row>
    <row r="477" spans="1:9">
      <c r="A477" s="998">
        <f t="shared" si="7"/>
        <v>476</v>
      </c>
      <c r="B477" s="1097" t="s">
        <v>702</v>
      </c>
      <c r="C477" s="1003" t="s">
        <v>3233</v>
      </c>
      <c r="D477" s="999" t="str">
        <f>VLOOKUP($C477,Table1[#All],2,0)</f>
        <v>BAU BANG 6</v>
      </c>
      <c r="E477" s="999" t="s">
        <v>153</v>
      </c>
      <c r="F477" s="1093" t="s">
        <v>80</v>
      </c>
      <c r="G477" s="999" t="s">
        <v>308</v>
      </c>
      <c r="H477" s="999" t="str">
        <f>VLOOKUP($C477,Table1[#All],3,0)</f>
        <v>Subsidiaries</v>
      </c>
      <c r="I477" s="999" t="str" cm="1">
        <f t="array" ref="I477">_xlfn.XLOOKUP(Acc_Char!$E477,Table4[[#All],[Branch]],Table4[[#All],[Bank]],"recheck",0)</f>
        <v>VIETINBANK - BINH DUONG + QM</v>
      </c>
    </row>
    <row r="478" spans="1:9">
      <c r="A478" s="998">
        <f t="shared" si="7"/>
        <v>477</v>
      </c>
      <c r="B478" s="1098" t="s">
        <v>3234</v>
      </c>
      <c r="C478" s="1000" t="s">
        <v>3233</v>
      </c>
      <c r="D478" s="932" t="str">
        <f>VLOOKUP($C478,Table1[#All],2,0)</f>
        <v>BAU BANG 6</v>
      </c>
      <c r="E478" s="932" t="s">
        <v>153</v>
      </c>
      <c r="F478" s="998" t="s">
        <v>80</v>
      </c>
      <c r="G478" s="932" t="s">
        <v>310</v>
      </c>
      <c r="H478" s="932" t="str">
        <f>VLOOKUP($C478,Table1[#All],3,0)</f>
        <v>Subsidiaries</v>
      </c>
      <c r="I478" s="932" t="str" cm="1">
        <f t="array" ref="I478">_xlfn.XLOOKUP(Acc_Char!$E478,Table4[[#All],[Branch]],Table4[[#All],[Bank]],"recheck",0)</f>
        <v>VIETINBANK - BINH DUONG + QM</v>
      </c>
    </row>
    <row r="479" spans="1:9">
      <c r="A479" s="998">
        <f t="shared" si="7"/>
        <v>478</v>
      </c>
      <c r="B479" s="1097" t="s">
        <v>3235</v>
      </c>
      <c r="C479" s="1003" t="s">
        <v>3233</v>
      </c>
      <c r="D479" s="999" t="str">
        <f>VLOOKUP($C479,Table1[#All],2,0)</f>
        <v>BAU BANG 6</v>
      </c>
      <c r="E479" s="999" t="s">
        <v>153</v>
      </c>
      <c r="F479" s="1093" t="s">
        <v>80</v>
      </c>
      <c r="G479" s="999" t="s">
        <v>310</v>
      </c>
      <c r="H479" s="999" t="str">
        <f>VLOOKUP($C479,Table1[#All],3,0)</f>
        <v>Subsidiaries</v>
      </c>
      <c r="I479" s="999" t="str" cm="1">
        <f t="array" ref="I479">_xlfn.XLOOKUP(Acc_Char!$E479,Table4[[#All],[Branch]],Table4[[#All],[Bank]],"recheck",0)</f>
        <v>VIETINBANK - BINH DUONG + QM</v>
      </c>
    </row>
    <row r="480" spans="1:9">
      <c r="A480" s="998">
        <f t="shared" si="7"/>
        <v>479</v>
      </c>
      <c r="B480" s="1098" t="s">
        <v>3236</v>
      </c>
      <c r="C480" s="1000" t="s">
        <v>3237</v>
      </c>
      <c r="D480" s="932" t="str">
        <f>VLOOKUP($C480,Table1[#All],2,0)</f>
        <v>LONG BINH</v>
      </c>
      <c r="E480" s="932" t="s">
        <v>86</v>
      </c>
      <c r="F480" s="998" t="s">
        <v>80</v>
      </c>
      <c r="G480" s="932" t="s">
        <v>310</v>
      </c>
      <c r="H480" s="932" t="str">
        <f>VLOOKUP($C480,Table1[#All],3,0)</f>
        <v>Subsidiaries</v>
      </c>
      <c r="I480" s="932" t="str" cm="1">
        <f t="array" ref="I480">_xlfn.XLOOKUP(Acc_Char!$E480,Table4[[#All],[Branch]],Table4[[#All],[Bank]],"recheck",0)</f>
        <v>VIETINBANK - CN1</v>
      </c>
    </row>
    <row r="481" spans="1:9">
      <c r="A481" s="998">
        <f t="shared" si="7"/>
        <v>480</v>
      </c>
      <c r="B481" s="1097" t="s">
        <v>3238</v>
      </c>
      <c r="C481" s="1003" t="s">
        <v>3237</v>
      </c>
      <c r="D481" s="999" t="str">
        <f>VLOOKUP($C481,Table1[#All],2,0)</f>
        <v>LONG BINH</v>
      </c>
      <c r="E481" s="999" t="s">
        <v>86</v>
      </c>
      <c r="F481" s="1093" t="s">
        <v>80</v>
      </c>
      <c r="G481" s="999" t="s">
        <v>310</v>
      </c>
      <c r="H481" s="999" t="str">
        <f>VLOOKUP($C481,Table1[#All],3,0)</f>
        <v>Subsidiaries</v>
      </c>
      <c r="I481" s="999" t="str" cm="1">
        <f t="array" ref="I481">_xlfn.XLOOKUP(Acc_Char!$E481,Table4[[#All],[Branch]],Table4[[#All],[Bank]],"recheck",0)</f>
        <v>VIETINBANK - CN1</v>
      </c>
    </row>
    <row r="482" spans="1:9">
      <c r="A482" s="998">
        <f t="shared" si="7"/>
        <v>481</v>
      </c>
      <c r="B482" s="1098" t="s">
        <v>3239</v>
      </c>
      <c r="C482" s="1000" t="s">
        <v>3237</v>
      </c>
      <c r="D482" s="932" t="str">
        <f>VLOOKUP($C482,Table1[#All],2,0)</f>
        <v>LONG BINH</v>
      </c>
      <c r="E482" s="932" t="s">
        <v>86</v>
      </c>
      <c r="F482" s="998" t="s">
        <v>80</v>
      </c>
      <c r="G482" s="932" t="s">
        <v>310</v>
      </c>
      <c r="H482" s="932" t="str">
        <f>VLOOKUP($C482,Table1[#All],3,0)</f>
        <v>Subsidiaries</v>
      </c>
      <c r="I482" s="932" t="str" cm="1">
        <f t="array" ref="I482">_xlfn.XLOOKUP(Acc_Char!$E482,Table4[[#All],[Branch]],Table4[[#All],[Bank]],"recheck",0)</f>
        <v>VIETINBANK - CN1</v>
      </c>
    </row>
    <row r="483" spans="1:9">
      <c r="A483" s="998">
        <f t="shared" si="7"/>
        <v>482</v>
      </c>
      <c r="B483" s="1097" t="s">
        <v>3240</v>
      </c>
      <c r="C483" s="1003" t="s">
        <v>3237</v>
      </c>
      <c r="D483" s="999" t="str">
        <f>VLOOKUP($C483,Table1[#All],2,0)</f>
        <v>LONG BINH</v>
      </c>
      <c r="E483" s="999" t="s">
        <v>86</v>
      </c>
      <c r="F483" s="1093" t="s">
        <v>80</v>
      </c>
      <c r="G483" s="999" t="s">
        <v>310</v>
      </c>
      <c r="H483" s="999" t="str">
        <f>VLOOKUP($C483,Table1[#All],3,0)</f>
        <v>Subsidiaries</v>
      </c>
      <c r="I483" s="999" t="str" cm="1">
        <f t="array" ref="I483">_xlfn.XLOOKUP(Acc_Char!$E483,Table4[[#All],[Branch]],Table4[[#All],[Bank]],"recheck",0)</f>
        <v>VIETINBANK - CN1</v>
      </c>
    </row>
    <row r="484" spans="1:9">
      <c r="A484" s="998">
        <f t="shared" si="7"/>
        <v>483</v>
      </c>
      <c r="B484" s="1098" t="s">
        <v>3241</v>
      </c>
      <c r="C484" s="1000" t="s">
        <v>3237</v>
      </c>
      <c r="D484" s="932" t="str">
        <f>VLOOKUP($C484,Table1[#All],2,0)</f>
        <v>LONG BINH</v>
      </c>
      <c r="E484" s="932" t="s">
        <v>86</v>
      </c>
      <c r="F484" s="998" t="s">
        <v>80</v>
      </c>
      <c r="G484" s="932" t="s">
        <v>310</v>
      </c>
      <c r="H484" s="932" t="str">
        <f>VLOOKUP($C484,Table1[#All],3,0)</f>
        <v>Subsidiaries</v>
      </c>
      <c r="I484" s="932" t="str" cm="1">
        <f t="array" ref="I484">_xlfn.XLOOKUP(Acc_Char!$E484,Table4[[#All],[Branch]],Table4[[#All],[Bank]],"recheck",0)</f>
        <v>VIETINBANK - CN1</v>
      </c>
    </row>
    <row r="485" spans="1:9">
      <c r="A485" s="998">
        <f t="shared" si="7"/>
        <v>484</v>
      </c>
      <c r="B485" s="1097" t="s">
        <v>3242</v>
      </c>
      <c r="C485" s="1003" t="s">
        <v>3237</v>
      </c>
      <c r="D485" s="999" t="str">
        <f>VLOOKUP($C485,Table1[#All],2,0)</f>
        <v>LONG BINH</v>
      </c>
      <c r="E485" s="999" t="s">
        <v>86</v>
      </c>
      <c r="F485" s="1093" t="s">
        <v>80</v>
      </c>
      <c r="G485" s="999" t="s">
        <v>310</v>
      </c>
      <c r="H485" s="999" t="str">
        <f>VLOOKUP($C485,Table1[#All],3,0)</f>
        <v>Subsidiaries</v>
      </c>
      <c r="I485" s="999" t="str" cm="1">
        <f t="array" ref="I485">_xlfn.XLOOKUP(Acc_Char!$E485,Table4[[#All],[Branch]],Table4[[#All],[Bank]],"recheck",0)</f>
        <v>VIETINBANK - CN1</v>
      </c>
    </row>
    <row r="486" spans="1:9">
      <c r="A486" s="998">
        <f t="shared" si="7"/>
        <v>485</v>
      </c>
      <c r="B486" s="1098" t="s">
        <v>3243</v>
      </c>
      <c r="C486" s="1000" t="s">
        <v>3237</v>
      </c>
      <c r="D486" s="932" t="str">
        <f>VLOOKUP($C486,Table1[#All],2,0)</f>
        <v>LONG BINH</v>
      </c>
      <c r="E486" s="932" t="s">
        <v>86</v>
      </c>
      <c r="F486" s="998" t="s">
        <v>80</v>
      </c>
      <c r="G486" s="932" t="s">
        <v>310</v>
      </c>
      <c r="H486" s="932" t="str">
        <f>VLOOKUP($C486,Table1[#All],3,0)</f>
        <v>Subsidiaries</v>
      </c>
      <c r="I486" s="932" t="str" cm="1">
        <f t="array" ref="I486">_xlfn.XLOOKUP(Acc_Char!$E486,Table4[[#All],[Branch]],Table4[[#All],[Bank]],"recheck",0)</f>
        <v>VIETINBANK - CN1</v>
      </c>
    </row>
    <row r="487" spans="1:9">
      <c r="A487" s="998">
        <f t="shared" si="7"/>
        <v>486</v>
      </c>
      <c r="B487" s="1097" t="s">
        <v>704</v>
      </c>
      <c r="C487" s="1003" t="s">
        <v>3237</v>
      </c>
      <c r="D487" s="999" t="str">
        <f>VLOOKUP($C487,Table1[#All],2,0)</f>
        <v>LONG BINH</v>
      </c>
      <c r="E487" s="999" t="s">
        <v>86</v>
      </c>
      <c r="F487" s="1093" t="s">
        <v>80</v>
      </c>
      <c r="G487" s="999" t="s">
        <v>310</v>
      </c>
      <c r="H487" s="999" t="str">
        <f>VLOOKUP($C487,Table1[#All],3,0)</f>
        <v>Subsidiaries</v>
      </c>
      <c r="I487" s="999" t="str" cm="1">
        <f t="array" ref="I487">_xlfn.XLOOKUP(Acc_Char!$E487,Table4[[#All],[Branch]],Table4[[#All],[Bank]],"recheck",0)</f>
        <v>VIETINBANK - CN1</v>
      </c>
    </row>
    <row r="488" spans="1:9">
      <c r="A488" s="998">
        <f t="shared" si="7"/>
        <v>487</v>
      </c>
      <c r="B488" s="1098" t="s">
        <v>705</v>
      </c>
      <c r="C488" s="1000" t="s">
        <v>3237</v>
      </c>
      <c r="D488" s="932" t="str">
        <f>VLOOKUP($C488,Table1[#All],2,0)</f>
        <v>LONG BINH</v>
      </c>
      <c r="E488" s="932" t="s">
        <v>86</v>
      </c>
      <c r="F488" s="998" t="s">
        <v>80</v>
      </c>
      <c r="G488" s="932" t="s">
        <v>308</v>
      </c>
      <c r="H488" s="932" t="str">
        <f>VLOOKUP($C488,Table1[#All],3,0)</f>
        <v>Subsidiaries</v>
      </c>
      <c r="I488" s="932" t="str" cm="1">
        <f t="array" ref="I488">_xlfn.XLOOKUP(Acc_Char!$E488,Table4[[#All],[Branch]],Table4[[#All],[Bank]],"recheck",0)</f>
        <v>VIETINBANK - CN1</v>
      </c>
    </row>
    <row r="489" spans="1:9">
      <c r="A489" s="998">
        <f t="shared" si="7"/>
        <v>488</v>
      </c>
      <c r="B489" s="1097" t="s">
        <v>3244</v>
      </c>
      <c r="C489" s="1003" t="s">
        <v>437</v>
      </c>
      <c r="D489" s="999" t="str">
        <f>VLOOKUP($C489,Table1[#All],2,0)</f>
        <v>XENIA 1</v>
      </c>
      <c r="E489" s="999" t="s">
        <v>85</v>
      </c>
      <c r="F489" s="1093" t="s">
        <v>80</v>
      </c>
      <c r="G489" s="999" t="s">
        <v>310</v>
      </c>
      <c r="H489" s="999" t="str">
        <f>VLOOKUP($C489,Table1[#All],3,0)</f>
        <v>Subsidiaries</v>
      </c>
      <c r="I489" s="999" t="str" cm="1">
        <f t="array" ref="I489">_xlfn.XLOOKUP(Acc_Char!$E489,Table4[[#All],[Branch]],Table4[[#All],[Bank]],"recheck",0)</f>
        <v>VIETINBANK - TIEN SON</v>
      </c>
    </row>
    <row r="490" spans="1:9">
      <c r="A490" s="998">
        <f t="shared" si="7"/>
        <v>489</v>
      </c>
      <c r="B490" s="1098" t="s">
        <v>707</v>
      </c>
      <c r="C490" s="1000" t="s">
        <v>437</v>
      </c>
      <c r="D490" s="932" t="str">
        <f>VLOOKUP($C490,Table1[#All],2,0)</f>
        <v>XENIA 1</v>
      </c>
      <c r="E490" s="932" t="s">
        <v>85</v>
      </c>
      <c r="F490" s="998" t="s">
        <v>80</v>
      </c>
      <c r="G490" s="932" t="s">
        <v>308</v>
      </c>
      <c r="H490" s="932" t="str">
        <f>VLOOKUP($C490,Table1[#All],3,0)</f>
        <v>Subsidiaries</v>
      </c>
      <c r="I490" s="932" t="str" cm="1">
        <f t="array" ref="I490">_xlfn.XLOOKUP(Acc_Char!$E490,Table4[[#All],[Branch]],Table4[[#All],[Bank]],"recheck",0)</f>
        <v>VIETINBANK - TIEN SON</v>
      </c>
    </row>
    <row r="491" spans="1:9">
      <c r="A491" s="998">
        <f t="shared" si="7"/>
        <v>490</v>
      </c>
      <c r="B491" s="1097" t="s">
        <v>3245</v>
      </c>
      <c r="C491" s="1003" t="s">
        <v>3246</v>
      </c>
      <c r="D491" s="999" t="str">
        <f>VLOOKUP($C491,Table1[#All],2,0)</f>
        <v>XENIA 2</v>
      </c>
      <c r="E491" s="999" t="s">
        <v>85</v>
      </c>
      <c r="F491" s="1093" t="s">
        <v>80</v>
      </c>
      <c r="G491" s="999" t="s">
        <v>310</v>
      </c>
      <c r="H491" s="999" t="str">
        <f>VLOOKUP($C491,Table1[#All],3,0)</f>
        <v>Subsidiaries</v>
      </c>
      <c r="I491" s="999" t="str" cm="1">
        <f t="array" ref="I491">_xlfn.XLOOKUP(Acc_Char!$E491,Table4[[#All],[Branch]],Table4[[#All],[Bank]],"recheck",0)</f>
        <v>VIETINBANK - TIEN SON</v>
      </c>
    </row>
    <row r="492" spans="1:9">
      <c r="A492" s="998">
        <f t="shared" si="7"/>
        <v>491</v>
      </c>
      <c r="B492" s="1098" t="s">
        <v>709</v>
      </c>
      <c r="C492" s="1000" t="s">
        <v>3246</v>
      </c>
      <c r="D492" s="932" t="str">
        <f>VLOOKUP($C492,Table1[#All],2,0)</f>
        <v>XENIA 2</v>
      </c>
      <c r="E492" s="932" t="s">
        <v>85</v>
      </c>
      <c r="F492" s="998" t="s">
        <v>80</v>
      </c>
      <c r="G492" s="932" t="s">
        <v>308</v>
      </c>
      <c r="H492" s="932" t="str">
        <f>VLOOKUP($C492,Table1[#All],3,0)</f>
        <v>Subsidiaries</v>
      </c>
      <c r="I492" s="932" t="str" cm="1">
        <f t="array" ref="I492">_xlfn.XLOOKUP(Acc_Char!$E492,Table4[[#All],[Branch]],Table4[[#All],[Bank]],"recheck",0)</f>
        <v>VIETINBANK - TIEN SON</v>
      </c>
    </row>
    <row r="493" spans="1:9">
      <c r="A493" s="998">
        <f t="shared" si="7"/>
        <v>492</v>
      </c>
      <c r="B493" s="1097" t="s">
        <v>3247</v>
      </c>
      <c r="C493" s="1003" t="s">
        <v>3248</v>
      </c>
      <c r="D493" s="999" t="str">
        <f>VLOOKUP($C493,Table1[#All],2,0)</f>
        <v>WINLOCK 2A</v>
      </c>
      <c r="E493" s="999" t="s">
        <v>85</v>
      </c>
      <c r="F493" s="1093" t="s">
        <v>80</v>
      </c>
      <c r="G493" s="999" t="s">
        <v>310</v>
      </c>
      <c r="H493" s="999" t="str">
        <f>VLOOKUP($C493,Table1[#All],3,0)</f>
        <v>Subsidiaries</v>
      </c>
      <c r="I493" s="999" t="str" cm="1">
        <f t="array" ref="I493">_xlfn.XLOOKUP(Acc_Char!$E493,Table4[[#All],[Branch]],Table4[[#All],[Bank]],"recheck",0)</f>
        <v>VIETINBANK - TIEN SON</v>
      </c>
    </row>
    <row r="494" spans="1:9">
      <c r="A494" s="998">
        <f t="shared" si="7"/>
        <v>493</v>
      </c>
      <c r="B494" s="1098" t="s">
        <v>711</v>
      </c>
      <c r="C494" s="1000" t="s">
        <v>3248</v>
      </c>
      <c r="D494" s="932" t="str">
        <f>VLOOKUP($C494,Table1[#All],2,0)</f>
        <v>WINLOCK 2A</v>
      </c>
      <c r="E494" s="932" t="s">
        <v>85</v>
      </c>
      <c r="F494" s="998" t="s">
        <v>80</v>
      </c>
      <c r="G494" s="932" t="s">
        <v>308</v>
      </c>
      <c r="H494" s="932" t="str">
        <f>VLOOKUP($C494,Table1[#All],3,0)</f>
        <v>Subsidiaries</v>
      </c>
      <c r="I494" s="932" t="str" cm="1">
        <f t="array" ref="I494">_xlfn.XLOOKUP(Acc_Char!$E494,Table4[[#All],[Branch]],Table4[[#All],[Bank]],"recheck",0)</f>
        <v>VIETINBANK - TIEN SON</v>
      </c>
    </row>
    <row r="495" spans="1:9">
      <c r="A495" s="998">
        <f t="shared" si="7"/>
        <v>494</v>
      </c>
      <c r="B495" s="1097" t="s">
        <v>713</v>
      </c>
      <c r="C495" s="1003" t="s">
        <v>3249</v>
      </c>
      <c r="D495" s="999" t="str">
        <f>VLOOKUP($C495,Table1[#All],2,0)</f>
        <v>WINLOCK 2B</v>
      </c>
      <c r="E495" s="999" t="s">
        <v>85</v>
      </c>
      <c r="F495" s="1093" t="s">
        <v>80</v>
      </c>
      <c r="G495" s="999" t="s">
        <v>308</v>
      </c>
      <c r="H495" s="999" t="str">
        <f>VLOOKUP($C495,Table1[#All],3,0)</f>
        <v>Subsidiaries</v>
      </c>
      <c r="I495" s="999" t="str" cm="1">
        <f t="array" ref="I495">_xlfn.XLOOKUP(Acc_Char!$E495,Table4[[#All],[Branch]],Table4[[#All],[Bank]],"recheck",0)</f>
        <v>VIETINBANK - TIEN SON</v>
      </c>
    </row>
    <row r="496" spans="1:9">
      <c r="A496" s="998">
        <f t="shared" si="7"/>
        <v>495</v>
      </c>
      <c r="B496" s="1098" t="s">
        <v>715</v>
      </c>
      <c r="C496" s="1000" t="s">
        <v>3250</v>
      </c>
      <c r="D496" s="932" t="str">
        <f>VLOOKUP($C496,Table1[#All],2,0)</f>
        <v>BW MY PHUOC 3</v>
      </c>
      <c r="E496" s="932" t="s">
        <v>153</v>
      </c>
      <c r="F496" s="998" t="s">
        <v>80</v>
      </c>
      <c r="G496" s="932" t="s">
        <v>308</v>
      </c>
      <c r="H496" s="932" t="str">
        <f>VLOOKUP($C496,Table1[#All],3,0)</f>
        <v>Subsidiaries</v>
      </c>
      <c r="I496" s="932" t="str" cm="1">
        <f t="array" ref="I496">_xlfn.XLOOKUP(Acc_Char!$E496,Table4[[#All],[Branch]],Table4[[#All],[Bank]],"recheck",0)</f>
        <v>VIETINBANK - BINH DUONG + QM</v>
      </c>
    </row>
    <row r="497" spans="1:9">
      <c r="A497" s="998">
        <f t="shared" si="7"/>
        <v>496</v>
      </c>
      <c r="B497" s="1097" t="s">
        <v>717</v>
      </c>
      <c r="C497" s="1003" t="s">
        <v>3251</v>
      </c>
      <c r="D497" s="999" t="str">
        <f>VLOOKUP($C497,Table1[#All],2,0)</f>
        <v>BW BAU BANG 01</v>
      </c>
      <c r="E497" s="999" t="s">
        <v>153</v>
      </c>
      <c r="F497" s="1093" t="s">
        <v>80</v>
      </c>
      <c r="G497" s="999" t="s">
        <v>308</v>
      </c>
      <c r="H497" s="999" t="str">
        <f>VLOOKUP($C497,Table1[#All],3,0)</f>
        <v>Subsidiaries</v>
      </c>
      <c r="I497" s="999" t="str" cm="1">
        <f t="array" ref="I497">_xlfn.XLOOKUP(Acc_Char!$E497,Table4[[#All],[Branch]],Table4[[#All],[Bank]],"recheck",0)</f>
        <v>VIETINBANK - BINH DUONG + QM</v>
      </c>
    </row>
    <row r="498" spans="1:9">
      <c r="A498" s="998">
        <f t="shared" si="7"/>
        <v>497</v>
      </c>
      <c r="B498" s="1098" t="s">
        <v>719</v>
      </c>
      <c r="C498" s="1000" t="s">
        <v>3252</v>
      </c>
      <c r="D498" s="932" t="str">
        <f>VLOOKUP($C498,Table1[#All],2,0)</f>
        <v>HOLDCO4K</v>
      </c>
      <c r="E498" s="932" t="s">
        <v>92</v>
      </c>
      <c r="F498" s="998" t="s">
        <v>80</v>
      </c>
      <c r="G498" s="932" t="s">
        <v>308</v>
      </c>
      <c r="H498" s="932" t="str">
        <f>VLOOKUP($C498,Table1[#All],3,0)</f>
        <v>Subsidiaries</v>
      </c>
      <c r="I498" s="932" t="str" cm="1">
        <f t="array" ref="I498">_xlfn.XLOOKUP(Acc_Char!$E498,Table4[[#All],[Branch]],Table4[[#All],[Bank]],"recheck",0)</f>
        <v>BIDV - THANH XUAN</v>
      </c>
    </row>
    <row r="499" spans="1:9">
      <c r="A499" s="998">
        <f t="shared" si="7"/>
        <v>498</v>
      </c>
      <c r="B499" s="1097" t="s">
        <v>721</v>
      </c>
      <c r="C499" s="1003" t="s">
        <v>3253</v>
      </c>
      <c r="D499" s="999" t="str">
        <f>VLOOKUP($C499,Table1[#All],2,0)</f>
        <v>HOLDCO4L</v>
      </c>
      <c r="E499" s="999" t="s">
        <v>92</v>
      </c>
      <c r="F499" s="1093" t="s">
        <v>80</v>
      </c>
      <c r="G499" s="999" t="s">
        <v>308</v>
      </c>
      <c r="H499" s="999" t="str">
        <f>VLOOKUP($C499,Table1[#All],3,0)</f>
        <v>Subsidiaries</v>
      </c>
      <c r="I499" s="999" t="str" cm="1">
        <f t="array" ref="I499">_xlfn.XLOOKUP(Acc_Char!$E499,Table4[[#All],[Branch]],Table4[[#All],[Bank]],"recheck",0)</f>
        <v>BIDV - THANH XUAN</v>
      </c>
    </row>
    <row r="500" spans="1:9">
      <c r="A500" s="998">
        <f t="shared" si="7"/>
        <v>499</v>
      </c>
      <c r="B500" s="1098" t="s">
        <v>722</v>
      </c>
      <c r="C500" s="1000" t="s">
        <v>3253</v>
      </c>
      <c r="D500" s="932" t="str">
        <f>VLOOKUP($C500,Table1[#All],2,0)</f>
        <v>HOLDCO4L</v>
      </c>
      <c r="E500" s="932" t="s">
        <v>95</v>
      </c>
      <c r="F500" s="998" t="s">
        <v>80</v>
      </c>
      <c r="G500" s="932" t="s">
        <v>308</v>
      </c>
      <c r="H500" s="932" t="str">
        <f>VLOOKUP($C500,Table1[#All],3,0)</f>
        <v>Subsidiaries</v>
      </c>
      <c r="I500" s="932" t="str" cm="1">
        <f t="array" ref="I500">_xlfn.XLOOKUP(Acc_Char!$E500,Table4[[#All],[Branch]],Table4[[#All],[Bank]],"recheck",0)</f>
        <v>OCB - BINH DUONG</v>
      </c>
    </row>
    <row r="501" spans="1:9">
      <c r="A501" s="998">
        <f t="shared" si="7"/>
        <v>500</v>
      </c>
      <c r="B501" s="1097" t="s">
        <v>724</v>
      </c>
      <c r="C501" s="1003" t="s">
        <v>3254</v>
      </c>
      <c r="D501" s="999" t="str">
        <f>VLOOKUP($C501,Table1[#All],2,0)</f>
        <v>HOLDCO4M</v>
      </c>
      <c r="E501" s="999" t="s">
        <v>92</v>
      </c>
      <c r="F501" s="1093" t="s">
        <v>80</v>
      </c>
      <c r="G501" s="999" t="s">
        <v>308</v>
      </c>
      <c r="H501" s="999" t="str">
        <f>VLOOKUP($C501,Table1[#All],3,0)</f>
        <v>Subsidiaries</v>
      </c>
      <c r="I501" s="999" t="str" cm="1">
        <f t="array" ref="I501">_xlfn.XLOOKUP(Acc_Char!$E501,Table4[[#All],[Branch]],Table4[[#All],[Bank]],"recheck",0)</f>
        <v>BIDV - THANH XUAN</v>
      </c>
    </row>
    <row r="502" spans="1:9">
      <c r="A502" s="998">
        <f t="shared" si="7"/>
        <v>501</v>
      </c>
      <c r="B502" s="1098" t="s">
        <v>727</v>
      </c>
      <c r="C502" s="1000" t="s">
        <v>3255</v>
      </c>
      <c r="D502" s="932" t="str">
        <f>VLOOKUP($C502,Table1[#All],2,0)</f>
        <v>HOLDCO4N</v>
      </c>
      <c r="E502" s="932" t="s">
        <v>726</v>
      </c>
      <c r="F502" s="998" t="s">
        <v>80</v>
      </c>
      <c r="G502" s="932" t="s">
        <v>308</v>
      </c>
      <c r="H502" s="932" t="str">
        <f>VLOOKUP($C502,Table1[#All],3,0)</f>
        <v>Subsidiaries</v>
      </c>
      <c r="I502" s="932" t="str" cm="1">
        <f t="array" ref="I502">_xlfn.XLOOKUP(Acc_Char!$E502,Table4[[#All],[Branch]],Table4[[#All],[Bank]],"recheck",0)</f>
        <v>OTHERS</v>
      </c>
    </row>
    <row r="503" spans="1:9">
      <c r="A503" s="998">
        <f t="shared" si="7"/>
        <v>502</v>
      </c>
      <c r="B503" s="1097" t="s">
        <v>729</v>
      </c>
      <c r="C503" s="1003" t="s">
        <v>3256</v>
      </c>
      <c r="D503" s="999" t="str">
        <f>VLOOKUP($C503,Table1[#All],2,0)</f>
        <v>HOLDCO4O</v>
      </c>
      <c r="E503" s="999" t="s">
        <v>726</v>
      </c>
      <c r="F503" s="1093" t="s">
        <v>80</v>
      </c>
      <c r="G503" s="999" t="s">
        <v>308</v>
      </c>
      <c r="H503" s="999" t="str">
        <f>VLOOKUP($C503,Table1[#All],3,0)</f>
        <v>Subsidiaries</v>
      </c>
      <c r="I503" s="999" t="str" cm="1">
        <f t="array" ref="I503">_xlfn.XLOOKUP(Acc_Char!$E503,Table4[[#All],[Branch]],Table4[[#All],[Bank]],"recheck",0)</f>
        <v>OTHERS</v>
      </c>
    </row>
    <row r="504" spans="1:9">
      <c r="A504" s="998">
        <f t="shared" si="7"/>
        <v>503</v>
      </c>
      <c r="B504" s="1098" t="s">
        <v>731</v>
      </c>
      <c r="C504" s="1000" t="s">
        <v>3257</v>
      </c>
      <c r="D504" s="932" t="str">
        <f>VLOOKUP($C504,Table1[#All],2,0)</f>
        <v>HOLDCO4P</v>
      </c>
      <c r="E504" s="932" t="s">
        <v>726</v>
      </c>
      <c r="F504" s="998" t="s">
        <v>80</v>
      </c>
      <c r="G504" s="932" t="s">
        <v>308</v>
      </c>
      <c r="H504" s="932" t="str">
        <f>VLOOKUP($C504,Table1[#All],3,0)</f>
        <v>Subsidiaries</v>
      </c>
      <c r="I504" s="932" t="str" cm="1">
        <f t="array" ref="I504">_xlfn.XLOOKUP(Acc_Char!$E504,Table4[[#All],[Branch]],Table4[[#All],[Bank]],"recheck",0)</f>
        <v>OTHERS</v>
      </c>
    </row>
    <row r="505" spans="1:9">
      <c r="A505" s="998">
        <f t="shared" si="7"/>
        <v>504</v>
      </c>
      <c r="B505" s="1097" t="s">
        <v>733</v>
      </c>
      <c r="C505" s="1003" t="s">
        <v>3258</v>
      </c>
      <c r="D505" s="999" t="str">
        <f>VLOOKUP($C505,Table1[#All],2,0)</f>
        <v>HOLDCO5K</v>
      </c>
      <c r="E505" s="999" t="s">
        <v>92</v>
      </c>
      <c r="F505" s="1093" t="s">
        <v>80</v>
      </c>
      <c r="G505" s="999" t="s">
        <v>308</v>
      </c>
      <c r="H505" s="999" t="str">
        <f>VLOOKUP($C505,Table1[#All],3,0)</f>
        <v>Subsidiaries</v>
      </c>
      <c r="I505" s="999" t="str" cm="1">
        <f t="array" ref="I505">_xlfn.XLOOKUP(Acc_Char!$E505,Table4[[#All],[Branch]],Table4[[#All],[Bank]],"recheck",0)</f>
        <v>BIDV - THANH XUAN</v>
      </c>
    </row>
    <row r="506" spans="1:9">
      <c r="A506" s="998">
        <f t="shared" si="7"/>
        <v>505</v>
      </c>
      <c r="B506" s="1098" t="s">
        <v>735</v>
      </c>
      <c r="C506" s="1000" t="s">
        <v>3259</v>
      </c>
      <c r="D506" s="932" t="str">
        <f>VLOOKUP($C506,Table1[#All],2,0)</f>
        <v>HOLDCO5L</v>
      </c>
      <c r="E506" s="932" t="s">
        <v>92</v>
      </c>
      <c r="F506" s="998" t="s">
        <v>80</v>
      </c>
      <c r="G506" s="932" t="s">
        <v>308</v>
      </c>
      <c r="H506" s="932" t="str">
        <f>VLOOKUP($C506,Table1[#All],3,0)</f>
        <v>Subsidiaries</v>
      </c>
      <c r="I506" s="932" t="str" cm="1">
        <f t="array" ref="I506">_xlfn.XLOOKUP(Acc_Char!$E506,Table4[[#All],[Branch]],Table4[[#All],[Bank]],"recheck",0)</f>
        <v>BIDV - THANH XUAN</v>
      </c>
    </row>
    <row r="507" spans="1:9">
      <c r="A507" s="998">
        <f t="shared" si="7"/>
        <v>506</v>
      </c>
      <c r="B507" s="1097" t="s">
        <v>736</v>
      </c>
      <c r="C507" s="1003" t="s">
        <v>3259</v>
      </c>
      <c r="D507" s="999" t="str">
        <f>VLOOKUP($C507,Table1[#All],2,0)</f>
        <v>HOLDCO5L</v>
      </c>
      <c r="E507" s="999" t="s">
        <v>95</v>
      </c>
      <c r="F507" s="1093" t="s">
        <v>80</v>
      </c>
      <c r="G507" s="999" t="s">
        <v>308</v>
      </c>
      <c r="H507" s="999" t="str">
        <f>VLOOKUP($C507,Table1[#All],3,0)</f>
        <v>Subsidiaries</v>
      </c>
      <c r="I507" s="999" t="str" cm="1">
        <f t="array" ref="I507">_xlfn.XLOOKUP(Acc_Char!$E507,Table4[[#All],[Branch]],Table4[[#All],[Bank]],"recheck",0)</f>
        <v>OCB - BINH DUONG</v>
      </c>
    </row>
    <row r="508" spans="1:9">
      <c r="A508" s="998">
        <f t="shared" si="7"/>
        <v>507</v>
      </c>
      <c r="B508" s="1098" t="s">
        <v>738</v>
      </c>
      <c r="C508" s="1000" t="s">
        <v>3260</v>
      </c>
      <c r="D508" s="932" t="str">
        <f>VLOOKUP($C508,Table1[#All],2,0)</f>
        <v>HOLDCO5M</v>
      </c>
      <c r="E508" s="932" t="s">
        <v>92</v>
      </c>
      <c r="F508" s="998" t="s">
        <v>80</v>
      </c>
      <c r="G508" s="932" t="s">
        <v>308</v>
      </c>
      <c r="H508" s="932" t="str">
        <f>VLOOKUP($C508,Table1[#All],3,0)</f>
        <v>Subsidiaries</v>
      </c>
      <c r="I508" s="932" t="str" cm="1">
        <f t="array" ref="I508">_xlfn.XLOOKUP(Acc_Char!$E508,Table4[[#All],[Branch]],Table4[[#All],[Bank]],"recheck",0)</f>
        <v>BIDV - THANH XUAN</v>
      </c>
    </row>
    <row r="509" spans="1:9">
      <c r="A509" s="998">
        <f t="shared" si="7"/>
        <v>508</v>
      </c>
      <c r="B509" s="1097" t="s">
        <v>740</v>
      </c>
      <c r="C509" s="1003" t="s">
        <v>3261</v>
      </c>
      <c r="D509" s="999" t="str">
        <f>VLOOKUP($C509,Table1[#All],2,0)</f>
        <v>WPJV 1</v>
      </c>
      <c r="E509" s="999" t="s">
        <v>85</v>
      </c>
      <c r="F509" s="1093" t="s">
        <v>80</v>
      </c>
      <c r="G509" s="999" t="s">
        <v>308</v>
      </c>
      <c r="H509" s="999" t="str">
        <f>VLOOKUP($C509,Table1[#All],3,0)</f>
        <v>Subsidiaries</v>
      </c>
      <c r="I509" s="999" t="str" cm="1">
        <f t="array" ref="I509">_xlfn.XLOOKUP(Acc_Char!$E509,Table4[[#All],[Branch]],Table4[[#All],[Bank]],"recheck",0)</f>
        <v>VIETINBANK - TIEN SON</v>
      </c>
    </row>
    <row r="510" spans="1:9">
      <c r="A510" s="998">
        <f t="shared" si="7"/>
        <v>509</v>
      </c>
      <c r="B510" s="1098" t="s">
        <v>741</v>
      </c>
      <c r="C510" s="1000" t="s">
        <v>3261</v>
      </c>
      <c r="D510" s="932" t="str">
        <f>VLOOKUP($C510,Table1[#All],2,0)</f>
        <v>WPJV 1</v>
      </c>
      <c r="E510" s="932" t="s">
        <v>85</v>
      </c>
      <c r="F510" s="998" t="s">
        <v>80</v>
      </c>
      <c r="G510" s="932" t="s">
        <v>310</v>
      </c>
      <c r="H510" s="932" t="str">
        <f>VLOOKUP($C510,Table1[#All],3,0)</f>
        <v>Subsidiaries</v>
      </c>
      <c r="I510" s="932" t="str" cm="1">
        <f t="array" ref="I510">_xlfn.XLOOKUP(Acc_Char!$E510,Table4[[#All],[Branch]],Table4[[#All],[Bank]],"recheck",0)</f>
        <v>VIETINBANK - TIEN SON</v>
      </c>
    </row>
    <row r="511" spans="1:9">
      <c r="A511" s="998">
        <f t="shared" si="7"/>
        <v>510</v>
      </c>
      <c r="B511" s="1097" t="s">
        <v>743</v>
      </c>
      <c r="C511" s="1003" t="s">
        <v>3262</v>
      </c>
      <c r="D511" s="999" t="str">
        <f>VLOOKUP($C511,Table1[#All],2,0)</f>
        <v>WPJV 2</v>
      </c>
      <c r="E511" s="999" t="s">
        <v>85</v>
      </c>
      <c r="F511" s="1093" t="s">
        <v>80</v>
      </c>
      <c r="G511" s="999" t="s">
        <v>308</v>
      </c>
      <c r="H511" s="999" t="str">
        <f>VLOOKUP($C511,Table1[#All],3,0)</f>
        <v>Subsidiaries</v>
      </c>
      <c r="I511" s="999" t="str" cm="1">
        <f t="array" ref="I511">_xlfn.XLOOKUP(Acc_Char!$E511,Table4[[#All],[Branch]],Table4[[#All],[Bank]],"recheck",0)</f>
        <v>VIETINBANK - TIEN SON</v>
      </c>
    </row>
    <row r="512" spans="1:9">
      <c r="A512" s="998">
        <f t="shared" si="7"/>
        <v>511</v>
      </c>
      <c r="B512" s="1098" t="s">
        <v>3263</v>
      </c>
      <c r="C512" s="1000" t="s">
        <v>3262</v>
      </c>
      <c r="D512" s="932" t="str">
        <f>VLOOKUP($C512,Table1[#All],2,0)</f>
        <v>WPJV 2</v>
      </c>
      <c r="E512" s="932" t="s">
        <v>85</v>
      </c>
      <c r="F512" s="998" t="s">
        <v>80</v>
      </c>
      <c r="G512" s="932" t="s">
        <v>310</v>
      </c>
      <c r="H512" s="932" t="str">
        <f>VLOOKUP($C512,Table1[#All],3,0)</f>
        <v>Subsidiaries</v>
      </c>
      <c r="I512" s="932" t="str" cm="1">
        <f t="array" ref="I512">_xlfn.XLOOKUP(Acc_Char!$E512,Table4[[#All],[Branch]],Table4[[#All],[Bank]],"recheck",0)</f>
        <v>VIETINBANK - TIEN SON</v>
      </c>
    </row>
    <row r="513" spans="1:9">
      <c r="A513" s="998">
        <f t="shared" si="7"/>
        <v>512</v>
      </c>
      <c r="B513" s="1097" t="s">
        <v>745</v>
      </c>
      <c r="C513" s="1003" t="s">
        <v>3264</v>
      </c>
      <c r="D513" s="999" t="str">
        <f>VLOOKUP($C513,Table1[#All],2,0)</f>
        <v>WPJV 3</v>
      </c>
      <c r="E513" s="999" t="s">
        <v>85</v>
      </c>
      <c r="F513" s="1093" t="s">
        <v>80</v>
      </c>
      <c r="G513" s="999" t="s">
        <v>308</v>
      </c>
      <c r="H513" s="999" t="str">
        <f>VLOOKUP($C513,Table1[#All],3,0)</f>
        <v>Subsidiaries</v>
      </c>
      <c r="I513" s="999" t="str" cm="1">
        <f t="array" ref="I513">_xlfn.XLOOKUP(Acc_Char!$E513,Table4[[#All],[Branch]],Table4[[#All],[Bank]],"recheck",0)</f>
        <v>VIETINBANK - TIEN SON</v>
      </c>
    </row>
    <row r="514" spans="1:9">
      <c r="A514" s="998">
        <f t="shared" si="7"/>
        <v>513</v>
      </c>
      <c r="B514" s="1098" t="s">
        <v>3265</v>
      </c>
      <c r="C514" s="1000" t="s">
        <v>3264</v>
      </c>
      <c r="D514" s="932" t="str">
        <f>VLOOKUP($C514,Table1[#All],2,0)</f>
        <v>WPJV 3</v>
      </c>
      <c r="E514" s="932" t="s">
        <v>85</v>
      </c>
      <c r="F514" s="998" t="s">
        <v>80</v>
      </c>
      <c r="G514" s="932" t="s">
        <v>310</v>
      </c>
      <c r="H514" s="932" t="str">
        <f>VLOOKUP($C514,Table1[#All],3,0)</f>
        <v>Subsidiaries</v>
      </c>
      <c r="I514" s="932" t="str" cm="1">
        <f t="array" ref="I514">_xlfn.XLOOKUP(Acc_Char!$E514,Table4[[#All],[Branch]],Table4[[#All],[Bank]],"recheck",0)</f>
        <v>VIETINBANK - TIEN SON</v>
      </c>
    </row>
    <row r="515" spans="1:9">
      <c r="A515" s="998">
        <f t="shared" ref="A515:A578" si="8">A514+1</f>
        <v>514</v>
      </c>
      <c r="B515" s="1097" t="s">
        <v>3266</v>
      </c>
      <c r="C515" s="1003" t="s">
        <v>436</v>
      </c>
      <c r="D515" s="999" t="str">
        <f>VLOOKUP($C515,Table1[#All],2,0)</f>
        <v>BW NAM HAI</v>
      </c>
      <c r="E515" s="999" t="s">
        <v>92</v>
      </c>
      <c r="F515" s="1093" t="s">
        <v>80</v>
      </c>
      <c r="G515" s="999" t="s">
        <v>308</v>
      </c>
      <c r="H515" s="999" t="str">
        <f>VLOOKUP($C515,Table1[#All],3,0)</f>
        <v>Subsidiaries</v>
      </c>
      <c r="I515" s="999" t="str" cm="1">
        <f t="array" ref="I515">_xlfn.XLOOKUP(Acc_Char!$E515,Table4[[#All],[Branch]],Table4[[#All],[Bank]],"recheck",0)</f>
        <v>BIDV - THANH XUAN</v>
      </c>
    </row>
    <row r="516" spans="1:9">
      <c r="A516" s="998">
        <f t="shared" si="8"/>
        <v>515</v>
      </c>
      <c r="B516" s="1098" t="s">
        <v>3267</v>
      </c>
      <c r="C516" s="1000" t="s">
        <v>3268</v>
      </c>
      <c r="D516" s="932" t="str">
        <f>VLOOKUP($C516,Table1[#All],2,0)</f>
        <v>BW DONG HAI</v>
      </c>
      <c r="E516" s="932" t="s">
        <v>92</v>
      </c>
      <c r="F516" s="998" t="s">
        <v>80</v>
      </c>
      <c r="G516" s="932" t="s">
        <v>310</v>
      </c>
      <c r="H516" s="932" t="str">
        <f>VLOOKUP($C516,Table1[#All],3,0)</f>
        <v>Subsidiaries</v>
      </c>
      <c r="I516" s="932" t="str" cm="1">
        <f t="array" ref="I516">_xlfn.XLOOKUP(Acc_Char!$E516,Table4[[#All],[Branch]],Table4[[#All],[Bank]],"recheck",0)</f>
        <v>BIDV - THANH XUAN</v>
      </c>
    </row>
    <row r="517" spans="1:9">
      <c r="A517" s="998">
        <f t="shared" si="8"/>
        <v>516</v>
      </c>
      <c r="B517" s="1097" t="s">
        <v>3269</v>
      </c>
      <c r="C517" s="1003" t="s">
        <v>3268</v>
      </c>
      <c r="D517" s="999" t="str">
        <f>VLOOKUP($C517,Table1[#All],2,0)</f>
        <v>BW DONG HAI</v>
      </c>
      <c r="E517" s="999" t="s">
        <v>92</v>
      </c>
      <c r="F517" s="1093" t="s">
        <v>80</v>
      </c>
      <c r="G517" s="999" t="s">
        <v>310</v>
      </c>
      <c r="H517" s="999" t="str">
        <f>VLOOKUP($C517,Table1[#All],3,0)</f>
        <v>Subsidiaries</v>
      </c>
      <c r="I517" s="999" t="str" cm="1">
        <f t="array" ref="I517">_xlfn.XLOOKUP(Acc_Char!$E517,Table4[[#All],[Branch]],Table4[[#All],[Bank]],"recheck",0)</f>
        <v>BIDV - THANH XUAN</v>
      </c>
    </row>
    <row r="518" spans="1:9">
      <c r="A518" s="998">
        <f t="shared" si="8"/>
        <v>517</v>
      </c>
      <c r="B518" s="1004" t="s">
        <v>747</v>
      </c>
      <c r="C518" s="1000" t="s">
        <v>3268</v>
      </c>
      <c r="D518" s="932" t="str">
        <f>VLOOKUP($C518,Table1[#All],2,0)</f>
        <v>BW DONG HAI</v>
      </c>
      <c r="E518" s="932" t="s">
        <v>92</v>
      </c>
      <c r="F518" s="998" t="s">
        <v>80</v>
      </c>
      <c r="G518" s="932" t="s">
        <v>308</v>
      </c>
      <c r="H518" s="932" t="str">
        <f>VLOOKUP($C518,Table1[#All],3,0)</f>
        <v>Subsidiaries</v>
      </c>
      <c r="I518" s="932" t="str" cm="1">
        <f t="array" ref="I518">_xlfn.XLOOKUP(Acc_Char!$E518,Table4[[#All],[Branch]],Table4[[#All],[Bank]],"recheck",0)</f>
        <v>BIDV - THANH XUAN</v>
      </c>
    </row>
    <row r="519" spans="1:9">
      <c r="A519" s="998">
        <f t="shared" si="8"/>
        <v>518</v>
      </c>
      <c r="B519" s="1097" t="s">
        <v>749</v>
      </c>
      <c r="C519" s="1003" t="s">
        <v>3270</v>
      </c>
      <c r="D519" s="999" t="str">
        <f>VLOOKUP($C519,Table1[#All],2,0)</f>
        <v>MP3 SOLAR POWER</v>
      </c>
      <c r="E519" s="999" t="s">
        <v>88</v>
      </c>
      <c r="F519" s="1093" t="s">
        <v>80</v>
      </c>
      <c r="G519" s="999" t="s">
        <v>308</v>
      </c>
      <c r="H519" s="999" t="str">
        <f>VLOOKUP($C519,Table1[#All],3,0)</f>
        <v>Subsidiaries</v>
      </c>
      <c r="I519" s="999" t="str" cm="1">
        <f t="array" ref="I519">_xlfn.XLOOKUP(Acc_Char!$E519,Table4[[#All],[Branch]],Table4[[#All],[Bank]],"recheck",0)</f>
        <v>VIETINBANK - DONG SAI GON</v>
      </c>
    </row>
    <row r="520" spans="1:9">
      <c r="A520" s="998">
        <f t="shared" si="8"/>
        <v>519</v>
      </c>
      <c r="B520" s="1098" t="s">
        <v>751</v>
      </c>
      <c r="C520" s="1000" t="s">
        <v>3271</v>
      </c>
      <c r="D520" s="932" t="str">
        <f>VLOOKUP($C520,Table1[#All],2,0)</f>
        <v>TPT1 SOLAR POWER</v>
      </c>
      <c r="E520" s="932" t="s">
        <v>88</v>
      </c>
      <c r="F520" s="998" t="s">
        <v>80</v>
      </c>
      <c r="G520" s="932" t="s">
        <v>308</v>
      </c>
      <c r="H520" s="932" t="str">
        <f>VLOOKUP($C520,Table1[#All],3,0)</f>
        <v>Subsidiaries</v>
      </c>
      <c r="I520" s="932" t="str" cm="1">
        <f t="array" ref="I520">_xlfn.XLOOKUP(Acc_Char!$E520,Table4[[#All],[Branch]],Table4[[#All],[Bank]],"recheck",0)</f>
        <v>VIETINBANK - DONG SAI GON</v>
      </c>
    </row>
    <row r="521" spans="1:9">
      <c r="A521" s="998">
        <f t="shared" si="8"/>
        <v>520</v>
      </c>
      <c r="B521" s="1097" t="s">
        <v>753</v>
      </c>
      <c r="C521" s="1003" t="s">
        <v>3272</v>
      </c>
      <c r="D521" s="999" t="str">
        <f>VLOOKUP($C521,Table1[#All],2,0)</f>
        <v>SUPPLY CHAIN 2A</v>
      </c>
      <c r="E521" s="999" t="s">
        <v>85</v>
      </c>
      <c r="F521" s="1093" t="s">
        <v>80</v>
      </c>
      <c r="G521" s="999" t="s">
        <v>308</v>
      </c>
      <c r="H521" s="999" t="str">
        <f>VLOOKUP($C521,Table1[#All],3,0)</f>
        <v>Subsidiaries</v>
      </c>
      <c r="I521" s="999" t="str" cm="1">
        <f t="array" ref="I521">_xlfn.XLOOKUP(Acc_Char!$E521,Table4[[#All],[Branch]],Table4[[#All],[Bank]],"recheck",0)</f>
        <v>VIETINBANK - TIEN SON</v>
      </c>
    </row>
    <row r="522" spans="1:9">
      <c r="A522" s="998">
        <f t="shared" si="8"/>
        <v>521</v>
      </c>
      <c r="B522" s="1098" t="s">
        <v>3273</v>
      </c>
      <c r="C522" s="1000" t="s">
        <v>3272</v>
      </c>
      <c r="D522" s="932" t="str">
        <f>VLOOKUP($C522,Table1[#All],2,0)</f>
        <v>SUPPLY CHAIN 2A</v>
      </c>
      <c r="E522" s="932" t="s">
        <v>85</v>
      </c>
      <c r="F522" s="998" t="s">
        <v>80</v>
      </c>
      <c r="G522" s="932" t="s">
        <v>310</v>
      </c>
      <c r="H522" s="932" t="str">
        <f>VLOOKUP($C522,Table1[#All],3,0)</f>
        <v>Subsidiaries</v>
      </c>
      <c r="I522" s="932" t="str" cm="1">
        <f t="array" ref="I522">_xlfn.XLOOKUP(Acc_Char!$E522,Table4[[#All],[Branch]],Table4[[#All],[Bank]],"recheck",0)</f>
        <v>VIETINBANK - TIEN SON</v>
      </c>
    </row>
    <row r="523" spans="1:9">
      <c r="A523" s="998">
        <f t="shared" si="8"/>
        <v>522</v>
      </c>
      <c r="B523" s="1097" t="s">
        <v>3274</v>
      </c>
      <c r="C523" s="1003" t="s">
        <v>3272</v>
      </c>
      <c r="D523" s="999" t="str">
        <f>VLOOKUP($C523,Table1[#All],2,0)</f>
        <v>SUPPLY CHAIN 2A</v>
      </c>
      <c r="E523" s="999" t="s">
        <v>85</v>
      </c>
      <c r="F523" s="1093" t="s">
        <v>80</v>
      </c>
      <c r="G523" s="999" t="s">
        <v>310</v>
      </c>
      <c r="H523" s="999" t="str">
        <f>VLOOKUP($C523,Table1[#All],3,0)</f>
        <v>Subsidiaries</v>
      </c>
      <c r="I523" s="999" t="str" cm="1">
        <f t="array" ref="I523">_xlfn.XLOOKUP(Acc_Char!$E523,Table4[[#All],[Branch]],Table4[[#All],[Bank]],"recheck",0)</f>
        <v>VIETINBANK - TIEN SON</v>
      </c>
    </row>
    <row r="524" spans="1:9">
      <c r="A524" s="998">
        <f t="shared" si="8"/>
        <v>523</v>
      </c>
      <c r="B524" s="1098" t="s">
        <v>3275</v>
      </c>
      <c r="C524" s="1000" t="s">
        <v>3272</v>
      </c>
      <c r="D524" s="932" t="str">
        <f>VLOOKUP($C524,Table1[#All],2,0)</f>
        <v>SUPPLY CHAIN 2A</v>
      </c>
      <c r="E524" s="932" t="s">
        <v>85</v>
      </c>
      <c r="F524" s="998" t="s">
        <v>80</v>
      </c>
      <c r="G524" s="932" t="s">
        <v>310</v>
      </c>
      <c r="H524" s="932" t="str">
        <f>VLOOKUP($C524,Table1[#All],3,0)</f>
        <v>Subsidiaries</v>
      </c>
      <c r="I524" s="932" t="str" cm="1">
        <f t="array" ref="I524">_xlfn.XLOOKUP(Acc_Char!$E524,Table4[[#All],[Branch]],Table4[[#All],[Bank]],"recheck",0)</f>
        <v>VIETINBANK - TIEN SON</v>
      </c>
    </row>
    <row r="525" spans="1:9">
      <c r="A525" s="998">
        <f t="shared" si="8"/>
        <v>524</v>
      </c>
      <c r="B525" s="1097" t="s">
        <v>3276</v>
      </c>
      <c r="C525" s="1003" t="s">
        <v>3277</v>
      </c>
      <c r="D525" s="999" t="str">
        <f>VLOOKUP($C525,Table1[#All],2,0)</f>
        <v>THUAN THANH 3B</v>
      </c>
      <c r="E525" s="999" t="s">
        <v>85</v>
      </c>
      <c r="F525" s="1093" t="s">
        <v>80</v>
      </c>
      <c r="G525" s="999" t="s">
        <v>308</v>
      </c>
      <c r="H525" s="999" t="str">
        <f>VLOOKUP($C525,Table1[#All],3,0)</f>
        <v>Subsidiaries</v>
      </c>
      <c r="I525" s="999" t="str" cm="1">
        <f t="array" ref="I525">_xlfn.XLOOKUP(Acc_Char!$E525,Table4[[#All],[Branch]],Table4[[#All],[Bank]],"recheck",0)</f>
        <v>VIETINBANK - TIEN SON</v>
      </c>
    </row>
    <row r="526" spans="1:9">
      <c r="A526" s="998">
        <f t="shared" si="8"/>
        <v>525</v>
      </c>
      <c r="B526" s="1098" t="s">
        <v>3278</v>
      </c>
      <c r="C526" s="1000" t="s">
        <v>3277</v>
      </c>
      <c r="D526" s="932" t="str">
        <f>VLOOKUP($C526,Table1[#All],2,0)</f>
        <v>THUAN THANH 3B</v>
      </c>
      <c r="E526" s="932" t="s">
        <v>85</v>
      </c>
      <c r="F526" s="998" t="s">
        <v>80</v>
      </c>
      <c r="G526" s="932" t="s">
        <v>310</v>
      </c>
      <c r="H526" s="932" t="str">
        <f>VLOOKUP($C526,Table1[#All],3,0)</f>
        <v>Subsidiaries</v>
      </c>
      <c r="I526" s="932" t="str" cm="1">
        <f t="array" ref="I526">_xlfn.XLOOKUP(Acc_Char!$E526,Table4[[#All],[Branch]],Table4[[#All],[Bank]],"recheck",0)</f>
        <v>VIETINBANK - TIEN SON</v>
      </c>
    </row>
    <row r="527" spans="1:9">
      <c r="A527" s="998">
        <f t="shared" si="8"/>
        <v>526</v>
      </c>
      <c r="B527" s="1097" t="s">
        <v>3279</v>
      </c>
      <c r="C527" s="1003" t="s">
        <v>3280</v>
      </c>
      <c r="D527" s="999" t="str">
        <f>VLOOKUP($C527,Table1[#All],2,0)</f>
        <v>BAC TIEN PHONG</v>
      </c>
      <c r="E527" s="999" t="s">
        <v>92</v>
      </c>
      <c r="F527" s="1093" t="s">
        <v>80</v>
      </c>
      <c r="G527" s="999" t="s">
        <v>310</v>
      </c>
      <c r="H527" s="999" t="str">
        <f>VLOOKUP($C527,Table1[#All],3,0)</f>
        <v>Subsidiaries</v>
      </c>
      <c r="I527" s="999" t="str" cm="1">
        <f t="array" ref="I527">_xlfn.XLOOKUP(Acc_Char!$E527,Table4[[#All],[Branch]],Table4[[#All],[Bank]],"recheck",0)</f>
        <v>BIDV - THANH XUAN</v>
      </c>
    </row>
    <row r="528" spans="1:9">
      <c r="A528" s="998">
        <f t="shared" si="8"/>
        <v>527</v>
      </c>
      <c r="B528" s="1004" t="s">
        <v>755</v>
      </c>
      <c r="C528" s="1000" t="s">
        <v>3280</v>
      </c>
      <c r="D528" s="932" t="str">
        <f>VLOOKUP($C528,Table1[#All],2,0)</f>
        <v>BAC TIEN PHONG</v>
      </c>
      <c r="E528" s="932" t="s">
        <v>92</v>
      </c>
      <c r="F528" s="998" t="s">
        <v>80</v>
      </c>
      <c r="G528" s="932" t="s">
        <v>308</v>
      </c>
      <c r="H528" s="932" t="str">
        <f>VLOOKUP($C528,Table1[#All],3,0)</f>
        <v>Subsidiaries</v>
      </c>
      <c r="I528" s="932" t="str" cm="1">
        <f t="array" ref="I528">_xlfn.XLOOKUP(Acc_Char!$E528,Table4[[#All],[Branch]],Table4[[#All],[Bank]],"recheck",0)</f>
        <v>BIDV - THANH XUAN</v>
      </c>
    </row>
    <row r="529" spans="1:9">
      <c r="A529" s="998">
        <f t="shared" si="8"/>
        <v>528</v>
      </c>
      <c r="B529" s="1097" t="s">
        <v>3281</v>
      </c>
      <c r="C529" s="1003" t="s">
        <v>412</v>
      </c>
      <c r="D529" s="932" t="str">
        <f>VLOOKUP($C529,Table1[#All],2,0)</f>
        <v>DELIWAY</v>
      </c>
      <c r="E529" s="999" t="s">
        <v>340</v>
      </c>
      <c r="F529" s="1093" t="s">
        <v>80</v>
      </c>
      <c r="G529" s="999" t="s">
        <v>310</v>
      </c>
      <c r="H529" s="932" t="str">
        <f>VLOOKUP($C529,Table1[#All],3,0)</f>
        <v>Subsidiaries</v>
      </c>
      <c r="I529" s="932" t="str" cm="1">
        <f t="array" ref="I529">_xlfn.XLOOKUP(Acc_Char!$E529,Table4[[#All],[Branch]],Table4[[#All],[Bank]],"recheck",0)</f>
        <v>ACB - SAI GON</v>
      </c>
    </row>
    <row r="530" spans="1:9">
      <c r="A530" s="998">
        <f t="shared" si="8"/>
        <v>529</v>
      </c>
      <c r="B530" s="1098" t="s">
        <v>3282</v>
      </c>
      <c r="C530" s="1000" t="s">
        <v>3233</v>
      </c>
      <c r="D530" s="932" t="str">
        <f>VLOOKUP($C530,Table1[#All],2,0)</f>
        <v>BAU BANG 6</v>
      </c>
      <c r="E530" s="932" t="s">
        <v>153</v>
      </c>
      <c r="F530" s="998" t="s">
        <v>80</v>
      </c>
      <c r="G530" s="932" t="s">
        <v>310</v>
      </c>
      <c r="H530" s="932" t="str">
        <f>VLOOKUP($C530,Table1[#All],3,0)</f>
        <v>Subsidiaries</v>
      </c>
      <c r="I530" s="932" t="str" cm="1">
        <f t="array" ref="I530">_xlfn.XLOOKUP(Acc_Char!$E530,Table4[[#All],[Branch]],Table4[[#All],[Bank]],"recheck",0)</f>
        <v>VIETINBANK - BINH DUONG + QM</v>
      </c>
    </row>
    <row r="531" spans="1:9">
      <c r="A531" s="998">
        <f t="shared" si="8"/>
        <v>530</v>
      </c>
      <c r="B531" s="1097" t="s">
        <v>3283</v>
      </c>
      <c r="C531" s="1003" t="s">
        <v>3251</v>
      </c>
      <c r="D531" s="932" t="str">
        <f>VLOOKUP($C531,Table1[#All],2,0)</f>
        <v>BW BAU BANG 01</v>
      </c>
      <c r="E531" s="999" t="s">
        <v>89</v>
      </c>
      <c r="F531" s="1093" t="s">
        <v>80</v>
      </c>
      <c r="G531" s="999" t="s">
        <v>308</v>
      </c>
      <c r="H531" s="932" t="str">
        <f>VLOOKUP($C531,Table1[#All],3,0)</f>
        <v>Subsidiaries</v>
      </c>
      <c r="I531" s="932" t="str" cm="1">
        <f t="array" ref="I531">_xlfn.XLOOKUP(Acc_Char!$E531,Table4[[#All],[Branch]],Table4[[#All],[Bank]],"recheck",0)</f>
        <v>VIETCOMBANK - BA DINH</v>
      </c>
    </row>
    <row r="532" spans="1:9">
      <c r="A532" s="998">
        <f t="shared" si="8"/>
        <v>531</v>
      </c>
      <c r="B532" s="1098" t="s">
        <v>3284</v>
      </c>
      <c r="C532" s="1000" t="s">
        <v>3026</v>
      </c>
      <c r="D532" s="932" t="str">
        <f>VLOOKUP($C532,Table1[#All],2,0)</f>
        <v>BW SAI GON</v>
      </c>
      <c r="E532" s="932" t="s">
        <v>338</v>
      </c>
      <c r="F532" s="998" t="s">
        <v>80</v>
      </c>
      <c r="G532" s="932" t="s">
        <v>310</v>
      </c>
      <c r="H532" s="932" t="str">
        <f>VLOOKUP($C532,Table1[#All],3,0)</f>
        <v>Subsidiaries</v>
      </c>
      <c r="I532" s="932" t="str" cm="1">
        <f t="array" ref="I532">_xlfn.XLOOKUP(Acc_Char!$E532,Table4[[#All],[Branch]],Table4[[#All],[Bank]],"recheck",0)</f>
        <v>TECHCOMBANK</v>
      </c>
    </row>
    <row r="533" spans="1:9">
      <c r="A533" s="998">
        <f t="shared" si="8"/>
        <v>532</v>
      </c>
      <c r="B533" s="1097" t="s">
        <v>756</v>
      </c>
      <c r="C533" s="1003" t="s">
        <v>412</v>
      </c>
      <c r="D533" s="932" t="str">
        <f>VLOOKUP($C533,Table1[#All],2,0)</f>
        <v>DELIWAY</v>
      </c>
      <c r="E533" s="999" t="s">
        <v>92</v>
      </c>
      <c r="F533" s="1093" t="s">
        <v>80</v>
      </c>
      <c r="G533" s="999" t="s">
        <v>308</v>
      </c>
      <c r="H533" s="932" t="str">
        <f>VLOOKUP($C533,Table1[#All],3,0)</f>
        <v>Subsidiaries</v>
      </c>
      <c r="I533" s="932" t="str" cm="1">
        <f t="array" ref="I533">_xlfn.XLOOKUP(Acc_Char!$E533,Table4[[#All],[Branch]],Table4[[#All],[Bank]],"recheck",0)</f>
        <v>BIDV - THANH XUAN</v>
      </c>
    </row>
    <row r="534" spans="1:9">
      <c r="A534" s="998">
        <f t="shared" si="8"/>
        <v>533</v>
      </c>
      <c r="B534" s="1098" t="s">
        <v>3285</v>
      </c>
      <c r="C534" s="1000" t="s">
        <v>412</v>
      </c>
      <c r="D534" s="932" t="str">
        <f>VLOOKUP($C534,Table1[#All],2,0)</f>
        <v>DELIWAY</v>
      </c>
      <c r="E534" s="932" t="s">
        <v>92</v>
      </c>
      <c r="F534" s="998" t="s">
        <v>80</v>
      </c>
      <c r="G534" s="932" t="s">
        <v>310</v>
      </c>
      <c r="H534" s="932" t="str">
        <f>VLOOKUP($C534,Table1[#All],3,0)</f>
        <v>Subsidiaries</v>
      </c>
      <c r="I534" s="932" t="str" cm="1">
        <f t="array" ref="I534">_xlfn.XLOOKUP(Acc_Char!$E534,Table4[[#All],[Branch]],Table4[[#All],[Bank]],"recheck",0)</f>
        <v>BIDV - THANH XUAN</v>
      </c>
    </row>
    <row r="535" spans="1:9">
      <c r="A535" s="998">
        <f t="shared" si="8"/>
        <v>534</v>
      </c>
      <c r="B535" s="1097" t="s">
        <v>3286</v>
      </c>
      <c r="C535" s="1003" t="s">
        <v>412</v>
      </c>
      <c r="D535" s="932" t="str">
        <f>VLOOKUP($C535,Table1[#All],2,0)</f>
        <v>DELIWAY</v>
      </c>
      <c r="E535" s="999" t="s">
        <v>92</v>
      </c>
      <c r="F535" s="998" t="s">
        <v>80</v>
      </c>
      <c r="G535" s="932" t="s">
        <v>310</v>
      </c>
      <c r="H535" s="932" t="str">
        <f>VLOOKUP($C535,Table1[#All],3,0)</f>
        <v>Subsidiaries</v>
      </c>
      <c r="I535" s="932" t="str" cm="1">
        <f t="array" ref="I535">_xlfn.XLOOKUP(Acc_Char!$E535,Table4[[#All],[Branch]],Table4[[#All],[Bank]],"recheck",0)</f>
        <v>BIDV - THANH XUAN</v>
      </c>
    </row>
    <row r="536" spans="1:9">
      <c r="A536" s="998">
        <f t="shared" si="8"/>
        <v>535</v>
      </c>
      <c r="B536" s="932" t="s">
        <v>3287</v>
      </c>
      <c r="C536" s="1000" t="s">
        <v>389</v>
      </c>
      <c r="D536" s="932" t="str">
        <f>VLOOKUP($C536,Table1[#All],2,0)</f>
        <v>BWID BINH DUONG</v>
      </c>
      <c r="E536" s="932" t="s">
        <v>92</v>
      </c>
      <c r="F536" s="998" t="s">
        <v>80</v>
      </c>
      <c r="G536" s="932" t="s">
        <v>310</v>
      </c>
      <c r="H536" s="932" t="str">
        <f>VLOOKUP($C536,Table1[#All],3,0)</f>
        <v>BWID JSC</v>
      </c>
      <c r="I536" s="932" t="str" cm="1">
        <f t="array" ref="I536">_xlfn.XLOOKUP(Acc_Char!$E536,Table4[[#All],[Branch]],Table4[[#All],[Bank]],"recheck",0)</f>
        <v>BIDV - THANH XUAN</v>
      </c>
    </row>
    <row r="537" spans="1:9">
      <c r="A537" s="998">
        <f t="shared" si="8"/>
        <v>536</v>
      </c>
      <c r="B537" s="932" t="s">
        <v>3288</v>
      </c>
      <c r="C537" s="1000" t="s">
        <v>389</v>
      </c>
      <c r="D537" s="932" t="str">
        <f>VLOOKUP($C537,Table1[#All],2,0)</f>
        <v>BWID BINH DUONG</v>
      </c>
      <c r="E537" s="932" t="s">
        <v>93</v>
      </c>
      <c r="F537" s="998" t="s">
        <v>80</v>
      </c>
      <c r="G537" s="932" t="s">
        <v>310</v>
      </c>
      <c r="H537" s="932" t="str">
        <f>VLOOKUP($C537,Table1[#All],3,0)</f>
        <v>BWID JSC</v>
      </c>
      <c r="I537" s="932" t="str" cm="1">
        <f t="array" ref="I537">_xlfn.XLOOKUP(Acc_Char!$E537,Table4[[#All],[Branch]],Table4[[#All],[Bank]],"recheck",0)</f>
        <v>BIDV - NAM SAI GON</v>
      </c>
    </row>
    <row r="538" spans="1:9">
      <c r="A538" s="998">
        <f t="shared" si="8"/>
        <v>537</v>
      </c>
      <c r="B538" s="932" t="s">
        <v>3289</v>
      </c>
      <c r="C538" s="1000" t="s">
        <v>389</v>
      </c>
      <c r="D538" s="932" t="str">
        <f>VLOOKUP($C538,Table1[#All],2,0)</f>
        <v>BWID BINH DUONG</v>
      </c>
      <c r="E538" s="932" t="s">
        <v>89</v>
      </c>
      <c r="F538" s="998" t="s">
        <v>80</v>
      </c>
      <c r="G538" s="932" t="s">
        <v>310</v>
      </c>
      <c r="H538" s="932" t="str">
        <f>VLOOKUP($C538,Table1[#All],3,0)</f>
        <v>BWID JSC</v>
      </c>
      <c r="I538" s="932" t="str" cm="1">
        <f t="array" ref="I538">_xlfn.XLOOKUP(Acc_Char!$E538,Table4[[#All],[Branch]],Table4[[#All],[Bank]],"recheck",0)</f>
        <v>VIETCOMBANK - BA DINH</v>
      </c>
    </row>
    <row r="539" spans="1:9">
      <c r="A539" s="998">
        <f t="shared" si="8"/>
        <v>538</v>
      </c>
      <c r="B539" s="932" t="s">
        <v>3290</v>
      </c>
      <c r="C539" s="1000" t="s">
        <v>389</v>
      </c>
      <c r="D539" s="932" t="str">
        <f>VLOOKUP($C539,Table1[#All],2,0)</f>
        <v>BWID BINH DUONG</v>
      </c>
      <c r="E539" s="932" t="s">
        <v>85</v>
      </c>
      <c r="F539" s="998" t="s">
        <v>80</v>
      </c>
      <c r="G539" s="932" t="s">
        <v>310</v>
      </c>
      <c r="H539" s="932" t="str">
        <f>VLOOKUP($C539,Table1[#All],3,0)</f>
        <v>BWID JSC</v>
      </c>
      <c r="I539" s="932" t="str" cm="1">
        <f t="array" ref="I539">_xlfn.XLOOKUP(Acc_Char!$E539,Table4[[#All],[Branch]],Table4[[#All],[Bank]],"recheck",0)</f>
        <v>VIETINBANK - TIEN SON</v>
      </c>
    </row>
    <row r="540" spans="1:9">
      <c r="A540" s="998">
        <f t="shared" si="8"/>
        <v>539</v>
      </c>
      <c r="B540" s="932" t="s">
        <v>3291</v>
      </c>
      <c r="C540" s="1000" t="s">
        <v>389</v>
      </c>
      <c r="D540" s="932" t="str">
        <f>VLOOKUP($C540,Table1[#All],2,0)</f>
        <v>BWID BINH DUONG</v>
      </c>
      <c r="E540" s="932" t="s">
        <v>153</v>
      </c>
      <c r="F540" s="998" t="s">
        <v>80</v>
      </c>
      <c r="G540" s="932" t="s">
        <v>310</v>
      </c>
      <c r="H540" s="932" t="str">
        <f>VLOOKUP($C540,Table1[#All],3,0)</f>
        <v>BWID JSC</v>
      </c>
      <c r="I540" s="932" t="str" cm="1">
        <f t="array" ref="I540">_xlfn.XLOOKUP(Acc_Char!$E540,Table4[[#All],[Branch]],Table4[[#All],[Bank]],"recheck",0)</f>
        <v>VIETINBANK - BINH DUONG + QM</v>
      </c>
    </row>
    <row r="541" spans="1:9">
      <c r="A541" s="998">
        <f t="shared" si="8"/>
        <v>540</v>
      </c>
      <c r="B541" s="932" t="s">
        <v>3292</v>
      </c>
      <c r="C541" s="1000" t="s">
        <v>389</v>
      </c>
      <c r="D541" s="932" t="str">
        <f>VLOOKUP($C541,Table1[#All],2,0)</f>
        <v>BWID BINH DUONG</v>
      </c>
      <c r="E541" s="932" t="s">
        <v>155</v>
      </c>
      <c r="F541" s="998" t="s">
        <v>80</v>
      </c>
      <c r="G541" s="932" t="s">
        <v>310</v>
      </c>
      <c r="H541" s="932" t="str">
        <f>VLOOKUP($C541,Table1[#All],3,0)</f>
        <v>BWID JSC</v>
      </c>
      <c r="I541" s="932" t="str" cm="1">
        <f t="array" ref="I541">_xlfn.XLOOKUP(Acc_Char!$E541,Table4[[#All],[Branch]],Table4[[#All],[Bank]],"recheck",0)</f>
        <v>VIETINBANK - BINH DUONG + QM</v>
      </c>
    </row>
    <row r="542" spans="1:9">
      <c r="A542" s="998">
        <f t="shared" si="8"/>
        <v>541</v>
      </c>
      <c r="B542" s="932" t="s">
        <v>3293</v>
      </c>
      <c r="C542" s="1000" t="s">
        <v>389</v>
      </c>
      <c r="D542" s="932" t="str">
        <f>VLOOKUP($C542,Table1[#All],2,0)</f>
        <v>BWID BINH DUONG</v>
      </c>
      <c r="E542" s="932" t="s">
        <v>88</v>
      </c>
      <c r="F542" s="998" t="s">
        <v>80</v>
      </c>
      <c r="G542" s="932" t="s">
        <v>310</v>
      </c>
      <c r="H542" s="932" t="str">
        <f>VLOOKUP($C542,Table1[#All],3,0)</f>
        <v>BWID JSC</v>
      </c>
      <c r="I542" s="932" t="str" cm="1">
        <f t="array" ref="I542">_xlfn.XLOOKUP(Acc_Char!$E542,Table4[[#All],[Branch]],Table4[[#All],[Bank]],"recheck",0)</f>
        <v>VIETINBANK - DONG SAI GON</v>
      </c>
    </row>
    <row r="543" spans="1:9">
      <c r="A543" s="998">
        <f t="shared" si="8"/>
        <v>542</v>
      </c>
      <c r="B543" s="932" t="s">
        <v>3294</v>
      </c>
      <c r="C543" s="1000" t="s">
        <v>389</v>
      </c>
      <c r="D543" s="932" t="str">
        <f>VLOOKUP($C543,Table1[#All],2,0)</f>
        <v>BWID BINH DUONG</v>
      </c>
      <c r="E543" s="932" t="s">
        <v>86</v>
      </c>
      <c r="F543" s="998" t="s">
        <v>80</v>
      </c>
      <c r="G543" s="932" t="s">
        <v>310</v>
      </c>
      <c r="H543" s="932" t="str">
        <f>VLOOKUP($C543,Table1[#All],3,0)</f>
        <v>BWID JSC</v>
      </c>
      <c r="I543" s="932" t="str" cm="1">
        <f t="array" ref="I543">_xlfn.XLOOKUP(Acc_Char!$E543,Table4[[#All],[Branch]],Table4[[#All],[Bank]],"recheck",0)</f>
        <v>VIETINBANK - CN1</v>
      </c>
    </row>
    <row r="544" spans="1:9">
      <c r="A544" s="998">
        <f t="shared" si="8"/>
        <v>543</v>
      </c>
      <c r="B544" s="932" t="s">
        <v>3295</v>
      </c>
      <c r="C544" s="1000" t="s">
        <v>389</v>
      </c>
      <c r="D544" s="932" t="str">
        <f>VLOOKUP($C544,Table1[#All],2,0)</f>
        <v>BWID BINH DUONG</v>
      </c>
      <c r="E544" s="932" t="s">
        <v>86</v>
      </c>
      <c r="F544" s="998" t="s">
        <v>80</v>
      </c>
      <c r="G544" s="932" t="s">
        <v>310</v>
      </c>
      <c r="H544" s="932" t="str">
        <f>VLOOKUP($C544,Table1[#All],3,0)</f>
        <v>BWID JSC</v>
      </c>
      <c r="I544" s="932" t="str" cm="1">
        <f t="array" ref="I544">_xlfn.XLOOKUP(Acc_Char!$E544,Table4[[#All],[Branch]],Table4[[#All],[Bank]],"recheck",0)</f>
        <v>VIETINBANK - CN1</v>
      </c>
    </row>
    <row r="545" spans="1:9">
      <c r="A545" s="998">
        <f t="shared" si="8"/>
        <v>544</v>
      </c>
      <c r="B545" s="932" t="s">
        <v>3296</v>
      </c>
      <c r="C545" s="1000" t="s">
        <v>389</v>
      </c>
      <c r="D545" s="932" t="str">
        <f>VLOOKUP($C545,Table1[#All],2,0)</f>
        <v>BWID BINH DUONG</v>
      </c>
      <c r="E545" s="932" t="s">
        <v>86</v>
      </c>
      <c r="F545" s="998" t="s">
        <v>80</v>
      </c>
      <c r="G545" s="932" t="s">
        <v>310</v>
      </c>
      <c r="H545" s="932" t="str">
        <f>VLOOKUP($C545,Table1[#All],3,0)</f>
        <v>BWID JSC</v>
      </c>
      <c r="I545" s="932" t="str" cm="1">
        <f t="array" ref="I545">_xlfn.XLOOKUP(Acc_Char!$E545,Table4[[#All],[Branch]],Table4[[#All],[Bank]],"recheck",0)</f>
        <v>VIETINBANK - CN1</v>
      </c>
    </row>
    <row r="546" spans="1:9">
      <c r="A546" s="998">
        <f t="shared" si="8"/>
        <v>545</v>
      </c>
      <c r="B546" s="1001" t="s">
        <v>3297</v>
      </c>
      <c r="C546" s="1000" t="s">
        <v>67</v>
      </c>
      <c r="D546" s="932" t="str">
        <f>VLOOKUP($C546,Table1[#All],2,0)</f>
        <v>SAO HOA</v>
      </c>
      <c r="E546" s="932" t="s">
        <v>92</v>
      </c>
      <c r="F546" s="998" t="s">
        <v>80</v>
      </c>
      <c r="G546" s="932" t="s">
        <v>310</v>
      </c>
      <c r="H546" s="932" t="str">
        <f>VLOOKUP($C546,Table1[#All],3,0)</f>
        <v>VC3</v>
      </c>
      <c r="I546" s="932" t="str" cm="1">
        <f t="array" ref="I546">_xlfn.XLOOKUP(Acc_Char!$E546,Table4[[#All],[Branch]],Table4[[#All],[Bank]],"recheck",0)</f>
        <v>BIDV - THANH XUAN</v>
      </c>
    </row>
    <row r="547" spans="1:9">
      <c r="A547" s="998">
        <f t="shared" si="8"/>
        <v>546</v>
      </c>
      <c r="B547" s="1001" t="s">
        <v>3298</v>
      </c>
      <c r="C547" s="1000" t="s">
        <v>3072</v>
      </c>
      <c r="D547" s="932" t="str">
        <f>VLOOKUP($C547,Table1[#All],2,0)</f>
        <v>BWID TAN DONG HIEP</v>
      </c>
      <c r="E547" s="932" t="s">
        <v>96</v>
      </c>
      <c r="F547" s="998" t="s">
        <v>80</v>
      </c>
      <c r="G547" s="932" t="s">
        <v>310</v>
      </c>
      <c r="H547" s="932" t="str">
        <f>VLOOKUP($C547,Table1[#All],3,0)</f>
        <v>Subsidiaries</v>
      </c>
      <c r="I547" s="932" t="str" cm="1">
        <f t="array" ref="I547">_xlfn.XLOOKUP(Acc_Char!$E547,Table4[[#All],[Branch]],Table4[[#All],[Bank]],"recheck",0)</f>
        <v>VIB - HOI SO</v>
      </c>
    </row>
    <row r="548" spans="1:9">
      <c r="A548" s="998">
        <f t="shared" si="8"/>
        <v>547</v>
      </c>
      <c r="B548" s="1001" t="s">
        <v>3299</v>
      </c>
      <c r="C548" s="1000" t="s">
        <v>3026</v>
      </c>
      <c r="D548" s="932" t="str">
        <f>VLOOKUP($C548,Table1[#All],2,0)</f>
        <v>BW SAI GON</v>
      </c>
      <c r="E548" s="932" t="s">
        <v>98</v>
      </c>
      <c r="F548" s="998" t="s">
        <v>80</v>
      </c>
      <c r="G548" s="932" t="s">
        <v>310</v>
      </c>
      <c r="H548" s="932" t="str">
        <f>VLOOKUP($C548,Table1[#All],3,0)</f>
        <v>Subsidiaries</v>
      </c>
      <c r="I548" s="932" t="str" cm="1">
        <f t="array" ref="I548">_xlfn.XLOOKUP(Acc_Char!$E548,Table4[[#All],[Branch]],Table4[[#All],[Bank]],"recheck",0)</f>
        <v>SINOPAC</v>
      </c>
    </row>
    <row r="549" spans="1:9">
      <c r="A549" s="998">
        <f t="shared" si="8"/>
        <v>548</v>
      </c>
      <c r="B549" s="1004" t="s">
        <v>1024</v>
      </c>
      <c r="C549" s="1000" t="s">
        <v>3300</v>
      </c>
      <c r="D549" s="932" t="str">
        <f>VLOOKUP($C549,Table1[#All],2,0)</f>
        <v>SONG THAN 2</v>
      </c>
      <c r="E549" s="932" t="s">
        <v>201</v>
      </c>
      <c r="F549" s="998" t="s">
        <v>81</v>
      </c>
      <c r="G549" s="932" t="s">
        <v>308</v>
      </c>
      <c r="H549" s="932" t="str">
        <f>VLOOKUP($C549,Table1[#All],3,0)</f>
        <v>Subsidiaries</v>
      </c>
      <c r="I549" s="932" t="str" cm="1">
        <f t="array" ref="I549">_xlfn.XLOOKUP(Acc_Char!$E1074,Table4[[#All],[Branch]],Table4[[#All],[Bank]],"recheck",0)</f>
        <v>OTHERS</v>
      </c>
    </row>
    <row r="550" spans="1:9">
      <c r="A550" s="998">
        <f t="shared" si="8"/>
        <v>549</v>
      </c>
      <c r="B550" s="1001" t="s">
        <v>3301</v>
      </c>
      <c r="C550" s="1000" t="s">
        <v>389</v>
      </c>
      <c r="D550" s="932" t="str">
        <f>VLOOKUP($C550,Table1[#All],2,0)</f>
        <v>BWID BINH DUONG</v>
      </c>
      <c r="E550" s="932" t="s">
        <v>91</v>
      </c>
      <c r="F550" s="998" t="s">
        <v>81</v>
      </c>
      <c r="G550" s="932" t="s">
        <v>310</v>
      </c>
      <c r="H550" s="932" t="str">
        <f>VLOOKUP($C550,Table1[#All],3,0)</f>
        <v>BWID JSC</v>
      </c>
      <c r="I550" s="932" t="str" cm="1">
        <f t="array" ref="I550">_xlfn.XLOOKUP(Acc_Char!$E550,Table4[[#All],[Branch]],Table4[[#All],[Bank]],"recheck",0)</f>
        <v>VIETCOMBANK - HCM</v>
      </c>
    </row>
    <row r="551" spans="1:9">
      <c r="A551" s="998">
        <f t="shared" si="8"/>
        <v>550</v>
      </c>
      <c r="B551" s="1002" t="s">
        <v>3302</v>
      </c>
      <c r="C551" s="1003" t="s">
        <v>67</v>
      </c>
      <c r="D551" s="932" t="str">
        <f>VLOOKUP($C551,Table1[#All],2,0)</f>
        <v>SAO HOA</v>
      </c>
      <c r="E551" s="932" t="s">
        <v>89</v>
      </c>
      <c r="F551" s="998" t="s">
        <v>80</v>
      </c>
      <c r="G551" s="932" t="s">
        <v>310</v>
      </c>
      <c r="H551" s="932" t="str">
        <f>VLOOKUP($C551,Table1[#All],3,0)</f>
        <v>VC3</v>
      </c>
      <c r="I551" s="932" t="str" cm="1">
        <f t="array" ref="I551">_xlfn.XLOOKUP(Acc_Char!$E551,Table4[[#All],[Branch]],Table4[[#All],[Bank]],"recheck",0)</f>
        <v>VIETCOMBANK - BA DINH</v>
      </c>
    </row>
    <row r="552" spans="1:9">
      <c r="A552" s="998">
        <f t="shared" si="8"/>
        <v>551</v>
      </c>
      <c r="B552" s="1001" t="s">
        <v>3303</v>
      </c>
      <c r="C552" s="1000" t="s">
        <v>389</v>
      </c>
      <c r="D552" s="932" t="str">
        <f>VLOOKUP($C552,Table1[#All],2,0)</f>
        <v>BWID BINH DUONG</v>
      </c>
      <c r="E552" s="932" t="s">
        <v>190</v>
      </c>
      <c r="F552" s="998" t="s">
        <v>81</v>
      </c>
      <c r="G552" s="932" t="s">
        <v>310</v>
      </c>
      <c r="H552" s="932" t="str">
        <f>VLOOKUP($C552,Table1[#All],3,0)</f>
        <v>BWID JSC</v>
      </c>
      <c r="I552" s="932" t="str" cm="1">
        <f t="array" ref="I552">_xlfn.XLOOKUP(Acc_Char!$E552,Table4[[#All],[Branch]],Table4[[#All],[Bank]],"recheck",0)</f>
        <v>VIETINBANK - HA NOI</v>
      </c>
    </row>
    <row r="553" spans="1:9">
      <c r="A553" s="998">
        <f t="shared" si="8"/>
        <v>552</v>
      </c>
      <c r="B553" s="1002" t="s">
        <v>3304</v>
      </c>
      <c r="C553" s="1003" t="s">
        <v>389</v>
      </c>
      <c r="D553" s="932" t="str">
        <f>VLOOKUP($C553,Table1[#All],2,0)</f>
        <v>BWID BINH DUONG</v>
      </c>
      <c r="E553" s="932" t="s">
        <v>88</v>
      </c>
      <c r="F553" s="998" t="s">
        <v>81</v>
      </c>
      <c r="G553" s="932" t="s">
        <v>310</v>
      </c>
      <c r="H553" s="932" t="str">
        <f>VLOOKUP($C553,Table1[#All],3,0)</f>
        <v>BWID JSC</v>
      </c>
      <c r="I553" s="932" t="str" cm="1">
        <f t="array" ref="I553">_xlfn.XLOOKUP(Acc_Char!$E553,Table4[[#All],[Branch]],Table4[[#All],[Bank]],"recheck",0)</f>
        <v>VIETINBANK - DONG SAI GON</v>
      </c>
    </row>
    <row r="554" spans="1:9">
      <c r="A554" s="998">
        <f t="shared" si="8"/>
        <v>553</v>
      </c>
      <c r="B554" s="1001" t="s">
        <v>3305</v>
      </c>
      <c r="C554" s="1000" t="s">
        <v>389</v>
      </c>
      <c r="D554" s="932" t="str">
        <f>VLOOKUP($C554,Table1[#All],2,0)</f>
        <v>BWID BINH DUONG</v>
      </c>
      <c r="E554" s="932" t="s">
        <v>86</v>
      </c>
      <c r="F554" s="998" t="s">
        <v>81</v>
      </c>
      <c r="G554" s="932" t="s">
        <v>310</v>
      </c>
      <c r="H554" s="932" t="str">
        <f>VLOOKUP($C554,Table1[#All],3,0)</f>
        <v>BWID JSC</v>
      </c>
      <c r="I554" s="932" t="str" cm="1">
        <f t="array" ref="I554">_xlfn.XLOOKUP(Acc_Char!$E554,Table4[[#All],[Branch]],Table4[[#All],[Bank]],"recheck",0)</f>
        <v>VIETINBANK - CN1</v>
      </c>
    </row>
    <row r="555" spans="1:9">
      <c r="A555" s="998">
        <f t="shared" si="8"/>
        <v>554</v>
      </c>
      <c r="B555" s="1002" t="s">
        <v>3306</v>
      </c>
      <c r="C555" s="1003" t="s">
        <v>3160</v>
      </c>
      <c r="D555" s="932" t="str">
        <f>VLOOKUP($C555,Table1[#All],2,0)</f>
        <v>BWID Tan Phu Trung</v>
      </c>
      <c r="E555" s="932" t="s">
        <v>85</v>
      </c>
      <c r="F555" s="998" t="s">
        <v>80</v>
      </c>
      <c r="G555" s="932" t="s">
        <v>310</v>
      </c>
      <c r="H555" s="932" t="str">
        <f>VLOOKUP($C555,Table1[#All],3,0)</f>
        <v>Subsidiaries</v>
      </c>
      <c r="I555" s="932" t="str" cm="1">
        <f t="array" ref="I555">_xlfn.XLOOKUP(Acc_Char!$E555,Table4[[#All],[Branch]],Table4[[#All],[Bank]],"recheck",0)</f>
        <v>VIETINBANK - TIEN SON</v>
      </c>
    </row>
    <row r="556" spans="1:9">
      <c r="A556" s="998">
        <f t="shared" si="8"/>
        <v>555</v>
      </c>
      <c r="B556" s="1001" t="s">
        <v>3307</v>
      </c>
      <c r="C556" s="1000" t="s">
        <v>3237</v>
      </c>
      <c r="D556" s="932" t="str">
        <f>VLOOKUP($C556,Table1[#All],2,0)</f>
        <v>LONG BINH</v>
      </c>
      <c r="E556" s="932" t="s">
        <v>86</v>
      </c>
      <c r="F556" s="998" t="s">
        <v>80</v>
      </c>
      <c r="G556" s="932" t="s">
        <v>310</v>
      </c>
      <c r="H556" s="932" t="str">
        <f>VLOOKUP($C556,Table1[#All],3,0)</f>
        <v>Subsidiaries</v>
      </c>
      <c r="I556" s="932" t="str" cm="1">
        <f t="array" ref="I556">_xlfn.XLOOKUP(Acc_Char!$E556,Table4[[#All],[Branch]],Table4[[#All],[Bank]],"recheck",0)</f>
        <v>VIETINBANK - CN1</v>
      </c>
    </row>
    <row r="557" spans="1:9">
      <c r="A557" s="998">
        <f t="shared" si="8"/>
        <v>556</v>
      </c>
      <c r="B557" s="1002" t="s">
        <v>3308</v>
      </c>
      <c r="C557" s="1003" t="s">
        <v>3237</v>
      </c>
      <c r="D557" s="932" t="str">
        <f>VLOOKUP($C557,Table1[#All],2,0)</f>
        <v>LONG BINH</v>
      </c>
      <c r="E557" s="932" t="s">
        <v>86</v>
      </c>
      <c r="F557" s="998" t="s">
        <v>80</v>
      </c>
      <c r="G557" s="932" t="s">
        <v>310</v>
      </c>
      <c r="H557" s="932" t="str">
        <f>VLOOKUP($C557,Table1[#All],3,0)</f>
        <v>Subsidiaries</v>
      </c>
      <c r="I557" s="932" t="str" cm="1">
        <f t="array" ref="I557">_xlfn.XLOOKUP(Acc_Char!$E557,Table4[[#All],[Branch]],Table4[[#All],[Bank]],"recheck",0)</f>
        <v>VIETINBANK - CN1</v>
      </c>
    </row>
    <row r="558" spans="1:9">
      <c r="A558" s="998">
        <f t="shared" si="8"/>
        <v>557</v>
      </c>
      <c r="B558" s="1004" t="s">
        <v>1027</v>
      </c>
      <c r="C558" s="1000" t="s">
        <v>3309</v>
      </c>
      <c r="D558" s="932" t="str">
        <f>VLOOKUP($C558,Table1[#All],2,0)</f>
        <v>LE MINH XUAN 3</v>
      </c>
      <c r="E558" s="932" t="s">
        <v>201</v>
      </c>
      <c r="F558" s="998" t="s">
        <v>81</v>
      </c>
      <c r="G558" s="932" t="s">
        <v>308</v>
      </c>
      <c r="H558" s="932" t="str">
        <f>VLOOKUP($C558,Table1[#All],3,0)</f>
        <v>Subsidiaries</v>
      </c>
      <c r="I558" s="932" t="str" cm="1">
        <f t="array" ref="I558">_xlfn.XLOOKUP(Acc_Char!$E1077,Table4[[#All],[Branch]],Table4[[#All],[Bank]],"recheck",0)</f>
        <v>ACB - HCM</v>
      </c>
    </row>
    <row r="559" spans="1:9">
      <c r="A559" s="998">
        <f t="shared" si="8"/>
        <v>558</v>
      </c>
      <c r="B559" s="1001" t="s">
        <v>3310</v>
      </c>
      <c r="C559" s="1000" t="s">
        <v>389</v>
      </c>
      <c r="D559" s="932" t="str">
        <f>VLOOKUP($C559,Table1[#All],2,0)</f>
        <v>BWID BINH DUONG</v>
      </c>
      <c r="E559" s="932" t="s">
        <v>339</v>
      </c>
      <c r="F559" s="998" t="s">
        <v>80</v>
      </c>
      <c r="G559" s="932" t="s">
        <v>310</v>
      </c>
      <c r="H559" s="932" t="str">
        <f>VLOOKUP($C559,Table1[#All],3,0)</f>
        <v>BWID JSC</v>
      </c>
      <c r="I559" s="932" t="str" cm="1">
        <f t="array" ref="I559">_xlfn.XLOOKUP(Acc_Char!$E559,Table4[[#All],[Branch]],Table4[[#All],[Bank]],"recheck",0)</f>
        <v>ACB - HCM</v>
      </c>
    </row>
    <row r="560" spans="1:9">
      <c r="A560" s="998">
        <f t="shared" si="8"/>
        <v>559</v>
      </c>
      <c r="B560" s="1001" t="s">
        <v>3311</v>
      </c>
      <c r="C560" s="1000" t="s">
        <v>412</v>
      </c>
      <c r="D560" s="932" t="str">
        <f>VLOOKUP($C560,Table1[#All],2,0)</f>
        <v>DELIWAY</v>
      </c>
      <c r="E560" s="932" t="s">
        <v>340</v>
      </c>
      <c r="F560" s="998" t="s">
        <v>80</v>
      </c>
      <c r="G560" s="932" t="s">
        <v>310</v>
      </c>
      <c r="H560" s="932" t="str">
        <f>VLOOKUP($C560,Table1[#All],3,0)</f>
        <v>Subsidiaries</v>
      </c>
      <c r="I560" s="932" t="str" cm="1">
        <f t="array" ref="I560">_xlfn.XLOOKUP(Acc_Char!$E560,Table4[[#All],[Branch]],Table4[[#All],[Bank]],"recheck",0)</f>
        <v>ACB - SAI GON</v>
      </c>
    </row>
    <row r="561" spans="1:9">
      <c r="A561" s="998">
        <f t="shared" si="8"/>
        <v>560</v>
      </c>
      <c r="B561" s="1001" t="s">
        <v>3312</v>
      </c>
      <c r="C561" s="1000" t="s">
        <v>389</v>
      </c>
      <c r="D561" s="932" t="str">
        <f>VLOOKUP($C561,Table1[#All],2,0)</f>
        <v>BWID BINH DUONG</v>
      </c>
      <c r="E561" s="932" t="s">
        <v>92</v>
      </c>
      <c r="F561" s="998" t="s">
        <v>80</v>
      </c>
      <c r="G561" s="932" t="s">
        <v>310</v>
      </c>
      <c r="H561" s="932" t="str">
        <f>VLOOKUP($C561,Table1[#All],3,0)</f>
        <v>BWID JSC</v>
      </c>
      <c r="I561" s="932" t="str" cm="1">
        <f t="array" ref="I561">_xlfn.XLOOKUP(Acc_Char!$E561,Table4[[#All],[Branch]],Table4[[#All],[Bank]],"recheck",0)</f>
        <v>BIDV - THANH XUAN</v>
      </c>
    </row>
    <row r="562" spans="1:9">
      <c r="A562" s="998">
        <f t="shared" si="8"/>
        <v>561</v>
      </c>
      <c r="B562" s="1001" t="s">
        <v>3313</v>
      </c>
      <c r="C562" s="1000" t="s">
        <v>389</v>
      </c>
      <c r="D562" s="932" t="str">
        <f>VLOOKUP($C562,Table1[#All],2,0)</f>
        <v>BWID BINH DUONG</v>
      </c>
      <c r="E562" s="932" t="s">
        <v>92</v>
      </c>
      <c r="F562" s="998" t="s">
        <v>80</v>
      </c>
      <c r="G562" s="932" t="s">
        <v>310</v>
      </c>
      <c r="H562" s="932" t="str">
        <f>VLOOKUP($C562,Table1[#All],3,0)</f>
        <v>BWID JSC</v>
      </c>
      <c r="I562" s="932" t="str" cm="1">
        <f t="array" ref="I562">_xlfn.XLOOKUP(Acc_Char!$E562,Table4[[#All],[Branch]],Table4[[#All],[Bank]],"recheck",0)</f>
        <v>BIDV - THANH XUAN</v>
      </c>
    </row>
    <row r="563" spans="1:9">
      <c r="A563" s="998">
        <f t="shared" si="8"/>
        <v>562</v>
      </c>
      <c r="B563" s="1001" t="s">
        <v>3314</v>
      </c>
      <c r="C563" s="1000" t="s">
        <v>389</v>
      </c>
      <c r="D563" s="932" t="str">
        <f>VLOOKUP($C563,Table1[#All],2,0)</f>
        <v>BWID BINH DUONG</v>
      </c>
      <c r="E563" s="932" t="s">
        <v>92</v>
      </c>
      <c r="F563" s="998" t="s">
        <v>80</v>
      </c>
      <c r="G563" s="932" t="s">
        <v>310</v>
      </c>
      <c r="H563" s="932" t="str">
        <f>VLOOKUP($C563,Table1[#All],3,0)</f>
        <v>BWID JSC</v>
      </c>
      <c r="I563" s="932" t="str" cm="1">
        <f t="array" ref="I563">_xlfn.XLOOKUP(Acc_Char!$E563,Table4[[#All],[Branch]],Table4[[#All],[Bank]],"recheck",0)</f>
        <v>BIDV - THANH XUAN</v>
      </c>
    </row>
    <row r="564" spans="1:9">
      <c r="A564" s="998">
        <f t="shared" si="8"/>
        <v>563</v>
      </c>
      <c r="B564" s="1001" t="s">
        <v>3315</v>
      </c>
      <c r="C564" s="1000" t="s">
        <v>3042</v>
      </c>
      <c r="D564" s="932" t="str">
        <f>VLOOKUP($C564,Table1[#All],2,0)</f>
        <v>BW NEW CITY</v>
      </c>
      <c r="E564" s="932" t="s">
        <v>91</v>
      </c>
      <c r="F564" s="998" t="s">
        <v>80</v>
      </c>
      <c r="G564" s="932" t="s">
        <v>310</v>
      </c>
      <c r="H564" s="932" t="str">
        <f>VLOOKUP($C564,Table1[#All],3,0)</f>
        <v>Subsidiaries</v>
      </c>
      <c r="I564" s="932" t="str" cm="1">
        <f t="array" ref="I564">_xlfn.XLOOKUP(Acc_Char!$E564,Table4[[#All],[Branch]],Table4[[#All],[Bank]],"recheck",0)</f>
        <v>VIETCOMBANK - HCM</v>
      </c>
    </row>
    <row r="565" spans="1:9">
      <c r="A565" s="998">
        <f t="shared" si="8"/>
        <v>564</v>
      </c>
      <c r="B565" s="1001" t="s">
        <v>3316</v>
      </c>
      <c r="C565" s="1000" t="s">
        <v>3047</v>
      </c>
      <c r="D565" s="932" t="str">
        <f>VLOOKUP($C565,Table1[#All],2,0)</f>
        <v>BW SAIGON LOGISTICS</v>
      </c>
      <c r="E565" s="932" t="s">
        <v>85</v>
      </c>
      <c r="F565" s="998" t="s">
        <v>80</v>
      </c>
      <c r="G565" s="932" t="s">
        <v>308</v>
      </c>
      <c r="H565" s="932" t="str">
        <f>VLOOKUP($C565,Table1[#All],3,0)</f>
        <v>Subsidiaries</v>
      </c>
      <c r="I565" s="932" t="str" cm="1">
        <f t="array" ref="I565">_xlfn.XLOOKUP(Acc_Char!$E565,Table4[[#All],[Branch]],Table4[[#All],[Bank]],"recheck",0)</f>
        <v>VIETINBANK - TIEN SON</v>
      </c>
    </row>
    <row r="566" spans="1:9">
      <c r="A566" s="998">
        <f t="shared" si="8"/>
        <v>565</v>
      </c>
      <c r="B566" s="1001" t="s">
        <v>759</v>
      </c>
      <c r="C566" s="1000" t="s">
        <v>2980</v>
      </c>
      <c r="D566" s="932" t="str">
        <f>VLOOKUP($C566,Table1[#All],2,0)</f>
        <v>BWID THOI HOA</v>
      </c>
      <c r="E566" s="932" t="s">
        <v>85</v>
      </c>
      <c r="F566" s="998" t="s">
        <v>80</v>
      </c>
      <c r="G566" s="932" t="s">
        <v>308</v>
      </c>
      <c r="H566" s="932" t="str">
        <f>VLOOKUP($C566,Table1[#All],3,0)</f>
        <v>Subsidiaries</v>
      </c>
      <c r="I566" s="932" t="str" cm="1">
        <f t="array" ref="I566">_xlfn.XLOOKUP(Acc_Char!$E566,Table4[[#All],[Branch]],Table4[[#All],[Bank]],"recheck",0)</f>
        <v>VIETINBANK - TIEN SON</v>
      </c>
    </row>
    <row r="567" spans="1:9">
      <c r="A567" s="998">
        <f t="shared" si="8"/>
        <v>566</v>
      </c>
      <c r="B567" s="1001" t="s">
        <v>760</v>
      </c>
      <c r="C567" s="1000" t="s">
        <v>2998</v>
      </c>
      <c r="D567" s="932" t="str">
        <f>VLOOKUP($C567,Table1[#All],2,0)</f>
        <v>BWID THOI HOA 2</v>
      </c>
      <c r="E567" s="932" t="s">
        <v>85</v>
      </c>
      <c r="F567" s="998" t="s">
        <v>80</v>
      </c>
      <c r="G567" s="932" t="s">
        <v>308</v>
      </c>
      <c r="H567" s="932" t="str">
        <f>VLOOKUP($C567,Table1[#All],3,0)</f>
        <v>Subsidiaries</v>
      </c>
      <c r="I567" s="932" t="str" cm="1">
        <f t="array" ref="I567">_xlfn.XLOOKUP(Acc_Char!$E567,Table4[[#All],[Branch]],Table4[[#All],[Bank]],"recheck",0)</f>
        <v>VIETINBANK - TIEN SON</v>
      </c>
    </row>
    <row r="568" spans="1:9">
      <c r="A568" s="998">
        <f t="shared" si="8"/>
        <v>567</v>
      </c>
      <c r="B568" s="1001" t="s">
        <v>3317</v>
      </c>
      <c r="C568" s="1000" t="s">
        <v>3272</v>
      </c>
      <c r="D568" s="932" t="str">
        <f>VLOOKUP($C568,Table1[#All],2,0)</f>
        <v>SUPPLY CHAIN 2A</v>
      </c>
      <c r="E568" s="932" t="s">
        <v>85</v>
      </c>
      <c r="F568" s="998" t="s">
        <v>80</v>
      </c>
      <c r="G568" s="932" t="s">
        <v>310</v>
      </c>
      <c r="H568" s="932" t="str">
        <f>VLOOKUP($C568,Table1[#All],3,0)</f>
        <v>Subsidiaries</v>
      </c>
      <c r="I568" s="932" t="str" cm="1">
        <f t="array" ref="I568">_xlfn.XLOOKUP(Acc_Char!$E568,Table4[[#All],[Branch]],Table4[[#All],[Bank]],"recheck",0)</f>
        <v>VIETINBANK - TIEN SON</v>
      </c>
    </row>
    <row r="569" spans="1:9">
      <c r="A569" s="998">
        <f t="shared" si="8"/>
        <v>568</v>
      </c>
      <c r="B569" s="1001" t="s">
        <v>3318</v>
      </c>
      <c r="C569" s="1000" t="s">
        <v>3272</v>
      </c>
      <c r="D569" s="932" t="str">
        <f>VLOOKUP($C569,Table1[#All],2,0)</f>
        <v>SUPPLY CHAIN 2A</v>
      </c>
      <c r="E569" s="932" t="s">
        <v>85</v>
      </c>
      <c r="F569" s="998" t="s">
        <v>80</v>
      </c>
      <c r="G569" s="932" t="s">
        <v>310</v>
      </c>
      <c r="H569" s="932" t="str">
        <f>VLOOKUP($C569,Table1[#All],3,0)</f>
        <v>Subsidiaries</v>
      </c>
      <c r="I569" s="932" t="str" cm="1">
        <f t="array" ref="I569">_xlfn.XLOOKUP(Acc_Char!$E569,Table4[[#All],[Branch]],Table4[[#All],[Bank]],"recheck",0)</f>
        <v>VIETINBANK - TIEN SON</v>
      </c>
    </row>
    <row r="570" spans="1:9">
      <c r="A570" s="998">
        <f t="shared" si="8"/>
        <v>569</v>
      </c>
      <c r="B570" s="1001" t="s">
        <v>3319</v>
      </c>
      <c r="C570" s="1000" t="s">
        <v>3272</v>
      </c>
      <c r="D570" s="932" t="str">
        <f>VLOOKUP($C570,Table1[#All],2,0)</f>
        <v>SUPPLY CHAIN 2A</v>
      </c>
      <c r="E570" s="932" t="s">
        <v>85</v>
      </c>
      <c r="F570" s="998" t="s">
        <v>80</v>
      </c>
      <c r="G570" s="932" t="s">
        <v>310</v>
      </c>
      <c r="H570" s="932" t="str">
        <f>VLOOKUP($C570,Table1[#All],3,0)</f>
        <v>Subsidiaries</v>
      </c>
      <c r="I570" s="932" t="str" cm="1">
        <f t="array" ref="I570">_xlfn.XLOOKUP(Acc_Char!$E570,Table4[[#All],[Branch]],Table4[[#All],[Bank]],"recheck",0)</f>
        <v>VIETINBANK - TIEN SON</v>
      </c>
    </row>
    <row r="571" spans="1:9">
      <c r="A571" s="998">
        <f t="shared" si="8"/>
        <v>570</v>
      </c>
      <c r="B571" s="1001" t="s">
        <v>3320</v>
      </c>
      <c r="C571" s="1000" t="s">
        <v>2915</v>
      </c>
      <c r="D571" s="932" t="str">
        <f>VLOOKUP($C571,Table1[#All],2,0)</f>
        <v>BW DINH VU</v>
      </c>
      <c r="E571" s="932" t="s">
        <v>92</v>
      </c>
      <c r="F571" s="998" t="s">
        <v>80</v>
      </c>
      <c r="G571" s="932" t="s">
        <v>310</v>
      </c>
      <c r="H571" s="932" t="str">
        <f>VLOOKUP($C571,Table1[#All],3,0)</f>
        <v>Subsidiaries</v>
      </c>
      <c r="I571" s="932" t="str" cm="1">
        <f t="array" ref="I571">_xlfn.XLOOKUP(Acc_Char!$E571,Table4[[#All],[Branch]],Table4[[#All],[Bank]],"recheck",0)</f>
        <v>BIDV - THANH XUAN</v>
      </c>
    </row>
    <row r="572" spans="1:9">
      <c r="A572" s="998">
        <f t="shared" si="8"/>
        <v>571</v>
      </c>
      <c r="B572" s="1001" t="s">
        <v>3321</v>
      </c>
      <c r="C572" s="1000" t="s">
        <v>403</v>
      </c>
      <c r="D572" s="932" t="str">
        <f>VLOOKUP($C572,Table1[#All],2,0)</f>
        <v>BW SUPLLY CHAIN CITY</v>
      </c>
      <c r="E572" s="932" t="s">
        <v>91</v>
      </c>
      <c r="F572" s="998" t="s">
        <v>80</v>
      </c>
      <c r="G572" s="932" t="s">
        <v>310</v>
      </c>
      <c r="H572" s="932" t="str">
        <f>VLOOKUP($C572,Table1[#All],3,0)</f>
        <v>Subsidiaries</v>
      </c>
      <c r="I572" s="932" t="str" cm="1">
        <f t="array" ref="I572">_xlfn.XLOOKUP(Acc_Char!$E572,Table4[[#All],[Branch]],Table4[[#All],[Bank]],"recheck",0)</f>
        <v>VIETCOMBANK - HCM</v>
      </c>
    </row>
    <row r="573" spans="1:9">
      <c r="A573" s="998">
        <f t="shared" si="8"/>
        <v>572</v>
      </c>
      <c r="B573" s="1002" t="s">
        <v>762</v>
      </c>
      <c r="C573" s="1003" t="s">
        <v>3277</v>
      </c>
      <c r="D573" s="932" t="str">
        <f>VLOOKUP($C573,Table1[#All],2,0)</f>
        <v>THUAN THANH 3B</v>
      </c>
      <c r="E573" s="932" t="s">
        <v>89</v>
      </c>
      <c r="F573" s="998" t="s">
        <v>80</v>
      </c>
      <c r="G573" s="932" t="s">
        <v>308</v>
      </c>
      <c r="H573" s="932" t="str">
        <f>VLOOKUP($C573,Table1[#All],3,0)</f>
        <v>Subsidiaries</v>
      </c>
      <c r="I573" s="932" t="str" cm="1">
        <f t="array" ref="I573">_xlfn.XLOOKUP(Acc_Char!$E573,Table4[[#All],[Branch]],Table4[[#All],[Bank]],"recheck",0)</f>
        <v>VIETCOMBANK - BA DINH</v>
      </c>
    </row>
    <row r="574" spans="1:9">
      <c r="A574" s="998">
        <f t="shared" si="8"/>
        <v>573</v>
      </c>
      <c r="B574" s="1004" t="s">
        <v>3322</v>
      </c>
      <c r="C574" s="1000" t="s">
        <v>3277</v>
      </c>
      <c r="D574" s="932" t="str">
        <f>VLOOKUP($C574,Table1[#All],2,0)</f>
        <v>THUAN THANH 3B</v>
      </c>
      <c r="E574" s="932" t="s">
        <v>89</v>
      </c>
      <c r="F574" s="998" t="s">
        <v>80</v>
      </c>
      <c r="G574" s="932" t="s">
        <v>310</v>
      </c>
      <c r="H574" s="932" t="str">
        <f>VLOOKUP($C574,Table1[#All],3,0)</f>
        <v>Subsidiaries</v>
      </c>
      <c r="I574" s="932" t="str" cm="1">
        <f t="array" ref="I574">_xlfn.XLOOKUP(Acc_Char!$E574,Table4[[#All],[Branch]],Table4[[#All],[Bank]],"recheck",0)</f>
        <v>VIETCOMBANK - BA DINH</v>
      </c>
    </row>
    <row r="575" spans="1:9">
      <c r="A575" s="998">
        <f t="shared" si="8"/>
        <v>574</v>
      </c>
      <c r="B575" s="1004" t="s">
        <v>1032</v>
      </c>
      <c r="C575" s="1000" t="s">
        <v>3323</v>
      </c>
      <c r="D575" s="932" t="str">
        <f>VLOOKUP($C575,Table1[#All],2,0)</f>
        <v>TAN DONG HIEP B ELECTRON</v>
      </c>
      <c r="E575" s="932" t="s">
        <v>201</v>
      </c>
      <c r="F575" s="998" t="s">
        <v>81</v>
      </c>
      <c r="G575" s="932" t="s">
        <v>308</v>
      </c>
      <c r="H575" s="932" t="str">
        <f>VLOOKUP($C575,Table1[#All],3,0)</f>
        <v>Subsidiaries</v>
      </c>
      <c r="I575" s="932" t="str" cm="1">
        <f t="array" ref="I575">_xlfn.XLOOKUP(Acc_Char!$E1081,Table4[[#All],[Branch]],Table4[[#All],[Bank]],"recheck",0)</f>
        <v>ACB - HCM</v>
      </c>
    </row>
    <row r="576" spans="1:9">
      <c r="A576" s="998">
        <f t="shared" si="8"/>
        <v>575</v>
      </c>
      <c r="B576" s="1097" t="s">
        <v>498</v>
      </c>
      <c r="C576" s="1003" t="s">
        <v>389</v>
      </c>
      <c r="D576" s="999" t="str">
        <f>VLOOKUP($C576,Table1[#All],2,0)</f>
        <v>BWID BINH DUONG</v>
      </c>
      <c r="E576" s="999" t="s">
        <v>98</v>
      </c>
      <c r="F576" s="1093" t="s">
        <v>80</v>
      </c>
      <c r="G576" s="999" t="s">
        <v>308</v>
      </c>
      <c r="H576" s="999" t="str">
        <f>VLOOKUP($C576,Table1[#All],3,0)</f>
        <v>BWID JSC</v>
      </c>
      <c r="I576" s="999" t="str" cm="1">
        <f t="array" ref="I576">_xlfn.XLOOKUP(Acc_Char!$E88,Table4[[#All],[Branch]],Table4[[#All],[Bank]],"recheck",0)</f>
        <v>VIETINBANK - TIEN SON</v>
      </c>
    </row>
    <row r="577" spans="1:9">
      <c r="A577" s="998">
        <f t="shared" si="8"/>
        <v>576</v>
      </c>
      <c r="B577" s="1002" t="s">
        <v>3324</v>
      </c>
      <c r="C577" s="1000" t="s">
        <v>389</v>
      </c>
      <c r="D577" s="932" t="str">
        <f>VLOOKUP($C577,Table1[#All],2,0)</f>
        <v>BWID BINH DUONG</v>
      </c>
      <c r="E577" s="932" t="s">
        <v>153</v>
      </c>
      <c r="F577" s="998" t="s">
        <v>80</v>
      </c>
      <c r="G577" s="932" t="s">
        <v>310</v>
      </c>
      <c r="H577" s="932" t="str">
        <f>VLOOKUP($C577,Table1[#All],3,0)</f>
        <v>BWID JSC</v>
      </c>
      <c r="I577" s="932" t="str" cm="1">
        <f t="array" ref="I577">_xlfn.XLOOKUP(Acc_Char!$E577,Table4[[#All],[Branch]],Table4[[#All],[Bank]],"recheck",0)</f>
        <v>VIETINBANK - BINH DUONG + QM</v>
      </c>
    </row>
    <row r="578" spans="1:9">
      <c r="A578" s="998">
        <f t="shared" si="8"/>
        <v>577</v>
      </c>
      <c r="B578" s="1098" t="s">
        <v>3188</v>
      </c>
      <c r="C578" s="1000" t="s">
        <v>645</v>
      </c>
      <c r="D578" s="932" t="str">
        <f>VLOOKUP($C578,Table1[#All],2,0)</f>
        <v>SPV5B</v>
      </c>
      <c r="E578" s="932" t="s">
        <v>98</v>
      </c>
      <c r="F578" s="998" t="s">
        <v>81</v>
      </c>
      <c r="G578" s="932" t="s">
        <v>308</v>
      </c>
      <c r="H578" s="932" t="str">
        <f>VLOOKUP($C578,Table1[#All],3,0)</f>
        <v>Subsidiaries</v>
      </c>
      <c r="I578" s="932" t="str" cm="1">
        <f t="array" ref="I578">_xlfn.XLOOKUP(Acc_Char!$E414,Table4[[#All],[Branch]],Table4[[#All],[Bank]],"recheck",0)</f>
        <v>VIB - HOI SO</v>
      </c>
    </row>
    <row r="579" spans="1:9">
      <c r="A579" s="998">
        <f t="shared" ref="A579:A642" si="9">A578+1</f>
        <v>578</v>
      </c>
      <c r="B579" s="1002" t="s">
        <v>3325</v>
      </c>
      <c r="C579" s="1003" t="s">
        <v>2895</v>
      </c>
      <c r="D579" s="932" t="str">
        <f>VLOOKUP($C579,Table1[#All],2,0)</f>
        <v>BWID HAI DUONG 2</v>
      </c>
      <c r="E579" s="932" t="s">
        <v>85</v>
      </c>
      <c r="F579" s="998" t="s">
        <v>80</v>
      </c>
      <c r="G579" s="932" t="s">
        <v>310</v>
      </c>
      <c r="H579" s="932" t="str">
        <f>VLOOKUP($C579,Table1[#All],3,0)</f>
        <v>Subsidiaries</v>
      </c>
      <c r="I579" s="932" t="str" cm="1">
        <f t="array" ref="I579">_xlfn.XLOOKUP(Acc_Char!$E579,Table4[[#All],[Branch]],Table4[[#All],[Bank]],"recheck",0)</f>
        <v>VIETINBANK - TIEN SON</v>
      </c>
    </row>
    <row r="580" spans="1:9">
      <c r="A580" s="998">
        <f t="shared" si="9"/>
        <v>579</v>
      </c>
      <c r="B580" s="1004" t="s">
        <v>3326</v>
      </c>
      <c r="C580" s="1000" t="s">
        <v>432</v>
      </c>
      <c r="D580" s="932" t="str">
        <f>VLOOKUP($C580,Table1[#All],2,0)</f>
        <v>BWID BAC NINH</v>
      </c>
      <c r="E580" s="932" t="s">
        <v>85</v>
      </c>
      <c r="F580" s="998" t="s">
        <v>80</v>
      </c>
      <c r="G580" s="932" t="s">
        <v>310</v>
      </c>
      <c r="H580" s="932" t="str">
        <f>VLOOKUP($C580,Table1[#All],3,0)</f>
        <v>Subsidiaries</v>
      </c>
      <c r="I580" s="932" t="str" cm="1">
        <f t="array" ref="I580">_xlfn.XLOOKUP(Acc_Char!$E580,Table4[[#All],[Branch]],Table4[[#All],[Bank]],"recheck",0)</f>
        <v>VIETINBANK - TIEN SON</v>
      </c>
    </row>
    <row r="581" spans="1:9">
      <c r="A581" s="998">
        <f t="shared" si="9"/>
        <v>580</v>
      </c>
      <c r="B581" s="1004" t="s">
        <v>3327</v>
      </c>
      <c r="C581" s="1000" t="s">
        <v>2968</v>
      </c>
      <c r="D581" s="932" t="str">
        <f>VLOOKUP($C581,Table1[#All],2,0)</f>
        <v>BCI JSC</v>
      </c>
      <c r="E581" s="932" t="s">
        <v>85</v>
      </c>
      <c r="F581" s="998" t="s">
        <v>80</v>
      </c>
      <c r="G581" s="932" t="s">
        <v>310</v>
      </c>
      <c r="H581" s="932" t="str">
        <f>VLOOKUP($C581,Table1[#All],3,0)</f>
        <v>Subsidiaries</v>
      </c>
      <c r="I581" s="932" t="str" cm="1">
        <f t="array" ref="I581">_xlfn.XLOOKUP(Acc_Char!$E581,Table4[[#All],[Branch]],Table4[[#All],[Bank]],"recheck",0)</f>
        <v>VIETINBANK - TIEN SON</v>
      </c>
    </row>
    <row r="582" spans="1:9">
      <c r="A582" s="998">
        <f t="shared" si="9"/>
        <v>581</v>
      </c>
      <c r="B582" s="1004" t="s">
        <v>3328</v>
      </c>
      <c r="C582" s="1000" t="s">
        <v>2968</v>
      </c>
      <c r="D582" s="932" t="str">
        <f>VLOOKUP($C582,Table1[#All],2,0)</f>
        <v>BCI JSC</v>
      </c>
      <c r="E582" s="932" t="s">
        <v>85</v>
      </c>
      <c r="F582" s="998" t="s">
        <v>80</v>
      </c>
      <c r="G582" s="932" t="s">
        <v>310</v>
      </c>
      <c r="H582" s="932" t="str">
        <f>VLOOKUP($C582,Table1[#All],3,0)</f>
        <v>Subsidiaries</v>
      </c>
      <c r="I582" s="932" t="str" cm="1">
        <f t="array" ref="I582">_xlfn.XLOOKUP(Acc_Char!$E582,Table4[[#All],[Branch]],Table4[[#All],[Bank]],"recheck",0)</f>
        <v>VIETINBANK - TIEN SON</v>
      </c>
    </row>
    <row r="583" spans="1:9">
      <c r="A583" s="998">
        <f t="shared" si="9"/>
        <v>582</v>
      </c>
      <c r="B583" s="1002" t="s">
        <v>3329</v>
      </c>
      <c r="C583" s="1003" t="s">
        <v>437</v>
      </c>
      <c r="D583" s="932" t="str">
        <f>VLOOKUP($C583,Table1[#All],2,0)</f>
        <v>XENIA 1</v>
      </c>
      <c r="E583" s="932" t="s">
        <v>85</v>
      </c>
      <c r="F583" s="998" t="s">
        <v>80</v>
      </c>
      <c r="G583" s="932" t="s">
        <v>310</v>
      </c>
      <c r="H583" s="932" t="str">
        <f>VLOOKUP($C583,Table1[#All],3,0)</f>
        <v>Subsidiaries</v>
      </c>
      <c r="I583" s="932" t="str" cm="1">
        <f t="array" ref="I583">_xlfn.XLOOKUP(Acc_Char!$E583,Table4[[#All],[Branch]],Table4[[#All],[Bank]],"recheck",0)</f>
        <v>VIETINBANK - TIEN SON</v>
      </c>
    </row>
    <row r="584" spans="1:9">
      <c r="A584" s="998">
        <f t="shared" si="9"/>
        <v>583</v>
      </c>
      <c r="B584" s="1004" t="s">
        <v>3330</v>
      </c>
      <c r="C584" s="1000" t="s">
        <v>2998</v>
      </c>
      <c r="D584" s="932" t="str">
        <f>VLOOKUP($C584,Table1[#All],2,0)</f>
        <v>BWID THOI HOA 2</v>
      </c>
      <c r="E584" s="932" t="s">
        <v>95</v>
      </c>
      <c r="F584" s="998" t="s">
        <v>80</v>
      </c>
      <c r="G584" s="932" t="s">
        <v>310</v>
      </c>
      <c r="H584" s="932" t="str">
        <f>VLOOKUP($C584,Table1[#All],3,0)</f>
        <v>Subsidiaries</v>
      </c>
      <c r="I584" s="932" t="str" cm="1">
        <f t="array" ref="I584">_xlfn.XLOOKUP(Acc_Char!$E584,Table4[[#All],[Branch]],Table4[[#All],[Bank]],"recheck",0)</f>
        <v>OCB - BINH DUONG</v>
      </c>
    </row>
    <row r="585" spans="1:9">
      <c r="A585" s="998">
        <f t="shared" si="9"/>
        <v>584</v>
      </c>
      <c r="B585" s="1002" t="s">
        <v>3331</v>
      </c>
      <c r="C585" s="1003" t="s">
        <v>2998</v>
      </c>
      <c r="D585" s="932" t="str">
        <f>VLOOKUP($C585,Table1[#All],2,0)</f>
        <v>BWID THOI HOA 2</v>
      </c>
      <c r="E585" s="932" t="s">
        <v>95</v>
      </c>
      <c r="F585" s="998" t="s">
        <v>80</v>
      </c>
      <c r="G585" s="932" t="s">
        <v>310</v>
      </c>
      <c r="H585" s="932" t="str">
        <f>VLOOKUP($C585,Table1[#All],3,0)</f>
        <v>Subsidiaries</v>
      </c>
      <c r="I585" s="932" t="str" cm="1">
        <f t="array" ref="I585">_xlfn.XLOOKUP(Acc_Char!$E585,Table4[[#All],[Branch]],Table4[[#All],[Bank]],"recheck",0)</f>
        <v>OCB - BINH DUONG</v>
      </c>
    </row>
    <row r="586" spans="1:9">
      <c r="A586" s="998">
        <f t="shared" si="9"/>
        <v>585</v>
      </c>
      <c r="B586" s="1004" t="s">
        <v>3332</v>
      </c>
      <c r="C586" s="1000" t="s">
        <v>2974</v>
      </c>
      <c r="D586" s="932" t="str">
        <f>VLOOKUP($C586,Table1[#All],2,0)</f>
        <v>BWID HAI DUONG 3</v>
      </c>
      <c r="E586" s="932" t="s">
        <v>92</v>
      </c>
      <c r="F586" s="998" t="s">
        <v>80</v>
      </c>
      <c r="G586" s="932" t="s">
        <v>310</v>
      </c>
      <c r="H586" s="932" t="str">
        <f>VLOOKUP($C586,Table1[#All],3,0)</f>
        <v>Subsidiaries</v>
      </c>
      <c r="I586" s="932" t="str" cm="1">
        <f t="array" ref="I586">_xlfn.XLOOKUP(Acc_Char!$E586,Table4[[#All],[Branch]],Table4[[#All],[Bank]],"recheck",0)</f>
        <v>BIDV - THANH XUAN</v>
      </c>
    </row>
    <row r="587" spans="1:9">
      <c r="A587" s="998">
        <f t="shared" si="9"/>
        <v>586</v>
      </c>
      <c r="B587" s="1002" t="s">
        <v>3333</v>
      </c>
      <c r="C587" s="1003" t="s">
        <v>2974</v>
      </c>
      <c r="D587" s="932" t="str">
        <f>VLOOKUP($C587,Table1[#All],2,0)</f>
        <v>BWID HAI DUONG 3</v>
      </c>
      <c r="E587" s="932" t="s">
        <v>92</v>
      </c>
      <c r="F587" s="998" t="s">
        <v>80</v>
      </c>
      <c r="G587" s="932" t="s">
        <v>310</v>
      </c>
      <c r="H587" s="932" t="str">
        <f>VLOOKUP($C587,Table1[#All],3,0)</f>
        <v>Subsidiaries</v>
      </c>
      <c r="I587" s="932" t="str" cm="1">
        <f t="array" ref="I587">_xlfn.XLOOKUP(Acc_Char!$E587,Table4[[#All],[Branch]],Table4[[#All],[Bank]],"recheck",0)</f>
        <v>BIDV - THANH XUAN</v>
      </c>
    </row>
    <row r="588" spans="1:9">
      <c r="A588" s="998">
        <f t="shared" si="9"/>
        <v>587</v>
      </c>
      <c r="B588" s="1004" t="s">
        <v>3334</v>
      </c>
      <c r="C588" s="1000" t="s">
        <v>445</v>
      </c>
      <c r="D588" s="932" t="str">
        <f>VLOOKUP($C588,Table1[#All],2,0)</f>
        <v>BW PHU NGHIA</v>
      </c>
      <c r="E588" s="932" t="s">
        <v>92</v>
      </c>
      <c r="F588" s="998" t="s">
        <v>80</v>
      </c>
      <c r="G588" s="932" t="s">
        <v>310</v>
      </c>
      <c r="H588" s="932" t="str">
        <f>VLOOKUP($C588,Table1[#All],3,0)</f>
        <v>Subsidiaries</v>
      </c>
      <c r="I588" s="932" t="str" cm="1">
        <f t="array" ref="I588">_xlfn.XLOOKUP(Acc_Char!$E588,Table4[[#All],[Branch]],Table4[[#All],[Bank]],"recheck",0)</f>
        <v>BIDV - THANH XUAN</v>
      </c>
    </row>
    <row r="589" spans="1:9">
      <c r="A589" s="998">
        <f t="shared" si="9"/>
        <v>588</v>
      </c>
      <c r="B589" s="1002" t="s">
        <v>3335</v>
      </c>
      <c r="C589" s="1000" t="s">
        <v>445</v>
      </c>
      <c r="D589" s="932" t="str">
        <f>VLOOKUP($C589,Table1[#All],2,0)</f>
        <v>BW PHU NGHIA</v>
      </c>
      <c r="E589" s="932" t="s">
        <v>92</v>
      </c>
      <c r="F589" s="998" t="s">
        <v>80</v>
      </c>
      <c r="G589" s="932" t="s">
        <v>310</v>
      </c>
      <c r="H589" s="932" t="str">
        <f>VLOOKUP($C589,Table1[#All],3,0)</f>
        <v>Subsidiaries</v>
      </c>
      <c r="I589" s="932" t="str" cm="1">
        <f t="array" ref="I589">_xlfn.XLOOKUP(Acc_Char!$E589,Table4[[#All],[Branch]],Table4[[#All],[Bank]],"recheck",0)</f>
        <v>BIDV - THANH XUAN</v>
      </c>
    </row>
    <row r="590" spans="1:9">
      <c r="A590" s="998">
        <f t="shared" si="9"/>
        <v>589</v>
      </c>
      <c r="B590" s="1004" t="s">
        <v>3336</v>
      </c>
      <c r="C590" s="1000" t="s">
        <v>445</v>
      </c>
      <c r="D590" s="932" t="str">
        <f>VLOOKUP($C590,Table1[#All],2,0)</f>
        <v>BW PHU NGHIA</v>
      </c>
      <c r="E590" s="932" t="s">
        <v>92</v>
      </c>
      <c r="F590" s="998" t="s">
        <v>80</v>
      </c>
      <c r="G590" s="932" t="s">
        <v>310</v>
      </c>
      <c r="H590" s="932" t="str">
        <f>VLOOKUP($C590,Table1[#All],3,0)</f>
        <v>Subsidiaries</v>
      </c>
      <c r="I590" s="932" t="str" cm="1">
        <f t="array" ref="I590">_xlfn.XLOOKUP(Acc_Char!$E590,Table4[[#All],[Branch]],Table4[[#All],[Bank]],"recheck",0)</f>
        <v>BIDV - THANH XUAN</v>
      </c>
    </row>
    <row r="591" spans="1:9">
      <c r="A591" s="998">
        <f t="shared" si="9"/>
        <v>590</v>
      </c>
      <c r="B591" s="1002" t="s">
        <v>3337</v>
      </c>
      <c r="C591" s="1000" t="s">
        <v>445</v>
      </c>
      <c r="D591" s="932" t="str">
        <f>VLOOKUP($C591,Table1[#All],2,0)</f>
        <v>BW PHU NGHIA</v>
      </c>
      <c r="E591" s="932" t="s">
        <v>92</v>
      </c>
      <c r="F591" s="998" t="s">
        <v>80</v>
      </c>
      <c r="G591" s="932" t="s">
        <v>310</v>
      </c>
      <c r="H591" s="932" t="str">
        <f>VLOOKUP($C591,Table1[#All],3,0)</f>
        <v>Subsidiaries</v>
      </c>
      <c r="I591" s="932" t="str" cm="1">
        <f t="array" ref="I591">_xlfn.XLOOKUP(Acc_Char!$E591,Table4[[#All],[Branch]],Table4[[#All],[Bank]],"recheck",0)</f>
        <v>BIDV - THANH XUAN</v>
      </c>
    </row>
    <row r="592" spans="1:9">
      <c r="A592" s="998">
        <f t="shared" si="9"/>
        <v>591</v>
      </c>
      <c r="B592" s="1004" t="s">
        <v>3338</v>
      </c>
      <c r="C592" s="1000" t="s">
        <v>2969</v>
      </c>
      <c r="D592" s="932" t="str">
        <f>VLOOKUP($C592,Table1[#All],2,0)</f>
        <v>BWID NHON TRACH</v>
      </c>
      <c r="E592" s="932" t="s">
        <v>91</v>
      </c>
      <c r="F592" s="998" t="s">
        <v>80</v>
      </c>
      <c r="G592" s="932" t="s">
        <v>310</v>
      </c>
      <c r="H592" s="932" t="str">
        <f>VLOOKUP($C592,Table1[#All],3,0)</f>
        <v>Subsidiaries</v>
      </c>
      <c r="I592" s="932" t="str" cm="1">
        <f t="array" ref="I592">_xlfn.XLOOKUP(Acc_Char!$E592,Table4[[#All],[Branch]],Table4[[#All],[Bank]],"recheck",0)</f>
        <v>VIETCOMBANK - HCM</v>
      </c>
    </row>
    <row r="593" spans="1:9">
      <c r="A593" s="998">
        <f t="shared" si="9"/>
        <v>592</v>
      </c>
      <c r="B593" s="1002" t="s">
        <v>3339</v>
      </c>
      <c r="C593" s="1000" t="s">
        <v>3280</v>
      </c>
      <c r="D593" s="932" t="str">
        <f>VLOOKUP($C593,Table1[#All],2,0)</f>
        <v>BAC TIEN PHONG</v>
      </c>
      <c r="E593" s="932" t="s">
        <v>92</v>
      </c>
      <c r="F593" s="998" t="s">
        <v>80</v>
      </c>
      <c r="G593" s="932" t="s">
        <v>310</v>
      </c>
      <c r="H593" s="932" t="str">
        <f>VLOOKUP($C593,Table1[#All],3,0)</f>
        <v>Subsidiaries</v>
      </c>
      <c r="I593" s="932" t="str" cm="1">
        <f t="array" ref="I593">_xlfn.XLOOKUP(Acc_Char!$E593,Table4[[#All],[Branch]],Table4[[#All],[Bank]],"recheck",0)</f>
        <v>BIDV - THANH XUAN</v>
      </c>
    </row>
    <row r="594" spans="1:9">
      <c r="A594" s="998">
        <f t="shared" si="9"/>
        <v>593</v>
      </c>
      <c r="B594" s="1004" t="s">
        <v>3340</v>
      </c>
      <c r="C594" s="1000" t="s">
        <v>389</v>
      </c>
      <c r="D594" s="932" t="str">
        <f>VLOOKUP($C594,Table1[#All],2,0)</f>
        <v>BWID BINH DUONG</v>
      </c>
      <c r="E594" s="932" t="s">
        <v>153</v>
      </c>
      <c r="F594" s="998" t="s">
        <v>80</v>
      </c>
      <c r="G594" s="932" t="s">
        <v>310</v>
      </c>
      <c r="H594" s="932" t="str">
        <f>VLOOKUP($C594,Table1[#All],3,0)</f>
        <v>BWID JSC</v>
      </c>
      <c r="I594" s="932" t="str" cm="1">
        <f t="array" ref="I594">_xlfn.XLOOKUP(Acc_Char!$E594,Table4[[#All],[Branch]],Table4[[#All],[Bank]],"recheck",0)</f>
        <v>VIETINBANK - BINH DUONG + QM</v>
      </c>
    </row>
    <row r="595" spans="1:9">
      <c r="A595" s="998">
        <f t="shared" si="9"/>
        <v>594</v>
      </c>
      <c r="B595" s="1002" t="s">
        <v>3341</v>
      </c>
      <c r="C595" s="1000" t="s">
        <v>389</v>
      </c>
      <c r="D595" s="932" t="str">
        <f>VLOOKUP($C595,Table1[#All],2,0)</f>
        <v>BWID BINH DUONG</v>
      </c>
      <c r="E595" s="932" t="s">
        <v>201</v>
      </c>
      <c r="F595" s="998" t="s">
        <v>80</v>
      </c>
      <c r="G595" s="932" t="s">
        <v>310</v>
      </c>
      <c r="H595" s="932" t="str">
        <f>VLOOKUP($C595,Table1[#All],3,0)</f>
        <v>BWID JSC</v>
      </c>
      <c r="I595" s="932" t="str" cm="1">
        <f t="array" ref="I595">_xlfn.XLOOKUP(Acc_Char!$E595,Table4[[#All],[Branch]],Table4[[#All],[Bank]],"recheck",0)</f>
        <v>STANDARD CHARTERED</v>
      </c>
    </row>
    <row r="596" spans="1:9">
      <c r="A596" s="998">
        <f t="shared" si="9"/>
        <v>595</v>
      </c>
      <c r="B596" s="1004" t="s">
        <v>3342</v>
      </c>
      <c r="C596" s="1000" t="s">
        <v>3072</v>
      </c>
      <c r="D596" s="932" t="str">
        <f>VLOOKUP($C596,Table1[#All],2,0)</f>
        <v>BWID TAN DONG HIEP</v>
      </c>
      <c r="E596" s="932" t="s">
        <v>96</v>
      </c>
      <c r="F596" s="998" t="s">
        <v>80</v>
      </c>
      <c r="G596" s="932" t="s">
        <v>310</v>
      </c>
      <c r="H596" s="932" t="str">
        <f>VLOOKUP($C596,Table1[#All],3,0)</f>
        <v>Subsidiaries</v>
      </c>
      <c r="I596" s="932" t="str" cm="1">
        <f t="array" ref="I596">_xlfn.XLOOKUP(Acc_Char!$E596,Table4[[#All],[Branch]],Table4[[#All],[Bank]],"recheck",0)</f>
        <v>VIB - HOI SO</v>
      </c>
    </row>
    <row r="597" spans="1:9">
      <c r="A597" s="998">
        <f t="shared" si="9"/>
        <v>596</v>
      </c>
      <c r="B597" s="1002" t="s">
        <v>3343</v>
      </c>
      <c r="C597" s="1000" t="s">
        <v>440</v>
      </c>
      <c r="D597" s="932" t="str">
        <f>VLOOKUP($C597,Table1[#All],2,0)</f>
        <v>BW NAM DINH VU</v>
      </c>
      <c r="E597" s="999" t="s">
        <v>94</v>
      </c>
      <c r="F597" s="998" t="s">
        <v>80</v>
      </c>
      <c r="G597" s="932" t="s">
        <v>310</v>
      </c>
      <c r="H597" s="932" t="str">
        <f>VLOOKUP($C597,Table1[#All],3,0)</f>
        <v>Subsidiaries</v>
      </c>
      <c r="I597" s="932" t="str" cm="1">
        <f t="array" ref="I597">_xlfn.XLOOKUP(Acc_Char!$E597,Table4[[#All],[Branch]],Table4[[#All],[Bank]],"recheck",0)</f>
        <v>BIDV - LONG BIEN</v>
      </c>
    </row>
    <row r="598" spans="1:9">
      <c r="A598" s="998">
        <f t="shared" si="9"/>
        <v>597</v>
      </c>
      <c r="B598" s="1004" t="s">
        <v>3344</v>
      </c>
      <c r="C598" s="1000" t="s">
        <v>3175</v>
      </c>
      <c r="D598" s="932" t="str">
        <f>VLOOKUP($C598,Table1[#All],2,0)</f>
        <v>BW HAI AN</v>
      </c>
      <c r="E598" s="932" t="s">
        <v>92</v>
      </c>
      <c r="F598" s="998" t="s">
        <v>80</v>
      </c>
      <c r="G598" s="932" t="s">
        <v>310</v>
      </c>
      <c r="H598" s="932" t="str">
        <f>VLOOKUP($C598,Table1[#All],3,0)</f>
        <v>Subsidiaries</v>
      </c>
      <c r="I598" s="932" t="str" cm="1">
        <f t="array" ref="I598">_xlfn.XLOOKUP(Acc_Char!$E598,Table4[[#All],[Branch]],Table4[[#All],[Bank]],"recheck",0)</f>
        <v>BIDV - THANH XUAN</v>
      </c>
    </row>
    <row r="599" spans="1:9">
      <c r="A599" s="998">
        <f t="shared" si="9"/>
        <v>598</v>
      </c>
      <c r="B599" s="1002" t="s">
        <v>3345</v>
      </c>
      <c r="C599" s="1003" t="s">
        <v>3175</v>
      </c>
      <c r="D599" s="932" t="str">
        <f>VLOOKUP($C599,Table1[#All],2,0)</f>
        <v>BW HAI AN</v>
      </c>
      <c r="E599" s="999" t="s">
        <v>92</v>
      </c>
      <c r="F599" s="998" t="s">
        <v>80</v>
      </c>
      <c r="G599" s="932" t="s">
        <v>310</v>
      </c>
      <c r="H599" s="932" t="str">
        <f>VLOOKUP($C599,Table1[#All],3,0)</f>
        <v>Subsidiaries</v>
      </c>
      <c r="I599" s="932" t="str" cm="1">
        <f t="array" ref="I599">_xlfn.XLOOKUP(Acc_Char!$E599,Table4[[#All],[Branch]],Table4[[#All],[Bank]],"recheck",0)</f>
        <v>BIDV - THANH XUAN</v>
      </c>
    </row>
    <row r="600" spans="1:9">
      <c r="A600" s="998">
        <f t="shared" si="9"/>
        <v>599</v>
      </c>
      <c r="B600" s="1004" t="s">
        <v>3346</v>
      </c>
      <c r="C600" s="1000" t="s">
        <v>412</v>
      </c>
      <c r="D600" s="932" t="str">
        <f>VLOOKUP($C600,Table1[#All],2,0)</f>
        <v>DELIWAY</v>
      </c>
      <c r="E600" s="932" t="s">
        <v>92</v>
      </c>
      <c r="F600" s="998" t="s">
        <v>80</v>
      </c>
      <c r="G600" s="932" t="s">
        <v>310</v>
      </c>
      <c r="H600" s="932" t="str">
        <f>VLOOKUP($C600,Table1[#All],3,0)</f>
        <v>Subsidiaries</v>
      </c>
      <c r="I600" s="932" t="str" cm="1">
        <f t="array" ref="I600">_xlfn.XLOOKUP(Acc_Char!$E600,Table4[[#All],[Branch]],Table4[[#All],[Bank]],"recheck",0)</f>
        <v>BIDV - THANH XUAN</v>
      </c>
    </row>
    <row r="601" spans="1:9">
      <c r="A601" s="998">
        <f t="shared" si="9"/>
        <v>600</v>
      </c>
      <c r="B601" s="1002" t="s">
        <v>3347</v>
      </c>
      <c r="C601" s="1003" t="s">
        <v>412</v>
      </c>
      <c r="D601" s="932" t="str">
        <f>VLOOKUP($C601,Table1[#All],2,0)</f>
        <v>DELIWAY</v>
      </c>
      <c r="E601" s="999" t="s">
        <v>92</v>
      </c>
      <c r="F601" s="998" t="s">
        <v>80</v>
      </c>
      <c r="G601" s="932" t="s">
        <v>310</v>
      </c>
      <c r="H601" s="932" t="str">
        <f>VLOOKUP($C601,Table1[#All],3,0)</f>
        <v>Subsidiaries</v>
      </c>
      <c r="I601" s="932" t="str" cm="1">
        <f t="array" ref="I601">_xlfn.XLOOKUP(Acc_Char!$E601,Table4[[#All],[Branch]],Table4[[#All],[Bank]],"recheck",0)</f>
        <v>BIDV - THANH XUAN</v>
      </c>
    </row>
    <row r="602" spans="1:9">
      <c r="A602" s="998">
        <f t="shared" si="9"/>
        <v>601</v>
      </c>
      <c r="B602" s="1004" t="s">
        <v>3348</v>
      </c>
      <c r="C602" s="1000" t="s">
        <v>3268</v>
      </c>
      <c r="D602" s="932" t="str">
        <f>VLOOKUP($C602,Table1[#All],2,0)</f>
        <v>BW DONG HAI</v>
      </c>
      <c r="E602" s="932" t="s">
        <v>92</v>
      </c>
      <c r="F602" s="998" t="s">
        <v>80</v>
      </c>
      <c r="G602" s="932" t="s">
        <v>310</v>
      </c>
      <c r="H602" s="932" t="str">
        <f>VLOOKUP($C602,Table1[#All],3,0)</f>
        <v>Subsidiaries</v>
      </c>
      <c r="I602" s="932" t="str" cm="1">
        <f t="array" ref="I602">_xlfn.XLOOKUP(Acc_Char!$E602,Table4[[#All],[Branch]],Table4[[#All],[Bank]],"recheck",0)</f>
        <v>BIDV - THANH XUAN</v>
      </c>
    </row>
    <row r="603" spans="1:9">
      <c r="A603" s="998">
        <f t="shared" si="9"/>
        <v>602</v>
      </c>
      <c r="B603" s="1002" t="s">
        <v>3349</v>
      </c>
      <c r="C603" s="1003" t="s">
        <v>445</v>
      </c>
      <c r="D603" s="932" t="str">
        <f>VLOOKUP($C603,Table1[#All],2,0)</f>
        <v>BW PHU NGHIA</v>
      </c>
      <c r="E603" s="932" t="s">
        <v>92</v>
      </c>
      <c r="F603" s="998" t="s">
        <v>80</v>
      </c>
      <c r="G603" s="932" t="s">
        <v>310</v>
      </c>
      <c r="H603" s="932" t="str">
        <f>VLOOKUP($C603,Table1[#All],3,0)</f>
        <v>Subsidiaries</v>
      </c>
      <c r="I603" s="932" t="str" cm="1">
        <f t="array" ref="I603">_xlfn.XLOOKUP(Acc_Char!$E603,Table4[[#All],[Branch]],Table4[[#All],[Bank]],"recheck",0)</f>
        <v>BIDV - THANH XUAN</v>
      </c>
    </row>
    <row r="604" spans="1:9">
      <c r="A604" s="998">
        <f t="shared" si="9"/>
        <v>603</v>
      </c>
      <c r="B604" s="1004" t="s">
        <v>3350</v>
      </c>
      <c r="C604" s="1000" t="s">
        <v>2888</v>
      </c>
      <c r="D604" s="932" t="str">
        <f>VLOOKUP($C604,Table1[#All],2,0)</f>
        <v>BWID HAI DUONG</v>
      </c>
      <c r="E604" s="932" t="s">
        <v>85</v>
      </c>
      <c r="F604" s="998" t="s">
        <v>80</v>
      </c>
      <c r="G604" s="932" t="s">
        <v>310</v>
      </c>
      <c r="H604" s="932" t="str">
        <f>VLOOKUP($C604,Table1[#All],3,0)</f>
        <v>Subsidiaries</v>
      </c>
      <c r="I604" s="932" t="str" cm="1">
        <f t="array" ref="I604">_xlfn.XLOOKUP(Acc_Char!$E604,Table4[[#All],[Branch]],Table4[[#All],[Bank]],"recheck",0)</f>
        <v>VIETINBANK - TIEN SON</v>
      </c>
    </row>
    <row r="605" spans="1:9">
      <c r="A605" s="998">
        <f t="shared" si="9"/>
        <v>604</v>
      </c>
      <c r="B605" s="1002" t="s">
        <v>3351</v>
      </c>
      <c r="C605" s="1003" t="s">
        <v>2895</v>
      </c>
      <c r="D605" s="932" t="str">
        <f>VLOOKUP($C605,Table1[#All],2,0)</f>
        <v>BWID HAI DUONG 2</v>
      </c>
      <c r="E605" s="932" t="s">
        <v>85</v>
      </c>
      <c r="F605" s="998" t="s">
        <v>80</v>
      </c>
      <c r="G605" s="932" t="s">
        <v>310</v>
      </c>
      <c r="H605" s="932" t="str">
        <f>VLOOKUP($C605,Table1[#All],3,0)</f>
        <v>Subsidiaries</v>
      </c>
      <c r="I605" s="932" t="str" cm="1">
        <f t="array" ref="I605">_xlfn.XLOOKUP(Acc_Char!$E605,Table4[[#All],[Branch]],Table4[[#All],[Bank]],"recheck",0)</f>
        <v>VIETINBANK - TIEN SON</v>
      </c>
    </row>
    <row r="606" spans="1:9">
      <c r="A606" s="998">
        <f t="shared" si="9"/>
        <v>605</v>
      </c>
      <c r="B606" s="1004" t="s">
        <v>3352</v>
      </c>
      <c r="C606" s="1000" t="s">
        <v>2895</v>
      </c>
      <c r="D606" s="932" t="str">
        <f>VLOOKUP($C606,Table1[#All],2,0)</f>
        <v>BWID HAI DUONG 2</v>
      </c>
      <c r="E606" s="932" t="s">
        <v>85</v>
      </c>
      <c r="F606" s="998" t="s">
        <v>80</v>
      </c>
      <c r="G606" s="932" t="s">
        <v>310</v>
      </c>
      <c r="H606" s="932" t="str">
        <f>VLOOKUP($C606,Table1[#All],3,0)</f>
        <v>Subsidiaries</v>
      </c>
      <c r="I606" s="932" t="str" cm="1">
        <f t="array" ref="I606">_xlfn.XLOOKUP(Acc_Char!$E606,Table4[[#All],[Branch]],Table4[[#All],[Bank]],"recheck",0)</f>
        <v>VIETINBANK - TIEN SON</v>
      </c>
    </row>
    <row r="607" spans="1:9">
      <c r="A607" s="998">
        <f t="shared" si="9"/>
        <v>606</v>
      </c>
      <c r="B607" s="1002" t="s">
        <v>3353</v>
      </c>
      <c r="C607" s="1003" t="s">
        <v>434</v>
      </c>
      <c r="D607" s="932" t="str">
        <f>VLOOKUP($C607,Table1[#All],2,0)</f>
        <v>BWID HAI PHONG</v>
      </c>
      <c r="E607" s="932" t="s">
        <v>85</v>
      </c>
      <c r="F607" s="998" t="s">
        <v>80</v>
      </c>
      <c r="G607" s="932" t="s">
        <v>310</v>
      </c>
      <c r="H607" s="932" t="str">
        <f>VLOOKUP($C607,Table1[#All],3,0)</f>
        <v>Subsidiaries</v>
      </c>
      <c r="I607" s="932" t="str" cm="1">
        <f t="array" ref="I607">_xlfn.XLOOKUP(Acc_Char!$E607,Table4[[#All],[Branch]],Table4[[#All],[Bank]],"recheck",0)</f>
        <v>VIETINBANK - TIEN SON</v>
      </c>
    </row>
    <row r="608" spans="1:9">
      <c r="A608" s="998">
        <f t="shared" si="9"/>
        <v>607</v>
      </c>
      <c r="B608" s="1004" t="s">
        <v>3354</v>
      </c>
      <c r="C608" s="1000" t="s">
        <v>402</v>
      </c>
      <c r="D608" s="932" t="str">
        <f>VLOOKUP($C608,Table1[#All],2,0)</f>
        <v>BWID DONG AN LID</v>
      </c>
      <c r="E608" s="932" t="s">
        <v>88</v>
      </c>
      <c r="F608" s="998" t="s">
        <v>80</v>
      </c>
      <c r="G608" s="932" t="s">
        <v>310</v>
      </c>
      <c r="H608" s="932" t="str">
        <f>VLOOKUP($C608,Table1[#All],3,0)</f>
        <v>Subsidiaries</v>
      </c>
      <c r="I608" s="932" t="str" cm="1">
        <f t="array" ref="I608">_xlfn.XLOOKUP(Acc_Char!$E608,Table4[[#All],[Branch]],Table4[[#All],[Bank]],"recheck",0)</f>
        <v>VIETINBANK - DONG SAI GON</v>
      </c>
    </row>
    <row r="609" spans="1:9">
      <c r="A609" s="998">
        <f t="shared" si="9"/>
        <v>608</v>
      </c>
      <c r="B609" s="1002" t="s">
        <v>3355</v>
      </c>
      <c r="C609" s="1003" t="s">
        <v>3160</v>
      </c>
      <c r="D609" s="932" t="str">
        <f>VLOOKUP($C609,Table1[#All],2,0)</f>
        <v>BWID Tan Phu Trung</v>
      </c>
      <c r="E609" s="999" t="s">
        <v>85</v>
      </c>
      <c r="F609" s="998" t="s">
        <v>80</v>
      </c>
      <c r="G609" s="932" t="s">
        <v>310</v>
      </c>
      <c r="H609" s="932" t="str">
        <f>VLOOKUP($C609,Table1[#All],3,0)</f>
        <v>Subsidiaries</v>
      </c>
      <c r="I609" s="932" t="str" cm="1">
        <f t="array" ref="I609">_xlfn.XLOOKUP(Acc_Char!$E609,Table4[[#All],[Branch]],Table4[[#All],[Bank]],"recheck",0)</f>
        <v>VIETINBANK - TIEN SON</v>
      </c>
    </row>
    <row r="610" spans="1:9">
      <c r="A610" s="998">
        <f t="shared" si="9"/>
        <v>609</v>
      </c>
      <c r="B610" s="1004" t="s">
        <v>766</v>
      </c>
      <c r="C610" s="1000" t="s">
        <v>3160</v>
      </c>
      <c r="D610" s="932" t="str">
        <f>VLOOKUP($C610,Table1[#All],2,0)</f>
        <v>BWID Tan Phu Trung</v>
      </c>
      <c r="E610" s="932" t="s">
        <v>85</v>
      </c>
      <c r="F610" s="998" t="s">
        <v>80</v>
      </c>
      <c r="G610" s="932" t="s">
        <v>308</v>
      </c>
      <c r="H610" s="932" t="str">
        <f>VLOOKUP($C610,Table1[#All],3,0)</f>
        <v>Subsidiaries</v>
      </c>
      <c r="I610" s="932" t="str" cm="1">
        <f t="array" ref="I610">_xlfn.XLOOKUP(Acc_Char!$E610,Table4[[#All],[Branch]],Table4[[#All],[Bank]],"recheck",0)</f>
        <v>VIETINBANK - TIEN SON</v>
      </c>
    </row>
    <row r="611" spans="1:9">
      <c r="A611" s="998">
        <f t="shared" si="9"/>
        <v>610</v>
      </c>
      <c r="B611" s="1002" t="s">
        <v>3356</v>
      </c>
      <c r="C611" s="1003" t="s">
        <v>3093</v>
      </c>
      <c r="D611" s="932" t="str">
        <f>VLOOKUP($C611,Table1[#All],2,0)</f>
        <v>SONGTHAN LID</v>
      </c>
      <c r="E611" s="932" t="s">
        <v>88</v>
      </c>
      <c r="F611" s="998" t="s">
        <v>80</v>
      </c>
      <c r="G611" s="932" t="s">
        <v>310</v>
      </c>
      <c r="H611" s="932" t="str">
        <f>VLOOKUP($C611,Table1[#All],3,0)</f>
        <v>Subsidiaries</v>
      </c>
      <c r="I611" s="932" t="str" cm="1">
        <f t="array" ref="I611">_xlfn.XLOOKUP(Acc_Char!$E611,Table4[[#All],[Branch]],Table4[[#All],[Bank]],"recheck",0)</f>
        <v>VIETINBANK - DONG SAI GON</v>
      </c>
    </row>
    <row r="612" spans="1:9">
      <c r="A612" s="998">
        <f t="shared" si="9"/>
        <v>611</v>
      </c>
      <c r="B612" s="1004" t="s">
        <v>3357</v>
      </c>
      <c r="C612" s="1000" t="s">
        <v>3237</v>
      </c>
      <c r="D612" s="932" t="str">
        <f>VLOOKUP($C612,Table1[#All],2,0)</f>
        <v>LONG BINH</v>
      </c>
      <c r="E612" s="932" t="s">
        <v>86</v>
      </c>
      <c r="F612" s="998" t="s">
        <v>80</v>
      </c>
      <c r="G612" s="932" t="s">
        <v>310</v>
      </c>
      <c r="H612" s="932" t="str">
        <f>VLOOKUP($C612,Table1[#All],3,0)</f>
        <v>Subsidiaries</v>
      </c>
      <c r="I612" s="932" t="str" cm="1">
        <f t="array" ref="I612">_xlfn.XLOOKUP(Acc_Char!$E612,Table4[[#All],[Branch]],Table4[[#All],[Bank]],"recheck",0)</f>
        <v>VIETINBANK - CN1</v>
      </c>
    </row>
    <row r="613" spans="1:9">
      <c r="A613" s="998">
        <f t="shared" si="9"/>
        <v>612</v>
      </c>
      <c r="B613" s="1002" t="s">
        <v>3358</v>
      </c>
      <c r="C613" s="1003" t="s">
        <v>3237</v>
      </c>
      <c r="D613" s="932" t="str">
        <f>VLOOKUP($C613,Table1[#All],2,0)</f>
        <v>LONG BINH</v>
      </c>
      <c r="E613" s="932" t="s">
        <v>86</v>
      </c>
      <c r="F613" s="998" t="s">
        <v>80</v>
      </c>
      <c r="G613" s="932" t="s">
        <v>310</v>
      </c>
      <c r="H613" s="932" t="str">
        <f>VLOOKUP($C613,Table1[#All],3,0)</f>
        <v>Subsidiaries</v>
      </c>
      <c r="I613" s="932" t="str" cm="1">
        <f t="array" ref="I613">_xlfn.XLOOKUP(Acc_Char!$E613,Table4[[#All],[Branch]],Table4[[#All],[Bank]],"recheck",0)</f>
        <v>VIETINBANK - CN1</v>
      </c>
    </row>
    <row r="614" spans="1:9">
      <c r="A614" s="998">
        <f t="shared" si="9"/>
        <v>613</v>
      </c>
      <c r="B614" s="1004" t="s">
        <v>3359</v>
      </c>
      <c r="C614" s="1000" t="s">
        <v>3237</v>
      </c>
      <c r="D614" s="932" t="str">
        <f>VLOOKUP($C614,Table1[#All],2,0)</f>
        <v>LONG BINH</v>
      </c>
      <c r="E614" s="932" t="s">
        <v>86</v>
      </c>
      <c r="F614" s="998" t="s">
        <v>80</v>
      </c>
      <c r="G614" s="932" t="s">
        <v>310</v>
      </c>
      <c r="H614" s="932" t="str">
        <f>VLOOKUP($C614,Table1[#All],3,0)</f>
        <v>Subsidiaries</v>
      </c>
      <c r="I614" s="932" t="str" cm="1">
        <f t="array" ref="I614">_xlfn.XLOOKUP(Acc_Char!$E614,Table4[[#All],[Branch]],Table4[[#All],[Bank]],"recheck",0)</f>
        <v>VIETINBANK - CN1</v>
      </c>
    </row>
    <row r="615" spans="1:9">
      <c r="A615" s="998">
        <f t="shared" si="9"/>
        <v>614</v>
      </c>
      <c r="B615" s="1002" t="s">
        <v>3360</v>
      </c>
      <c r="C615" s="1003" t="s">
        <v>3237</v>
      </c>
      <c r="D615" s="932" t="str">
        <f>VLOOKUP($C615,Table1[#All],2,0)</f>
        <v>LONG BINH</v>
      </c>
      <c r="E615" s="932" t="s">
        <v>86</v>
      </c>
      <c r="F615" s="998" t="s">
        <v>80</v>
      </c>
      <c r="G615" s="932" t="s">
        <v>310</v>
      </c>
      <c r="H615" s="932" t="str">
        <f>VLOOKUP($C615,Table1[#All],3,0)</f>
        <v>Subsidiaries</v>
      </c>
      <c r="I615" s="932" t="str" cm="1">
        <f t="array" ref="I615">_xlfn.XLOOKUP(Acc_Char!$E615,Table4[[#All],[Branch]],Table4[[#All],[Bank]],"recheck",0)</f>
        <v>VIETINBANK - CN1</v>
      </c>
    </row>
    <row r="616" spans="1:9">
      <c r="A616" s="998">
        <f t="shared" si="9"/>
        <v>615</v>
      </c>
      <c r="B616" s="1004" t="s">
        <v>3361</v>
      </c>
      <c r="C616" s="1000" t="s">
        <v>3199</v>
      </c>
      <c r="D616" s="932" t="str">
        <f>VLOOKUP($C616,Table1[#All],2,0)</f>
        <v>VINA PARTNERS INVESTMENT</v>
      </c>
      <c r="E616" s="932" t="s">
        <v>86</v>
      </c>
      <c r="F616" s="998" t="s">
        <v>80</v>
      </c>
      <c r="G616" s="932" t="s">
        <v>310</v>
      </c>
      <c r="H616" s="932" t="str">
        <f>VLOOKUP($C616,Table1[#All],3,0)</f>
        <v>Subsidiaries</v>
      </c>
      <c r="I616" s="932" t="str" cm="1">
        <f t="array" ref="I616">_xlfn.XLOOKUP(Acc_Char!$E616,Table4[[#All],[Branch]],Table4[[#All],[Bank]],"recheck",0)</f>
        <v>VIETINBANK - CN1</v>
      </c>
    </row>
    <row r="617" spans="1:9">
      <c r="A617" s="998">
        <f t="shared" si="9"/>
        <v>616</v>
      </c>
      <c r="B617" s="1002" t="s">
        <v>3362</v>
      </c>
      <c r="C617" s="1003" t="s">
        <v>3079</v>
      </c>
      <c r="D617" s="932" t="str">
        <f>VLOOKUP($C617,Table1[#All],2,0)</f>
        <v>SG LOGISTICS</v>
      </c>
      <c r="E617" s="932" t="s">
        <v>85</v>
      </c>
      <c r="F617" s="998" t="s">
        <v>80</v>
      </c>
      <c r="G617" s="932" t="s">
        <v>310</v>
      </c>
      <c r="H617" s="932" t="str">
        <f>VLOOKUP($C617,Table1[#All],3,0)</f>
        <v>Subsidiaries</v>
      </c>
      <c r="I617" s="932" t="str" cm="1">
        <f t="array" ref="I617">_xlfn.XLOOKUP(Acc_Char!$E617,Table4[[#All],[Branch]],Table4[[#All],[Bank]],"recheck",0)</f>
        <v>VIETINBANK - TIEN SON</v>
      </c>
    </row>
    <row r="618" spans="1:9">
      <c r="A618" s="998">
        <f t="shared" si="9"/>
        <v>617</v>
      </c>
      <c r="B618" s="1004" t="s">
        <v>3363</v>
      </c>
      <c r="C618" s="1000" t="s">
        <v>3086</v>
      </c>
      <c r="D618" s="932" t="str">
        <f>VLOOKUP($C618,Table1[#All],2,0)</f>
        <v>BW THU DAU MOT</v>
      </c>
      <c r="E618" s="932" t="s">
        <v>85</v>
      </c>
      <c r="F618" s="998" t="s">
        <v>80</v>
      </c>
      <c r="G618" s="932" t="s">
        <v>310</v>
      </c>
      <c r="H618" s="932" t="str">
        <f>VLOOKUP($C618,Table1[#All],3,0)</f>
        <v>Subsidiaries</v>
      </c>
      <c r="I618" s="932" t="str" cm="1">
        <f t="array" ref="I618">_xlfn.XLOOKUP(Acc_Char!$E618,Table4[[#All],[Branch]],Table4[[#All],[Bank]],"recheck",0)</f>
        <v>VIETINBANK - TIEN SON</v>
      </c>
    </row>
    <row r="619" spans="1:9">
      <c r="A619" s="998">
        <f t="shared" si="9"/>
        <v>618</v>
      </c>
      <c r="B619" s="1002" t="s">
        <v>767</v>
      </c>
      <c r="C619" s="1003" t="s">
        <v>3086</v>
      </c>
      <c r="D619" s="932" t="str">
        <f>VLOOKUP($C619,Table1[#All],2,0)</f>
        <v>BW THU DAU MOT</v>
      </c>
      <c r="E619" s="932" t="s">
        <v>95</v>
      </c>
      <c r="F619" s="998" t="s">
        <v>80</v>
      </c>
      <c r="G619" s="932" t="s">
        <v>308</v>
      </c>
      <c r="H619" s="932" t="str">
        <f>VLOOKUP($C619,Table1[#All],3,0)</f>
        <v>Subsidiaries</v>
      </c>
      <c r="I619" s="932" t="str" cm="1">
        <f t="array" ref="I619">_xlfn.XLOOKUP(Acc_Char!$E619,Table4[[#All],[Branch]],Table4[[#All],[Bank]],"recheck",0)</f>
        <v>OCB - BINH DUONG</v>
      </c>
    </row>
    <row r="620" spans="1:9">
      <c r="A620" s="998">
        <f t="shared" si="9"/>
        <v>619</v>
      </c>
      <c r="B620" s="1004" t="s">
        <v>798</v>
      </c>
      <c r="C620" s="1000" t="s">
        <v>2996</v>
      </c>
      <c r="D620" s="932" t="str">
        <f>VLOOKUP($C620,Table1[#All],2,0)</f>
        <v>TH1 HOLDCO</v>
      </c>
      <c r="E620" s="932" t="s">
        <v>95</v>
      </c>
      <c r="F620" s="998" t="s">
        <v>80</v>
      </c>
      <c r="G620" s="932" t="s">
        <v>308</v>
      </c>
      <c r="H620" s="932" t="str">
        <f>VLOOKUP($C620,Table1[#All],3,0)</f>
        <v>Subsidiaries</v>
      </c>
      <c r="I620" s="932" t="str" cm="1">
        <f t="array" ref="I620">_xlfn.XLOOKUP(Acc_Char!$E620,Table4[[#All],[Branch]],Table4[[#All],[Bank]],"recheck",0)</f>
        <v>OCB - BINH DUONG</v>
      </c>
    </row>
    <row r="621" spans="1:9">
      <c r="A621" s="998">
        <f t="shared" si="9"/>
        <v>620</v>
      </c>
      <c r="B621" s="1002" t="s">
        <v>799</v>
      </c>
      <c r="C621" s="1003" t="s">
        <v>3009</v>
      </c>
      <c r="D621" s="932" t="str">
        <f>VLOOKUP($C621,Table1[#All],2,0)</f>
        <v>TH2 HOLDCO</v>
      </c>
      <c r="E621" s="932" t="s">
        <v>95</v>
      </c>
      <c r="F621" s="998" t="s">
        <v>80</v>
      </c>
      <c r="G621" s="932" t="s">
        <v>308</v>
      </c>
      <c r="H621" s="932" t="str">
        <f>VLOOKUP($C621,Table1[#All],3,0)</f>
        <v>Subsidiaries</v>
      </c>
      <c r="I621" s="932" t="str" cm="1">
        <f t="array" ref="I621">_xlfn.XLOOKUP(Acc_Char!$E621,Table4[[#All],[Branch]],Table4[[#All],[Bank]],"recheck",0)</f>
        <v>OCB - BINH DUONG</v>
      </c>
    </row>
    <row r="622" spans="1:9">
      <c r="A622" s="998">
        <f t="shared" si="9"/>
        <v>621</v>
      </c>
      <c r="B622" s="1004" t="s">
        <v>3364</v>
      </c>
      <c r="C622" s="1000" t="s">
        <v>2964</v>
      </c>
      <c r="D622" s="932" t="str">
        <f>VLOOKUP($C622,Table1[#All],2,0)</f>
        <v>GIA TAN</v>
      </c>
      <c r="E622" s="932" t="s">
        <v>85</v>
      </c>
      <c r="F622" s="998" t="s">
        <v>80</v>
      </c>
      <c r="G622" s="932" t="s">
        <v>310</v>
      </c>
      <c r="H622" s="932" t="str">
        <f>VLOOKUP($C622,Table1[#All],3,0)</f>
        <v>Subsidiaries</v>
      </c>
      <c r="I622" s="932" t="str" cm="1">
        <f t="array" ref="I622">_xlfn.XLOOKUP(Acc_Char!$E622,Table4[[#All],[Branch]],Table4[[#All],[Bank]],"recheck",0)</f>
        <v>VIETINBANK - TIEN SON</v>
      </c>
    </row>
    <row r="623" spans="1:9">
      <c r="A623" s="998">
        <f t="shared" si="9"/>
        <v>622</v>
      </c>
      <c r="B623" s="1002" t="s">
        <v>3365</v>
      </c>
      <c r="C623" s="1003" t="s">
        <v>3085</v>
      </c>
      <c r="D623" s="932" t="str">
        <f>VLOOKUP($C623,Table1[#All],2,0)</f>
        <v>IRE CONSULTANCY &amp; MANAGEMENT</v>
      </c>
      <c r="E623" s="999" t="s">
        <v>85</v>
      </c>
      <c r="F623" s="998" t="s">
        <v>80</v>
      </c>
      <c r="G623" s="932" t="s">
        <v>310</v>
      </c>
      <c r="H623" s="932" t="str">
        <f>VLOOKUP($C623,Table1[#All],3,0)</f>
        <v>Subsidiaries</v>
      </c>
      <c r="I623" s="932" t="str" cm="1">
        <f t="array" ref="I623">_xlfn.XLOOKUP(Acc_Char!$E623,Table4[[#All],[Branch]],Table4[[#All],[Bank]],"recheck",0)</f>
        <v>VIETINBANK - TIEN SON</v>
      </c>
    </row>
    <row r="624" spans="1:9">
      <c r="A624" s="998">
        <f t="shared" si="9"/>
        <v>623</v>
      </c>
      <c r="B624" s="1004" t="s">
        <v>3366</v>
      </c>
      <c r="C624" s="1000" t="s">
        <v>3084</v>
      </c>
      <c r="D624" s="932" t="str">
        <f>VLOOKUP($C624,Table1[#All],2,0)</f>
        <v>HANOI MANAGEMENT SERVICES</v>
      </c>
      <c r="E624" s="932" t="s">
        <v>85</v>
      </c>
      <c r="F624" s="998" t="s">
        <v>80</v>
      </c>
      <c r="G624" s="932" t="s">
        <v>310</v>
      </c>
      <c r="H624" s="932" t="str">
        <f>VLOOKUP($C624,Table1[#All],3,0)</f>
        <v>Subsidiaries</v>
      </c>
      <c r="I624" s="932" t="str" cm="1">
        <f t="array" ref="I624">_xlfn.XLOOKUP(Acc_Char!$E624,Table4[[#All],[Branch]],Table4[[#All],[Bank]],"recheck",0)</f>
        <v>VIETINBANK - TIEN SON</v>
      </c>
    </row>
    <row r="625" spans="1:9">
      <c r="A625" s="998">
        <f t="shared" si="9"/>
        <v>624</v>
      </c>
      <c r="B625" s="1002" t="s">
        <v>3367</v>
      </c>
      <c r="C625" s="1003" t="s">
        <v>2980</v>
      </c>
      <c r="D625" s="932" t="str">
        <f>VLOOKUP($C625,Table1[#All],2,0)</f>
        <v>BWID THOI HOA</v>
      </c>
      <c r="E625" s="932" t="s">
        <v>85</v>
      </c>
      <c r="F625" s="998" t="s">
        <v>80</v>
      </c>
      <c r="G625" s="932" t="s">
        <v>310</v>
      </c>
      <c r="H625" s="932" t="str">
        <f>VLOOKUP($C625,Table1[#All],3,0)</f>
        <v>Subsidiaries</v>
      </c>
      <c r="I625" s="932" t="str" cm="1">
        <f t="array" ref="I625">_xlfn.XLOOKUP(Acc_Char!$E625,Table4[[#All],[Branch]],Table4[[#All],[Bank]],"recheck",0)</f>
        <v>VIETINBANK - TIEN SON</v>
      </c>
    </row>
    <row r="626" spans="1:9">
      <c r="A626" s="998">
        <f t="shared" si="9"/>
        <v>625</v>
      </c>
      <c r="B626" s="1004" t="s">
        <v>3368</v>
      </c>
      <c r="C626" s="1000" t="s">
        <v>2980</v>
      </c>
      <c r="D626" s="932" t="str">
        <f>VLOOKUP($C626,Table1[#All],2,0)</f>
        <v>BWID THOI HOA</v>
      </c>
      <c r="E626" s="932" t="s">
        <v>466</v>
      </c>
      <c r="F626" s="998" t="s">
        <v>80</v>
      </c>
      <c r="G626" s="932" t="s">
        <v>310</v>
      </c>
      <c r="H626" s="932" t="str">
        <f>VLOOKUP($C626,Table1[#All],3,0)</f>
        <v>Subsidiaries</v>
      </c>
      <c r="I626" s="932" t="str" cm="1">
        <f t="array" ref="I626">_xlfn.XLOOKUP(Acc_Char!$E626,Table4[[#All],[Branch]],Table4[[#All],[Bank]],"recheck",0)</f>
        <v>recheck</v>
      </c>
    </row>
    <row r="627" spans="1:9">
      <c r="A627" s="998">
        <f t="shared" si="9"/>
        <v>626</v>
      </c>
      <c r="B627" s="1002" t="s">
        <v>3369</v>
      </c>
      <c r="C627" s="1003" t="s">
        <v>2980</v>
      </c>
      <c r="D627" s="932" t="str">
        <f>VLOOKUP($C627,Table1[#All],2,0)</f>
        <v>BWID THOI HOA</v>
      </c>
      <c r="E627" s="999" t="s">
        <v>85</v>
      </c>
      <c r="F627" s="998" t="s">
        <v>80</v>
      </c>
      <c r="G627" s="932" t="s">
        <v>310</v>
      </c>
      <c r="H627" s="932" t="str">
        <f>VLOOKUP($C627,Table1[#All],3,0)</f>
        <v>Subsidiaries</v>
      </c>
      <c r="I627" s="932" t="str" cm="1">
        <f t="array" ref="I627">_xlfn.XLOOKUP(Acc_Char!$E627,Table4[[#All],[Branch]],Table4[[#All],[Bank]],"recheck",0)</f>
        <v>VIETINBANK - TIEN SON</v>
      </c>
    </row>
    <row r="628" spans="1:9">
      <c r="A628" s="998">
        <f t="shared" si="9"/>
        <v>627</v>
      </c>
      <c r="B628" s="1004" t="s">
        <v>3370</v>
      </c>
      <c r="C628" s="1000" t="s">
        <v>2980</v>
      </c>
      <c r="D628" s="932" t="str">
        <f>VLOOKUP($C628,Table1[#All],2,0)</f>
        <v>BWID THOI HOA</v>
      </c>
      <c r="E628" s="932" t="s">
        <v>85</v>
      </c>
      <c r="F628" s="998" t="s">
        <v>80</v>
      </c>
      <c r="G628" s="932" t="s">
        <v>310</v>
      </c>
      <c r="H628" s="932" t="str">
        <f>VLOOKUP($C628,Table1[#All],3,0)</f>
        <v>Subsidiaries</v>
      </c>
      <c r="I628" s="932" t="str" cm="1">
        <f t="array" ref="I628">_xlfn.XLOOKUP(Acc_Char!$E628,Table4[[#All],[Branch]],Table4[[#All],[Bank]],"recheck",0)</f>
        <v>VIETINBANK - TIEN SON</v>
      </c>
    </row>
    <row r="629" spans="1:9">
      <c r="A629" s="998">
        <f t="shared" si="9"/>
        <v>628</v>
      </c>
      <c r="B629" s="1002" t="s">
        <v>3371</v>
      </c>
      <c r="C629" s="1003" t="s">
        <v>2998</v>
      </c>
      <c r="D629" s="932" t="str">
        <f>VLOOKUP($C629,Table1[#All],2,0)</f>
        <v>BWID THOI HOA 2</v>
      </c>
      <c r="E629" s="932" t="s">
        <v>85</v>
      </c>
      <c r="F629" s="998" t="s">
        <v>80</v>
      </c>
      <c r="G629" s="932" t="s">
        <v>310</v>
      </c>
      <c r="H629" s="932" t="str">
        <f>VLOOKUP($C629,Table1[#All],3,0)</f>
        <v>Subsidiaries</v>
      </c>
      <c r="I629" s="932" t="str" cm="1">
        <f t="array" ref="I629">_xlfn.XLOOKUP(Acc_Char!$E629,Table4[[#All],[Branch]],Table4[[#All],[Bank]],"recheck",0)</f>
        <v>VIETINBANK - TIEN SON</v>
      </c>
    </row>
    <row r="630" spans="1:9">
      <c r="A630" s="998">
        <f t="shared" si="9"/>
        <v>629</v>
      </c>
      <c r="B630" s="1004" t="s">
        <v>3372</v>
      </c>
      <c r="C630" s="1000" t="s">
        <v>2998</v>
      </c>
      <c r="D630" s="932" t="str">
        <f>VLOOKUP($C630,Table1[#All],2,0)</f>
        <v>BWID THOI HOA 2</v>
      </c>
      <c r="E630" s="932" t="s">
        <v>85</v>
      </c>
      <c r="F630" s="998" t="s">
        <v>80</v>
      </c>
      <c r="G630" s="932" t="s">
        <v>310</v>
      </c>
      <c r="H630" s="932" t="str">
        <f>VLOOKUP($C630,Table1[#All],3,0)</f>
        <v>Subsidiaries</v>
      </c>
      <c r="I630" s="932" t="str" cm="1">
        <f t="array" ref="I630">_xlfn.XLOOKUP(Acc_Char!$E630,Table4[[#All],[Branch]],Table4[[#All],[Bank]],"recheck",0)</f>
        <v>VIETINBANK - TIEN SON</v>
      </c>
    </row>
    <row r="631" spans="1:9">
      <c r="A631" s="998">
        <f t="shared" si="9"/>
        <v>630</v>
      </c>
      <c r="B631" s="1002" t="s">
        <v>3373</v>
      </c>
      <c r="C631" s="1003" t="s">
        <v>2998</v>
      </c>
      <c r="D631" s="932" t="str">
        <f>VLOOKUP($C631,Table1[#All],2,0)</f>
        <v>BWID THOI HOA 2</v>
      </c>
      <c r="E631" s="932" t="s">
        <v>85</v>
      </c>
      <c r="F631" s="998" t="s">
        <v>80</v>
      </c>
      <c r="G631" s="932" t="s">
        <v>310</v>
      </c>
      <c r="H631" s="932" t="str">
        <f>VLOOKUP($C631,Table1[#All],3,0)</f>
        <v>Subsidiaries</v>
      </c>
      <c r="I631" s="932" t="str" cm="1">
        <f t="array" ref="I631">_xlfn.XLOOKUP(Acc_Char!$E631,Table4[[#All],[Branch]],Table4[[#All],[Bank]],"recheck",0)</f>
        <v>VIETINBANK - TIEN SON</v>
      </c>
    </row>
    <row r="632" spans="1:9">
      <c r="A632" s="998">
        <f t="shared" si="9"/>
        <v>631</v>
      </c>
      <c r="B632" s="1004" t="s">
        <v>3374</v>
      </c>
      <c r="C632" s="1000" t="s">
        <v>2998</v>
      </c>
      <c r="D632" s="932" t="str">
        <f>VLOOKUP($C632,Table1[#All],2,0)</f>
        <v>BWID THOI HOA 2</v>
      </c>
      <c r="E632" s="932" t="s">
        <v>85</v>
      </c>
      <c r="F632" s="998" t="s">
        <v>80</v>
      </c>
      <c r="G632" s="932" t="s">
        <v>310</v>
      </c>
      <c r="H632" s="932" t="str">
        <f>VLOOKUP($C632,Table1[#All],3,0)</f>
        <v>Subsidiaries</v>
      </c>
      <c r="I632" s="932" t="str" cm="1">
        <f t="array" ref="I632">_xlfn.XLOOKUP(Acc_Char!$E632,Table4[[#All],[Branch]],Table4[[#All],[Bank]],"recheck",0)</f>
        <v>VIETINBANK - TIEN SON</v>
      </c>
    </row>
    <row r="633" spans="1:9">
      <c r="A633" s="998">
        <f t="shared" si="9"/>
        <v>632</v>
      </c>
      <c r="B633" s="1002" t="s">
        <v>3375</v>
      </c>
      <c r="C633" s="1003" t="s">
        <v>624</v>
      </c>
      <c r="D633" s="932" t="str">
        <f>VLOOKUP($C633,Table1[#All],2,0)</f>
        <v>SPV4B</v>
      </c>
      <c r="E633" s="932" t="s">
        <v>85</v>
      </c>
      <c r="F633" s="998" t="s">
        <v>80</v>
      </c>
      <c r="G633" s="932" t="s">
        <v>310</v>
      </c>
      <c r="H633" s="932" t="str">
        <f>VLOOKUP($C633,Table1[#All],3,0)</f>
        <v>Subsidiaries</v>
      </c>
      <c r="I633" s="932" t="str" cm="1">
        <f t="array" ref="I633">_xlfn.XLOOKUP(Acc_Char!$E633,Table4[[#All],[Branch]],Table4[[#All],[Bank]],"recheck",0)</f>
        <v>VIETINBANK - TIEN SON</v>
      </c>
    </row>
    <row r="634" spans="1:9">
      <c r="A634" s="998">
        <f t="shared" si="9"/>
        <v>633</v>
      </c>
      <c r="B634" s="1004" t="s">
        <v>3376</v>
      </c>
      <c r="C634" s="1000" t="s">
        <v>626</v>
      </c>
      <c r="D634" s="932" t="str">
        <f>VLOOKUP($C634,Table1[#All],2,0)</f>
        <v>SPV4C</v>
      </c>
      <c r="E634" s="932" t="s">
        <v>85</v>
      </c>
      <c r="F634" s="998" t="s">
        <v>80</v>
      </c>
      <c r="G634" s="932" t="s">
        <v>310</v>
      </c>
      <c r="H634" s="932" t="str">
        <f>VLOOKUP($C634,Table1[#All],3,0)</f>
        <v>Subsidiaries</v>
      </c>
      <c r="I634" s="932" t="str" cm="1">
        <f t="array" ref="I634">_xlfn.XLOOKUP(Acc_Char!$E634,Table4[[#All],[Branch]],Table4[[#All],[Bank]],"recheck",0)</f>
        <v>VIETINBANK - TIEN SON</v>
      </c>
    </row>
    <row r="635" spans="1:9">
      <c r="A635" s="998">
        <f t="shared" si="9"/>
        <v>634</v>
      </c>
      <c r="B635" s="1002" t="s">
        <v>3377</v>
      </c>
      <c r="C635" s="1003" t="s">
        <v>641</v>
      </c>
      <c r="D635" s="932" t="str">
        <f>VLOOKUP($C635,Table1[#All],2,0)</f>
        <v>SPV5C</v>
      </c>
      <c r="E635" s="932" t="s">
        <v>85</v>
      </c>
      <c r="F635" s="998" t="s">
        <v>80</v>
      </c>
      <c r="G635" s="932" t="s">
        <v>310</v>
      </c>
      <c r="H635" s="932" t="str">
        <f>VLOOKUP($C635,Table1[#All],3,0)</f>
        <v>Subsidiaries</v>
      </c>
      <c r="I635" s="932" t="str" cm="1">
        <f t="array" ref="I635">_xlfn.XLOOKUP(Acc_Char!$E635,Table4[[#All],[Branch]],Table4[[#All],[Bank]],"recheck",0)</f>
        <v>VIETINBANK - TIEN SON</v>
      </c>
    </row>
    <row r="636" spans="1:9">
      <c r="A636" s="998">
        <f t="shared" si="9"/>
        <v>635</v>
      </c>
      <c r="B636" s="1004" t="s">
        <v>3378</v>
      </c>
      <c r="C636" s="1000" t="s">
        <v>620</v>
      </c>
      <c r="D636" s="932" t="str">
        <f>VLOOKUP($C636,Table1[#All],2,0)</f>
        <v>SPV4A</v>
      </c>
      <c r="E636" s="932" t="s">
        <v>85</v>
      </c>
      <c r="F636" s="998" t="s">
        <v>80</v>
      </c>
      <c r="G636" s="932" t="s">
        <v>310</v>
      </c>
      <c r="H636" s="932" t="str">
        <f>VLOOKUP($C636,Table1[#All],3,0)</f>
        <v>Subsidiaries</v>
      </c>
      <c r="I636" s="932" t="str" cm="1">
        <f t="array" ref="I636">_xlfn.XLOOKUP(Acc_Char!$E636,Table4[[#All],[Branch]],Table4[[#All],[Bank]],"recheck",0)</f>
        <v>VIETINBANK - TIEN SON</v>
      </c>
    </row>
    <row r="637" spans="1:9">
      <c r="A637" s="998">
        <f t="shared" si="9"/>
        <v>636</v>
      </c>
      <c r="B637" s="1002" t="s">
        <v>3379</v>
      </c>
      <c r="C637" s="1003" t="s">
        <v>638</v>
      </c>
      <c r="D637" s="932" t="str">
        <f>VLOOKUP($C637,Table1[#All],2,0)</f>
        <v>SPV5A</v>
      </c>
      <c r="E637" s="932" t="s">
        <v>85</v>
      </c>
      <c r="F637" s="998" t="s">
        <v>80</v>
      </c>
      <c r="G637" s="932" t="s">
        <v>310</v>
      </c>
      <c r="H637" s="932" t="str">
        <f>VLOOKUP($C637,Table1[#All],3,0)</f>
        <v>Subsidiaries</v>
      </c>
      <c r="I637" s="932" t="str" cm="1">
        <f t="array" ref="I637">_xlfn.XLOOKUP(Acc_Char!$E637,Table4[[#All],[Branch]],Table4[[#All],[Bank]],"recheck",0)</f>
        <v>VIETINBANK - TIEN SON</v>
      </c>
    </row>
    <row r="638" spans="1:9">
      <c r="A638" s="998">
        <f t="shared" si="9"/>
        <v>637</v>
      </c>
      <c r="B638" s="1004" t="s">
        <v>3380</v>
      </c>
      <c r="C638" s="1000" t="s">
        <v>2971</v>
      </c>
      <c r="D638" s="932" t="str">
        <f>VLOOKUP($C638,Table1[#All],2,0)</f>
        <v>HOLDCO5F</v>
      </c>
      <c r="E638" s="932" t="s">
        <v>85</v>
      </c>
      <c r="F638" s="998" t="s">
        <v>80</v>
      </c>
      <c r="G638" s="932" t="s">
        <v>310</v>
      </c>
      <c r="H638" s="932" t="str">
        <f>VLOOKUP($C638,Table1[#All],3,0)</f>
        <v>Subsidiaries</v>
      </c>
      <c r="I638" s="932" t="str" cm="1">
        <f t="array" ref="I638">_xlfn.XLOOKUP(Acc_Char!$E638,Table4[[#All],[Branch]],Table4[[#All],[Bank]],"recheck",0)</f>
        <v>VIETINBANK - TIEN SON</v>
      </c>
    </row>
    <row r="639" spans="1:9">
      <c r="A639" s="998">
        <f t="shared" si="9"/>
        <v>638</v>
      </c>
      <c r="B639" s="1002" t="s">
        <v>3381</v>
      </c>
      <c r="C639" s="1003" t="s">
        <v>3209</v>
      </c>
      <c r="D639" s="932" t="str">
        <f>VLOOKUP($C639,Table1[#All],2,0)</f>
        <v>HOLDCO4F</v>
      </c>
      <c r="E639" s="932" t="s">
        <v>85</v>
      </c>
      <c r="F639" s="998" t="s">
        <v>80</v>
      </c>
      <c r="G639" s="932" t="s">
        <v>310</v>
      </c>
      <c r="H639" s="932" t="str">
        <f>VLOOKUP($C639,Table1[#All],3,0)</f>
        <v>Subsidiaries</v>
      </c>
      <c r="I639" s="932" t="str" cm="1">
        <f t="array" ref="I639">_xlfn.XLOOKUP(Acc_Char!$E639,Table4[[#All],[Branch]],Table4[[#All],[Bank]],"recheck",0)</f>
        <v>VIETINBANK - TIEN SON</v>
      </c>
    </row>
    <row r="640" spans="1:9">
      <c r="A640" s="998">
        <f t="shared" si="9"/>
        <v>639</v>
      </c>
      <c r="B640" s="1004" t="s">
        <v>3382</v>
      </c>
      <c r="C640" s="1000" t="s">
        <v>3211</v>
      </c>
      <c r="D640" s="932" t="str">
        <f>VLOOKUP($C640,Table1[#All],2,0)</f>
        <v>HOLDCO4H</v>
      </c>
      <c r="E640" s="932" t="s">
        <v>85</v>
      </c>
      <c r="F640" s="998" t="s">
        <v>80</v>
      </c>
      <c r="G640" s="932" t="s">
        <v>310</v>
      </c>
      <c r="H640" s="932" t="str">
        <f>VLOOKUP($C640,Table1[#All],3,0)</f>
        <v>Subsidiaries</v>
      </c>
      <c r="I640" s="932" t="str" cm="1">
        <f t="array" ref="I640">_xlfn.XLOOKUP(Acc_Char!$E640,Table4[[#All],[Branch]],Table4[[#All],[Bank]],"recheck",0)</f>
        <v>VIETINBANK - TIEN SON</v>
      </c>
    </row>
    <row r="641" spans="1:9">
      <c r="A641" s="998">
        <f t="shared" si="9"/>
        <v>640</v>
      </c>
      <c r="B641" s="1002" t="s">
        <v>3383</v>
      </c>
      <c r="C641" s="1003" t="s">
        <v>3011</v>
      </c>
      <c r="D641" s="932" t="str">
        <f>VLOOKUP($C641,Table1[#All],2,0)</f>
        <v>HOLDCO5H</v>
      </c>
      <c r="E641" s="999" t="s">
        <v>85</v>
      </c>
      <c r="F641" s="998" t="s">
        <v>80</v>
      </c>
      <c r="G641" s="932" t="s">
        <v>310</v>
      </c>
      <c r="H641" s="932" t="str">
        <f>VLOOKUP($C641,Table1[#All],3,0)</f>
        <v>Subsidiaries</v>
      </c>
      <c r="I641" s="932" t="str" cm="1">
        <f t="array" ref="I641">_xlfn.XLOOKUP(Acc_Char!$E641,Table4[[#All],[Branch]],Table4[[#All],[Bank]],"recheck",0)</f>
        <v>VIETINBANK - TIEN SON</v>
      </c>
    </row>
    <row r="642" spans="1:9">
      <c r="A642" s="998">
        <f t="shared" si="9"/>
        <v>641</v>
      </c>
      <c r="B642" s="1004" t="s">
        <v>3384</v>
      </c>
      <c r="C642" s="1000" t="s">
        <v>3218</v>
      </c>
      <c r="D642" s="932" t="str">
        <f>VLOOKUP($C642,Table1[#All],2,0)</f>
        <v>HOLDCO5J</v>
      </c>
      <c r="E642" s="932" t="s">
        <v>85</v>
      </c>
      <c r="F642" s="998" t="s">
        <v>80</v>
      </c>
      <c r="G642" s="932" t="s">
        <v>310</v>
      </c>
      <c r="H642" s="932" t="str">
        <f>VLOOKUP($C642,Table1[#All],3,0)</f>
        <v>Subsidiaries</v>
      </c>
      <c r="I642" s="932" t="str" cm="1">
        <f t="array" ref="I642">_xlfn.XLOOKUP(Acc_Char!$E642,Table4[[#All],[Branch]],Table4[[#All],[Bank]],"recheck",0)</f>
        <v>VIETINBANK - TIEN SON</v>
      </c>
    </row>
    <row r="643" spans="1:9">
      <c r="A643" s="998">
        <f t="shared" ref="A643:A706" si="10">A642+1</f>
        <v>642</v>
      </c>
      <c r="B643" s="1002" t="s">
        <v>3385</v>
      </c>
      <c r="C643" s="1003" t="s">
        <v>3217</v>
      </c>
      <c r="D643" s="932" t="str">
        <f>VLOOKUP($C643,Table1[#All],2,0)</f>
        <v>HOLDCO5I</v>
      </c>
      <c r="E643" s="932" t="s">
        <v>85</v>
      </c>
      <c r="F643" s="998" t="s">
        <v>80</v>
      </c>
      <c r="G643" s="932" t="s">
        <v>310</v>
      </c>
      <c r="H643" s="932" t="str">
        <f>VLOOKUP($C643,Table1[#All],3,0)</f>
        <v>Subsidiaries</v>
      </c>
      <c r="I643" s="932" t="str" cm="1">
        <f t="array" ref="I643">_xlfn.XLOOKUP(Acc_Char!$E643,Table4[[#All],[Branch]],Table4[[#All],[Bank]],"recheck",0)</f>
        <v>VIETINBANK - TIEN SON</v>
      </c>
    </row>
    <row r="644" spans="1:9">
      <c r="A644" s="998">
        <f t="shared" si="10"/>
        <v>643</v>
      </c>
      <c r="B644" s="1004" t="s">
        <v>3386</v>
      </c>
      <c r="C644" s="1000" t="s">
        <v>3215</v>
      </c>
      <c r="D644" s="932" t="str">
        <f>VLOOKUP($C644,Table1[#All],2,0)</f>
        <v>HOLDCO5G</v>
      </c>
      <c r="E644" s="932" t="s">
        <v>85</v>
      </c>
      <c r="F644" s="998" t="s">
        <v>80</v>
      </c>
      <c r="G644" s="932" t="s">
        <v>310</v>
      </c>
      <c r="H644" s="932" t="str">
        <f>VLOOKUP($C644,Table1[#All],3,0)</f>
        <v>Subsidiaries</v>
      </c>
      <c r="I644" s="932" t="str" cm="1">
        <f t="array" ref="I644">_xlfn.XLOOKUP(Acc_Char!$E644,Table4[[#All],[Branch]],Table4[[#All],[Bank]],"recheck",0)</f>
        <v>VIETINBANK - TIEN SON</v>
      </c>
    </row>
    <row r="645" spans="1:9">
      <c r="A645" s="998">
        <f t="shared" si="10"/>
        <v>644</v>
      </c>
      <c r="B645" s="1002" t="s">
        <v>3387</v>
      </c>
      <c r="C645" s="1003" t="s">
        <v>3214</v>
      </c>
      <c r="D645" s="932" t="str">
        <f>VLOOKUP($C645,Table1[#All],2,0)</f>
        <v>HOLDCO4J</v>
      </c>
      <c r="E645" s="999" t="s">
        <v>85</v>
      </c>
      <c r="F645" s="998" t="s">
        <v>80</v>
      </c>
      <c r="G645" s="932" t="s">
        <v>310</v>
      </c>
      <c r="H645" s="932" t="str">
        <f>VLOOKUP($C645,Table1[#All],3,0)</f>
        <v>Subsidiaries</v>
      </c>
      <c r="I645" s="932" t="str" cm="1">
        <f t="array" ref="I645">_xlfn.XLOOKUP(Acc_Char!$E645,Table4[[#All],[Branch]],Table4[[#All],[Bank]],"recheck",0)</f>
        <v>VIETINBANK - TIEN SON</v>
      </c>
    </row>
    <row r="646" spans="1:9">
      <c r="A646" s="998">
        <f t="shared" si="10"/>
        <v>645</v>
      </c>
      <c r="B646" s="1004" t="s">
        <v>3388</v>
      </c>
      <c r="C646" s="1000" t="s">
        <v>3213</v>
      </c>
      <c r="D646" s="932" t="str">
        <f>VLOOKUP($C646,Table1[#All],2,0)</f>
        <v>HOLDCO4I</v>
      </c>
      <c r="E646" s="932" t="s">
        <v>85</v>
      </c>
      <c r="F646" s="998" t="s">
        <v>80</v>
      </c>
      <c r="G646" s="932" t="s">
        <v>310</v>
      </c>
      <c r="H646" s="932" t="str">
        <f>VLOOKUP($C646,Table1[#All],3,0)</f>
        <v>Subsidiaries</v>
      </c>
      <c r="I646" s="932" t="str" cm="1">
        <f t="array" ref="I646">_xlfn.XLOOKUP(Acc_Char!$E646,Table4[[#All],[Branch]],Table4[[#All],[Bank]],"recheck",0)</f>
        <v>VIETINBANK - TIEN SON</v>
      </c>
    </row>
    <row r="647" spans="1:9">
      <c r="A647" s="998">
        <f t="shared" si="10"/>
        <v>646</v>
      </c>
      <c r="B647" s="1002" t="s">
        <v>3389</v>
      </c>
      <c r="C647" s="1003" t="s">
        <v>3212</v>
      </c>
      <c r="D647" s="932" t="str">
        <f>VLOOKUP($C647,Table1[#All],2,0)</f>
        <v>HOLDCO4G</v>
      </c>
      <c r="E647" s="932" t="s">
        <v>85</v>
      </c>
      <c r="F647" s="998" t="s">
        <v>80</v>
      </c>
      <c r="G647" s="932" t="s">
        <v>310</v>
      </c>
      <c r="H647" s="932" t="str">
        <f>VLOOKUP($C647,Table1[#All],3,0)</f>
        <v>Subsidiaries</v>
      </c>
      <c r="I647" s="932" t="str" cm="1">
        <f t="array" ref="I647">_xlfn.XLOOKUP(Acc_Char!$E647,Table4[[#All],[Branch]],Table4[[#All],[Bank]],"recheck",0)</f>
        <v>VIETINBANK - TIEN SON</v>
      </c>
    </row>
    <row r="648" spans="1:9">
      <c r="A648" s="998">
        <f t="shared" si="10"/>
        <v>647</v>
      </c>
      <c r="B648" s="1004" t="s">
        <v>769</v>
      </c>
      <c r="C648" s="1000" t="s">
        <v>3390</v>
      </c>
      <c r="D648" s="932" t="str">
        <f>VLOOKUP($C648,Table1[#All],2,0)</f>
        <v>HOLDCO4Q</v>
      </c>
      <c r="E648" s="932" t="s">
        <v>85</v>
      </c>
      <c r="F648" s="998" t="s">
        <v>80</v>
      </c>
      <c r="G648" s="932" t="s">
        <v>308</v>
      </c>
      <c r="H648" s="932" t="str">
        <f>VLOOKUP($C648,Table1[#All],3,0)</f>
        <v>Subsidiaries</v>
      </c>
      <c r="I648" s="932" t="str" cm="1">
        <f t="array" ref="I648">_xlfn.XLOOKUP(Acc_Char!$E648,Table4[[#All],[Branch]],Table4[[#All],[Bank]],"recheck",0)</f>
        <v>VIETINBANK - TIEN SON</v>
      </c>
    </row>
    <row r="649" spans="1:9">
      <c r="A649" s="998">
        <f t="shared" si="10"/>
        <v>648</v>
      </c>
      <c r="B649" s="1002" t="s">
        <v>771</v>
      </c>
      <c r="C649" s="1003" t="s">
        <v>3391</v>
      </c>
      <c r="D649" s="932" t="str">
        <f>VLOOKUP($C649,Table1[#All],2,0)</f>
        <v>HOLDCO4R</v>
      </c>
      <c r="E649" s="932" t="s">
        <v>85</v>
      </c>
      <c r="F649" s="998" t="s">
        <v>80</v>
      </c>
      <c r="G649" s="932" t="s">
        <v>308</v>
      </c>
      <c r="H649" s="932" t="str">
        <f>VLOOKUP($C649,Table1[#All],3,0)</f>
        <v>Subsidiaries</v>
      </c>
      <c r="I649" s="932" t="str" cm="1">
        <f t="array" ref="I649">_xlfn.XLOOKUP(Acc_Char!$E649,Table4[[#All],[Branch]],Table4[[#All],[Bank]],"recheck",0)</f>
        <v>VIETINBANK - TIEN SON</v>
      </c>
    </row>
    <row r="650" spans="1:9">
      <c r="A650" s="998">
        <f t="shared" si="10"/>
        <v>649</v>
      </c>
      <c r="B650" s="1004" t="s">
        <v>773</v>
      </c>
      <c r="C650" s="1000" t="s">
        <v>3392</v>
      </c>
      <c r="D650" s="932" t="str">
        <f>VLOOKUP($C650,Table1[#All],2,0)</f>
        <v>HOLDCO4S</v>
      </c>
      <c r="E650" s="932" t="s">
        <v>85</v>
      </c>
      <c r="F650" s="998" t="s">
        <v>80</v>
      </c>
      <c r="G650" s="932" t="s">
        <v>308</v>
      </c>
      <c r="H650" s="932" t="str">
        <f>VLOOKUP($C650,Table1[#All],3,0)</f>
        <v>Subsidiaries</v>
      </c>
      <c r="I650" s="932" t="str" cm="1">
        <f t="array" ref="I650">_xlfn.XLOOKUP(Acc_Char!$E650,Table4[[#All],[Branch]],Table4[[#All],[Bank]],"recheck",0)</f>
        <v>VIETINBANK - TIEN SON</v>
      </c>
    </row>
    <row r="651" spans="1:9">
      <c r="A651" s="998">
        <f t="shared" si="10"/>
        <v>650</v>
      </c>
      <c r="B651" s="1002" t="s">
        <v>775</v>
      </c>
      <c r="C651" s="1003" t="s">
        <v>3393</v>
      </c>
      <c r="D651" s="932" t="str">
        <f>VLOOKUP($C651,Table1[#All],2,0)</f>
        <v>HOLDCO4T</v>
      </c>
      <c r="E651" s="932" t="s">
        <v>85</v>
      </c>
      <c r="F651" s="998" t="s">
        <v>80</v>
      </c>
      <c r="G651" s="932" t="s">
        <v>308</v>
      </c>
      <c r="H651" s="932" t="str">
        <f>VLOOKUP($C651,Table1[#All],3,0)</f>
        <v>Subsidiaries</v>
      </c>
      <c r="I651" s="932" t="str" cm="1">
        <f t="array" ref="I651">_xlfn.XLOOKUP(Acc_Char!$E651,Table4[[#All],[Branch]],Table4[[#All],[Bank]],"recheck",0)</f>
        <v>VIETINBANK - TIEN SON</v>
      </c>
    </row>
    <row r="652" spans="1:9">
      <c r="A652" s="998">
        <f t="shared" si="10"/>
        <v>651</v>
      </c>
      <c r="B652" s="1004" t="s">
        <v>777</v>
      </c>
      <c r="C652" s="1000" t="s">
        <v>3394</v>
      </c>
      <c r="D652" s="932" t="str">
        <f>VLOOKUP($C652,Table1[#All],2,0)</f>
        <v>HOLDCO4U</v>
      </c>
      <c r="E652" s="932" t="s">
        <v>85</v>
      </c>
      <c r="F652" s="998" t="s">
        <v>80</v>
      </c>
      <c r="G652" s="932" t="s">
        <v>308</v>
      </c>
      <c r="H652" s="932" t="str">
        <f>VLOOKUP($C652,Table1[#All],3,0)</f>
        <v>Subsidiaries</v>
      </c>
      <c r="I652" s="932" t="str" cm="1">
        <f t="array" ref="I652">_xlfn.XLOOKUP(Acc_Char!$E652,Table4[[#All],[Branch]],Table4[[#All],[Bank]],"recheck",0)</f>
        <v>VIETINBANK - TIEN SON</v>
      </c>
    </row>
    <row r="653" spans="1:9">
      <c r="A653" s="998">
        <f t="shared" si="10"/>
        <v>652</v>
      </c>
      <c r="B653" s="1002" t="s">
        <v>779</v>
      </c>
      <c r="C653" s="1003" t="s">
        <v>3395</v>
      </c>
      <c r="D653" s="932" t="str">
        <f>VLOOKUP($C653,Table1[#All],2,0)</f>
        <v>HOLDCO4V</v>
      </c>
      <c r="E653" s="932" t="s">
        <v>85</v>
      </c>
      <c r="F653" s="998" t="s">
        <v>80</v>
      </c>
      <c r="G653" s="932" t="s">
        <v>308</v>
      </c>
      <c r="H653" s="932" t="str">
        <f>VLOOKUP($C653,Table1[#All],3,0)</f>
        <v>Subsidiaries</v>
      </c>
      <c r="I653" s="932" t="str" cm="1">
        <f t="array" ref="I653">_xlfn.XLOOKUP(Acc_Char!$E653,Table4[[#All],[Branch]],Table4[[#All],[Bank]],"recheck",0)</f>
        <v>VIETINBANK - TIEN SON</v>
      </c>
    </row>
    <row r="654" spans="1:9">
      <c r="A654" s="998">
        <f t="shared" si="10"/>
        <v>653</v>
      </c>
      <c r="B654" s="1004" t="s">
        <v>781</v>
      </c>
      <c r="C654" s="1000" t="s">
        <v>3396</v>
      </c>
      <c r="D654" s="932" t="str">
        <f>VLOOKUP($C654,Table1[#All],2,0)</f>
        <v>HOLDCO4Y</v>
      </c>
      <c r="E654" s="932" t="s">
        <v>85</v>
      </c>
      <c r="F654" s="998" t="s">
        <v>80</v>
      </c>
      <c r="G654" s="932" t="s">
        <v>308</v>
      </c>
      <c r="H654" s="932" t="str">
        <f>VLOOKUP($C654,Table1[#All],3,0)</f>
        <v>Subsidiaries</v>
      </c>
      <c r="I654" s="932" t="str" cm="1">
        <f t="array" ref="I654">_xlfn.XLOOKUP(Acc_Char!$E654,Table4[[#All],[Branch]],Table4[[#All],[Bank]],"recheck",0)</f>
        <v>VIETINBANK - TIEN SON</v>
      </c>
    </row>
    <row r="655" spans="1:9">
      <c r="A655" s="998">
        <f t="shared" si="10"/>
        <v>654</v>
      </c>
      <c r="B655" s="1002" t="s">
        <v>783</v>
      </c>
      <c r="C655" s="1003" t="s">
        <v>3397</v>
      </c>
      <c r="D655" s="932" t="str">
        <f>VLOOKUP($C655,Table1[#All],2,0)</f>
        <v>HOLDCO4Z</v>
      </c>
      <c r="E655" s="932" t="s">
        <v>85</v>
      </c>
      <c r="F655" s="998" t="s">
        <v>80</v>
      </c>
      <c r="G655" s="932" t="s">
        <v>308</v>
      </c>
      <c r="H655" s="932" t="str">
        <f>VLOOKUP($C655,Table1[#All],3,0)</f>
        <v>Subsidiaries</v>
      </c>
      <c r="I655" s="932" t="str" cm="1">
        <f t="array" ref="I655">_xlfn.XLOOKUP(Acc_Char!$E655,Table4[[#All],[Branch]],Table4[[#All],[Bank]],"recheck",0)</f>
        <v>VIETINBANK - TIEN SON</v>
      </c>
    </row>
    <row r="656" spans="1:9">
      <c r="A656" s="998">
        <f t="shared" si="10"/>
        <v>655</v>
      </c>
      <c r="B656" s="1004" t="s">
        <v>785</v>
      </c>
      <c r="C656" s="1000" t="s">
        <v>3398</v>
      </c>
      <c r="D656" s="932" t="str">
        <f>VLOOKUP($C656,Table1[#All],2,0)</f>
        <v>HOLDCO4W</v>
      </c>
      <c r="E656" s="932" t="s">
        <v>85</v>
      </c>
      <c r="F656" s="998" t="s">
        <v>80</v>
      </c>
      <c r="G656" s="932" t="s">
        <v>308</v>
      </c>
      <c r="H656" s="932" t="str">
        <f>VLOOKUP($C656,Table1[#All],3,0)</f>
        <v>Subsidiaries</v>
      </c>
      <c r="I656" s="932" t="str" cm="1">
        <f t="array" ref="I656">_xlfn.XLOOKUP(Acc_Char!$E656,Table4[[#All],[Branch]],Table4[[#All],[Bank]],"recheck",0)</f>
        <v>VIETINBANK - TIEN SON</v>
      </c>
    </row>
    <row r="657" spans="1:9">
      <c r="A657" s="998">
        <f t="shared" si="10"/>
        <v>656</v>
      </c>
      <c r="B657" s="1002" t="s">
        <v>787</v>
      </c>
      <c r="C657" s="1003" t="s">
        <v>3399</v>
      </c>
      <c r="D657" s="932" t="str">
        <f>VLOOKUP($C657,Table1[#All],2,0)</f>
        <v>HOLDCO4X</v>
      </c>
      <c r="E657" s="932" t="s">
        <v>85</v>
      </c>
      <c r="F657" s="998" t="s">
        <v>80</v>
      </c>
      <c r="G657" s="932" t="s">
        <v>308</v>
      </c>
      <c r="H657" s="932" t="str">
        <f>VLOOKUP($C657,Table1[#All],3,0)</f>
        <v>Subsidiaries</v>
      </c>
      <c r="I657" s="932" t="str" cm="1">
        <f t="array" ref="I657">_xlfn.XLOOKUP(Acc_Char!$E657,Table4[[#All],[Branch]],Table4[[#All],[Bank]],"recheck",0)</f>
        <v>VIETINBANK - TIEN SON</v>
      </c>
    </row>
    <row r="658" spans="1:9">
      <c r="A658" s="998">
        <f t="shared" si="10"/>
        <v>657</v>
      </c>
      <c r="B658" s="1004" t="s">
        <v>789</v>
      </c>
      <c r="C658" s="1000" t="s">
        <v>3400</v>
      </c>
      <c r="D658" s="932" t="str">
        <f>VLOOKUP($C658,Table1[#All],2,0)</f>
        <v>HOLDCO5Q</v>
      </c>
      <c r="E658" s="932" t="s">
        <v>85</v>
      </c>
      <c r="F658" s="998" t="s">
        <v>80</v>
      </c>
      <c r="G658" s="932" t="s">
        <v>308</v>
      </c>
      <c r="H658" s="932" t="str">
        <f>VLOOKUP($C658,Table1[#All],3,0)</f>
        <v>Subsidiaries</v>
      </c>
      <c r="I658" s="932" t="str" cm="1">
        <f t="array" ref="I658">_xlfn.XLOOKUP(Acc_Char!$E658,Table4[[#All],[Branch]],Table4[[#All],[Bank]],"recheck",0)</f>
        <v>VIETINBANK - TIEN SON</v>
      </c>
    </row>
    <row r="659" spans="1:9">
      <c r="A659" s="998">
        <f t="shared" si="10"/>
        <v>658</v>
      </c>
      <c r="B659" s="1002" t="s">
        <v>791</v>
      </c>
      <c r="C659" s="1003" t="s">
        <v>3401</v>
      </c>
      <c r="D659" s="932" t="str">
        <f>VLOOKUP($C659,Table1[#All],2,0)</f>
        <v>HOLDCO5R</v>
      </c>
      <c r="E659" s="999" t="s">
        <v>85</v>
      </c>
      <c r="F659" s="998" t="s">
        <v>80</v>
      </c>
      <c r="G659" s="932" t="s">
        <v>308</v>
      </c>
      <c r="H659" s="932" t="str">
        <f>VLOOKUP($C659,Table1[#All],3,0)</f>
        <v>Subsidiaries</v>
      </c>
      <c r="I659" s="932" t="str" cm="1">
        <f t="array" ref="I659">_xlfn.XLOOKUP(Acc_Char!$E659,Table4[[#All],[Branch]],Table4[[#All],[Bank]],"recheck",0)</f>
        <v>VIETINBANK - TIEN SON</v>
      </c>
    </row>
    <row r="660" spans="1:9">
      <c r="A660" s="998">
        <f t="shared" si="10"/>
        <v>659</v>
      </c>
      <c r="B660" s="1004" t="s">
        <v>793</v>
      </c>
      <c r="C660" s="1000" t="s">
        <v>3402</v>
      </c>
      <c r="D660" s="932" t="str">
        <f>VLOOKUP($C660,Table1[#All],2,0)</f>
        <v>HOLDCO5S</v>
      </c>
      <c r="E660" s="932" t="s">
        <v>85</v>
      </c>
      <c r="F660" s="998" t="s">
        <v>80</v>
      </c>
      <c r="G660" s="932" t="s">
        <v>308</v>
      </c>
      <c r="H660" s="932" t="str">
        <f>VLOOKUP($C660,Table1[#All],3,0)</f>
        <v>Subsidiaries</v>
      </c>
      <c r="I660" s="932" t="str" cm="1">
        <f t="array" ref="I660">_xlfn.XLOOKUP(Acc_Char!$E660,Table4[[#All],[Branch]],Table4[[#All],[Bank]],"recheck",0)</f>
        <v>VIETINBANK - TIEN SON</v>
      </c>
    </row>
    <row r="661" spans="1:9">
      <c r="A661" s="998">
        <f t="shared" si="10"/>
        <v>660</v>
      </c>
      <c r="B661" s="1002" t="s">
        <v>795</v>
      </c>
      <c r="C661" s="1003" t="s">
        <v>3403</v>
      </c>
      <c r="D661" s="932" t="str">
        <f>VLOOKUP($C661,Table1[#All],2,0)</f>
        <v>HOLDCO5T</v>
      </c>
      <c r="E661" s="932" t="s">
        <v>85</v>
      </c>
      <c r="F661" s="998" t="s">
        <v>80</v>
      </c>
      <c r="G661" s="932" t="s">
        <v>308</v>
      </c>
      <c r="H661" s="932" t="str">
        <f>VLOOKUP($C661,Table1[#All],3,0)</f>
        <v>Subsidiaries</v>
      </c>
      <c r="I661" s="932" t="str" cm="1">
        <f t="array" ref="I661">_xlfn.XLOOKUP(Acc_Char!$E661,Table4[[#All],[Branch]],Table4[[#All],[Bank]],"recheck",0)</f>
        <v>VIETINBANK - TIEN SON</v>
      </c>
    </row>
    <row r="662" spans="1:9">
      <c r="A662" s="998">
        <f t="shared" si="10"/>
        <v>661</v>
      </c>
      <c r="B662" s="1004" t="s">
        <v>797</v>
      </c>
      <c r="C662" s="1000" t="s">
        <v>3404</v>
      </c>
      <c r="D662" s="932" t="str">
        <f>VLOOKUP($C662,Table1[#All],2,0)</f>
        <v>HOLDCO5U</v>
      </c>
      <c r="E662" s="932" t="s">
        <v>85</v>
      </c>
      <c r="F662" s="998" t="s">
        <v>80</v>
      </c>
      <c r="G662" s="932" t="s">
        <v>308</v>
      </c>
      <c r="H662" s="932" t="str">
        <f>VLOOKUP($C662,Table1[#All],3,0)</f>
        <v>Subsidiaries</v>
      </c>
      <c r="I662" s="932" t="str" cm="1">
        <f t="array" ref="I662">_xlfn.XLOOKUP(Acc_Char!$E662,Table4[[#All],[Branch]],Table4[[#All],[Bank]],"recheck",0)</f>
        <v>VIETINBANK - TIEN SON</v>
      </c>
    </row>
    <row r="663" spans="1:9">
      <c r="A663" s="998">
        <f>A662+1</f>
        <v>662</v>
      </c>
      <c r="B663" s="1002" t="s">
        <v>3405</v>
      </c>
      <c r="C663" s="1003" t="s">
        <v>3390</v>
      </c>
      <c r="D663" s="932" t="str">
        <f>VLOOKUP($C663,Table1[#All],2,0)</f>
        <v>HOLDCO4Q</v>
      </c>
      <c r="E663" s="999" t="s">
        <v>85</v>
      </c>
      <c r="F663" s="998" t="s">
        <v>80</v>
      </c>
      <c r="G663" s="932" t="s">
        <v>310</v>
      </c>
      <c r="H663" s="932" t="str">
        <f>VLOOKUP($C663,Table1[#All],3,0)</f>
        <v>Subsidiaries</v>
      </c>
      <c r="I663" s="932" t="str" cm="1">
        <f t="array" ref="I663">_xlfn.XLOOKUP(Acc_Char!$E663,Table4[[#All],[Branch]],Table4[[#All],[Bank]],"recheck",0)</f>
        <v>VIETINBANK - TIEN SON</v>
      </c>
    </row>
    <row r="664" spans="1:9">
      <c r="A664" s="998">
        <f t="shared" si="10"/>
        <v>663</v>
      </c>
      <c r="B664" s="1004" t="s">
        <v>3406</v>
      </c>
      <c r="C664" s="1000" t="s">
        <v>3391</v>
      </c>
      <c r="D664" s="932" t="str">
        <f>VLOOKUP($C664,Table1[#All],2,0)</f>
        <v>HOLDCO4R</v>
      </c>
      <c r="E664" s="932" t="s">
        <v>85</v>
      </c>
      <c r="F664" s="998" t="s">
        <v>80</v>
      </c>
      <c r="G664" s="932" t="s">
        <v>310</v>
      </c>
      <c r="H664" s="932" t="str">
        <f>VLOOKUP($C664,Table1[#All],3,0)</f>
        <v>Subsidiaries</v>
      </c>
      <c r="I664" s="932" t="str" cm="1">
        <f t="array" ref="I664">_xlfn.XLOOKUP(Acc_Char!$E664,Table4[[#All],[Branch]],Table4[[#All],[Bank]],"recheck",0)</f>
        <v>VIETINBANK - TIEN SON</v>
      </c>
    </row>
    <row r="665" spans="1:9">
      <c r="A665" s="998">
        <f t="shared" si="10"/>
        <v>664</v>
      </c>
      <c r="B665" s="1002" t="s">
        <v>3407</v>
      </c>
      <c r="C665" s="1003" t="s">
        <v>3392</v>
      </c>
      <c r="D665" s="932" t="str">
        <f>VLOOKUP($C665,Table1[#All],2,0)</f>
        <v>HOLDCO4S</v>
      </c>
      <c r="E665" s="932" t="s">
        <v>85</v>
      </c>
      <c r="F665" s="998" t="s">
        <v>80</v>
      </c>
      <c r="G665" s="932" t="s">
        <v>310</v>
      </c>
      <c r="H665" s="932" t="str">
        <f>VLOOKUP($C665,Table1[#All],3,0)</f>
        <v>Subsidiaries</v>
      </c>
      <c r="I665" s="932" t="str" cm="1">
        <f t="array" ref="I665">_xlfn.XLOOKUP(Acc_Char!$E665,Table4[[#All],[Branch]],Table4[[#All],[Bank]],"recheck",0)</f>
        <v>VIETINBANK - TIEN SON</v>
      </c>
    </row>
    <row r="666" spans="1:9">
      <c r="A666" s="998">
        <f t="shared" si="10"/>
        <v>665</v>
      </c>
      <c r="B666" s="1004" t="s">
        <v>3408</v>
      </c>
      <c r="C666" s="1000" t="s">
        <v>3393</v>
      </c>
      <c r="D666" s="932" t="str">
        <f>VLOOKUP($C666,Table1[#All],2,0)</f>
        <v>HOLDCO4T</v>
      </c>
      <c r="E666" s="932" t="s">
        <v>85</v>
      </c>
      <c r="F666" s="998" t="s">
        <v>80</v>
      </c>
      <c r="G666" s="932" t="s">
        <v>310</v>
      </c>
      <c r="H666" s="932" t="str">
        <f>VLOOKUP($C666,Table1[#All],3,0)</f>
        <v>Subsidiaries</v>
      </c>
      <c r="I666" s="932" t="str" cm="1">
        <f t="array" ref="I666">_xlfn.XLOOKUP(Acc_Char!$E666,Table4[[#All],[Branch]],Table4[[#All],[Bank]],"recheck",0)</f>
        <v>VIETINBANK - TIEN SON</v>
      </c>
    </row>
    <row r="667" spans="1:9">
      <c r="A667" s="998">
        <f t="shared" si="10"/>
        <v>666</v>
      </c>
      <c r="B667" s="1002" t="s">
        <v>3409</v>
      </c>
      <c r="C667" s="1003" t="s">
        <v>3394</v>
      </c>
      <c r="D667" s="932" t="str">
        <f>VLOOKUP($C667,Table1[#All],2,0)</f>
        <v>HOLDCO4U</v>
      </c>
      <c r="E667" s="932" t="s">
        <v>85</v>
      </c>
      <c r="F667" s="998" t="s">
        <v>80</v>
      </c>
      <c r="G667" s="932" t="s">
        <v>310</v>
      </c>
      <c r="H667" s="932" t="str">
        <f>VLOOKUP($C667,Table1[#All],3,0)</f>
        <v>Subsidiaries</v>
      </c>
      <c r="I667" s="932" t="str" cm="1">
        <f t="array" ref="I667">_xlfn.XLOOKUP(Acc_Char!$E667,Table4[[#All],[Branch]],Table4[[#All],[Bank]],"recheck",0)</f>
        <v>VIETINBANK - TIEN SON</v>
      </c>
    </row>
    <row r="668" spans="1:9">
      <c r="A668" s="998">
        <f t="shared" si="10"/>
        <v>667</v>
      </c>
      <c r="B668" s="1004" t="s">
        <v>3410</v>
      </c>
      <c r="C668" s="1000" t="s">
        <v>3395</v>
      </c>
      <c r="D668" s="932" t="str">
        <f>VLOOKUP($C668,Table1[#All],2,0)</f>
        <v>HOLDCO4V</v>
      </c>
      <c r="E668" s="932" t="s">
        <v>85</v>
      </c>
      <c r="F668" s="998" t="s">
        <v>80</v>
      </c>
      <c r="G668" s="932" t="s">
        <v>310</v>
      </c>
      <c r="H668" s="932" t="str">
        <f>VLOOKUP($C668,Table1[#All],3,0)</f>
        <v>Subsidiaries</v>
      </c>
      <c r="I668" s="932" t="str" cm="1">
        <f t="array" ref="I668">_xlfn.XLOOKUP(Acc_Char!$E668,Table4[[#All],[Branch]],Table4[[#All],[Bank]],"recheck",0)</f>
        <v>VIETINBANK - TIEN SON</v>
      </c>
    </row>
    <row r="669" spans="1:9">
      <c r="A669" s="998">
        <f t="shared" si="10"/>
        <v>668</v>
      </c>
      <c r="B669" s="1002" t="s">
        <v>3411</v>
      </c>
      <c r="C669" s="1003" t="s">
        <v>3396</v>
      </c>
      <c r="D669" s="932" t="str">
        <f>VLOOKUP($C669,Table1[#All],2,0)</f>
        <v>HOLDCO4Y</v>
      </c>
      <c r="E669" s="932" t="s">
        <v>85</v>
      </c>
      <c r="F669" s="998" t="s">
        <v>80</v>
      </c>
      <c r="G669" s="932" t="s">
        <v>310</v>
      </c>
      <c r="H669" s="932" t="str">
        <f>VLOOKUP($C669,Table1[#All],3,0)</f>
        <v>Subsidiaries</v>
      </c>
      <c r="I669" s="932" t="str" cm="1">
        <f t="array" ref="I669">_xlfn.XLOOKUP(Acc_Char!$E669,Table4[[#All],[Branch]],Table4[[#All],[Bank]],"recheck",0)</f>
        <v>VIETINBANK - TIEN SON</v>
      </c>
    </row>
    <row r="670" spans="1:9">
      <c r="A670" s="998">
        <f t="shared" si="10"/>
        <v>669</v>
      </c>
      <c r="B670" s="1004" t="s">
        <v>3412</v>
      </c>
      <c r="C670" s="1000" t="s">
        <v>3397</v>
      </c>
      <c r="D670" s="932" t="str">
        <f>VLOOKUP($C670,Table1[#All],2,0)</f>
        <v>HOLDCO4Z</v>
      </c>
      <c r="E670" s="932" t="s">
        <v>85</v>
      </c>
      <c r="F670" s="998" t="s">
        <v>80</v>
      </c>
      <c r="G670" s="932" t="s">
        <v>310</v>
      </c>
      <c r="H670" s="932" t="str">
        <f>VLOOKUP($C670,Table1[#All],3,0)</f>
        <v>Subsidiaries</v>
      </c>
      <c r="I670" s="932" t="str" cm="1">
        <f t="array" ref="I670">_xlfn.XLOOKUP(Acc_Char!$E670,Table4[[#All],[Branch]],Table4[[#All],[Bank]],"recheck",0)</f>
        <v>VIETINBANK - TIEN SON</v>
      </c>
    </row>
    <row r="671" spans="1:9">
      <c r="A671" s="998">
        <f t="shared" si="10"/>
        <v>670</v>
      </c>
      <c r="B671" s="1002" t="s">
        <v>3413</v>
      </c>
      <c r="C671" s="1003" t="s">
        <v>3398</v>
      </c>
      <c r="D671" s="932" t="str">
        <f>VLOOKUP($C671,Table1[#All],2,0)</f>
        <v>HOLDCO4W</v>
      </c>
      <c r="E671" s="932" t="s">
        <v>85</v>
      </c>
      <c r="F671" s="998" t="s">
        <v>80</v>
      </c>
      <c r="G671" s="932" t="s">
        <v>310</v>
      </c>
      <c r="H671" s="932" t="str">
        <f>VLOOKUP($C671,Table1[#All],3,0)</f>
        <v>Subsidiaries</v>
      </c>
      <c r="I671" s="932" t="str" cm="1">
        <f t="array" ref="I671">_xlfn.XLOOKUP(Acc_Char!$E671,Table4[[#All],[Branch]],Table4[[#All],[Bank]],"recheck",0)</f>
        <v>VIETINBANK - TIEN SON</v>
      </c>
    </row>
    <row r="672" spans="1:9">
      <c r="A672" s="998">
        <f t="shared" si="10"/>
        <v>671</v>
      </c>
      <c r="B672" s="1004" t="s">
        <v>3414</v>
      </c>
      <c r="C672" s="1000" t="s">
        <v>3399</v>
      </c>
      <c r="D672" s="932" t="str">
        <f>VLOOKUP($C672,Table1[#All],2,0)</f>
        <v>HOLDCO4X</v>
      </c>
      <c r="E672" s="932" t="s">
        <v>85</v>
      </c>
      <c r="F672" s="998" t="s">
        <v>80</v>
      </c>
      <c r="G672" s="932" t="s">
        <v>310</v>
      </c>
      <c r="H672" s="932" t="str">
        <f>VLOOKUP($C672,Table1[#All],3,0)</f>
        <v>Subsidiaries</v>
      </c>
      <c r="I672" s="932" t="str" cm="1">
        <f t="array" ref="I672">_xlfn.XLOOKUP(Acc_Char!$E672,Table4[[#All],[Branch]],Table4[[#All],[Bank]],"recheck",0)</f>
        <v>VIETINBANK - TIEN SON</v>
      </c>
    </row>
    <row r="673" spans="1:9">
      <c r="A673" s="998">
        <f t="shared" si="10"/>
        <v>672</v>
      </c>
      <c r="B673" s="1002" t="s">
        <v>3415</v>
      </c>
      <c r="C673" s="1003" t="s">
        <v>3400</v>
      </c>
      <c r="D673" s="932" t="str">
        <f>VLOOKUP($C673,Table1[#All],2,0)</f>
        <v>HOLDCO5Q</v>
      </c>
      <c r="E673" s="932" t="s">
        <v>85</v>
      </c>
      <c r="F673" s="998" t="s">
        <v>80</v>
      </c>
      <c r="G673" s="932" t="s">
        <v>310</v>
      </c>
      <c r="H673" s="932" t="str">
        <f>VLOOKUP($C673,Table1[#All],3,0)</f>
        <v>Subsidiaries</v>
      </c>
      <c r="I673" s="932" t="str" cm="1">
        <f t="array" ref="I673">_xlfn.XLOOKUP(Acc_Char!$E673,Table4[[#All],[Branch]],Table4[[#All],[Bank]],"recheck",0)</f>
        <v>VIETINBANK - TIEN SON</v>
      </c>
    </row>
    <row r="674" spans="1:9">
      <c r="A674" s="998">
        <f t="shared" si="10"/>
        <v>673</v>
      </c>
      <c r="B674" s="1004" t="s">
        <v>3416</v>
      </c>
      <c r="C674" s="1000" t="s">
        <v>3401</v>
      </c>
      <c r="D674" s="932" t="str">
        <f>VLOOKUP($C674,Table1[#All],2,0)</f>
        <v>HOLDCO5R</v>
      </c>
      <c r="E674" s="932" t="s">
        <v>85</v>
      </c>
      <c r="F674" s="998" t="s">
        <v>80</v>
      </c>
      <c r="G674" s="932" t="s">
        <v>310</v>
      </c>
      <c r="H674" s="932" t="str">
        <f>VLOOKUP($C674,Table1[#All],3,0)</f>
        <v>Subsidiaries</v>
      </c>
      <c r="I674" s="932" t="str" cm="1">
        <f t="array" ref="I674">_xlfn.XLOOKUP(Acc_Char!$E674,Table4[[#All],[Branch]],Table4[[#All],[Bank]],"recheck",0)</f>
        <v>VIETINBANK - TIEN SON</v>
      </c>
    </row>
    <row r="675" spans="1:9">
      <c r="A675" s="998">
        <f t="shared" si="10"/>
        <v>674</v>
      </c>
      <c r="B675" s="1002" t="s">
        <v>3417</v>
      </c>
      <c r="C675" s="1003" t="s">
        <v>3402</v>
      </c>
      <c r="D675" s="932" t="str">
        <f>VLOOKUP($C675,Table1[#All],2,0)</f>
        <v>HOLDCO5S</v>
      </c>
      <c r="E675" s="932" t="s">
        <v>85</v>
      </c>
      <c r="F675" s="998" t="s">
        <v>80</v>
      </c>
      <c r="G675" s="932" t="s">
        <v>310</v>
      </c>
      <c r="H675" s="932" t="str">
        <f>VLOOKUP($C675,Table1[#All],3,0)</f>
        <v>Subsidiaries</v>
      </c>
      <c r="I675" s="932" t="str" cm="1">
        <f t="array" ref="I675">_xlfn.XLOOKUP(Acc_Char!$E675,Table4[[#All],[Branch]],Table4[[#All],[Bank]],"recheck",0)</f>
        <v>VIETINBANK - TIEN SON</v>
      </c>
    </row>
    <row r="676" spans="1:9">
      <c r="A676" s="998">
        <f t="shared" si="10"/>
        <v>675</v>
      </c>
      <c r="B676" s="1004" t="s">
        <v>3418</v>
      </c>
      <c r="C676" s="1000" t="s">
        <v>3403</v>
      </c>
      <c r="D676" s="932" t="str">
        <f>VLOOKUP($C676,Table1[#All],2,0)</f>
        <v>HOLDCO5T</v>
      </c>
      <c r="E676" s="932" t="s">
        <v>85</v>
      </c>
      <c r="F676" s="998" t="s">
        <v>80</v>
      </c>
      <c r="G676" s="932" t="s">
        <v>310</v>
      </c>
      <c r="H676" s="932" t="str">
        <f>VLOOKUP($C676,Table1[#All],3,0)</f>
        <v>Subsidiaries</v>
      </c>
      <c r="I676" s="932" t="str" cm="1">
        <f t="array" ref="I676">_xlfn.XLOOKUP(Acc_Char!$E676,Table4[[#All],[Branch]],Table4[[#All],[Bank]],"recheck",0)</f>
        <v>VIETINBANK - TIEN SON</v>
      </c>
    </row>
    <row r="677" spans="1:9">
      <c r="A677" s="998">
        <f t="shared" si="10"/>
        <v>676</v>
      </c>
      <c r="B677" s="1002" t="s">
        <v>3419</v>
      </c>
      <c r="C677" s="1003" t="s">
        <v>3404</v>
      </c>
      <c r="D677" s="932" t="str">
        <f>VLOOKUP($C677,Table1[#All],2,0)</f>
        <v>HOLDCO5U</v>
      </c>
      <c r="E677" s="999" t="s">
        <v>85</v>
      </c>
      <c r="F677" s="998" t="s">
        <v>80</v>
      </c>
      <c r="G677" s="932" t="s">
        <v>310</v>
      </c>
      <c r="H677" s="932" t="str">
        <f>VLOOKUP($C677,Table1[#All],3,0)</f>
        <v>Subsidiaries</v>
      </c>
      <c r="I677" s="932" t="str" cm="1">
        <f t="array" ref="I677">_xlfn.XLOOKUP(Acc_Char!$E677,Table4[[#All],[Branch]],Table4[[#All],[Bank]],"recheck",0)</f>
        <v>VIETINBANK - TIEN SON</v>
      </c>
    </row>
    <row r="678" spans="1:9">
      <c r="A678" s="998">
        <f t="shared" si="10"/>
        <v>677</v>
      </c>
      <c r="B678" s="1004" t="s">
        <v>3420</v>
      </c>
      <c r="C678" s="1000" t="s">
        <v>3277</v>
      </c>
      <c r="D678" s="932" t="str">
        <f>VLOOKUP($C678,Table1[#All],2,0)</f>
        <v>THUAN THANH 3B</v>
      </c>
      <c r="E678" s="932" t="s">
        <v>89</v>
      </c>
      <c r="F678" s="998" t="s">
        <v>80</v>
      </c>
      <c r="G678" s="932" t="s">
        <v>310</v>
      </c>
      <c r="H678" s="932" t="str">
        <f>VLOOKUP($C678,Table1[#All],3,0)</f>
        <v>Subsidiaries</v>
      </c>
      <c r="I678" s="932" t="str" cm="1">
        <f t="array" ref="I678">_xlfn.XLOOKUP(Acc_Char!$E678,Table4[[#All],[Branch]],Table4[[#All],[Bank]],"recheck",0)</f>
        <v>VIETCOMBANK - BA DINH</v>
      </c>
    </row>
    <row r="679" spans="1:9">
      <c r="A679" s="998">
        <f t="shared" si="10"/>
        <v>678</v>
      </c>
      <c r="B679" s="1004" t="s">
        <v>3421</v>
      </c>
      <c r="C679" s="1000" t="s">
        <v>2895</v>
      </c>
      <c r="D679" s="932" t="str">
        <f>VLOOKUP($C679,Table1[#All],2,0)</f>
        <v>BWID HAI DUONG 2</v>
      </c>
      <c r="E679" s="999" t="s">
        <v>85</v>
      </c>
      <c r="F679" s="998" t="s">
        <v>80</v>
      </c>
      <c r="G679" s="932" t="s">
        <v>310</v>
      </c>
      <c r="H679" s="932" t="str">
        <f>VLOOKUP($C679,Table1[#All],3,0)</f>
        <v>Subsidiaries</v>
      </c>
      <c r="I679" s="932" t="str" cm="1">
        <f t="array" ref="I679">_xlfn.XLOOKUP(Acc_Char!$E679,Table4[[#All],[Branch]],Table4[[#All],[Bank]],"recheck",0)</f>
        <v>VIETINBANK - TIEN SON</v>
      </c>
    </row>
    <row r="680" spans="1:9">
      <c r="A680" s="998">
        <f t="shared" si="10"/>
        <v>679</v>
      </c>
      <c r="B680" s="1004" t="s">
        <v>3422</v>
      </c>
      <c r="C680" s="1000" t="s">
        <v>389</v>
      </c>
      <c r="D680" s="932" t="str">
        <f>VLOOKUP($C680,Table1[#All],2,0)</f>
        <v>BWID BINH DUONG</v>
      </c>
      <c r="E680" s="932" t="s">
        <v>92</v>
      </c>
      <c r="F680" s="998" t="s">
        <v>80</v>
      </c>
      <c r="G680" s="932" t="s">
        <v>310</v>
      </c>
      <c r="H680" s="932" t="str">
        <f>VLOOKUP($C680,Table1[#All],3,0)</f>
        <v>BWID JSC</v>
      </c>
      <c r="I680" s="932" t="str" cm="1">
        <f t="array" ref="I680">_xlfn.XLOOKUP(Acc_Char!$E680,Table4[[#All],[Branch]],Table4[[#All],[Bank]],"recheck",0)</f>
        <v>BIDV - THANH XUAN</v>
      </c>
    </row>
    <row r="681" spans="1:9">
      <c r="A681" s="998">
        <f t="shared" si="10"/>
        <v>680</v>
      </c>
      <c r="B681" s="1004" t="s">
        <v>3423</v>
      </c>
      <c r="C681" s="1000" t="s">
        <v>389</v>
      </c>
      <c r="D681" s="932" t="str">
        <f>VLOOKUP($C681,Table1[#All],2,0)</f>
        <v>BWID BINH DUONG</v>
      </c>
      <c r="E681" s="932" t="s">
        <v>89</v>
      </c>
      <c r="F681" s="998" t="s">
        <v>80</v>
      </c>
      <c r="G681" s="932" t="s">
        <v>310</v>
      </c>
      <c r="H681" s="932" t="str">
        <f>VLOOKUP($C681,Table1[#All],3,0)</f>
        <v>BWID JSC</v>
      </c>
      <c r="I681" s="932" t="str" cm="1">
        <f t="array" ref="I681">_xlfn.XLOOKUP(Acc_Char!$E681,Table4[[#All],[Branch]],Table4[[#All],[Bank]],"recheck",0)</f>
        <v>VIETCOMBANK - BA DINH</v>
      </c>
    </row>
    <row r="682" spans="1:9">
      <c r="A682" s="998">
        <f t="shared" si="10"/>
        <v>681</v>
      </c>
      <c r="B682" s="1004" t="s">
        <v>3424</v>
      </c>
      <c r="C682" s="1000" t="s">
        <v>389</v>
      </c>
      <c r="D682" s="932" t="str">
        <f>VLOOKUP($C682,Table1[#All],2,0)</f>
        <v>BWID BINH DUONG</v>
      </c>
      <c r="E682" s="932" t="s">
        <v>91</v>
      </c>
      <c r="F682" s="998" t="s">
        <v>80</v>
      </c>
      <c r="G682" s="932" t="s">
        <v>310</v>
      </c>
      <c r="H682" s="932" t="str">
        <f>VLOOKUP($C682,Table1[#All],3,0)</f>
        <v>BWID JSC</v>
      </c>
      <c r="I682" s="932" t="str" cm="1">
        <f t="array" ref="I682">_xlfn.XLOOKUP(Acc_Char!$E682,Table4[[#All],[Branch]],Table4[[#All],[Bank]],"recheck",0)</f>
        <v>VIETCOMBANK - HCM</v>
      </c>
    </row>
    <row r="683" spans="1:9">
      <c r="A683" s="998">
        <f t="shared" si="10"/>
        <v>682</v>
      </c>
      <c r="B683" s="1004" t="s">
        <v>3425</v>
      </c>
      <c r="C683" s="1000" t="s">
        <v>389</v>
      </c>
      <c r="D683" s="932" t="str">
        <f>VLOOKUP($C683,Table1[#All],2,0)</f>
        <v>BWID BINH DUONG</v>
      </c>
      <c r="E683" s="932" t="s">
        <v>95</v>
      </c>
      <c r="F683" s="998" t="s">
        <v>80</v>
      </c>
      <c r="G683" s="932" t="s">
        <v>310</v>
      </c>
      <c r="H683" s="932" t="str">
        <f>VLOOKUP($C683,Table1[#All],3,0)</f>
        <v>BWID JSC</v>
      </c>
      <c r="I683" s="932" t="str" cm="1">
        <f t="array" ref="I683">_xlfn.XLOOKUP(Acc_Char!$E683,Table4[[#All],[Branch]],Table4[[#All],[Bank]],"recheck",0)</f>
        <v>OCB - BINH DUONG</v>
      </c>
    </row>
    <row r="684" spans="1:9">
      <c r="A684" s="998">
        <f t="shared" si="10"/>
        <v>683</v>
      </c>
      <c r="B684" s="1004" t="s">
        <v>3426</v>
      </c>
      <c r="C684" s="1000" t="s">
        <v>402</v>
      </c>
      <c r="D684" s="932" t="str">
        <f>VLOOKUP($C684,Table1[#All],2,0)</f>
        <v>BWID DONG AN LID</v>
      </c>
      <c r="E684" s="932" t="s">
        <v>88</v>
      </c>
      <c r="F684" s="998" t="s">
        <v>80</v>
      </c>
      <c r="G684" s="932" t="s">
        <v>310</v>
      </c>
      <c r="H684" s="932" t="str">
        <f>VLOOKUP($C684,Table1[#All],3,0)</f>
        <v>Subsidiaries</v>
      </c>
      <c r="I684" s="932" t="str" cm="1">
        <f t="array" ref="I684">_xlfn.XLOOKUP(Acc_Char!$E684,Table4[[#All],[Branch]],Table4[[#All],[Bank]],"recheck",0)</f>
        <v>VIETINBANK - DONG SAI GON</v>
      </c>
    </row>
    <row r="685" spans="1:9">
      <c r="A685" s="998">
        <f t="shared" si="10"/>
        <v>684</v>
      </c>
      <c r="B685" s="1004" t="s">
        <v>3427</v>
      </c>
      <c r="C685" s="1000" t="s">
        <v>2998</v>
      </c>
      <c r="D685" s="932" t="str">
        <f>VLOOKUP($C685,Table1[#All],2,0)</f>
        <v>BWID THOI HOA 2</v>
      </c>
      <c r="E685" s="999" t="s">
        <v>95</v>
      </c>
      <c r="F685" s="998" t="s">
        <v>80</v>
      </c>
      <c r="G685" s="932" t="s">
        <v>310</v>
      </c>
      <c r="H685" s="932" t="str">
        <f>VLOOKUP($C685,Table1[#All],3,0)</f>
        <v>Subsidiaries</v>
      </c>
      <c r="I685" s="932" t="str" cm="1">
        <f t="array" ref="I685">_xlfn.XLOOKUP(Acc_Char!$E685,Table4[[#All],[Branch]],Table4[[#All],[Bank]],"recheck",0)</f>
        <v>OCB - BINH DUONG</v>
      </c>
    </row>
    <row r="686" spans="1:9">
      <c r="A686" s="998">
        <f t="shared" si="10"/>
        <v>685</v>
      </c>
      <c r="B686" s="1004" t="s">
        <v>3428</v>
      </c>
      <c r="C686" s="1000" t="s">
        <v>2974</v>
      </c>
      <c r="D686" s="932" t="str">
        <f>VLOOKUP($C686,Table1[#All],2,0)</f>
        <v>BWID HAI DUONG 3</v>
      </c>
      <c r="E686" s="932" t="s">
        <v>92</v>
      </c>
      <c r="F686" s="998" t="s">
        <v>80</v>
      </c>
      <c r="G686" s="932" t="s">
        <v>310</v>
      </c>
      <c r="H686" s="932" t="str">
        <f>VLOOKUP($C686,Table1[#All],3,0)</f>
        <v>Subsidiaries</v>
      </c>
      <c r="I686" s="932" t="str" cm="1">
        <f t="array" ref="I686">_xlfn.XLOOKUP(Acc_Char!$E686,Table4[[#All],[Branch]],Table4[[#All],[Bank]],"recheck",0)</f>
        <v>BIDV - THANH XUAN</v>
      </c>
    </row>
    <row r="687" spans="1:9">
      <c r="A687" s="998">
        <f t="shared" si="10"/>
        <v>686</v>
      </c>
      <c r="B687" s="1004" t="s">
        <v>3429</v>
      </c>
      <c r="C687" s="1000" t="s">
        <v>3175</v>
      </c>
      <c r="D687" s="932" t="str">
        <f>VLOOKUP($C687,Table1[#All],2,0)</f>
        <v>BW HAI AN</v>
      </c>
      <c r="E687" s="932" t="s">
        <v>92</v>
      </c>
      <c r="F687" s="998" t="s">
        <v>80</v>
      </c>
      <c r="G687" s="932" t="s">
        <v>310</v>
      </c>
      <c r="H687" s="932" t="str">
        <f>VLOOKUP($C687,Table1[#All],3,0)</f>
        <v>Subsidiaries</v>
      </c>
      <c r="I687" s="932" t="str" cm="1">
        <f t="array" ref="I687">_xlfn.XLOOKUP(Acc_Char!$E687,Table4[[#All],[Branch]],Table4[[#All],[Bank]],"recheck",0)</f>
        <v>BIDV - THANH XUAN</v>
      </c>
    </row>
    <row r="688" spans="1:9">
      <c r="A688" s="998">
        <f t="shared" si="10"/>
        <v>687</v>
      </c>
      <c r="B688" s="1097" t="s">
        <v>649</v>
      </c>
      <c r="C688" s="1003" t="s">
        <v>645</v>
      </c>
      <c r="D688" s="999" t="str">
        <f>VLOOKUP($C688,Table1[#All],2,0)</f>
        <v>SPV5B</v>
      </c>
      <c r="E688" s="999" t="s">
        <v>98</v>
      </c>
      <c r="F688" s="1093" t="s">
        <v>81</v>
      </c>
      <c r="G688" s="999" t="s">
        <v>308</v>
      </c>
      <c r="H688" s="999" t="str">
        <f>VLOOKUP($C688,Table1[#All],3,0)</f>
        <v>Subsidiaries</v>
      </c>
      <c r="I688" s="999" t="str" cm="1">
        <f t="array" ref="I688">_xlfn.XLOOKUP(Acc_Char!$E415,Table4[[#All],[Branch]],Table4[[#All],[Bank]],"recheck",0)</f>
        <v>UOB</v>
      </c>
    </row>
    <row r="689" spans="1:9">
      <c r="A689" s="998">
        <f t="shared" si="10"/>
        <v>688</v>
      </c>
      <c r="B689" s="1004" t="s">
        <v>802</v>
      </c>
      <c r="C689" s="1000" t="s">
        <v>436</v>
      </c>
      <c r="D689" s="932" t="str">
        <f>VLOOKUP($C689,Table1[#All],2,0)</f>
        <v>BW NAM HAI</v>
      </c>
      <c r="E689" s="999" t="s">
        <v>89</v>
      </c>
      <c r="F689" s="998" t="s">
        <v>80</v>
      </c>
      <c r="G689" s="932" t="s">
        <v>308</v>
      </c>
      <c r="H689" s="932" t="str">
        <f>VLOOKUP($C689,Table1[#All],3,0)</f>
        <v>Subsidiaries</v>
      </c>
      <c r="I689" s="932" t="str" cm="1">
        <f t="array" ref="I689">_xlfn.XLOOKUP(Acc_Char!$E689,Table4[[#All],[Branch]],Table4[[#All],[Bank]],"recheck",0)</f>
        <v>VIETCOMBANK - BA DINH</v>
      </c>
    </row>
    <row r="690" spans="1:9">
      <c r="A690" s="998">
        <f t="shared" si="10"/>
        <v>689</v>
      </c>
      <c r="B690" s="1004" t="s">
        <v>3430</v>
      </c>
      <c r="C690" s="1000" t="s">
        <v>389</v>
      </c>
      <c r="D690" s="932" t="str">
        <f>VLOOKUP($C690,Table1[#All],2,0)</f>
        <v>BWID BINH DUONG</v>
      </c>
      <c r="E690" s="932" t="s">
        <v>3431</v>
      </c>
      <c r="F690" s="998" t="s">
        <v>80</v>
      </c>
      <c r="G690" s="932" t="s">
        <v>310</v>
      </c>
      <c r="H690" s="932" t="str">
        <f>VLOOKUP($C690,Table1[#All],3,0)</f>
        <v>BWID JSC</v>
      </c>
      <c r="I690" s="932" t="str" cm="1">
        <f t="array" ref="I690">_xlfn.XLOOKUP(Acc_Char!$E690,Table4[[#All],[Branch]],Table4[[#All],[Bank]],"recheck",0)</f>
        <v>MB - GIA DINH</v>
      </c>
    </row>
    <row r="691" spans="1:9">
      <c r="A691" s="998">
        <f t="shared" si="10"/>
        <v>690</v>
      </c>
      <c r="B691" s="1004" t="s">
        <v>3432</v>
      </c>
      <c r="C691" s="1000" t="s">
        <v>389</v>
      </c>
      <c r="D691" s="932" t="str">
        <f>VLOOKUP($C691,Table1[#All],2,0)</f>
        <v>BWID BINH DUONG</v>
      </c>
      <c r="E691" s="999" t="s">
        <v>3433</v>
      </c>
      <c r="F691" s="998" t="s">
        <v>80</v>
      </c>
      <c r="G691" s="932" t="s">
        <v>310</v>
      </c>
      <c r="H691" s="932" t="str">
        <f>VLOOKUP($C691,Table1[#All],3,0)</f>
        <v>BWID JSC</v>
      </c>
      <c r="I691" s="932" t="str" cm="1">
        <f t="array" ref="I691">_xlfn.XLOOKUP(Acc_Char!$E691,Table4[[#All],[Branch]],Table4[[#All],[Bank]],"recheck",0)</f>
        <v>MB - NGUYEN TRI PHUONG</v>
      </c>
    </row>
    <row r="692" spans="1:9">
      <c r="A692" s="998">
        <f t="shared" si="10"/>
        <v>691</v>
      </c>
      <c r="B692" s="1004" t="s">
        <v>3434</v>
      </c>
      <c r="C692" s="1000" t="s">
        <v>3249</v>
      </c>
      <c r="D692" s="932" t="str">
        <f>VLOOKUP($C692,Table1[#All],2,0)</f>
        <v>WINLOCK 2B</v>
      </c>
      <c r="E692" s="932" t="s">
        <v>85</v>
      </c>
      <c r="F692" s="998" t="s">
        <v>80</v>
      </c>
      <c r="G692" s="932" t="s">
        <v>310</v>
      </c>
      <c r="H692" s="932" t="str">
        <f>VLOOKUP($C692,Table1[#All],3,0)</f>
        <v>Subsidiaries</v>
      </c>
      <c r="I692" s="932" t="str" cm="1">
        <f t="array" ref="I692">_xlfn.XLOOKUP(Acc_Char!$E692,Table4[[#All],[Branch]],Table4[[#All],[Bank]],"recheck",0)</f>
        <v>VIETINBANK - TIEN SON</v>
      </c>
    </row>
    <row r="693" spans="1:9">
      <c r="A693" s="998">
        <f t="shared" si="10"/>
        <v>692</v>
      </c>
      <c r="B693" s="1004" t="s">
        <v>3435</v>
      </c>
      <c r="C693" s="1000" t="s">
        <v>3248</v>
      </c>
      <c r="D693" s="932" t="str">
        <f>VLOOKUP($C693,Table1[#All],2,0)</f>
        <v>WINLOCK 2A</v>
      </c>
      <c r="E693" s="932" t="s">
        <v>85</v>
      </c>
      <c r="F693" s="998" t="s">
        <v>80</v>
      </c>
      <c r="G693" s="932" t="s">
        <v>310</v>
      </c>
      <c r="H693" s="932" t="str">
        <f>VLOOKUP($C693,Table1[#All],3,0)</f>
        <v>Subsidiaries</v>
      </c>
      <c r="I693" s="932" t="str" cm="1">
        <f t="array" ref="I693">_xlfn.XLOOKUP(Acc_Char!$E693,Table4[[#All],[Branch]],Table4[[#All],[Bank]],"recheck",0)</f>
        <v>VIETINBANK - TIEN SON</v>
      </c>
    </row>
    <row r="694" spans="1:9">
      <c r="A694" s="998">
        <f t="shared" si="10"/>
        <v>693</v>
      </c>
      <c r="B694" s="1004" t="s">
        <v>3436</v>
      </c>
      <c r="C694" s="1000" t="s">
        <v>3026</v>
      </c>
      <c r="D694" s="932" t="str">
        <f>VLOOKUP($C694,Table1[#All],2,0)</f>
        <v>BW SAI GON</v>
      </c>
      <c r="E694" s="932" t="s">
        <v>338</v>
      </c>
      <c r="F694" s="998" t="s">
        <v>80</v>
      </c>
      <c r="G694" s="932" t="s">
        <v>310</v>
      </c>
      <c r="H694" s="932" t="str">
        <f>VLOOKUP($C694,Table1[#All],3,0)</f>
        <v>Subsidiaries</v>
      </c>
      <c r="I694" s="932" t="str" cm="1">
        <f t="array" ref="I694">_xlfn.XLOOKUP(Acc_Char!$E694,Table4[[#All],[Branch]],Table4[[#All],[Bank]],"recheck",0)</f>
        <v>TECHCOMBANK</v>
      </c>
    </row>
    <row r="695" spans="1:9">
      <c r="A695" s="998">
        <f t="shared" si="10"/>
        <v>694</v>
      </c>
      <c r="B695" s="1004" t="s">
        <v>3437</v>
      </c>
      <c r="C695" s="1000" t="s">
        <v>3072</v>
      </c>
      <c r="D695" s="932" t="str">
        <f>VLOOKUP($C695,Table1[#All],2,0)</f>
        <v>BWID TAN DONG HIEP</v>
      </c>
      <c r="E695" s="932" t="s">
        <v>96</v>
      </c>
      <c r="F695" s="998" t="s">
        <v>80</v>
      </c>
      <c r="G695" s="932" t="s">
        <v>310</v>
      </c>
      <c r="H695" s="932" t="str">
        <f>VLOOKUP($C695,Table1[#All],3,0)</f>
        <v>Subsidiaries</v>
      </c>
      <c r="I695" s="932" t="str" cm="1">
        <f t="array" ref="I695">_xlfn.XLOOKUP(Acc_Char!$E695,Table4[[#All],[Branch]],Table4[[#All],[Bank]],"recheck",0)</f>
        <v>VIB - HOI SO</v>
      </c>
    </row>
    <row r="696" spans="1:9">
      <c r="A696" s="998">
        <f t="shared" si="10"/>
        <v>695</v>
      </c>
      <c r="B696" s="1004" t="s">
        <v>3438</v>
      </c>
      <c r="C696" s="1000" t="s">
        <v>3072</v>
      </c>
      <c r="D696" s="932" t="str">
        <f>VLOOKUP($C696,Table1[#All],2,0)</f>
        <v>BWID TAN DONG HIEP</v>
      </c>
      <c r="E696" s="932" t="s">
        <v>96</v>
      </c>
      <c r="F696" s="998" t="s">
        <v>80</v>
      </c>
      <c r="G696" s="932" t="s">
        <v>310</v>
      </c>
      <c r="H696" s="932" t="str">
        <f>VLOOKUP($C696,Table1[#All],3,0)</f>
        <v>Subsidiaries</v>
      </c>
      <c r="I696" s="932" t="str" cm="1">
        <f t="array" ref="I696">_xlfn.XLOOKUP(Acc_Char!$E696,Table4[[#All],[Branch]],Table4[[#All],[Bank]],"recheck",0)</f>
        <v>VIB - HOI SO</v>
      </c>
    </row>
    <row r="697" spans="1:9">
      <c r="A697" s="998">
        <f t="shared" si="10"/>
        <v>696</v>
      </c>
      <c r="B697" s="1004" t="s">
        <v>3439</v>
      </c>
      <c r="C697" s="1000" t="s">
        <v>3175</v>
      </c>
      <c r="D697" s="932" t="str">
        <f>VLOOKUP($C697,Table1[#All],2,0)</f>
        <v>BW HAI AN</v>
      </c>
      <c r="E697" s="932" t="s">
        <v>92</v>
      </c>
      <c r="F697" s="998" t="s">
        <v>80</v>
      </c>
      <c r="G697" s="932" t="s">
        <v>310</v>
      </c>
      <c r="H697" s="932" t="str">
        <f>VLOOKUP($C697,Table1[#All],3,0)</f>
        <v>Subsidiaries</v>
      </c>
      <c r="I697" s="932" t="str" cm="1">
        <f t="array" ref="I697">_xlfn.XLOOKUP(Acc_Char!$E697,Table4[[#All],[Branch]],Table4[[#All],[Bank]],"recheck",0)</f>
        <v>BIDV - THANH XUAN</v>
      </c>
    </row>
    <row r="698" spans="1:9">
      <c r="A698" s="998">
        <f t="shared" si="10"/>
        <v>697</v>
      </c>
      <c r="B698" s="1004" t="s">
        <v>3440</v>
      </c>
      <c r="C698" s="1000" t="s">
        <v>403</v>
      </c>
      <c r="D698" s="932" t="str">
        <f>VLOOKUP($C698,Table1[#All],2,0)</f>
        <v>BW SUPLLY CHAIN CITY</v>
      </c>
      <c r="E698" s="932" t="s">
        <v>91</v>
      </c>
      <c r="F698" s="998" t="s">
        <v>80</v>
      </c>
      <c r="G698" s="932" t="s">
        <v>310</v>
      </c>
      <c r="H698" s="932" t="str">
        <f>VLOOKUP($C698,Table1[#All],3,0)</f>
        <v>Subsidiaries</v>
      </c>
      <c r="I698" s="932" t="str" cm="1">
        <f t="array" ref="I698">_xlfn.XLOOKUP(Acc_Char!$E698,Table4[[#All],[Branch]],Table4[[#All],[Bank]],"recheck",0)</f>
        <v>VIETCOMBANK - HCM</v>
      </c>
    </row>
    <row r="699" spans="1:9">
      <c r="A699" s="998">
        <f t="shared" si="10"/>
        <v>698</v>
      </c>
      <c r="B699" s="1004" t="s">
        <v>3441</v>
      </c>
      <c r="C699" s="1000" t="s">
        <v>3160</v>
      </c>
      <c r="D699" s="932" t="str">
        <f>VLOOKUP($C699,Table1[#All],2,0)</f>
        <v>BWID Tan Phu Trung</v>
      </c>
      <c r="E699" s="932" t="s">
        <v>85</v>
      </c>
      <c r="F699" s="998" t="s">
        <v>80</v>
      </c>
      <c r="G699" s="932" t="s">
        <v>310</v>
      </c>
      <c r="H699" s="932" t="str">
        <f>VLOOKUP($C699,Table1[#All],3,0)</f>
        <v>Subsidiaries</v>
      </c>
      <c r="I699" s="932" t="str" cm="1">
        <f t="array" ref="I699">_xlfn.XLOOKUP(Acc_Char!$E699,Table4[[#All],[Branch]],Table4[[#All],[Bank]],"recheck",0)</f>
        <v>VIETINBANK - TIEN SON</v>
      </c>
    </row>
    <row r="700" spans="1:9">
      <c r="A700" s="998">
        <f t="shared" si="10"/>
        <v>699</v>
      </c>
      <c r="B700" s="1004" t="s">
        <v>3442</v>
      </c>
      <c r="C700" s="1000" t="s">
        <v>67</v>
      </c>
      <c r="D700" s="932" t="str">
        <f>VLOOKUP($C700,Table1[#All],2,0)</f>
        <v>SAO HOA</v>
      </c>
      <c r="E700" s="932" t="s">
        <v>192</v>
      </c>
      <c r="F700" s="998" t="s">
        <v>80</v>
      </c>
      <c r="G700" s="932" t="s">
        <v>342</v>
      </c>
      <c r="H700" s="932" t="str">
        <f>VLOOKUP($C700,Table1[#All],3,0)</f>
        <v>VC3</v>
      </c>
      <c r="I700" s="932" t="str" cm="1">
        <f t="array" ref="I700">_xlfn.XLOOKUP(Acc_Char!$E700,Table4[[#All],[Branch]],Table4[[#All],[Bank]],"recheck",0)</f>
        <v>VIETINBANK - CN6</v>
      </c>
    </row>
    <row r="701" spans="1:9">
      <c r="A701" s="998">
        <f t="shared" si="10"/>
        <v>700</v>
      </c>
      <c r="B701" s="1004" t="s">
        <v>804</v>
      </c>
      <c r="C701" s="1000" t="s">
        <v>389</v>
      </c>
      <c r="D701" s="932" t="str">
        <f>VLOOKUP($C701,Table1[#All],2,0)</f>
        <v>BWID BINH DUONG</v>
      </c>
      <c r="E701" s="932" t="s">
        <v>803</v>
      </c>
      <c r="F701" s="998" t="s">
        <v>80</v>
      </c>
      <c r="G701" s="932" t="s">
        <v>308</v>
      </c>
      <c r="H701" s="932" t="str">
        <f>VLOOKUP($C701,Table1[#All],3,0)</f>
        <v>BWID JSC</v>
      </c>
      <c r="I701" s="932" t="str" cm="1">
        <f t="array" ref="I701">_xlfn.XLOOKUP(Acc_Char!$E701,Table4[[#All],[Branch]],Table4[[#All],[Bank]],"recheck",0)</f>
        <v>UOB</v>
      </c>
    </row>
    <row r="702" spans="1:9">
      <c r="A702" s="998">
        <f t="shared" si="10"/>
        <v>701</v>
      </c>
      <c r="B702" s="1004" t="s">
        <v>3443</v>
      </c>
      <c r="C702" s="1000" t="s">
        <v>389</v>
      </c>
      <c r="D702" s="932" t="str">
        <f>VLOOKUP($C702,Table1[#All],2,0)</f>
        <v>BWID BINH DUONG</v>
      </c>
      <c r="E702" s="932" t="s">
        <v>803</v>
      </c>
      <c r="F702" s="998" t="s">
        <v>80</v>
      </c>
      <c r="G702" s="932" t="s">
        <v>310</v>
      </c>
      <c r="H702" s="932" t="str">
        <f>VLOOKUP($C702,Table1[#All],3,0)</f>
        <v>BWID JSC</v>
      </c>
      <c r="I702" s="932" t="str" cm="1">
        <f t="array" ref="I702">_xlfn.XLOOKUP(Acc_Char!$E702,Table4[[#All],[Branch]],Table4[[#All],[Bank]],"recheck",0)</f>
        <v>UOB</v>
      </c>
    </row>
    <row r="703" spans="1:9">
      <c r="A703" s="998">
        <f t="shared" si="10"/>
        <v>702</v>
      </c>
      <c r="B703" s="1004" t="s">
        <v>3444</v>
      </c>
      <c r="C703" s="1000" t="s">
        <v>389</v>
      </c>
      <c r="D703" s="932" t="str">
        <f>VLOOKUP($C703,Table1[#All],2,0)</f>
        <v>BWID BINH DUONG</v>
      </c>
      <c r="E703" s="932" t="s">
        <v>803</v>
      </c>
      <c r="F703" s="998" t="s">
        <v>80</v>
      </c>
      <c r="G703" s="932" t="s">
        <v>310</v>
      </c>
      <c r="H703" s="932" t="str">
        <f>VLOOKUP($C703,Table1[#All],3,0)</f>
        <v>BWID JSC</v>
      </c>
      <c r="I703" s="932" t="str" cm="1">
        <f t="array" ref="I703">_xlfn.XLOOKUP(Acc_Char!$E703,Table4[[#All],[Branch]],Table4[[#All],[Bank]],"recheck",0)</f>
        <v>UOB</v>
      </c>
    </row>
    <row r="704" spans="1:9">
      <c r="A704" s="998">
        <f t="shared" si="10"/>
        <v>703</v>
      </c>
      <c r="B704" s="1004" t="s">
        <v>3445</v>
      </c>
      <c r="C704" s="1000" t="s">
        <v>67</v>
      </c>
      <c r="D704" s="932" t="str">
        <f>VLOOKUP($C704,Table1[#All],2,0)</f>
        <v>SAO HOA</v>
      </c>
      <c r="E704" s="932" t="s">
        <v>192</v>
      </c>
      <c r="F704" s="998" t="s">
        <v>80</v>
      </c>
      <c r="G704" s="932" t="s">
        <v>310</v>
      </c>
      <c r="H704" s="932" t="str">
        <f>VLOOKUP($C704,Table1[#All],3,0)</f>
        <v>VC3</v>
      </c>
      <c r="I704" s="932" t="str" cm="1">
        <f t="array" ref="I704">_xlfn.XLOOKUP(Acc_Char!$E704,Table4[[#All],[Branch]],Table4[[#All],[Bank]],"recheck",0)</f>
        <v>VIETINBANK - CN6</v>
      </c>
    </row>
    <row r="705" spans="1:9">
      <c r="A705" s="998">
        <f t="shared" si="10"/>
        <v>704</v>
      </c>
      <c r="B705" s="1002" t="s">
        <v>3446</v>
      </c>
      <c r="C705" s="1000" t="s">
        <v>67</v>
      </c>
      <c r="D705" s="932" t="str">
        <f>VLOOKUP($C705,Table1[#All],2,0)</f>
        <v>SAO HOA</v>
      </c>
      <c r="E705" s="932" t="s">
        <v>339</v>
      </c>
      <c r="F705" s="998" t="s">
        <v>80</v>
      </c>
      <c r="G705" s="932" t="s">
        <v>310</v>
      </c>
      <c r="H705" s="932" t="str">
        <f>VLOOKUP($C705,Table1[#All],3,0)</f>
        <v>VC3</v>
      </c>
      <c r="I705" s="932" t="str" cm="1">
        <f t="array" ref="I705">_xlfn.XLOOKUP(Acc_Char!$E705,Table4[[#All],[Branch]],Table4[[#All],[Bank]],"recheck",0)</f>
        <v>ACB - HCM</v>
      </c>
    </row>
    <row r="706" spans="1:9">
      <c r="A706" s="998">
        <f t="shared" si="10"/>
        <v>705</v>
      </c>
      <c r="B706" s="1004" t="s">
        <v>3447</v>
      </c>
      <c r="C706" s="1000" t="s">
        <v>412</v>
      </c>
      <c r="D706" s="932" t="str">
        <f>VLOOKUP($C706,Table1[#All],2,0)</f>
        <v>DELIWAY</v>
      </c>
      <c r="E706" s="932" t="s">
        <v>338</v>
      </c>
      <c r="F706" s="998" t="s">
        <v>80</v>
      </c>
      <c r="G706" s="932" t="s">
        <v>308</v>
      </c>
      <c r="H706" s="932" t="str">
        <f>VLOOKUP($C706,Table1[#All],3,0)</f>
        <v>Subsidiaries</v>
      </c>
      <c r="I706" s="932" t="str" cm="1">
        <f t="array" ref="I706">_xlfn.XLOOKUP(Acc_Char!$E706,Table4[[#All],[Branch]],Table4[[#All],[Bank]],"recheck",0)</f>
        <v>TECHCOMBANK</v>
      </c>
    </row>
    <row r="707" spans="1:9">
      <c r="A707" s="998">
        <f t="shared" ref="A707:A770" si="11">A706+1</f>
        <v>706</v>
      </c>
      <c r="B707" s="1004" t="s">
        <v>3448</v>
      </c>
      <c r="C707" s="1000" t="s">
        <v>412</v>
      </c>
      <c r="D707" s="932" t="str">
        <f>VLOOKUP($C707,Table1[#All],2,0)</f>
        <v>DELIWAY</v>
      </c>
      <c r="E707" s="999" t="s">
        <v>338</v>
      </c>
      <c r="F707" s="998" t="s">
        <v>80</v>
      </c>
      <c r="G707" s="932" t="s">
        <v>310</v>
      </c>
      <c r="H707" s="932" t="str">
        <f>VLOOKUP($C707,Table1[#All],3,0)</f>
        <v>Subsidiaries</v>
      </c>
      <c r="I707" s="932" t="str" cm="1">
        <f t="array" ref="I707">_xlfn.XLOOKUP(Acc_Char!$E707,Table4[[#All],[Branch]],Table4[[#All],[Bank]],"recheck",0)</f>
        <v>TECHCOMBANK</v>
      </c>
    </row>
    <row r="708" spans="1:9">
      <c r="A708" s="998">
        <f t="shared" si="11"/>
        <v>707</v>
      </c>
      <c r="B708" s="1004" t="s">
        <v>3449</v>
      </c>
      <c r="C708" s="1000" t="s">
        <v>3026</v>
      </c>
      <c r="D708" s="932" t="str">
        <f>VLOOKUP($C708,Table1[#All],2,0)</f>
        <v>BW SAI GON</v>
      </c>
      <c r="E708" s="932" t="s">
        <v>98</v>
      </c>
      <c r="F708" s="998" t="s">
        <v>80</v>
      </c>
      <c r="G708" s="932" t="s">
        <v>310</v>
      </c>
      <c r="H708" s="932" t="str">
        <f>VLOOKUP($C708,Table1[#All],3,0)</f>
        <v>Subsidiaries</v>
      </c>
      <c r="I708" s="932" t="str" cm="1">
        <f t="array" ref="I708">_xlfn.XLOOKUP(Acc_Char!$E708,Table4[[#All],[Branch]],Table4[[#All],[Bank]],"recheck",0)</f>
        <v>SINOPAC</v>
      </c>
    </row>
    <row r="709" spans="1:9">
      <c r="A709" s="998">
        <f t="shared" si="11"/>
        <v>708</v>
      </c>
      <c r="B709" s="1004" t="s">
        <v>3450</v>
      </c>
      <c r="C709" s="1000" t="s">
        <v>389</v>
      </c>
      <c r="D709" s="932" t="str">
        <f>VLOOKUP($C709,Table1[#All],2,0)</f>
        <v>BWID BINH DUONG</v>
      </c>
      <c r="E709" s="999" t="s">
        <v>803</v>
      </c>
      <c r="F709" s="998" t="s">
        <v>80</v>
      </c>
      <c r="G709" s="932" t="s">
        <v>310</v>
      </c>
      <c r="H709" s="932" t="str">
        <f>VLOOKUP($C709,Table1[#All],3,0)</f>
        <v>BWID JSC</v>
      </c>
      <c r="I709" s="932" t="str" cm="1">
        <f t="array" ref="I709">_xlfn.XLOOKUP(Acc_Char!$E709,Table4[[#All],[Branch]],Table4[[#All],[Bank]],"recheck",0)</f>
        <v>UOB</v>
      </c>
    </row>
    <row r="710" spans="1:9">
      <c r="A710" s="998">
        <f t="shared" si="11"/>
        <v>709</v>
      </c>
      <c r="B710" s="1004" t="s">
        <v>805</v>
      </c>
      <c r="C710" s="1000" t="s">
        <v>389</v>
      </c>
      <c r="D710" s="932" t="str">
        <f>VLOOKUP($C710,Table1[#All],2,0)</f>
        <v>BWID BINH DUONG</v>
      </c>
      <c r="E710" s="932" t="s">
        <v>341</v>
      </c>
      <c r="F710" s="998" t="s">
        <v>80</v>
      </c>
      <c r="G710" s="932" t="s">
        <v>308</v>
      </c>
      <c r="H710" s="932" t="str">
        <f>VLOOKUP($C710,Table1[#All],3,0)</f>
        <v>BWID JSC</v>
      </c>
      <c r="I710" s="932" t="str" cm="1">
        <f t="array" ref="I710">_xlfn.XLOOKUP(Acc_Char!$E710,Table4[[#All],[Branch]],Table4[[#All],[Bank]],"recheck",0)</f>
        <v>KEB Hana - HCM</v>
      </c>
    </row>
    <row r="711" spans="1:9">
      <c r="A711" s="998">
        <f t="shared" si="11"/>
        <v>710</v>
      </c>
      <c r="B711" s="1098" t="s">
        <v>650</v>
      </c>
      <c r="C711" s="1000" t="s">
        <v>645</v>
      </c>
      <c r="D711" s="932" t="str">
        <f>VLOOKUP($C711,Table1[#All],2,0)</f>
        <v>SPV5B</v>
      </c>
      <c r="E711" s="932" t="s">
        <v>98</v>
      </c>
      <c r="F711" s="998" t="s">
        <v>81</v>
      </c>
      <c r="G711" s="932" t="s">
        <v>309</v>
      </c>
      <c r="H711" s="932" t="str">
        <f>VLOOKUP($C711,Table1[#All],3,0)</f>
        <v>Subsidiaries</v>
      </c>
      <c r="I711" s="932" t="str" cm="1">
        <f t="array" ref="I711">_xlfn.XLOOKUP(Acc_Char!$E416,Table4[[#All],[Branch]],Table4[[#All],[Bank]],"recheck",0)</f>
        <v>UOB</v>
      </c>
    </row>
    <row r="712" spans="1:9">
      <c r="A712" s="998">
        <f t="shared" si="11"/>
        <v>711</v>
      </c>
      <c r="B712" s="1004" t="s">
        <v>3451</v>
      </c>
      <c r="C712" s="1000" t="s">
        <v>67</v>
      </c>
      <c r="D712" s="932" t="str">
        <f>VLOOKUP($C712,Table1[#All],2,0)</f>
        <v>SAO HOA</v>
      </c>
      <c r="E712" s="932" t="s">
        <v>91</v>
      </c>
      <c r="F712" s="998" t="s">
        <v>80</v>
      </c>
      <c r="G712" s="932" t="s">
        <v>310</v>
      </c>
      <c r="H712" s="932" t="str">
        <f>VLOOKUP($C712,Table1[#All],3,0)</f>
        <v>VC3</v>
      </c>
      <c r="I712" s="932" t="str" cm="1">
        <f t="array" ref="I712">_xlfn.XLOOKUP(Acc_Char!$E712,Table4[[#All],[Branch]],Table4[[#All],[Bank]],"recheck",0)</f>
        <v>VIETCOMBANK - HCM</v>
      </c>
    </row>
    <row r="713" spans="1:9">
      <c r="A713" s="998">
        <f t="shared" si="11"/>
        <v>712</v>
      </c>
      <c r="B713" s="1004" t="s">
        <v>807</v>
      </c>
      <c r="C713" s="1000" t="s">
        <v>2974</v>
      </c>
      <c r="D713" s="932" t="str">
        <f>VLOOKUP($C713,Table1[#All],2,0)</f>
        <v>BWID HAI DUONG 3</v>
      </c>
      <c r="E713" s="932" t="s">
        <v>92</v>
      </c>
      <c r="F713" s="998" t="s">
        <v>80</v>
      </c>
      <c r="G713" s="932" t="s">
        <v>310</v>
      </c>
      <c r="H713" s="932" t="str">
        <f>VLOOKUP($C713,Table1[#All],3,0)</f>
        <v>Subsidiaries</v>
      </c>
      <c r="I713" s="932" t="str" cm="1">
        <f t="array" ref="I713">_xlfn.XLOOKUP(Acc_Char!$E713,Table4[[#All],[Branch]],Table4[[#All],[Bank]],"recheck",0)</f>
        <v>BIDV - THANH XUAN</v>
      </c>
    </row>
    <row r="714" spans="1:9">
      <c r="A714" s="998">
        <f t="shared" si="11"/>
        <v>713</v>
      </c>
      <c r="B714" s="1004" t="s">
        <v>3452</v>
      </c>
      <c r="C714" s="1000" t="s">
        <v>2974</v>
      </c>
      <c r="D714" s="932" t="str">
        <f>VLOOKUP($C714,Table1[#All],2,0)</f>
        <v>BWID HAI DUONG 3</v>
      </c>
      <c r="E714" s="932" t="s">
        <v>92</v>
      </c>
      <c r="F714" s="998" t="s">
        <v>80</v>
      </c>
      <c r="G714" s="932" t="s">
        <v>310</v>
      </c>
      <c r="H714" s="932" t="str">
        <f>VLOOKUP($C714,Table1[#All],3,0)</f>
        <v>Subsidiaries</v>
      </c>
      <c r="I714" s="932" t="str" cm="1">
        <f t="array" ref="I714">_xlfn.XLOOKUP(Acc_Char!$E714,Table4[[#All],[Branch]],Table4[[#All],[Bank]],"recheck",0)</f>
        <v>BIDV - THANH XUAN</v>
      </c>
    </row>
    <row r="715" spans="1:9">
      <c r="A715" s="998">
        <f t="shared" si="11"/>
        <v>714</v>
      </c>
      <c r="B715" s="1004" t="s">
        <v>3453</v>
      </c>
      <c r="C715" s="1000" t="s">
        <v>389</v>
      </c>
      <c r="D715" s="932" t="str">
        <f>VLOOKUP($C715,Table1[#All],2,0)</f>
        <v>BWID BINH DUONG</v>
      </c>
      <c r="E715" s="932" t="s">
        <v>153</v>
      </c>
      <c r="F715" s="998" t="s">
        <v>80</v>
      </c>
      <c r="G715" s="932" t="s">
        <v>310</v>
      </c>
      <c r="H715" s="932" t="str">
        <f>VLOOKUP($C715,Table1[#All],3,0)</f>
        <v>BWID JSC</v>
      </c>
      <c r="I715" s="932" t="str" cm="1">
        <f t="array" ref="I715">_xlfn.XLOOKUP(Acc_Char!$E715,Table4[[#All],[Branch]],Table4[[#All],[Bank]],"recheck",0)</f>
        <v>VIETINBANK - BINH DUONG + QM</v>
      </c>
    </row>
    <row r="716" spans="1:9">
      <c r="A716" s="998">
        <f t="shared" si="11"/>
        <v>715</v>
      </c>
      <c r="B716" s="1004" t="s">
        <v>3454</v>
      </c>
      <c r="C716" s="1000" t="s">
        <v>67</v>
      </c>
      <c r="D716" s="932" t="str">
        <f>VLOOKUP($C716,Table1[#All],2,0)</f>
        <v>SAO HOA</v>
      </c>
      <c r="E716" s="932" t="s">
        <v>86</v>
      </c>
      <c r="F716" s="998" t="s">
        <v>80</v>
      </c>
      <c r="G716" s="932" t="s">
        <v>310</v>
      </c>
      <c r="H716" s="932" t="str">
        <f>VLOOKUP($C716,Table1[#All],3,0)</f>
        <v>VC3</v>
      </c>
      <c r="I716" s="932" t="str" cm="1">
        <f t="array" ref="I716">_xlfn.XLOOKUP(Acc_Char!$E716,Table4[[#All],[Branch]],Table4[[#All],[Bank]],"recheck",0)</f>
        <v>VIETINBANK - CN1</v>
      </c>
    </row>
    <row r="717" spans="1:9">
      <c r="A717" s="998">
        <f t="shared" si="11"/>
        <v>716</v>
      </c>
      <c r="B717" s="1004" t="s">
        <v>3455</v>
      </c>
      <c r="C717" s="1000" t="s">
        <v>67</v>
      </c>
      <c r="D717" s="932" t="str">
        <f>VLOOKUP($C717,Table1[#All],2,0)</f>
        <v>SAO HOA</v>
      </c>
      <c r="E717" s="932" t="s">
        <v>86</v>
      </c>
      <c r="F717" s="998" t="s">
        <v>80</v>
      </c>
      <c r="G717" s="932" t="s">
        <v>310</v>
      </c>
      <c r="H717" s="932" t="str">
        <f>VLOOKUP($C717,Table1[#All],3,0)</f>
        <v>VC3</v>
      </c>
      <c r="I717" s="932" t="str" cm="1">
        <f t="array" ref="I717">_xlfn.XLOOKUP(Acc_Char!$E717,Table4[[#All],[Branch]],Table4[[#All],[Bank]],"recheck",0)</f>
        <v>VIETINBANK - CN1</v>
      </c>
    </row>
    <row r="718" spans="1:9">
      <c r="A718" s="998">
        <f t="shared" si="11"/>
        <v>717</v>
      </c>
      <c r="B718" s="1004" t="s">
        <v>3456</v>
      </c>
      <c r="C718" s="1000" t="s">
        <v>2888</v>
      </c>
      <c r="D718" s="932" t="str">
        <f>VLOOKUP($C718,Table1[#All],2,0)</f>
        <v>BWID HAI DUONG</v>
      </c>
      <c r="E718" s="932" t="s">
        <v>85</v>
      </c>
      <c r="F718" s="998" t="s">
        <v>80</v>
      </c>
      <c r="G718" s="932" t="s">
        <v>310</v>
      </c>
      <c r="H718" s="932" t="str">
        <f>VLOOKUP($C718,Table1[#All],3,0)</f>
        <v>Subsidiaries</v>
      </c>
      <c r="I718" s="932" t="str" cm="1">
        <f t="array" ref="I718">_xlfn.XLOOKUP(Acc_Char!$E718,Table4[[#All],[Branch]],Table4[[#All],[Bank]],"recheck",0)</f>
        <v>VIETINBANK - TIEN SON</v>
      </c>
    </row>
    <row r="719" spans="1:9">
      <c r="A719" s="998">
        <f t="shared" si="11"/>
        <v>718</v>
      </c>
      <c r="B719" s="1004" t="s">
        <v>3457</v>
      </c>
      <c r="C719" s="1000" t="s">
        <v>432</v>
      </c>
      <c r="D719" s="932" t="str">
        <f>VLOOKUP($C719,Table1[#All],2,0)</f>
        <v>BWID BAC NINH</v>
      </c>
      <c r="E719" s="932" t="s">
        <v>85</v>
      </c>
      <c r="F719" s="998" t="s">
        <v>80</v>
      </c>
      <c r="G719" s="932" t="s">
        <v>310</v>
      </c>
      <c r="H719" s="932" t="str">
        <f>VLOOKUP($C719,Table1[#All],3,0)</f>
        <v>Subsidiaries</v>
      </c>
      <c r="I719" s="932" t="str" cm="1">
        <f t="array" ref="I719">_xlfn.XLOOKUP(Acc_Char!$E719,Table4[[#All],[Branch]],Table4[[#All],[Bank]],"recheck",0)</f>
        <v>VIETINBANK - TIEN SON</v>
      </c>
    </row>
    <row r="720" spans="1:9">
      <c r="A720" s="998">
        <f t="shared" si="11"/>
        <v>719</v>
      </c>
      <c r="B720" s="1004" t="s">
        <v>3458</v>
      </c>
      <c r="C720" s="1000" t="s">
        <v>432</v>
      </c>
      <c r="D720" s="932" t="str">
        <f>VLOOKUP($C720,Table1[#All],2,0)</f>
        <v>BWID BAC NINH</v>
      </c>
      <c r="E720" s="932" t="s">
        <v>85</v>
      </c>
      <c r="F720" s="998" t="s">
        <v>80</v>
      </c>
      <c r="G720" s="932" t="s">
        <v>310</v>
      </c>
      <c r="H720" s="932" t="str">
        <f>VLOOKUP($C720,Table1[#All],3,0)</f>
        <v>Subsidiaries</v>
      </c>
      <c r="I720" s="932" t="str" cm="1">
        <f t="array" ref="I720">_xlfn.XLOOKUP(Acc_Char!$E720,Table4[[#All],[Branch]],Table4[[#All],[Bank]],"recheck",0)</f>
        <v>VIETINBANK - TIEN SON</v>
      </c>
    </row>
    <row r="721" spans="1:9">
      <c r="A721" s="998">
        <f t="shared" si="11"/>
        <v>720</v>
      </c>
      <c r="B721" s="1004" t="s">
        <v>3459</v>
      </c>
      <c r="C721" s="1000" t="s">
        <v>3237</v>
      </c>
      <c r="D721" s="932" t="str">
        <f>VLOOKUP($C721,Table1[#All],2,0)</f>
        <v>LONG BINH</v>
      </c>
      <c r="E721" s="932" t="s">
        <v>86</v>
      </c>
      <c r="F721" s="998" t="s">
        <v>80</v>
      </c>
      <c r="G721" s="932" t="s">
        <v>310</v>
      </c>
      <c r="H721" s="932" t="str">
        <f>VLOOKUP($C721,Table1[#All],3,0)</f>
        <v>Subsidiaries</v>
      </c>
      <c r="I721" s="932" t="str" cm="1">
        <f t="array" ref="I721">_xlfn.XLOOKUP(Acc_Char!$E721,Table4[[#All],[Branch]],Table4[[#All],[Bank]],"recheck",0)</f>
        <v>VIETINBANK - CN1</v>
      </c>
    </row>
    <row r="722" spans="1:9">
      <c r="A722" s="998">
        <f t="shared" si="11"/>
        <v>721</v>
      </c>
      <c r="B722" s="1004" t="s">
        <v>809</v>
      </c>
      <c r="C722" s="1000" t="s">
        <v>3047</v>
      </c>
      <c r="D722" s="932" t="str">
        <f>VLOOKUP($C722,Table1[#All],2,0)</f>
        <v>BW SAIGON LOGISTICS</v>
      </c>
      <c r="E722" s="932" t="s">
        <v>91</v>
      </c>
      <c r="F722" s="998" t="s">
        <v>80</v>
      </c>
      <c r="G722" s="932" t="s">
        <v>308</v>
      </c>
      <c r="H722" s="932" t="str">
        <f>VLOOKUP($C722,Table1[#All],3,0)</f>
        <v>Subsidiaries</v>
      </c>
      <c r="I722" s="932" t="str" cm="1">
        <f t="array" ref="I722">_xlfn.XLOOKUP(Acc_Char!$E722,Table4[[#All],[Branch]],Table4[[#All],[Bank]],"recheck",0)</f>
        <v>VIETCOMBANK - HCM</v>
      </c>
    </row>
    <row r="723" spans="1:9">
      <c r="A723" s="998">
        <f t="shared" si="11"/>
        <v>722</v>
      </c>
      <c r="B723" s="1004" t="s">
        <v>800</v>
      </c>
      <c r="C723" s="1000" t="s">
        <v>645</v>
      </c>
      <c r="D723" s="932" t="str">
        <f>VLOOKUP($C723,Table1[#All],2,0)</f>
        <v>SPV5B</v>
      </c>
      <c r="E723" s="932" t="s">
        <v>98</v>
      </c>
      <c r="F723" s="998" t="s">
        <v>81</v>
      </c>
      <c r="G723" s="932" t="s">
        <v>309</v>
      </c>
      <c r="H723" s="932" t="str">
        <f>VLOOKUP($C723,Table1[#All],3,0)</f>
        <v>Subsidiaries</v>
      </c>
      <c r="I723" s="932" t="str" cm="1">
        <f t="array" ref="I723">_xlfn.XLOOKUP(Acc_Char!$E688,Table4[[#All],[Branch]],Table4[[#All],[Bank]],"recheck",0)</f>
        <v>SINOPAC</v>
      </c>
    </row>
    <row r="724" spans="1:9">
      <c r="A724" s="998">
        <f t="shared" si="11"/>
        <v>723</v>
      </c>
      <c r="B724" s="1004" t="s">
        <v>3460</v>
      </c>
      <c r="C724" s="1000" t="s">
        <v>389</v>
      </c>
      <c r="D724" s="932" t="str">
        <f>VLOOKUP($C724,Table1[#All],2,0)</f>
        <v>BWID BINH DUONG</v>
      </c>
      <c r="E724" s="932" t="s">
        <v>339</v>
      </c>
      <c r="F724" s="998" t="s">
        <v>80</v>
      </c>
      <c r="G724" s="932" t="s">
        <v>310</v>
      </c>
      <c r="H724" s="932" t="str">
        <f>VLOOKUP($C724,Table1[#All],3,0)</f>
        <v>BWID JSC</v>
      </c>
      <c r="I724" s="932" t="str" cm="1">
        <f t="array" ref="I724">_xlfn.XLOOKUP(Acc_Char!$E724,Table4[[#All],[Branch]],Table4[[#All],[Bank]],"recheck",0)</f>
        <v>ACB - HCM</v>
      </c>
    </row>
    <row r="725" spans="1:9">
      <c r="A725" s="998">
        <f t="shared" si="11"/>
        <v>724</v>
      </c>
      <c r="B725" s="1004" t="s">
        <v>3461</v>
      </c>
      <c r="C725" s="1000" t="s">
        <v>412</v>
      </c>
      <c r="D725" s="932" t="str">
        <f>VLOOKUP($C725,Table1[#All],2,0)</f>
        <v>DELIWAY</v>
      </c>
      <c r="E725" s="932" t="s">
        <v>340</v>
      </c>
      <c r="F725" s="998" t="s">
        <v>80</v>
      </c>
      <c r="G725" s="932" t="s">
        <v>310</v>
      </c>
      <c r="H725" s="932" t="str">
        <f>VLOOKUP($C725,Table1[#All],3,0)</f>
        <v>Subsidiaries</v>
      </c>
      <c r="I725" s="932" t="str" cm="1">
        <f t="array" ref="I725">_xlfn.XLOOKUP(Acc_Char!$E725,Table4[[#All],[Branch]],Table4[[#All],[Bank]],"recheck",0)</f>
        <v>ACB - SAI GON</v>
      </c>
    </row>
    <row r="726" spans="1:9">
      <c r="A726" s="998">
        <f t="shared" si="11"/>
        <v>725</v>
      </c>
      <c r="B726" s="1004" t="s">
        <v>3462</v>
      </c>
      <c r="C726" s="1000" t="s">
        <v>440</v>
      </c>
      <c r="D726" s="932" t="str">
        <f>VLOOKUP($C726,Table1[#All],2,0)</f>
        <v>BW NAM DINH VU</v>
      </c>
      <c r="E726" s="932" t="s">
        <v>94</v>
      </c>
      <c r="F726" s="998" t="s">
        <v>80</v>
      </c>
      <c r="G726" s="932" t="s">
        <v>310</v>
      </c>
      <c r="H726" s="932" t="str">
        <f>VLOOKUP($C726,Table1[#All],3,0)</f>
        <v>Subsidiaries</v>
      </c>
      <c r="I726" s="932" t="str" cm="1">
        <f t="array" ref="I726">_xlfn.XLOOKUP(Acc_Char!$E726,Table4[[#All],[Branch]],Table4[[#All],[Bank]],"recheck",0)</f>
        <v>BIDV - LONG BIEN</v>
      </c>
    </row>
    <row r="727" spans="1:9">
      <c r="A727" s="998">
        <f t="shared" si="11"/>
        <v>726</v>
      </c>
      <c r="B727" s="1002" t="s">
        <v>3463</v>
      </c>
      <c r="C727" s="1003" t="s">
        <v>3175</v>
      </c>
      <c r="D727" s="932" t="str">
        <f>VLOOKUP($C727,Table1[#All],2,0)</f>
        <v>BW HAI AN</v>
      </c>
      <c r="E727" s="932" t="s">
        <v>92</v>
      </c>
      <c r="F727" s="998" t="s">
        <v>80</v>
      </c>
      <c r="G727" s="932" t="s">
        <v>310</v>
      </c>
      <c r="H727" s="932" t="str">
        <f>VLOOKUP($C727,Table1[#All],3,0)</f>
        <v>Subsidiaries</v>
      </c>
      <c r="I727" s="932" t="str" cm="1">
        <f t="array" ref="I727">_xlfn.XLOOKUP(Acc_Char!$E727,Table4[[#All],[Branch]],Table4[[#All],[Bank]],"recheck",0)</f>
        <v>BIDV - THANH XUAN</v>
      </c>
    </row>
    <row r="728" spans="1:9">
      <c r="A728" s="998">
        <f t="shared" si="11"/>
        <v>727</v>
      </c>
      <c r="B728" s="1004" t="s">
        <v>811</v>
      </c>
      <c r="C728" s="1000" t="s">
        <v>3268</v>
      </c>
      <c r="D728" s="932" t="str">
        <f>VLOOKUP($C728,Table1[#All],2,0)</f>
        <v>BW DONG HAI</v>
      </c>
      <c r="E728" s="932" t="s">
        <v>92</v>
      </c>
      <c r="F728" s="998" t="s">
        <v>80</v>
      </c>
      <c r="G728" s="932" t="s">
        <v>310</v>
      </c>
      <c r="H728" s="932" t="str">
        <f>VLOOKUP($C728,Table1[#All],3,0)</f>
        <v>Subsidiaries</v>
      </c>
      <c r="I728" s="932" t="str" cm="1">
        <f t="array" ref="I728">_xlfn.XLOOKUP(Acc_Char!$E728,Table4[[#All],[Branch]],Table4[[#All],[Bank]],"recheck",0)</f>
        <v>BIDV - THANH XUAN</v>
      </c>
    </row>
    <row r="729" spans="1:9">
      <c r="A729" s="998">
        <f t="shared" si="11"/>
        <v>728</v>
      </c>
      <c r="B729" s="1004" t="s">
        <v>3464</v>
      </c>
      <c r="C729" s="1000" t="s">
        <v>2974</v>
      </c>
      <c r="D729" s="932" t="str">
        <f>VLOOKUP($C729,Table1[#All],2,0)</f>
        <v>BWID HAI DUONG 3</v>
      </c>
      <c r="E729" s="932" t="s">
        <v>92</v>
      </c>
      <c r="F729" s="998" t="s">
        <v>80</v>
      </c>
      <c r="G729" s="932" t="s">
        <v>310</v>
      </c>
      <c r="H729" s="932" t="str">
        <f>VLOOKUP($C729,Table1[#All],3,0)</f>
        <v>Subsidiaries</v>
      </c>
      <c r="I729" s="932" t="str" cm="1">
        <f t="array" ref="I729">_xlfn.XLOOKUP(Acc_Char!$E729,Table4[[#All],[Branch]],Table4[[#All],[Bank]],"recheck",0)</f>
        <v>BIDV - THANH XUAN</v>
      </c>
    </row>
    <row r="730" spans="1:9">
      <c r="A730" s="998">
        <f t="shared" si="11"/>
        <v>729</v>
      </c>
      <c r="B730" s="1004" t="s">
        <v>3465</v>
      </c>
      <c r="C730" s="1000" t="s">
        <v>389</v>
      </c>
      <c r="D730" s="932" t="str">
        <f>VLOOKUP($C730,Table1[#All],2,0)</f>
        <v>BWID BINH DUONG</v>
      </c>
      <c r="E730" s="932" t="s">
        <v>92</v>
      </c>
      <c r="F730" s="998" t="s">
        <v>80</v>
      </c>
      <c r="G730" s="932" t="s">
        <v>310</v>
      </c>
      <c r="H730" s="932" t="str">
        <f>VLOOKUP($C730,Table1[#All],3,0)</f>
        <v>BWID JSC</v>
      </c>
      <c r="I730" s="932" t="str" cm="1">
        <f t="array" ref="I730">_xlfn.XLOOKUP(Acc_Char!$E730,Table4[[#All],[Branch]],Table4[[#All],[Bank]],"recheck",0)</f>
        <v>BIDV - THANH XUAN</v>
      </c>
    </row>
    <row r="731" spans="1:9">
      <c r="A731" s="998">
        <f t="shared" si="11"/>
        <v>730</v>
      </c>
      <c r="B731" s="1004" t="s">
        <v>812</v>
      </c>
      <c r="C731" s="1000" t="s">
        <v>3252</v>
      </c>
      <c r="D731" s="932" t="str">
        <f>VLOOKUP($C731,Table1[#All],2,0)</f>
        <v>HOLDCO4K</v>
      </c>
      <c r="E731" s="932" t="s">
        <v>92</v>
      </c>
      <c r="F731" s="998" t="s">
        <v>80</v>
      </c>
      <c r="G731" s="932" t="s">
        <v>310</v>
      </c>
      <c r="H731" s="932" t="str">
        <f>VLOOKUP($C731,Table1[#All],3,0)</f>
        <v>Subsidiaries</v>
      </c>
      <c r="I731" s="932" t="str" cm="1">
        <f t="array" ref="I731">_xlfn.XLOOKUP(Acc_Char!$E731,Table4[[#All],[Branch]],Table4[[#All],[Bank]],"recheck",0)</f>
        <v>BIDV - THANH XUAN</v>
      </c>
    </row>
    <row r="732" spans="1:9">
      <c r="A732" s="998">
        <f t="shared" si="11"/>
        <v>731</v>
      </c>
      <c r="B732" s="1004" t="s">
        <v>3466</v>
      </c>
      <c r="C732" s="1000" t="s">
        <v>3253</v>
      </c>
      <c r="D732" s="932" t="str">
        <f>VLOOKUP($C732,Table1[#All],2,0)</f>
        <v>HOLDCO4L</v>
      </c>
      <c r="E732" s="932" t="s">
        <v>92</v>
      </c>
      <c r="F732" s="998" t="s">
        <v>80</v>
      </c>
      <c r="G732" s="932" t="s">
        <v>310</v>
      </c>
      <c r="H732" s="932" t="str">
        <f>VLOOKUP($C732,Table1[#All],3,0)</f>
        <v>Subsidiaries</v>
      </c>
      <c r="I732" s="932" t="str" cm="1">
        <f t="array" ref="I732">_xlfn.XLOOKUP(Acc_Char!$E732,Table4[[#All],[Branch]],Table4[[#All],[Bank]],"recheck",0)</f>
        <v>BIDV - THANH XUAN</v>
      </c>
    </row>
    <row r="733" spans="1:9">
      <c r="A733" s="998">
        <f t="shared" si="11"/>
        <v>732</v>
      </c>
      <c r="B733" s="1004" t="s">
        <v>813</v>
      </c>
      <c r="C733" s="1000" t="s">
        <v>3254</v>
      </c>
      <c r="D733" s="932" t="str">
        <f>VLOOKUP($C733,Table1[#All],2,0)</f>
        <v>HOLDCO4M</v>
      </c>
      <c r="E733" s="932" t="s">
        <v>92</v>
      </c>
      <c r="F733" s="998" t="s">
        <v>80</v>
      </c>
      <c r="G733" s="932" t="s">
        <v>310</v>
      </c>
      <c r="H733" s="932" t="str">
        <f>VLOOKUP($C733,Table1[#All],3,0)</f>
        <v>Subsidiaries</v>
      </c>
      <c r="I733" s="932" t="str" cm="1">
        <f t="array" ref="I733">_xlfn.XLOOKUP(Acc_Char!$E733,Table4[[#All],[Branch]],Table4[[#All],[Bank]],"recheck",0)</f>
        <v>BIDV - THANH XUAN</v>
      </c>
    </row>
    <row r="734" spans="1:9">
      <c r="A734" s="998">
        <f t="shared" si="11"/>
        <v>733</v>
      </c>
      <c r="B734" s="1004" t="s">
        <v>814</v>
      </c>
      <c r="C734" s="1000" t="s">
        <v>3255</v>
      </c>
      <c r="D734" s="932" t="str">
        <f>VLOOKUP($C734,Table1[#All],2,0)</f>
        <v>HOLDCO4N</v>
      </c>
      <c r="E734" s="932" t="s">
        <v>726</v>
      </c>
      <c r="F734" s="998" t="s">
        <v>80</v>
      </c>
      <c r="G734" s="932" t="s">
        <v>310</v>
      </c>
      <c r="H734" s="932" t="str">
        <f>VLOOKUP($C734,Table1[#All],3,0)</f>
        <v>Subsidiaries</v>
      </c>
      <c r="I734" s="932" t="str" cm="1">
        <f t="array" ref="I734">_xlfn.XLOOKUP(Acc_Char!$E734,Table4[[#All],[Branch]],Table4[[#All],[Bank]],"recheck",0)</f>
        <v>OTHERS</v>
      </c>
    </row>
    <row r="735" spans="1:9">
      <c r="A735" s="998">
        <f t="shared" si="11"/>
        <v>734</v>
      </c>
      <c r="B735" s="1004" t="s">
        <v>815</v>
      </c>
      <c r="C735" s="1000" t="s">
        <v>3256</v>
      </c>
      <c r="D735" s="932" t="str">
        <f>VLOOKUP($C735,Table1[#All],2,0)</f>
        <v>HOLDCO4O</v>
      </c>
      <c r="E735" s="932" t="s">
        <v>726</v>
      </c>
      <c r="F735" s="998" t="s">
        <v>80</v>
      </c>
      <c r="G735" s="932" t="s">
        <v>310</v>
      </c>
      <c r="H735" s="932" t="str">
        <f>VLOOKUP($C735,Table1[#All],3,0)</f>
        <v>Subsidiaries</v>
      </c>
      <c r="I735" s="932" t="str" cm="1">
        <f t="array" ref="I735">_xlfn.XLOOKUP(Acc_Char!$E735,Table4[[#All],[Branch]],Table4[[#All],[Bank]],"recheck",0)</f>
        <v>OTHERS</v>
      </c>
    </row>
    <row r="736" spans="1:9">
      <c r="A736" s="998">
        <f t="shared" si="11"/>
        <v>735</v>
      </c>
      <c r="B736" s="1004" t="s">
        <v>816</v>
      </c>
      <c r="C736" s="1000" t="s">
        <v>3257</v>
      </c>
      <c r="D736" s="932" t="str">
        <f>VLOOKUP($C736,Table1[#All],2,0)</f>
        <v>HOLDCO4P</v>
      </c>
      <c r="E736" s="932" t="s">
        <v>726</v>
      </c>
      <c r="F736" s="998" t="s">
        <v>80</v>
      </c>
      <c r="G736" s="932" t="s">
        <v>310</v>
      </c>
      <c r="H736" s="932" t="str">
        <f>VLOOKUP($C736,Table1[#All],3,0)</f>
        <v>Subsidiaries</v>
      </c>
      <c r="I736" s="932" t="str" cm="1">
        <f t="array" ref="I736">_xlfn.XLOOKUP(Acc_Char!$E736,Table4[[#All],[Branch]],Table4[[#All],[Bank]],"recheck",0)</f>
        <v>OTHERS</v>
      </c>
    </row>
    <row r="737" spans="1:9">
      <c r="A737" s="998">
        <f t="shared" si="11"/>
        <v>736</v>
      </c>
      <c r="B737" s="1004" t="s">
        <v>817</v>
      </c>
      <c r="C737" s="1000" t="s">
        <v>3258</v>
      </c>
      <c r="D737" s="932" t="str">
        <f>VLOOKUP($C737,Table1[#All],2,0)</f>
        <v>HOLDCO5K</v>
      </c>
      <c r="E737" s="932" t="s">
        <v>92</v>
      </c>
      <c r="F737" s="998" t="s">
        <v>80</v>
      </c>
      <c r="G737" s="932" t="s">
        <v>310</v>
      </c>
      <c r="H737" s="932" t="str">
        <f>VLOOKUP($C737,Table1[#All],3,0)</f>
        <v>Subsidiaries</v>
      </c>
      <c r="I737" s="932" t="str" cm="1">
        <f t="array" ref="I737">_xlfn.XLOOKUP(Acc_Char!$E737,Table4[[#All],[Branch]],Table4[[#All],[Bank]],"recheck",0)</f>
        <v>BIDV - THANH XUAN</v>
      </c>
    </row>
    <row r="738" spans="1:9">
      <c r="A738" s="998">
        <f t="shared" si="11"/>
        <v>737</v>
      </c>
      <c r="B738" s="1004" t="s">
        <v>3467</v>
      </c>
      <c r="C738" s="1000" t="s">
        <v>3259</v>
      </c>
      <c r="D738" s="932" t="str">
        <f>VLOOKUP($C738,Table1[#All],2,0)</f>
        <v>HOLDCO5L</v>
      </c>
      <c r="E738" s="932" t="s">
        <v>92</v>
      </c>
      <c r="F738" s="998" t="s">
        <v>80</v>
      </c>
      <c r="G738" s="932" t="s">
        <v>310</v>
      </c>
      <c r="H738" s="932" t="str">
        <f>VLOOKUP($C738,Table1[#All],3,0)</f>
        <v>Subsidiaries</v>
      </c>
      <c r="I738" s="932" t="str" cm="1">
        <f t="array" ref="I738">_xlfn.XLOOKUP(Acc_Char!$E738,Table4[[#All],[Branch]],Table4[[#All],[Bank]],"recheck",0)</f>
        <v>BIDV - THANH XUAN</v>
      </c>
    </row>
    <row r="739" spans="1:9">
      <c r="A739" s="998">
        <f t="shared" si="11"/>
        <v>738</v>
      </c>
      <c r="B739" s="1004" t="s">
        <v>818</v>
      </c>
      <c r="C739" s="1000" t="s">
        <v>3260</v>
      </c>
      <c r="D739" s="932" t="str">
        <f>VLOOKUP($C739,Table1[#All],2,0)</f>
        <v>HOLDCO5M</v>
      </c>
      <c r="E739" s="932" t="s">
        <v>92</v>
      </c>
      <c r="F739" s="998" t="s">
        <v>80</v>
      </c>
      <c r="G739" s="932" t="s">
        <v>310</v>
      </c>
      <c r="H739" s="932" t="str">
        <f>VLOOKUP($C739,Table1[#All],3,0)</f>
        <v>Subsidiaries</v>
      </c>
      <c r="I739" s="932" t="str" cm="1">
        <f t="array" ref="I739">_xlfn.XLOOKUP(Acc_Char!$E739,Table4[[#All],[Branch]],Table4[[#All],[Bank]],"recheck",0)</f>
        <v>BIDV - THANH XUAN</v>
      </c>
    </row>
    <row r="740" spans="1:9">
      <c r="A740" s="998">
        <f t="shared" si="11"/>
        <v>739</v>
      </c>
      <c r="B740" s="1004" t="s">
        <v>3468</v>
      </c>
      <c r="C740" s="1000" t="s">
        <v>3052</v>
      </c>
      <c r="D740" s="932" t="str">
        <f>VLOOKUP($C740,Table1[#All],2,0)</f>
        <v>GREAT KINGDOM NT 2</v>
      </c>
      <c r="E740" s="932" t="s">
        <v>86</v>
      </c>
      <c r="F740" s="998" t="s">
        <v>80</v>
      </c>
      <c r="G740" s="932" t="s">
        <v>310</v>
      </c>
      <c r="H740" s="932" t="str">
        <f>VLOOKUP($C740,Table1[#All],3,0)</f>
        <v>Subsidiaries</v>
      </c>
      <c r="I740" s="932" t="str" cm="1">
        <f t="array" ref="I740">_xlfn.XLOOKUP(Acc_Char!$E740,Table4[[#All],[Branch]],Table4[[#All],[Bank]],"recheck",0)</f>
        <v>VIETINBANK - CN1</v>
      </c>
    </row>
    <row r="741" spans="1:9">
      <c r="A741" s="998">
        <f t="shared" si="11"/>
        <v>740</v>
      </c>
      <c r="B741" s="1004" t="s">
        <v>3469</v>
      </c>
      <c r="C741" s="1000" t="s">
        <v>3160</v>
      </c>
      <c r="D741" s="932" t="str">
        <f>VLOOKUP($C741,Table1[#All],2,0)</f>
        <v>BWID Tan Phu Trung</v>
      </c>
      <c r="E741" s="932" t="s">
        <v>85</v>
      </c>
      <c r="F741" s="998" t="s">
        <v>80</v>
      </c>
      <c r="G741" s="932" t="s">
        <v>310</v>
      </c>
      <c r="H741" s="932" t="str">
        <f>VLOOKUP($C741,Table1[#All],3,0)</f>
        <v>Subsidiaries</v>
      </c>
      <c r="I741" s="932" t="str" cm="1">
        <f t="array" ref="I741">_xlfn.XLOOKUP(Acc_Char!$E741,Table4[[#All],[Branch]],Table4[[#All],[Bank]],"recheck",0)</f>
        <v>VIETINBANK - TIEN SON</v>
      </c>
    </row>
    <row r="742" spans="1:9">
      <c r="A742" s="998">
        <f t="shared" si="11"/>
        <v>741</v>
      </c>
      <c r="B742" s="1004" t="s">
        <v>3470</v>
      </c>
      <c r="C742" s="1000" t="s">
        <v>389</v>
      </c>
      <c r="D742" s="932" t="str">
        <f>VLOOKUP($C742,Table1[#All],2,0)</f>
        <v>BWID BINH DUONG</v>
      </c>
      <c r="E742" s="932" t="s">
        <v>85</v>
      </c>
      <c r="F742" s="998" t="s">
        <v>80</v>
      </c>
      <c r="G742" s="932" t="s">
        <v>310</v>
      </c>
      <c r="H742" s="932" t="str">
        <f>VLOOKUP($C742,Table1[#All],3,0)</f>
        <v>BWID JSC</v>
      </c>
      <c r="I742" s="932" t="str" cm="1">
        <f t="array" ref="I742">_xlfn.XLOOKUP(Acc_Char!$E742,Table4[[#All],[Branch]],Table4[[#All],[Bank]],"recheck",0)</f>
        <v>VIETINBANK - TIEN SON</v>
      </c>
    </row>
    <row r="743" spans="1:9">
      <c r="A743" s="998">
        <f t="shared" si="11"/>
        <v>742</v>
      </c>
      <c r="B743" s="1002" t="s">
        <v>3471</v>
      </c>
      <c r="C743" s="1000" t="s">
        <v>3093</v>
      </c>
      <c r="D743" s="932" t="str">
        <f>VLOOKUP($C743,Table1[#All],2,0)</f>
        <v>SONGTHAN LID</v>
      </c>
      <c r="E743" s="932" t="s">
        <v>88</v>
      </c>
      <c r="F743" s="998" t="s">
        <v>80</v>
      </c>
      <c r="G743" s="932" t="s">
        <v>310</v>
      </c>
      <c r="H743" s="932" t="str">
        <f>VLOOKUP($C743,Table1[#All],3,0)</f>
        <v>Subsidiaries</v>
      </c>
      <c r="I743" s="932" t="str" cm="1">
        <f t="array" ref="I743">_xlfn.XLOOKUP(Acc_Char!$E743,Table4[[#All],[Branch]],Table4[[#All],[Bank]],"recheck",0)</f>
        <v>VIETINBANK - DONG SAI GON</v>
      </c>
    </row>
    <row r="744" spans="1:9">
      <c r="A744" s="998">
        <f t="shared" si="11"/>
        <v>743</v>
      </c>
      <c r="B744" s="1004" t="s">
        <v>3472</v>
      </c>
      <c r="C744" s="1000" t="s">
        <v>3093</v>
      </c>
      <c r="D744" s="932" t="str">
        <f>VLOOKUP($C744,Table1[#All],2,0)</f>
        <v>SONGTHAN LID</v>
      </c>
      <c r="E744" s="932" t="s">
        <v>88</v>
      </c>
      <c r="F744" s="998" t="s">
        <v>80</v>
      </c>
      <c r="G744" s="932" t="s">
        <v>310</v>
      </c>
      <c r="H744" s="932" t="str">
        <f>VLOOKUP($C744,Table1[#All],3,0)</f>
        <v>Subsidiaries</v>
      </c>
      <c r="I744" s="932" t="str" cm="1">
        <f t="array" ref="I744">_xlfn.XLOOKUP(Acc_Char!$E744,Table4[[#All],[Branch]],Table4[[#All],[Bank]],"recheck",0)</f>
        <v>VIETINBANK - DONG SAI GON</v>
      </c>
    </row>
    <row r="745" spans="1:9">
      <c r="A745" s="998">
        <f t="shared" si="11"/>
        <v>744</v>
      </c>
      <c r="B745" s="1004" t="s">
        <v>3473</v>
      </c>
      <c r="C745" s="1000" t="s">
        <v>2968</v>
      </c>
      <c r="D745" s="932" t="str">
        <f>VLOOKUP($C745,Table1[#All],2,0)</f>
        <v>BCI JSC</v>
      </c>
      <c r="E745" s="932" t="s">
        <v>85</v>
      </c>
      <c r="F745" s="998" t="s">
        <v>80</v>
      </c>
      <c r="G745" s="932" t="s">
        <v>310</v>
      </c>
      <c r="H745" s="932" t="str">
        <f>VLOOKUP($C745,Table1[#All],3,0)</f>
        <v>Subsidiaries</v>
      </c>
      <c r="I745" s="932" t="str" cm="1">
        <f t="array" ref="I745">_xlfn.XLOOKUP(Acc_Char!$E745,Table4[[#All],[Branch]],Table4[[#All],[Bank]],"recheck",0)</f>
        <v>VIETINBANK - TIEN SON</v>
      </c>
    </row>
    <row r="746" spans="1:9">
      <c r="A746" s="998">
        <f t="shared" si="11"/>
        <v>745</v>
      </c>
      <c r="B746" s="1004" t="s">
        <v>3474</v>
      </c>
      <c r="C746" s="1000" t="s">
        <v>389</v>
      </c>
      <c r="D746" s="932" t="str">
        <f>VLOOKUP($C746,Table1[#All],2,0)</f>
        <v>BWID BINH DUONG</v>
      </c>
      <c r="E746" s="932" t="s">
        <v>153</v>
      </c>
      <c r="F746" s="998" t="s">
        <v>80</v>
      </c>
      <c r="G746" s="932" t="s">
        <v>310</v>
      </c>
      <c r="H746" s="932" t="str">
        <f>VLOOKUP($C746,Table1[#All],3,0)</f>
        <v>BWID JSC</v>
      </c>
      <c r="I746" s="932" t="str" cm="1">
        <f t="array" ref="I746">_xlfn.XLOOKUP(Acc_Char!$E746,Table4[[#All],[Branch]],Table4[[#All],[Bank]],"recheck",0)</f>
        <v>VIETINBANK - BINH DUONG + QM</v>
      </c>
    </row>
    <row r="747" spans="1:9">
      <c r="A747" s="998">
        <f t="shared" si="11"/>
        <v>746</v>
      </c>
      <c r="B747" s="1005" t="s">
        <v>3475</v>
      </c>
      <c r="C747" s="1003" t="s">
        <v>389</v>
      </c>
      <c r="D747" s="932" t="str">
        <f>VLOOKUP($C747,Table1[#All],2,0)</f>
        <v>BWID BINH DUONG</v>
      </c>
      <c r="E747" s="932" t="s">
        <v>153</v>
      </c>
      <c r="F747" s="998" t="s">
        <v>80</v>
      </c>
      <c r="G747" s="932" t="s">
        <v>310</v>
      </c>
      <c r="H747" s="932" t="str">
        <f>VLOOKUP($C747,Table1[#All],3,0)</f>
        <v>BWID JSC</v>
      </c>
      <c r="I747" s="932" t="str" cm="1">
        <f t="array" ref="I747">_xlfn.XLOOKUP(Acc_Char!$E747,Table4[[#All],[Branch]],Table4[[#All],[Bank]],"recheck",0)</f>
        <v>VIETINBANK - BINH DUONG + QM</v>
      </c>
    </row>
    <row r="748" spans="1:9">
      <c r="A748" s="998">
        <f t="shared" si="11"/>
        <v>747</v>
      </c>
      <c r="B748" s="1004" t="s">
        <v>3476</v>
      </c>
      <c r="C748" s="1000" t="s">
        <v>389</v>
      </c>
      <c r="D748" s="932" t="str">
        <f>VLOOKUP($C748,Table1[#All],2,0)</f>
        <v>BWID BINH DUONG</v>
      </c>
      <c r="E748" s="932" t="s">
        <v>153</v>
      </c>
      <c r="F748" s="998" t="s">
        <v>80</v>
      </c>
      <c r="G748" s="932" t="s">
        <v>310</v>
      </c>
      <c r="H748" s="932" t="str">
        <f>VLOOKUP($C748,Table1[#All],3,0)</f>
        <v>BWID JSC</v>
      </c>
      <c r="I748" s="932" t="str" cm="1">
        <f t="array" ref="I748">_xlfn.XLOOKUP(Acc_Char!$E748,Table4[[#All],[Branch]],Table4[[#All],[Bank]],"recheck",0)</f>
        <v>VIETINBANK - BINH DUONG + QM</v>
      </c>
    </row>
    <row r="749" spans="1:9">
      <c r="A749" s="998">
        <f t="shared" si="11"/>
        <v>748</v>
      </c>
      <c r="B749" s="1004" t="s">
        <v>3477</v>
      </c>
      <c r="C749" s="1000" t="s">
        <v>436</v>
      </c>
      <c r="D749" s="932" t="str">
        <f>VLOOKUP($C749,Table1[#All],2,0)</f>
        <v>BW NAM HAI</v>
      </c>
      <c r="E749" s="999" t="s">
        <v>89</v>
      </c>
      <c r="F749" s="998" t="s">
        <v>80</v>
      </c>
      <c r="G749" s="932" t="s">
        <v>310</v>
      </c>
      <c r="H749" s="932" t="str">
        <f>VLOOKUP($C749,Table1[#All],3,0)</f>
        <v>Subsidiaries</v>
      </c>
      <c r="I749" s="932" t="str" cm="1">
        <f t="array" ref="I749">_xlfn.XLOOKUP(Acc_Char!$E749,Table4[[#All],[Branch]],Table4[[#All],[Bank]],"recheck",0)</f>
        <v>VIETCOMBANK - BA DINH</v>
      </c>
    </row>
    <row r="750" spans="1:9">
      <c r="A750" s="998">
        <f t="shared" si="11"/>
        <v>749</v>
      </c>
      <c r="B750" s="1004" t="s">
        <v>3478</v>
      </c>
      <c r="C750" s="1000" t="s">
        <v>436</v>
      </c>
      <c r="D750" s="932" t="str">
        <f>VLOOKUP($C750,Table1[#All],2,0)</f>
        <v>BW NAM HAI</v>
      </c>
      <c r="E750" s="932" t="s">
        <v>89</v>
      </c>
      <c r="F750" s="998" t="s">
        <v>80</v>
      </c>
      <c r="G750" s="932" t="s">
        <v>310</v>
      </c>
      <c r="H750" s="932" t="str">
        <f>VLOOKUP($C750,Table1[#All],3,0)</f>
        <v>Subsidiaries</v>
      </c>
      <c r="I750" s="932" t="str" cm="1">
        <f t="array" ref="I750">_xlfn.XLOOKUP(Acc_Char!$E750,Table4[[#All],[Branch]],Table4[[#All],[Bank]],"recheck",0)</f>
        <v>VIETCOMBANK - BA DINH</v>
      </c>
    </row>
    <row r="751" spans="1:9">
      <c r="A751" s="998">
        <f t="shared" si="11"/>
        <v>750</v>
      </c>
      <c r="B751" s="1002" t="s">
        <v>3479</v>
      </c>
      <c r="C751" s="1003" t="s">
        <v>389</v>
      </c>
      <c r="D751" s="932" t="str">
        <f>VLOOKUP($C751,Table1[#All],2,0)</f>
        <v>BWID BINH DUONG</v>
      </c>
      <c r="E751" s="932" t="s">
        <v>338</v>
      </c>
      <c r="F751" s="998" t="s">
        <v>80</v>
      </c>
      <c r="G751" s="932" t="s">
        <v>310</v>
      </c>
      <c r="H751" s="932" t="str">
        <f>VLOOKUP($C751,Table1[#All],3,0)</f>
        <v>BWID JSC</v>
      </c>
      <c r="I751" s="932" t="str" cm="1">
        <f t="array" ref="I751">_xlfn.XLOOKUP(Acc_Char!$E751,Table4[[#All],[Branch]],Table4[[#All],[Bank]],"recheck",0)</f>
        <v>TECHCOMBANK</v>
      </c>
    </row>
    <row r="752" spans="1:9">
      <c r="A752" s="998">
        <f t="shared" si="11"/>
        <v>751</v>
      </c>
      <c r="B752" s="1004" t="s">
        <v>819</v>
      </c>
      <c r="C752" s="1000" t="s">
        <v>3086</v>
      </c>
      <c r="D752" s="932" t="str">
        <f>VLOOKUP($C752,Table1[#All],2,0)</f>
        <v>BW THU DAU MOT</v>
      </c>
      <c r="E752" s="932" t="s">
        <v>85</v>
      </c>
      <c r="F752" s="998" t="s">
        <v>80</v>
      </c>
      <c r="G752" s="932" t="s">
        <v>310</v>
      </c>
      <c r="H752" s="932" t="str">
        <f>VLOOKUP($C752,Table1[#All],3,0)</f>
        <v>Subsidiaries</v>
      </c>
      <c r="I752" s="932" t="str" cm="1">
        <f t="array" ref="I752">_xlfn.XLOOKUP(Acc_Char!$E752,Table4[[#All],[Branch]],Table4[[#All],[Bank]],"recheck",0)</f>
        <v>VIETINBANK - TIEN SON</v>
      </c>
    </row>
    <row r="753" spans="1:9">
      <c r="A753" s="998">
        <f t="shared" si="11"/>
        <v>752</v>
      </c>
      <c r="B753" s="1004" t="s">
        <v>3480</v>
      </c>
      <c r="C753" s="1000" t="s">
        <v>3085</v>
      </c>
      <c r="D753" s="932" t="str">
        <f>VLOOKUP($C753,Table1[#All],2,0)</f>
        <v>IRE CONSULTANCY &amp; MANAGEMENT</v>
      </c>
      <c r="E753" s="932" t="s">
        <v>85</v>
      </c>
      <c r="F753" s="998" t="s">
        <v>80</v>
      </c>
      <c r="G753" s="932" t="s">
        <v>310</v>
      </c>
      <c r="H753" s="932" t="str">
        <f>VLOOKUP($C753,Table1[#All],3,0)</f>
        <v>Subsidiaries</v>
      </c>
      <c r="I753" s="932" t="str" cm="1">
        <f t="array" ref="I753">_xlfn.XLOOKUP(Acc_Char!$E753,Table4[[#All],[Branch]],Table4[[#All],[Bank]],"recheck",0)</f>
        <v>VIETINBANK - TIEN SON</v>
      </c>
    </row>
    <row r="754" spans="1:9">
      <c r="A754" s="998">
        <f t="shared" si="11"/>
        <v>753</v>
      </c>
      <c r="B754" s="1004" t="s">
        <v>820</v>
      </c>
      <c r="C754" s="1000" t="s">
        <v>3079</v>
      </c>
      <c r="D754" s="932" t="str">
        <f>VLOOKUP($C754,Table1[#All],2,0)</f>
        <v>SG LOGISTICS</v>
      </c>
      <c r="E754" s="932" t="s">
        <v>85</v>
      </c>
      <c r="F754" s="998" t="s">
        <v>80</v>
      </c>
      <c r="G754" s="932" t="s">
        <v>310</v>
      </c>
      <c r="H754" s="932" t="str">
        <f>VLOOKUP($C754,Table1[#All],3,0)</f>
        <v>Subsidiaries</v>
      </c>
      <c r="I754" s="932" t="str" cm="1">
        <f t="array" ref="I754">_xlfn.XLOOKUP(Acc_Char!$E754,Table4[[#All],[Branch]],Table4[[#All],[Bank]],"recheck",0)</f>
        <v>VIETINBANK - TIEN SON</v>
      </c>
    </row>
    <row r="755" spans="1:9">
      <c r="A755" s="998">
        <f t="shared" si="11"/>
        <v>754</v>
      </c>
      <c r="B755" s="1004" t="s">
        <v>821</v>
      </c>
      <c r="C755" s="1000" t="s">
        <v>2964</v>
      </c>
      <c r="D755" s="932" t="str">
        <f>VLOOKUP($C755,Table1[#All],2,0)</f>
        <v>GIA TAN</v>
      </c>
      <c r="E755" s="932" t="s">
        <v>85</v>
      </c>
      <c r="F755" s="998" t="s">
        <v>80</v>
      </c>
      <c r="G755" s="932" t="s">
        <v>310</v>
      </c>
      <c r="H755" s="932" t="str">
        <f>VLOOKUP($C755,Table1[#All],3,0)</f>
        <v>Subsidiaries</v>
      </c>
      <c r="I755" s="932" t="str" cm="1">
        <f t="array" ref="I755">_xlfn.XLOOKUP(Acc_Char!$E755,Table4[[#All],[Branch]],Table4[[#All],[Bank]],"recheck",0)</f>
        <v>VIETINBANK - TIEN SON</v>
      </c>
    </row>
    <row r="756" spans="1:9">
      <c r="A756" s="998">
        <f t="shared" si="11"/>
        <v>755</v>
      </c>
      <c r="B756" s="1004" t="s">
        <v>822</v>
      </c>
      <c r="C756" s="1000" t="s">
        <v>624</v>
      </c>
      <c r="D756" s="932" t="str">
        <f>VLOOKUP($C756,Table1[#All],2,0)</f>
        <v>SPV4B</v>
      </c>
      <c r="E756" s="932" t="s">
        <v>85</v>
      </c>
      <c r="F756" s="998" t="s">
        <v>80</v>
      </c>
      <c r="G756" s="932" t="s">
        <v>310</v>
      </c>
      <c r="H756" s="932" t="str">
        <f>VLOOKUP($C756,Table1[#All],3,0)</f>
        <v>Subsidiaries</v>
      </c>
      <c r="I756" s="932" t="str" cm="1">
        <f t="array" ref="I756">_xlfn.XLOOKUP(Acc_Char!$E756,Table4[[#All],[Branch]],Table4[[#All],[Bank]],"recheck",0)</f>
        <v>VIETINBANK - TIEN SON</v>
      </c>
    </row>
    <row r="757" spans="1:9">
      <c r="A757" s="998">
        <f t="shared" si="11"/>
        <v>756</v>
      </c>
      <c r="B757" s="1004" t="s">
        <v>823</v>
      </c>
      <c r="C757" s="1000" t="s">
        <v>626</v>
      </c>
      <c r="D757" s="932" t="str">
        <f>VLOOKUP($C757,Table1[#All],2,0)</f>
        <v>SPV4C</v>
      </c>
      <c r="E757" s="932" t="s">
        <v>85</v>
      </c>
      <c r="F757" s="998" t="s">
        <v>80</v>
      </c>
      <c r="G757" s="932" t="s">
        <v>310</v>
      </c>
      <c r="H757" s="932" t="str">
        <f>VLOOKUP($C757,Table1[#All],3,0)</f>
        <v>Subsidiaries</v>
      </c>
      <c r="I757" s="932" t="str" cm="1">
        <f t="array" ref="I757">_xlfn.XLOOKUP(Acc_Char!$E757,Table4[[#All],[Branch]],Table4[[#All],[Bank]],"recheck",0)</f>
        <v>VIETINBANK - TIEN SON</v>
      </c>
    </row>
    <row r="758" spans="1:9">
      <c r="A758" s="998">
        <f t="shared" si="11"/>
        <v>757</v>
      </c>
      <c r="B758" s="1004" t="s">
        <v>824</v>
      </c>
      <c r="C758" s="1000" t="s">
        <v>641</v>
      </c>
      <c r="D758" s="932" t="str">
        <f>VLOOKUP($C758,Table1[#All],2,0)</f>
        <v>SPV5C</v>
      </c>
      <c r="E758" s="932" t="s">
        <v>85</v>
      </c>
      <c r="F758" s="998" t="s">
        <v>80</v>
      </c>
      <c r="G758" s="932" t="s">
        <v>310</v>
      </c>
      <c r="H758" s="932" t="str">
        <f>VLOOKUP($C758,Table1[#All],3,0)</f>
        <v>Subsidiaries</v>
      </c>
      <c r="I758" s="932" t="str" cm="1">
        <f t="array" ref="I758">_xlfn.XLOOKUP(Acc_Char!$E758,Table4[[#All],[Branch]],Table4[[#All],[Bank]],"recheck",0)</f>
        <v>VIETINBANK - TIEN SON</v>
      </c>
    </row>
    <row r="759" spans="1:9">
      <c r="A759" s="998">
        <f t="shared" si="11"/>
        <v>758</v>
      </c>
      <c r="B759" s="1004" t="s">
        <v>825</v>
      </c>
      <c r="C759" s="1000" t="s">
        <v>620</v>
      </c>
      <c r="D759" s="932" t="str">
        <f>VLOOKUP($C759,Table1[#All],2,0)</f>
        <v>SPV4A</v>
      </c>
      <c r="E759" s="932" t="s">
        <v>85</v>
      </c>
      <c r="F759" s="998" t="s">
        <v>80</v>
      </c>
      <c r="G759" s="932" t="s">
        <v>310</v>
      </c>
      <c r="H759" s="932" t="str">
        <f>VLOOKUP($C759,Table1[#All],3,0)</f>
        <v>Subsidiaries</v>
      </c>
      <c r="I759" s="932" t="str" cm="1">
        <f t="array" ref="I759">_xlfn.XLOOKUP(Acc_Char!$E759,Table4[[#All],[Branch]],Table4[[#All],[Bank]],"recheck",0)</f>
        <v>VIETINBANK - TIEN SON</v>
      </c>
    </row>
    <row r="760" spans="1:9">
      <c r="A760" s="998">
        <f t="shared" si="11"/>
        <v>759</v>
      </c>
      <c r="B760" s="1004" t="s">
        <v>826</v>
      </c>
      <c r="C760" s="1000" t="s">
        <v>638</v>
      </c>
      <c r="D760" s="932" t="str">
        <f>VLOOKUP($C760,Table1[#All],2,0)</f>
        <v>SPV5A</v>
      </c>
      <c r="E760" s="932" t="s">
        <v>85</v>
      </c>
      <c r="F760" s="998" t="s">
        <v>80</v>
      </c>
      <c r="G760" s="932" t="s">
        <v>310</v>
      </c>
      <c r="H760" s="932" t="str">
        <f>VLOOKUP($C760,Table1[#All],3,0)</f>
        <v>Subsidiaries</v>
      </c>
      <c r="I760" s="932" t="str" cm="1">
        <f t="array" ref="I760">_xlfn.XLOOKUP(Acc_Char!$E760,Table4[[#All],[Branch]],Table4[[#All],[Bank]],"recheck",0)</f>
        <v>VIETINBANK - TIEN SON</v>
      </c>
    </row>
    <row r="761" spans="1:9">
      <c r="A761" s="998">
        <f t="shared" si="11"/>
        <v>760</v>
      </c>
      <c r="B761" s="1004" t="s">
        <v>827</v>
      </c>
      <c r="C761" s="1000" t="s">
        <v>638</v>
      </c>
      <c r="D761" s="932" t="str">
        <f>VLOOKUP($C761,Table1[#All],2,0)</f>
        <v>SPV5A</v>
      </c>
      <c r="E761" s="932" t="s">
        <v>85</v>
      </c>
      <c r="F761" s="998" t="s">
        <v>80</v>
      </c>
      <c r="G761" s="932" t="s">
        <v>310</v>
      </c>
      <c r="H761" s="932" t="str">
        <f>VLOOKUP($C761,Table1[#All],3,0)</f>
        <v>Subsidiaries</v>
      </c>
      <c r="I761" s="932" t="str" cm="1">
        <f t="array" ref="I761">_xlfn.XLOOKUP(Acc_Char!$E761,Table4[[#All],[Branch]],Table4[[#All],[Bank]],"recheck",0)</f>
        <v>VIETINBANK - TIEN SON</v>
      </c>
    </row>
    <row r="762" spans="1:9">
      <c r="A762" s="998">
        <f t="shared" si="11"/>
        <v>761</v>
      </c>
      <c r="B762" s="1004" t="s">
        <v>828</v>
      </c>
      <c r="C762" s="1000" t="s">
        <v>2971</v>
      </c>
      <c r="D762" s="932" t="str">
        <f>VLOOKUP($C762,Table1[#All],2,0)</f>
        <v>HOLDCO5F</v>
      </c>
      <c r="E762" s="932" t="s">
        <v>85</v>
      </c>
      <c r="F762" s="998" t="s">
        <v>80</v>
      </c>
      <c r="G762" s="932" t="s">
        <v>310</v>
      </c>
      <c r="H762" s="932" t="str">
        <f>VLOOKUP($C762,Table1[#All],3,0)</f>
        <v>Subsidiaries</v>
      </c>
      <c r="I762" s="932" t="str" cm="1">
        <f t="array" ref="I762">_xlfn.XLOOKUP(Acc_Char!$E762,Table4[[#All],[Branch]],Table4[[#All],[Bank]],"recheck",0)</f>
        <v>VIETINBANK - TIEN SON</v>
      </c>
    </row>
    <row r="763" spans="1:9">
      <c r="A763" s="998">
        <f t="shared" si="11"/>
        <v>762</v>
      </c>
      <c r="B763" s="1004" t="s">
        <v>829</v>
      </c>
      <c r="C763" s="1000" t="s">
        <v>3209</v>
      </c>
      <c r="D763" s="932" t="str">
        <f>VLOOKUP($C763,Table1[#All],2,0)</f>
        <v>HOLDCO4F</v>
      </c>
      <c r="E763" s="932" t="s">
        <v>85</v>
      </c>
      <c r="F763" s="998" t="s">
        <v>80</v>
      </c>
      <c r="G763" s="932" t="s">
        <v>310</v>
      </c>
      <c r="H763" s="932" t="str">
        <f>VLOOKUP($C763,Table1[#All],3,0)</f>
        <v>Subsidiaries</v>
      </c>
      <c r="I763" s="932" t="str" cm="1">
        <f t="array" ref="I763">_xlfn.XLOOKUP(Acc_Char!$E763,Table4[[#All],[Branch]],Table4[[#All],[Bank]],"recheck",0)</f>
        <v>VIETINBANK - TIEN SON</v>
      </c>
    </row>
    <row r="764" spans="1:9">
      <c r="A764" s="998">
        <f t="shared" si="11"/>
        <v>763</v>
      </c>
      <c r="B764" s="1004" t="s">
        <v>830</v>
      </c>
      <c r="C764" s="1000" t="s">
        <v>3211</v>
      </c>
      <c r="D764" s="932" t="str">
        <f>VLOOKUP($C764,Table1[#All],2,0)</f>
        <v>HOLDCO4H</v>
      </c>
      <c r="E764" s="932" t="s">
        <v>85</v>
      </c>
      <c r="F764" s="998" t="s">
        <v>80</v>
      </c>
      <c r="G764" s="932" t="s">
        <v>310</v>
      </c>
      <c r="H764" s="932" t="str">
        <f>VLOOKUP($C764,Table1[#All],3,0)</f>
        <v>Subsidiaries</v>
      </c>
      <c r="I764" s="932" t="str" cm="1">
        <f t="array" ref="I764">_xlfn.XLOOKUP(Acc_Char!$E764,Table4[[#All],[Branch]],Table4[[#All],[Bank]],"recheck",0)</f>
        <v>VIETINBANK - TIEN SON</v>
      </c>
    </row>
    <row r="765" spans="1:9">
      <c r="A765" s="998">
        <f t="shared" si="11"/>
        <v>764</v>
      </c>
      <c r="B765" s="1004" t="s">
        <v>831</v>
      </c>
      <c r="C765" s="1000" t="s">
        <v>3011</v>
      </c>
      <c r="D765" s="932" t="str">
        <f>VLOOKUP($C765,Table1[#All],2,0)</f>
        <v>HOLDCO5H</v>
      </c>
      <c r="E765" s="932" t="s">
        <v>85</v>
      </c>
      <c r="F765" s="998" t="s">
        <v>80</v>
      </c>
      <c r="G765" s="932" t="s">
        <v>310</v>
      </c>
      <c r="H765" s="932" t="str">
        <f>VLOOKUP($C765,Table1[#All],3,0)</f>
        <v>Subsidiaries</v>
      </c>
      <c r="I765" s="932" t="str" cm="1">
        <f t="array" ref="I765">_xlfn.XLOOKUP(Acc_Char!$E765,Table4[[#All],[Branch]],Table4[[#All],[Bank]],"recheck",0)</f>
        <v>VIETINBANK - TIEN SON</v>
      </c>
    </row>
    <row r="766" spans="1:9">
      <c r="A766" s="998">
        <f t="shared" si="11"/>
        <v>765</v>
      </c>
      <c r="B766" s="1004" t="s">
        <v>832</v>
      </c>
      <c r="C766" s="1000" t="s">
        <v>3218</v>
      </c>
      <c r="D766" s="932" t="str">
        <f>VLOOKUP($C766,Table1[#All],2,0)</f>
        <v>HOLDCO5J</v>
      </c>
      <c r="E766" s="932" t="s">
        <v>85</v>
      </c>
      <c r="F766" s="998" t="s">
        <v>80</v>
      </c>
      <c r="G766" s="932" t="s">
        <v>310</v>
      </c>
      <c r="H766" s="932" t="str">
        <f>VLOOKUP($C766,Table1[#All],3,0)</f>
        <v>Subsidiaries</v>
      </c>
      <c r="I766" s="932" t="str" cm="1">
        <f t="array" ref="I766">_xlfn.XLOOKUP(Acc_Char!$E766,Table4[[#All],[Branch]],Table4[[#All],[Bank]],"recheck",0)</f>
        <v>VIETINBANK - TIEN SON</v>
      </c>
    </row>
    <row r="767" spans="1:9">
      <c r="A767" s="998">
        <f t="shared" si="11"/>
        <v>766</v>
      </c>
      <c r="B767" s="1002" t="s">
        <v>833</v>
      </c>
      <c r="C767" s="1000" t="s">
        <v>3217</v>
      </c>
      <c r="D767" s="932" t="str">
        <f>VLOOKUP($C767,Table1[#All],2,0)</f>
        <v>HOLDCO5I</v>
      </c>
      <c r="E767" s="932" t="s">
        <v>85</v>
      </c>
      <c r="F767" s="998" t="s">
        <v>80</v>
      </c>
      <c r="G767" s="932" t="s">
        <v>310</v>
      </c>
      <c r="H767" s="932" t="str">
        <f>VLOOKUP($C767,Table1[#All],3,0)</f>
        <v>Subsidiaries</v>
      </c>
      <c r="I767" s="932" t="str" cm="1">
        <f t="array" ref="I767">_xlfn.XLOOKUP(Acc_Char!$E767,Table4[[#All],[Branch]],Table4[[#All],[Bank]],"recheck",0)</f>
        <v>VIETINBANK - TIEN SON</v>
      </c>
    </row>
    <row r="768" spans="1:9">
      <c r="A768" s="998">
        <f t="shared" si="11"/>
        <v>767</v>
      </c>
      <c r="B768" s="1004" t="s">
        <v>834</v>
      </c>
      <c r="C768" s="1000" t="s">
        <v>3215</v>
      </c>
      <c r="D768" s="932" t="str">
        <f>VLOOKUP($C768,Table1[#All],2,0)</f>
        <v>HOLDCO5G</v>
      </c>
      <c r="E768" s="932" t="s">
        <v>85</v>
      </c>
      <c r="F768" s="998" t="s">
        <v>80</v>
      </c>
      <c r="G768" s="932" t="s">
        <v>310</v>
      </c>
      <c r="H768" s="932" t="str">
        <f>VLOOKUP($C768,Table1[#All],3,0)</f>
        <v>Subsidiaries</v>
      </c>
      <c r="I768" s="932" t="str" cm="1">
        <f t="array" ref="I768">_xlfn.XLOOKUP(Acc_Char!$E768,Table4[[#All],[Branch]],Table4[[#All],[Bank]],"recheck",0)</f>
        <v>VIETINBANK - TIEN SON</v>
      </c>
    </row>
    <row r="769" spans="1:9">
      <c r="A769" s="998">
        <f t="shared" si="11"/>
        <v>768</v>
      </c>
      <c r="B769" s="1004" t="s">
        <v>835</v>
      </c>
      <c r="C769" s="1000" t="s">
        <v>3214</v>
      </c>
      <c r="D769" s="932" t="str">
        <f>VLOOKUP($C769,Table1[#All],2,0)</f>
        <v>HOLDCO4J</v>
      </c>
      <c r="E769" s="932" t="s">
        <v>85</v>
      </c>
      <c r="F769" s="998" t="s">
        <v>80</v>
      </c>
      <c r="G769" s="932" t="s">
        <v>310</v>
      </c>
      <c r="H769" s="932" t="str">
        <f>VLOOKUP($C769,Table1[#All],3,0)</f>
        <v>Subsidiaries</v>
      </c>
      <c r="I769" s="932" t="str" cm="1">
        <f t="array" ref="I769">_xlfn.XLOOKUP(Acc_Char!$E769,Table4[[#All],[Branch]],Table4[[#All],[Bank]],"recheck",0)</f>
        <v>VIETINBANK - TIEN SON</v>
      </c>
    </row>
    <row r="770" spans="1:9">
      <c r="A770" s="998">
        <f t="shared" si="11"/>
        <v>769</v>
      </c>
      <c r="B770" s="1004" t="s">
        <v>836</v>
      </c>
      <c r="C770" s="1000" t="s">
        <v>3213</v>
      </c>
      <c r="D770" s="932" t="str">
        <f>VLOOKUP($C770,Table1[#All],2,0)</f>
        <v>HOLDCO4I</v>
      </c>
      <c r="E770" s="932" t="s">
        <v>85</v>
      </c>
      <c r="F770" s="998" t="s">
        <v>80</v>
      </c>
      <c r="G770" s="932" t="s">
        <v>310</v>
      </c>
      <c r="H770" s="932" t="str">
        <f>VLOOKUP($C770,Table1[#All],3,0)</f>
        <v>Subsidiaries</v>
      </c>
      <c r="I770" s="932" t="str" cm="1">
        <f t="array" ref="I770">_xlfn.XLOOKUP(Acc_Char!$E770,Table4[[#All],[Branch]],Table4[[#All],[Bank]],"recheck",0)</f>
        <v>VIETINBANK - TIEN SON</v>
      </c>
    </row>
    <row r="771" spans="1:9">
      <c r="A771" s="998">
        <f t="shared" ref="A771:A835" si="12">A770+1</f>
        <v>770</v>
      </c>
      <c r="B771" s="1005" t="s">
        <v>837</v>
      </c>
      <c r="C771" s="1003" t="s">
        <v>3212</v>
      </c>
      <c r="D771" s="932" t="str">
        <f>VLOOKUP($C771,Table1[#All],2,0)</f>
        <v>HOLDCO4G</v>
      </c>
      <c r="E771" s="932" t="s">
        <v>85</v>
      </c>
      <c r="F771" s="998" t="s">
        <v>80</v>
      </c>
      <c r="G771" s="932" t="s">
        <v>310</v>
      </c>
      <c r="H771" s="932" t="str">
        <f>VLOOKUP($C771,Table1[#All],3,0)</f>
        <v>Subsidiaries</v>
      </c>
      <c r="I771" s="932" t="str" cm="1">
        <f t="array" ref="I771">_xlfn.XLOOKUP(Acc_Char!$E771,Table4[[#All],[Branch]],Table4[[#All],[Bank]],"recheck",0)</f>
        <v>VIETINBANK - TIEN SON</v>
      </c>
    </row>
    <row r="772" spans="1:9">
      <c r="A772" s="998">
        <f t="shared" si="12"/>
        <v>771</v>
      </c>
      <c r="B772" s="1004" t="s">
        <v>838</v>
      </c>
      <c r="C772" s="1000" t="s">
        <v>3390</v>
      </c>
      <c r="D772" s="932" t="str">
        <f>VLOOKUP($C772,Table1[#All],2,0)</f>
        <v>HOLDCO4Q</v>
      </c>
      <c r="E772" s="932" t="s">
        <v>85</v>
      </c>
      <c r="F772" s="998" t="s">
        <v>80</v>
      </c>
      <c r="G772" s="932" t="s">
        <v>310</v>
      </c>
      <c r="H772" s="932" t="str">
        <f>VLOOKUP($C772,Table1[#All],3,0)</f>
        <v>Subsidiaries</v>
      </c>
      <c r="I772" s="932" t="str" cm="1">
        <f t="array" ref="I772">_xlfn.XLOOKUP(Acc_Char!$E772,Table4[[#All],[Branch]],Table4[[#All],[Bank]],"recheck",0)</f>
        <v>VIETINBANK - TIEN SON</v>
      </c>
    </row>
    <row r="773" spans="1:9">
      <c r="A773" s="998">
        <f t="shared" si="12"/>
        <v>772</v>
      </c>
      <c r="B773" s="1005" t="s">
        <v>839</v>
      </c>
      <c r="C773" s="1003" t="s">
        <v>3391</v>
      </c>
      <c r="D773" s="932" t="str">
        <f>VLOOKUP($C773,Table1[#All],2,0)</f>
        <v>HOLDCO4R</v>
      </c>
      <c r="E773" s="999" t="s">
        <v>85</v>
      </c>
      <c r="F773" s="998" t="s">
        <v>80</v>
      </c>
      <c r="G773" s="932" t="s">
        <v>310</v>
      </c>
      <c r="H773" s="932" t="str">
        <f>VLOOKUP($C773,Table1[#All],3,0)</f>
        <v>Subsidiaries</v>
      </c>
      <c r="I773" s="932" t="str" cm="1">
        <f t="array" ref="I773">_xlfn.XLOOKUP(Acc_Char!$E773,Table4[[#All],[Branch]],Table4[[#All],[Bank]],"recheck",0)</f>
        <v>VIETINBANK - TIEN SON</v>
      </c>
    </row>
    <row r="774" spans="1:9">
      <c r="A774" s="998">
        <f t="shared" si="12"/>
        <v>773</v>
      </c>
      <c r="B774" s="1004" t="s">
        <v>840</v>
      </c>
      <c r="C774" s="1000" t="s">
        <v>3392</v>
      </c>
      <c r="D774" s="932" t="str">
        <f>VLOOKUP($C774,Table1[#All],2,0)</f>
        <v>HOLDCO4S</v>
      </c>
      <c r="E774" s="932" t="s">
        <v>85</v>
      </c>
      <c r="F774" s="998" t="s">
        <v>80</v>
      </c>
      <c r="G774" s="932" t="s">
        <v>310</v>
      </c>
      <c r="H774" s="932" t="str">
        <f>VLOOKUP($C774,Table1[#All],3,0)</f>
        <v>Subsidiaries</v>
      </c>
      <c r="I774" s="932" t="str" cm="1">
        <f t="array" ref="I774">_xlfn.XLOOKUP(Acc_Char!$E774,Table4[[#All],[Branch]],Table4[[#All],[Bank]],"recheck",0)</f>
        <v>VIETINBANK - TIEN SON</v>
      </c>
    </row>
    <row r="775" spans="1:9">
      <c r="A775" s="998">
        <f t="shared" si="12"/>
        <v>774</v>
      </c>
      <c r="B775" s="1002" t="s">
        <v>841</v>
      </c>
      <c r="C775" s="1003" t="s">
        <v>3393</v>
      </c>
      <c r="D775" s="932" t="str">
        <f>VLOOKUP($C775,Table1[#All],2,0)</f>
        <v>HOLDCO4T</v>
      </c>
      <c r="E775" s="932" t="s">
        <v>85</v>
      </c>
      <c r="F775" s="998" t="s">
        <v>80</v>
      </c>
      <c r="G775" s="932" t="s">
        <v>310</v>
      </c>
      <c r="H775" s="932" t="str">
        <f>VLOOKUP($C775,Table1[#All],3,0)</f>
        <v>Subsidiaries</v>
      </c>
      <c r="I775" s="932" t="str" cm="1">
        <f t="array" ref="I775">_xlfn.XLOOKUP(Acc_Char!$E775,Table4[[#All],[Branch]],Table4[[#All],[Bank]],"recheck",0)</f>
        <v>VIETINBANK - TIEN SON</v>
      </c>
    </row>
    <row r="776" spans="1:9">
      <c r="A776" s="998">
        <f t="shared" si="12"/>
        <v>775</v>
      </c>
      <c r="B776" s="1004" t="s">
        <v>842</v>
      </c>
      <c r="C776" s="1000" t="s">
        <v>3394</v>
      </c>
      <c r="D776" s="932" t="str">
        <f>VLOOKUP($C776,Table1[#All],2,0)</f>
        <v>HOLDCO4U</v>
      </c>
      <c r="E776" s="932" t="s">
        <v>85</v>
      </c>
      <c r="F776" s="998" t="s">
        <v>80</v>
      </c>
      <c r="G776" s="932" t="s">
        <v>310</v>
      </c>
      <c r="H776" s="932" t="str">
        <f>VLOOKUP($C776,Table1[#All],3,0)</f>
        <v>Subsidiaries</v>
      </c>
      <c r="I776" s="932" t="str" cm="1">
        <f t="array" ref="I776">_xlfn.XLOOKUP(Acc_Char!$E776,Table4[[#All],[Branch]],Table4[[#All],[Bank]],"recheck",0)</f>
        <v>VIETINBANK - TIEN SON</v>
      </c>
    </row>
    <row r="777" spans="1:9">
      <c r="A777" s="998">
        <f t="shared" si="12"/>
        <v>776</v>
      </c>
      <c r="B777" s="1004" t="s">
        <v>3481</v>
      </c>
      <c r="C777" s="1000" t="s">
        <v>3395</v>
      </c>
      <c r="D777" s="932" t="str">
        <f>VLOOKUP($C777,Table1[#All],2,0)</f>
        <v>HOLDCO4V</v>
      </c>
      <c r="E777" s="932" t="s">
        <v>85</v>
      </c>
      <c r="F777" s="998" t="s">
        <v>80</v>
      </c>
      <c r="G777" s="932" t="s">
        <v>310</v>
      </c>
      <c r="H777" s="932" t="str">
        <f>VLOOKUP($C777,Table1[#All],3,0)</f>
        <v>Subsidiaries</v>
      </c>
      <c r="I777" s="932" t="str" cm="1">
        <f t="array" ref="I777">_xlfn.XLOOKUP(Acc_Char!$E777,Table4[[#All],[Branch]],Table4[[#All],[Bank]],"recheck",0)</f>
        <v>VIETINBANK - TIEN SON</v>
      </c>
    </row>
    <row r="778" spans="1:9">
      <c r="A778" s="998">
        <f t="shared" si="12"/>
        <v>777</v>
      </c>
      <c r="B778" s="1004" t="s">
        <v>3482</v>
      </c>
      <c r="C778" s="1000" t="s">
        <v>3396</v>
      </c>
      <c r="D778" s="932" t="str">
        <f>VLOOKUP($C778,Table1[#All],2,0)</f>
        <v>HOLDCO4Y</v>
      </c>
      <c r="E778" s="932" t="s">
        <v>85</v>
      </c>
      <c r="F778" s="998" t="s">
        <v>80</v>
      </c>
      <c r="G778" s="932" t="s">
        <v>310</v>
      </c>
      <c r="H778" s="932" t="str">
        <f>VLOOKUP($C778,Table1[#All],3,0)</f>
        <v>Subsidiaries</v>
      </c>
      <c r="I778" s="932" t="str" cm="1">
        <f t="array" ref="I778">_xlfn.XLOOKUP(Acc_Char!$E778,Table4[[#All],[Branch]],Table4[[#All],[Bank]],"recheck",0)</f>
        <v>VIETINBANK - TIEN SON</v>
      </c>
    </row>
    <row r="779" spans="1:9">
      <c r="A779" s="998">
        <f t="shared" si="12"/>
        <v>778</v>
      </c>
      <c r="B779" s="1004" t="s">
        <v>843</v>
      </c>
      <c r="C779" s="1000" t="s">
        <v>3397</v>
      </c>
      <c r="D779" s="932" t="str">
        <f>VLOOKUP($C779,Table1[#All],2,0)</f>
        <v>HOLDCO4Z</v>
      </c>
      <c r="E779" s="932" t="s">
        <v>85</v>
      </c>
      <c r="F779" s="998" t="s">
        <v>80</v>
      </c>
      <c r="G779" s="932" t="s">
        <v>310</v>
      </c>
      <c r="H779" s="932" t="str">
        <f>VLOOKUP($C779,Table1[#All],3,0)</f>
        <v>Subsidiaries</v>
      </c>
      <c r="I779" s="932" t="str" cm="1">
        <f t="array" ref="I779">_xlfn.XLOOKUP(Acc_Char!$E779,Table4[[#All],[Branch]],Table4[[#All],[Bank]],"recheck",0)</f>
        <v>VIETINBANK - TIEN SON</v>
      </c>
    </row>
    <row r="780" spans="1:9">
      <c r="A780" s="998">
        <f t="shared" si="12"/>
        <v>779</v>
      </c>
      <c r="B780" s="1004" t="s">
        <v>844</v>
      </c>
      <c r="C780" s="1000" t="s">
        <v>3398</v>
      </c>
      <c r="D780" s="932" t="str">
        <f>VLOOKUP($C780,Table1[#All],2,0)</f>
        <v>HOLDCO4W</v>
      </c>
      <c r="E780" s="932" t="s">
        <v>85</v>
      </c>
      <c r="F780" s="998" t="s">
        <v>80</v>
      </c>
      <c r="G780" s="932" t="s">
        <v>310</v>
      </c>
      <c r="H780" s="932" t="str">
        <f>VLOOKUP($C780,Table1[#All],3,0)</f>
        <v>Subsidiaries</v>
      </c>
      <c r="I780" s="932" t="str" cm="1">
        <f t="array" ref="I780">_xlfn.XLOOKUP(Acc_Char!$E780,Table4[[#All],[Branch]],Table4[[#All],[Bank]],"recheck",0)</f>
        <v>VIETINBANK - TIEN SON</v>
      </c>
    </row>
    <row r="781" spans="1:9">
      <c r="A781" s="998">
        <f t="shared" si="12"/>
        <v>780</v>
      </c>
      <c r="B781" s="1004" t="s">
        <v>3483</v>
      </c>
      <c r="C781" s="1000" t="s">
        <v>3399</v>
      </c>
      <c r="D781" s="932" t="str">
        <f>VLOOKUP($C781,Table1[#All],2,0)</f>
        <v>HOLDCO4X</v>
      </c>
      <c r="E781" s="932" t="s">
        <v>85</v>
      </c>
      <c r="F781" s="998" t="s">
        <v>80</v>
      </c>
      <c r="G781" s="932" t="s">
        <v>310</v>
      </c>
      <c r="H781" s="932" t="str">
        <f>VLOOKUP($C781,Table1[#All],3,0)</f>
        <v>Subsidiaries</v>
      </c>
      <c r="I781" s="932" t="str" cm="1">
        <f t="array" ref="I781">_xlfn.XLOOKUP(Acc_Char!$E781,Table4[[#All],[Branch]],Table4[[#All],[Bank]],"recheck",0)</f>
        <v>VIETINBANK - TIEN SON</v>
      </c>
    </row>
    <row r="782" spans="1:9">
      <c r="A782" s="998">
        <f t="shared" si="12"/>
        <v>781</v>
      </c>
      <c r="B782" s="1004" t="s">
        <v>845</v>
      </c>
      <c r="C782" s="1000" t="s">
        <v>3400</v>
      </c>
      <c r="D782" s="932" t="str">
        <f>VLOOKUP($C782,Table1[#All],2,0)</f>
        <v>HOLDCO5Q</v>
      </c>
      <c r="E782" s="932" t="s">
        <v>85</v>
      </c>
      <c r="F782" s="998" t="s">
        <v>80</v>
      </c>
      <c r="G782" s="932" t="s">
        <v>310</v>
      </c>
      <c r="H782" s="932" t="str">
        <f>VLOOKUP($C782,Table1[#All],3,0)</f>
        <v>Subsidiaries</v>
      </c>
      <c r="I782" s="932" t="str" cm="1">
        <f t="array" ref="I782">_xlfn.XLOOKUP(Acc_Char!$E782,Table4[[#All],[Branch]],Table4[[#All],[Bank]],"recheck",0)</f>
        <v>VIETINBANK - TIEN SON</v>
      </c>
    </row>
    <row r="783" spans="1:9">
      <c r="A783" s="998">
        <f t="shared" si="12"/>
        <v>782</v>
      </c>
      <c r="B783" s="1004" t="s">
        <v>846</v>
      </c>
      <c r="C783" s="1000" t="s">
        <v>3401</v>
      </c>
      <c r="D783" s="932" t="str">
        <f>VLOOKUP($C783,Table1[#All],2,0)</f>
        <v>HOLDCO5R</v>
      </c>
      <c r="E783" s="932" t="s">
        <v>85</v>
      </c>
      <c r="F783" s="998" t="s">
        <v>80</v>
      </c>
      <c r="G783" s="932" t="s">
        <v>310</v>
      </c>
      <c r="H783" s="932" t="str">
        <f>VLOOKUP($C783,Table1[#All],3,0)</f>
        <v>Subsidiaries</v>
      </c>
      <c r="I783" s="932" t="str" cm="1">
        <f t="array" ref="I783">_xlfn.XLOOKUP(Acc_Char!$E783,Table4[[#All],[Branch]],Table4[[#All],[Bank]],"recheck",0)</f>
        <v>VIETINBANK - TIEN SON</v>
      </c>
    </row>
    <row r="784" spans="1:9">
      <c r="A784" s="998">
        <f t="shared" si="12"/>
        <v>783</v>
      </c>
      <c r="B784" s="1004" t="s">
        <v>847</v>
      </c>
      <c r="C784" s="1000" t="s">
        <v>3402</v>
      </c>
      <c r="D784" s="932" t="str">
        <f>VLOOKUP($C784,Table1[#All],2,0)</f>
        <v>HOLDCO5S</v>
      </c>
      <c r="E784" s="932" t="s">
        <v>85</v>
      </c>
      <c r="F784" s="998" t="s">
        <v>80</v>
      </c>
      <c r="G784" s="932" t="s">
        <v>310</v>
      </c>
      <c r="H784" s="932" t="str">
        <f>VLOOKUP($C784,Table1[#All],3,0)</f>
        <v>Subsidiaries</v>
      </c>
      <c r="I784" s="932" t="str" cm="1">
        <f t="array" ref="I784">_xlfn.XLOOKUP(Acc_Char!$E784,Table4[[#All],[Branch]],Table4[[#All],[Bank]],"recheck",0)</f>
        <v>VIETINBANK - TIEN SON</v>
      </c>
    </row>
    <row r="785" spans="1:9">
      <c r="A785" s="998">
        <f t="shared" si="12"/>
        <v>784</v>
      </c>
      <c r="B785" s="1004" t="s">
        <v>848</v>
      </c>
      <c r="C785" s="1000" t="s">
        <v>3403</v>
      </c>
      <c r="D785" s="932" t="str">
        <f>VLOOKUP($C785,Table1[#All],2,0)</f>
        <v>HOLDCO5T</v>
      </c>
      <c r="E785" s="932" t="s">
        <v>85</v>
      </c>
      <c r="F785" s="998" t="s">
        <v>80</v>
      </c>
      <c r="G785" s="932" t="s">
        <v>310</v>
      </c>
      <c r="H785" s="932" t="str">
        <f>VLOOKUP($C785,Table1[#All],3,0)</f>
        <v>Subsidiaries</v>
      </c>
      <c r="I785" s="932" t="str" cm="1">
        <f t="array" ref="I785">_xlfn.XLOOKUP(Acc_Char!$E785,Table4[[#All],[Branch]],Table4[[#All],[Bank]],"recheck",0)</f>
        <v>VIETINBANK - TIEN SON</v>
      </c>
    </row>
    <row r="786" spans="1:9">
      <c r="A786" s="998">
        <f t="shared" si="12"/>
        <v>785</v>
      </c>
      <c r="B786" s="1004" t="s">
        <v>849</v>
      </c>
      <c r="C786" s="1000" t="s">
        <v>3404</v>
      </c>
      <c r="D786" s="932" t="str">
        <f>VLOOKUP($C786,Table1[#All],2,0)</f>
        <v>HOLDCO5U</v>
      </c>
      <c r="E786" s="932" t="s">
        <v>85</v>
      </c>
      <c r="F786" s="998" t="s">
        <v>80</v>
      </c>
      <c r="G786" s="932" t="s">
        <v>310</v>
      </c>
      <c r="H786" s="932" t="str">
        <f>VLOOKUP($C786,Table1[#All],3,0)</f>
        <v>Subsidiaries</v>
      </c>
      <c r="I786" s="932" t="str" cm="1">
        <f t="array" ref="I786">_xlfn.XLOOKUP(Acc_Char!$E786,Table4[[#All],[Branch]],Table4[[#All],[Bank]],"recheck",0)</f>
        <v>VIETINBANK - TIEN SON</v>
      </c>
    </row>
    <row r="787" spans="1:9">
      <c r="A787" s="998">
        <f t="shared" si="12"/>
        <v>786</v>
      </c>
      <c r="B787" s="1004" t="s">
        <v>3484</v>
      </c>
      <c r="C787" s="1000" t="s">
        <v>3084</v>
      </c>
      <c r="D787" s="932" t="str">
        <f>VLOOKUP($C787,Table1[#All],2,0)</f>
        <v>HANOI MANAGEMENT SERVICES</v>
      </c>
      <c r="E787" s="932" t="s">
        <v>85</v>
      </c>
      <c r="F787" s="998" t="s">
        <v>80</v>
      </c>
      <c r="G787" s="932" t="s">
        <v>310</v>
      </c>
      <c r="H787" s="932" t="str">
        <f>VLOOKUP($C787,Table1[#All],3,0)</f>
        <v>Subsidiaries</v>
      </c>
      <c r="I787" s="932" t="str" cm="1">
        <f t="array" ref="I787">_xlfn.XLOOKUP(Acc_Char!$E787,Table4[[#All],[Branch]],Table4[[#All],[Bank]],"recheck",0)</f>
        <v>VIETINBANK - TIEN SON</v>
      </c>
    </row>
    <row r="788" spans="1:9">
      <c r="A788" s="998">
        <f t="shared" si="12"/>
        <v>787</v>
      </c>
      <c r="B788" s="1004" t="s">
        <v>3485</v>
      </c>
      <c r="C788" s="1000" t="s">
        <v>3026</v>
      </c>
      <c r="D788" s="932" t="str">
        <f>VLOOKUP($C788,Table1[#All],2,0)</f>
        <v>BW SAI GON</v>
      </c>
      <c r="E788" s="932" t="s">
        <v>338</v>
      </c>
      <c r="F788" s="998" t="s">
        <v>80</v>
      </c>
      <c r="G788" s="932" t="s">
        <v>310</v>
      </c>
      <c r="H788" s="932" t="str">
        <f>VLOOKUP($C788,Table1[#All],3,0)</f>
        <v>Subsidiaries</v>
      </c>
      <c r="I788" s="932" t="str" cm="1">
        <f t="array" ref="I788">_xlfn.XLOOKUP(Acc_Char!$E788,Table4[[#All],[Branch]],Table4[[#All],[Bank]],"recheck",0)</f>
        <v>TECHCOMBANK</v>
      </c>
    </row>
    <row r="789" spans="1:9">
      <c r="A789" s="998">
        <f t="shared" si="12"/>
        <v>788</v>
      </c>
      <c r="B789" s="1001" t="s">
        <v>850</v>
      </c>
      <c r="C789" s="1000" t="s">
        <v>3160</v>
      </c>
      <c r="D789" s="932" t="str">
        <f>VLOOKUP($C789,Table1[#All],2,0)</f>
        <v>BWID Tan Phu Trung</v>
      </c>
      <c r="E789" s="932" t="s">
        <v>85</v>
      </c>
      <c r="F789" s="998" t="s">
        <v>80</v>
      </c>
      <c r="G789" s="932" t="s">
        <v>308</v>
      </c>
      <c r="H789" s="932" t="str">
        <f>VLOOKUP($C789,Table1[#All],3,0)</f>
        <v>Subsidiaries</v>
      </c>
      <c r="I789" s="932" t="str" cm="1">
        <f t="array" ref="I789">_xlfn.XLOOKUP(Acc_Char!$E789,Table4[[#All],[Branch]],Table4[[#All],[Bank]],"recheck",0)</f>
        <v>VIETINBANK - TIEN SON</v>
      </c>
    </row>
    <row r="790" spans="1:9">
      <c r="A790" s="998">
        <f t="shared" si="12"/>
        <v>789</v>
      </c>
      <c r="B790" s="1001" t="s">
        <v>851</v>
      </c>
      <c r="C790" s="1000" t="s">
        <v>3160</v>
      </c>
      <c r="D790" s="932" t="str">
        <f>VLOOKUP($C790,Table1[#All],2,0)</f>
        <v>BWID Tan Phu Trung</v>
      </c>
      <c r="E790" s="932" t="s">
        <v>85</v>
      </c>
      <c r="F790" s="998" t="s">
        <v>80</v>
      </c>
      <c r="G790" s="932" t="s">
        <v>308</v>
      </c>
      <c r="H790" s="932" t="str">
        <f>VLOOKUP($C790,Table1[#All],3,0)</f>
        <v>Subsidiaries</v>
      </c>
      <c r="I790" s="932" t="str" cm="1">
        <f t="array" ref="I790">_xlfn.XLOOKUP(Acc_Char!$E790,Table4[[#All],[Branch]],Table4[[#All],[Bank]],"recheck",0)</f>
        <v>VIETINBANK - TIEN SON</v>
      </c>
    </row>
    <row r="791" spans="1:9">
      <c r="A791" s="998">
        <f t="shared" si="12"/>
        <v>790</v>
      </c>
      <c r="B791" s="1002" t="s">
        <v>852</v>
      </c>
      <c r="C791" s="1000" t="s">
        <v>3053</v>
      </c>
      <c r="D791" s="932" t="str">
        <f>VLOOKUP($C791,Table1[#All],2,0)</f>
        <v>BW BAU BANG</v>
      </c>
      <c r="E791" s="932" t="s">
        <v>85</v>
      </c>
      <c r="F791" s="998" t="s">
        <v>80</v>
      </c>
      <c r="G791" s="932" t="s">
        <v>310</v>
      </c>
      <c r="H791" s="932" t="str">
        <f>VLOOKUP($C791,Table1[#All],3,0)</f>
        <v>Subsidiaries</v>
      </c>
      <c r="I791" s="932" t="str" cm="1">
        <f t="array" ref="I791">_xlfn.XLOOKUP(Acc_Char!$E791,Table4[[#All],[Branch]],Table4[[#All],[Bank]],"recheck",0)</f>
        <v>VIETINBANK - TIEN SON</v>
      </c>
    </row>
    <row r="792" spans="1:9">
      <c r="A792" s="998">
        <f t="shared" si="12"/>
        <v>791</v>
      </c>
      <c r="B792" s="1004" t="s">
        <v>853</v>
      </c>
      <c r="C792" s="1000" t="s">
        <v>3145</v>
      </c>
      <c r="D792" s="932" t="str">
        <f>VLOOKUP($C792,Table1[#All],2,0)</f>
        <v>BAU BANG 3</v>
      </c>
      <c r="E792" s="932" t="s">
        <v>153</v>
      </c>
      <c r="F792" s="998" t="s">
        <v>80</v>
      </c>
      <c r="G792" s="932" t="s">
        <v>310</v>
      </c>
      <c r="H792" s="932" t="str">
        <f>VLOOKUP($C792,Table1[#All],3,0)</f>
        <v>Subsidiaries</v>
      </c>
      <c r="I792" s="932" t="str" cm="1">
        <f t="array" ref="I792">_xlfn.XLOOKUP(Acc_Char!$E792,Table4[[#All],[Branch]],Table4[[#All],[Bank]],"recheck",0)</f>
        <v>VIETINBANK - BINH DUONG + QM</v>
      </c>
    </row>
    <row r="793" spans="1:9">
      <c r="A793" s="998">
        <f t="shared" si="12"/>
        <v>792</v>
      </c>
      <c r="B793" s="1004" t="s">
        <v>854</v>
      </c>
      <c r="C793" s="1000" t="s">
        <v>3149</v>
      </c>
      <c r="D793" s="932" t="str">
        <f>VLOOKUP($C793,Table1[#All],2,0)</f>
        <v>BAU BANG 4</v>
      </c>
      <c r="E793" s="932" t="s">
        <v>153</v>
      </c>
      <c r="F793" s="998" t="s">
        <v>80</v>
      </c>
      <c r="G793" s="932" t="s">
        <v>310</v>
      </c>
      <c r="H793" s="932" t="str">
        <f>VLOOKUP($C793,Table1[#All],3,0)</f>
        <v>Subsidiaries</v>
      </c>
      <c r="I793" s="932" t="str" cm="1">
        <f t="array" ref="I793">_xlfn.XLOOKUP(Acc_Char!$E793,Table4[[#All],[Branch]],Table4[[#All],[Bank]],"recheck",0)</f>
        <v>VIETINBANK - BINH DUONG + QM</v>
      </c>
    </row>
    <row r="794" spans="1:9">
      <c r="A794" s="998">
        <f t="shared" si="12"/>
        <v>793</v>
      </c>
      <c r="B794" s="1004" t="s">
        <v>3486</v>
      </c>
      <c r="C794" s="1000" t="s">
        <v>67</v>
      </c>
      <c r="D794" s="932" t="str">
        <f>VLOOKUP($C794,Table1[#All],2,0)</f>
        <v>SAO HOA</v>
      </c>
      <c r="E794" s="932" t="s">
        <v>339</v>
      </c>
      <c r="F794" s="998" t="s">
        <v>80</v>
      </c>
      <c r="G794" s="932" t="s">
        <v>310</v>
      </c>
      <c r="H794" s="932" t="str">
        <f>VLOOKUP($C794,Table1[#All],3,0)</f>
        <v>VC3</v>
      </c>
      <c r="I794" s="932" t="str" cm="1">
        <f t="array" ref="I794">_xlfn.XLOOKUP(Acc_Char!$E794,Table4[[#All],[Branch]],Table4[[#All],[Bank]],"recheck",0)</f>
        <v>ACB - HCM</v>
      </c>
    </row>
    <row r="795" spans="1:9">
      <c r="A795" s="998">
        <f t="shared" si="12"/>
        <v>794</v>
      </c>
      <c r="B795" s="1004" t="s">
        <v>3487</v>
      </c>
      <c r="C795" s="1000" t="s">
        <v>67</v>
      </c>
      <c r="D795" s="932" t="str">
        <f>VLOOKUP($C795,Table1[#All],2,0)</f>
        <v>SAO HOA</v>
      </c>
      <c r="E795" s="932" t="s">
        <v>339</v>
      </c>
      <c r="F795" s="998" t="s">
        <v>80</v>
      </c>
      <c r="G795" s="932" t="s">
        <v>310</v>
      </c>
      <c r="H795" s="932" t="str">
        <f>VLOOKUP($C795,Table1[#All],3,0)</f>
        <v>VC3</v>
      </c>
      <c r="I795" s="932" t="str" cm="1">
        <f t="array" ref="I795">_xlfn.XLOOKUP(Acc_Char!$E795,Table4[[#All],[Branch]],Table4[[#All],[Bank]],"recheck",0)</f>
        <v>ACB - HCM</v>
      </c>
    </row>
    <row r="796" spans="1:9">
      <c r="A796" s="998">
        <f t="shared" si="12"/>
        <v>795</v>
      </c>
      <c r="B796" s="1004" t="s">
        <v>3488</v>
      </c>
      <c r="C796" s="1000" t="s">
        <v>67</v>
      </c>
      <c r="D796" s="932" t="str">
        <f>VLOOKUP($C796,Table1[#All],2,0)</f>
        <v>SAO HOA</v>
      </c>
      <c r="E796" s="932" t="s">
        <v>153</v>
      </c>
      <c r="F796" s="998" t="s">
        <v>80</v>
      </c>
      <c r="G796" s="932" t="s">
        <v>310</v>
      </c>
      <c r="H796" s="932" t="str">
        <f>VLOOKUP($C796,Table1[#All],3,0)</f>
        <v>VC3</v>
      </c>
      <c r="I796" s="932" t="str" cm="1">
        <f t="array" ref="I796">_xlfn.XLOOKUP(Acc_Char!$E796,Table4[[#All],[Branch]],Table4[[#All],[Bank]],"recheck",0)</f>
        <v>VIETINBANK - BINH DUONG + QM</v>
      </c>
    </row>
    <row r="797" spans="1:9">
      <c r="A797" s="998">
        <f t="shared" si="12"/>
        <v>796</v>
      </c>
      <c r="B797" s="1004" t="s">
        <v>3489</v>
      </c>
      <c r="C797" s="1000" t="s">
        <v>3199</v>
      </c>
      <c r="D797" s="932" t="str">
        <f>VLOOKUP($C797,Table1[#All],2,0)</f>
        <v>VINA PARTNERS INVESTMENT</v>
      </c>
      <c r="E797" s="932" t="s">
        <v>86</v>
      </c>
      <c r="F797" s="998" t="s">
        <v>80</v>
      </c>
      <c r="G797" s="932" t="s">
        <v>310</v>
      </c>
      <c r="H797" s="932" t="str">
        <f>VLOOKUP($C797,Table1[#All],3,0)</f>
        <v>Subsidiaries</v>
      </c>
      <c r="I797" s="932" t="str" cm="1">
        <f t="array" ref="I797">_xlfn.XLOOKUP(Acc_Char!$E797,Table4[[#All],[Branch]],Table4[[#All],[Bank]],"recheck",0)</f>
        <v>VIETINBANK - CN1</v>
      </c>
    </row>
    <row r="798" spans="1:9">
      <c r="A798" s="998">
        <f t="shared" si="12"/>
        <v>797</v>
      </c>
      <c r="B798" s="1004" t="s">
        <v>3490</v>
      </c>
      <c r="C798" s="1000" t="s">
        <v>67</v>
      </c>
      <c r="D798" s="932" t="str">
        <f>VLOOKUP($C798,Table1[#All],2,0)</f>
        <v>SAO HOA</v>
      </c>
      <c r="E798" s="932" t="s">
        <v>86</v>
      </c>
      <c r="F798" s="998" t="s">
        <v>80</v>
      </c>
      <c r="G798" s="932" t="s">
        <v>310</v>
      </c>
      <c r="H798" s="932" t="str">
        <f>VLOOKUP($C798,Table1[#All],3,0)</f>
        <v>VC3</v>
      </c>
      <c r="I798" s="932" t="str" cm="1">
        <f t="array" ref="I798">_xlfn.XLOOKUP(Acc_Char!$E798,Table4[[#All],[Branch]],Table4[[#All],[Bank]],"recheck",0)</f>
        <v>VIETINBANK - CN1</v>
      </c>
    </row>
    <row r="799" spans="1:9">
      <c r="A799" s="998">
        <f t="shared" si="12"/>
        <v>798</v>
      </c>
      <c r="B799" s="1004" t="s">
        <v>3491</v>
      </c>
      <c r="C799" s="1000" t="s">
        <v>67</v>
      </c>
      <c r="D799" s="932" t="str">
        <f>VLOOKUP($C799,Table1[#All],2,0)</f>
        <v>SAO HOA</v>
      </c>
      <c r="E799" s="932" t="s">
        <v>192</v>
      </c>
      <c r="F799" s="998" t="s">
        <v>80</v>
      </c>
      <c r="G799" s="932" t="s">
        <v>310</v>
      </c>
      <c r="H799" s="932" t="str">
        <f>VLOOKUP($C799,Table1[#All],3,0)</f>
        <v>VC3</v>
      </c>
      <c r="I799" s="932" t="str" cm="1">
        <f t="array" ref="I799">_xlfn.XLOOKUP(Acc_Char!$E799,Table4[[#All],[Branch]],Table4[[#All],[Bank]],"recheck",0)</f>
        <v>VIETINBANK - CN6</v>
      </c>
    </row>
    <row r="800" spans="1:9">
      <c r="A800" s="998">
        <f t="shared" si="12"/>
        <v>799</v>
      </c>
      <c r="B800" s="1004" t="s">
        <v>855</v>
      </c>
      <c r="C800" s="1000" t="s">
        <v>2888</v>
      </c>
      <c r="D800" s="932" t="str">
        <f>VLOOKUP($C800,Table1[#All],2,0)</f>
        <v>BWID HAI DUONG</v>
      </c>
      <c r="E800" s="932" t="s">
        <v>85</v>
      </c>
      <c r="F800" s="998" t="s">
        <v>80</v>
      </c>
      <c r="G800" s="932" t="s">
        <v>310</v>
      </c>
      <c r="H800" s="932" t="str">
        <f>VLOOKUP($C800,Table1[#All],3,0)</f>
        <v>Subsidiaries</v>
      </c>
      <c r="I800" s="932" t="str" cm="1">
        <f t="array" ref="I800">_xlfn.XLOOKUP(Acc_Char!$E800,Table4[[#All],[Branch]],Table4[[#All],[Bank]],"recheck",0)</f>
        <v>VIETINBANK - TIEN SON</v>
      </c>
    </row>
    <row r="801" spans="1:9">
      <c r="A801" s="998">
        <f t="shared" si="12"/>
        <v>800</v>
      </c>
      <c r="B801" s="1004" t="s">
        <v>3492</v>
      </c>
      <c r="C801" s="1000" t="s">
        <v>2998</v>
      </c>
      <c r="D801" s="932" t="str">
        <f>VLOOKUP($C801,Table1[#All],2,0)</f>
        <v>BWID THOI HOA 2</v>
      </c>
      <c r="E801" s="932" t="s">
        <v>95</v>
      </c>
      <c r="F801" s="998" t="s">
        <v>80</v>
      </c>
      <c r="G801" s="932" t="s">
        <v>310</v>
      </c>
      <c r="H801" s="932" t="str">
        <f>VLOOKUP($C801,Table1[#All],3,0)</f>
        <v>Subsidiaries</v>
      </c>
      <c r="I801" s="932" t="str" cm="1">
        <f t="array" ref="I801">_xlfn.XLOOKUP(Acc_Char!$E801,Table4[[#All],[Branch]],Table4[[#All],[Bank]],"recheck",0)</f>
        <v>OCB - BINH DUONG</v>
      </c>
    </row>
    <row r="802" spans="1:9">
      <c r="A802" s="998">
        <f t="shared" si="12"/>
        <v>801</v>
      </c>
      <c r="B802" s="1004" t="s">
        <v>3493</v>
      </c>
      <c r="C802" s="1000" t="s">
        <v>2998</v>
      </c>
      <c r="D802" s="932" t="str">
        <f>VLOOKUP($C802,Table1[#All],2,0)</f>
        <v>BWID THOI HOA 2</v>
      </c>
      <c r="E802" s="932" t="s">
        <v>95</v>
      </c>
      <c r="F802" s="998" t="s">
        <v>80</v>
      </c>
      <c r="G802" s="932" t="s">
        <v>310</v>
      </c>
      <c r="H802" s="932" t="str">
        <f>VLOOKUP($C802,Table1[#All],3,0)</f>
        <v>Subsidiaries</v>
      </c>
      <c r="I802" s="932" t="str" cm="1">
        <f t="array" ref="I802">_xlfn.XLOOKUP(Acc_Char!$E802,Table4[[#All],[Branch]],Table4[[#All],[Bank]],"recheck",0)</f>
        <v>OCB - BINH DUONG</v>
      </c>
    </row>
    <row r="803" spans="1:9">
      <c r="A803" s="998">
        <f t="shared" si="12"/>
        <v>802</v>
      </c>
      <c r="B803" s="1004" t="s">
        <v>3494</v>
      </c>
      <c r="C803" s="1000" t="s">
        <v>2998</v>
      </c>
      <c r="D803" s="932" t="str">
        <f>VLOOKUP($C803,Table1[#All],2,0)</f>
        <v>BWID THOI HOA 2</v>
      </c>
      <c r="E803" s="932" t="s">
        <v>95</v>
      </c>
      <c r="F803" s="998" t="s">
        <v>80</v>
      </c>
      <c r="G803" s="932" t="s">
        <v>310</v>
      </c>
      <c r="H803" s="932" t="str">
        <f>VLOOKUP($C803,Table1[#All],3,0)</f>
        <v>Subsidiaries</v>
      </c>
      <c r="I803" s="932" t="str" cm="1">
        <f t="array" ref="I803">_xlfn.XLOOKUP(Acc_Char!$E803,Table4[[#All],[Branch]],Table4[[#All],[Bank]],"recheck",0)</f>
        <v>OCB - BINH DUONG</v>
      </c>
    </row>
    <row r="804" spans="1:9">
      <c r="A804" s="998">
        <f t="shared" si="12"/>
        <v>803</v>
      </c>
      <c r="B804" s="1004" t="s">
        <v>3495</v>
      </c>
      <c r="C804" s="1000" t="s">
        <v>3047</v>
      </c>
      <c r="D804" s="932" t="str">
        <f>VLOOKUP($C804,Table1[#All],2,0)</f>
        <v>BW SAIGON LOGISTICS</v>
      </c>
      <c r="E804" s="932" t="s">
        <v>91</v>
      </c>
      <c r="F804" s="998" t="s">
        <v>80</v>
      </c>
      <c r="G804" s="932" t="s">
        <v>310</v>
      </c>
      <c r="H804" s="932" t="str">
        <f>VLOOKUP($C804,Table1[#All],3,0)</f>
        <v>Subsidiaries</v>
      </c>
      <c r="I804" s="932" t="str" cm="1">
        <f t="array" ref="I804">_xlfn.XLOOKUP(Acc_Char!$E804,Table4[[#All],[Branch]],Table4[[#All],[Bank]],"recheck",0)</f>
        <v>VIETCOMBANK - HCM</v>
      </c>
    </row>
    <row r="805" spans="1:9">
      <c r="A805" s="998">
        <f t="shared" si="12"/>
        <v>804</v>
      </c>
      <c r="B805" s="1004" t="s">
        <v>3496</v>
      </c>
      <c r="C805" s="1000" t="s">
        <v>67</v>
      </c>
      <c r="D805" s="932" t="str">
        <f>VLOOKUP($C805,Table1[#All],2,0)</f>
        <v>SAO HOA</v>
      </c>
      <c r="E805" s="932" t="s">
        <v>192</v>
      </c>
      <c r="F805" s="998" t="s">
        <v>80</v>
      </c>
      <c r="G805" s="932" t="s">
        <v>310</v>
      </c>
      <c r="H805" s="932" t="str">
        <f>VLOOKUP($C805,Table1[#All],3,0)</f>
        <v>VC3</v>
      </c>
      <c r="I805" s="932" t="str" cm="1">
        <f t="array" ref="I805">_xlfn.XLOOKUP(Acc_Char!$E805,Table4[[#All],[Branch]],Table4[[#All],[Bank]],"recheck",0)</f>
        <v>VIETINBANK - CN6</v>
      </c>
    </row>
    <row r="806" spans="1:9">
      <c r="A806" s="998">
        <f t="shared" si="12"/>
        <v>805</v>
      </c>
      <c r="B806" s="1004" t="s">
        <v>3497</v>
      </c>
      <c r="C806" s="1000" t="s">
        <v>2895</v>
      </c>
      <c r="D806" s="932" t="str">
        <f>VLOOKUP($C806,Table1[#All],2,0)</f>
        <v>BWID HAI DUONG 2</v>
      </c>
      <c r="E806" s="932" t="s">
        <v>85</v>
      </c>
      <c r="F806" s="998" t="s">
        <v>80</v>
      </c>
      <c r="G806" s="932" t="s">
        <v>310</v>
      </c>
      <c r="H806" s="932" t="str">
        <f>VLOOKUP($C806,Table1[#All],3,0)</f>
        <v>Subsidiaries</v>
      </c>
      <c r="I806" s="932" t="str" cm="1">
        <f t="array" ref="I806">_xlfn.XLOOKUP(Acc_Char!$E806,Table4[[#All],[Branch]],Table4[[#All],[Bank]],"recheck",0)</f>
        <v>VIETINBANK - TIEN SON</v>
      </c>
    </row>
    <row r="807" spans="1:9">
      <c r="A807" s="998">
        <f t="shared" si="12"/>
        <v>806</v>
      </c>
      <c r="B807" s="1004" t="s">
        <v>3498</v>
      </c>
      <c r="C807" s="1000" t="s">
        <v>3093</v>
      </c>
      <c r="D807" s="932" t="str">
        <f>VLOOKUP($C807,Table1[#All],2,0)</f>
        <v>SONGTHAN LID</v>
      </c>
      <c r="E807" s="932" t="s">
        <v>88</v>
      </c>
      <c r="F807" s="998" t="s">
        <v>80</v>
      </c>
      <c r="G807" s="932" t="s">
        <v>310</v>
      </c>
      <c r="H807" s="932" t="str">
        <f>VLOOKUP($C807,Table1[#All],3,0)</f>
        <v>Subsidiaries</v>
      </c>
      <c r="I807" s="932" t="str" cm="1">
        <f t="array" ref="I807">_xlfn.XLOOKUP(Acc_Char!$E807,Table4[[#All],[Branch]],Table4[[#All],[Bank]],"recheck",0)</f>
        <v>VIETINBANK - DONG SAI GON</v>
      </c>
    </row>
    <row r="808" spans="1:9">
      <c r="A808" s="998">
        <f t="shared" si="12"/>
        <v>807</v>
      </c>
      <c r="B808" s="1004" t="s">
        <v>3499</v>
      </c>
      <c r="C808" s="1000" t="s">
        <v>3072</v>
      </c>
      <c r="D808" s="932" t="str">
        <f>VLOOKUP($C808,Table1[#All],2,0)</f>
        <v>BWID TAN DONG HIEP</v>
      </c>
      <c r="E808" s="932" t="s">
        <v>96</v>
      </c>
      <c r="F808" s="998" t="s">
        <v>80</v>
      </c>
      <c r="G808" s="932" t="s">
        <v>310</v>
      </c>
      <c r="H808" s="932" t="str">
        <f>VLOOKUP($C808,Table1[#All],3,0)</f>
        <v>Subsidiaries</v>
      </c>
      <c r="I808" s="932" t="str" cm="1">
        <f t="array" ref="I808">_xlfn.XLOOKUP(Acc_Char!$E808,Table4[[#All],[Branch]],Table4[[#All],[Bank]],"recheck",0)</f>
        <v>VIB - HOI SO</v>
      </c>
    </row>
    <row r="809" spans="1:9">
      <c r="A809" s="998">
        <f t="shared" si="12"/>
        <v>808</v>
      </c>
      <c r="B809" s="1004" t="s">
        <v>3500</v>
      </c>
      <c r="C809" s="1000" t="s">
        <v>402</v>
      </c>
      <c r="D809" s="932" t="str">
        <f>VLOOKUP($C809,Table1[#All],2,0)</f>
        <v>BWID DONG AN LID</v>
      </c>
      <c r="E809" s="932" t="s">
        <v>88</v>
      </c>
      <c r="F809" s="998" t="s">
        <v>80</v>
      </c>
      <c r="G809" s="932" t="s">
        <v>310</v>
      </c>
      <c r="H809" s="932" t="str">
        <f>VLOOKUP($C809,Table1[#All],3,0)</f>
        <v>Subsidiaries</v>
      </c>
      <c r="I809" s="932" t="str" cm="1">
        <f t="array" ref="I809">_xlfn.XLOOKUP(Acc_Char!$E809,Table4[[#All],[Branch]],Table4[[#All],[Bank]],"recheck",0)</f>
        <v>VIETINBANK - DONG SAI GON</v>
      </c>
    </row>
    <row r="810" spans="1:9">
      <c r="A810" s="998">
        <f t="shared" si="12"/>
        <v>809</v>
      </c>
      <c r="B810" s="1004" t="s">
        <v>856</v>
      </c>
      <c r="C810" s="1000" t="s">
        <v>3272</v>
      </c>
      <c r="D810" s="932" t="str">
        <f>VLOOKUP($C810,Table1[#All],2,0)</f>
        <v>SUPPLY CHAIN 2A</v>
      </c>
      <c r="E810" s="932" t="s">
        <v>96</v>
      </c>
      <c r="F810" s="998" t="s">
        <v>80</v>
      </c>
      <c r="G810" s="932" t="s">
        <v>308</v>
      </c>
      <c r="H810" s="932" t="str">
        <f>VLOOKUP($C810,Table1[#All],3,0)</f>
        <v>Subsidiaries</v>
      </c>
      <c r="I810" s="932" t="str" cm="1">
        <f t="array" ref="I810">_xlfn.XLOOKUP(Acc_Char!$E810,Table4[[#All],[Branch]],Table4[[#All],[Bank]],"recheck",0)</f>
        <v>VIB - HOI SO</v>
      </c>
    </row>
    <row r="811" spans="1:9">
      <c r="A811" s="998">
        <f t="shared" si="12"/>
        <v>810</v>
      </c>
      <c r="B811" s="1004" t="s">
        <v>3501</v>
      </c>
      <c r="C811" s="1000" t="s">
        <v>3272</v>
      </c>
      <c r="D811" s="932" t="str">
        <f>VLOOKUP($C811,Table1[#All],2,0)</f>
        <v>SUPPLY CHAIN 2A</v>
      </c>
      <c r="E811" s="932" t="s">
        <v>96</v>
      </c>
      <c r="F811" s="998" t="s">
        <v>80</v>
      </c>
      <c r="G811" s="932" t="s">
        <v>310</v>
      </c>
      <c r="H811" s="932" t="str">
        <f>VLOOKUP($C811,Table1[#All],3,0)</f>
        <v>Subsidiaries</v>
      </c>
      <c r="I811" s="932" t="str" cm="1">
        <f t="array" ref="I811">_xlfn.XLOOKUP(Acc_Char!$E811,Table4[[#All],[Branch]],Table4[[#All],[Bank]],"recheck",0)</f>
        <v>VIB - HOI SO</v>
      </c>
    </row>
    <row r="812" spans="1:9">
      <c r="A812" s="998">
        <f t="shared" si="12"/>
        <v>811</v>
      </c>
      <c r="B812" s="1004" t="s">
        <v>3502</v>
      </c>
      <c r="C812" s="1000" t="s">
        <v>3272</v>
      </c>
      <c r="D812" s="932" t="str">
        <f>VLOOKUP($C812,Table1[#All],2,0)</f>
        <v>SUPPLY CHAIN 2A</v>
      </c>
      <c r="E812" s="932" t="s">
        <v>96</v>
      </c>
      <c r="F812" s="998" t="s">
        <v>80</v>
      </c>
      <c r="G812" s="932" t="s">
        <v>310</v>
      </c>
      <c r="H812" s="932" t="str">
        <f>VLOOKUP($C812,Table1[#All],3,0)</f>
        <v>Subsidiaries</v>
      </c>
      <c r="I812" s="932" t="str" cm="1">
        <f t="array" ref="I812">_xlfn.XLOOKUP(Acc_Char!$E812,Table4[[#All],[Branch]],Table4[[#All],[Bank]],"recheck",0)</f>
        <v>VIB - HOI SO</v>
      </c>
    </row>
    <row r="813" spans="1:9">
      <c r="A813" s="998">
        <f t="shared" si="12"/>
        <v>812</v>
      </c>
      <c r="B813" s="1004" t="s">
        <v>3503</v>
      </c>
      <c r="C813" s="1000" t="s">
        <v>3272</v>
      </c>
      <c r="D813" s="932" t="str">
        <f>VLOOKUP($C813,Table1[#All],2,0)</f>
        <v>SUPPLY CHAIN 2A</v>
      </c>
      <c r="E813" s="932" t="s">
        <v>96</v>
      </c>
      <c r="F813" s="998" t="s">
        <v>80</v>
      </c>
      <c r="G813" s="932" t="s">
        <v>310</v>
      </c>
      <c r="H813" s="932" t="str">
        <f>VLOOKUP($C813,Table1[#All],3,0)</f>
        <v>Subsidiaries</v>
      </c>
      <c r="I813" s="932" t="str" cm="1">
        <f t="array" ref="I813">_xlfn.XLOOKUP(Acc_Char!$E813,Table4[[#All],[Branch]],Table4[[#All],[Bank]],"recheck",0)</f>
        <v>VIB - HOI SO</v>
      </c>
    </row>
    <row r="814" spans="1:9">
      <c r="A814" s="998">
        <f t="shared" si="12"/>
        <v>813</v>
      </c>
      <c r="B814" s="1004" t="s">
        <v>3504</v>
      </c>
      <c r="C814" s="1000" t="s">
        <v>3505</v>
      </c>
      <c r="D814" s="932" t="str">
        <f>VLOOKUP($C814,Table1[#All],2,0)</f>
        <v>BIEN HOA</v>
      </c>
      <c r="E814" s="932" t="s">
        <v>85</v>
      </c>
      <c r="F814" s="998" t="s">
        <v>80</v>
      </c>
      <c r="G814" s="932" t="s">
        <v>308</v>
      </c>
      <c r="H814" s="932" t="str">
        <f>VLOOKUP($C814,Table1[#All],3,0)</f>
        <v>Subsidiaries</v>
      </c>
      <c r="I814" s="932" t="str" cm="1">
        <f t="array" ref="I814">_xlfn.XLOOKUP(Acc_Char!$E814,Table4[[#All],[Branch]],Table4[[#All],[Bank]],"recheck",0)</f>
        <v>VIETINBANK - TIEN SON</v>
      </c>
    </row>
    <row r="815" spans="1:9">
      <c r="A815" s="998">
        <f t="shared" si="12"/>
        <v>814</v>
      </c>
      <c r="B815" s="1004" t="s">
        <v>858</v>
      </c>
      <c r="C815" s="1000" t="s">
        <v>420</v>
      </c>
      <c r="D815" s="932" t="str">
        <f>VLOOKUP($C815,Table1[#All],2,0)</f>
        <v>THUAN DAO</v>
      </c>
      <c r="E815" s="932" t="s">
        <v>191</v>
      </c>
      <c r="F815" s="998" t="s">
        <v>80</v>
      </c>
      <c r="G815" s="932" t="s">
        <v>308</v>
      </c>
      <c r="H815" s="932" t="str">
        <f>VLOOKUP($C815,Table1[#All],3,0)</f>
        <v>Subsidiaries</v>
      </c>
      <c r="I815" s="932" t="str" cm="1">
        <f t="array" ref="I815">_xlfn.XLOOKUP(Acc_Char!$E815,Table4[[#All],[Branch]],Table4[[#All],[Bank]],"recheck",0)</f>
        <v>VIETINBANK - TPHCM</v>
      </c>
    </row>
    <row r="816" spans="1:9">
      <c r="A816" s="998">
        <f t="shared" si="12"/>
        <v>815</v>
      </c>
      <c r="B816" s="1004" t="s">
        <v>860</v>
      </c>
      <c r="C816" s="1000" t="s">
        <v>3506</v>
      </c>
      <c r="D816" s="932" t="str">
        <f>VLOOKUP($C816,Table1[#All],2,0)</f>
        <v>WPJV 2A</v>
      </c>
      <c r="E816" s="932" t="s">
        <v>191</v>
      </c>
      <c r="F816" s="998" t="s">
        <v>80</v>
      </c>
      <c r="G816" s="932" t="s">
        <v>308</v>
      </c>
      <c r="H816" s="932" t="str">
        <f>VLOOKUP($C816,Table1[#All],3,0)</f>
        <v>Subsidiaries</v>
      </c>
      <c r="I816" s="932" t="str" cm="1">
        <f t="array" ref="I816">_xlfn.XLOOKUP(Acc_Char!$E816,Table4[[#All],[Branch]],Table4[[#All],[Bank]],"recheck",0)</f>
        <v>VIETINBANK - TPHCM</v>
      </c>
    </row>
    <row r="817" spans="1:9">
      <c r="A817" s="998">
        <f t="shared" si="12"/>
        <v>816</v>
      </c>
      <c r="B817" s="1004" t="s">
        <v>863</v>
      </c>
      <c r="C817" s="1000" t="s">
        <v>3507</v>
      </c>
      <c r="D817" s="932" t="str">
        <f>VLOOKUP($C817,Table1[#All],2,0)</f>
        <v>WPJV 2B</v>
      </c>
      <c r="E817" s="932" t="s">
        <v>191</v>
      </c>
      <c r="F817" s="998" t="s">
        <v>80</v>
      </c>
      <c r="G817" s="932" t="s">
        <v>308</v>
      </c>
      <c r="H817" s="932" t="str">
        <f>VLOOKUP($C817,Table1[#All],3,0)</f>
        <v>Subsidiaries</v>
      </c>
      <c r="I817" s="932" t="str" cm="1">
        <f t="array" ref="I817">_xlfn.XLOOKUP(Acc_Char!$E817,Table4[[#All],[Branch]],Table4[[#All],[Bank]],"recheck",0)</f>
        <v>VIETINBANK - TPHCM</v>
      </c>
    </row>
    <row r="818" spans="1:9">
      <c r="A818" s="998">
        <f t="shared" si="12"/>
        <v>817</v>
      </c>
      <c r="B818" s="1004" t="s">
        <v>864</v>
      </c>
      <c r="C818" s="1000" t="s">
        <v>3507</v>
      </c>
      <c r="D818" s="932" t="str">
        <f>VLOOKUP($C818,Table1[#All],2,0)</f>
        <v>WPJV 2B</v>
      </c>
      <c r="E818" s="932" t="s">
        <v>191</v>
      </c>
      <c r="F818" s="998" t="s">
        <v>80</v>
      </c>
      <c r="G818" s="932" t="s">
        <v>310</v>
      </c>
      <c r="H818" s="932" t="str">
        <f>VLOOKUP($C818,Table1[#All],3,0)</f>
        <v>Subsidiaries</v>
      </c>
      <c r="I818" s="932" t="str" cm="1">
        <f t="array" ref="I818">_xlfn.XLOOKUP(Acc_Char!$E818,Table4[[#All],[Branch]],Table4[[#All],[Bank]],"recheck",0)</f>
        <v>VIETINBANK - TPHCM</v>
      </c>
    </row>
    <row r="819" spans="1:9">
      <c r="A819" s="998">
        <f t="shared" si="12"/>
        <v>818</v>
      </c>
      <c r="B819" s="1004" t="s">
        <v>861</v>
      </c>
      <c r="C819" s="1000" t="s">
        <v>3506</v>
      </c>
      <c r="D819" s="932" t="str">
        <f>VLOOKUP($C819,Table1[#All],2,0)</f>
        <v>WPJV 2A</v>
      </c>
      <c r="E819" s="932" t="s">
        <v>191</v>
      </c>
      <c r="F819" s="998" t="s">
        <v>80</v>
      </c>
      <c r="G819" s="932" t="s">
        <v>310</v>
      </c>
      <c r="H819" s="932" t="str">
        <f>VLOOKUP($C819,Table1[#All],3,0)</f>
        <v>Subsidiaries</v>
      </c>
      <c r="I819" s="932" t="str" cm="1">
        <f t="array" ref="I819">_xlfn.XLOOKUP(Acc_Char!$E819,Table4[[#All],[Branch]],Table4[[#All],[Bank]],"recheck",0)</f>
        <v>VIETINBANK - TPHCM</v>
      </c>
    </row>
    <row r="820" spans="1:9">
      <c r="A820" s="998">
        <f t="shared" si="12"/>
        <v>819</v>
      </c>
      <c r="B820" s="1004" t="s">
        <v>3508</v>
      </c>
      <c r="C820" s="1000" t="s">
        <v>3280</v>
      </c>
      <c r="D820" s="932" t="str">
        <f>VLOOKUP($C820,Table1[#All],2,0)</f>
        <v>BAC TIEN PHONG</v>
      </c>
      <c r="E820" s="932" t="s">
        <v>92</v>
      </c>
      <c r="F820" s="998" t="s">
        <v>80</v>
      </c>
      <c r="G820" s="932" t="s">
        <v>310</v>
      </c>
      <c r="H820" s="932" t="str">
        <f>VLOOKUP($C820,Table1[#All],3,0)</f>
        <v>Subsidiaries</v>
      </c>
      <c r="I820" s="932" t="str" cm="1">
        <f t="array" ref="I820">_xlfn.XLOOKUP(Acc_Char!$E820,Table4[[#All],[Branch]],Table4[[#All],[Bank]],"recheck",0)</f>
        <v>BIDV - THANH XUAN</v>
      </c>
    </row>
    <row r="821" spans="1:9">
      <c r="A821" s="998">
        <f t="shared" si="12"/>
        <v>820</v>
      </c>
      <c r="B821" s="1004" t="s">
        <v>3509</v>
      </c>
      <c r="C821" s="1000" t="s">
        <v>3280</v>
      </c>
      <c r="D821" s="932" t="str">
        <f>VLOOKUP($C821,Table1[#All],2,0)</f>
        <v>BAC TIEN PHONG</v>
      </c>
      <c r="E821" s="932" t="s">
        <v>92</v>
      </c>
      <c r="F821" s="998" t="s">
        <v>80</v>
      </c>
      <c r="G821" s="932" t="s">
        <v>310</v>
      </c>
      <c r="H821" s="932" t="str">
        <f>VLOOKUP($C821,Table1[#All],3,0)</f>
        <v>Subsidiaries</v>
      </c>
      <c r="I821" s="932" t="str" cm="1">
        <f t="array" ref="I821">_xlfn.XLOOKUP(Acc_Char!$E821,Table4[[#All],[Branch]],Table4[[#All],[Bank]],"recheck",0)</f>
        <v>BIDV - THANH XUAN</v>
      </c>
    </row>
    <row r="822" spans="1:9">
      <c r="A822" s="998">
        <f t="shared" si="12"/>
        <v>821</v>
      </c>
      <c r="B822" s="1004" t="s">
        <v>3510</v>
      </c>
      <c r="C822" s="1000" t="s">
        <v>403</v>
      </c>
      <c r="D822" s="932" t="str">
        <f>VLOOKUP($C822,Table1[#All],2,0)</f>
        <v>BW SUPLLY CHAIN CITY</v>
      </c>
      <c r="E822" s="932" t="s">
        <v>91</v>
      </c>
      <c r="F822" s="998" t="s">
        <v>80</v>
      </c>
      <c r="G822" s="932" t="s">
        <v>310</v>
      </c>
      <c r="H822" s="932" t="str">
        <f>VLOOKUP($C822,Table1[#All],3,0)</f>
        <v>Subsidiaries</v>
      </c>
      <c r="I822" s="932" t="str" cm="1">
        <f t="array" ref="I822">_xlfn.XLOOKUP(Acc_Char!$E822,Table4[[#All],[Branch]],Table4[[#All],[Bank]],"recheck",0)</f>
        <v>VIETCOMBANK - HCM</v>
      </c>
    </row>
    <row r="823" spans="1:9">
      <c r="A823" s="998">
        <f t="shared" si="12"/>
        <v>822</v>
      </c>
      <c r="B823" s="1004" t="s">
        <v>3511</v>
      </c>
      <c r="C823" s="1000" t="s">
        <v>3093</v>
      </c>
      <c r="D823" s="932" t="str">
        <f>VLOOKUP($C823,Table1[#All],2,0)</f>
        <v>SONGTHAN LID</v>
      </c>
      <c r="E823" s="932" t="s">
        <v>88</v>
      </c>
      <c r="F823" s="998" t="s">
        <v>80</v>
      </c>
      <c r="G823" s="932" t="s">
        <v>310</v>
      </c>
      <c r="H823" s="932" t="str">
        <f>VLOOKUP($C823,Table1[#All],3,0)</f>
        <v>Subsidiaries</v>
      </c>
      <c r="I823" s="932" t="str" cm="1">
        <f t="array" ref="I823">_xlfn.XLOOKUP(Acc_Char!$E823,Table4[[#All],[Branch]],Table4[[#All],[Bank]],"recheck",0)</f>
        <v>VIETINBANK - DONG SAI GON</v>
      </c>
    </row>
    <row r="824" spans="1:9">
      <c r="A824" s="998">
        <f t="shared" si="12"/>
        <v>823</v>
      </c>
      <c r="B824" s="1004" t="s">
        <v>865</v>
      </c>
      <c r="C824" s="1000" t="s">
        <v>3398</v>
      </c>
      <c r="D824" s="932" t="str">
        <f>VLOOKUP($C824,Table1[#All],2,0)</f>
        <v>HOLDCO4W</v>
      </c>
      <c r="E824" s="932" t="s">
        <v>201</v>
      </c>
      <c r="F824" s="998" t="s">
        <v>80</v>
      </c>
      <c r="G824" s="932" t="s">
        <v>308</v>
      </c>
      <c r="H824" s="932" t="str">
        <f>VLOOKUP($C824,Table1[#All],3,0)</f>
        <v>Subsidiaries</v>
      </c>
      <c r="I824" s="932" t="str" cm="1">
        <f t="array" ref="I824">_xlfn.XLOOKUP(Acc_Char!$E824,Table4[[#All],[Branch]],Table4[[#All],[Bank]],"recheck",0)</f>
        <v>STANDARD CHARTERED</v>
      </c>
    </row>
    <row r="825" spans="1:9">
      <c r="A825" s="998">
        <f t="shared" si="12"/>
        <v>824</v>
      </c>
      <c r="B825" s="1004" t="s">
        <v>866</v>
      </c>
      <c r="C825" s="1000" t="s">
        <v>3399</v>
      </c>
      <c r="D825" s="932" t="str">
        <f>VLOOKUP($C825,Table1[#All],2,0)</f>
        <v>HOLDCO4X</v>
      </c>
      <c r="E825" s="932" t="s">
        <v>201</v>
      </c>
      <c r="F825" s="998" t="s">
        <v>80</v>
      </c>
      <c r="G825" s="932" t="s">
        <v>308</v>
      </c>
      <c r="H825" s="932" t="str">
        <f>VLOOKUP($C825,Table1[#All],3,0)</f>
        <v>Subsidiaries</v>
      </c>
      <c r="I825" s="932" t="str" cm="1">
        <f t="array" ref="I825">_xlfn.XLOOKUP(Acc_Char!$E825,Table4[[#All],[Branch]],Table4[[#All],[Bank]],"recheck",0)</f>
        <v>STANDARD CHARTERED</v>
      </c>
    </row>
    <row r="826" spans="1:9">
      <c r="A826" s="998">
        <f t="shared" si="12"/>
        <v>825</v>
      </c>
      <c r="B826" s="1004" t="s">
        <v>867</v>
      </c>
      <c r="C826" s="1000" t="s">
        <v>3401</v>
      </c>
      <c r="D826" s="932" t="str">
        <f>VLOOKUP($C826,Table1[#All],2,0)</f>
        <v>HOLDCO5R</v>
      </c>
      <c r="E826" s="932" t="s">
        <v>201</v>
      </c>
      <c r="F826" s="998" t="s">
        <v>80</v>
      </c>
      <c r="G826" s="932" t="s">
        <v>308</v>
      </c>
      <c r="H826" s="932" t="str">
        <f>VLOOKUP($C826,Table1[#All],3,0)</f>
        <v>Subsidiaries</v>
      </c>
      <c r="I826" s="932" t="str" cm="1">
        <f t="array" ref="I826">_xlfn.XLOOKUP(Acc_Char!$E826,Table4[[#All],[Branch]],Table4[[#All],[Bank]],"recheck",0)</f>
        <v>STANDARD CHARTERED</v>
      </c>
    </row>
    <row r="827" spans="1:9">
      <c r="A827" s="998">
        <f t="shared" si="12"/>
        <v>826</v>
      </c>
      <c r="B827" s="1004" t="s">
        <v>1297</v>
      </c>
      <c r="C827" s="1000" t="s">
        <v>3401</v>
      </c>
      <c r="D827" s="932" t="str">
        <f>VLOOKUP($C827,Table1[#All],2,0)</f>
        <v>HOLDCO5R</v>
      </c>
      <c r="E827" s="932" t="s">
        <v>803</v>
      </c>
      <c r="F827" s="998" t="s">
        <v>80</v>
      </c>
      <c r="G827" s="932" t="s">
        <v>308</v>
      </c>
      <c r="H827" s="932" t="str">
        <f>VLOOKUP($C827,Table1[#All],3,0)</f>
        <v>Subsidiaries</v>
      </c>
      <c r="I827" s="932" t="str" cm="1">
        <f t="array" ref="I827">_xlfn.XLOOKUP(Acc_Char!$E827,Table4[[#All],[Branch]],Table4[[#All],[Bank]],"recheck",0)</f>
        <v>UOB</v>
      </c>
    </row>
    <row r="828" spans="1:9">
      <c r="A828" s="998">
        <f>A826+1</f>
        <v>826</v>
      </c>
      <c r="B828" s="1004" t="s">
        <v>868</v>
      </c>
      <c r="C828" s="1000" t="s">
        <v>3396</v>
      </c>
      <c r="D828" s="932" t="str">
        <f>VLOOKUP($C828,Table1[#All],2,0)</f>
        <v>HOLDCO4Y</v>
      </c>
      <c r="E828" s="932" t="s">
        <v>201</v>
      </c>
      <c r="F828" s="998" t="s">
        <v>80</v>
      </c>
      <c r="G828" s="932" t="s">
        <v>308</v>
      </c>
      <c r="H828" s="932" t="str">
        <f>VLOOKUP($C828,Table1[#All],3,0)</f>
        <v>Subsidiaries</v>
      </c>
      <c r="I828" s="932" t="str" cm="1">
        <f t="array" ref="I828">_xlfn.XLOOKUP(Acc_Char!$E828,Table4[[#All],[Branch]],Table4[[#All],[Bank]],"recheck",0)</f>
        <v>STANDARD CHARTERED</v>
      </c>
    </row>
    <row r="829" spans="1:9">
      <c r="A829" s="998">
        <f t="shared" si="12"/>
        <v>827</v>
      </c>
      <c r="B829" s="1004" t="s">
        <v>869</v>
      </c>
      <c r="C829" s="1000" t="s">
        <v>3400</v>
      </c>
      <c r="D829" s="932" t="str">
        <f>VLOOKUP($C829,Table1[#All],2,0)</f>
        <v>HOLDCO5Q</v>
      </c>
      <c r="E829" s="932" t="s">
        <v>201</v>
      </c>
      <c r="F829" s="998" t="s">
        <v>80</v>
      </c>
      <c r="G829" s="932" t="s">
        <v>308</v>
      </c>
      <c r="H829" s="932" t="str">
        <f>VLOOKUP($C829,Table1[#All],3,0)</f>
        <v>Subsidiaries</v>
      </c>
      <c r="I829" s="932" t="str" cm="1">
        <f t="array" ref="I829">_xlfn.XLOOKUP(Acc_Char!$E829,Table4[[#All],[Branch]],Table4[[#All],[Bank]],"recheck",0)</f>
        <v>STANDARD CHARTERED</v>
      </c>
    </row>
    <row r="830" spans="1:9">
      <c r="A830" s="998">
        <f t="shared" si="12"/>
        <v>828</v>
      </c>
      <c r="B830" s="1004" t="s">
        <v>870</v>
      </c>
      <c r="C830" s="1000" t="s">
        <v>3398</v>
      </c>
      <c r="D830" s="932" t="str">
        <f>VLOOKUP($C830,Table1[#All],2,0)</f>
        <v>HOLDCO4W</v>
      </c>
      <c r="E830" s="932" t="s">
        <v>201</v>
      </c>
      <c r="F830" s="998" t="s">
        <v>80</v>
      </c>
      <c r="G830" s="932" t="s">
        <v>342</v>
      </c>
      <c r="H830" s="932" t="str">
        <f>VLOOKUP($C830,Table1[#All],3,0)</f>
        <v>Subsidiaries</v>
      </c>
      <c r="I830" s="932" t="str" cm="1">
        <f t="array" ref="I830">_xlfn.XLOOKUP(Acc_Char!$E830,Table4[[#All],[Branch]],Table4[[#All],[Bank]],"recheck",0)</f>
        <v>STANDARD CHARTERED</v>
      </c>
    </row>
    <row r="831" spans="1:9">
      <c r="A831" s="998">
        <f t="shared" si="12"/>
        <v>829</v>
      </c>
      <c r="B831" s="1004" t="s">
        <v>871</v>
      </c>
      <c r="C831" s="1000" t="s">
        <v>3399</v>
      </c>
      <c r="D831" s="932" t="str">
        <f>VLOOKUP($C831,Table1[#All],2,0)</f>
        <v>HOLDCO4X</v>
      </c>
      <c r="E831" s="932" t="s">
        <v>201</v>
      </c>
      <c r="F831" s="998" t="s">
        <v>80</v>
      </c>
      <c r="G831" s="932" t="s">
        <v>342</v>
      </c>
      <c r="H831" s="932" t="str">
        <f>VLOOKUP($C831,Table1[#All],3,0)</f>
        <v>Subsidiaries</v>
      </c>
      <c r="I831" s="932" t="str" cm="1">
        <f t="array" ref="I831">_xlfn.XLOOKUP(Acc_Char!$E831,Table4[[#All],[Branch]],Table4[[#All],[Bank]],"recheck",0)</f>
        <v>STANDARD CHARTERED</v>
      </c>
    </row>
    <row r="832" spans="1:9">
      <c r="A832" s="998">
        <f t="shared" si="12"/>
        <v>830</v>
      </c>
      <c r="B832" s="1004" t="s">
        <v>872</v>
      </c>
      <c r="C832" s="1000" t="s">
        <v>3401</v>
      </c>
      <c r="D832" s="932" t="str">
        <f>VLOOKUP($C832,Table1[#All],2,0)</f>
        <v>HOLDCO5R</v>
      </c>
      <c r="E832" s="932" t="s">
        <v>201</v>
      </c>
      <c r="F832" s="998" t="s">
        <v>80</v>
      </c>
      <c r="G832" s="932" t="s">
        <v>342</v>
      </c>
      <c r="H832" s="932" t="str">
        <f>VLOOKUP($C832,Table1[#All],3,0)</f>
        <v>Subsidiaries</v>
      </c>
      <c r="I832" s="932" t="str" cm="1">
        <f t="array" ref="I832">_xlfn.XLOOKUP(Acc_Char!$E832,Table4[[#All],[Branch]],Table4[[#All],[Bank]],"recheck",0)</f>
        <v>STANDARD CHARTERED</v>
      </c>
    </row>
    <row r="833" spans="1:9">
      <c r="A833" s="998">
        <f t="shared" si="12"/>
        <v>831</v>
      </c>
      <c r="B833" s="1004" t="s">
        <v>873</v>
      </c>
      <c r="C833" s="1000" t="s">
        <v>3396</v>
      </c>
      <c r="D833" s="932" t="str">
        <f>VLOOKUP($C833,Table1[#All],2,0)</f>
        <v>HOLDCO4Y</v>
      </c>
      <c r="E833" s="932" t="s">
        <v>201</v>
      </c>
      <c r="F833" s="998" t="s">
        <v>80</v>
      </c>
      <c r="G833" s="932" t="s">
        <v>342</v>
      </c>
      <c r="H833" s="932" t="str">
        <f>VLOOKUP($C833,Table1[#All],3,0)</f>
        <v>Subsidiaries</v>
      </c>
      <c r="I833" s="932" t="str" cm="1">
        <f t="array" ref="I833">_xlfn.XLOOKUP(Acc_Char!$E833,Table4[[#All],[Branch]],Table4[[#All],[Bank]],"recheck",0)</f>
        <v>STANDARD CHARTERED</v>
      </c>
    </row>
    <row r="834" spans="1:9">
      <c r="A834" s="998">
        <f t="shared" si="12"/>
        <v>832</v>
      </c>
      <c r="B834" s="1004" t="s">
        <v>874</v>
      </c>
      <c r="C834" s="1000" t="s">
        <v>3400</v>
      </c>
      <c r="D834" s="932" t="str">
        <f>VLOOKUP($C834,Table1[#All],2,0)</f>
        <v>HOLDCO5Q</v>
      </c>
      <c r="E834" s="932" t="s">
        <v>201</v>
      </c>
      <c r="F834" s="998" t="s">
        <v>80</v>
      </c>
      <c r="G834" s="932" t="s">
        <v>342</v>
      </c>
      <c r="H834" s="932" t="str">
        <f>VLOOKUP($C834,Table1[#All],3,0)</f>
        <v>Subsidiaries</v>
      </c>
      <c r="I834" s="932" t="str" cm="1">
        <f t="array" ref="I834">_xlfn.XLOOKUP(Acc_Char!$E834,Table4[[#All],[Branch]],Table4[[#All],[Bank]],"recheck",0)</f>
        <v>STANDARD CHARTERED</v>
      </c>
    </row>
    <row r="835" spans="1:9">
      <c r="A835" s="998">
        <f t="shared" si="12"/>
        <v>833</v>
      </c>
      <c r="B835" s="1004" t="s">
        <v>876</v>
      </c>
      <c r="C835" s="1000" t="s">
        <v>3512</v>
      </c>
      <c r="D835" s="932" t="str">
        <f>VLOOKUP($C835,Table1[#All],2,0)</f>
        <v>NDV HOLDCO 1</v>
      </c>
      <c r="E835" s="932" t="s">
        <v>92</v>
      </c>
      <c r="F835" s="998" t="s">
        <v>80</v>
      </c>
      <c r="G835" s="932" t="s">
        <v>308</v>
      </c>
      <c r="H835" s="932" t="str">
        <f>VLOOKUP($C835,Table1[#All],3,0)</f>
        <v>Subsidiaries</v>
      </c>
      <c r="I835" s="932" t="str" cm="1">
        <f t="array" ref="I835">_xlfn.XLOOKUP(Acc_Char!$E835,Table4[[#All],[Branch]],Table4[[#All],[Bank]],"recheck",0)</f>
        <v>BIDV - THANH XUAN</v>
      </c>
    </row>
    <row r="836" spans="1:9">
      <c r="A836" s="998">
        <f t="shared" ref="A836:A899" si="13">A835+1</f>
        <v>834</v>
      </c>
      <c r="B836" s="1004" t="s">
        <v>878</v>
      </c>
      <c r="C836" s="1000" t="s">
        <v>3513</v>
      </c>
      <c r="D836" s="932" t="str">
        <f>VLOOKUP($C836,Table1[#All],2,0)</f>
        <v>NDV HOLDCO 2</v>
      </c>
      <c r="E836" s="932" t="s">
        <v>92</v>
      </c>
      <c r="F836" s="998" t="s">
        <v>80</v>
      </c>
      <c r="G836" s="932" t="s">
        <v>308</v>
      </c>
      <c r="H836" s="932" t="str">
        <f>VLOOKUP($C836,Table1[#All],3,0)</f>
        <v>Subsidiaries</v>
      </c>
      <c r="I836" s="932" t="str" cm="1">
        <f t="array" ref="I836">_xlfn.XLOOKUP(Acc_Char!$E836,Table4[[#All],[Branch]],Table4[[#All],[Bank]],"recheck",0)</f>
        <v>BIDV - THANH XUAN</v>
      </c>
    </row>
    <row r="837" spans="1:9">
      <c r="A837" s="998">
        <f t="shared" si="13"/>
        <v>835</v>
      </c>
      <c r="B837" s="1004" t="s">
        <v>880</v>
      </c>
      <c r="C837" s="1000" t="s">
        <v>3514</v>
      </c>
      <c r="D837" s="932" t="str">
        <f>VLOOKUP($C837,Table1[#All],2,0)</f>
        <v>YEN PHONG HOLDCO</v>
      </c>
      <c r="E837" s="932" t="s">
        <v>92</v>
      </c>
      <c r="F837" s="998" t="s">
        <v>80</v>
      </c>
      <c r="G837" s="932" t="s">
        <v>308</v>
      </c>
      <c r="H837" s="932" t="str">
        <f>VLOOKUP($C837,Table1[#All],3,0)</f>
        <v>Subsidiaries</v>
      </c>
      <c r="I837" s="932" t="str" cm="1">
        <f t="array" ref="I837">_xlfn.XLOOKUP(Acc_Char!$E837,Table4[[#All],[Branch]],Table4[[#All],[Bank]],"recheck",0)</f>
        <v>BIDV - THANH XUAN</v>
      </c>
    </row>
    <row r="838" spans="1:9">
      <c r="A838" s="998">
        <f t="shared" si="13"/>
        <v>836</v>
      </c>
      <c r="B838" s="1004" t="s">
        <v>881</v>
      </c>
      <c r="C838" s="1000" t="s">
        <v>3514</v>
      </c>
      <c r="D838" s="932" t="str">
        <f>VLOOKUP($C838,Table1[#All],2,0)</f>
        <v>YEN PHONG HOLDCO</v>
      </c>
      <c r="E838" s="932" t="s">
        <v>92</v>
      </c>
      <c r="F838" s="998" t="s">
        <v>80</v>
      </c>
      <c r="G838" s="932" t="s">
        <v>307</v>
      </c>
      <c r="H838" s="932" t="str">
        <f>VLOOKUP($C838,Table1[#All],3,0)</f>
        <v>Subsidiaries</v>
      </c>
      <c r="I838" s="932" t="str" cm="1">
        <f t="array" ref="I838">_xlfn.XLOOKUP(Acc_Char!$E838,Table4[[#All],[Branch]],Table4[[#All],[Bank]],"recheck",0)</f>
        <v>BIDV - THANH XUAN</v>
      </c>
    </row>
    <row r="839" spans="1:9">
      <c r="A839" s="998">
        <f t="shared" si="13"/>
        <v>837</v>
      </c>
      <c r="B839" s="1097" t="s">
        <v>494</v>
      </c>
      <c r="C839" s="1003" t="s">
        <v>389</v>
      </c>
      <c r="D839" s="999" t="str">
        <f>VLOOKUP($C839,Table1[#All],2,0)</f>
        <v>BWID BINH DUONG</v>
      </c>
      <c r="E839" s="999" t="s">
        <v>95</v>
      </c>
      <c r="F839" s="1093" t="s">
        <v>81</v>
      </c>
      <c r="G839" s="999" t="s">
        <v>308</v>
      </c>
      <c r="H839" s="999" t="str">
        <f>VLOOKUP($C839,Table1[#All],3,0)</f>
        <v>BWID JSC</v>
      </c>
      <c r="I839" s="999" t="str" cm="1">
        <f t="array" ref="I839">_xlfn.XLOOKUP(Acc_Char!$E82,Table4[[#All],[Branch]],Table4[[#All],[Bank]],"recheck",0)</f>
        <v>VIETINBANK - TIEN SON</v>
      </c>
    </row>
    <row r="840" spans="1:9">
      <c r="A840" s="998">
        <f t="shared" si="13"/>
        <v>838</v>
      </c>
      <c r="B840" s="1098" t="s">
        <v>3515</v>
      </c>
      <c r="C840" s="1000" t="s">
        <v>3047</v>
      </c>
      <c r="D840" s="932" t="str">
        <f>VLOOKUP($C840,Table1[#All],2,0)</f>
        <v>BW SAIGON LOGISTICS</v>
      </c>
      <c r="E840" s="932" t="s">
        <v>95</v>
      </c>
      <c r="F840" s="998" t="s">
        <v>81</v>
      </c>
      <c r="G840" s="932" t="s">
        <v>308</v>
      </c>
      <c r="H840" s="932" t="str">
        <f>VLOOKUP($C840,Table1[#All],3,0)</f>
        <v>Subsidiaries</v>
      </c>
      <c r="I840" s="932" t="str" cm="1">
        <f t="array" ref="I840">_xlfn.XLOOKUP(Acc_Char!$E204,Table4[[#All],[Branch]],Table4[[#All],[Bank]],"recheck",0)</f>
        <v>VIETINBANK - BINH DUONG + QM</v>
      </c>
    </row>
    <row r="841" spans="1:9">
      <c r="A841" s="998">
        <f t="shared" si="13"/>
        <v>839</v>
      </c>
      <c r="B841" s="1004" t="s">
        <v>885</v>
      </c>
      <c r="C841" s="1000" t="s">
        <v>3516</v>
      </c>
      <c r="D841" s="932" t="str">
        <f>VLOOKUP($C841,Table1[#All],2,0)</f>
        <v>QV2 HOLDCO</v>
      </c>
      <c r="E841" s="932" t="s">
        <v>92</v>
      </c>
      <c r="F841" s="998" t="s">
        <v>80</v>
      </c>
      <c r="G841" s="932" t="s">
        <v>308</v>
      </c>
      <c r="H841" s="932" t="str">
        <f>VLOOKUP($C841,Table1[#All],3,0)</f>
        <v>Subsidiaries</v>
      </c>
      <c r="I841" s="932" t="str" cm="1">
        <f t="array" ref="I841">_xlfn.XLOOKUP(Acc_Char!$E841,Table4[[#All],[Branch]],Table4[[#All],[Bank]],"recheck",0)</f>
        <v>BIDV - THANH XUAN</v>
      </c>
    </row>
    <row r="842" spans="1:9">
      <c r="A842" s="998">
        <f t="shared" si="13"/>
        <v>840</v>
      </c>
      <c r="B842" s="1004" t="s">
        <v>887</v>
      </c>
      <c r="C842" s="1000" t="s">
        <v>428</v>
      </c>
      <c r="D842" s="932" t="str">
        <f>VLOOKUP($C842,Table1[#All],2,0)</f>
        <v>TAY HAI</v>
      </c>
      <c r="E842" s="932" t="s">
        <v>92</v>
      </c>
      <c r="F842" s="998" t="s">
        <v>80</v>
      </c>
      <c r="G842" s="932" t="s">
        <v>308</v>
      </c>
      <c r="H842" s="932" t="str">
        <f>VLOOKUP($C842,Table1[#All],3,0)</f>
        <v>Subsidiaries</v>
      </c>
      <c r="I842" s="932" t="str" cm="1">
        <f t="array" ref="I842">_xlfn.XLOOKUP(Acc_Char!$E842,Table4[[#All],[Branch]],Table4[[#All],[Bank]],"recheck",0)</f>
        <v>BIDV - THANH XUAN</v>
      </c>
    </row>
    <row r="843" spans="1:9">
      <c r="A843" s="998">
        <f t="shared" si="13"/>
        <v>841</v>
      </c>
      <c r="B843" s="1004" t="s">
        <v>3517</v>
      </c>
      <c r="C843" s="1000" t="s">
        <v>428</v>
      </c>
      <c r="D843" s="932" t="str">
        <f>VLOOKUP($C843,Table1[#All],2,0)</f>
        <v>TAY HAI</v>
      </c>
      <c r="E843" s="932" t="s">
        <v>92</v>
      </c>
      <c r="F843" s="998" t="s">
        <v>80</v>
      </c>
      <c r="G843" s="932" t="s">
        <v>310</v>
      </c>
      <c r="H843" s="932" t="str">
        <f>VLOOKUP($C843,Table1[#All],3,0)</f>
        <v>Subsidiaries</v>
      </c>
      <c r="I843" s="932" t="str" cm="1">
        <f t="array" ref="I843">_xlfn.XLOOKUP(Acc_Char!$E843,Table4[[#All],[Branch]],Table4[[#All],[Bank]],"recheck",0)</f>
        <v>BIDV - THANH XUAN</v>
      </c>
    </row>
    <row r="844" spans="1:9">
      <c r="A844" s="998">
        <f t="shared" si="13"/>
        <v>842</v>
      </c>
      <c r="B844" s="1004" t="s">
        <v>889</v>
      </c>
      <c r="C844" s="1000" t="s">
        <v>3518</v>
      </c>
      <c r="D844" s="932" t="str">
        <f>VLOOKUP($C844,Table1[#All],2,0)</f>
        <v>NSHL HOLDCO</v>
      </c>
      <c r="E844" s="932" t="s">
        <v>92</v>
      </c>
      <c r="F844" s="998" t="s">
        <v>80</v>
      </c>
      <c r="G844" s="932" t="s">
        <v>307</v>
      </c>
      <c r="H844" s="932" t="str">
        <f>VLOOKUP($C844,Table1[#All],3,0)</f>
        <v>Subsidiaries</v>
      </c>
      <c r="I844" s="932" t="str" cm="1">
        <f t="array" ref="I844">_xlfn.XLOOKUP(Acc_Char!$E844,Table4[[#All],[Branch]],Table4[[#All],[Bank]],"recheck",0)</f>
        <v>BIDV - THANH XUAN</v>
      </c>
    </row>
    <row r="845" spans="1:9">
      <c r="A845" s="998">
        <f t="shared" si="13"/>
        <v>843</v>
      </c>
      <c r="B845" s="1004" t="s">
        <v>890</v>
      </c>
      <c r="C845" s="1000" t="s">
        <v>3518</v>
      </c>
      <c r="D845" s="932" t="str">
        <f>VLOOKUP($C845,Table1[#All],2,0)</f>
        <v>NSHL HOLDCO</v>
      </c>
      <c r="E845" s="932" t="s">
        <v>92</v>
      </c>
      <c r="F845" s="998" t="s">
        <v>80</v>
      </c>
      <c r="G845" s="932" t="s">
        <v>308</v>
      </c>
      <c r="H845" s="932" t="str">
        <f>VLOOKUP($C845,Table1[#All],3,0)</f>
        <v>Subsidiaries</v>
      </c>
      <c r="I845" s="932" t="str" cm="1">
        <f t="array" ref="I845">_xlfn.XLOOKUP(Acc_Char!$E845,Table4[[#All],[Branch]],Table4[[#All],[Bank]],"recheck",0)</f>
        <v>BIDV - THANH XUAN</v>
      </c>
    </row>
    <row r="846" spans="1:9">
      <c r="A846" s="998">
        <f t="shared" si="13"/>
        <v>844</v>
      </c>
      <c r="B846" s="1004" t="s">
        <v>892</v>
      </c>
      <c r="C846" s="1000" t="s">
        <v>3519</v>
      </c>
      <c r="D846" s="932" t="str">
        <f>VLOOKUP($C846,Table1[#All],2,0)</f>
        <v>NSHL LLC</v>
      </c>
      <c r="E846" s="932" t="s">
        <v>92</v>
      </c>
      <c r="F846" s="998" t="s">
        <v>80</v>
      </c>
      <c r="G846" s="932" t="s">
        <v>308</v>
      </c>
      <c r="H846" s="932" t="str">
        <f>VLOOKUP($C846,Table1[#All],3,0)</f>
        <v>Subsidiaries</v>
      </c>
      <c r="I846" s="932" t="str" cm="1">
        <f t="array" ref="I846">_xlfn.XLOOKUP(Acc_Char!$E846,Table4[[#All],[Branch]],Table4[[#All],[Bank]],"recheck",0)</f>
        <v>BIDV - THANH XUAN</v>
      </c>
    </row>
    <row r="847" spans="1:9">
      <c r="A847" s="998">
        <f t="shared" si="13"/>
        <v>845</v>
      </c>
      <c r="B847" s="1004" t="s">
        <v>893</v>
      </c>
      <c r="C847" s="1000" t="s">
        <v>67</v>
      </c>
      <c r="D847" s="932" t="str">
        <f>VLOOKUP($C847,Table1[#All],2,0)</f>
        <v>SAO HOA</v>
      </c>
      <c r="E847" s="932" t="s">
        <v>191</v>
      </c>
      <c r="F847" s="998" t="s">
        <v>80</v>
      </c>
      <c r="G847" s="932" t="s">
        <v>308</v>
      </c>
      <c r="H847" s="932" t="str">
        <f>VLOOKUP($C847,Table1[#All],3,0)</f>
        <v>VC3</v>
      </c>
      <c r="I847" s="932" t="str" cm="1">
        <f t="array" ref="I847">_xlfn.XLOOKUP(Acc_Char!$E847,Table4[[#All],[Branch]],Table4[[#All],[Bank]],"recheck",0)</f>
        <v>VIETINBANK - TPHCM</v>
      </c>
    </row>
    <row r="848" spans="1:9">
      <c r="A848" s="998">
        <f t="shared" si="13"/>
        <v>846</v>
      </c>
      <c r="B848" s="1002" t="s">
        <v>3520</v>
      </c>
      <c r="C848" s="1003" t="s">
        <v>412</v>
      </c>
      <c r="D848" s="932" t="str">
        <f>VLOOKUP($C848,Table1[#All],2,0)</f>
        <v>DELIWAY</v>
      </c>
      <c r="E848" s="932" t="s">
        <v>340</v>
      </c>
      <c r="F848" s="998" t="s">
        <v>80</v>
      </c>
      <c r="G848" s="932" t="s">
        <v>310</v>
      </c>
      <c r="H848" s="932" t="str">
        <f>VLOOKUP($C848,Table1[#All],3,0)</f>
        <v>Subsidiaries</v>
      </c>
      <c r="I848" s="932" t="str" cm="1">
        <f t="array" ref="I848">_xlfn.XLOOKUP(Acc_Char!$E848,Table4[[#All],[Branch]],Table4[[#All],[Bank]],"recheck",0)</f>
        <v>ACB - SAI GON</v>
      </c>
    </row>
    <row r="849" spans="1:9">
      <c r="A849" s="998">
        <f t="shared" si="13"/>
        <v>847</v>
      </c>
      <c r="B849" s="1004" t="s">
        <v>3521</v>
      </c>
      <c r="C849" s="1000" t="s">
        <v>2888</v>
      </c>
      <c r="D849" s="932" t="str">
        <f>VLOOKUP($C849,Table1[#All],2,0)</f>
        <v>BWID HAI DUONG</v>
      </c>
      <c r="E849" s="932" t="s">
        <v>85</v>
      </c>
      <c r="F849" s="998" t="s">
        <v>80</v>
      </c>
      <c r="G849" s="932" t="s">
        <v>310</v>
      </c>
      <c r="H849" s="932" t="str">
        <f>VLOOKUP($C849,Table1[#All],3,0)</f>
        <v>Subsidiaries</v>
      </c>
      <c r="I849" s="932" t="str" cm="1">
        <f t="array" ref="I849">_xlfn.XLOOKUP(Acc_Char!$E849,Table4[[#All],[Branch]],Table4[[#All],[Bank]],"recheck",0)</f>
        <v>VIETINBANK - TIEN SON</v>
      </c>
    </row>
    <row r="850" spans="1:9">
      <c r="A850" s="998">
        <f t="shared" si="13"/>
        <v>848</v>
      </c>
      <c r="B850" s="1004" t="s">
        <v>3522</v>
      </c>
      <c r="C850" s="1000" t="s">
        <v>432</v>
      </c>
      <c r="D850" s="932" t="str">
        <f>VLOOKUP($C850,Table1[#All],2,0)</f>
        <v>BWID BAC NINH</v>
      </c>
      <c r="E850" s="932" t="s">
        <v>85</v>
      </c>
      <c r="F850" s="998" t="s">
        <v>80</v>
      </c>
      <c r="G850" s="932" t="s">
        <v>310</v>
      </c>
      <c r="H850" s="932" t="str">
        <f>VLOOKUP($C850,Table1[#All],3,0)</f>
        <v>Subsidiaries</v>
      </c>
      <c r="I850" s="932" t="str" cm="1">
        <f t="array" ref="I850">_xlfn.XLOOKUP(Acc_Char!$E850,Table4[[#All],[Branch]],Table4[[#All],[Bank]],"recheck",0)</f>
        <v>VIETINBANK - TIEN SON</v>
      </c>
    </row>
    <row r="851" spans="1:9">
      <c r="A851" s="998">
        <f t="shared" si="13"/>
        <v>849</v>
      </c>
      <c r="B851" s="1004" t="s">
        <v>3523</v>
      </c>
      <c r="C851" s="1000" t="s">
        <v>3237</v>
      </c>
      <c r="D851" s="932" t="str">
        <f>VLOOKUP($C851,Table1[#All],2,0)</f>
        <v>LONG BINH</v>
      </c>
      <c r="E851" s="932" t="s">
        <v>86</v>
      </c>
      <c r="F851" s="998" t="s">
        <v>80</v>
      </c>
      <c r="G851" s="932" t="s">
        <v>310</v>
      </c>
      <c r="H851" s="932" t="str">
        <f>VLOOKUP($C851,Table1[#All],3,0)</f>
        <v>Subsidiaries</v>
      </c>
      <c r="I851" s="932" t="str" cm="1">
        <f t="array" ref="I851">_xlfn.XLOOKUP(Acc_Char!$E851,Table4[[#All],[Branch]],Table4[[#All],[Bank]],"recheck",0)</f>
        <v>VIETINBANK - CN1</v>
      </c>
    </row>
    <row r="852" spans="1:9">
      <c r="A852" s="998">
        <f t="shared" si="13"/>
        <v>850</v>
      </c>
      <c r="B852" s="1004" t="s">
        <v>3524</v>
      </c>
      <c r="C852" s="1000" t="s">
        <v>389</v>
      </c>
      <c r="D852" s="932" t="str">
        <f>VLOOKUP($C852,Table1[#All],2,0)</f>
        <v>BWID BINH DUONG</v>
      </c>
      <c r="E852" s="932" t="s">
        <v>96</v>
      </c>
      <c r="F852" s="998" t="s">
        <v>80</v>
      </c>
      <c r="G852" s="932" t="s">
        <v>310</v>
      </c>
      <c r="H852" s="932" t="str">
        <f>VLOOKUP($C852,Table1[#All],3,0)</f>
        <v>BWID JSC</v>
      </c>
      <c r="I852" s="932" t="str" cm="1">
        <f t="array" ref="I852">_xlfn.XLOOKUP(Acc_Char!$E852,Table4[[#All],[Branch]],Table4[[#All],[Bank]],"recheck",0)</f>
        <v>VIB - HOI SO</v>
      </c>
    </row>
    <row r="853" spans="1:9">
      <c r="A853" s="998">
        <f t="shared" si="13"/>
        <v>851</v>
      </c>
      <c r="B853" s="1004" t="s">
        <v>3525</v>
      </c>
      <c r="C853" s="1000" t="s">
        <v>2915</v>
      </c>
      <c r="D853" s="932" t="str">
        <f>VLOOKUP($C853,Table1[#All],2,0)</f>
        <v>BW DINH VU</v>
      </c>
      <c r="E853" s="932" t="s">
        <v>92</v>
      </c>
      <c r="F853" s="998" t="s">
        <v>80</v>
      </c>
      <c r="G853" s="932" t="s">
        <v>310</v>
      </c>
      <c r="H853" s="932" t="str">
        <f>VLOOKUP($C853,Table1[#All],3,0)</f>
        <v>Subsidiaries</v>
      </c>
      <c r="I853" s="932" t="str" cm="1">
        <f t="array" ref="I853">_xlfn.XLOOKUP(Acc_Char!$E853,Table4[[#All],[Branch]],Table4[[#All],[Bank]],"recheck",0)</f>
        <v>BIDV - THANH XUAN</v>
      </c>
    </row>
    <row r="854" spans="1:9">
      <c r="A854" s="998">
        <f t="shared" si="13"/>
        <v>852</v>
      </c>
      <c r="B854" s="1004" t="s">
        <v>894</v>
      </c>
      <c r="C854" s="1000" t="s">
        <v>403</v>
      </c>
      <c r="D854" s="932" t="str">
        <f>VLOOKUP($C854,Table1[#All],2,0)</f>
        <v>BW SUPLLY CHAIN CITY</v>
      </c>
      <c r="E854" s="932" t="s">
        <v>196</v>
      </c>
      <c r="F854" s="998" t="s">
        <v>80</v>
      </c>
      <c r="G854" s="932" t="s">
        <v>308</v>
      </c>
      <c r="H854" s="932" t="str">
        <f>VLOOKUP($C854,Table1[#All],3,0)</f>
        <v>Subsidiaries</v>
      </c>
      <c r="I854" s="932" t="str" cm="1">
        <f t="array" ref="I854">_xlfn.XLOOKUP(Acc_Char!$E854,Table4[[#All],[Branch]],Table4[[#All],[Bank]],"recheck",0)</f>
        <v>BIDV - GIA DINH</v>
      </c>
    </row>
    <row r="855" spans="1:9">
      <c r="A855" s="998">
        <f t="shared" si="13"/>
        <v>853</v>
      </c>
      <c r="B855" s="1004" t="s">
        <v>895</v>
      </c>
      <c r="C855" s="1000" t="s">
        <v>3393</v>
      </c>
      <c r="D855" s="932" t="str">
        <f>VLOOKUP($C855,Table1[#All],2,0)</f>
        <v>HOLDCO4T</v>
      </c>
      <c r="E855" s="932" t="s">
        <v>92</v>
      </c>
      <c r="F855" s="998" t="s">
        <v>80</v>
      </c>
      <c r="G855" s="932" t="s">
        <v>308</v>
      </c>
      <c r="H855" s="932" t="str">
        <f>VLOOKUP($C855,Table1[#All],3,0)</f>
        <v>Subsidiaries</v>
      </c>
      <c r="I855" s="932" t="str" cm="1">
        <f t="array" ref="I855">_xlfn.XLOOKUP(Acc_Char!$E855,Table4[[#All],[Branch]],Table4[[#All],[Bank]],"recheck",0)</f>
        <v>BIDV - THANH XUAN</v>
      </c>
    </row>
    <row r="856" spans="1:9">
      <c r="A856" s="998">
        <f t="shared" si="13"/>
        <v>854</v>
      </c>
      <c r="B856" s="1004" t="s">
        <v>896</v>
      </c>
      <c r="C856" s="1000" t="s">
        <v>3403</v>
      </c>
      <c r="D856" s="932" t="str">
        <f>VLOOKUP($C856,Table1[#All],2,0)</f>
        <v>HOLDCO5T</v>
      </c>
      <c r="E856" s="932" t="s">
        <v>92</v>
      </c>
      <c r="F856" s="998" t="s">
        <v>80</v>
      </c>
      <c r="G856" s="932" t="s">
        <v>308</v>
      </c>
      <c r="H856" s="932" t="str">
        <f>VLOOKUP($C856,Table1[#All],3,0)</f>
        <v>Subsidiaries</v>
      </c>
      <c r="I856" s="932" t="str" cm="1">
        <f t="array" ref="I856">_xlfn.XLOOKUP(Acc_Char!$E856,Table4[[#All],[Branch]],Table4[[#All],[Bank]],"recheck",0)</f>
        <v>BIDV - THANH XUAN</v>
      </c>
    </row>
    <row r="857" spans="1:9">
      <c r="A857" s="998">
        <f t="shared" si="13"/>
        <v>855</v>
      </c>
      <c r="B857" s="1004" t="s">
        <v>898</v>
      </c>
      <c r="C857" s="1000" t="s">
        <v>459</v>
      </c>
      <c r="D857" s="932" t="str">
        <f>VLOOKUP($C857,Table1[#All],2,0)</f>
        <v>YEN PHONG PROJECT CO</v>
      </c>
      <c r="E857" s="932" t="s">
        <v>92</v>
      </c>
      <c r="F857" s="998" t="s">
        <v>80</v>
      </c>
      <c r="G857" s="932" t="s">
        <v>308</v>
      </c>
      <c r="H857" s="932" t="str">
        <f>VLOOKUP($C857,Table1[#All],3,0)</f>
        <v>Subsidiaries</v>
      </c>
      <c r="I857" s="932" t="str" cm="1">
        <f t="array" ref="I857">_xlfn.XLOOKUP(Acc_Char!$E857,Table4[[#All],[Branch]],Table4[[#All],[Bank]],"recheck",0)</f>
        <v>BIDV - THANH XUAN</v>
      </c>
    </row>
    <row r="858" spans="1:9">
      <c r="A858" s="998">
        <f t="shared" si="13"/>
        <v>856</v>
      </c>
      <c r="B858" s="1098" t="s">
        <v>598</v>
      </c>
      <c r="C858" s="1000" t="s">
        <v>67</v>
      </c>
      <c r="D858" s="932" t="str">
        <f>VLOOKUP($C858,Table1[#All],2,0)</f>
        <v>SAO HOA</v>
      </c>
      <c r="E858" s="932" t="s">
        <v>95</v>
      </c>
      <c r="F858" s="998" t="s">
        <v>81</v>
      </c>
      <c r="G858" s="932" t="s">
        <v>308</v>
      </c>
      <c r="H858" s="932" t="str">
        <f>VLOOKUP($C858,Table1[#All],3,0)</f>
        <v>VC3</v>
      </c>
      <c r="I858" s="932" t="str" cm="1">
        <f t="array" ref="I858">_xlfn.XLOOKUP(Acc_Char!$E334,Table4[[#All],[Branch]],Table4[[#All],[Bank]],"recheck",0)</f>
        <v>VIETINBANK - BINH DUONG + QM</v>
      </c>
    </row>
    <row r="859" spans="1:9">
      <c r="A859" s="998">
        <f t="shared" si="13"/>
        <v>857</v>
      </c>
      <c r="B859" s="1004" t="s">
        <v>901</v>
      </c>
      <c r="C859" s="1000" t="s">
        <v>459</v>
      </c>
      <c r="D859" s="932" t="str">
        <f>VLOOKUP($C859,Table1[#All],2,0)</f>
        <v>YEN PHONG PROJECT CO</v>
      </c>
      <c r="E859" s="932" t="s">
        <v>803</v>
      </c>
      <c r="F859" s="998" t="s">
        <v>80</v>
      </c>
      <c r="G859" s="932" t="s">
        <v>308</v>
      </c>
      <c r="H859" s="932" t="str">
        <f>VLOOKUP($C859,Table1[#All],3,0)</f>
        <v>Subsidiaries</v>
      </c>
      <c r="I859" s="932" t="str" cm="1">
        <f t="array" ref="I859">_xlfn.XLOOKUP(Acc_Char!$E859,Table4[[#All],[Branch]],Table4[[#All],[Bank]],"recheck",0)</f>
        <v>UOB</v>
      </c>
    </row>
    <row r="860" spans="1:9">
      <c r="A860" s="998">
        <f t="shared" si="13"/>
        <v>858</v>
      </c>
      <c r="B860" s="1004" t="s">
        <v>902</v>
      </c>
      <c r="C860" s="1000" t="s">
        <v>459</v>
      </c>
      <c r="D860" s="932" t="str">
        <f>VLOOKUP($C860,Table1[#All],2,0)</f>
        <v>YEN PHONG PROJECT CO</v>
      </c>
      <c r="E860" s="932" t="s">
        <v>803</v>
      </c>
      <c r="F860" s="998" t="s">
        <v>80</v>
      </c>
      <c r="G860" s="932" t="s">
        <v>307</v>
      </c>
      <c r="H860" s="932" t="str">
        <f>VLOOKUP($C860,Table1[#All],3,0)</f>
        <v>Subsidiaries</v>
      </c>
      <c r="I860" s="932" t="str" cm="1">
        <f t="array" ref="I860">_xlfn.XLOOKUP(Acc_Char!$E860,Table4[[#All],[Branch]],Table4[[#All],[Bank]],"recheck",0)</f>
        <v>UOB</v>
      </c>
    </row>
    <row r="861" spans="1:9">
      <c r="A861" s="998">
        <f t="shared" si="13"/>
        <v>859</v>
      </c>
      <c r="B861" s="1002" t="s">
        <v>489</v>
      </c>
      <c r="C861" s="1003" t="s">
        <v>389</v>
      </c>
      <c r="D861" s="999" t="str">
        <f>VLOOKUP($C861,Table1[#All],2,0)</f>
        <v>BWID BINH DUONG</v>
      </c>
      <c r="E861" s="999" t="s">
        <v>487</v>
      </c>
      <c r="F861" s="1093" t="s">
        <v>81</v>
      </c>
      <c r="G861" s="999" t="s">
        <v>308</v>
      </c>
      <c r="H861" s="999" t="str">
        <f>VLOOKUP($C861,Table1[#All],3,0)</f>
        <v>BWID JSC</v>
      </c>
      <c r="I861" s="999" t="str" cm="1">
        <f t="array" ref="I861">_xlfn.XLOOKUP(Acc_Char!$E70,Table4[[#All],[Branch]],Table4[[#All],[Bank]],"recheck",0)</f>
        <v>VIETINBANK - TIEN SON</v>
      </c>
    </row>
    <row r="862" spans="1:9">
      <c r="A862" s="998">
        <f t="shared" si="13"/>
        <v>860</v>
      </c>
      <c r="B862" s="1004" t="s">
        <v>904</v>
      </c>
      <c r="C862" s="1000" t="s">
        <v>459</v>
      </c>
      <c r="D862" s="932" t="str">
        <f>VLOOKUP($C862,Table1[#All],2,0)</f>
        <v>YEN PHONG PROJECT CO</v>
      </c>
      <c r="E862" s="932" t="s">
        <v>803</v>
      </c>
      <c r="F862" s="998" t="s">
        <v>81</v>
      </c>
      <c r="G862" s="932" t="s">
        <v>307</v>
      </c>
      <c r="H862" s="932" t="str">
        <f>VLOOKUP($C862,Table1[#All],3,0)</f>
        <v>Subsidiaries</v>
      </c>
      <c r="I862" s="932" t="str" cm="1">
        <f t="array" ref="I862">_xlfn.XLOOKUP(Acc_Char!$E862,Table4[[#All],[Branch]],Table4[[#All],[Bank]],"recheck",0)</f>
        <v>UOB</v>
      </c>
    </row>
    <row r="863" spans="1:9">
      <c r="A863" s="998">
        <f t="shared" si="13"/>
        <v>861</v>
      </c>
      <c r="B863" s="1004" t="s">
        <v>906</v>
      </c>
      <c r="C863" s="1000" t="s">
        <v>3190</v>
      </c>
      <c r="D863" s="932" t="str">
        <f>VLOOKUP($C863,Table1[#All],2,0)</f>
        <v>NDV PROJECT CO</v>
      </c>
      <c r="E863" s="932" t="s">
        <v>92</v>
      </c>
      <c r="F863" s="998" t="s">
        <v>80</v>
      </c>
      <c r="G863" s="932" t="s">
        <v>308</v>
      </c>
      <c r="H863" s="932" t="str">
        <f>VLOOKUP($C863,Table1[#All],3,0)</f>
        <v>Subsidiaries</v>
      </c>
      <c r="I863" s="932" t="str" cm="1">
        <f t="array" ref="I863">_xlfn.XLOOKUP(Acc_Char!$E863,Table4[[#All],[Branch]],Table4[[#All],[Bank]],"recheck",0)</f>
        <v>BIDV - THANH XUAN</v>
      </c>
    </row>
    <row r="864" spans="1:9">
      <c r="A864" s="998">
        <f t="shared" si="13"/>
        <v>862</v>
      </c>
      <c r="B864" s="1098" t="s">
        <v>596</v>
      </c>
      <c r="C864" s="1000" t="s">
        <v>67</v>
      </c>
      <c r="D864" s="932" t="str">
        <f>VLOOKUP($C864,Table1[#All],2,0)</f>
        <v>SAO HOA</v>
      </c>
      <c r="E864" s="932" t="s">
        <v>97</v>
      </c>
      <c r="F864" s="998" t="s">
        <v>81</v>
      </c>
      <c r="G864" s="932" t="s">
        <v>308</v>
      </c>
      <c r="H864" s="932" t="str">
        <f>VLOOKUP($C864,Table1[#All],3,0)</f>
        <v>VC3</v>
      </c>
      <c r="I864" s="932" t="str" cm="1">
        <f t="array" ref="I864">_xlfn.XLOOKUP(Acc_Char!$E332,Table4[[#All],[Branch]],Table4[[#All],[Bank]],"recheck",0)</f>
        <v>VIETINBANK - BINH DUONG + QM</v>
      </c>
    </row>
    <row r="865" spans="1:9">
      <c r="A865" s="998">
        <f t="shared" si="13"/>
        <v>863</v>
      </c>
      <c r="B865" s="1004" t="s">
        <v>908</v>
      </c>
      <c r="C865" s="1000" t="s">
        <v>3190</v>
      </c>
      <c r="D865" s="932" t="str">
        <f>VLOOKUP($C865,Table1[#All],2,0)</f>
        <v>NDV PROJECT CO</v>
      </c>
      <c r="E865" s="932" t="s">
        <v>803</v>
      </c>
      <c r="F865" s="998" t="s">
        <v>80</v>
      </c>
      <c r="G865" s="932" t="s">
        <v>308</v>
      </c>
      <c r="H865" s="932" t="str">
        <f>VLOOKUP($C865,Table1[#All],3,0)</f>
        <v>Subsidiaries</v>
      </c>
      <c r="I865" s="932" t="str" cm="1">
        <f t="array" ref="I865">_xlfn.XLOOKUP(Acc_Char!$E865,Table4[[#All],[Branch]],Table4[[#All],[Bank]],"recheck",0)</f>
        <v>UOB</v>
      </c>
    </row>
    <row r="866" spans="1:9">
      <c r="A866" s="998">
        <f t="shared" si="13"/>
        <v>864</v>
      </c>
      <c r="B866" s="1004" t="s">
        <v>909</v>
      </c>
      <c r="C866" s="1000" t="s">
        <v>3190</v>
      </c>
      <c r="D866" s="932" t="str">
        <f>VLOOKUP($C866,Table1[#All],2,0)</f>
        <v>NDV PROJECT CO</v>
      </c>
      <c r="E866" s="932" t="s">
        <v>803</v>
      </c>
      <c r="F866" s="998" t="s">
        <v>80</v>
      </c>
      <c r="G866" s="932" t="s">
        <v>307</v>
      </c>
      <c r="H866" s="932" t="str">
        <f>VLOOKUP($C866,Table1[#All],3,0)</f>
        <v>Subsidiaries</v>
      </c>
      <c r="I866" s="932" t="str" cm="1">
        <f t="array" ref="I866">_xlfn.XLOOKUP(Acc_Char!$E866,Table4[[#All],[Branch]],Table4[[#All],[Bank]],"recheck",0)</f>
        <v>UOB</v>
      </c>
    </row>
    <row r="867" spans="1:9">
      <c r="A867" s="998">
        <f t="shared" si="13"/>
        <v>865</v>
      </c>
      <c r="B867" s="1004" t="s">
        <v>806</v>
      </c>
      <c r="C867" s="1000" t="s">
        <v>389</v>
      </c>
      <c r="D867" s="932" t="str">
        <f>VLOOKUP($C867,Table1[#All],2,0)</f>
        <v>BWID BINH DUONG</v>
      </c>
      <c r="E867" s="932" t="s">
        <v>341</v>
      </c>
      <c r="F867" s="998" t="s">
        <v>81</v>
      </c>
      <c r="G867" s="932" t="s">
        <v>308</v>
      </c>
      <c r="H867" s="932" t="str">
        <f>VLOOKUP($C867,Table1[#All],3,0)</f>
        <v>BWID JSC</v>
      </c>
      <c r="I867" s="932" t="str" cm="1">
        <f t="array" ref="I867">_xlfn.XLOOKUP(Acc_Char!$E711,Table4[[#All],[Branch]],Table4[[#All],[Bank]],"recheck",0)</f>
        <v>SINOPAC</v>
      </c>
    </row>
    <row r="868" spans="1:9">
      <c r="A868" s="998">
        <f t="shared" si="13"/>
        <v>866</v>
      </c>
      <c r="B868" s="1004" t="s">
        <v>911</v>
      </c>
      <c r="C868" s="1000" t="s">
        <v>3190</v>
      </c>
      <c r="D868" s="932" t="str">
        <f>VLOOKUP($C868,Table1[#All],2,0)</f>
        <v>NDV PROJECT CO</v>
      </c>
      <c r="E868" s="932" t="s">
        <v>803</v>
      </c>
      <c r="F868" s="998" t="s">
        <v>81</v>
      </c>
      <c r="G868" s="932" t="s">
        <v>307</v>
      </c>
      <c r="H868" s="932" t="str">
        <f>VLOOKUP($C868,Table1[#All],3,0)</f>
        <v>Subsidiaries</v>
      </c>
      <c r="I868" s="932" t="str" cm="1">
        <f t="array" ref="I868">_xlfn.XLOOKUP(Acc_Char!$E868,Table4[[#All],[Branch]],Table4[[#All],[Bank]],"recheck",0)</f>
        <v>UOB</v>
      </c>
    </row>
    <row r="869" spans="1:9">
      <c r="A869" s="998">
        <f t="shared" si="13"/>
        <v>867</v>
      </c>
      <c r="B869" s="1004" t="s">
        <v>913</v>
      </c>
      <c r="C869" s="1000" t="s">
        <v>456</v>
      </c>
      <c r="D869" s="932" t="str">
        <f>VLOOKUP($C869,Table1[#All],2,0)</f>
        <v>DONG TIEN PHONG</v>
      </c>
      <c r="E869" s="932" t="s">
        <v>155</v>
      </c>
      <c r="F869" s="998" t="s">
        <v>80</v>
      </c>
      <c r="G869" s="932" t="s">
        <v>308</v>
      </c>
      <c r="H869" s="932" t="str">
        <f>VLOOKUP($C869,Table1[#All],3,0)</f>
        <v>Subsidiaries</v>
      </c>
      <c r="I869" s="932" t="str" cm="1">
        <f t="array" ref="I869">_xlfn.XLOOKUP(Acc_Char!$E869,Table4[[#All],[Branch]],Table4[[#All],[Bank]],"recheck",0)</f>
        <v>VIETINBANK - BINH DUONG + QM</v>
      </c>
    </row>
    <row r="870" spans="1:9">
      <c r="A870" s="998">
        <f t="shared" si="13"/>
        <v>868</v>
      </c>
      <c r="B870" s="1004" t="s">
        <v>3526</v>
      </c>
      <c r="C870" s="1000" t="s">
        <v>67</v>
      </c>
      <c r="D870" s="932" t="str">
        <f>VLOOKUP($C870,Table1[#All],2,0)</f>
        <v>SAO HOA</v>
      </c>
      <c r="E870" s="932" t="s">
        <v>197</v>
      </c>
      <c r="F870" s="998" t="s">
        <v>81</v>
      </c>
      <c r="G870" s="932" t="s">
        <v>309</v>
      </c>
      <c r="H870" s="932" t="str">
        <f>VLOOKUP($C870,Table1[#All],3,0)</f>
        <v>VC3</v>
      </c>
      <c r="I870" s="932" t="str" cm="1">
        <f t="array" ref="I870">_xlfn.XLOOKUP(Acc_Char!$E356,Table4[[#All],[Branch]],Table4[[#All],[Bank]],"recheck",0)</f>
        <v>VIETCOMBANK - HCM</v>
      </c>
    </row>
    <row r="871" spans="1:9">
      <c r="A871" s="998">
        <f t="shared" si="13"/>
        <v>869</v>
      </c>
      <c r="B871" s="1002" t="s">
        <v>471</v>
      </c>
      <c r="C871" s="1003" t="s">
        <v>389</v>
      </c>
      <c r="D871" s="999" t="str">
        <f>VLOOKUP($C871,Table1[#All],2,0)</f>
        <v>BWID BINH DUONG</v>
      </c>
      <c r="E871" s="999" t="s">
        <v>92</v>
      </c>
      <c r="F871" s="1093" t="s">
        <v>81</v>
      </c>
      <c r="G871" s="999" t="s">
        <v>308</v>
      </c>
      <c r="H871" s="999" t="str">
        <f>VLOOKUP($C871,Table1[#All],3,0)</f>
        <v>BWID JSC</v>
      </c>
      <c r="I871" s="999" t="str" cm="1">
        <f t="array" ref="I871">_xlfn.XLOOKUP(Acc_Char!$E6,Table4[[#All],[Branch]],Table4[[#All],[Bank]],"recheck",0)</f>
        <v>VIETINBANK - TIEN SON</v>
      </c>
    </row>
    <row r="872" spans="1:9">
      <c r="A872" s="998">
        <f t="shared" si="13"/>
        <v>870</v>
      </c>
      <c r="B872" s="1004" t="s">
        <v>916</v>
      </c>
      <c r="C872" s="1000" t="s">
        <v>3516</v>
      </c>
      <c r="D872" s="932" t="str">
        <f>VLOOKUP($C872,Table1[#All],2,0)</f>
        <v>QV2 HOLDCO</v>
      </c>
      <c r="E872" s="932" t="s">
        <v>92</v>
      </c>
      <c r="F872" s="998" t="s">
        <v>80</v>
      </c>
      <c r="G872" s="932" t="s">
        <v>310</v>
      </c>
      <c r="H872" s="932" t="str">
        <f>VLOOKUP($C872,Table1[#All],3,0)</f>
        <v>Subsidiaries</v>
      </c>
      <c r="I872" s="932" t="str" cm="1">
        <f t="array" ref="I872">_xlfn.XLOOKUP(Acc_Char!$E872,Table4[[#All],[Branch]],Table4[[#All],[Bank]],"recheck",0)</f>
        <v>BIDV - THANH XUAN</v>
      </c>
    </row>
    <row r="873" spans="1:9">
      <c r="A873" s="998">
        <f t="shared" si="13"/>
        <v>871</v>
      </c>
      <c r="B873" s="1004" t="s">
        <v>3527</v>
      </c>
      <c r="C873" s="1000" t="s">
        <v>3393</v>
      </c>
      <c r="D873" s="932" t="str">
        <f>VLOOKUP($C873,Table1[#All],2,0)</f>
        <v>HOLDCO4T</v>
      </c>
      <c r="E873" s="932" t="s">
        <v>92</v>
      </c>
      <c r="F873" s="998" t="s">
        <v>80</v>
      </c>
      <c r="G873" s="932" t="s">
        <v>342</v>
      </c>
      <c r="H873" s="932" t="str">
        <f>VLOOKUP($C873,Table1[#All],3,0)</f>
        <v>Subsidiaries</v>
      </c>
      <c r="I873" s="932" t="str" cm="1">
        <f t="array" ref="I873">_xlfn.XLOOKUP(Acc_Char!$E873,Table4[[#All],[Branch]],Table4[[#All],[Bank]],"recheck",0)</f>
        <v>BIDV - THANH XUAN</v>
      </c>
    </row>
    <row r="874" spans="1:9">
      <c r="A874" s="998">
        <f t="shared" si="13"/>
        <v>872</v>
      </c>
      <c r="B874" s="1004" t="s">
        <v>3528</v>
      </c>
      <c r="C874" s="1000" t="s">
        <v>3393</v>
      </c>
      <c r="D874" s="932" t="str">
        <f>VLOOKUP($C874,Table1[#All],2,0)</f>
        <v>HOLDCO4T</v>
      </c>
      <c r="E874" s="932" t="s">
        <v>92</v>
      </c>
      <c r="F874" s="998" t="s">
        <v>80</v>
      </c>
      <c r="G874" s="932" t="s">
        <v>310</v>
      </c>
      <c r="H874" s="932" t="str">
        <f>VLOOKUP($C874,Table1[#All],3,0)</f>
        <v>Subsidiaries</v>
      </c>
      <c r="I874" s="932" t="str" cm="1">
        <f t="array" ref="I874">_xlfn.XLOOKUP(Acc_Char!$E874,Table4[[#All],[Branch]],Table4[[#All],[Bank]],"recheck",0)</f>
        <v>BIDV - THANH XUAN</v>
      </c>
    </row>
    <row r="875" spans="1:9">
      <c r="A875" s="998">
        <f t="shared" si="13"/>
        <v>873</v>
      </c>
      <c r="B875" s="1002" t="s">
        <v>550</v>
      </c>
      <c r="C875" s="1003" t="s">
        <v>2915</v>
      </c>
      <c r="D875" s="999" t="str">
        <f>VLOOKUP($C875,Table1[#All],2,0)</f>
        <v>BW DINH VU</v>
      </c>
      <c r="E875" s="999" t="s">
        <v>92</v>
      </c>
      <c r="F875" s="1093" t="s">
        <v>81</v>
      </c>
      <c r="G875" s="999" t="s">
        <v>308</v>
      </c>
      <c r="H875" s="999" t="str">
        <f>VLOOKUP($C875,Table1[#All],3,0)</f>
        <v>Subsidiaries</v>
      </c>
      <c r="I875" s="999" t="str" cm="1">
        <f t="array" ref="I875">_xlfn.XLOOKUP(Acc_Char!$E221,Table4[[#All],[Branch]],Table4[[#All],[Bank]],"recheck",0)</f>
        <v>VIETINBANK - BINH DUONG + QM</v>
      </c>
    </row>
    <row r="876" spans="1:9">
      <c r="A876" s="998">
        <f t="shared" si="13"/>
        <v>874</v>
      </c>
      <c r="B876" s="1004" t="s">
        <v>3529</v>
      </c>
      <c r="C876" s="1000" t="s">
        <v>430</v>
      </c>
      <c r="D876" s="932" t="str">
        <f>VLOOKUP($C876,Table1[#All],2,0)</f>
        <v>KIM TRUC DN</v>
      </c>
      <c r="E876" s="932" t="s">
        <v>93</v>
      </c>
      <c r="F876" s="998" t="s">
        <v>80</v>
      </c>
      <c r="G876" s="932" t="s">
        <v>342</v>
      </c>
      <c r="H876" s="932" t="str">
        <f>VLOOKUP($C876,Table1[#All],3,0)</f>
        <v>Subsidiaries</v>
      </c>
      <c r="I876" s="932" t="str" cm="1">
        <f t="array" ref="I876">_xlfn.XLOOKUP(Acc_Char!$E876,Table4[[#All],[Branch]],Table4[[#All],[Bank]],"recheck",0)</f>
        <v>BIDV - NAM SAI GON</v>
      </c>
    </row>
    <row r="877" spans="1:9">
      <c r="A877" s="998">
        <f t="shared" si="13"/>
        <v>875</v>
      </c>
      <c r="B877" s="1004" t="s">
        <v>3530</v>
      </c>
      <c r="C877" s="1000" t="s">
        <v>445</v>
      </c>
      <c r="D877" s="932" t="str">
        <f>VLOOKUP($C877,Table1[#All],2,0)</f>
        <v>BW PHU NGHIA</v>
      </c>
      <c r="E877" s="932" t="s">
        <v>92</v>
      </c>
      <c r="F877" s="998" t="s">
        <v>80</v>
      </c>
      <c r="G877" s="932" t="s">
        <v>310</v>
      </c>
      <c r="H877" s="932" t="str">
        <f>VLOOKUP($C877,Table1[#All],3,0)</f>
        <v>Subsidiaries</v>
      </c>
      <c r="I877" s="932" t="str" cm="1">
        <f t="array" ref="I877">_xlfn.XLOOKUP(Acc_Char!$E877,Table4[[#All],[Branch]],Table4[[#All],[Bank]],"recheck",0)</f>
        <v>BIDV - THANH XUAN</v>
      </c>
    </row>
    <row r="878" spans="1:9">
      <c r="A878" s="998">
        <f t="shared" si="13"/>
        <v>876</v>
      </c>
      <c r="B878" s="1004" t="s">
        <v>918</v>
      </c>
      <c r="C878" s="1000" t="s">
        <v>445</v>
      </c>
      <c r="D878" s="932" t="str">
        <f>VLOOKUP($C878,Table1[#All],2,0)</f>
        <v>BW PHU NGHIA</v>
      </c>
      <c r="E878" s="932" t="s">
        <v>92</v>
      </c>
      <c r="F878" s="998" t="s">
        <v>80</v>
      </c>
      <c r="G878" s="932" t="s">
        <v>310</v>
      </c>
      <c r="H878" s="932" t="str">
        <f>VLOOKUP($C878,Table1[#All],3,0)</f>
        <v>Subsidiaries</v>
      </c>
      <c r="I878" s="932" t="str" cm="1">
        <f t="array" ref="I878">_xlfn.XLOOKUP(Acc_Char!$E878,Table4[[#All],[Branch]],Table4[[#All],[Bank]],"recheck",0)</f>
        <v>BIDV - THANH XUAN</v>
      </c>
    </row>
    <row r="879" spans="1:9">
      <c r="A879" s="998">
        <f t="shared" si="13"/>
        <v>877</v>
      </c>
      <c r="B879" s="1004" t="s">
        <v>3531</v>
      </c>
      <c r="C879" s="1000" t="s">
        <v>445</v>
      </c>
      <c r="D879" s="932" t="str">
        <f>VLOOKUP($C879,Table1[#All],2,0)</f>
        <v>BW PHU NGHIA</v>
      </c>
      <c r="E879" s="932" t="s">
        <v>92</v>
      </c>
      <c r="F879" s="998" t="s">
        <v>80</v>
      </c>
      <c r="G879" s="932" t="s">
        <v>310</v>
      </c>
      <c r="H879" s="932" t="str">
        <f>VLOOKUP($C879,Table1[#All],3,0)</f>
        <v>Subsidiaries</v>
      </c>
      <c r="I879" s="932" t="str" cm="1">
        <f t="array" ref="I879">_xlfn.XLOOKUP(Acc_Char!$E879,Table4[[#All],[Branch]],Table4[[#All],[Bank]],"recheck",0)</f>
        <v>BIDV - THANH XUAN</v>
      </c>
    </row>
    <row r="880" spans="1:9">
      <c r="A880" s="998">
        <f t="shared" si="13"/>
        <v>878</v>
      </c>
      <c r="B880" s="1004" t="s">
        <v>3532</v>
      </c>
      <c r="C880" s="1000" t="s">
        <v>2888</v>
      </c>
      <c r="D880" s="932" t="str">
        <f>VLOOKUP($C880,Table1[#All],2,0)</f>
        <v>BWID HAI DUONG</v>
      </c>
      <c r="E880" s="932" t="s">
        <v>85</v>
      </c>
      <c r="F880" s="998" t="s">
        <v>80</v>
      </c>
      <c r="G880" s="932" t="s">
        <v>310</v>
      </c>
      <c r="H880" s="932" t="str">
        <f>VLOOKUP($C880,Table1[#All],3,0)</f>
        <v>Subsidiaries</v>
      </c>
      <c r="I880" s="932" t="str" cm="1">
        <f t="array" ref="I880">_xlfn.XLOOKUP(Acc_Char!$E880,Table4[[#All],[Branch]],Table4[[#All],[Bank]],"recheck",0)</f>
        <v>VIETINBANK - TIEN SON</v>
      </c>
    </row>
    <row r="881" spans="1:11">
      <c r="A881" s="998">
        <f t="shared" si="13"/>
        <v>879</v>
      </c>
      <c r="B881" s="1004" t="s">
        <v>3533</v>
      </c>
      <c r="C881" s="1000" t="s">
        <v>2895</v>
      </c>
      <c r="D881" s="932" t="str">
        <f>VLOOKUP($C881,Table1[#All],2,0)</f>
        <v>BWID HAI DUONG 2</v>
      </c>
      <c r="E881" s="932" t="s">
        <v>85</v>
      </c>
      <c r="F881" s="998" t="s">
        <v>80</v>
      </c>
      <c r="G881" s="932" t="s">
        <v>310</v>
      </c>
      <c r="H881" s="932" t="str">
        <f>VLOOKUP($C881,Table1[#All],3,0)</f>
        <v>Subsidiaries</v>
      </c>
      <c r="I881" s="932" t="str" cm="1">
        <f t="array" ref="I881">_xlfn.XLOOKUP(Acc_Char!$E881,Table4[[#All],[Branch]],Table4[[#All],[Bank]],"recheck",0)</f>
        <v>VIETINBANK - TIEN SON</v>
      </c>
    </row>
    <row r="882" spans="1:11">
      <c r="A882" s="998">
        <f t="shared" si="13"/>
        <v>880</v>
      </c>
      <c r="B882" s="1004" t="s">
        <v>3534</v>
      </c>
      <c r="C882" s="1000" t="s">
        <v>3160</v>
      </c>
      <c r="D882" s="932" t="str">
        <f>VLOOKUP($C882,Table1[#All],2,0)</f>
        <v>BWID Tan Phu Trung</v>
      </c>
      <c r="E882" s="932" t="s">
        <v>85</v>
      </c>
      <c r="F882" s="998" t="s">
        <v>80</v>
      </c>
      <c r="G882" s="932" t="s">
        <v>310</v>
      </c>
      <c r="H882" s="932" t="str">
        <f>VLOOKUP($C882,Table1[#All],3,0)</f>
        <v>Subsidiaries</v>
      </c>
      <c r="I882" s="932" t="str" cm="1">
        <f t="array" ref="I882">_xlfn.XLOOKUP(Acc_Char!$E882,Table4[[#All],[Branch]],Table4[[#All],[Bank]],"recheck",0)</f>
        <v>VIETINBANK - TIEN SON</v>
      </c>
    </row>
    <row r="883" spans="1:11">
      <c r="A883" s="998">
        <f t="shared" si="13"/>
        <v>881</v>
      </c>
      <c r="B883" s="1004" t="s">
        <v>3535</v>
      </c>
      <c r="C883" s="1000" t="s">
        <v>3272</v>
      </c>
      <c r="D883" s="932" t="str">
        <f>VLOOKUP($C883,Table1[#All],2,0)</f>
        <v>SUPPLY CHAIN 2A</v>
      </c>
      <c r="E883" s="932" t="s">
        <v>96</v>
      </c>
      <c r="F883" s="998" t="s">
        <v>80</v>
      </c>
      <c r="G883" s="932" t="s">
        <v>310</v>
      </c>
      <c r="H883" s="932" t="str">
        <f>VLOOKUP($C883,Table1[#All],3,0)</f>
        <v>Subsidiaries</v>
      </c>
      <c r="I883" s="932" t="str" cm="1">
        <f t="array" ref="I883">_xlfn.XLOOKUP(Acc_Char!$E883,Table4[[#All],[Branch]],Table4[[#All],[Bank]],"recheck",0)</f>
        <v>VIB - HOI SO</v>
      </c>
    </row>
    <row r="884" spans="1:11">
      <c r="A884" s="998">
        <f t="shared" si="13"/>
        <v>882</v>
      </c>
      <c r="B884" s="1004" t="s">
        <v>3536</v>
      </c>
      <c r="C884" s="1000" t="s">
        <v>440</v>
      </c>
      <c r="D884" s="932" t="str">
        <f>VLOOKUP($C884,Table1[#All],2,0)</f>
        <v>BW NAM DINH VU</v>
      </c>
      <c r="E884" s="932" t="s">
        <v>94</v>
      </c>
      <c r="F884" s="998" t="s">
        <v>80</v>
      </c>
      <c r="G884" s="932" t="s">
        <v>310</v>
      </c>
      <c r="H884" s="932" t="str">
        <f>VLOOKUP($C884,Table1[#All],3,0)</f>
        <v>Subsidiaries</v>
      </c>
      <c r="I884" s="932" t="str" cm="1">
        <f t="array" ref="I884">_xlfn.XLOOKUP(Acc_Char!$E884,Table4[[#All],[Branch]],Table4[[#All],[Bank]],"recheck",0)</f>
        <v>BIDV - LONG BIEN</v>
      </c>
    </row>
    <row r="885" spans="1:11">
      <c r="A885" s="998">
        <f t="shared" si="13"/>
        <v>883</v>
      </c>
      <c r="B885" s="1004" t="s">
        <v>3537</v>
      </c>
      <c r="C885" s="1000" t="s">
        <v>430</v>
      </c>
      <c r="D885" s="932" t="str">
        <f>VLOOKUP($C885,Table1[#All],2,0)</f>
        <v>KIM TRUC DN</v>
      </c>
      <c r="E885" s="932" t="s">
        <v>93</v>
      </c>
      <c r="F885" s="998" t="s">
        <v>80</v>
      </c>
      <c r="G885" s="932" t="s">
        <v>310</v>
      </c>
      <c r="H885" s="932" t="str">
        <f>VLOOKUP($C885,Table1[#All],3,0)</f>
        <v>Subsidiaries</v>
      </c>
      <c r="I885" s="932" t="str" cm="1">
        <f t="array" ref="I885">_xlfn.XLOOKUP(Acc_Char!$E885,Table4[[#All],[Branch]],Table4[[#All],[Bank]],"recheck",0)</f>
        <v>BIDV - NAM SAI GON</v>
      </c>
    </row>
    <row r="886" spans="1:11">
      <c r="A886" s="998">
        <f t="shared" si="13"/>
        <v>884</v>
      </c>
      <c r="B886" s="1004" t="s">
        <v>3538</v>
      </c>
      <c r="C886" s="1000" t="s">
        <v>3280</v>
      </c>
      <c r="D886" s="932" t="str">
        <f>VLOOKUP($C886,Table1[#All],2,0)</f>
        <v>BAC TIEN PHONG</v>
      </c>
      <c r="E886" s="932" t="s">
        <v>92</v>
      </c>
      <c r="F886" s="998" t="s">
        <v>80</v>
      </c>
      <c r="G886" s="932" t="s">
        <v>310</v>
      </c>
      <c r="H886" s="932" t="str">
        <f>VLOOKUP($C886,Table1[#All],3,0)</f>
        <v>Subsidiaries</v>
      </c>
      <c r="I886" s="932" t="str" cm="1">
        <f t="array" ref="I886">_xlfn.XLOOKUP(Acc_Char!$E886,Table4[[#All],[Branch]],Table4[[#All],[Bank]],"recheck",0)</f>
        <v>BIDV - THANH XUAN</v>
      </c>
    </row>
    <row r="887" spans="1:11">
      <c r="A887" s="998">
        <f t="shared" si="13"/>
        <v>885</v>
      </c>
      <c r="B887" s="1004" t="s">
        <v>3539</v>
      </c>
      <c r="C887" s="1000" t="s">
        <v>403</v>
      </c>
      <c r="D887" s="932" t="str">
        <f>VLOOKUP($C887,Table1[#All],2,0)</f>
        <v>BW SUPLLY CHAIN CITY</v>
      </c>
      <c r="E887" s="932" t="s">
        <v>91</v>
      </c>
      <c r="F887" s="998" t="s">
        <v>80</v>
      </c>
      <c r="G887" s="932" t="s">
        <v>310</v>
      </c>
      <c r="H887" s="932" t="str">
        <f>VLOOKUP($C887,Table1[#All],3,0)</f>
        <v>Subsidiaries</v>
      </c>
      <c r="I887" s="932" t="str" cm="1">
        <f t="array" ref="I887">_xlfn.XLOOKUP(Acc_Char!$E887,Table4[[#All],[Branch]],Table4[[#All],[Bank]],"recheck",0)</f>
        <v>VIETCOMBANK - HCM</v>
      </c>
    </row>
    <row r="888" spans="1:11">
      <c r="A888" s="998">
        <f t="shared" si="13"/>
        <v>886</v>
      </c>
      <c r="B888" s="1004" t="s">
        <v>920</v>
      </c>
      <c r="C888" s="1000" t="s">
        <v>3540</v>
      </c>
      <c r="D888" s="932" t="str">
        <f>VLOOKUP($C888,Table1[#All],2,0)</f>
        <v>HOLDCO S4C</v>
      </c>
      <c r="E888" s="932" t="s">
        <v>85</v>
      </c>
      <c r="F888" s="998" t="s">
        <v>80</v>
      </c>
      <c r="G888" s="932" t="s">
        <v>308</v>
      </c>
      <c r="H888" s="932" t="str">
        <f>VLOOKUP($C888,Table1[#All],3,0)</f>
        <v>Subsidiaries</v>
      </c>
      <c r="I888" s="932" t="str" cm="1">
        <f t="array" ref="I888">_xlfn.XLOOKUP(Acc_Char!$E888,Table4[[#All],[Branch]],Table4[[#All],[Bank]],"recheck",0)</f>
        <v>VIETINBANK - TIEN SON</v>
      </c>
    </row>
    <row r="889" spans="1:11">
      <c r="A889" s="998">
        <f t="shared" si="13"/>
        <v>887</v>
      </c>
      <c r="B889" s="1004" t="s">
        <v>3541</v>
      </c>
      <c r="C889" s="1000" t="s">
        <v>389</v>
      </c>
      <c r="D889" s="932" t="str">
        <f>VLOOKUP($C889,Table1[#All],2,0)</f>
        <v>BWID BINH DUONG</v>
      </c>
      <c r="E889" s="932" t="s">
        <v>339</v>
      </c>
      <c r="F889" s="998" t="s">
        <v>80</v>
      </c>
      <c r="G889" s="932" t="s">
        <v>310</v>
      </c>
      <c r="H889" s="932" t="str">
        <f>VLOOKUP($C889,Table1[#All],3,0)</f>
        <v>BWID JSC</v>
      </c>
      <c r="I889" s="932" t="str" cm="1">
        <f t="array" ref="I889">_xlfn.XLOOKUP(Acc_Char!$E889,Table4[[#All],[Branch]],Table4[[#All],[Bank]],"recheck",0)</f>
        <v>ACB - HCM</v>
      </c>
    </row>
    <row r="890" spans="1:11">
      <c r="A890" s="998">
        <f t="shared" si="13"/>
        <v>888</v>
      </c>
      <c r="B890" s="1004" t="s">
        <v>3542</v>
      </c>
      <c r="C890" s="1000" t="s">
        <v>389</v>
      </c>
      <c r="D890" s="932" t="str">
        <f>VLOOKUP($C890,Table1[#All],2,0)</f>
        <v>BWID BINH DUONG</v>
      </c>
      <c r="E890" s="932" t="s">
        <v>339</v>
      </c>
      <c r="F890" s="998" t="s">
        <v>80</v>
      </c>
      <c r="G890" s="932" t="s">
        <v>310</v>
      </c>
      <c r="H890" s="932" t="str">
        <f>VLOOKUP($C890,Table1[#All],3,0)</f>
        <v>BWID JSC</v>
      </c>
      <c r="I890" s="932" t="str" cm="1">
        <f t="array" ref="I890">_xlfn.XLOOKUP(Acc_Char!$E890,Table4[[#All],[Branch]],Table4[[#All],[Bank]],"recheck",0)</f>
        <v>ACB - HCM</v>
      </c>
    </row>
    <row r="891" spans="1:11">
      <c r="A891" s="998">
        <f t="shared" si="13"/>
        <v>889</v>
      </c>
      <c r="B891" s="1004" t="s">
        <v>3543</v>
      </c>
      <c r="C891" s="1000" t="s">
        <v>2998</v>
      </c>
      <c r="D891" s="932" t="str">
        <f>VLOOKUP($C891,Table1[#All],2,0)</f>
        <v>BWID THOI HOA 2</v>
      </c>
      <c r="E891" s="932" t="s">
        <v>95</v>
      </c>
      <c r="F891" s="998" t="s">
        <v>80</v>
      </c>
      <c r="G891" s="932" t="s">
        <v>310</v>
      </c>
      <c r="H891" s="932" t="str">
        <f>VLOOKUP($C891,Table1[#All],3,0)</f>
        <v>Subsidiaries</v>
      </c>
      <c r="I891" s="932" t="str" cm="1">
        <f t="array" ref="I891">_xlfn.XLOOKUP(Acc_Char!$E891,Table4[[#All],[Branch]],Table4[[#All],[Bank]],"recheck",0)</f>
        <v>OCB - BINH DUONG</v>
      </c>
    </row>
    <row r="892" spans="1:11">
      <c r="A892" s="998">
        <f t="shared" si="13"/>
        <v>890</v>
      </c>
      <c r="B892" s="1004" t="s">
        <v>3544</v>
      </c>
      <c r="C892" s="1000" t="s">
        <v>2998</v>
      </c>
      <c r="D892" s="932" t="str">
        <f>VLOOKUP($C892,Table1[#All],2,0)</f>
        <v>BWID THOI HOA 2</v>
      </c>
      <c r="E892" s="932" t="s">
        <v>95</v>
      </c>
      <c r="F892" s="998" t="s">
        <v>80</v>
      </c>
      <c r="G892" s="932" t="s">
        <v>310</v>
      </c>
      <c r="H892" s="932" t="str">
        <f>VLOOKUP($C892,Table1[#All],3,0)</f>
        <v>Subsidiaries</v>
      </c>
      <c r="I892" s="932" t="str" cm="1">
        <f t="array" ref="I892">_xlfn.XLOOKUP(Acc_Char!$E892,Table4[[#All],[Branch]],Table4[[#All],[Bank]],"recheck",0)</f>
        <v>OCB - BINH DUONG</v>
      </c>
      <c r="J892" s="34" t="s">
        <v>466</v>
      </c>
      <c r="K892" s="34" t="s">
        <v>466</v>
      </c>
    </row>
    <row r="893" spans="1:11">
      <c r="A893" s="998">
        <f t="shared" si="13"/>
        <v>891</v>
      </c>
      <c r="B893" s="1004" t="s">
        <v>3545</v>
      </c>
      <c r="C893" s="1000" t="s">
        <v>2998</v>
      </c>
      <c r="D893" s="932" t="str">
        <f>VLOOKUP($C893,Table1[#All],2,0)</f>
        <v>BWID THOI HOA 2</v>
      </c>
      <c r="E893" s="932" t="s">
        <v>95</v>
      </c>
      <c r="F893" s="998" t="s">
        <v>80</v>
      </c>
      <c r="G893" s="932" t="s">
        <v>310</v>
      </c>
      <c r="H893" s="932" t="str">
        <f>VLOOKUP($C893,Table1[#All],3,0)</f>
        <v>Subsidiaries</v>
      </c>
      <c r="I893" s="932" t="str" cm="1">
        <f t="array" ref="I893">_xlfn.XLOOKUP(Acc_Char!$E893,Table4[[#All],[Branch]],Table4[[#All],[Bank]],"recheck",0)</f>
        <v>OCB - BINH DUONG</v>
      </c>
      <c r="J893" s="34"/>
      <c r="K893" s="34"/>
    </row>
    <row r="894" spans="1:11">
      <c r="A894" s="998">
        <f t="shared" si="13"/>
        <v>892</v>
      </c>
      <c r="B894" s="1004" t="s">
        <v>3546</v>
      </c>
      <c r="C894" s="1000" t="s">
        <v>3072</v>
      </c>
      <c r="D894" s="932" t="str">
        <f>VLOOKUP($C894,Table1[#All],2,0)</f>
        <v>BWID TAN DONG HIEP</v>
      </c>
      <c r="E894" s="932" t="s">
        <v>96</v>
      </c>
      <c r="F894" s="998" t="s">
        <v>80</v>
      </c>
      <c r="G894" s="932" t="s">
        <v>310</v>
      </c>
      <c r="H894" s="932" t="str">
        <f>VLOOKUP($C894,Table1[#All],3,0)</f>
        <v>Subsidiaries</v>
      </c>
      <c r="I894" s="932" t="str" cm="1">
        <f t="array" ref="I894">_xlfn.XLOOKUP(Acc_Char!$E894,Table4[[#All],[Branch]],Table4[[#All],[Bank]],"recheck",0)</f>
        <v>VIB - HOI SO</v>
      </c>
      <c r="J894" s="34"/>
      <c r="K894" s="34"/>
    </row>
    <row r="895" spans="1:11">
      <c r="A895" s="998">
        <f t="shared" si="13"/>
        <v>893</v>
      </c>
      <c r="B895" s="1004" t="s">
        <v>922</v>
      </c>
      <c r="C895" s="1000" t="s">
        <v>416</v>
      </c>
      <c r="D895" s="932" t="str">
        <f>VLOOKUP($C895,Table1[#All],2,0)</f>
        <v>TCS JSC</v>
      </c>
      <c r="E895" s="932" t="s">
        <v>155</v>
      </c>
      <c r="F895" s="998" t="s">
        <v>80</v>
      </c>
      <c r="G895" s="932" t="s">
        <v>308</v>
      </c>
      <c r="H895" s="932" t="str">
        <f>VLOOKUP($C895,Table1[#All],3,0)</f>
        <v>Subsidiaries</v>
      </c>
      <c r="I895" s="932" t="str" cm="1">
        <f t="array" ref="I895">_xlfn.XLOOKUP(Acc_Char!$E895,Table4[[#All],[Branch]],Table4[[#All],[Bank]],"recheck",0)</f>
        <v>VIETINBANK - BINH DUONG + QM</v>
      </c>
      <c r="J895" s="34"/>
      <c r="K895" s="34"/>
    </row>
    <row r="896" spans="1:11">
      <c r="A896" s="998">
        <f t="shared" si="13"/>
        <v>894</v>
      </c>
      <c r="B896" s="1097" t="s">
        <v>602</v>
      </c>
      <c r="C896" s="1003" t="s">
        <v>67</v>
      </c>
      <c r="D896" s="999" t="str">
        <f>VLOOKUP($C896,Table1[#All],2,0)</f>
        <v>SAO HOA</v>
      </c>
      <c r="E896" s="999" t="s">
        <v>92</v>
      </c>
      <c r="F896" s="1093" t="s">
        <v>81</v>
      </c>
      <c r="G896" s="999" t="s">
        <v>308</v>
      </c>
      <c r="H896" s="999" t="str">
        <f>VLOOKUP($C896,Table1[#All],3,0)</f>
        <v>VC3</v>
      </c>
      <c r="I896" s="932" t="str" cm="1">
        <f t="array" ref="I896">_xlfn.XLOOKUP(Acc_Char!$E896,Table4[[#All],[Branch]],Table4[[#All],[Bank]],"recheck",0)</f>
        <v>BIDV - THANH XUAN</v>
      </c>
      <c r="J896" s="34"/>
      <c r="K896" s="34"/>
    </row>
    <row r="897" spans="1:11">
      <c r="A897" s="998">
        <f t="shared" si="13"/>
        <v>895</v>
      </c>
      <c r="B897" s="1004" t="s">
        <v>925</v>
      </c>
      <c r="C897" s="1000" t="s">
        <v>3547</v>
      </c>
      <c r="D897" s="932" t="str">
        <f>VLOOKUP($C897,Table1[#All],2,0)</f>
        <v>HOLDCO S4D</v>
      </c>
      <c r="E897" s="932" t="s">
        <v>85</v>
      </c>
      <c r="F897" s="998" t="s">
        <v>80</v>
      </c>
      <c r="G897" s="932" t="s">
        <v>308</v>
      </c>
      <c r="H897" s="932" t="str">
        <f>VLOOKUP($C897,Table1[#All],3,0)</f>
        <v>Subsidiaries</v>
      </c>
      <c r="I897" s="932" t="str" cm="1">
        <f t="array" ref="I897">_xlfn.XLOOKUP(Acc_Char!$E897,Table4[[#All],[Branch]],Table4[[#All],[Bank]],"recheck",0)</f>
        <v>VIETINBANK - TIEN SON</v>
      </c>
      <c r="J897" s="34"/>
      <c r="K897" s="34"/>
    </row>
    <row r="898" spans="1:11">
      <c r="A898" s="998">
        <f t="shared" si="13"/>
        <v>896</v>
      </c>
      <c r="B898" s="1004" t="s">
        <v>927</v>
      </c>
      <c r="C898" s="1000" t="s">
        <v>422</v>
      </c>
      <c r="D898" s="932" t="str">
        <f>VLOOKUP($C898,Table1[#All],2,0)</f>
        <v>MINH PHUONG</v>
      </c>
      <c r="E898" s="932" t="s">
        <v>194</v>
      </c>
      <c r="F898" s="998" t="s">
        <v>80</v>
      </c>
      <c r="G898" s="932" t="s">
        <v>308</v>
      </c>
      <c r="H898" s="932" t="str">
        <f>VLOOKUP($C898,Table1[#All],3,0)</f>
        <v>Subsidiaries</v>
      </c>
      <c r="I898" s="932" t="str" cm="1">
        <f t="array" ref="I898">_xlfn.XLOOKUP(Acc_Char!$E898,Table4[[#All],[Branch]],Table4[[#All],[Bank]],"recheck",0)</f>
        <v>VIETCOMBANK - NAM BINH DUONG</v>
      </c>
      <c r="J898" s="34"/>
      <c r="K898" s="34"/>
    </row>
    <row r="899" spans="1:11">
      <c r="A899" s="998">
        <f t="shared" si="13"/>
        <v>897</v>
      </c>
      <c r="B899" s="1004" t="s">
        <v>928</v>
      </c>
      <c r="C899" s="1000" t="s">
        <v>416</v>
      </c>
      <c r="D899" s="932" t="str">
        <f>VLOOKUP($C899,Table1[#All],2,0)</f>
        <v>TCS JSC</v>
      </c>
      <c r="E899" s="932" t="s">
        <v>195</v>
      </c>
      <c r="F899" s="998" t="s">
        <v>80</v>
      </c>
      <c r="G899" s="932" t="s">
        <v>308</v>
      </c>
      <c r="H899" s="932" t="str">
        <f>VLOOKUP($C899,Table1[#All],3,0)</f>
        <v>Subsidiaries</v>
      </c>
      <c r="I899" s="932" t="str" cm="1">
        <f t="array" ref="I899">_xlfn.XLOOKUP(Acc_Char!$E899,Table4[[#All],[Branch]],Table4[[#All],[Bank]],"recheck",0)</f>
        <v>VIETCOMBANK - BINH TAY</v>
      </c>
      <c r="J899" s="34"/>
      <c r="K899" s="34"/>
    </row>
    <row r="900" spans="1:11">
      <c r="A900" s="998">
        <f t="shared" ref="A900:A963" si="14">A899+1</f>
        <v>898</v>
      </c>
      <c r="B900" s="1004" t="s">
        <v>929</v>
      </c>
      <c r="C900" s="1000" t="s">
        <v>422</v>
      </c>
      <c r="D900" s="932" t="str">
        <f>VLOOKUP($C900,Table1[#All],2,0)</f>
        <v>MINH PHUONG</v>
      </c>
      <c r="E900" s="932" t="s">
        <v>92</v>
      </c>
      <c r="F900" s="998" t="s">
        <v>80</v>
      </c>
      <c r="G900" s="932" t="s">
        <v>308</v>
      </c>
      <c r="H900" s="932" t="str">
        <f>VLOOKUP($C900,Table1[#All],3,0)</f>
        <v>Subsidiaries</v>
      </c>
      <c r="I900" s="932" t="str" cm="1">
        <f t="array" ref="I900">_xlfn.XLOOKUP(Acc_Char!$E900,Table4[[#All],[Branch]],Table4[[#All],[Bank]],"recheck",0)</f>
        <v>BIDV - THANH XUAN</v>
      </c>
      <c r="J900" s="34"/>
      <c r="K900" s="34"/>
    </row>
    <row r="901" spans="1:11">
      <c r="A901" s="998">
        <f t="shared" si="14"/>
        <v>899</v>
      </c>
      <c r="B901" s="1004" t="s">
        <v>930</v>
      </c>
      <c r="C901" s="1000" t="s">
        <v>3518</v>
      </c>
      <c r="D901" s="932" t="str">
        <f>VLOOKUP($C901,Table1[#All],2,0)</f>
        <v>NSHL HOLDCO</v>
      </c>
      <c r="E901" s="932" t="s">
        <v>92</v>
      </c>
      <c r="F901" s="998" t="s">
        <v>81</v>
      </c>
      <c r="G901" s="932" t="s">
        <v>307</v>
      </c>
      <c r="H901" s="932" t="str">
        <f>VLOOKUP($C901,Table1[#All],3,0)</f>
        <v>Subsidiaries</v>
      </c>
      <c r="I901" s="932" t="str" cm="1">
        <f t="array" ref="I901">_xlfn.XLOOKUP(Acc_Char!$E901,Table4[[#All],[Branch]],Table4[[#All],[Bank]],"recheck",0)</f>
        <v>BIDV - THANH XUAN</v>
      </c>
      <c r="J901" s="34"/>
      <c r="K901" s="34"/>
    </row>
    <row r="902" spans="1:11">
      <c r="A902" s="998">
        <f t="shared" si="14"/>
        <v>900</v>
      </c>
      <c r="B902" s="1098" t="s">
        <v>603</v>
      </c>
      <c r="C902" s="1000" t="s">
        <v>67</v>
      </c>
      <c r="D902" s="932" t="str">
        <f>VLOOKUP($C902,Table1[#All],2,0)</f>
        <v>SAO HOA</v>
      </c>
      <c r="E902" s="932" t="s">
        <v>92</v>
      </c>
      <c r="F902" s="998" t="s">
        <v>81</v>
      </c>
      <c r="G902" s="932" t="s">
        <v>309</v>
      </c>
      <c r="H902" s="932" t="str">
        <f>VLOOKUP($C902,Table1[#All],3,0)</f>
        <v>VC3</v>
      </c>
      <c r="I902" s="932" t="str" cm="1">
        <f t="array" ref="I902">_xlfn.XLOOKUP(Acc_Char!$E902,Table4[[#All],[Branch]],Table4[[#All],[Bank]],"recheck",0)</f>
        <v>BIDV - THANH XUAN</v>
      </c>
      <c r="J902" s="34"/>
      <c r="K902" s="34"/>
    </row>
    <row r="903" spans="1:11">
      <c r="A903" s="998">
        <f t="shared" si="14"/>
        <v>901</v>
      </c>
      <c r="B903" s="1001" t="s">
        <v>758</v>
      </c>
      <c r="C903" s="1000" t="s">
        <v>2974</v>
      </c>
      <c r="D903" s="932" t="str">
        <f>VLOOKUP($C903,Table1[#All],2,0)</f>
        <v>BWID HAI DUONG 3</v>
      </c>
      <c r="E903" s="932" t="s">
        <v>92</v>
      </c>
      <c r="F903" s="998" t="s">
        <v>81</v>
      </c>
      <c r="G903" s="932" t="s">
        <v>308</v>
      </c>
      <c r="H903" s="932" t="str">
        <f>VLOOKUP($C903,Table1[#All],3,0)</f>
        <v>Subsidiaries</v>
      </c>
      <c r="I903" s="932" t="str" cm="1">
        <f t="array" ref="I903">_xlfn.XLOOKUP(Acc_Char!$E558,Table4[[#All],[Branch]],Table4[[#All],[Bank]],"recheck",0)</f>
        <v>STANDARD CHARTERED</v>
      </c>
      <c r="J903" s="34"/>
      <c r="K903" s="34"/>
    </row>
    <row r="904" spans="1:11">
      <c r="A904" s="998">
        <f t="shared" si="14"/>
        <v>902</v>
      </c>
      <c r="B904" s="1004" t="s">
        <v>882</v>
      </c>
      <c r="C904" s="1000" t="s">
        <v>3514</v>
      </c>
      <c r="D904" s="932" t="str">
        <f>VLOOKUP($C904,Table1[#All],2,0)</f>
        <v>YEN PHONG HOLDCO</v>
      </c>
      <c r="E904" s="932" t="s">
        <v>92</v>
      </c>
      <c r="F904" s="998" t="s">
        <v>81</v>
      </c>
      <c r="G904" s="932" t="s">
        <v>308</v>
      </c>
      <c r="H904" s="932" t="str">
        <f>VLOOKUP($C904,Table1[#All],3,0)</f>
        <v>Subsidiaries</v>
      </c>
      <c r="I904" s="932" t="str" cm="1">
        <f t="array" ref="I904">_xlfn.XLOOKUP(Acc_Char!$E839,Table4[[#All],[Branch]],Table4[[#All],[Bank]],"recheck",0)</f>
        <v>OCB - BINH DUONG</v>
      </c>
      <c r="J904" s="34"/>
      <c r="K904" s="34"/>
    </row>
    <row r="905" spans="1:11">
      <c r="A905" s="998">
        <f t="shared" si="14"/>
        <v>903</v>
      </c>
      <c r="B905" s="1004" t="s">
        <v>883</v>
      </c>
      <c r="C905" s="1000" t="s">
        <v>3514</v>
      </c>
      <c r="D905" s="932" t="str">
        <f>VLOOKUP($C905,Table1[#All],2,0)</f>
        <v>YEN PHONG HOLDCO</v>
      </c>
      <c r="E905" s="932" t="s">
        <v>92</v>
      </c>
      <c r="F905" s="998" t="s">
        <v>81</v>
      </c>
      <c r="G905" s="932" t="s">
        <v>309</v>
      </c>
      <c r="H905" s="932" t="str">
        <f>VLOOKUP($C905,Table1[#All],3,0)</f>
        <v>Subsidiaries</v>
      </c>
      <c r="I905" s="932" t="str" cm="1">
        <f t="array" ref="I905">_xlfn.XLOOKUP(Acc_Char!$E840,Table4[[#All],[Branch]],Table4[[#All],[Bank]],"recheck",0)</f>
        <v>OCB - BINH DUONG</v>
      </c>
      <c r="J905" s="34"/>
      <c r="K905" s="34"/>
    </row>
    <row r="906" spans="1:11">
      <c r="A906" s="998">
        <f t="shared" si="14"/>
        <v>904</v>
      </c>
      <c r="B906" s="1004" t="s">
        <v>900</v>
      </c>
      <c r="C906" s="1000" t="s">
        <v>459</v>
      </c>
      <c r="D906" s="932" t="str">
        <f>VLOOKUP($C906,Table1[#All],2,0)</f>
        <v>YEN PHONG PROJECT CO</v>
      </c>
      <c r="E906" s="932" t="s">
        <v>92</v>
      </c>
      <c r="F906" s="998" t="s">
        <v>81</v>
      </c>
      <c r="G906" s="932" t="s">
        <v>308</v>
      </c>
      <c r="H906" s="932" t="str">
        <f>VLOOKUP($C906,Table1[#All],3,0)</f>
        <v>Subsidiaries</v>
      </c>
      <c r="I906" s="932" t="str" cm="1">
        <f t="array" ref="I906">_xlfn.XLOOKUP(Acc_Char!$E858,Table4[[#All],[Branch]],Table4[[#All],[Bank]],"recheck",0)</f>
        <v>OCB - BINH DUONG</v>
      </c>
    </row>
    <row r="907" spans="1:11">
      <c r="A907" s="998">
        <f t="shared" si="14"/>
        <v>905</v>
      </c>
      <c r="B907" s="1004" t="s">
        <v>3548</v>
      </c>
      <c r="C907" s="1000" t="s">
        <v>2888</v>
      </c>
      <c r="D907" s="932" t="str">
        <f>VLOOKUP($C907,Table1[#All],2,0)</f>
        <v>BWID HAI DUONG</v>
      </c>
      <c r="E907" s="932" t="s">
        <v>85</v>
      </c>
      <c r="F907" s="998" t="s">
        <v>80</v>
      </c>
      <c r="G907" s="932" t="s">
        <v>310</v>
      </c>
      <c r="H907" s="932" t="str">
        <f>VLOOKUP($C907,Table1[#All],3,0)</f>
        <v>Subsidiaries</v>
      </c>
      <c r="I907" s="932" t="str" cm="1">
        <f t="array" ref="I907">_xlfn.XLOOKUP(Acc_Char!$E907,Table4[[#All],[Branch]],Table4[[#All],[Bank]],"recheck",0)</f>
        <v>VIETINBANK - TIEN SON</v>
      </c>
    </row>
    <row r="908" spans="1:11">
      <c r="A908" s="998">
        <f t="shared" si="14"/>
        <v>906</v>
      </c>
      <c r="B908" s="1004" t="s">
        <v>3549</v>
      </c>
      <c r="C908" s="1000" t="s">
        <v>3160</v>
      </c>
      <c r="D908" s="932" t="str">
        <f>VLOOKUP($C908,Table1[#All],2,0)</f>
        <v>BWID Tan Phu Trung</v>
      </c>
      <c r="E908" s="932" t="s">
        <v>85</v>
      </c>
      <c r="F908" s="998" t="s">
        <v>80</v>
      </c>
      <c r="G908" s="932" t="s">
        <v>310</v>
      </c>
      <c r="H908" s="932" t="str">
        <f>VLOOKUP($C908,Table1[#All],3,0)</f>
        <v>Subsidiaries</v>
      </c>
      <c r="I908" s="932" t="str" cm="1">
        <f t="array" ref="I908">_xlfn.XLOOKUP(Acc_Char!$E908,Table4[[#All],[Branch]],Table4[[#All],[Bank]],"recheck",0)</f>
        <v>VIETINBANK - TIEN SON</v>
      </c>
    </row>
    <row r="909" spans="1:11">
      <c r="A909" s="998">
        <f t="shared" si="14"/>
        <v>907</v>
      </c>
      <c r="B909" s="1004" t="s">
        <v>3550</v>
      </c>
      <c r="C909" s="1000" t="s">
        <v>440</v>
      </c>
      <c r="D909" s="932" t="str">
        <f>VLOOKUP($C909,Table1[#All],2,0)</f>
        <v>BW NAM DINH VU</v>
      </c>
      <c r="E909" s="932" t="s">
        <v>94</v>
      </c>
      <c r="F909" s="998" t="s">
        <v>80</v>
      </c>
      <c r="G909" s="932" t="s">
        <v>310</v>
      </c>
      <c r="H909" s="932" t="str">
        <f>VLOOKUP($C909,Table1[#All],3,0)</f>
        <v>Subsidiaries</v>
      </c>
      <c r="I909" s="932" t="str" cm="1">
        <f t="array" ref="I909">_xlfn.XLOOKUP(Acc_Char!$E909,Table4[[#All],[Branch]],Table4[[#All],[Bank]],"recheck",0)</f>
        <v>BIDV - LONG BIEN</v>
      </c>
    </row>
    <row r="910" spans="1:11">
      <c r="A910" s="998">
        <f t="shared" si="14"/>
        <v>908</v>
      </c>
      <c r="B910" s="1004" t="s">
        <v>3551</v>
      </c>
      <c r="C910" s="1000" t="s">
        <v>3280</v>
      </c>
      <c r="D910" s="932" t="str">
        <f>VLOOKUP($C910,Table1[#All],2,0)</f>
        <v>BAC TIEN PHONG</v>
      </c>
      <c r="E910" s="932" t="s">
        <v>92</v>
      </c>
      <c r="F910" s="998" t="s">
        <v>80</v>
      </c>
      <c r="G910" s="932" t="s">
        <v>310</v>
      </c>
      <c r="H910" s="932" t="str">
        <f>VLOOKUP($C910,Table1[#All],3,0)</f>
        <v>Subsidiaries</v>
      </c>
      <c r="I910" s="932" t="str" cm="1">
        <f t="array" ref="I910">_xlfn.XLOOKUP(Acc_Char!$E910,Table4[[#All],[Branch]],Table4[[#All],[Bank]],"recheck",0)</f>
        <v>BIDV - THANH XUAN</v>
      </c>
    </row>
    <row r="911" spans="1:11">
      <c r="A911" s="998">
        <f t="shared" si="14"/>
        <v>909</v>
      </c>
      <c r="B911" s="1004" t="s">
        <v>3552</v>
      </c>
      <c r="C911" s="1000" t="s">
        <v>389</v>
      </c>
      <c r="D911" s="932" t="str">
        <f>VLOOKUP($C911,Table1[#All],2,0)</f>
        <v>BWID BINH DUONG</v>
      </c>
      <c r="E911" s="932" t="s">
        <v>96</v>
      </c>
      <c r="F911" s="998" t="s">
        <v>80</v>
      </c>
      <c r="G911" s="932" t="s">
        <v>310</v>
      </c>
      <c r="H911" s="932" t="str">
        <f>VLOOKUP($C911,Table1[#All],3,0)</f>
        <v>BWID JSC</v>
      </c>
      <c r="I911" s="932" t="str" cm="1">
        <f t="array" ref="I911">_xlfn.XLOOKUP(Acc_Char!$E911,Table4[[#All],[Branch]],Table4[[#All],[Bank]],"recheck",0)</f>
        <v>VIB - HOI SO</v>
      </c>
    </row>
    <row r="912" spans="1:11">
      <c r="A912" s="998">
        <f t="shared" si="14"/>
        <v>910</v>
      </c>
      <c r="B912" s="1004" t="s">
        <v>3553</v>
      </c>
      <c r="C912" s="1000" t="s">
        <v>3237</v>
      </c>
      <c r="D912" s="932" t="str">
        <f>VLOOKUP($C912,Table1[#All],2,0)</f>
        <v>LONG BINH</v>
      </c>
      <c r="E912" s="932" t="s">
        <v>86</v>
      </c>
      <c r="F912" s="998" t="s">
        <v>80</v>
      </c>
      <c r="G912" s="932" t="s">
        <v>310</v>
      </c>
      <c r="H912" s="932" t="str">
        <f>VLOOKUP($C912,Table1[#All],3,0)</f>
        <v>Subsidiaries</v>
      </c>
      <c r="I912" s="932" t="str" cm="1">
        <f t="array" ref="I912">_xlfn.XLOOKUP(Acc_Char!$E912,Table4[[#All],[Branch]],Table4[[#All],[Bank]],"recheck",0)</f>
        <v>VIETINBANK - CN1</v>
      </c>
    </row>
    <row r="913" spans="1:9">
      <c r="A913" s="998">
        <f t="shared" si="14"/>
        <v>911</v>
      </c>
      <c r="B913" s="1004" t="s">
        <v>3554</v>
      </c>
      <c r="C913" s="1000" t="s">
        <v>3249</v>
      </c>
      <c r="D913" s="932" t="str">
        <f>VLOOKUP($C913,Table1[#All],2,0)</f>
        <v>WINLOCK 2B</v>
      </c>
      <c r="E913" s="932" t="s">
        <v>85</v>
      </c>
      <c r="F913" s="998" t="s">
        <v>80</v>
      </c>
      <c r="G913" s="932" t="s">
        <v>310</v>
      </c>
      <c r="H913" s="932" t="str">
        <f>VLOOKUP($C913,Table1[#All],3,0)</f>
        <v>Subsidiaries</v>
      </c>
      <c r="I913" s="932" t="str" cm="1">
        <f t="array" ref="I913">_xlfn.XLOOKUP(Acc_Char!$E913,Table4[[#All],[Branch]],Table4[[#All],[Bank]],"recheck",0)</f>
        <v>VIETINBANK - TIEN SON</v>
      </c>
    </row>
    <row r="914" spans="1:9">
      <c r="A914" s="998">
        <f t="shared" si="14"/>
        <v>912</v>
      </c>
      <c r="B914" s="1004" t="s">
        <v>936</v>
      </c>
      <c r="C914" s="1000" t="s">
        <v>3011</v>
      </c>
      <c r="D914" s="932" t="str">
        <f>VLOOKUP($C914,Table1[#All],2,0)</f>
        <v>HOLDCO5H</v>
      </c>
      <c r="E914" s="932" t="s">
        <v>95</v>
      </c>
      <c r="F914" s="998" t="s">
        <v>80</v>
      </c>
      <c r="G914" s="932" t="s">
        <v>308</v>
      </c>
      <c r="H914" s="932" t="str">
        <f>VLOOKUP($C914,Table1[#All],3,0)</f>
        <v>Subsidiaries</v>
      </c>
      <c r="I914" s="932" t="str" cm="1">
        <f t="array" ref="I914">_xlfn.XLOOKUP(Acc_Char!$E914,Table4[[#All],[Branch]],Table4[[#All],[Bank]],"recheck",0)</f>
        <v>OCB - BINH DUONG</v>
      </c>
    </row>
    <row r="915" spans="1:9">
      <c r="A915" s="998">
        <f t="shared" si="14"/>
        <v>913</v>
      </c>
      <c r="B915" s="1004" t="s">
        <v>937</v>
      </c>
      <c r="C915" s="1000" t="s">
        <v>3391</v>
      </c>
      <c r="D915" s="932" t="str">
        <f>VLOOKUP($C915,Table1[#All],2,0)</f>
        <v>HOLDCO4R</v>
      </c>
      <c r="E915" s="932" t="s">
        <v>95</v>
      </c>
      <c r="F915" s="998" t="s">
        <v>80</v>
      </c>
      <c r="G915" s="932" t="s">
        <v>308</v>
      </c>
      <c r="H915" s="932" t="str">
        <f>VLOOKUP($C915,Table1[#All],3,0)</f>
        <v>Subsidiaries</v>
      </c>
      <c r="I915" s="932" t="str" cm="1">
        <f t="array" ref="I915">_xlfn.XLOOKUP(Acc_Char!$E915,Table4[[#All],[Branch]],Table4[[#All],[Bank]],"recheck",0)</f>
        <v>OCB - BINH DUONG</v>
      </c>
    </row>
    <row r="916" spans="1:9">
      <c r="A916" s="998">
        <f t="shared" si="14"/>
        <v>914</v>
      </c>
      <c r="B916" s="1004" t="s">
        <v>938</v>
      </c>
      <c r="C916" s="1000" t="s">
        <v>3397</v>
      </c>
      <c r="D916" s="932" t="str">
        <f>VLOOKUP($C916,Table1[#All],2,0)</f>
        <v>HOLDCO4Z</v>
      </c>
      <c r="E916" s="932" t="s">
        <v>95</v>
      </c>
      <c r="F916" s="998" t="s">
        <v>80</v>
      </c>
      <c r="G916" s="932" t="s">
        <v>308</v>
      </c>
      <c r="H916" s="932" t="str">
        <f>VLOOKUP($C916,Table1[#All],3,0)</f>
        <v>Subsidiaries</v>
      </c>
      <c r="I916" s="932" t="str" cm="1">
        <f t="array" ref="I916">_xlfn.XLOOKUP(Acc_Char!$E916,Table4[[#All],[Branch]],Table4[[#All],[Bank]],"recheck",0)</f>
        <v>OCB - BINH DUONG</v>
      </c>
    </row>
    <row r="917" spans="1:9">
      <c r="A917" s="998">
        <f t="shared" si="14"/>
        <v>915</v>
      </c>
      <c r="B917" s="1004" t="s">
        <v>939</v>
      </c>
      <c r="C917" s="1000" t="s">
        <v>3390</v>
      </c>
      <c r="D917" s="932" t="str">
        <f>VLOOKUP($C917,Table1[#All],2,0)</f>
        <v>HOLDCO4Q</v>
      </c>
      <c r="E917" s="932" t="s">
        <v>95</v>
      </c>
      <c r="F917" s="998" t="s">
        <v>80</v>
      </c>
      <c r="G917" s="932" t="s">
        <v>308</v>
      </c>
      <c r="H917" s="932" t="str">
        <f>VLOOKUP($C917,Table1[#All],3,0)</f>
        <v>Subsidiaries</v>
      </c>
      <c r="I917" s="932" t="str" cm="1">
        <f t="array" ref="I917">_xlfn.XLOOKUP(Acc_Char!$E917,Table4[[#All],[Branch]],Table4[[#All],[Bank]],"recheck",0)</f>
        <v>OCB - BINH DUONG</v>
      </c>
    </row>
    <row r="918" spans="1:9">
      <c r="A918" s="998">
        <f t="shared" si="14"/>
        <v>916</v>
      </c>
      <c r="B918" s="1004" t="s">
        <v>3555</v>
      </c>
      <c r="C918" s="1000" t="s">
        <v>3395</v>
      </c>
      <c r="D918" s="932" t="str">
        <f>VLOOKUP($C918,Table1[#All],2,0)</f>
        <v>HOLDCO4V</v>
      </c>
      <c r="E918" s="932" t="s">
        <v>85</v>
      </c>
      <c r="F918" s="998" t="s">
        <v>80</v>
      </c>
      <c r="G918" s="932" t="s">
        <v>342</v>
      </c>
      <c r="H918" s="932" t="str">
        <f>VLOOKUP($C918,Table1[#All],3,0)</f>
        <v>Subsidiaries</v>
      </c>
      <c r="I918" s="932" t="str" cm="1">
        <f t="array" ref="I918">_xlfn.XLOOKUP(Acc_Char!$E918,Table4[[#All],[Branch]],Table4[[#All],[Bank]],"recheck",0)</f>
        <v>VIETINBANK - TIEN SON</v>
      </c>
    </row>
    <row r="919" spans="1:9">
      <c r="A919" s="998">
        <f t="shared" si="14"/>
        <v>917</v>
      </c>
      <c r="B919" s="1004" t="s">
        <v>940</v>
      </c>
      <c r="C919" s="1000" t="s">
        <v>3212</v>
      </c>
      <c r="D919" s="932" t="str">
        <f>VLOOKUP($C919,Table1[#All],2,0)</f>
        <v>HOLDCO4G</v>
      </c>
      <c r="E919" s="932" t="s">
        <v>95</v>
      </c>
      <c r="F919" s="998" t="s">
        <v>80</v>
      </c>
      <c r="G919" s="932" t="s">
        <v>308</v>
      </c>
      <c r="H919" s="932" t="str">
        <f>VLOOKUP($C919,Table1[#All],3,0)</f>
        <v>Subsidiaries</v>
      </c>
      <c r="I919" s="932" t="str" cm="1">
        <f t="array" ref="I919">_xlfn.XLOOKUP(Acc_Char!$E919,Table4[[#All],[Branch]],Table4[[#All],[Bank]],"recheck",0)</f>
        <v>OCB - BINH DUONG</v>
      </c>
    </row>
    <row r="920" spans="1:9">
      <c r="A920" s="998">
        <f t="shared" si="14"/>
        <v>918</v>
      </c>
      <c r="B920" s="1004" t="s">
        <v>941</v>
      </c>
      <c r="C920" s="1000" t="s">
        <v>3252</v>
      </c>
      <c r="D920" s="932" t="str">
        <f>VLOOKUP($C920,Table1[#All],2,0)</f>
        <v>HOLDCO4K</v>
      </c>
      <c r="E920" s="932" t="s">
        <v>95</v>
      </c>
      <c r="F920" s="998" t="s">
        <v>80</v>
      </c>
      <c r="G920" s="932" t="s">
        <v>308</v>
      </c>
      <c r="H920" s="932" t="str">
        <f>VLOOKUP($C920,Table1[#All],3,0)</f>
        <v>Subsidiaries</v>
      </c>
      <c r="I920" s="932" t="str" cm="1">
        <f t="array" ref="I920">_xlfn.XLOOKUP(Acc_Char!$E920,Table4[[#All],[Branch]],Table4[[#All],[Bank]],"recheck",0)</f>
        <v>OCB - BINH DUONG</v>
      </c>
    </row>
    <row r="921" spans="1:9">
      <c r="A921" s="998">
        <f t="shared" si="14"/>
        <v>919</v>
      </c>
      <c r="B921" s="1004" t="s">
        <v>942</v>
      </c>
      <c r="C921" s="1000" t="s">
        <v>3258</v>
      </c>
      <c r="D921" s="932" t="str">
        <f>VLOOKUP($C921,Table1[#All],2,0)</f>
        <v>HOLDCO5K</v>
      </c>
      <c r="E921" s="932" t="s">
        <v>95</v>
      </c>
      <c r="F921" s="998" t="s">
        <v>80</v>
      </c>
      <c r="G921" s="932" t="s">
        <v>308</v>
      </c>
      <c r="H921" s="932" t="str">
        <f>VLOOKUP($C921,Table1[#All],3,0)</f>
        <v>Subsidiaries</v>
      </c>
      <c r="I921" s="932" t="str" cm="1">
        <f t="array" ref="I921">_xlfn.XLOOKUP(Acc_Char!$E921,Table4[[#All],[Branch]],Table4[[#All],[Bank]],"recheck",0)</f>
        <v>OCB - BINH DUONG</v>
      </c>
    </row>
    <row r="922" spans="1:9">
      <c r="A922" s="998">
        <f t="shared" si="14"/>
        <v>920</v>
      </c>
      <c r="B922" s="1004" t="s">
        <v>944</v>
      </c>
      <c r="C922" s="1000" t="s">
        <v>3556</v>
      </c>
      <c r="D922" s="932" t="str">
        <f>VLOOKUP($C922,Table1[#All],2,0)</f>
        <v>HOLDCO S4A</v>
      </c>
      <c r="E922" s="932" t="s">
        <v>85</v>
      </c>
      <c r="F922" s="998" t="s">
        <v>80</v>
      </c>
      <c r="G922" s="932" t="s">
        <v>308</v>
      </c>
      <c r="H922" s="932" t="str">
        <f>VLOOKUP($C922,Table1[#All],3,0)</f>
        <v>Subsidiaries</v>
      </c>
      <c r="I922" s="932" t="str" cm="1">
        <f t="array" ref="I922">_xlfn.XLOOKUP(Acc_Char!$E922,Table4[[#All],[Branch]],Table4[[#All],[Bank]],"recheck",0)</f>
        <v>VIETINBANK - TIEN SON</v>
      </c>
    </row>
    <row r="923" spans="1:9">
      <c r="A923" s="998">
        <f t="shared" si="14"/>
        <v>921</v>
      </c>
      <c r="B923" s="1004" t="s">
        <v>946</v>
      </c>
      <c r="C923" s="1000" t="s">
        <v>3557</v>
      </c>
      <c r="D923" s="932" t="str">
        <f>VLOOKUP($C923,Table1[#All],2,0)</f>
        <v>HOLDCO S5A</v>
      </c>
      <c r="E923" s="932" t="s">
        <v>85</v>
      </c>
      <c r="F923" s="998" t="s">
        <v>80</v>
      </c>
      <c r="G923" s="932" t="s">
        <v>308</v>
      </c>
      <c r="H923" s="932" t="str">
        <f>VLOOKUP($C923,Table1[#All],3,0)</f>
        <v>Subsidiaries</v>
      </c>
      <c r="I923" s="932" t="str" cm="1">
        <f t="array" ref="I923">_xlfn.XLOOKUP(Acc_Char!$E923,Table4[[#All],[Branch]],Table4[[#All],[Bank]],"recheck",0)</f>
        <v>VIETINBANK - TIEN SON</v>
      </c>
    </row>
    <row r="924" spans="1:9">
      <c r="A924" s="998">
        <f t="shared" si="14"/>
        <v>922</v>
      </c>
      <c r="B924" s="1004" t="s">
        <v>948</v>
      </c>
      <c r="C924" s="1000" t="s">
        <v>3558</v>
      </c>
      <c r="D924" s="932" t="str">
        <f>VLOOKUP($C924,Table1[#All],2,0)</f>
        <v>HOLDCO S4B</v>
      </c>
      <c r="E924" s="932" t="s">
        <v>85</v>
      </c>
      <c r="F924" s="998" t="s">
        <v>80</v>
      </c>
      <c r="G924" s="932" t="s">
        <v>308</v>
      </c>
      <c r="H924" s="932" t="str">
        <f>VLOOKUP($C924,Table1[#All],3,0)</f>
        <v>Subsidiaries</v>
      </c>
      <c r="I924" s="932" t="str" cm="1">
        <f t="array" ref="I924">_xlfn.XLOOKUP(Acc_Char!$E924,Table4[[#All],[Branch]],Table4[[#All],[Bank]],"recheck",0)</f>
        <v>VIETINBANK - TIEN SON</v>
      </c>
    </row>
    <row r="925" spans="1:9">
      <c r="A925" s="998">
        <f t="shared" si="14"/>
        <v>923</v>
      </c>
      <c r="B925" s="1004" t="s">
        <v>950</v>
      </c>
      <c r="C925" s="1000" t="s">
        <v>3559</v>
      </c>
      <c r="D925" s="932" t="str">
        <f>VLOOKUP($C925,Table1[#All],2,0)</f>
        <v>HOLDCO S5B</v>
      </c>
      <c r="E925" s="932" t="s">
        <v>85</v>
      </c>
      <c r="F925" s="998" t="s">
        <v>80</v>
      </c>
      <c r="G925" s="932" t="s">
        <v>308</v>
      </c>
      <c r="H925" s="932" t="str">
        <f>VLOOKUP($C925,Table1[#All],3,0)</f>
        <v>Subsidiaries</v>
      </c>
      <c r="I925" s="932" t="str" cm="1">
        <f t="array" ref="I925">_xlfn.XLOOKUP(Acc_Char!$E925,Table4[[#All],[Branch]],Table4[[#All],[Bank]],"recheck",0)</f>
        <v>VIETINBANK - TIEN SON</v>
      </c>
    </row>
    <row r="926" spans="1:9">
      <c r="A926" s="998">
        <f t="shared" si="14"/>
        <v>924</v>
      </c>
      <c r="B926" s="1004" t="s">
        <v>952</v>
      </c>
      <c r="C926" s="1000" t="s">
        <v>3560</v>
      </c>
      <c r="D926" s="932" t="str">
        <f>VLOOKUP($C926,Table1[#All],2,0)</f>
        <v>HOLDCO S4E</v>
      </c>
      <c r="E926" s="932" t="s">
        <v>85</v>
      </c>
      <c r="F926" s="998" t="s">
        <v>80</v>
      </c>
      <c r="G926" s="932" t="s">
        <v>308</v>
      </c>
      <c r="H926" s="932" t="str">
        <f>VLOOKUP($C926,Table1[#All],3,0)</f>
        <v>Subsidiaries</v>
      </c>
      <c r="I926" s="932" t="str" cm="1">
        <f t="array" ref="I926">_xlfn.XLOOKUP(Acc_Char!$E926,Table4[[#All],[Branch]],Table4[[#All],[Bank]],"recheck",0)</f>
        <v>VIETINBANK - TIEN SON</v>
      </c>
    </row>
    <row r="927" spans="1:9">
      <c r="A927" s="998">
        <f t="shared" si="14"/>
        <v>925</v>
      </c>
      <c r="B927" s="1004" t="s">
        <v>3561</v>
      </c>
      <c r="C927" s="1000" t="s">
        <v>3250</v>
      </c>
      <c r="D927" s="932" t="str">
        <f>VLOOKUP($C927,Table1[#All],2,0)</f>
        <v>BW MY PHUOC 3</v>
      </c>
      <c r="E927" s="932" t="s">
        <v>153</v>
      </c>
      <c r="F927" s="998" t="s">
        <v>80</v>
      </c>
      <c r="G927" s="932" t="s">
        <v>310</v>
      </c>
      <c r="H927" s="932" t="str">
        <f>VLOOKUP($C927,Table1[#All],3,0)</f>
        <v>Subsidiaries</v>
      </c>
      <c r="I927" s="932" t="str" cm="1">
        <f t="array" ref="I927">_xlfn.XLOOKUP(Acc_Char!$E927,Table4[[#All],[Branch]],Table4[[#All],[Bank]],"recheck",0)</f>
        <v>VIETINBANK - BINH DUONG + QM</v>
      </c>
    </row>
    <row r="928" spans="1:9">
      <c r="A928" s="998">
        <f t="shared" si="14"/>
        <v>926</v>
      </c>
      <c r="B928" s="1004" t="s">
        <v>3562</v>
      </c>
      <c r="C928" s="1000" t="s">
        <v>3250</v>
      </c>
      <c r="D928" s="932" t="str">
        <f>VLOOKUP($C928,Table1[#All],2,0)</f>
        <v>BW MY PHUOC 3</v>
      </c>
      <c r="E928" s="932" t="s">
        <v>153</v>
      </c>
      <c r="F928" s="998" t="s">
        <v>80</v>
      </c>
      <c r="G928" s="932" t="s">
        <v>310</v>
      </c>
      <c r="H928" s="932" t="str">
        <f>VLOOKUP($C928,Table1[#All],3,0)</f>
        <v>Subsidiaries</v>
      </c>
      <c r="I928" s="932" t="str" cm="1">
        <f t="array" ref="I928">_xlfn.XLOOKUP(Acc_Char!$E928,Table4[[#All],[Branch]],Table4[[#All],[Bank]],"recheck",0)</f>
        <v>VIETINBANK - BINH DUONG + QM</v>
      </c>
    </row>
    <row r="929" spans="1:9">
      <c r="A929" s="998">
        <f t="shared" si="14"/>
        <v>927</v>
      </c>
      <c r="B929" s="1004" t="s">
        <v>3563</v>
      </c>
      <c r="C929" s="1000" t="s">
        <v>3026</v>
      </c>
      <c r="D929" s="932" t="str">
        <f>VLOOKUP($C929,Table1[#All],2,0)</f>
        <v>BW SAI GON</v>
      </c>
      <c r="E929" s="932" t="s">
        <v>98</v>
      </c>
      <c r="F929" s="998" t="s">
        <v>80</v>
      </c>
      <c r="G929" s="932" t="s">
        <v>310</v>
      </c>
      <c r="H929" s="932" t="str">
        <f>VLOOKUP($C929,Table1[#All],3,0)</f>
        <v>Subsidiaries</v>
      </c>
      <c r="I929" s="932" t="str" cm="1">
        <f t="array" ref="I929">_xlfn.XLOOKUP(Acc_Char!$E929,Table4[[#All],[Branch]],Table4[[#All],[Bank]],"recheck",0)</f>
        <v>SINOPAC</v>
      </c>
    </row>
    <row r="930" spans="1:9">
      <c r="A930" s="998">
        <f t="shared" si="14"/>
        <v>928</v>
      </c>
      <c r="B930" s="1004" t="s">
        <v>954</v>
      </c>
      <c r="C930" s="1000" t="s">
        <v>3564</v>
      </c>
      <c r="D930" s="932" t="str">
        <f>VLOOKUP($C930,Table1[#All],2,0)</f>
        <v>QV2 LLC</v>
      </c>
      <c r="E930" s="932" t="s">
        <v>92</v>
      </c>
      <c r="F930" s="998" t="s">
        <v>80</v>
      </c>
      <c r="G930" s="932" t="s">
        <v>308</v>
      </c>
      <c r="H930" s="932" t="str">
        <f>VLOOKUP($C930,Table1[#All],3,0)</f>
        <v>Subsidiaries</v>
      </c>
      <c r="I930" s="932" t="str" cm="1">
        <f t="array" ref="I930">_xlfn.XLOOKUP(Acc_Char!$E930,Table4[[#All],[Branch]],Table4[[#All],[Bank]],"recheck",0)</f>
        <v>BIDV - THANH XUAN</v>
      </c>
    </row>
    <row r="931" spans="1:9">
      <c r="A931" s="998">
        <f t="shared" si="14"/>
        <v>929</v>
      </c>
      <c r="B931" s="1004" t="s">
        <v>956</v>
      </c>
      <c r="C931" s="1000" t="s">
        <v>3565</v>
      </c>
      <c r="D931" s="932" t="str">
        <f>VLOOKUP($C931,Table1[#All],2,0)</f>
        <v>WPJV 3A</v>
      </c>
      <c r="E931" s="932" t="s">
        <v>85</v>
      </c>
      <c r="F931" s="998" t="s">
        <v>80</v>
      </c>
      <c r="G931" s="932" t="s">
        <v>308</v>
      </c>
      <c r="H931" s="932" t="str">
        <f>VLOOKUP($C931,Table1[#All],3,0)</f>
        <v>Subsidiaries</v>
      </c>
      <c r="I931" s="932" t="str" cm="1">
        <f t="array" ref="I931">_xlfn.XLOOKUP(Acc_Char!$E931,Table4[[#All],[Branch]],Table4[[#All],[Bank]],"recheck",0)</f>
        <v>VIETINBANK - TIEN SON</v>
      </c>
    </row>
    <row r="932" spans="1:9">
      <c r="A932" s="998">
        <f t="shared" si="14"/>
        <v>930</v>
      </c>
      <c r="B932" s="1004" t="s">
        <v>958</v>
      </c>
      <c r="C932" s="1000" t="s">
        <v>3566</v>
      </c>
      <c r="D932" s="932" t="str">
        <f>VLOOKUP($C932,Table1[#All],2,0)</f>
        <v>WPJV 3B</v>
      </c>
      <c r="E932" s="932" t="s">
        <v>85</v>
      </c>
      <c r="F932" s="998" t="s">
        <v>80</v>
      </c>
      <c r="G932" s="932" t="s">
        <v>308</v>
      </c>
      <c r="H932" s="932" t="str">
        <f>VLOOKUP($C932,Table1[#All],3,0)</f>
        <v>Subsidiaries</v>
      </c>
      <c r="I932" s="932" t="str" cm="1">
        <f t="array" ref="I932">_xlfn.XLOOKUP(Acc_Char!$E932,Table4[[#All],[Branch]],Table4[[#All],[Bank]],"recheck",0)</f>
        <v>VIETINBANK - TIEN SON</v>
      </c>
    </row>
    <row r="933" spans="1:9">
      <c r="A933" s="998">
        <f t="shared" si="14"/>
        <v>931</v>
      </c>
      <c r="B933" s="1004" t="s">
        <v>960</v>
      </c>
      <c r="C933" s="1000" t="s">
        <v>463</v>
      </c>
      <c r="D933" s="932" t="str">
        <f>VLOOKUP($C933,Table1[#All],2,0)</f>
        <v>PHO NOI A</v>
      </c>
      <c r="E933" s="932" t="s">
        <v>85</v>
      </c>
      <c r="F933" s="998" t="s">
        <v>80</v>
      </c>
      <c r="G933" s="932" t="s">
        <v>308</v>
      </c>
      <c r="H933" s="932" t="str">
        <f>VLOOKUP($C933,Table1[#All],3,0)</f>
        <v>Subsidiaries</v>
      </c>
      <c r="I933" s="932" t="str" cm="1">
        <f t="array" ref="I933">_xlfn.XLOOKUP(Acc_Char!$E933,Table4[[#All],[Branch]],Table4[[#All],[Bank]],"recheck",0)</f>
        <v>VIETINBANK - TIEN SON</v>
      </c>
    </row>
    <row r="934" spans="1:9">
      <c r="A934" s="998">
        <f t="shared" si="14"/>
        <v>932</v>
      </c>
      <c r="B934" s="1004" t="s">
        <v>907</v>
      </c>
      <c r="C934" s="1000" t="s">
        <v>3190</v>
      </c>
      <c r="D934" s="932" t="str">
        <f>VLOOKUP($C934,Table1[#All],2,0)</f>
        <v>NDV PROJECT CO</v>
      </c>
      <c r="E934" s="932" t="s">
        <v>92</v>
      </c>
      <c r="F934" s="998" t="s">
        <v>81</v>
      </c>
      <c r="G934" s="932" t="s">
        <v>308</v>
      </c>
      <c r="H934" s="932" t="str">
        <f>VLOOKUP($C934,Table1[#All],3,0)</f>
        <v>Subsidiaries</v>
      </c>
      <c r="I934" s="932" t="str" cm="1">
        <f t="array" ref="I934">_xlfn.XLOOKUP(Acc_Char!$E864,Table4[[#All],[Branch]],Table4[[#All],[Bank]],"recheck",0)</f>
        <v>MB - BAC SAI GON</v>
      </c>
    </row>
    <row r="935" spans="1:9">
      <c r="A935" s="998">
        <f t="shared" si="14"/>
        <v>933</v>
      </c>
      <c r="B935" s="1004" t="s">
        <v>3567</v>
      </c>
      <c r="C935" s="1000" t="s">
        <v>2895</v>
      </c>
      <c r="D935" s="932" t="str">
        <f>VLOOKUP($C935,Table1[#All],2,0)</f>
        <v>BWID HAI DUONG 2</v>
      </c>
      <c r="E935" s="932" t="s">
        <v>85</v>
      </c>
      <c r="F935" s="998" t="s">
        <v>80</v>
      </c>
      <c r="G935" s="932" t="s">
        <v>310</v>
      </c>
      <c r="H935" s="932" t="str">
        <f>VLOOKUP($C935,Table1[#All],3,0)</f>
        <v>Subsidiaries</v>
      </c>
      <c r="I935" s="932" t="str" cm="1">
        <f t="array" ref="I935">_xlfn.XLOOKUP(Acc_Char!$E935,Table4[[#All],[Branch]],Table4[[#All],[Bank]],"recheck",0)</f>
        <v>VIETINBANK - TIEN SON</v>
      </c>
    </row>
    <row r="936" spans="1:9">
      <c r="A936" s="998">
        <f t="shared" si="14"/>
        <v>934</v>
      </c>
      <c r="B936" s="1004" t="s">
        <v>3568</v>
      </c>
      <c r="C936" s="1000" t="s">
        <v>2974</v>
      </c>
      <c r="D936" s="932" t="str">
        <f>VLOOKUP($C936,Table1[#All],2,0)</f>
        <v>BWID HAI DUONG 3</v>
      </c>
      <c r="E936" s="932" t="s">
        <v>92</v>
      </c>
      <c r="F936" s="998" t="s">
        <v>80</v>
      </c>
      <c r="G936" s="932" t="s">
        <v>310</v>
      </c>
      <c r="H936" s="932" t="str">
        <f>VLOOKUP($C936,Table1[#All],3,0)</f>
        <v>Subsidiaries</v>
      </c>
      <c r="I936" s="932" t="str" cm="1">
        <f t="array" ref="I936">_xlfn.XLOOKUP(Acc_Char!$E936,Table4[[#All],[Branch]],Table4[[#All],[Bank]],"recheck",0)</f>
        <v>BIDV - THANH XUAN</v>
      </c>
    </row>
    <row r="937" spans="1:9">
      <c r="A937" s="998">
        <f t="shared" si="14"/>
        <v>935</v>
      </c>
      <c r="B937" s="1004" t="s">
        <v>3569</v>
      </c>
      <c r="C937" s="1000" t="s">
        <v>2974</v>
      </c>
      <c r="D937" s="932" t="str">
        <f>VLOOKUP($C937,Table1[#All],2,0)</f>
        <v>BWID HAI DUONG 3</v>
      </c>
      <c r="E937" s="932" t="s">
        <v>92</v>
      </c>
      <c r="F937" s="998" t="s">
        <v>80</v>
      </c>
      <c r="G937" s="932" t="s">
        <v>310</v>
      </c>
      <c r="H937" s="932" t="str">
        <f>VLOOKUP($C937,Table1[#All],3,0)</f>
        <v>Subsidiaries</v>
      </c>
      <c r="I937" s="932" t="str" cm="1">
        <f t="array" ref="I937">_xlfn.XLOOKUP(Acc_Char!$E937,Table4[[#All],[Branch]],Table4[[#All],[Bank]],"recheck",0)</f>
        <v>BIDV - THANH XUAN</v>
      </c>
    </row>
    <row r="938" spans="1:9">
      <c r="A938" s="998">
        <f t="shared" si="14"/>
        <v>936</v>
      </c>
      <c r="B938" s="1004" t="s">
        <v>3570</v>
      </c>
      <c r="C938" s="1000" t="s">
        <v>2974</v>
      </c>
      <c r="D938" s="932" t="str">
        <f>VLOOKUP($C938,Table1[#All],2,0)</f>
        <v>BWID HAI DUONG 3</v>
      </c>
      <c r="E938" s="932" t="s">
        <v>92</v>
      </c>
      <c r="F938" s="998" t="s">
        <v>80</v>
      </c>
      <c r="G938" s="932" t="s">
        <v>310</v>
      </c>
      <c r="H938" s="932" t="str">
        <f>VLOOKUP($C938,Table1[#All],3,0)</f>
        <v>Subsidiaries</v>
      </c>
      <c r="I938" s="932" t="str" cm="1">
        <f t="array" ref="I938">_xlfn.XLOOKUP(Acc_Char!$E938,Table4[[#All],[Branch]],Table4[[#All],[Bank]],"recheck",0)</f>
        <v>BIDV - THANH XUAN</v>
      </c>
    </row>
    <row r="939" spans="1:9">
      <c r="A939" s="998">
        <f t="shared" si="14"/>
        <v>937</v>
      </c>
      <c r="B939" s="1004" t="s">
        <v>962</v>
      </c>
      <c r="C939" s="1000" t="s">
        <v>3026</v>
      </c>
      <c r="D939" s="932" t="str">
        <f>VLOOKUP($C939,Table1[#All],2,0)</f>
        <v>BW SAI GON</v>
      </c>
      <c r="E939" s="932" t="s">
        <v>98</v>
      </c>
      <c r="F939" s="998" t="s">
        <v>80</v>
      </c>
      <c r="G939" s="932" t="s">
        <v>310</v>
      </c>
      <c r="H939" s="932" t="str">
        <f>VLOOKUP($C939,Table1[#All],3,0)</f>
        <v>Subsidiaries</v>
      </c>
      <c r="I939" s="932" t="str" cm="1">
        <f t="array" ref="I939">_xlfn.XLOOKUP(Acc_Char!$E939,Table4[[#All],[Branch]],Table4[[#All],[Bank]],"recheck",0)</f>
        <v>SINOPAC</v>
      </c>
    </row>
    <row r="940" spans="1:9">
      <c r="A940" s="998">
        <f t="shared" si="14"/>
        <v>938</v>
      </c>
      <c r="B940" s="1004" t="s">
        <v>915</v>
      </c>
      <c r="C940" s="1000" t="s">
        <v>3516</v>
      </c>
      <c r="D940" s="932" t="str">
        <f>VLOOKUP($C940,Table1[#All],2,0)</f>
        <v>QV2 HOLDCO</v>
      </c>
      <c r="E940" s="932" t="s">
        <v>92</v>
      </c>
      <c r="F940" s="998" t="s">
        <v>81</v>
      </c>
      <c r="G940" s="932" t="s">
        <v>308</v>
      </c>
      <c r="H940" s="932" t="str">
        <f>VLOOKUP($C940,Table1[#All],3,0)</f>
        <v>Subsidiaries</v>
      </c>
      <c r="I940" s="932" t="str" cm="1">
        <f t="array" ref="I940">_xlfn.XLOOKUP(Acc_Char!$E871,Table4[[#All],[Branch]],Table4[[#All],[Bank]],"recheck",0)</f>
        <v>BIDV - THANH XUAN</v>
      </c>
    </row>
    <row r="941" spans="1:9">
      <c r="A941" s="998">
        <f t="shared" si="14"/>
        <v>939</v>
      </c>
      <c r="B941" s="1004" t="s">
        <v>965</v>
      </c>
      <c r="C941" s="1000" t="s">
        <v>3571</v>
      </c>
      <c r="D941" s="932" t="str">
        <f>VLOOKUP($C941,Table1[#All],2,0)</f>
        <v>PHUC DIEN</v>
      </c>
      <c r="E941" s="932" t="s">
        <v>92</v>
      </c>
      <c r="F941" s="998" t="s">
        <v>80</v>
      </c>
      <c r="G941" s="932" t="s">
        <v>308</v>
      </c>
      <c r="H941" s="932" t="str">
        <f>VLOOKUP($C941,Table1[#All],3,0)</f>
        <v>Subsidiaries</v>
      </c>
      <c r="I941" s="932" t="str" cm="1">
        <f t="array" ref="I941">_xlfn.XLOOKUP(Acc_Char!$E941,Table4[[#All],[Branch]],Table4[[#All],[Bank]],"recheck",0)</f>
        <v>BIDV - THANH XUAN</v>
      </c>
    </row>
    <row r="942" spans="1:9">
      <c r="A942" s="998">
        <f t="shared" si="14"/>
        <v>940</v>
      </c>
      <c r="B942" s="1004" t="s">
        <v>967</v>
      </c>
      <c r="C942" s="1000" t="s">
        <v>3572</v>
      </c>
      <c r="D942" s="932" t="str">
        <f>VLOOKUP($C942,Table1[#All],2,0)</f>
        <v>TAY NAM A</v>
      </c>
      <c r="E942" s="932" t="s">
        <v>85</v>
      </c>
      <c r="F942" s="998" t="s">
        <v>80</v>
      </c>
      <c r="G942" s="932" t="s">
        <v>308</v>
      </c>
      <c r="H942" s="932" t="str">
        <f>VLOOKUP($C942,Table1[#All],3,0)</f>
        <v>Subsidiaries</v>
      </c>
      <c r="I942" s="932" t="str" cm="1">
        <f t="array" ref="I942">_xlfn.XLOOKUP(Acc_Char!$E942,Table4[[#All],[Branch]],Table4[[#All],[Bank]],"recheck",0)</f>
        <v>VIETINBANK - TIEN SON</v>
      </c>
    </row>
    <row r="943" spans="1:9">
      <c r="A943" s="998">
        <f t="shared" si="14"/>
        <v>941</v>
      </c>
      <c r="B943" s="1004" t="s">
        <v>968</v>
      </c>
      <c r="C943" s="1000" t="s">
        <v>2895</v>
      </c>
      <c r="D943" s="932" t="str">
        <f>VLOOKUP($C943,Table1[#All],2,0)</f>
        <v>BWID HAI DUONG 2</v>
      </c>
      <c r="E943" s="932" t="s">
        <v>85</v>
      </c>
      <c r="F943" s="998" t="s">
        <v>80</v>
      </c>
      <c r="G943" s="932" t="s">
        <v>310</v>
      </c>
      <c r="H943" s="932" t="str">
        <f>VLOOKUP($C943,Table1[#All],3,0)</f>
        <v>Subsidiaries</v>
      </c>
      <c r="I943" s="932" t="str" cm="1">
        <f t="array" ref="I943">_xlfn.XLOOKUP(Acc_Char!$E943,Table4[[#All],[Branch]],Table4[[#All],[Bank]],"recheck",0)</f>
        <v>VIETINBANK - TIEN SON</v>
      </c>
    </row>
    <row r="944" spans="1:9">
      <c r="A944" s="998">
        <f t="shared" si="14"/>
        <v>942</v>
      </c>
      <c r="B944" s="1002" t="s">
        <v>3573</v>
      </c>
      <c r="C944" s="1003" t="s">
        <v>3160</v>
      </c>
      <c r="D944" s="932" t="str">
        <f>VLOOKUP($C944,Table1[#All],2,0)</f>
        <v>BWID Tan Phu Trung</v>
      </c>
      <c r="E944" s="932" t="s">
        <v>85</v>
      </c>
      <c r="F944" s="998" t="s">
        <v>80</v>
      </c>
      <c r="G944" s="932" t="s">
        <v>310</v>
      </c>
      <c r="H944" s="932" t="str">
        <f>VLOOKUP($C944,Table1[#All],3,0)</f>
        <v>Subsidiaries</v>
      </c>
      <c r="I944" s="932" t="str" cm="1">
        <f t="array" ref="I944">_xlfn.XLOOKUP(Acc_Char!$E944,Table4[[#All],[Branch]],Table4[[#All],[Bank]],"recheck",0)</f>
        <v>VIETINBANK - TIEN SON</v>
      </c>
    </row>
    <row r="945" spans="1:9">
      <c r="A945" s="998">
        <f t="shared" si="14"/>
        <v>943</v>
      </c>
      <c r="B945" s="1004" t="s">
        <v>3574</v>
      </c>
      <c r="C945" s="1000" t="s">
        <v>3160</v>
      </c>
      <c r="D945" s="932" t="str">
        <f>VLOOKUP($C945,Table1[#All],2,0)</f>
        <v>BWID Tan Phu Trung</v>
      </c>
      <c r="E945" s="932" t="s">
        <v>85</v>
      </c>
      <c r="F945" s="998" t="s">
        <v>80</v>
      </c>
      <c r="G945" s="932" t="s">
        <v>310</v>
      </c>
      <c r="H945" s="932" t="str">
        <f>VLOOKUP($C945,Table1[#All],3,0)</f>
        <v>Subsidiaries</v>
      </c>
      <c r="I945" s="932" t="str" cm="1">
        <f t="array" ref="I945">_xlfn.XLOOKUP(Acc_Char!$E945,Table4[[#All],[Branch]],Table4[[#All],[Bank]],"recheck",0)</f>
        <v>VIETINBANK - TIEN SON</v>
      </c>
    </row>
    <row r="946" spans="1:9">
      <c r="A946" s="998">
        <f t="shared" si="14"/>
        <v>944</v>
      </c>
      <c r="B946" s="1004" t="s">
        <v>3575</v>
      </c>
      <c r="C946" s="1000" t="s">
        <v>412</v>
      </c>
      <c r="D946" s="932" t="str">
        <f>VLOOKUP($C946,Table1[#All],2,0)</f>
        <v>DELIWAY</v>
      </c>
      <c r="E946" s="932" t="s">
        <v>340</v>
      </c>
      <c r="F946" s="998" t="s">
        <v>80</v>
      </c>
      <c r="G946" s="932" t="s">
        <v>310</v>
      </c>
      <c r="H946" s="932" t="str">
        <f>VLOOKUP($C946,Table1[#All],3,0)</f>
        <v>Subsidiaries</v>
      </c>
      <c r="I946" s="932" t="str" cm="1">
        <f t="array" ref="I946">_xlfn.XLOOKUP(Acc_Char!$E946,Table4[[#All],[Branch]],Table4[[#All],[Bank]],"recheck",0)</f>
        <v>ACB - SAI GON</v>
      </c>
    </row>
    <row r="947" spans="1:9">
      <c r="A947" s="998">
        <f t="shared" si="14"/>
        <v>945</v>
      </c>
      <c r="B947" s="1004" t="s">
        <v>3576</v>
      </c>
      <c r="C947" s="1000" t="s">
        <v>412</v>
      </c>
      <c r="D947" s="932" t="str">
        <f>VLOOKUP($C947,Table1[#All],2,0)</f>
        <v>DELIWAY</v>
      </c>
      <c r="E947" s="932" t="s">
        <v>98</v>
      </c>
      <c r="F947" s="998" t="s">
        <v>80</v>
      </c>
      <c r="G947" s="932" t="s">
        <v>310</v>
      </c>
      <c r="H947" s="932" t="str">
        <f>VLOOKUP($C947,Table1[#All],3,0)</f>
        <v>Subsidiaries</v>
      </c>
      <c r="I947" s="932" t="str" cm="1">
        <f t="array" ref="I947">_xlfn.XLOOKUP(Acc_Char!$E947,Table4[[#All],[Branch]],Table4[[#All],[Bank]],"recheck",0)</f>
        <v>SINOPAC</v>
      </c>
    </row>
    <row r="948" spans="1:9">
      <c r="A948" s="998">
        <f t="shared" si="14"/>
        <v>946</v>
      </c>
      <c r="B948" s="1002" t="s">
        <v>3577</v>
      </c>
      <c r="C948" s="1000" t="s">
        <v>412</v>
      </c>
      <c r="D948" s="932" t="str">
        <f>VLOOKUP($C948,Table1[#All],2,0)</f>
        <v>DELIWAY</v>
      </c>
      <c r="E948" s="932" t="s">
        <v>98</v>
      </c>
      <c r="F948" s="998" t="s">
        <v>80</v>
      </c>
      <c r="G948" s="932" t="s">
        <v>310</v>
      </c>
      <c r="H948" s="932" t="str">
        <f>VLOOKUP($C948,Table1[#All],3,0)</f>
        <v>Subsidiaries</v>
      </c>
      <c r="I948" s="932" t="str" cm="1">
        <f t="array" ref="I948">_xlfn.XLOOKUP(Acc_Char!$E948,Table4[[#All],[Branch]],Table4[[#All],[Bank]],"recheck",0)</f>
        <v>SINOPAC</v>
      </c>
    </row>
    <row r="949" spans="1:9">
      <c r="A949" s="998">
        <f t="shared" si="14"/>
        <v>947</v>
      </c>
      <c r="B949" s="1004" t="s">
        <v>3578</v>
      </c>
      <c r="C949" s="1000" t="s">
        <v>3072</v>
      </c>
      <c r="D949" s="932" t="str">
        <f>VLOOKUP($C949,Table1[#All],2,0)</f>
        <v>BWID TAN DONG HIEP</v>
      </c>
      <c r="E949" s="932" t="s">
        <v>96</v>
      </c>
      <c r="F949" s="998" t="s">
        <v>80</v>
      </c>
      <c r="G949" s="932" t="s">
        <v>310</v>
      </c>
      <c r="H949" s="932" t="str">
        <f>VLOOKUP($C949,Table1[#All],3,0)</f>
        <v>Subsidiaries</v>
      </c>
      <c r="I949" s="932" t="str" cm="1">
        <f t="array" ref="I949">_xlfn.XLOOKUP(Acc_Char!$E949,Table4[[#All],[Branch]],Table4[[#All],[Bank]],"recheck",0)</f>
        <v>VIB - HOI SO</v>
      </c>
    </row>
    <row r="950" spans="1:9">
      <c r="A950" s="998">
        <f t="shared" si="14"/>
        <v>948</v>
      </c>
      <c r="B950" s="1004" t="s">
        <v>969</v>
      </c>
      <c r="C950" s="1000" t="s">
        <v>436</v>
      </c>
      <c r="D950" s="932" t="str">
        <f>VLOOKUP($C950,Table1[#All],2,0)</f>
        <v>BW NAM HAI</v>
      </c>
      <c r="E950" s="932" t="s">
        <v>89</v>
      </c>
      <c r="F950" s="998" t="s">
        <v>80</v>
      </c>
      <c r="G950" s="932" t="s">
        <v>310</v>
      </c>
      <c r="H950" s="932" t="str">
        <f>VLOOKUP($C950,Table1[#All],3,0)</f>
        <v>Subsidiaries</v>
      </c>
      <c r="I950" s="932" t="str" cm="1">
        <f t="array" ref="I950">_xlfn.XLOOKUP(Acc_Char!$E950,Table4[[#All],[Branch]],Table4[[#All],[Bank]],"recheck",0)</f>
        <v>VIETCOMBANK - BA DINH</v>
      </c>
    </row>
    <row r="951" spans="1:9">
      <c r="A951" s="998">
        <f t="shared" si="14"/>
        <v>949</v>
      </c>
      <c r="B951" s="1004" t="s">
        <v>3579</v>
      </c>
      <c r="C951" s="1000" t="s">
        <v>3237</v>
      </c>
      <c r="D951" s="932" t="str">
        <f>VLOOKUP($C951,Table1[#All],2,0)</f>
        <v>LONG BINH</v>
      </c>
      <c r="E951" s="932" t="s">
        <v>86</v>
      </c>
      <c r="F951" s="998" t="s">
        <v>80</v>
      </c>
      <c r="G951" s="932" t="s">
        <v>310</v>
      </c>
      <c r="H951" s="932" t="str">
        <f>VLOOKUP($C951,Table1[#All],3,0)</f>
        <v>Subsidiaries</v>
      </c>
      <c r="I951" s="932" t="str" cm="1">
        <f t="array" ref="I951">_xlfn.XLOOKUP(Acc_Char!$E951,Table4[[#All],[Branch]],Table4[[#All],[Bank]],"recheck",0)</f>
        <v>VIETINBANK - CN1</v>
      </c>
    </row>
    <row r="952" spans="1:9">
      <c r="A952" s="998">
        <f t="shared" si="14"/>
        <v>950</v>
      </c>
      <c r="B952" s="1002" t="s">
        <v>3580</v>
      </c>
      <c r="C952" s="1003" t="s">
        <v>403</v>
      </c>
      <c r="D952" s="932" t="str">
        <f>VLOOKUP($C952,Table1[#All],2,0)</f>
        <v>BW SUPLLY CHAIN CITY</v>
      </c>
      <c r="E952" s="932" t="s">
        <v>91</v>
      </c>
      <c r="F952" s="998" t="s">
        <v>80</v>
      </c>
      <c r="G952" s="932" t="s">
        <v>310</v>
      </c>
      <c r="H952" s="932" t="str">
        <f>VLOOKUP($C952,Table1[#All],3,0)</f>
        <v>Subsidiaries</v>
      </c>
      <c r="I952" s="932" t="str" cm="1">
        <f t="array" ref="I952">_xlfn.XLOOKUP(Acc_Char!$E952,Table4[[#All],[Branch]],Table4[[#All],[Bank]],"recheck",0)</f>
        <v>VIETCOMBANK - HCM</v>
      </c>
    </row>
    <row r="953" spans="1:9">
      <c r="A953" s="998">
        <f t="shared" si="14"/>
        <v>951</v>
      </c>
      <c r="B953" s="1004" t="s">
        <v>3581</v>
      </c>
      <c r="C953" s="1000" t="s">
        <v>3010</v>
      </c>
      <c r="D953" s="932" t="str">
        <f>VLOOKUP($C953,Table1[#All],2,0)</f>
        <v>BWID LOGISTICS TAN UYEN</v>
      </c>
      <c r="E953" s="932" t="s">
        <v>89</v>
      </c>
      <c r="F953" s="998" t="s">
        <v>80</v>
      </c>
      <c r="G953" s="932" t="s">
        <v>310</v>
      </c>
      <c r="H953" s="932" t="str">
        <f>VLOOKUP($C953,Table1[#All],3,0)</f>
        <v>Subsidiaries</v>
      </c>
      <c r="I953" s="932" t="str" cm="1">
        <f t="array" ref="I953">_xlfn.XLOOKUP(Acc_Char!$E953,Table4[[#All],[Branch]],Table4[[#All],[Bank]],"recheck",0)</f>
        <v>VIETCOMBANK - BA DINH</v>
      </c>
    </row>
    <row r="954" spans="1:9">
      <c r="A954" s="998">
        <f t="shared" si="14"/>
        <v>952</v>
      </c>
      <c r="B954" s="1004" t="s">
        <v>3582</v>
      </c>
      <c r="C954" s="1000" t="s">
        <v>2888</v>
      </c>
      <c r="D954" s="932" t="str">
        <f>VLOOKUP($C954,Table1[#All],2,0)</f>
        <v>BWID HAI DUONG</v>
      </c>
      <c r="E954" s="932" t="s">
        <v>85</v>
      </c>
      <c r="F954" s="998" t="s">
        <v>80</v>
      </c>
      <c r="G954" s="932" t="s">
        <v>310</v>
      </c>
      <c r="H954" s="932" t="str">
        <f>VLOOKUP($C954,Table1[#All],3,0)</f>
        <v>Subsidiaries</v>
      </c>
      <c r="I954" s="932" t="str" cm="1">
        <f t="array" ref="I954">_xlfn.XLOOKUP(Acc_Char!$E954,Table4[[#All],[Branch]],Table4[[#All],[Bank]],"recheck",0)</f>
        <v>VIETINBANK - TIEN SON</v>
      </c>
    </row>
    <row r="955" spans="1:9">
      <c r="A955" s="998">
        <f t="shared" si="14"/>
        <v>953</v>
      </c>
      <c r="B955" s="1004" t="s">
        <v>3583</v>
      </c>
      <c r="C955" s="1000" t="s">
        <v>3564</v>
      </c>
      <c r="D955" s="932" t="str">
        <f>VLOOKUP($C955,Table1[#All],2,0)</f>
        <v>QV2 LLC</v>
      </c>
      <c r="E955" s="932" t="s">
        <v>92</v>
      </c>
      <c r="F955" s="998" t="s">
        <v>80</v>
      </c>
      <c r="G955" s="932" t="s">
        <v>310</v>
      </c>
      <c r="H955" s="932" t="str">
        <f>VLOOKUP($C955,Table1[#All],3,0)</f>
        <v>Subsidiaries</v>
      </c>
      <c r="I955" s="932" t="str" cm="1">
        <f t="array" ref="I955">_xlfn.XLOOKUP(Acc_Char!$E955,Table4[[#All],[Branch]],Table4[[#All],[Bank]],"recheck",0)</f>
        <v>BIDV - THANH XUAN</v>
      </c>
    </row>
    <row r="956" spans="1:9">
      <c r="A956" s="998">
        <f t="shared" si="14"/>
        <v>954</v>
      </c>
      <c r="B956" s="1002" t="s">
        <v>972</v>
      </c>
      <c r="C956" s="1000" t="s">
        <v>3505</v>
      </c>
      <c r="D956" s="932" t="str">
        <f>VLOOKUP($C956,Table1[#All],2,0)</f>
        <v>BIEN HOA</v>
      </c>
      <c r="E956" s="932" t="s">
        <v>971</v>
      </c>
      <c r="F956" s="998" t="s">
        <v>80</v>
      </c>
      <c r="G956" s="932" t="s">
        <v>308</v>
      </c>
      <c r="H956" s="932" t="str">
        <f>VLOOKUP($C956,Table1[#All],3,0)</f>
        <v>Subsidiaries</v>
      </c>
      <c r="I956" s="932" t="str" cm="1">
        <f t="array" ref="I956">_xlfn.XLOOKUP(Acc_Char!$E956,Table4[[#All],[Branch]],Table4[[#All],[Bank]],"recheck",0)</f>
        <v>OTHERS</v>
      </c>
    </row>
    <row r="957" spans="1:9">
      <c r="A957" s="998">
        <f t="shared" si="14"/>
        <v>955</v>
      </c>
      <c r="B957" s="1004" t="s">
        <v>973</v>
      </c>
      <c r="C957" s="1000" t="s">
        <v>67</v>
      </c>
      <c r="D957" s="932" t="str">
        <f>VLOOKUP($C957,Table1[#All],2,0)</f>
        <v>SAO HOA</v>
      </c>
      <c r="E957" s="932" t="s">
        <v>338</v>
      </c>
      <c r="F957" s="998" t="s">
        <v>80</v>
      </c>
      <c r="G957" s="932" t="s">
        <v>308</v>
      </c>
      <c r="H957" s="932" t="str">
        <f>VLOOKUP($C957,Table1[#All],3,0)</f>
        <v>VC3</v>
      </c>
      <c r="I957" s="932" t="str" cm="1">
        <f t="array" ref="I957">_xlfn.XLOOKUP(Acc_Char!$E957,Table4[[#All],[Branch]],Table4[[#All],[Bank]],"recheck",0)</f>
        <v>TECHCOMBANK</v>
      </c>
    </row>
    <row r="958" spans="1:9">
      <c r="A958" s="998">
        <f t="shared" si="14"/>
        <v>956</v>
      </c>
      <c r="B958" s="1002" t="s">
        <v>974</v>
      </c>
      <c r="C958" s="1003" t="s">
        <v>67</v>
      </c>
      <c r="D958" s="932" t="str">
        <f>VLOOKUP($C958,Table1[#All],2,0)</f>
        <v>SAO HOA</v>
      </c>
      <c r="E958" s="999" t="s">
        <v>803</v>
      </c>
      <c r="F958" s="998" t="s">
        <v>80</v>
      </c>
      <c r="G958" s="932" t="s">
        <v>308</v>
      </c>
      <c r="H958" s="932" t="str">
        <f>VLOOKUP($C958,Table1[#All],3,0)</f>
        <v>VC3</v>
      </c>
      <c r="I958" s="932" t="str" cm="1">
        <f t="array" ref="I958">_xlfn.XLOOKUP(Acc_Char!$E958,Table4[[#All],[Branch]],Table4[[#All],[Bank]],"recheck",0)</f>
        <v>UOB</v>
      </c>
    </row>
    <row r="959" spans="1:9">
      <c r="A959" s="998">
        <f t="shared" si="14"/>
        <v>957</v>
      </c>
      <c r="B959" s="1004" t="s">
        <v>931</v>
      </c>
      <c r="C959" s="1000" t="s">
        <v>3519</v>
      </c>
      <c r="D959" s="932" t="str">
        <f>VLOOKUP($C959,Table1[#All],2,0)</f>
        <v>NSHL LLC</v>
      </c>
      <c r="E959" s="932" t="s">
        <v>92</v>
      </c>
      <c r="F959" s="998" t="s">
        <v>81</v>
      </c>
      <c r="G959" s="932" t="s">
        <v>308</v>
      </c>
      <c r="H959" s="932" t="str">
        <f>VLOOKUP($C959,Table1[#All],3,0)</f>
        <v>Subsidiaries</v>
      </c>
      <c r="I959" s="932" t="str" cm="1">
        <f t="array" ref="I959">_xlfn.XLOOKUP(Acc_Char!$E902,Table4[[#All],[Branch]],Table4[[#All],[Bank]],"recheck",0)</f>
        <v>BIDV - THANH XUAN</v>
      </c>
    </row>
    <row r="960" spans="1:9">
      <c r="A960" s="998">
        <f t="shared" si="14"/>
        <v>958</v>
      </c>
      <c r="B960" s="1004" t="s">
        <v>976</v>
      </c>
      <c r="C960" s="1000" t="s">
        <v>67</v>
      </c>
      <c r="D960" s="932" t="str">
        <f>VLOOKUP($C960,Table1[#All],2,0)</f>
        <v>SAO HOA</v>
      </c>
      <c r="E960" s="932" t="s">
        <v>98</v>
      </c>
      <c r="F960" s="998" t="s">
        <v>80</v>
      </c>
      <c r="G960" s="932" t="s">
        <v>308</v>
      </c>
      <c r="H960" s="932" t="str">
        <f>VLOOKUP($C960,Table1[#All],3,0)</f>
        <v>VC3</v>
      </c>
      <c r="I960" s="932" t="str" cm="1">
        <f t="array" ref="I960">_xlfn.XLOOKUP(Acc_Char!$E960,Table4[[#All],[Branch]],Table4[[#All],[Bank]],"recheck",0)</f>
        <v>SINOPAC</v>
      </c>
    </row>
    <row r="961" spans="1:10">
      <c r="A961" s="998">
        <f t="shared" si="14"/>
        <v>959</v>
      </c>
      <c r="B961" s="1004" t="s">
        <v>3584</v>
      </c>
      <c r="C961" s="1000" t="s">
        <v>67</v>
      </c>
      <c r="D961" s="932" t="str">
        <f>VLOOKUP($C961,Table1[#All],2,0)</f>
        <v>SAO HOA</v>
      </c>
      <c r="E961" s="932" t="s">
        <v>803</v>
      </c>
      <c r="F961" s="998" t="s">
        <v>80</v>
      </c>
      <c r="G961" s="932" t="s">
        <v>310</v>
      </c>
      <c r="H961" s="932" t="str">
        <f>VLOOKUP($C961,Table1[#All],3,0)</f>
        <v>VC3</v>
      </c>
      <c r="I961" s="932" t="str" cm="1">
        <f t="array" ref="I961">_xlfn.XLOOKUP(Acc_Char!$E961,Table4[[#All],[Branch]],Table4[[#All],[Bank]],"recheck",0)</f>
        <v>UOB</v>
      </c>
      <c r="J961" t="s">
        <v>466</v>
      </c>
    </row>
    <row r="962" spans="1:10">
      <c r="A962" s="998">
        <f t="shared" si="14"/>
        <v>960</v>
      </c>
      <c r="B962" s="1004" t="s">
        <v>3585</v>
      </c>
      <c r="C962" s="1000" t="s">
        <v>67</v>
      </c>
      <c r="D962" s="932" t="str">
        <f>VLOOKUP($C962,Table1[#All],2,0)</f>
        <v>SAO HOA</v>
      </c>
      <c r="E962" s="932" t="s">
        <v>153</v>
      </c>
      <c r="F962" s="998" t="s">
        <v>80</v>
      </c>
      <c r="G962" s="932" t="s">
        <v>310</v>
      </c>
      <c r="H962" s="932" t="str">
        <f>VLOOKUP($C962,Table1[#All],3,0)</f>
        <v>VC3</v>
      </c>
      <c r="I962" s="932" t="str" cm="1">
        <f t="array" ref="I962">_xlfn.XLOOKUP(Acc_Char!$E962,Table4[[#All],[Branch]],Table4[[#All],[Bank]],"recheck",0)</f>
        <v>VIETINBANK - BINH DUONG + QM</v>
      </c>
    </row>
    <row r="963" spans="1:10">
      <c r="A963" s="998">
        <f t="shared" si="14"/>
        <v>961</v>
      </c>
      <c r="B963" s="1004" t="s">
        <v>3586</v>
      </c>
      <c r="C963" s="1000" t="s">
        <v>67</v>
      </c>
      <c r="D963" s="932" t="str">
        <f>VLOOKUP($C963,Table1[#All],2,0)</f>
        <v>SAO HOA</v>
      </c>
      <c r="E963" s="932" t="s">
        <v>153</v>
      </c>
      <c r="F963" s="998" t="s">
        <v>80</v>
      </c>
      <c r="G963" s="932" t="s">
        <v>310</v>
      </c>
      <c r="H963" s="932" t="str">
        <f>VLOOKUP($C963,Table1[#All],3,0)</f>
        <v>VC3</v>
      </c>
      <c r="I963" s="932" t="str" cm="1">
        <f t="array" ref="I963">_xlfn.XLOOKUP(Acc_Char!$E963,Table4[[#All],[Branch]],Table4[[#All],[Bank]],"recheck",0)</f>
        <v>VIETINBANK - BINH DUONG + QM</v>
      </c>
    </row>
    <row r="964" spans="1:10">
      <c r="A964" s="998">
        <f t="shared" ref="A964:A1028" si="15">A963+1</f>
        <v>962</v>
      </c>
      <c r="B964" s="1004" t="s">
        <v>3587</v>
      </c>
      <c r="C964" s="1000" t="s">
        <v>67</v>
      </c>
      <c r="D964" s="932" t="str">
        <f>VLOOKUP($C964,Table1[#All],2,0)</f>
        <v>SAO HOA</v>
      </c>
      <c r="E964" s="932" t="s">
        <v>190</v>
      </c>
      <c r="F964" s="998" t="s">
        <v>80</v>
      </c>
      <c r="G964" s="932" t="s">
        <v>310</v>
      </c>
      <c r="H964" s="932" t="str">
        <f>VLOOKUP($C964,Table1[#All],3,0)</f>
        <v>VC3</v>
      </c>
      <c r="I964" s="932" t="str" cm="1">
        <f t="array" ref="I964">_xlfn.XLOOKUP(Acc_Char!$E964,Table4[[#All],[Branch]],Table4[[#All],[Bank]],"recheck",0)</f>
        <v>VIETINBANK - HA NOI</v>
      </c>
    </row>
    <row r="965" spans="1:10">
      <c r="A965" s="998">
        <f t="shared" si="15"/>
        <v>963</v>
      </c>
      <c r="B965" s="1004" t="s">
        <v>3588</v>
      </c>
      <c r="C965" s="1000" t="s">
        <v>67</v>
      </c>
      <c r="D965" s="932" t="str">
        <f>VLOOKUP($C965,Table1[#All],2,0)</f>
        <v>SAO HOA</v>
      </c>
      <c r="E965" s="932" t="s">
        <v>88</v>
      </c>
      <c r="F965" s="998" t="s">
        <v>80</v>
      </c>
      <c r="G965" s="932" t="s">
        <v>310</v>
      </c>
      <c r="H965" s="932" t="str">
        <f>VLOOKUP($C965,Table1[#All],3,0)</f>
        <v>VC3</v>
      </c>
      <c r="I965" s="932" t="str" cm="1">
        <f t="array" ref="I965">_xlfn.XLOOKUP(Acc_Char!$E965,Table4[[#All],[Branch]],Table4[[#All],[Bank]],"recheck",0)</f>
        <v>VIETINBANK - DONG SAI GON</v>
      </c>
    </row>
    <row r="966" spans="1:10">
      <c r="A966" s="998">
        <f t="shared" si="15"/>
        <v>964</v>
      </c>
      <c r="B966" s="1002" t="s">
        <v>3589</v>
      </c>
      <c r="C966" s="1003" t="s">
        <v>67</v>
      </c>
      <c r="D966" s="932" t="str">
        <f>VLOOKUP($C966,Table1[#All],2,0)</f>
        <v>SAO HOA</v>
      </c>
      <c r="E966" s="932" t="s">
        <v>191</v>
      </c>
      <c r="F966" s="998" t="s">
        <v>80</v>
      </c>
      <c r="G966" s="932" t="s">
        <v>310</v>
      </c>
      <c r="H966" s="932" t="str">
        <f>VLOOKUP($C966,Table1[#All],3,0)</f>
        <v>VC3</v>
      </c>
      <c r="I966" s="932" t="str" cm="1">
        <f t="array" ref="I966">_xlfn.XLOOKUP(Acc_Char!$E966,Table4[[#All],[Branch]],Table4[[#All],[Bank]],"recheck",0)</f>
        <v>VIETINBANK - TPHCM</v>
      </c>
    </row>
    <row r="967" spans="1:10">
      <c r="A967" s="998">
        <f t="shared" si="15"/>
        <v>965</v>
      </c>
      <c r="B967" s="1004" t="s">
        <v>3590</v>
      </c>
      <c r="C967" s="1000" t="s">
        <v>67</v>
      </c>
      <c r="D967" s="932" t="str">
        <f>VLOOKUP($C967,Table1[#All],2,0)</f>
        <v>SAO HOA</v>
      </c>
      <c r="E967" s="932" t="s">
        <v>153</v>
      </c>
      <c r="F967" s="998" t="s">
        <v>80</v>
      </c>
      <c r="G967" s="932" t="s">
        <v>310</v>
      </c>
      <c r="H967" s="932" t="str">
        <f>VLOOKUP($C967,Table1[#All],3,0)</f>
        <v>VC3</v>
      </c>
      <c r="I967" s="932" t="str" cm="1">
        <f t="array" ref="I967">_xlfn.XLOOKUP(Acc_Char!$E967,Table4[[#All],[Branch]],Table4[[#All],[Bank]],"recheck",0)</f>
        <v>VIETINBANK - BINH DUONG + QM</v>
      </c>
    </row>
    <row r="968" spans="1:10">
      <c r="A968" s="998">
        <f t="shared" si="15"/>
        <v>966</v>
      </c>
      <c r="B968" s="1004" t="s">
        <v>3591</v>
      </c>
      <c r="C968" s="1000" t="s">
        <v>67</v>
      </c>
      <c r="D968" s="932" t="str">
        <f>VLOOKUP($C968,Table1[#All],2,0)</f>
        <v>SAO HOA</v>
      </c>
      <c r="E968" s="932" t="s">
        <v>85</v>
      </c>
      <c r="F968" s="998" t="s">
        <v>80</v>
      </c>
      <c r="G968" s="932" t="s">
        <v>310</v>
      </c>
      <c r="H968" s="932" t="str">
        <f>VLOOKUP($C968,Table1[#All],3,0)</f>
        <v>VC3</v>
      </c>
      <c r="I968" s="932" t="str" cm="1">
        <f t="array" ref="I968">_xlfn.XLOOKUP(Acc_Char!$E968,Table4[[#All],[Branch]],Table4[[#All],[Bank]],"recheck",0)</f>
        <v>VIETINBANK - TIEN SON</v>
      </c>
    </row>
    <row r="969" spans="1:10">
      <c r="A969" s="998">
        <f t="shared" si="15"/>
        <v>967</v>
      </c>
      <c r="B969" s="1004" t="s">
        <v>3592</v>
      </c>
      <c r="C969" s="1000" t="s">
        <v>67</v>
      </c>
      <c r="D969" s="932" t="str">
        <f>VLOOKUP($C969,Table1[#All],2,0)</f>
        <v>SAO HOA</v>
      </c>
      <c r="E969" s="932" t="s">
        <v>86</v>
      </c>
      <c r="F969" s="998" t="s">
        <v>80</v>
      </c>
      <c r="G969" s="932" t="s">
        <v>310</v>
      </c>
      <c r="H969" s="932" t="str">
        <f>VLOOKUP($C969,Table1[#All],3,0)</f>
        <v>VC3</v>
      </c>
      <c r="I969" s="932" t="str" cm="1">
        <f t="array" ref="I969">_xlfn.XLOOKUP(Acc_Char!$E969,Table4[[#All],[Branch]],Table4[[#All],[Bank]],"recheck",0)</f>
        <v>VIETINBANK - CN1</v>
      </c>
    </row>
    <row r="970" spans="1:10">
      <c r="A970" s="998">
        <f t="shared" si="15"/>
        <v>968</v>
      </c>
      <c r="B970" s="1002" t="s">
        <v>3593</v>
      </c>
      <c r="C970" s="1000" t="s">
        <v>67</v>
      </c>
      <c r="D970" s="932" t="str">
        <f>VLOOKUP($C970,Table1[#All],2,0)</f>
        <v>SAO HOA</v>
      </c>
      <c r="E970" s="932" t="s">
        <v>155</v>
      </c>
      <c r="F970" s="998" t="s">
        <v>80</v>
      </c>
      <c r="G970" s="932" t="s">
        <v>310</v>
      </c>
      <c r="H970" s="932" t="str">
        <f>VLOOKUP($C970,Table1[#All],3,0)</f>
        <v>VC3</v>
      </c>
      <c r="I970" s="932" t="str" cm="1">
        <f t="array" ref="I970">_xlfn.XLOOKUP(Acc_Char!$E970,Table4[[#All],[Branch]],Table4[[#All],[Bank]],"recheck",0)</f>
        <v>VIETINBANK - BINH DUONG + QM</v>
      </c>
    </row>
    <row r="971" spans="1:10">
      <c r="A971" s="998">
        <f t="shared" si="15"/>
        <v>969</v>
      </c>
      <c r="B971" s="1004" t="s">
        <v>3594</v>
      </c>
      <c r="C971" s="1000" t="s">
        <v>67</v>
      </c>
      <c r="D971" s="932" t="str">
        <f>VLOOKUP($C971,Table1[#All],2,0)</f>
        <v>SAO HOA</v>
      </c>
      <c r="E971" s="932" t="s">
        <v>92</v>
      </c>
      <c r="F971" s="998" t="s">
        <v>80</v>
      </c>
      <c r="G971" s="932" t="s">
        <v>310</v>
      </c>
      <c r="H971" s="932" t="str">
        <f>VLOOKUP($C971,Table1[#All],3,0)</f>
        <v>VC3</v>
      </c>
      <c r="I971" s="932" t="str" cm="1">
        <f t="array" ref="I971">_xlfn.XLOOKUP(Acc_Char!$E971,Table4[[#All],[Branch]],Table4[[#All],[Bank]],"recheck",0)</f>
        <v>BIDV - THANH XUAN</v>
      </c>
    </row>
    <row r="972" spans="1:10">
      <c r="A972" s="998">
        <f t="shared" si="15"/>
        <v>970</v>
      </c>
      <c r="B972" s="1004" t="s">
        <v>3595</v>
      </c>
      <c r="C972" s="1000" t="s">
        <v>67</v>
      </c>
      <c r="D972" s="932" t="str">
        <f>VLOOKUP($C972,Table1[#All],2,0)</f>
        <v>SAO HOA</v>
      </c>
      <c r="E972" s="932" t="s">
        <v>339</v>
      </c>
      <c r="F972" s="998" t="s">
        <v>80</v>
      </c>
      <c r="G972" s="932" t="s">
        <v>310</v>
      </c>
      <c r="H972" s="932" t="str">
        <f>VLOOKUP($C972,Table1[#All],3,0)</f>
        <v>VC3</v>
      </c>
      <c r="I972" s="932" t="str" cm="1">
        <f t="array" ref="I972">_xlfn.XLOOKUP(Acc_Char!$E972,Table4[[#All],[Branch]],Table4[[#All],[Bank]],"recheck",0)</f>
        <v>ACB - HCM</v>
      </c>
    </row>
    <row r="973" spans="1:10">
      <c r="A973" s="998">
        <f t="shared" si="15"/>
        <v>971</v>
      </c>
      <c r="B973" s="1004" t="s">
        <v>3596</v>
      </c>
      <c r="C973" s="1000" t="s">
        <v>67</v>
      </c>
      <c r="D973" s="932" t="str">
        <f>VLOOKUP($C973,Table1[#All],2,0)</f>
        <v>SAO HOA</v>
      </c>
      <c r="E973" s="932" t="s">
        <v>339</v>
      </c>
      <c r="F973" s="998" t="s">
        <v>80</v>
      </c>
      <c r="G973" s="932" t="s">
        <v>310</v>
      </c>
      <c r="H973" s="932" t="str">
        <f>VLOOKUP($C973,Table1[#All],3,0)</f>
        <v>VC3</v>
      </c>
      <c r="I973" s="932" t="str" cm="1">
        <f t="array" ref="I973">_xlfn.XLOOKUP(Acc_Char!$E973,Table4[[#All],[Branch]],Table4[[#All],[Bank]],"recheck",0)</f>
        <v>ACB - HCM</v>
      </c>
    </row>
    <row r="974" spans="1:10">
      <c r="A974" s="998">
        <f t="shared" si="15"/>
        <v>972</v>
      </c>
      <c r="B974" s="1002" t="s">
        <v>3597</v>
      </c>
      <c r="C974" s="1003" t="s">
        <v>67</v>
      </c>
      <c r="D974" s="932" t="str">
        <f>VLOOKUP($C974,Table1[#All],2,0)</f>
        <v>SAO HOA</v>
      </c>
      <c r="E974" s="932" t="s">
        <v>95</v>
      </c>
      <c r="F974" s="998" t="s">
        <v>80</v>
      </c>
      <c r="G974" s="932" t="s">
        <v>310</v>
      </c>
      <c r="H974" s="932" t="str">
        <f>VLOOKUP($C974,Table1[#All],3,0)</f>
        <v>VC3</v>
      </c>
      <c r="I974" s="932" t="str" cm="1">
        <f t="array" ref="I974">_xlfn.XLOOKUP(Acc_Char!$E974,Table4[[#All],[Branch]],Table4[[#All],[Bank]],"recheck",0)</f>
        <v>OCB - BINH DUONG</v>
      </c>
    </row>
    <row r="975" spans="1:10">
      <c r="A975" s="998">
        <f t="shared" si="15"/>
        <v>973</v>
      </c>
      <c r="B975" s="1004" t="s">
        <v>3598</v>
      </c>
      <c r="C975" s="1000" t="s">
        <v>67</v>
      </c>
      <c r="D975" s="932" t="str">
        <f>VLOOKUP($C975,Table1[#All],2,0)</f>
        <v>SAO HOA</v>
      </c>
      <c r="E975" s="932" t="s">
        <v>96</v>
      </c>
      <c r="F975" s="998" t="s">
        <v>80</v>
      </c>
      <c r="G975" s="932" t="s">
        <v>310</v>
      </c>
      <c r="H975" s="932" t="str">
        <f>VLOOKUP($C975,Table1[#All],3,0)</f>
        <v>VC3</v>
      </c>
      <c r="I975" s="932" t="str" cm="1">
        <f t="array" ref="I975">_xlfn.XLOOKUP(Acc_Char!$E975,Table4[[#All],[Branch]],Table4[[#All],[Bank]],"recheck",0)</f>
        <v>VIB - HOI SO</v>
      </c>
    </row>
    <row r="976" spans="1:10">
      <c r="A976" s="998">
        <f t="shared" si="15"/>
        <v>974</v>
      </c>
      <c r="B976" s="1004" t="s">
        <v>3599</v>
      </c>
      <c r="C976" s="1000" t="s">
        <v>67</v>
      </c>
      <c r="D976" s="932" t="str">
        <f>VLOOKUP($C976,Table1[#All],2,0)</f>
        <v>SAO HOA</v>
      </c>
      <c r="E976" s="932" t="s">
        <v>91</v>
      </c>
      <c r="F976" s="998" t="s">
        <v>80</v>
      </c>
      <c r="G976" s="932" t="s">
        <v>310</v>
      </c>
      <c r="H976" s="932" t="str">
        <f>VLOOKUP($C976,Table1[#All],3,0)</f>
        <v>VC3</v>
      </c>
      <c r="I976" s="932" t="str" cm="1">
        <f t="array" ref="I976">_xlfn.XLOOKUP(Acc_Char!$E976,Table4[[#All],[Branch]],Table4[[#All],[Bank]],"recheck",0)</f>
        <v>VIETCOMBANK - HCM</v>
      </c>
    </row>
    <row r="977" spans="1:9">
      <c r="A977" s="998">
        <f t="shared" si="15"/>
        <v>975</v>
      </c>
      <c r="B977" s="1004" t="s">
        <v>3600</v>
      </c>
      <c r="C977" s="1000" t="s">
        <v>67</v>
      </c>
      <c r="D977" s="932" t="str">
        <f>VLOOKUP($C977,Table1[#All],2,0)</f>
        <v>SAO HOA</v>
      </c>
      <c r="E977" s="932" t="s">
        <v>89</v>
      </c>
      <c r="F977" s="998" t="s">
        <v>80</v>
      </c>
      <c r="G977" s="932" t="s">
        <v>310</v>
      </c>
      <c r="H977" s="932" t="str">
        <f>VLOOKUP($C977,Table1[#All],3,0)</f>
        <v>VC3</v>
      </c>
      <c r="I977" s="932" t="str" cm="1">
        <f t="array" ref="I977">_xlfn.XLOOKUP(Acc_Char!$E977,Table4[[#All],[Branch]],Table4[[#All],[Bank]],"recheck",0)</f>
        <v>VIETCOMBANK - BA DINH</v>
      </c>
    </row>
    <row r="978" spans="1:9">
      <c r="A978" s="998">
        <f t="shared" si="15"/>
        <v>976</v>
      </c>
      <c r="B978" s="1004" t="s">
        <v>3601</v>
      </c>
      <c r="C978" s="1000" t="s">
        <v>67</v>
      </c>
      <c r="D978" s="932" t="str">
        <f>VLOOKUP($C978,Table1[#All],2,0)</f>
        <v>SAO HOA</v>
      </c>
      <c r="E978" s="932" t="s">
        <v>338</v>
      </c>
      <c r="F978" s="998" t="s">
        <v>80</v>
      </c>
      <c r="G978" s="932" t="s">
        <v>310</v>
      </c>
      <c r="H978" s="932" t="str">
        <f>VLOOKUP($C978,Table1[#All],3,0)</f>
        <v>VC3</v>
      </c>
      <c r="I978" s="932" t="str" cm="1">
        <f t="array" ref="I978">_xlfn.XLOOKUP(Acc_Char!$E978,Table4[[#All],[Branch]],Table4[[#All],[Bank]],"recheck",0)</f>
        <v>TECHCOMBANK</v>
      </c>
    </row>
    <row r="979" spans="1:9">
      <c r="A979" s="998">
        <f t="shared" si="15"/>
        <v>977</v>
      </c>
      <c r="B979" s="1004" t="s">
        <v>3602</v>
      </c>
      <c r="C979" s="1000" t="s">
        <v>67</v>
      </c>
      <c r="D979" s="932" t="str">
        <f>VLOOKUP($C979,Table1[#All],2,0)</f>
        <v>SAO HOA</v>
      </c>
      <c r="E979" s="932" t="s">
        <v>98</v>
      </c>
      <c r="F979" s="998" t="s">
        <v>80</v>
      </c>
      <c r="G979" s="932" t="s">
        <v>310</v>
      </c>
      <c r="H979" s="932" t="str">
        <f>VLOOKUP($C979,Table1[#All],3,0)</f>
        <v>VC3</v>
      </c>
      <c r="I979" s="932" t="str" cm="1">
        <f t="array" ref="I979">_xlfn.XLOOKUP(Acc_Char!$E979,Table4[[#All],[Branch]],Table4[[#All],[Bank]],"recheck",0)</f>
        <v>SINOPAC</v>
      </c>
    </row>
    <row r="980" spans="1:9">
      <c r="A980" s="998">
        <f t="shared" si="15"/>
        <v>978</v>
      </c>
      <c r="B980" s="1002" t="s">
        <v>5402</v>
      </c>
      <c r="C980" s="1003" t="s">
        <v>67</v>
      </c>
      <c r="D980" s="932" t="str">
        <f>VLOOKUP($C980,Table1[#All],2,0)</f>
        <v>SAO HOA</v>
      </c>
      <c r="E980" s="932" t="s">
        <v>3603</v>
      </c>
      <c r="F980" s="998" t="s">
        <v>80</v>
      </c>
      <c r="G980" s="932" t="s">
        <v>310</v>
      </c>
      <c r="H980" s="932" t="str">
        <f>VLOOKUP($C980,Table1[#All],3,0)</f>
        <v>VC3</v>
      </c>
      <c r="I980" s="932" t="str" cm="1">
        <f t="array" ref="I980">_xlfn.XLOOKUP(Acc_Char!$E980,Table4[[#All],[Branch]],Table4[[#All],[Bank]],"recheck",0)</f>
        <v>OTHERS</v>
      </c>
    </row>
    <row r="981" spans="1:9">
      <c r="A981" s="998">
        <f t="shared" si="15"/>
        <v>979</v>
      </c>
      <c r="B981" s="1004" t="s">
        <v>3604</v>
      </c>
      <c r="C981" s="1000" t="s">
        <v>3237</v>
      </c>
      <c r="D981" s="932" t="str">
        <f>VLOOKUP($C981,Table1[#All],2,0)</f>
        <v>LONG BINH</v>
      </c>
      <c r="E981" s="932" t="s">
        <v>86</v>
      </c>
      <c r="F981" s="998" t="s">
        <v>80</v>
      </c>
      <c r="G981" s="932" t="s">
        <v>310</v>
      </c>
      <c r="H981" s="932" t="str">
        <f>VLOOKUP($C981,Table1[#All],3,0)</f>
        <v>Subsidiaries</v>
      </c>
      <c r="I981" s="932" t="str" cm="1">
        <f t="array" ref="I981">_xlfn.XLOOKUP(Acc_Char!$E981,Table4[[#All],[Branch]],Table4[[#All],[Bank]],"recheck",0)</f>
        <v>VIETINBANK - CN1</v>
      </c>
    </row>
    <row r="982" spans="1:9">
      <c r="A982" s="998">
        <f t="shared" si="15"/>
        <v>980</v>
      </c>
      <c r="B982" s="1002" t="s">
        <v>3605</v>
      </c>
      <c r="C982" s="1003" t="s">
        <v>3237</v>
      </c>
      <c r="D982" s="932" t="str">
        <f>VLOOKUP($C982,Table1[#All],2,0)</f>
        <v>LONG BINH</v>
      </c>
      <c r="E982" s="932" t="s">
        <v>86</v>
      </c>
      <c r="F982" s="998" t="s">
        <v>80</v>
      </c>
      <c r="G982" s="932" t="s">
        <v>310</v>
      </c>
      <c r="H982" s="932" t="str">
        <f>VLOOKUP($C982,Table1[#All],3,0)</f>
        <v>Subsidiaries</v>
      </c>
      <c r="I982" s="932" t="str" cm="1">
        <f t="array" ref="I982">_xlfn.XLOOKUP(Acc_Char!$E982,Table4[[#All],[Branch]],Table4[[#All],[Bank]],"recheck",0)</f>
        <v>VIETINBANK - CN1</v>
      </c>
    </row>
    <row r="983" spans="1:9">
      <c r="A983" s="998">
        <f t="shared" si="15"/>
        <v>981</v>
      </c>
      <c r="B983" s="1004" t="s">
        <v>3606</v>
      </c>
      <c r="C983" s="1000" t="s">
        <v>3394</v>
      </c>
      <c r="D983" s="932" t="str">
        <f>VLOOKUP($C983,Table1[#All],2,0)</f>
        <v>HOLDCO4U</v>
      </c>
      <c r="E983" s="932" t="s">
        <v>191</v>
      </c>
      <c r="F983" s="998" t="s">
        <v>80</v>
      </c>
      <c r="G983" s="932" t="s">
        <v>342</v>
      </c>
      <c r="H983" s="932" t="str">
        <f>VLOOKUP($C983,Table1[#All],3,0)</f>
        <v>Subsidiaries</v>
      </c>
      <c r="I983" s="932" t="str" cm="1">
        <f t="array" ref="I983">_xlfn.XLOOKUP(Acc_Char!$E983,Table4[[#All],[Branch]],Table4[[#All],[Bank]],"recheck",0)</f>
        <v>VIETINBANK - TPHCM</v>
      </c>
    </row>
    <row r="984" spans="1:9">
      <c r="A984" s="998">
        <f t="shared" si="15"/>
        <v>982</v>
      </c>
      <c r="B984" s="1002" t="s">
        <v>3607</v>
      </c>
      <c r="C984" s="1003" t="s">
        <v>3394</v>
      </c>
      <c r="D984" s="932" t="str">
        <f>VLOOKUP($C984,Table1[#All],2,0)</f>
        <v>HOLDCO4U</v>
      </c>
      <c r="E984" s="932" t="s">
        <v>191</v>
      </c>
      <c r="F984" s="998" t="s">
        <v>80</v>
      </c>
      <c r="G984" s="932" t="s">
        <v>310</v>
      </c>
      <c r="H984" s="932" t="str">
        <f>VLOOKUP($C984,Table1[#All],3,0)</f>
        <v>Subsidiaries</v>
      </c>
      <c r="I984" s="932" t="str" cm="1">
        <f t="array" ref="I984">_xlfn.XLOOKUP(Acc_Char!$E984,Table4[[#All],[Branch]],Table4[[#All],[Bank]],"recheck",0)</f>
        <v>VIETINBANK - TPHCM</v>
      </c>
    </row>
    <row r="985" spans="1:9">
      <c r="A985" s="998">
        <f t="shared" si="15"/>
        <v>983</v>
      </c>
      <c r="B985" s="1004" t="s">
        <v>977</v>
      </c>
      <c r="C985" s="1000" t="s">
        <v>3042</v>
      </c>
      <c r="D985" s="932" t="str">
        <f>VLOOKUP($C985,Table1[#All],2,0)</f>
        <v>BW NEW CITY</v>
      </c>
      <c r="E985" s="932" t="s">
        <v>96</v>
      </c>
      <c r="F985" s="998" t="s">
        <v>80</v>
      </c>
      <c r="G985" s="932" t="s">
        <v>308</v>
      </c>
      <c r="H985" s="932" t="str">
        <f>VLOOKUP($C985,Table1[#All],3,0)</f>
        <v>Subsidiaries</v>
      </c>
      <c r="I985" s="932" t="str" cm="1">
        <f t="array" ref="I985">_xlfn.XLOOKUP(Acc_Char!$E985,Table4[[#All],[Branch]],Table4[[#All],[Bank]],"recheck",0)</f>
        <v>VIB - HOI SO</v>
      </c>
    </row>
    <row r="986" spans="1:9">
      <c r="A986" s="998">
        <f t="shared" si="15"/>
        <v>984</v>
      </c>
      <c r="B986" s="1002" t="s">
        <v>3608</v>
      </c>
      <c r="C986" s="1000" t="s">
        <v>67</v>
      </c>
      <c r="D986" s="932" t="str">
        <f>VLOOKUP($C986,Table1[#All],2,0)</f>
        <v>SAO HOA</v>
      </c>
      <c r="E986" s="932" t="s">
        <v>85</v>
      </c>
      <c r="F986" s="998" t="s">
        <v>80</v>
      </c>
      <c r="G986" s="932" t="s">
        <v>310</v>
      </c>
      <c r="H986" s="932" t="str">
        <f>VLOOKUP($C986,Table1[#All],3,0)</f>
        <v>VC3</v>
      </c>
      <c r="I986" s="932" t="str" cm="1">
        <f t="array" ref="I986">_xlfn.XLOOKUP(Acc_Char!$E986,Table4[[#All],[Branch]],Table4[[#All],[Bank]],"recheck",0)</f>
        <v>VIETINBANK - TIEN SON</v>
      </c>
    </row>
    <row r="987" spans="1:9">
      <c r="A987" s="998">
        <f t="shared" si="15"/>
        <v>985</v>
      </c>
      <c r="B987" s="1004" t="s">
        <v>3609</v>
      </c>
      <c r="C987" s="1000" t="s">
        <v>67</v>
      </c>
      <c r="D987" s="932" t="str">
        <f>VLOOKUP($C987,Table1[#All],2,0)</f>
        <v>SAO HOA</v>
      </c>
      <c r="E987" s="932" t="s">
        <v>92</v>
      </c>
      <c r="F987" s="998" t="s">
        <v>80</v>
      </c>
      <c r="G987" s="932" t="s">
        <v>310</v>
      </c>
      <c r="H987" s="932" t="str">
        <f>VLOOKUP($C987,Table1[#All],3,0)</f>
        <v>VC3</v>
      </c>
      <c r="I987" s="932" t="str" cm="1">
        <f t="array" ref="I987">_xlfn.XLOOKUP(Acc_Char!$E987,Table4[[#All],[Branch]],Table4[[#All],[Bank]],"recheck",0)</f>
        <v>BIDV - THANH XUAN</v>
      </c>
    </row>
    <row r="988" spans="1:9">
      <c r="A988" s="998">
        <f t="shared" si="15"/>
        <v>986</v>
      </c>
      <c r="B988" s="1004" t="s">
        <v>3610</v>
      </c>
      <c r="C988" s="1000" t="s">
        <v>67</v>
      </c>
      <c r="D988" s="932" t="str">
        <f>VLOOKUP($C988,Table1[#All],2,0)</f>
        <v>SAO HOA</v>
      </c>
      <c r="E988" s="932" t="s">
        <v>91</v>
      </c>
      <c r="F988" s="998" t="s">
        <v>80</v>
      </c>
      <c r="G988" s="932" t="s">
        <v>310</v>
      </c>
      <c r="H988" s="932" t="str">
        <f>VLOOKUP($C988,Table1[#All],3,0)</f>
        <v>VC3</v>
      </c>
      <c r="I988" s="932" t="str" cm="1">
        <f t="array" ref="I988">_xlfn.XLOOKUP(Acc_Char!$E988,Table4[[#All],[Branch]],Table4[[#All],[Bank]],"recheck",0)</f>
        <v>VIETCOMBANK - HCM</v>
      </c>
    </row>
    <row r="989" spans="1:9">
      <c r="A989" s="998">
        <f t="shared" si="15"/>
        <v>987</v>
      </c>
      <c r="B989" s="1004" t="s">
        <v>3611</v>
      </c>
      <c r="C989" s="1000" t="s">
        <v>67</v>
      </c>
      <c r="D989" s="932" t="str">
        <f>VLOOKUP($C989,Table1[#All],2,0)</f>
        <v>SAO HOA</v>
      </c>
      <c r="E989" s="932" t="s">
        <v>89</v>
      </c>
      <c r="F989" s="998" t="s">
        <v>80</v>
      </c>
      <c r="G989" s="932" t="s">
        <v>310</v>
      </c>
      <c r="H989" s="932" t="str">
        <f>VLOOKUP($C989,Table1[#All],3,0)</f>
        <v>VC3</v>
      </c>
      <c r="I989" s="932" t="str" cm="1">
        <f t="array" ref="I989">_xlfn.XLOOKUP(Acc_Char!$E989,Table4[[#All],[Branch]],Table4[[#All],[Bank]],"recheck",0)</f>
        <v>VIETCOMBANK - BA DINH</v>
      </c>
    </row>
    <row r="990" spans="1:9">
      <c r="A990" s="998">
        <f t="shared" si="15"/>
        <v>988</v>
      </c>
      <c r="B990" s="1002" t="s">
        <v>3612</v>
      </c>
      <c r="C990" s="1003" t="s">
        <v>2998</v>
      </c>
      <c r="D990" s="932" t="str">
        <f>VLOOKUP($C990,Table1[#All],2,0)</f>
        <v>BWID THOI HOA 2</v>
      </c>
      <c r="E990" s="932" t="s">
        <v>95</v>
      </c>
      <c r="F990" s="998" t="s">
        <v>80</v>
      </c>
      <c r="G990" s="932" t="s">
        <v>310</v>
      </c>
      <c r="H990" s="932" t="str">
        <f>VLOOKUP($C990,Table1[#All],3,0)</f>
        <v>Subsidiaries</v>
      </c>
      <c r="I990" s="932" t="str" cm="1">
        <f t="array" ref="I990">_xlfn.XLOOKUP(Acc_Char!$E990,Table4[[#All],[Branch]],Table4[[#All],[Bank]],"recheck",0)</f>
        <v>OCB - BINH DUONG</v>
      </c>
    </row>
    <row r="991" spans="1:9">
      <c r="A991" s="998">
        <f t="shared" si="15"/>
        <v>989</v>
      </c>
      <c r="B991" s="1004" t="s">
        <v>3613</v>
      </c>
      <c r="C991" s="1000" t="s">
        <v>3042</v>
      </c>
      <c r="D991" s="932" t="str">
        <f>VLOOKUP($C991,Table1[#All],2,0)</f>
        <v>BW NEW CITY</v>
      </c>
      <c r="E991" s="932" t="s">
        <v>96</v>
      </c>
      <c r="F991" s="998" t="s">
        <v>80</v>
      </c>
      <c r="G991" s="932" t="s">
        <v>310</v>
      </c>
      <c r="H991" s="932" t="str">
        <f>VLOOKUP($C991,Table1[#All],3,0)</f>
        <v>Subsidiaries</v>
      </c>
      <c r="I991" s="932" t="str" cm="1">
        <f t="array" ref="I991">_xlfn.XLOOKUP(Acc_Char!$E991,Table4[[#All],[Branch]],Table4[[#All],[Bank]],"recheck",0)</f>
        <v>VIB - HOI SO</v>
      </c>
    </row>
    <row r="992" spans="1:9">
      <c r="A992" s="998">
        <f t="shared" si="15"/>
        <v>990</v>
      </c>
      <c r="B992" s="1004" t="s">
        <v>3614</v>
      </c>
      <c r="C992" s="1000" t="s">
        <v>3042</v>
      </c>
      <c r="D992" s="932" t="str">
        <f>VLOOKUP($C992,Table1[#All],2,0)</f>
        <v>BW NEW CITY</v>
      </c>
      <c r="E992" s="932" t="s">
        <v>96</v>
      </c>
      <c r="F992" s="998" t="s">
        <v>80</v>
      </c>
      <c r="G992" s="932" t="s">
        <v>310</v>
      </c>
      <c r="H992" s="932" t="str">
        <f>VLOOKUP($C992,Table1[#All],3,0)</f>
        <v>Subsidiaries</v>
      </c>
      <c r="I992" s="932" t="str" cm="1">
        <f t="array" ref="I992">_xlfn.XLOOKUP(Acc_Char!$E992,Table4[[#All],[Branch]],Table4[[#All],[Bank]],"recheck",0)</f>
        <v>VIB - HOI SO</v>
      </c>
    </row>
    <row r="993" spans="1:9">
      <c r="A993" s="998">
        <f t="shared" si="15"/>
        <v>991</v>
      </c>
      <c r="B993" s="1004" t="s">
        <v>3615</v>
      </c>
      <c r="C993" s="1000" t="s">
        <v>3042</v>
      </c>
      <c r="D993" s="932" t="str">
        <f>VLOOKUP($C993,Table1[#All],2,0)</f>
        <v>BW NEW CITY</v>
      </c>
      <c r="E993" s="932" t="s">
        <v>96</v>
      </c>
      <c r="F993" s="998" t="s">
        <v>80</v>
      </c>
      <c r="G993" s="932" t="s">
        <v>310</v>
      </c>
      <c r="H993" s="932" t="str">
        <f>VLOOKUP($C993,Table1[#All],3,0)</f>
        <v>Subsidiaries</v>
      </c>
      <c r="I993" s="932" t="str" cm="1">
        <f t="array" ref="I993">_xlfn.XLOOKUP(Acc_Char!$E993,Table4[[#All],[Branch]],Table4[[#All],[Bank]],"recheck",0)</f>
        <v>VIB - HOI SO</v>
      </c>
    </row>
    <row r="994" spans="1:9">
      <c r="A994" s="998">
        <f t="shared" si="15"/>
        <v>992</v>
      </c>
      <c r="B994" s="1004" t="s">
        <v>3616</v>
      </c>
      <c r="C994" s="1000" t="s">
        <v>3042</v>
      </c>
      <c r="D994" s="932" t="str">
        <f>VLOOKUP($C994,Table1[#All],2,0)</f>
        <v>BW NEW CITY</v>
      </c>
      <c r="E994" s="932" t="s">
        <v>96</v>
      </c>
      <c r="F994" s="998" t="s">
        <v>80</v>
      </c>
      <c r="G994" s="932" t="s">
        <v>310</v>
      </c>
      <c r="H994" s="932" t="str">
        <f>VLOOKUP($C994,Table1[#All],3,0)</f>
        <v>Subsidiaries</v>
      </c>
      <c r="I994" s="932" t="str" cm="1">
        <f t="array" ref="I994">_xlfn.XLOOKUP(Acc_Char!$E994,Table4[[#All],[Branch]],Table4[[#All],[Bank]],"recheck",0)</f>
        <v>VIB - HOI SO</v>
      </c>
    </row>
    <row r="995" spans="1:9">
      <c r="A995" s="998">
        <f t="shared" si="15"/>
        <v>993</v>
      </c>
      <c r="B995" s="1004" t="s">
        <v>3617</v>
      </c>
      <c r="C995" s="1000" t="s">
        <v>3042</v>
      </c>
      <c r="D995" s="932" t="str">
        <f>VLOOKUP($C995,Table1[#All],2,0)</f>
        <v>BW NEW CITY</v>
      </c>
      <c r="E995" s="932" t="s">
        <v>96</v>
      </c>
      <c r="F995" s="998" t="s">
        <v>80</v>
      </c>
      <c r="G995" s="932" t="s">
        <v>310</v>
      </c>
      <c r="H995" s="932" t="str">
        <f>VLOOKUP($C995,Table1[#All],3,0)</f>
        <v>Subsidiaries</v>
      </c>
      <c r="I995" s="932" t="str" cm="1">
        <f t="array" ref="I995">_xlfn.XLOOKUP(Acc_Char!$E995,Table4[[#All],[Branch]],Table4[[#All],[Bank]],"recheck",0)</f>
        <v>VIB - HOI SO</v>
      </c>
    </row>
    <row r="996" spans="1:9">
      <c r="A996" s="998">
        <f t="shared" si="15"/>
        <v>994</v>
      </c>
      <c r="B996" s="1004" t="s">
        <v>1290</v>
      </c>
      <c r="C996" s="1000" t="s">
        <v>459</v>
      </c>
      <c r="D996" s="932" t="str">
        <f>VLOOKUP($C996,Table1[#All],2,0)</f>
        <v>YEN PHONG PROJECT CO</v>
      </c>
      <c r="E996" s="932" t="s">
        <v>92</v>
      </c>
      <c r="F996" s="998" t="s">
        <v>81</v>
      </c>
      <c r="G996" s="932" t="s">
        <v>308</v>
      </c>
      <c r="H996" s="932" t="str">
        <f>VLOOKUP($C996,Table1[#All],3,0)</f>
        <v>Subsidiaries</v>
      </c>
      <c r="I996" s="932" t="str" cm="1">
        <f t="array" ref="I996">_xlfn.XLOOKUP(Acc_Char!$E996,Table4[[#All],[Branch]],Table4[[#All],[Bank]],"recheck",0)</f>
        <v>BIDV - THANH XUAN</v>
      </c>
    </row>
    <row r="997" spans="1:9">
      <c r="A997" s="998">
        <f>A995+1</f>
        <v>994</v>
      </c>
      <c r="B997" s="1002" t="s">
        <v>3618</v>
      </c>
      <c r="C997" s="1003" t="s">
        <v>3042</v>
      </c>
      <c r="D997" s="932" t="str">
        <f>VLOOKUP($C997,Table1[#All],2,0)</f>
        <v>BW NEW CITY</v>
      </c>
      <c r="E997" s="932" t="s">
        <v>96</v>
      </c>
      <c r="F997" s="998" t="s">
        <v>80</v>
      </c>
      <c r="G997" s="932" t="s">
        <v>310</v>
      </c>
      <c r="H997" s="932" t="str">
        <f>VLOOKUP($C997,Table1[#All],3,0)</f>
        <v>Subsidiaries</v>
      </c>
      <c r="I997" s="932" t="str" cm="1">
        <f t="array" ref="I997">_xlfn.XLOOKUP(Acc_Char!$E997,Table4[[#All],[Branch]],Table4[[#All],[Bank]],"recheck",0)</f>
        <v>VIB - HOI SO</v>
      </c>
    </row>
    <row r="998" spans="1:9">
      <c r="A998" s="998">
        <f t="shared" si="15"/>
        <v>995</v>
      </c>
      <c r="B998" s="1004" t="s">
        <v>3619</v>
      </c>
      <c r="C998" s="1000" t="s">
        <v>3042</v>
      </c>
      <c r="D998" s="932" t="str">
        <f>VLOOKUP($C998,Table1[#All],2,0)</f>
        <v>BW NEW CITY</v>
      </c>
      <c r="E998" s="932" t="s">
        <v>96</v>
      </c>
      <c r="F998" s="998" t="s">
        <v>80</v>
      </c>
      <c r="G998" s="932" t="s">
        <v>310</v>
      </c>
      <c r="H998" s="932" t="str">
        <f>VLOOKUP($C998,Table1[#All],3,0)</f>
        <v>Subsidiaries</v>
      </c>
      <c r="I998" s="932" t="str" cm="1">
        <f t="array" ref="I998">_xlfn.XLOOKUP(Acc_Char!$E998,Table4[[#All],[Branch]],Table4[[#All],[Bank]],"recheck",0)</f>
        <v>VIB - HOI SO</v>
      </c>
    </row>
    <row r="999" spans="1:9">
      <c r="A999" s="998">
        <f t="shared" si="15"/>
        <v>996</v>
      </c>
      <c r="B999" s="1002" t="s">
        <v>3620</v>
      </c>
      <c r="C999" s="1003" t="s">
        <v>3042</v>
      </c>
      <c r="D999" s="932" t="str">
        <f>VLOOKUP($C999,Table1[#All],2,0)</f>
        <v>BW NEW CITY</v>
      </c>
      <c r="E999" s="932" t="s">
        <v>96</v>
      </c>
      <c r="F999" s="998" t="s">
        <v>80</v>
      </c>
      <c r="G999" s="932" t="s">
        <v>310</v>
      </c>
      <c r="H999" s="932" t="str">
        <f>VLOOKUP($C999,Table1[#All],3,0)</f>
        <v>Subsidiaries</v>
      </c>
      <c r="I999" s="932" t="str" cm="1">
        <f t="array" ref="I999">_xlfn.XLOOKUP(Acc_Char!$E999,Table4[[#All],[Branch]],Table4[[#All],[Bank]],"recheck",0)</f>
        <v>VIB - HOI SO</v>
      </c>
    </row>
    <row r="1000" spans="1:9">
      <c r="A1000" s="998">
        <f t="shared" si="15"/>
        <v>997</v>
      </c>
      <c r="B1000" s="1004" t="s">
        <v>3621</v>
      </c>
      <c r="C1000" s="1000" t="s">
        <v>67</v>
      </c>
      <c r="D1000" s="932" t="str">
        <f>VLOOKUP($C1000,Table1[#All],2,0)</f>
        <v>SAO HOA</v>
      </c>
      <c r="E1000" s="932" t="s">
        <v>96</v>
      </c>
      <c r="F1000" s="998" t="s">
        <v>80</v>
      </c>
      <c r="G1000" s="932" t="s">
        <v>310</v>
      </c>
      <c r="H1000" s="932" t="str">
        <f>VLOOKUP($C1000,Table1[#All],3,0)</f>
        <v>VC3</v>
      </c>
      <c r="I1000" s="932" t="str" cm="1">
        <f t="array" ref="I1000">_xlfn.XLOOKUP(Acc_Char!$E1000,Table4[[#All],[Branch]],Table4[[#All],[Bank]],"recheck",0)</f>
        <v>VIB - HOI SO</v>
      </c>
    </row>
    <row r="1001" spans="1:9">
      <c r="A1001" s="998">
        <f t="shared" si="15"/>
        <v>998</v>
      </c>
      <c r="B1001" s="1002" t="s">
        <v>3622</v>
      </c>
      <c r="C1001" s="1003" t="s">
        <v>67</v>
      </c>
      <c r="D1001" s="932" t="str">
        <f>VLOOKUP($C1001,Table1[#All],2,0)</f>
        <v>SAO HOA</v>
      </c>
      <c r="E1001" s="932" t="s">
        <v>96</v>
      </c>
      <c r="F1001" s="998" t="s">
        <v>80</v>
      </c>
      <c r="G1001" s="932" t="s">
        <v>310</v>
      </c>
      <c r="H1001" s="932" t="str">
        <f>VLOOKUP($C1001,Table1[#All],3,0)</f>
        <v>VC3</v>
      </c>
      <c r="I1001" s="932" t="str" cm="1">
        <f t="array" ref="I1001">_xlfn.XLOOKUP(Acc_Char!$E1001,Table4[[#All],[Branch]],Table4[[#All],[Bank]],"recheck",0)</f>
        <v>VIB - HOI SO</v>
      </c>
    </row>
    <row r="1002" spans="1:9">
      <c r="A1002" s="998">
        <f t="shared" si="15"/>
        <v>999</v>
      </c>
      <c r="B1002" s="1004" t="s">
        <v>3623</v>
      </c>
      <c r="C1002" s="1000" t="s">
        <v>67</v>
      </c>
      <c r="D1002" s="932" t="str">
        <f>VLOOKUP($C1002,Table1[#All],2,0)</f>
        <v>SAO HOA</v>
      </c>
      <c r="E1002" s="932" t="s">
        <v>96</v>
      </c>
      <c r="F1002" s="998" t="s">
        <v>80</v>
      </c>
      <c r="G1002" s="932" t="s">
        <v>310</v>
      </c>
      <c r="H1002" s="932" t="str">
        <f>VLOOKUP($C1002,Table1[#All],3,0)</f>
        <v>VC3</v>
      </c>
      <c r="I1002" s="932" t="str" cm="1">
        <f t="array" ref="I1002">_xlfn.XLOOKUP(Acc_Char!$E1002,Table4[[#All],[Branch]],Table4[[#All],[Bank]],"recheck",0)</f>
        <v>VIB - HOI SO</v>
      </c>
    </row>
    <row r="1003" spans="1:9">
      <c r="A1003" s="998">
        <f t="shared" si="15"/>
        <v>1000</v>
      </c>
      <c r="B1003" s="1002" t="s">
        <v>3624</v>
      </c>
      <c r="C1003" s="1003" t="s">
        <v>67</v>
      </c>
      <c r="D1003" s="932" t="str">
        <f>VLOOKUP($C1003,Table1[#All],2,0)</f>
        <v>SAO HOA</v>
      </c>
      <c r="E1003" s="932" t="s">
        <v>96</v>
      </c>
      <c r="F1003" s="998" t="s">
        <v>80</v>
      </c>
      <c r="G1003" s="932" t="s">
        <v>310</v>
      </c>
      <c r="H1003" s="932" t="str">
        <f>VLOOKUP($C1003,Table1[#All],3,0)</f>
        <v>VC3</v>
      </c>
      <c r="I1003" s="932" t="str" cm="1">
        <f t="array" ref="I1003">_xlfn.XLOOKUP(Acc_Char!$E1003,Table4[[#All],[Branch]],Table4[[#All],[Bank]],"recheck",0)</f>
        <v>VIB - HOI SO</v>
      </c>
    </row>
    <row r="1004" spans="1:9">
      <c r="A1004" s="998">
        <f t="shared" si="15"/>
        <v>1001</v>
      </c>
      <c r="B1004" s="1004" t="s">
        <v>932</v>
      </c>
      <c r="C1004" s="1000" t="s">
        <v>3518</v>
      </c>
      <c r="D1004" s="932" t="str">
        <f>VLOOKUP($C1004,Table1[#All],2,0)</f>
        <v>NSHL HOLDCO</v>
      </c>
      <c r="E1004" s="932" t="s">
        <v>92</v>
      </c>
      <c r="F1004" s="998" t="s">
        <v>81</v>
      </c>
      <c r="G1004" s="932" t="s">
        <v>308</v>
      </c>
      <c r="H1004" s="932" t="str">
        <f>VLOOKUP($C1004,Table1[#All],3,0)</f>
        <v>Subsidiaries</v>
      </c>
      <c r="I1004" s="932" t="str" cm="1">
        <f t="array" ref="I1004">_xlfn.XLOOKUP(Acc_Char!$E903,Table4[[#All],[Branch]],Table4[[#All],[Bank]],"recheck",0)</f>
        <v>BIDV - THANH XUAN</v>
      </c>
    </row>
    <row r="1005" spans="1:9">
      <c r="A1005" s="998">
        <f t="shared" si="15"/>
        <v>1002</v>
      </c>
      <c r="B1005" s="1004" t="s">
        <v>980</v>
      </c>
      <c r="C1005" s="1000" t="s">
        <v>3625</v>
      </c>
      <c r="D1005" s="932" t="str">
        <f>VLOOKUP($C1005,Table1[#All],2,0)</f>
        <v>HOLDCO N4A</v>
      </c>
      <c r="E1005" s="932" t="s">
        <v>85</v>
      </c>
      <c r="F1005" s="998" t="s">
        <v>80</v>
      </c>
      <c r="G1005" s="932" t="s">
        <v>308</v>
      </c>
      <c r="H1005" s="932" t="str">
        <f>VLOOKUP($C1005,Table1[#All],3,0)</f>
        <v>Subsidiaries</v>
      </c>
      <c r="I1005" s="932" t="str" cm="1">
        <f t="array" ref="I1005">_xlfn.XLOOKUP(Acc_Char!$E1005,Table4[[#All],[Branch]],Table4[[#All],[Bank]],"recheck",0)</f>
        <v>VIETINBANK - TIEN SON</v>
      </c>
    </row>
    <row r="1006" spans="1:9">
      <c r="A1006" s="998">
        <f t="shared" si="15"/>
        <v>1003</v>
      </c>
      <c r="B1006" s="1004" t="s">
        <v>982</v>
      </c>
      <c r="C1006" s="1000" t="s">
        <v>3626</v>
      </c>
      <c r="D1006" s="932" t="str">
        <f>VLOOKUP($C1006,Table1[#All],2,0)</f>
        <v>HOLDCO N4B</v>
      </c>
      <c r="E1006" s="932" t="s">
        <v>85</v>
      </c>
      <c r="F1006" s="998" t="s">
        <v>80</v>
      </c>
      <c r="G1006" s="932" t="s">
        <v>308</v>
      </c>
      <c r="H1006" s="932" t="str">
        <f>VLOOKUP($C1006,Table1[#All],3,0)</f>
        <v>Subsidiaries</v>
      </c>
      <c r="I1006" s="932" t="str" cm="1">
        <f t="array" ref="I1006">_xlfn.XLOOKUP(Acc_Char!$E1006,Table4[[#All],[Branch]],Table4[[#All],[Bank]],"recheck",0)</f>
        <v>VIETINBANK - TIEN SON</v>
      </c>
    </row>
    <row r="1007" spans="1:9">
      <c r="A1007" s="998">
        <f t="shared" si="15"/>
        <v>1004</v>
      </c>
      <c r="B1007" s="1002" t="s">
        <v>984</v>
      </c>
      <c r="C1007" s="1003" t="s">
        <v>424</v>
      </c>
      <c r="D1007" s="932" t="str">
        <f>VLOOKUP($C1007,Table1[#All],2,0)</f>
        <v>HOLDCO N4C</v>
      </c>
      <c r="E1007" s="932" t="s">
        <v>85</v>
      </c>
      <c r="F1007" s="998" t="s">
        <v>80</v>
      </c>
      <c r="G1007" s="932" t="s">
        <v>308</v>
      </c>
      <c r="H1007" s="932" t="str">
        <f>VLOOKUP($C1007,Table1[#All],3,0)</f>
        <v>Subsidiaries</v>
      </c>
      <c r="I1007" s="932" t="str" cm="1">
        <f t="array" ref="I1007">_xlfn.XLOOKUP(Acc_Char!$E1007,Table4[[#All],[Branch]],Table4[[#All],[Bank]],"recheck",0)</f>
        <v>VIETINBANK - TIEN SON</v>
      </c>
    </row>
    <row r="1008" spans="1:9">
      <c r="A1008" s="998">
        <f t="shared" si="15"/>
        <v>1005</v>
      </c>
      <c r="B1008" s="1004" t="s">
        <v>986</v>
      </c>
      <c r="C1008" s="1000" t="s">
        <v>3627</v>
      </c>
      <c r="D1008" s="932" t="str">
        <f>VLOOKUP($C1008,Table1[#All],2,0)</f>
        <v>HOLDCO N4D</v>
      </c>
      <c r="E1008" s="932" t="s">
        <v>85</v>
      </c>
      <c r="F1008" s="998" t="s">
        <v>80</v>
      </c>
      <c r="G1008" s="932" t="s">
        <v>308</v>
      </c>
      <c r="H1008" s="932" t="str">
        <f>VLOOKUP($C1008,Table1[#All],3,0)</f>
        <v>Subsidiaries</v>
      </c>
      <c r="I1008" s="932" t="str" cm="1">
        <f t="array" ref="I1008">_xlfn.XLOOKUP(Acc_Char!$E1008,Table4[[#All],[Branch]],Table4[[#All],[Bank]],"recheck",0)</f>
        <v>VIETINBANK - TIEN SON</v>
      </c>
    </row>
    <row r="1009" spans="1:9">
      <c r="A1009" s="998">
        <f t="shared" si="15"/>
        <v>1006</v>
      </c>
      <c r="B1009" s="1002" t="s">
        <v>988</v>
      </c>
      <c r="C1009" s="1003" t="s">
        <v>3628</v>
      </c>
      <c r="D1009" s="932" t="str">
        <f>VLOOKUP($C1009,Table1[#All],2,0)</f>
        <v>HOLDCO N4E</v>
      </c>
      <c r="E1009" s="932" t="s">
        <v>85</v>
      </c>
      <c r="F1009" s="998" t="s">
        <v>80</v>
      </c>
      <c r="G1009" s="932" t="s">
        <v>308</v>
      </c>
      <c r="H1009" s="932" t="str">
        <f>VLOOKUP($C1009,Table1[#All],3,0)</f>
        <v>Subsidiaries</v>
      </c>
      <c r="I1009" s="932" t="str" cm="1">
        <f t="array" ref="I1009">_xlfn.XLOOKUP(Acc_Char!$E1009,Table4[[#All],[Branch]],Table4[[#All],[Bank]],"recheck",0)</f>
        <v>VIETINBANK - TIEN SON</v>
      </c>
    </row>
    <row r="1010" spans="1:9">
      <c r="A1010" s="998">
        <f t="shared" si="15"/>
        <v>1007</v>
      </c>
      <c r="B1010" s="1004" t="s">
        <v>989</v>
      </c>
      <c r="C1010" s="1000" t="s">
        <v>3280</v>
      </c>
      <c r="D1010" s="932" t="str">
        <f>VLOOKUP($C1010,Table1[#All],2,0)</f>
        <v>BAC TIEN PHONG</v>
      </c>
      <c r="E1010" s="932" t="s">
        <v>92</v>
      </c>
      <c r="F1010" s="998" t="s">
        <v>80</v>
      </c>
      <c r="G1010" s="932" t="s">
        <v>310</v>
      </c>
      <c r="H1010" s="932" t="str">
        <f>VLOOKUP($C1010,Table1[#All],3,0)</f>
        <v>Subsidiaries</v>
      </c>
      <c r="I1010" s="932" t="str" cm="1">
        <f t="array" ref="I1010">_xlfn.XLOOKUP(Acc_Char!$E1010,Table4[[#All],[Branch]],Table4[[#All],[Bank]],"recheck",0)</f>
        <v>BIDV - THANH XUAN</v>
      </c>
    </row>
    <row r="1011" spans="1:9">
      <c r="A1011" s="998">
        <f t="shared" si="15"/>
        <v>1008</v>
      </c>
      <c r="B1011" s="1002" t="s">
        <v>990</v>
      </c>
      <c r="C1011" s="1003" t="s">
        <v>2895</v>
      </c>
      <c r="D1011" s="932" t="str">
        <f>VLOOKUP($C1011,Table1[#All],2,0)</f>
        <v>BWID HAI DUONG 2</v>
      </c>
      <c r="E1011" s="932" t="s">
        <v>85</v>
      </c>
      <c r="F1011" s="998" t="s">
        <v>80</v>
      </c>
      <c r="G1011" s="932" t="s">
        <v>310</v>
      </c>
      <c r="H1011" s="932" t="str">
        <f>VLOOKUP($C1011,Table1[#All],3,0)</f>
        <v>Subsidiaries</v>
      </c>
      <c r="I1011" s="932" t="str" cm="1">
        <f t="array" ref="I1011">_xlfn.XLOOKUP(Acc_Char!$E1011,Table4[[#All],[Branch]],Table4[[#All],[Bank]],"recheck",0)</f>
        <v>VIETINBANK - TIEN SON</v>
      </c>
    </row>
    <row r="1012" spans="1:9">
      <c r="A1012" s="998">
        <f t="shared" si="15"/>
        <v>1009</v>
      </c>
      <c r="B1012" s="1004" t="s">
        <v>3629</v>
      </c>
      <c r="C1012" s="1000" t="s">
        <v>2895</v>
      </c>
      <c r="D1012" s="932" t="str">
        <f>VLOOKUP($C1012,Table1[#All],2,0)</f>
        <v>BWID HAI DUONG 2</v>
      </c>
      <c r="E1012" s="932" t="s">
        <v>85</v>
      </c>
      <c r="F1012" s="998" t="s">
        <v>80</v>
      </c>
      <c r="G1012" s="932" t="s">
        <v>310</v>
      </c>
      <c r="H1012" s="932" t="str">
        <f>VLOOKUP($C1012,Table1[#All],3,0)</f>
        <v>Subsidiaries</v>
      </c>
      <c r="I1012" s="932" t="str" cm="1">
        <f t="array" ref="I1012">_xlfn.XLOOKUP(Acc_Char!$E1012,Table4[[#All],[Branch]],Table4[[#All],[Bank]],"recheck",0)</f>
        <v>VIETINBANK - TIEN SON</v>
      </c>
    </row>
    <row r="1013" spans="1:9">
      <c r="A1013" s="998">
        <f t="shared" si="15"/>
        <v>1010</v>
      </c>
      <c r="B1013" s="1002" t="s">
        <v>991</v>
      </c>
      <c r="C1013" s="1000" t="s">
        <v>2895</v>
      </c>
      <c r="D1013" s="932" t="str">
        <f>VLOOKUP($C1013,Table1[#All],2,0)</f>
        <v>BWID HAI DUONG 2</v>
      </c>
      <c r="E1013" s="932" t="s">
        <v>85</v>
      </c>
      <c r="F1013" s="998" t="s">
        <v>80</v>
      </c>
      <c r="G1013" s="932" t="s">
        <v>310</v>
      </c>
      <c r="H1013" s="932" t="str">
        <f>VLOOKUP($C1013,Table1[#All],3,0)</f>
        <v>Subsidiaries</v>
      </c>
      <c r="I1013" s="932" t="str" cm="1">
        <f t="array" ref="I1013">_xlfn.XLOOKUP(Acc_Char!$E1013,Table4[[#All],[Branch]],Table4[[#All],[Bank]],"recheck",0)</f>
        <v>VIETINBANK - TIEN SON</v>
      </c>
    </row>
    <row r="1014" spans="1:9">
      <c r="A1014" s="998">
        <f t="shared" si="15"/>
        <v>1011</v>
      </c>
      <c r="B1014" s="1004" t="s">
        <v>3630</v>
      </c>
      <c r="C1014" s="1000" t="s">
        <v>3571</v>
      </c>
      <c r="D1014" s="932" t="str">
        <f>VLOOKUP($C1014,Table1[#All],2,0)</f>
        <v>PHUC DIEN</v>
      </c>
      <c r="E1014" s="932" t="s">
        <v>92</v>
      </c>
      <c r="F1014" s="998" t="s">
        <v>80</v>
      </c>
      <c r="G1014" s="932" t="s">
        <v>310</v>
      </c>
      <c r="H1014" s="932" t="str">
        <f>VLOOKUP($C1014,Table1[#All],3,0)</f>
        <v>Subsidiaries</v>
      </c>
      <c r="I1014" s="932" t="str" cm="1">
        <f t="array" ref="I1014">_xlfn.XLOOKUP(Acc_Char!$E1014,Table4[[#All],[Branch]],Table4[[#All],[Bank]],"recheck",0)</f>
        <v>BIDV - THANH XUAN</v>
      </c>
    </row>
    <row r="1015" spans="1:9">
      <c r="A1015" s="998">
        <f t="shared" si="15"/>
        <v>1012</v>
      </c>
      <c r="B1015" s="1004" t="s">
        <v>992</v>
      </c>
      <c r="C1015" s="1000" t="s">
        <v>428</v>
      </c>
      <c r="D1015" s="932" t="str">
        <f>VLOOKUP($C1015,Table1[#All],2,0)</f>
        <v>TAY HAI</v>
      </c>
      <c r="E1015" s="932" t="s">
        <v>155</v>
      </c>
      <c r="F1015" s="998" t="s">
        <v>80</v>
      </c>
      <c r="G1015" s="932" t="s">
        <v>308</v>
      </c>
      <c r="H1015" s="932" t="str">
        <f>VLOOKUP($C1015,Table1[#All],3,0)</f>
        <v>Subsidiaries</v>
      </c>
      <c r="I1015" s="932" t="str" cm="1">
        <f t="array" ref="I1015">_xlfn.XLOOKUP(Acc_Char!$E1015,Table4[[#All],[Branch]],Table4[[#All],[Bank]],"recheck",0)</f>
        <v>VIETINBANK - BINH DUONG + QM</v>
      </c>
    </row>
    <row r="1016" spans="1:9">
      <c r="A1016" s="998">
        <f t="shared" si="15"/>
        <v>1013</v>
      </c>
      <c r="B1016" s="1004" t="s">
        <v>994</v>
      </c>
      <c r="C1016" s="1000" t="s">
        <v>3309</v>
      </c>
      <c r="D1016" s="932" t="str">
        <f>VLOOKUP($C1016,Table1[#All],2,0)</f>
        <v>LE MINH XUAN 3</v>
      </c>
      <c r="E1016" s="932" t="s">
        <v>201</v>
      </c>
      <c r="F1016" s="998" t="s">
        <v>80</v>
      </c>
      <c r="G1016" s="932" t="s">
        <v>308</v>
      </c>
      <c r="H1016" s="932" t="str">
        <f>VLOOKUP($C1016,Table1[#All],3,0)</f>
        <v>Subsidiaries</v>
      </c>
      <c r="I1016" s="932" t="str" cm="1">
        <f t="array" ref="I1016">_xlfn.XLOOKUP(Acc_Char!$E1016,Table4[[#All],[Branch]],Table4[[#All],[Bank]],"recheck",0)</f>
        <v>STANDARD CHARTERED</v>
      </c>
    </row>
    <row r="1017" spans="1:9">
      <c r="A1017" s="998">
        <f t="shared" si="15"/>
        <v>1014</v>
      </c>
      <c r="B1017" s="1002" t="s">
        <v>3631</v>
      </c>
      <c r="C1017" s="1003" t="s">
        <v>67</v>
      </c>
      <c r="D1017" s="932" t="str">
        <f>VLOOKUP($C1017,Table1[#All],2,0)</f>
        <v>SAO HOA</v>
      </c>
      <c r="E1017" s="932" t="s">
        <v>155</v>
      </c>
      <c r="F1017" s="998" t="s">
        <v>80</v>
      </c>
      <c r="G1017" s="932" t="s">
        <v>310</v>
      </c>
      <c r="H1017" s="932" t="str">
        <f>VLOOKUP($C1017,Table1[#All],3,0)</f>
        <v>VC3</v>
      </c>
      <c r="I1017" s="932" t="str" cm="1">
        <f t="array" ref="I1017">_xlfn.XLOOKUP(Acc_Char!$E1017,Table4[[#All],[Branch]],Table4[[#All],[Bank]],"recheck",0)</f>
        <v>VIETINBANK - BINH DUONG + QM</v>
      </c>
    </row>
    <row r="1018" spans="1:9">
      <c r="A1018" s="998">
        <f t="shared" si="15"/>
        <v>1015</v>
      </c>
      <c r="B1018" s="1004" t="s">
        <v>3632</v>
      </c>
      <c r="C1018" s="1000" t="s">
        <v>67</v>
      </c>
      <c r="D1018" s="932" t="str">
        <f>VLOOKUP($C1018,Table1[#All],2,0)</f>
        <v>SAO HOA</v>
      </c>
      <c r="E1018" s="932" t="s">
        <v>155</v>
      </c>
      <c r="F1018" s="998" t="s">
        <v>80</v>
      </c>
      <c r="G1018" s="932" t="s">
        <v>310</v>
      </c>
      <c r="H1018" s="932" t="str">
        <f>VLOOKUP($C1018,Table1[#All],3,0)</f>
        <v>VC3</v>
      </c>
      <c r="I1018" s="932" t="str" cm="1">
        <f t="array" ref="I1018">_xlfn.XLOOKUP(Acc_Char!$E1018,Table4[[#All],[Branch]],Table4[[#All],[Bank]],"recheck",0)</f>
        <v>VIETINBANK - BINH DUONG + QM</v>
      </c>
    </row>
    <row r="1019" spans="1:9">
      <c r="A1019" s="998">
        <f t="shared" si="15"/>
        <v>1016</v>
      </c>
      <c r="B1019" s="1004" t="s">
        <v>3633</v>
      </c>
      <c r="C1019" s="1000" t="s">
        <v>67</v>
      </c>
      <c r="D1019" s="932" t="str">
        <f>VLOOKUP($C1019,Table1[#All],2,0)</f>
        <v>SAO HOA</v>
      </c>
      <c r="E1019" s="932" t="s">
        <v>88</v>
      </c>
      <c r="F1019" s="998" t="s">
        <v>80</v>
      </c>
      <c r="G1019" s="932" t="s">
        <v>310</v>
      </c>
      <c r="H1019" s="932" t="str">
        <f>VLOOKUP($C1019,Table1[#All],3,0)</f>
        <v>VC3</v>
      </c>
      <c r="I1019" s="932" t="str" cm="1">
        <f t="array" ref="I1019">_xlfn.XLOOKUP(Acc_Char!$E1019,Table4[[#All],[Branch]],Table4[[#All],[Bank]],"recheck",0)</f>
        <v>VIETINBANK - DONG SAI GON</v>
      </c>
    </row>
    <row r="1020" spans="1:9">
      <c r="A1020" s="998">
        <f t="shared" si="15"/>
        <v>1017</v>
      </c>
      <c r="B1020" s="1004" t="s">
        <v>3634</v>
      </c>
      <c r="C1020" s="1000" t="s">
        <v>67</v>
      </c>
      <c r="D1020" s="932" t="str">
        <f>VLOOKUP($C1020,Table1[#All],2,0)</f>
        <v>SAO HOA</v>
      </c>
      <c r="E1020" s="932" t="s">
        <v>153</v>
      </c>
      <c r="F1020" s="998" t="s">
        <v>80</v>
      </c>
      <c r="G1020" s="932" t="s">
        <v>310</v>
      </c>
      <c r="H1020" s="932" t="str">
        <f>VLOOKUP($C1020,Table1[#All],3,0)</f>
        <v>VC3</v>
      </c>
      <c r="I1020" s="932" t="str" cm="1">
        <f t="array" ref="I1020">_xlfn.XLOOKUP(Acc_Char!$E1020,Table4[[#All],[Branch]],Table4[[#All],[Bank]],"recheck",0)</f>
        <v>VIETINBANK - BINH DUONG + QM</v>
      </c>
    </row>
    <row r="1021" spans="1:9">
      <c r="A1021" s="998">
        <f t="shared" si="15"/>
        <v>1018</v>
      </c>
      <c r="B1021" s="1002" t="s">
        <v>3635</v>
      </c>
      <c r="C1021" s="1003" t="s">
        <v>2888</v>
      </c>
      <c r="D1021" s="932" t="str">
        <f>VLOOKUP($C1021,Table1[#All],2,0)</f>
        <v>BWID HAI DUONG</v>
      </c>
      <c r="E1021" s="932" t="s">
        <v>85</v>
      </c>
      <c r="F1021" s="998" t="s">
        <v>80</v>
      </c>
      <c r="G1021" s="932" t="s">
        <v>310</v>
      </c>
      <c r="H1021" s="932" t="str">
        <f>VLOOKUP($C1021,Table1[#All],3,0)</f>
        <v>Subsidiaries</v>
      </c>
      <c r="I1021" s="932" t="str" cm="1">
        <f t="array" ref="I1021">_xlfn.XLOOKUP(Acc_Char!$E1021,Table4[[#All],[Branch]],Table4[[#All],[Bank]],"recheck",0)</f>
        <v>VIETINBANK - TIEN SON</v>
      </c>
    </row>
    <row r="1022" spans="1:9">
      <c r="A1022" s="998">
        <f t="shared" si="15"/>
        <v>1019</v>
      </c>
      <c r="B1022" s="1004" t="s">
        <v>995</v>
      </c>
      <c r="C1022" s="1000" t="s">
        <v>2888</v>
      </c>
      <c r="D1022" s="932" t="str">
        <f>VLOOKUP($C1022,Table1[#All],2,0)</f>
        <v>BWID HAI DUONG</v>
      </c>
      <c r="E1022" s="932" t="s">
        <v>85</v>
      </c>
      <c r="F1022" s="998" t="s">
        <v>80</v>
      </c>
      <c r="G1022" s="932" t="s">
        <v>310</v>
      </c>
      <c r="H1022" s="932" t="str">
        <f>VLOOKUP($C1022,Table1[#All],3,0)</f>
        <v>Subsidiaries</v>
      </c>
      <c r="I1022" s="932" t="str" cm="1">
        <f t="array" ref="I1022">_xlfn.XLOOKUP(Acc_Char!$E1022,Table4[[#All],[Branch]],Table4[[#All],[Bank]],"recheck",0)</f>
        <v>VIETINBANK - TIEN SON</v>
      </c>
    </row>
    <row r="1023" spans="1:9">
      <c r="A1023" s="998">
        <f t="shared" si="15"/>
        <v>1020</v>
      </c>
      <c r="B1023" s="1002" t="s">
        <v>996</v>
      </c>
      <c r="C1023" s="1000" t="s">
        <v>2888</v>
      </c>
      <c r="D1023" s="932" t="str">
        <f>VLOOKUP($C1023,Table1[#All],2,0)</f>
        <v>BWID HAI DUONG</v>
      </c>
      <c r="E1023" s="932" t="s">
        <v>85</v>
      </c>
      <c r="F1023" s="998" t="s">
        <v>80</v>
      </c>
      <c r="G1023" s="932" t="s">
        <v>310</v>
      </c>
      <c r="H1023" s="932" t="str">
        <f>VLOOKUP($C1023,Table1[#All],3,0)</f>
        <v>Subsidiaries</v>
      </c>
      <c r="I1023" s="932" t="str" cm="1">
        <f t="array" ref="I1023">_xlfn.XLOOKUP(Acc_Char!$E1023,Table4[[#All],[Branch]],Table4[[#All],[Bank]],"recheck",0)</f>
        <v>VIETINBANK - TIEN SON</v>
      </c>
    </row>
    <row r="1024" spans="1:9">
      <c r="A1024" s="998">
        <f t="shared" si="15"/>
        <v>1021</v>
      </c>
      <c r="B1024" s="1004" t="s">
        <v>3636</v>
      </c>
      <c r="C1024" s="1000" t="s">
        <v>3396</v>
      </c>
      <c r="D1024" s="932" t="str">
        <f>VLOOKUP($C1024,Table1[#All],2,0)</f>
        <v>HOLDCO4Y</v>
      </c>
      <c r="E1024" s="932" t="s">
        <v>85</v>
      </c>
      <c r="F1024" s="998" t="s">
        <v>80</v>
      </c>
      <c r="G1024" s="932" t="s">
        <v>310</v>
      </c>
      <c r="H1024" s="932" t="str">
        <f>VLOOKUP($C1024,Table1[#All],3,0)</f>
        <v>Subsidiaries</v>
      </c>
      <c r="I1024" s="932" t="str" cm="1">
        <f t="array" ref="I1024">_xlfn.XLOOKUP(Acc_Char!$E1024,Table4[[#All],[Branch]],Table4[[#All],[Bank]],"recheck",0)</f>
        <v>VIETINBANK - TIEN SON</v>
      </c>
    </row>
    <row r="1025" spans="1:9">
      <c r="A1025" s="998">
        <f t="shared" si="15"/>
        <v>1022</v>
      </c>
      <c r="B1025" s="1004" t="s">
        <v>3637</v>
      </c>
      <c r="C1025" s="1000" t="s">
        <v>3398</v>
      </c>
      <c r="D1025" s="932" t="str">
        <f>VLOOKUP($C1025,Table1[#All],2,0)</f>
        <v>HOLDCO4W</v>
      </c>
      <c r="E1025" s="932" t="s">
        <v>85</v>
      </c>
      <c r="F1025" s="998" t="s">
        <v>80</v>
      </c>
      <c r="G1025" s="932" t="s">
        <v>310</v>
      </c>
      <c r="H1025" s="932" t="str">
        <f>VLOOKUP($C1025,Table1[#All],3,0)</f>
        <v>Subsidiaries</v>
      </c>
      <c r="I1025" s="932" t="str" cm="1">
        <f t="array" ref="I1025">_xlfn.XLOOKUP(Acc_Char!$E1025,Table4[[#All],[Branch]],Table4[[#All],[Bank]],"recheck",0)</f>
        <v>VIETINBANK - TIEN SON</v>
      </c>
    </row>
    <row r="1026" spans="1:9">
      <c r="A1026" s="998">
        <f t="shared" si="15"/>
        <v>1023</v>
      </c>
      <c r="B1026" s="1004" t="s">
        <v>3638</v>
      </c>
      <c r="C1026" s="1000" t="s">
        <v>3400</v>
      </c>
      <c r="D1026" s="932" t="str">
        <f>VLOOKUP($C1026,Table1[#All],2,0)</f>
        <v>HOLDCO5Q</v>
      </c>
      <c r="E1026" s="932" t="s">
        <v>85</v>
      </c>
      <c r="F1026" s="998" t="s">
        <v>80</v>
      </c>
      <c r="G1026" s="932" t="s">
        <v>310</v>
      </c>
      <c r="H1026" s="932" t="str">
        <f>VLOOKUP($C1026,Table1[#All],3,0)</f>
        <v>Subsidiaries</v>
      </c>
      <c r="I1026" s="932" t="str" cm="1">
        <f t="array" ref="I1026">_xlfn.XLOOKUP(Acc_Char!$E1026,Table4[[#All],[Branch]],Table4[[#All],[Bank]],"recheck",0)</f>
        <v>VIETINBANK - TIEN SON</v>
      </c>
    </row>
    <row r="1027" spans="1:9">
      <c r="A1027" s="998">
        <f t="shared" si="15"/>
        <v>1024</v>
      </c>
      <c r="B1027" s="1002" t="s">
        <v>3639</v>
      </c>
      <c r="C1027" s="1003" t="s">
        <v>3175</v>
      </c>
      <c r="D1027" s="932" t="str">
        <f>VLOOKUP($C1027,Table1[#All],2,0)</f>
        <v>BW HAI AN</v>
      </c>
      <c r="E1027" s="932" t="s">
        <v>92</v>
      </c>
      <c r="F1027" s="998" t="s">
        <v>80</v>
      </c>
      <c r="G1027" s="932" t="s">
        <v>310</v>
      </c>
      <c r="H1027" s="932" t="str">
        <f>VLOOKUP($C1027,Table1[#All],3,0)</f>
        <v>Subsidiaries</v>
      </c>
      <c r="I1027" s="932" t="str" cm="1">
        <f t="array" ref="I1027">_xlfn.XLOOKUP(Acc_Char!$E1027,Table4[[#All],[Branch]],Table4[[#All],[Bank]],"recheck",0)</f>
        <v>BIDV - THANH XUAN</v>
      </c>
    </row>
    <row r="1028" spans="1:9">
      <c r="A1028" s="998">
        <f t="shared" si="15"/>
        <v>1025</v>
      </c>
      <c r="B1028" s="1004" t="s">
        <v>3640</v>
      </c>
      <c r="C1028" s="1000" t="s">
        <v>2915</v>
      </c>
      <c r="D1028" s="932" t="str">
        <f>VLOOKUP($C1028,Table1[#All],2,0)</f>
        <v>BW DINH VU</v>
      </c>
      <c r="E1028" s="932" t="s">
        <v>92</v>
      </c>
      <c r="F1028" s="998" t="s">
        <v>80</v>
      </c>
      <c r="G1028" s="932" t="s">
        <v>310</v>
      </c>
      <c r="H1028" s="932" t="str">
        <f>VLOOKUP($C1028,Table1[#All],3,0)</f>
        <v>Subsidiaries</v>
      </c>
      <c r="I1028" s="932" t="str" cm="1">
        <f t="array" ref="I1028">_xlfn.XLOOKUP(Acc_Char!$E1028,Table4[[#All],[Branch]],Table4[[#All],[Bank]],"recheck",0)</f>
        <v>BIDV - THANH XUAN</v>
      </c>
    </row>
    <row r="1029" spans="1:9">
      <c r="A1029" s="998">
        <f t="shared" ref="A1029:A1092" si="16">A1028+1</f>
        <v>1026</v>
      </c>
      <c r="B1029" s="1004" t="s">
        <v>997</v>
      </c>
      <c r="C1029" s="1000" t="s">
        <v>3280</v>
      </c>
      <c r="D1029" s="932" t="str">
        <f>VLOOKUP($C1029,Table1[#All],2,0)</f>
        <v>BAC TIEN PHONG</v>
      </c>
      <c r="E1029" s="932" t="s">
        <v>92</v>
      </c>
      <c r="F1029" s="998" t="s">
        <v>80</v>
      </c>
      <c r="G1029" s="932" t="s">
        <v>310</v>
      </c>
      <c r="H1029" s="932" t="str">
        <f>VLOOKUP($C1029,Table1[#All],3,0)</f>
        <v>Subsidiaries</v>
      </c>
      <c r="I1029" s="932" t="str" cm="1">
        <f t="array" ref="I1029">_xlfn.XLOOKUP(Acc_Char!$E1029,Table4[[#All],[Branch]],Table4[[#All],[Bank]],"recheck",0)</f>
        <v>BIDV - THANH XUAN</v>
      </c>
    </row>
    <row r="1030" spans="1:9">
      <c r="A1030" s="998">
        <f t="shared" si="16"/>
        <v>1027</v>
      </c>
      <c r="B1030" s="1004" t="s">
        <v>3641</v>
      </c>
      <c r="C1030" s="1000" t="s">
        <v>3280</v>
      </c>
      <c r="D1030" s="932" t="str">
        <f>VLOOKUP($C1030,Table1[#All],2,0)</f>
        <v>BAC TIEN PHONG</v>
      </c>
      <c r="E1030" s="932" t="s">
        <v>92</v>
      </c>
      <c r="F1030" s="998" t="s">
        <v>80</v>
      </c>
      <c r="G1030" s="932" t="s">
        <v>310</v>
      </c>
      <c r="H1030" s="932" t="str">
        <f>VLOOKUP($C1030,Table1[#All],3,0)</f>
        <v>Subsidiaries</v>
      </c>
      <c r="I1030" s="932" t="str" cm="1">
        <f t="array" ref="I1030">_xlfn.XLOOKUP(Acc_Char!$E1030,Table4[[#All],[Branch]],Table4[[#All],[Bank]],"recheck",0)</f>
        <v>BIDV - THANH XUAN</v>
      </c>
    </row>
    <row r="1031" spans="1:9">
      <c r="A1031" s="998">
        <f t="shared" si="16"/>
        <v>1028</v>
      </c>
      <c r="B1031" s="1004" t="s">
        <v>998</v>
      </c>
      <c r="C1031" s="1000" t="s">
        <v>3252</v>
      </c>
      <c r="D1031" s="932" t="str">
        <f>VLOOKUP($C1031,Table1[#All],2,0)</f>
        <v>HOLDCO4K</v>
      </c>
      <c r="E1031" s="932" t="s">
        <v>155</v>
      </c>
      <c r="F1031" s="998" t="s">
        <v>80</v>
      </c>
      <c r="G1031" s="932" t="s">
        <v>308</v>
      </c>
      <c r="H1031" s="932" t="str">
        <f>VLOOKUP($C1031,Table1[#All],3,0)</f>
        <v>Subsidiaries</v>
      </c>
      <c r="I1031" s="932" t="str" cm="1">
        <f t="array" ref="I1031">_xlfn.XLOOKUP(Acc_Char!$E1031,Table4[[#All],[Branch]],Table4[[#All],[Bank]],"recheck",0)</f>
        <v>VIETINBANK - BINH DUONG + QM</v>
      </c>
    </row>
    <row r="1032" spans="1:9">
      <c r="A1032" s="998">
        <f t="shared" si="16"/>
        <v>1029</v>
      </c>
      <c r="B1032" s="1004" t="s">
        <v>999</v>
      </c>
      <c r="C1032" s="1000" t="s">
        <v>3258</v>
      </c>
      <c r="D1032" s="932" t="str">
        <f>VLOOKUP($C1032,Table1[#All],2,0)</f>
        <v>HOLDCO5K</v>
      </c>
      <c r="E1032" s="932" t="s">
        <v>155</v>
      </c>
      <c r="F1032" s="998" t="s">
        <v>80</v>
      </c>
      <c r="G1032" s="932" t="s">
        <v>308</v>
      </c>
      <c r="H1032" s="932" t="str">
        <f>VLOOKUP($C1032,Table1[#All],3,0)</f>
        <v>Subsidiaries</v>
      </c>
      <c r="I1032" s="932" t="str" cm="1">
        <f t="array" ref="I1032">_xlfn.XLOOKUP(Acc_Char!$E1032,Table4[[#All],[Branch]],Table4[[#All],[Bank]],"recheck",0)</f>
        <v>VIETINBANK - BINH DUONG + QM</v>
      </c>
    </row>
    <row r="1033" spans="1:9">
      <c r="A1033" s="998">
        <f t="shared" si="16"/>
        <v>1030</v>
      </c>
      <c r="B1033" s="1004" t="s">
        <v>3642</v>
      </c>
      <c r="C1033" s="1000" t="s">
        <v>389</v>
      </c>
      <c r="D1033" s="932" t="str">
        <f>VLOOKUP($C1033,Table1[#All],2,0)</f>
        <v>BWID BINH DUONG</v>
      </c>
      <c r="E1033" s="932" t="s">
        <v>96</v>
      </c>
      <c r="F1033" s="998" t="s">
        <v>80</v>
      </c>
      <c r="G1033" s="932" t="s">
        <v>310</v>
      </c>
      <c r="H1033" s="932" t="str">
        <f>VLOOKUP($C1033,Table1[#All],3,0)</f>
        <v>BWID JSC</v>
      </c>
      <c r="I1033" s="932" t="str" cm="1">
        <f t="array" ref="I1033">_xlfn.XLOOKUP(Acc_Char!$E1033,Table4[[#All],[Branch]],Table4[[#All],[Bank]],"recheck",0)</f>
        <v>VIB - HOI SO</v>
      </c>
    </row>
    <row r="1034" spans="1:9">
      <c r="A1034" s="998">
        <f t="shared" si="16"/>
        <v>1031</v>
      </c>
      <c r="B1034" s="1004" t="s">
        <v>1000</v>
      </c>
      <c r="C1034" s="1000" t="s">
        <v>3277</v>
      </c>
      <c r="D1034" s="932" t="str">
        <f>VLOOKUP($C1034,Table1[#All],2,0)</f>
        <v>THUAN THANH 3B</v>
      </c>
      <c r="E1034" s="932" t="s">
        <v>89</v>
      </c>
      <c r="F1034" s="998" t="s">
        <v>80</v>
      </c>
      <c r="G1034" s="932" t="s">
        <v>308</v>
      </c>
      <c r="H1034" s="932" t="str">
        <f>VLOOKUP($C1034,Table1[#All],3,0)</f>
        <v>Subsidiaries</v>
      </c>
      <c r="I1034" s="932" t="str" cm="1">
        <f t="array" ref="I1034">_xlfn.XLOOKUP(Acc_Char!$E1034,Table4[[#All],[Branch]],Table4[[#All],[Bank]],"recheck",0)</f>
        <v>VIETCOMBANK - BA DINH</v>
      </c>
    </row>
    <row r="1035" spans="1:9">
      <c r="A1035" s="998">
        <f t="shared" si="16"/>
        <v>1032</v>
      </c>
      <c r="B1035" s="1004" t="s">
        <v>1001</v>
      </c>
      <c r="C1035" s="1000" t="s">
        <v>2888</v>
      </c>
      <c r="D1035" s="932" t="str">
        <f>VLOOKUP($C1035,Table1[#All],2,0)</f>
        <v>BWID HAI DUONG</v>
      </c>
      <c r="E1035" s="932" t="s">
        <v>85</v>
      </c>
      <c r="F1035" s="998" t="s">
        <v>80</v>
      </c>
      <c r="G1035" s="932" t="s">
        <v>310</v>
      </c>
      <c r="H1035" s="932" t="str">
        <f>VLOOKUP($C1035,Table1[#All],3,0)</f>
        <v>Subsidiaries</v>
      </c>
      <c r="I1035" s="932" t="str" cm="1">
        <f t="array" ref="I1035">_xlfn.XLOOKUP(Acc_Char!$E1035,Table4[[#All],[Branch]],Table4[[#All],[Bank]],"recheck",0)</f>
        <v>VIETINBANK - TIEN SON</v>
      </c>
    </row>
    <row r="1036" spans="1:9">
      <c r="A1036" s="998">
        <f t="shared" si="16"/>
        <v>1033</v>
      </c>
      <c r="B1036" s="1004" t="s">
        <v>3643</v>
      </c>
      <c r="C1036" s="1000" t="s">
        <v>432</v>
      </c>
      <c r="D1036" s="932" t="str">
        <f>VLOOKUP($C1036,Table1[#All],2,0)</f>
        <v>BWID BAC NINH</v>
      </c>
      <c r="E1036" s="932" t="s">
        <v>85</v>
      </c>
      <c r="F1036" s="998" t="s">
        <v>80</v>
      </c>
      <c r="G1036" s="932" t="s">
        <v>310</v>
      </c>
      <c r="H1036" s="932" t="str">
        <f>VLOOKUP($C1036,Table1[#All],3,0)</f>
        <v>Subsidiaries</v>
      </c>
      <c r="I1036" s="932" t="str" cm="1">
        <f t="array" ref="I1036">_xlfn.XLOOKUP(Acc_Char!$E1036,Table4[[#All],[Branch]],Table4[[#All],[Bank]],"recheck",0)</f>
        <v>VIETINBANK - TIEN SON</v>
      </c>
    </row>
    <row r="1037" spans="1:9">
      <c r="A1037" s="998">
        <f t="shared" si="16"/>
        <v>1034</v>
      </c>
      <c r="B1037" s="1002" t="s">
        <v>3644</v>
      </c>
      <c r="C1037" s="1003" t="s">
        <v>432</v>
      </c>
      <c r="D1037" s="932" t="str">
        <f>VLOOKUP($C1037,Table1[#All],2,0)</f>
        <v>BWID BAC NINH</v>
      </c>
      <c r="E1037" s="932" t="s">
        <v>85</v>
      </c>
      <c r="F1037" s="998" t="s">
        <v>80</v>
      </c>
      <c r="G1037" s="932" t="s">
        <v>310</v>
      </c>
      <c r="H1037" s="932" t="str">
        <f>VLOOKUP($C1037,Table1[#All],3,0)</f>
        <v>Subsidiaries</v>
      </c>
      <c r="I1037" s="932" t="str" cm="1">
        <f t="array" ref="I1037">_xlfn.XLOOKUP(Acc_Char!$E1037,Table4[[#All],[Branch]],Table4[[#All],[Bank]],"recheck",0)</f>
        <v>VIETINBANK - TIEN SON</v>
      </c>
    </row>
    <row r="1038" spans="1:9">
      <c r="A1038" s="998">
        <f t="shared" si="16"/>
        <v>1035</v>
      </c>
      <c r="B1038" s="1004" t="s">
        <v>1002</v>
      </c>
      <c r="C1038" s="1000" t="s">
        <v>434</v>
      </c>
      <c r="D1038" s="932" t="str">
        <f>VLOOKUP($C1038,Table1[#All],2,0)</f>
        <v>BWID HAI PHONG</v>
      </c>
      <c r="E1038" s="932" t="s">
        <v>85</v>
      </c>
      <c r="F1038" s="998" t="s">
        <v>80</v>
      </c>
      <c r="G1038" s="932" t="s">
        <v>310</v>
      </c>
      <c r="H1038" s="932" t="str">
        <f>VLOOKUP($C1038,Table1[#All],3,0)</f>
        <v>Subsidiaries</v>
      </c>
      <c r="I1038" s="932" t="str" cm="1">
        <f t="array" ref="I1038">_xlfn.XLOOKUP(Acc_Char!$E1038,Table4[[#All],[Branch]],Table4[[#All],[Bank]],"recheck",0)</f>
        <v>VIETINBANK - TIEN SON</v>
      </c>
    </row>
    <row r="1039" spans="1:9">
      <c r="A1039" s="998">
        <f t="shared" si="16"/>
        <v>1036</v>
      </c>
      <c r="B1039" s="1004" t="s">
        <v>3645</v>
      </c>
      <c r="C1039" s="1000" t="s">
        <v>3250</v>
      </c>
      <c r="D1039" s="932" t="str">
        <f>VLOOKUP($C1039,Table1[#All],2,0)</f>
        <v>BW MY PHUOC 3</v>
      </c>
      <c r="E1039" s="932" t="s">
        <v>153</v>
      </c>
      <c r="F1039" s="998" t="s">
        <v>80</v>
      </c>
      <c r="G1039" s="932" t="s">
        <v>310</v>
      </c>
      <c r="H1039" s="932" t="str">
        <f>VLOOKUP($C1039,Table1[#All],3,0)</f>
        <v>Subsidiaries</v>
      </c>
      <c r="I1039" s="932" t="str" cm="1">
        <f t="array" ref="I1039">_xlfn.XLOOKUP(Acc_Char!$E1039,Table4[[#All],[Branch]],Table4[[#All],[Bank]],"recheck",0)</f>
        <v>VIETINBANK - BINH DUONG + QM</v>
      </c>
    </row>
    <row r="1040" spans="1:9">
      <c r="A1040" s="998">
        <f t="shared" si="16"/>
        <v>1037</v>
      </c>
      <c r="B1040" s="1004" t="s">
        <v>3646</v>
      </c>
      <c r="C1040" s="1000" t="s">
        <v>3250</v>
      </c>
      <c r="D1040" s="932" t="str">
        <f>VLOOKUP($C1040,Table1[#All],2,0)</f>
        <v>BW MY PHUOC 3</v>
      </c>
      <c r="E1040" s="932" t="s">
        <v>153</v>
      </c>
      <c r="F1040" s="998" t="s">
        <v>80</v>
      </c>
      <c r="G1040" s="932" t="s">
        <v>310</v>
      </c>
      <c r="H1040" s="932" t="str">
        <f>VLOOKUP($C1040,Table1[#All],3,0)</f>
        <v>Subsidiaries</v>
      </c>
      <c r="I1040" s="932" t="str" cm="1">
        <f t="array" ref="I1040">_xlfn.XLOOKUP(Acc_Char!$E1040,Table4[[#All],[Branch]],Table4[[#All],[Bank]],"recheck",0)</f>
        <v>VIETINBANK - BINH DUONG + QM</v>
      </c>
    </row>
    <row r="1041" spans="1:9">
      <c r="A1041" s="998">
        <f t="shared" si="16"/>
        <v>1038</v>
      </c>
      <c r="B1041" s="1002" t="s">
        <v>3647</v>
      </c>
      <c r="C1041" s="1003" t="s">
        <v>3400</v>
      </c>
      <c r="D1041" s="932" t="str">
        <f>VLOOKUP($C1041,Table1[#All],2,0)</f>
        <v>HOLDCO5Q</v>
      </c>
      <c r="E1041" s="932" t="s">
        <v>88</v>
      </c>
      <c r="F1041" s="998" t="s">
        <v>80</v>
      </c>
      <c r="G1041" s="932" t="s">
        <v>310</v>
      </c>
      <c r="H1041" s="932" t="str">
        <f>VLOOKUP($C1041,Table1[#All],3,0)</f>
        <v>Subsidiaries</v>
      </c>
      <c r="I1041" s="932" t="str" cm="1">
        <f t="array" ref="I1041">_xlfn.XLOOKUP(Acc_Char!$E1041,Table4[[#All],[Branch]],Table4[[#All],[Bank]],"recheck",0)</f>
        <v>VIETINBANK - DONG SAI GON</v>
      </c>
    </row>
    <row r="1042" spans="1:9">
      <c r="A1042" s="998">
        <f t="shared" si="16"/>
        <v>1039</v>
      </c>
      <c r="B1042" s="1004" t="s">
        <v>3648</v>
      </c>
      <c r="C1042" s="1000" t="s">
        <v>3395</v>
      </c>
      <c r="D1042" s="932" t="str">
        <f>VLOOKUP($C1042,Table1[#All],2,0)</f>
        <v>HOLDCO4V</v>
      </c>
      <c r="E1042" s="932" t="s">
        <v>85</v>
      </c>
      <c r="F1042" s="998" t="s">
        <v>80</v>
      </c>
      <c r="G1042" s="932" t="s">
        <v>310</v>
      </c>
      <c r="H1042" s="932" t="str">
        <f>VLOOKUP($C1042,Table1[#All],3,0)</f>
        <v>Subsidiaries</v>
      </c>
      <c r="I1042" s="932" t="str" cm="1">
        <f t="array" ref="I1042">_xlfn.XLOOKUP(Acc_Char!$E1042,Table4[[#All],[Branch]],Table4[[#All],[Bank]],"recheck",0)</f>
        <v>VIETINBANK - TIEN SON</v>
      </c>
    </row>
    <row r="1043" spans="1:9">
      <c r="A1043" s="998">
        <f t="shared" si="16"/>
        <v>1040</v>
      </c>
      <c r="B1043" s="1002" t="s">
        <v>1003</v>
      </c>
      <c r="C1043" s="1000" t="s">
        <v>3627</v>
      </c>
      <c r="D1043" s="932" t="str">
        <f>VLOOKUP($C1043,Table1[#All],2,0)</f>
        <v>HOLDCO N4D</v>
      </c>
      <c r="E1043" s="932" t="s">
        <v>85</v>
      </c>
      <c r="F1043" s="998" t="s">
        <v>80</v>
      </c>
      <c r="G1043" s="932" t="s">
        <v>310</v>
      </c>
      <c r="H1043" s="932" t="str">
        <f>VLOOKUP($C1043,Table1[#All],3,0)</f>
        <v>Subsidiaries</v>
      </c>
      <c r="I1043" s="932" t="str" cm="1">
        <f t="array" ref="I1043">_xlfn.XLOOKUP(Acc_Char!$E1043,Table4[[#All],[Branch]],Table4[[#All],[Bank]],"recheck",0)</f>
        <v>VIETINBANK - TIEN SON</v>
      </c>
    </row>
    <row r="1044" spans="1:9">
      <c r="A1044" s="998">
        <f t="shared" si="16"/>
        <v>1041</v>
      </c>
      <c r="B1044" s="1004" t="s">
        <v>1004</v>
      </c>
      <c r="C1044" s="1000" t="s">
        <v>3628</v>
      </c>
      <c r="D1044" s="932" t="str">
        <f>VLOOKUP($C1044,Table1[#All],2,0)</f>
        <v>HOLDCO N4E</v>
      </c>
      <c r="E1044" s="932" t="s">
        <v>85</v>
      </c>
      <c r="F1044" s="998" t="s">
        <v>80</v>
      </c>
      <c r="G1044" s="932" t="s">
        <v>310</v>
      </c>
      <c r="H1044" s="932" t="str">
        <f>VLOOKUP($C1044,Table1[#All],3,0)</f>
        <v>Subsidiaries</v>
      </c>
      <c r="I1044" s="932" t="str" cm="1">
        <f t="array" ref="I1044">_xlfn.XLOOKUP(Acc_Char!$E1044,Table4[[#All],[Branch]],Table4[[#All],[Bank]],"recheck",0)</f>
        <v>VIETINBANK - TIEN SON</v>
      </c>
    </row>
    <row r="1045" spans="1:9">
      <c r="A1045" s="998">
        <f t="shared" si="16"/>
        <v>1042</v>
      </c>
      <c r="B1045" s="1004" t="s">
        <v>1005</v>
      </c>
      <c r="C1045" s="1000" t="s">
        <v>3625</v>
      </c>
      <c r="D1045" s="932" t="str">
        <f>VLOOKUP($C1045,Table1[#All],2,0)</f>
        <v>HOLDCO N4A</v>
      </c>
      <c r="E1045" s="932" t="s">
        <v>85</v>
      </c>
      <c r="F1045" s="998" t="s">
        <v>80</v>
      </c>
      <c r="G1045" s="932" t="s">
        <v>310</v>
      </c>
      <c r="H1045" s="932" t="str">
        <f>VLOOKUP($C1045,Table1[#All],3,0)</f>
        <v>Subsidiaries</v>
      </c>
      <c r="I1045" s="932" t="str" cm="1">
        <f t="array" ref="I1045">_xlfn.XLOOKUP(Acc_Char!$E1045,Table4[[#All],[Branch]],Table4[[#All],[Bank]],"recheck",0)</f>
        <v>VIETINBANK - TIEN SON</v>
      </c>
    </row>
    <row r="1046" spans="1:9">
      <c r="A1046" s="998">
        <f t="shared" si="16"/>
        <v>1043</v>
      </c>
      <c r="B1046" s="1004" t="s">
        <v>1006</v>
      </c>
      <c r="C1046" s="1000" t="s">
        <v>424</v>
      </c>
      <c r="D1046" s="932" t="str">
        <f>VLOOKUP($C1046,Table1[#All],2,0)</f>
        <v>HOLDCO N4C</v>
      </c>
      <c r="E1046" s="932" t="s">
        <v>85</v>
      </c>
      <c r="F1046" s="998" t="s">
        <v>80</v>
      </c>
      <c r="G1046" s="932" t="s">
        <v>310</v>
      </c>
      <c r="H1046" s="932" t="str">
        <f>VLOOKUP($C1046,Table1[#All],3,0)</f>
        <v>Subsidiaries</v>
      </c>
      <c r="I1046" s="932" t="str" cm="1">
        <f t="array" ref="I1046">_xlfn.XLOOKUP(Acc_Char!$E1046,Table4[[#All],[Branch]],Table4[[#All],[Bank]],"recheck",0)</f>
        <v>VIETINBANK - TIEN SON</v>
      </c>
    </row>
    <row r="1047" spans="1:9">
      <c r="A1047" s="998">
        <f t="shared" si="16"/>
        <v>1044</v>
      </c>
      <c r="B1047" s="1002" t="s">
        <v>1007</v>
      </c>
      <c r="C1047" s="1003" t="s">
        <v>3626</v>
      </c>
      <c r="D1047" s="932" t="str">
        <f>VLOOKUP($C1047,Table1[#All],2,0)</f>
        <v>HOLDCO N4B</v>
      </c>
      <c r="E1047" s="932" t="s">
        <v>85</v>
      </c>
      <c r="F1047" s="998" t="s">
        <v>80</v>
      </c>
      <c r="G1047" s="932" t="s">
        <v>310</v>
      </c>
      <c r="H1047" s="932" t="str">
        <f>VLOOKUP($C1047,Table1[#All],3,0)</f>
        <v>Subsidiaries</v>
      </c>
      <c r="I1047" s="932" t="str" cm="1">
        <f t="array" ref="I1047">_xlfn.XLOOKUP(Acc_Char!$E1047,Table4[[#All],[Branch]],Table4[[#All],[Bank]],"recheck",0)</f>
        <v>VIETINBANK - TIEN SON</v>
      </c>
    </row>
    <row r="1048" spans="1:9">
      <c r="A1048" s="998">
        <f t="shared" si="16"/>
        <v>1045</v>
      </c>
      <c r="B1048" s="1004" t="s">
        <v>1008</v>
      </c>
      <c r="C1048" s="1000" t="s">
        <v>440</v>
      </c>
      <c r="D1048" s="932" t="str">
        <f>VLOOKUP($C1048,Table1[#All],2,0)</f>
        <v>BW NAM DINH VU</v>
      </c>
      <c r="E1048" s="932" t="s">
        <v>94</v>
      </c>
      <c r="F1048" s="998" t="s">
        <v>80</v>
      </c>
      <c r="G1048" s="932" t="s">
        <v>310</v>
      </c>
      <c r="H1048" s="932" t="str">
        <f>VLOOKUP($C1048,Table1[#All],3,0)</f>
        <v>Subsidiaries</v>
      </c>
      <c r="I1048" s="932" t="str" cm="1">
        <f t="array" ref="I1048">_xlfn.XLOOKUP(Acc_Char!$E1048,Table4[[#All],[Branch]],Table4[[#All],[Bank]],"recheck",0)</f>
        <v>BIDV - LONG BIEN</v>
      </c>
    </row>
    <row r="1049" spans="1:9">
      <c r="A1049" s="998">
        <f t="shared" si="16"/>
        <v>1046</v>
      </c>
      <c r="B1049" s="1004" t="s">
        <v>3649</v>
      </c>
      <c r="C1049" s="1000" t="s">
        <v>445</v>
      </c>
      <c r="D1049" s="932" t="str">
        <f>VLOOKUP($C1049,Table1[#All],2,0)</f>
        <v>BW PHU NGHIA</v>
      </c>
      <c r="E1049" s="932" t="s">
        <v>92</v>
      </c>
      <c r="F1049" s="998" t="s">
        <v>80</v>
      </c>
      <c r="G1049" s="932" t="s">
        <v>310</v>
      </c>
      <c r="H1049" s="932" t="str">
        <f>VLOOKUP($C1049,Table1[#All],3,0)</f>
        <v>Subsidiaries</v>
      </c>
      <c r="I1049" s="932" t="str" cm="1">
        <f t="array" ref="I1049">_xlfn.XLOOKUP(Acc_Char!$E1049,Table4[[#All],[Branch]],Table4[[#All],[Bank]],"recheck",0)</f>
        <v>BIDV - THANH XUAN</v>
      </c>
    </row>
    <row r="1050" spans="1:9">
      <c r="A1050" s="998">
        <f t="shared" si="16"/>
        <v>1047</v>
      </c>
      <c r="B1050" s="1004" t="s">
        <v>3650</v>
      </c>
      <c r="C1050" s="1000" t="s">
        <v>445</v>
      </c>
      <c r="D1050" s="932" t="str">
        <f>VLOOKUP($C1050,Table1[#All],2,0)</f>
        <v>BW PHU NGHIA</v>
      </c>
      <c r="E1050" s="932" t="s">
        <v>92</v>
      </c>
      <c r="F1050" s="998" t="s">
        <v>80</v>
      </c>
      <c r="G1050" s="932" t="s">
        <v>310</v>
      </c>
      <c r="H1050" s="932" t="str">
        <f>VLOOKUP($C1050,Table1[#All],3,0)</f>
        <v>Subsidiaries</v>
      </c>
      <c r="I1050" s="932" t="str" cm="1">
        <f t="array" ref="I1050">_xlfn.XLOOKUP(Acc_Char!$E1050,Table4[[#All],[Branch]],Table4[[#All],[Bank]],"recheck",0)</f>
        <v>BIDV - THANH XUAN</v>
      </c>
    </row>
    <row r="1051" spans="1:9">
      <c r="A1051" s="998">
        <f t="shared" si="16"/>
        <v>1048</v>
      </c>
      <c r="B1051" s="1004" t="s">
        <v>3651</v>
      </c>
      <c r="C1051" s="1000" t="s">
        <v>445</v>
      </c>
      <c r="D1051" s="932" t="str">
        <f>VLOOKUP($C1051,Table1[#All],2,0)</f>
        <v>BW PHU NGHIA</v>
      </c>
      <c r="E1051" s="932" t="s">
        <v>92</v>
      </c>
      <c r="F1051" s="998" t="s">
        <v>80</v>
      </c>
      <c r="G1051" s="932" t="s">
        <v>310</v>
      </c>
      <c r="H1051" s="932" t="str">
        <f>VLOOKUP($C1051,Table1[#All],3,0)</f>
        <v>Subsidiaries</v>
      </c>
      <c r="I1051" s="932" t="str" cm="1">
        <f t="array" ref="I1051">_xlfn.XLOOKUP(Acc_Char!$E1051,Table4[[#All],[Branch]],Table4[[#All],[Bank]],"recheck",0)</f>
        <v>BIDV - THANH XUAN</v>
      </c>
    </row>
    <row r="1052" spans="1:9">
      <c r="A1052" s="998">
        <f t="shared" si="16"/>
        <v>1049</v>
      </c>
      <c r="B1052" s="1004" t="s">
        <v>3652</v>
      </c>
      <c r="C1052" s="1000" t="s">
        <v>445</v>
      </c>
      <c r="D1052" s="932" t="str">
        <f>VLOOKUP($C1052,Table1[#All],2,0)</f>
        <v>BW PHU NGHIA</v>
      </c>
      <c r="E1052" s="932" t="s">
        <v>92</v>
      </c>
      <c r="F1052" s="998" t="s">
        <v>80</v>
      </c>
      <c r="G1052" s="932" t="s">
        <v>310</v>
      </c>
      <c r="H1052" s="932" t="str">
        <f>VLOOKUP($C1052,Table1[#All],3,0)</f>
        <v>Subsidiaries</v>
      </c>
      <c r="I1052" s="932" t="str" cm="1">
        <f t="array" ref="I1052">_xlfn.XLOOKUP(Acc_Char!$E1052,Table4[[#All],[Branch]],Table4[[#All],[Bank]],"recheck",0)</f>
        <v>BIDV - THANH XUAN</v>
      </c>
    </row>
    <row r="1053" spans="1:9">
      <c r="A1053" s="998">
        <f t="shared" si="16"/>
        <v>1050</v>
      </c>
      <c r="B1053" s="1004" t="s">
        <v>3653</v>
      </c>
      <c r="C1053" s="1000" t="s">
        <v>2974</v>
      </c>
      <c r="D1053" s="932" t="str">
        <f>VLOOKUP($C1053,Table1[#All],2,0)</f>
        <v>BWID HAI DUONG 3</v>
      </c>
      <c r="E1053" s="932" t="s">
        <v>92</v>
      </c>
      <c r="F1053" s="998" t="s">
        <v>80</v>
      </c>
      <c r="G1053" s="932" t="s">
        <v>310</v>
      </c>
      <c r="H1053" s="932" t="str">
        <f>VLOOKUP($C1053,Table1[#All],3,0)</f>
        <v>Subsidiaries</v>
      </c>
      <c r="I1053" s="932" t="str" cm="1">
        <f t="array" ref="I1053">_xlfn.XLOOKUP(Acc_Char!$E1053,Table4[[#All],[Branch]],Table4[[#All],[Bank]],"recheck",0)</f>
        <v>BIDV - THANH XUAN</v>
      </c>
    </row>
    <row r="1054" spans="1:9">
      <c r="A1054" s="998">
        <f t="shared" si="16"/>
        <v>1051</v>
      </c>
      <c r="B1054" s="1004" t="s">
        <v>3654</v>
      </c>
      <c r="C1054" s="1000" t="s">
        <v>2974</v>
      </c>
      <c r="D1054" s="932" t="str">
        <f>VLOOKUP($C1054,Table1[#All],2,0)</f>
        <v>BWID HAI DUONG 3</v>
      </c>
      <c r="E1054" s="932" t="s">
        <v>92</v>
      </c>
      <c r="F1054" s="998" t="s">
        <v>80</v>
      </c>
      <c r="G1054" s="932" t="s">
        <v>310</v>
      </c>
      <c r="H1054" s="932" t="str">
        <f>VLOOKUP($C1054,Table1[#All],3,0)</f>
        <v>Subsidiaries</v>
      </c>
      <c r="I1054" s="932" t="str" cm="1">
        <f t="array" ref="I1054">_xlfn.XLOOKUP(Acc_Char!$E1054,Table4[[#All],[Branch]],Table4[[#All],[Bank]],"recheck",0)</f>
        <v>BIDV - THANH XUAN</v>
      </c>
    </row>
    <row r="1055" spans="1:9">
      <c r="A1055" s="998">
        <f t="shared" si="16"/>
        <v>1052</v>
      </c>
      <c r="B1055" s="1004" t="s">
        <v>3655</v>
      </c>
      <c r="C1055" s="1000" t="s">
        <v>2998</v>
      </c>
      <c r="D1055" s="932" t="str">
        <f>VLOOKUP($C1055,Table1[#All],2,0)</f>
        <v>BWID THOI HOA 2</v>
      </c>
      <c r="E1055" s="932" t="s">
        <v>95</v>
      </c>
      <c r="F1055" s="998" t="s">
        <v>80</v>
      </c>
      <c r="G1055" s="932" t="s">
        <v>310</v>
      </c>
      <c r="H1055" s="932" t="str">
        <f>VLOOKUP($C1055,Table1[#All],3,0)</f>
        <v>Subsidiaries</v>
      </c>
      <c r="I1055" s="932" t="str" cm="1">
        <f t="array" ref="I1055">_xlfn.XLOOKUP(Acc_Char!$E1055,Table4[[#All],[Branch]],Table4[[#All],[Bank]],"recheck",0)</f>
        <v>OCB - BINH DUONG</v>
      </c>
    </row>
    <row r="1056" spans="1:9">
      <c r="A1056" s="998">
        <f t="shared" si="16"/>
        <v>1053</v>
      </c>
      <c r="B1056" s="1004" t="s">
        <v>3656</v>
      </c>
      <c r="C1056" s="1000" t="s">
        <v>2998</v>
      </c>
      <c r="D1056" s="932" t="str">
        <f>VLOOKUP($C1056,Table1[#All],2,0)</f>
        <v>BWID THOI HOA 2</v>
      </c>
      <c r="E1056" s="932" t="s">
        <v>95</v>
      </c>
      <c r="F1056" s="998" t="s">
        <v>80</v>
      </c>
      <c r="G1056" s="932" t="s">
        <v>310</v>
      </c>
      <c r="H1056" s="932" t="str">
        <f>VLOOKUP($C1056,Table1[#All],3,0)</f>
        <v>Subsidiaries</v>
      </c>
      <c r="I1056" s="932" t="str" cm="1">
        <f t="array" ref="I1056">_xlfn.XLOOKUP(Acc_Char!$E1056,Table4[[#All],[Branch]],Table4[[#All],[Bank]],"recheck",0)</f>
        <v>OCB - BINH DUONG</v>
      </c>
    </row>
    <row r="1057" spans="1:9">
      <c r="A1057" s="998">
        <f t="shared" si="16"/>
        <v>1054</v>
      </c>
      <c r="B1057" s="1004" t="s">
        <v>3657</v>
      </c>
      <c r="C1057" s="1000" t="s">
        <v>389</v>
      </c>
      <c r="D1057" s="932" t="str">
        <f>VLOOKUP($C1057,Table1[#All],2,0)</f>
        <v>BWID BINH DUONG</v>
      </c>
      <c r="E1057" s="932" t="s">
        <v>98</v>
      </c>
      <c r="F1057" s="998" t="s">
        <v>80</v>
      </c>
      <c r="G1057" s="932" t="s">
        <v>310</v>
      </c>
      <c r="H1057" s="932" t="str">
        <f>VLOOKUP($C1057,Table1[#All],3,0)</f>
        <v>BWID JSC</v>
      </c>
      <c r="I1057" s="932" t="str" cm="1">
        <f t="array" ref="I1057">_xlfn.XLOOKUP(Acc_Char!$E1057,Table4[[#All],[Branch]],Table4[[#All],[Bank]],"recheck",0)</f>
        <v>SINOPAC</v>
      </c>
    </row>
    <row r="1058" spans="1:9">
      <c r="A1058" s="998">
        <f t="shared" si="16"/>
        <v>1055</v>
      </c>
      <c r="B1058" s="1004" t="s">
        <v>3658</v>
      </c>
      <c r="C1058" s="1000" t="s">
        <v>389</v>
      </c>
      <c r="D1058" s="932" t="str">
        <f>VLOOKUP($C1058,Table1[#All],2,0)</f>
        <v>BWID BINH DUONG</v>
      </c>
      <c r="E1058" s="932" t="s">
        <v>98</v>
      </c>
      <c r="F1058" s="998" t="s">
        <v>80</v>
      </c>
      <c r="G1058" s="932" t="s">
        <v>310</v>
      </c>
      <c r="H1058" s="932" t="str">
        <f>VLOOKUP($C1058,Table1[#All],3,0)</f>
        <v>BWID JSC</v>
      </c>
      <c r="I1058" s="932" t="str" cm="1">
        <f t="array" ref="I1058">_xlfn.XLOOKUP(Acc_Char!$E1058,Table4[[#All],[Branch]],Table4[[#All],[Bank]],"recheck",0)</f>
        <v>SINOPAC</v>
      </c>
    </row>
    <row r="1059" spans="1:9">
      <c r="A1059" s="998">
        <f t="shared" si="16"/>
        <v>1056</v>
      </c>
      <c r="B1059" s="1004" t="s">
        <v>3659</v>
      </c>
      <c r="C1059" s="1000" t="s">
        <v>389</v>
      </c>
      <c r="D1059" s="932" t="str">
        <f>VLOOKUP($C1059,Table1[#All],2,0)</f>
        <v>BWID BINH DUONG</v>
      </c>
      <c r="E1059" s="932" t="s">
        <v>98</v>
      </c>
      <c r="F1059" s="998" t="s">
        <v>80</v>
      </c>
      <c r="G1059" s="932" t="s">
        <v>310</v>
      </c>
      <c r="H1059" s="932" t="str">
        <f>VLOOKUP($C1059,Table1[#All],3,0)</f>
        <v>BWID JSC</v>
      </c>
      <c r="I1059" s="932" t="str" cm="1">
        <f t="array" ref="I1059">_xlfn.XLOOKUP(Acc_Char!$E1059,Table4[[#All],[Branch]],Table4[[#All],[Bank]],"recheck",0)</f>
        <v>SINOPAC</v>
      </c>
    </row>
    <row r="1060" spans="1:9">
      <c r="A1060" s="998">
        <f t="shared" si="16"/>
        <v>1057</v>
      </c>
      <c r="B1060" s="1004" t="s">
        <v>3660</v>
      </c>
      <c r="C1060" s="1000" t="s">
        <v>389</v>
      </c>
      <c r="D1060" s="932" t="str">
        <f>VLOOKUP($C1060,Table1[#All],2,0)</f>
        <v>BWID BINH DUONG</v>
      </c>
      <c r="E1060" s="932" t="s">
        <v>98</v>
      </c>
      <c r="F1060" s="998" t="s">
        <v>80</v>
      </c>
      <c r="G1060" s="932" t="s">
        <v>310</v>
      </c>
      <c r="H1060" s="932" t="str">
        <f>VLOOKUP($C1060,Table1[#All],3,0)</f>
        <v>BWID JSC</v>
      </c>
      <c r="I1060" s="932" t="str" cm="1">
        <f t="array" ref="I1060">_xlfn.XLOOKUP(Acc_Char!$E1060,Table4[[#All],[Branch]],Table4[[#All],[Bank]],"recheck",0)</f>
        <v>SINOPAC</v>
      </c>
    </row>
    <row r="1061" spans="1:9">
      <c r="A1061" s="998">
        <f t="shared" si="16"/>
        <v>1058</v>
      </c>
      <c r="B1061" s="1004" t="s">
        <v>3661</v>
      </c>
      <c r="C1061" s="1000" t="s">
        <v>67</v>
      </c>
      <c r="D1061" s="932" t="str">
        <f>VLOOKUP($C1061,Table1[#All],2,0)</f>
        <v>SAO HOA</v>
      </c>
      <c r="E1061" s="932" t="s">
        <v>98</v>
      </c>
      <c r="F1061" s="998" t="s">
        <v>80</v>
      </c>
      <c r="G1061" s="932" t="s">
        <v>310</v>
      </c>
      <c r="H1061" s="932" t="str">
        <f>VLOOKUP($C1061,Table1[#All],3,0)</f>
        <v>VC3</v>
      </c>
      <c r="I1061" s="932" t="str" cm="1">
        <f t="array" ref="I1061">_xlfn.XLOOKUP(Acc_Char!$E1061,Table4[[#All],[Branch]],Table4[[#All],[Bank]],"recheck",0)</f>
        <v>SINOPAC</v>
      </c>
    </row>
    <row r="1062" spans="1:9">
      <c r="A1062" s="998">
        <f t="shared" si="16"/>
        <v>1059</v>
      </c>
      <c r="B1062" s="1004" t="s">
        <v>1009</v>
      </c>
      <c r="C1062" s="1000" t="s">
        <v>389</v>
      </c>
      <c r="D1062" s="932" t="str">
        <f>VLOOKUP($C1062,Table1[#All],2,0)</f>
        <v>BWID BINH DUONG</v>
      </c>
      <c r="E1062" s="932" t="s">
        <v>98</v>
      </c>
      <c r="F1062" s="998" t="s">
        <v>81</v>
      </c>
      <c r="G1062" s="932" t="s">
        <v>308</v>
      </c>
      <c r="H1062" s="932" t="str">
        <f>VLOOKUP($C1062,Table1[#All],3,0)</f>
        <v>BWID JSC</v>
      </c>
      <c r="I1062" s="932" t="str" cm="1">
        <f t="array" ref="I1062">_xlfn.XLOOKUP(Acc_Char!$E1062,Table4[[#All],[Branch]],Table4[[#All],[Bank]],"recheck",0)</f>
        <v>SINOPAC</v>
      </c>
    </row>
    <row r="1063" spans="1:9">
      <c r="A1063" s="998">
        <f t="shared" si="16"/>
        <v>1060</v>
      </c>
      <c r="B1063" s="1004" t="s">
        <v>1011</v>
      </c>
      <c r="C1063" s="1000" t="s">
        <v>414</v>
      </c>
      <c r="D1063" s="932" t="str">
        <f>VLOOKUP($C1063,Table1[#All],2,0)</f>
        <v>DEEP C 2B</v>
      </c>
      <c r="E1063" s="932" t="s">
        <v>201</v>
      </c>
      <c r="F1063" s="998" t="s">
        <v>80</v>
      </c>
      <c r="G1063" s="932" t="s">
        <v>307</v>
      </c>
      <c r="H1063" s="932" t="str">
        <f>VLOOKUP($C1063,Table1[#All],3,0)</f>
        <v>Subsidiaries</v>
      </c>
      <c r="I1063" s="932" t="str" cm="1">
        <f t="array" ref="I1063">_xlfn.XLOOKUP(Acc_Char!$E1063,Table4[[#All],[Branch]],Table4[[#All],[Bank]],"recheck",0)</f>
        <v>STANDARD CHARTERED</v>
      </c>
    </row>
    <row r="1064" spans="1:9">
      <c r="A1064" s="998">
        <f t="shared" si="16"/>
        <v>1061</v>
      </c>
      <c r="B1064" s="1004" t="s">
        <v>1012</v>
      </c>
      <c r="C1064" s="1000" t="s">
        <v>414</v>
      </c>
      <c r="D1064" s="932" t="str">
        <f>VLOOKUP($C1064,Table1[#All],2,0)</f>
        <v>DEEP C 2B</v>
      </c>
      <c r="E1064" s="932" t="s">
        <v>201</v>
      </c>
      <c r="F1064" s="998" t="s">
        <v>81</v>
      </c>
      <c r="G1064" s="932" t="s">
        <v>307</v>
      </c>
      <c r="H1064" s="932" t="str">
        <f>VLOOKUP($C1064,Table1[#All],3,0)</f>
        <v>Subsidiaries</v>
      </c>
      <c r="I1064" s="932" t="str" cm="1">
        <f t="array" ref="I1064">_xlfn.XLOOKUP(Acc_Char!$E1064,Table4[[#All],[Branch]],Table4[[#All],[Bank]],"recheck",0)</f>
        <v>STANDARD CHARTERED</v>
      </c>
    </row>
    <row r="1065" spans="1:9">
      <c r="A1065" s="998">
        <f t="shared" si="16"/>
        <v>1062</v>
      </c>
      <c r="B1065" s="1004" t="s">
        <v>1013</v>
      </c>
      <c r="C1065" s="1000" t="s">
        <v>414</v>
      </c>
      <c r="D1065" s="932" t="str">
        <f>VLOOKUP($C1065,Table1[#All],2,0)</f>
        <v>DEEP C 2B</v>
      </c>
      <c r="E1065" s="932" t="s">
        <v>201</v>
      </c>
      <c r="F1065" s="998" t="s">
        <v>80</v>
      </c>
      <c r="G1065" s="932" t="s">
        <v>308</v>
      </c>
      <c r="H1065" s="932" t="str">
        <f>VLOOKUP($C1065,Table1[#All],3,0)</f>
        <v>Subsidiaries</v>
      </c>
      <c r="I1065" s="932" t="str" cm="1">
        <f t="array" ref="I1065">_xlfn.XLOOKUP(Acc_Char!$E1065,Table4[[#All],[Branch]],Table4[[#All],[Bank]],"recheck",0)</f>
        <v>STANDARD CHARTERED</v>
      </c>
    </row>
    <row r="1066" spans="1:9">
      <c r="A1066" s="998">
        <f t="shared" si="16"/>
        <v>1063</v>
      </c>
      <c r="B1066" s="1004" t="s">
        <v>933</v>
      </c>
      <c r="C1066" s="1000" t="s">
        <v>3518</v>
      </c>
      <c r="D1066" s="932" t="str">
        <f>VLOOKUP($C1066,Table1[#All],2,0)</f>
        <v>NSHL HOLDCO</v>
      </c>
      <c r="E1066" s="932" t="s">
        <v>92</v>
      </c>
      <c r="F1066" s="998" t="s">
        <v>81</v>
      </c>
      <c r="G1066" s="932" t="s">
        <v>309</v>
      </c>
      <c r="H1066" s="932" t="str">
        <f>VLOOKUP($C1066,Table1[#All],3,0)</f>
        <v>Subsidiaries</v>
      </c>
      <c r="I1066" s="932" t="str" cm="1">
        <f t="array" ref="I1066">_xlfn.XLOOKUP(Acc_Char!$E904,Table4[[#All],[Branch]],Table4[[#All],[Bank]],"recheck",0)</f>
        <v>BIDV - THANH XUAN</v>
      </c>
    </row>
    <row r="1067" spans="1:9">
      <c r="A1067" s="998">
        <f t="shared" si="16"/>
        <v>1064</v>
      </c>
      <c r="B1067" s="1004" t="s">
        <v>1016</v>
      </c>
      <c r="C1067" s="1000" t="s">
        <v>3216</v>
      </c>
      <c r="D1067" s="932" t="str">
        <f>VLOOKUP($C1067,Table1[#All],2,0)</f>
        <v>PHU AN THANH</v>
      </c>
      <c r="E1067" s="932" t="s">
        <v>201</v>
      </c>
      <c r="F1067" s="998" t="s">
        <v>80</v>
      </c>
      <c r="G1067" s="932" t="s">
        <v>307</v>
      </c>
      <c r="H1067" s="932" t="str">
        <f>VLOOKUP($C1067,Table1[#All],3,0)</f>
        <v>Subsidiaries</v>
      </c>
      <c r="I1067" s="932" t="str" cm="1">
        <f t="array" ref="I1067">_xlfn.XLOOKUP(Acc_Char!$E1067,Table4[[#All],[Branch]],Table4[[#All],[Bank]],"recheck",0)</f>
        <v>STANDARD CHARTERED</v>
      </c>
    </row>
    <row r="1068" spans="1:9">
      <c r="A1068" s="998">
        <f t="shared" si="16"/>
        <v>1065</v>
      </c>
      <c r="B1068" s="1004" t="s">
        <v>1017</v>
      </c>
      <c r="C1068" s="1000" t="s">
        <v>3216</v>
      </c>
      <c r="D1068" s="932" t="str">
        <f>VLOOKUP($C1068,Table1[#All],2,0)</f>
        <v>PHU AN THANH</v>
      </c>
      <c r="E1068" s="932" t="s">
        <v>201</v>
      </c>
      <c r="F1068" s="998" t="s">
        <v>81</v>
      </c>
      <c r="G1068" s="932" t="s">
        <v>307</v>
      </c>
      <c r="H1068" s="932" t="str">
        <f>VLOOKUP($C1068,Table1[#All],3,0)</f>
        <v>Subsidiaries</v>
      </c>
      <c r="I1068" s="932" t="str" cm="1">
        <f t="array" ref="I1068">_xlfn.XLOOKUP(Acc_Char!$E1068,Table4[[#All],[Branch]],Table4[[#All],[Bank]],"recheck",0)</f>
        <v>STANDARD CHARTERED</v>
      </c>
    </row>
    <row r="1069" spans="1:9">
      <c r="A1069" s="998">
        <f t="shared" si="16"/>
        <v>1066</v>
      </c>
      <c r="B1069" s="1004" t="s">
        <v>1018</v>
      </c>
      <c r="C1069" s="1000" t="s">
        <v>3216</v>
      </c>
      <c r="D1069" s="932" t="str">
        <f>VLOOKUP($C1069,Table1[#All],2,0)</f>
        <v>PHU AN THANH</v>
      </c>
      <c r="E1069" s="932" t="s">
        <v>201</v>
      </c>
      <c r="F1069" s="998" t="s">
        <v>80</v>
      </c>
      <c r="G1069" s="932" t="s">
        <v>308</v>
      </c>
      <c r="H1069" s="932" t="str">
        <f>VLOOKUP($C1069,Table1[#All],3,0)</f>
        <v>Subsidiaries</v>
      </c>
      <c r="I1069" s="932" t="str" cm="1">
        <f t="array" ref="I1069">_xlfn.XLOOKUP(Acc_Char!$E1069,Table4[[#All],[Branch]],Table4[[#All],[Bank]],"recheck",0)</f>
        <v>STANDARD CHARTERED</v>
      </c>
    </row>
    <row r="1070" spans="1:9">
      <c r="A1070" s="998">
        <f t="shared" si="16"/>
        <v>1067</v>
      </c>
      <c r="B1070" s="1097" t="s">
        <v>337</v>
      </c>
      <c r="C1070" s="1003" t="s">
        <v>440</v>
      </c>
      <c r="D1070" s="999" t="str">
        <f>VLOOKUP($C1070,Table1[#All],2,0)</f>
        <v>BW NAM DINH VU</v>
      </c>
      <c r="E1070" s="999" t="s">
        <v>94</v>
      </c>
      <c r="F1070" s="1093" t="s">
        <v>81</v>
      </c>
      <c r="G1070" s="999" t="s">
        <v>308</v>
      </c>
      <c r="H1070" s="999" t="str">
        <f>VLOOKUP($C1070,Table1[#All],3,0)</f>
        <v>Subsidiaries</v>
      </c>
      <c r="I1070" s="999" t="str" cm="1">
        <f t="array" ref="I1070">_xlfn.XLOOKUP(Acc_Char!$E231,Table4[[#All],[Branch]],Table4[[#All],[Bank]],"recheck",0)</f>
        <v>VIETINBANK - DONG SAI GON</v>
      </c>
    </row>
    <row r="1071" spans="1:9">
      <c r="A1071" s="998">
        <f t="shared" si="16"/>
        <v>1068</v>
      </c>
      <c r="B1071" s="1004" t="s">
        <v>1021</v>
      </c>
      <c r="C1071" s="1000" t="s">
        <v>3300</v>
      </c>
      <c r="D1071" s="932" t="str">
        <f>VLOOKUP($C1071,Table1[#All],2,0)</f>
        <v>SONG THAN 2</v>
      </c>
      <c r="E1071" s="932" t="s">
        <v>201</v>
      </c>
      <c r="F1071" s="998" t="s">
        <v>80</v>
      </c>
      <c r="G1071" s="932" t="s">
        <v>307</v>
      </c>
      <c r="H1071" s="932" t="str">
        <f>VLOOKUP($C1071,Table1[#All],3,0)</f>
        <v>Subsidiaries</v>
      </c>
      <c r="I1071" s="932" t="str" cm="1">
        <f t="array" ref="I1071">_xlfn.XLOOKUP(Acc_Char!$E1071,Table4[[#All],[Branch]],Table4[[#All],[Bank]],"recheck",0)</f>
        <v>STANDARD CHARTERED</v>
      </c>
    </row>
    <row r="1072" spans="1:9">
      <c r="A1072" s="998">
        <f t="shared" si="16"/>
        <v>1069</v>
      </c>
      <c r="B1072" s="1004" t="s">
        <v>1022</v>
      </c>
      <c r="C1072" s="1000" t="s">
        <v>3300</v>
      </c>
      <c r="D1072" s="932" t="str">
        <f>VLOOKUP($C1072,Table1[#All],2,0)</f>
        <v>SONG THAN 2</v>
      </c>
      <c r="E1072" s="932" t="s">
        <v>201</v>
      </c>
      <c r="F1072" s="998" t="s">
        <v>81</v>
      </c>
      <c r="G1072" s="932" t="s">
        <v>307</v>
      </c>
      <c r="H1072" s="932" t="str">
        <f>VLOOKUP($C1072,Table1[#All],3,0)</f>
        <v>Subsidiaries</v>
      </c>
      <c r="I1072" s="932" t="str" cm="1">
        <f t="array" ref="I1072">_xlfn.XLOOKUP(Acc_Char!$E1072,Table4[[#All],[Branch]],Table4[[#All],[Bank]],"recheck",0)</f>
        <v>STANDARD CHARTERED</v>
      </c>
    </row>
    <row r="1073" spans="1:9">
      <c r="A1073" s="998">
        <f t="shared" si="16"/>
        <v>1070</v>
      </c>
      <c r="B1073" s="1004" t="s">
        <v>1023</v>
      </c>
      <c r="C1073" s="1000" t="s">
        <v>3300</v>
      </c>
      <c r="D1073" s="932" t="str">
        <f>VLOOKUP($C1073,Table1[#All],2,0)</f>
        <v>SONG THAN 2</v>
      </c>
      <c r="E1073" s="932" t="s">
        <v>201</v>
      </c>
      <c r="F1073" s="998" t="s">
        <v>80</v>
      </c>
      <c r="G1073" s="932" t="s">
        <v>308</v>
      </c>
      <c r="H1073" s="932" t="str">
        <f>VLOOKUP($C1073,Table1[#All],3,0)</f>
        <v>Subsidiaries</v>
      </c>
      <c r="I1073" s="932" t="str" cm="1">
        <f t="array" ref="I1073">_xlfn.XLOOKUP(Acc_Char!$E1073,Table4[[#All],[Branch]],Table4[[#All],[Bank]],"recheck",0)</f>
        <v>STANDARD CHARTERED</v>
      </c>
    </row>
    <row r="1074" spans="1:9">
      <c r="A1074" s="998">
        <f t="shared" si="16"/>
        <v>1071</v>
      </c>
      <c r="B1074" s="1004" t="s">
        <v>3662</v>
      </c>
      <c r="C1074" s="1000" t="s">
        <v>389</v>
      </c>
      <c r="D1074" s="932" t="str">
        <f>VLOOKUP($C1074,Table1[#All],2,0)</f>
        <v>BWID BINH DUONG</v>
      </c>
      <c r="E1074" s="932" t="s">
        <v>2886</v>
      </c>
      <c r="F1074" s="998" t="s">
        <v>81</v>
      </c>
      <c r="G1074" s="932" t="s">
        <v>308</v>
      </c>
      <c r="H1074" s="932" t="str">
        <f>VLOOKUP($C1074,Table1[#All],3,0)</f>
        <v>BWID JSC</v>
      </c>
      <c r="I1074" s="932" t="str" cm="1">
        <f t="array" ref="I1074">_xlfn.XLOOKUP(Acc_Char!$E3,Table4[[#All],[Branch]],Table4[[#All],[Bank]],"recheck",0)</f>
        <v>VIETINBANK - TIEN SON</v>
      </c>
    </row>
    <row r="1075" spans="1:9">
      <c r="A1075" s="998">
        <f t="shared" si="16"/>
        <v>1072</v>
      </c>
      <c r="B1075" s="1004" t="s">
        <v>1025</v>
      </c>
      <c r="C1075" s="1000" t="s">
        <v>3309</v>
      </c>
      <c r="D1075" s="932" t="str">
        <f>VLOOKUP($C1075,Table1[#All],2,0)</f>
        <v>LE MINH XUAN 3</v>
      </c>
      <c r="E1075" s="932" t="s">
        <v>201</v>
      </c>
      <c r="F1075" s="998" t="s">
        <v>80</v>
      </c>
      <c r="G1075" s="932" t="s">
        <v>307</v>
      </c>
      <c r="H1075" s="932" t="str">
        <f>VLOOKUP($C1075,Table1[#All],3,0)</f>
        <v>Subsidiaries</v>
      </c>
      <c r="I1075" s="932" t="str" cm="1">
        <f t="array" ref="I1075">_xlfn.XLOOKUP(Acc_Char!$E1075,Table4[[#All],[Branch]],Table4[[#All],[Bank]],"recheck",0)</f>
        <v>STANDARD CHARTERED</v>
      </c>
    </row>
    <row r="1076" spans="1:9">
      <c r="A1076" s="998">
        <f t="shared" si="16"/>
        <v>1073</v>
      </c>
      <c r="B1076" s="1004" t="s">
        <v>1026</v>
      </c>
      <c r="C1076" s="1000" t="s">
        <v>3309</v>
      </c>
      <c r="D1076" s="932" t="str">
        <f>VLOOKUP($C1076,Table1[#All],2,0)</f>
        <v>LE MINH XUAN 3</v>
      </c>
      <c r="E1076" s="932" t="s">
        <v>201</v>
      </c>
      <c r="F1076" s="998" t="s">
        <v>81</v>
      </c>
      <c r="G1076" s="932" t="s">
        <v>307</v>
      </c>
      <c r="H1076" s="932" t="str">
        <f>VLOOKUP($C1076,Table1[#All],3,0)</f>
        <v>Subsidiaries</v>
      </c>
      <c r="I1076" s="932" t="str" cm="1">
        <f t="array" ref="I1076">_xlfn.XLOOKUP(Acc_Char!$E1076,Table4[[#All],[Branch]],Table4[[#All],[Bank]],"recheck",0)</f>
        <v>STANDARD CHARTERED</v>
      </c>
    </row>
    <row r="1077" spans="1:9">
      <c r="A1077" s="998">
        <f t="shared" si="16"/>
        <v>1074</v>
      </c>
      <c r="B1077" s="1098" t="s">
        <v>496</v>
      </c>
      <c r="C1077" s="1000" t="s">
        <v>389</v>
      </c>
      <c r="D1077" s="932" t="str">
        <f>VLOOKUP($C1077,Table1[#All],2,0)</f>
        <v>BWID BINH DUONG</v>
      </c>
      <c r="E1077" s="932" t="s">
        <v>339</v>
      </c>
      <c r="F1077" s="998" t="s">
        <v>81</v>
      </c>
      <c r="G1077" s="932" t="s">
        <v>308</v>
      </c>
      <c r="H1077" s="932" t="str">
        <f>VLOOKUP($C1077,Table1[#All],3,0)</f>
        <v>BWID JSC</v>
      </c>
      <c r="I1077" s="932" t="str" cm="1">
        <f t="array" ref="I1077">_xlfn.XLOOKUP(Acc_Char!$E1077,Table4[[#All],[Branch]],Table4[[#All],[Bank]],"recheck",0)</f>
        <v>ACB - HCM</v>
      </c>
    </row>
    <row r="1078" spans="1:9">
      <c r="A1078" s="998">
        <f t="shared" si="16"/>
        <v>1075</v>
      </c>
      <c r="B1078" s="1004" t="s">
        <v>1029</v>
      </c>
      <c r="C1078" s="1000" t="s">
        <v>3323</v>
      </c>
      <c r="D1078" s="932" t="str">
        <f>VLOOKUP($C1078,Table1[#All],2,0)</f>
        <v>TAN DONG HIEP B ELECTRON</v>
      </c>
      <c r="E1078" s="932" t="s">
        <v>201</v>
      </c>
      <c r="F1078" s="998" t="s">
        <v>80</v>
      </c>
      <c r="G1078" s="932" t="s">
        <v>307</v>
      </c>
      <c r="H1078" s="932" t="str">
        <f>VLOOKUP($C1078,Table1[#All],3,0)</f>
        <v>Subsidiaries</v>
      </c>
      <c r="I1078" s="932" t="str" cm="1">
        <f t="array" ref="I1078">_xlfn.XLOOKUP(Acc_Char!$E1078,Table4[[#All],[Branch]],Table4[[#All],[Bank]],"recheck",0)</f>
        <v>STANDARD CHARTERED</v>
      </c>
    </row>
    <row r="1079" spans="1:9">
      <c r="A1079" s="998">
        <f t="shared" si="16"/>
        <v>1076</v>
      </c>
      <c r="B1079" s="1004" t="s">
        <v>1030</v>
      </c>
      <c r="C1079" s="1000" t="s">
        <v>3323</v>
      </c>
      <c r="D1079" s="932" t="str">
        <f>VLOOKUP($C1079,Table1[#All],2,0)</f>
        <v>TAN DONG HIEP B ELECTRON</v>
      </c>
      <c r="E1079" s="932" t="s">
        <v>201</v>
      </c>
      <c r="F1079" s="998" t="s">
        <v>81</v>
      </c>
      <c r="G1079" s="932" t="s">
        <v>307</v>
      </c>
      <c r="H1079" s="932" t="str">
        <f>VLOOKUP($C1079,Table1[#All],3,0)</f>
        <v>Subsidiaries</v>
      </c>
      <c r="I1079" s="932" t="str" cm="1">
        <f t="array" ref="I1079">_xlfn.XLOOKUP(Acc_Char!$E1079,Table4[[#All],[Branch]],Table4[[#All],[Bank]],"recheck",0)</f>
        <v>STANDARD CHARTERED</v>
      </c>
    </row>
    <row r="1080" spans="1:9">
      <c r="A1080" s="998">
        <f t="shared" si="16"/>
        <v>1077</v>
      </c>
      <c r="B1080" s="1004" t="s">
        <v>1031</v>
      </c>
      <c r="C1080" s="1000" t="s">
        <v>3323</v>
      </c>
      <c r="D1080" s="932" t="str">
        <f>VLOOKUP($C1080,Table1[#All],2,0)</f>
        <v>TAN DONG HIEP B ELECTRON</v>
      </c>
      <c r="E1080" s="932" t="s">
        <v>201</v>
      </c>
      <c r="F1080" s="998" t="s">
        <v>80</v>
      </c>
      <c r="G1080" s="932" t="s">
        <v>308</v>
      </c>
      <c r="H1080" s="932" t="str">
        <f>VLOOKUP($C1080,Table1[#All],3,0)</f>
        <v>Subsidiaries</v>
      </c>
      <c r="I1080" s="932" t="str" cm="1">
        <f t="array" ref="I1080">_xlfn.XLOOKUP(Acc_Char!$E1080,Table4[[#All],[Branch]],Table4[[#All],[Bank]],"recheck",0)</f>
        <v>STANDARD CHARTERED</v>
      </c>
    </row>
    <row r="1081" spans="1:9">
      <c r="A1081" s="998">
        <f>A1080+1</f>
        <v>1078</v>
      </c>
      <c r="B1081" s="1097" t="s">
        <v>605</v>
      </c>
      <c r="C1081" s="1003" t="s">
        <v>67</v>
      </c>
      <c r="D1081" s="999" t="str">
        <f>VLOOKUP($C1081,Table1[#All],2,0)</f>
        <v>SAO HOA</v>
      </c>
      <c r="E1081" s="999" t="s">
        <v>339</v>
      </c>
      <c r="F1081" s="1093" t="s">
        <v>81</v>
      </c>
      <c r="G1081" s="999" t="s">
        <v>308</v>
      </c>
      <c r="H1081" s="999" t="str">
        <f>VLOOKUP($C1081,Table1[#All],3,0)</f>
        <v>VC3</v>
      </c>
      <c r="I1081" s="932" t="str" cm="1">
        <f t="array" ref="I1081">_xlfn.XLOOKUP(Acc_Char!$E1081,Table4[[#All],[Branch]],Table4[[#All],[Bank]],"recheck",0)</f>
        <v>ACB - HCM</v>
      </c>
    </row>
    <row r="1082" spans="1:9">
      <c r="A1082" s="998">
        <f t="shared" si="16"/>
        <v>1079</v>
      </c>
      <c r="B1082" s="1004" t="s">
        <v>1033</v>
      </c>
      <c r="C1082" s="1000" t="s">
        <v>3216</v>
      </c>
      <c r="D1082" s="932" t="str">
        <f>VLOOKUP($C1082,Table1[#All],2,0)</f>
        <v>PHU AN THANH</v>
      </c>
      <c r="E1082" s="932" t="s">
        <v>191</v>
      </c>
      <c r="F1082" s="998" t="s">
        <v>80</v>
      </c>
      <c r="G1082" s="932" t="s">
        <v>308</v>
      </c>
      <c r="H1082" s="932" t="str">
        <f>VLOOKUP($C1082,Table1[#All],3,0)</f>
        <v>Subsidiaries</v>
      </c>
      <c r="I1082" s="932" t="str" cm="1">
        <f t="array" ref="I1082">_xlfn.XLOOKUP(Acc_Char!$E1082,Table4[[#All],[Branch]],Table4[[#All],[Bank]],"recheck",0)</f>
        <v>VIETINBANK - TPHCM</v>
      </c>
    </row>
    <row r="1083" spans="1:9">
      <c r="A1083" s="998">
        <f t="shared" si="16"/>
        <v>1080</v>
      </c>
      <c r="B1083" s="1004" t="s">
        <v>1034</v>
      </c>
      <c r="C1083" s="1000" t="s">
        <v>3277</v>
      </c>
      <c r="D1083" s="932" t="str">
        <f>VLOOKUP($C1083,Table1[#All],2,0)</f>
        <v>THUAN THANH 3B</v>
      </c>
      <c r="E1083" s="932" t="s">
        <v>89</v>
      </c>
      <c r="F1083" s="998" t="s">
        <v>80</v>
      </c>
      <c r="G1083" s="932" t="s">
        <v>308</v>
      </c>
      <c r="H1083" s="932" t="str">
        <f>VLOOKUP($C1083,Table1[#All],3,0)</f>
        <v>Subsidiaries</v>
      </c>
      <c r="I1083" s="932" t="str" cm="1">
        <f t="array" ref="I1083">_xlfn.XLOOKUP(Acc_Char!$E1083,Table4[[#All],[Branch]],Table4[[#All],[Bank]],"recheck",0)</f>
        <v>VIETCOMBANK - BA DINH</v>
      </c>
    </row>
    <row r="1084" spans="1:9">
      <c r="A1084" s="998">
        <f t="shared" si="16"/>
        <v>1081</v>
      </c>
      <c r="B1084" s="1004" t="s">
        <v>3663</v>
      </c>
      <c r="C1084" s="1000" t="s">
        <v>3572</v>
      </c>
      <c r="D1084" s="932" t="str">
        <f>VLOOKUP($C1084,Table1[#All],2,0)</f>
        <v>TAY NAM A</v>
      </c>
      <c r="E1084" s="932" t="s">
        <v>3664</v>
      </c>
      <c r="F1084" s="998" t="s">
        <v>80</v>
      </c>
      <c r="G1084" s="932" t="s">
        <v>308</v>
      </c>
      <c r="H1084" s="932" t="str">
        <f>VLOOKUP($C1084,Table1[#All],3,0)</f>
        <v>Subsidiaries</v>
      </c>
      <c r="I1084" s="932" t="str" cm="1">
        <f t="array" ref="I1084">_xlfn.XLOOKUP(Acc_Char!$E1084,Table4[[#All],[Branch]],Table4[[#All],[Bank]],"recheck",0)</f>
        <v>OTHERS</v>
      </c>
    </row>
    <row r="1085" spans="1:9">
      <c r="A1085" s="998">
        <f t="shared" si="16"/>
        <v>1082</v>
      </c>
      <c r="B1085" s="1004" t="s">
        <v>3665</v>
      </c>
      <c r="C1085" s="1000" t="s">
        <v>3237</v>
      </c>
      <c r="D1085" s="932" t="str">
        <f>VLOOKUP($C1085,Table1[#All],2,0)</f>
        <v>LONG BINH</v>
      </c>
      <c r="E1085" s="932" t="s">
        <v>86</v>
      </c>
      <c r="F1085" s="998" t="s">
        <v>80</v>
      </c>
      <c r="G1085" s="932" t="s">
        <v>310</v>
      </c>
      <c r="H1085" s="932" t="str">
        <f>VLOOKUP($C1085,Table1[#All],3,0)</f>
        <v>Subsidiaries</v>
      </c>
      <c r="I1085" s="932" t="str" cm="1">
        <f t="array" ref="I1085">_xlfn.XLOOKUP(Acc_Char!$E1085,Table4[[#All],[Branch]],Table4[[#All],[Bank]],"recheck",0)</f>
        <v>VIETINBANK - CN1</v>
      </c>
    </row>
    <row r="1086" spans="1:9">
      <c r="A1086" s="998">
        <f t="shared" si="16"/>
        <v>1083</v>
      </c>
      <c r="B1086" s="1004" t="s">
        <v>1037</v>
      </c>
      <c r="C1086" s="1000" t="s">
        <v>3093</v>
      </c>
      <c r="D1086" s="932" t="str">
        <f>VLOOKUP($C1086,Table1[#All],2,0)</f>
        <v>SONGTHAN LID</v>
      </c>
      <c r="E1086" s="932" t="s">
        <v>95</v>
      </c>
      <c r="F1086" s="998" t="s">
        <v>80</v>
      </c>
      <c r="G1086" s="932" t="s">
        <v>308</v>
      </c>
      <c r="H1086" s="932" t="str">
        <f>VLOOKUP($C1086,Table1[#All],3,0)</f>
        <v>Subsidiaries</v>
      </c>
      <c r="I1086" s="932" t="str" cm="1">
        <f t="array" ref="I1086">_xlfn.XLOOKUP(Acc_Char!$E1086,Table4[[#All],[Branch]],Table4[[#All],[Bank]],"recheck",0)</f>
        <v>OCB - BINH DUONG</v>
      </c>
    </row>
    <row r="1087" spans="1:9">
      <c r="A1087" s="998">
        <f t="shared" si="16"/>
        <v>1084</v>
      </c>
      <c r="B1087" s="1004" t="s">
        <v>1038</v>
      </c>
      <c r="C1087" s="1000" t="s">
        <v>426</v>
      </c>
      <c r="D1087" s="932" t="str">
        <f>VLOOKUP($C1087,Table1[#All],2,0)</f>
        <v>BAU BANG 5</v>
      </c>
      <c r="E1087" s="932" t="s">
        <v>95</v>
      </c>
      <c r="F1087" s="998" t="s">
        <v>80</v>
      </c>
      <c r="G1087" s="932" t="s">
        <v>308</v>
      </c>
      <c r="H1087" s="932" t="str">
        <f>VLOOKUP($C1087,Table1[#All],3,0)</f>
        <v>Subsidiaries</v>
      </c>
      <c r="I1087" s="932" t="str" cm="1">
        <f t="array" ref="I1087">_xlfn.XLOOKUP(Acc_Char!$E1087,Table4[[#All],[Branch]],Table4[[#All],[Bank]],"recheck",0)</f>
        <v>OCB - BINH DUONG</v>
      </c>
    </row>
    <row r="1088" spans="1:9">
      <c r="A1088" s="998">
        <f t="shared" si="16"/>
        <v>1085</v>
      </c>
      <c r="B1088" s="1004" t="s">
        <v>1039</v>
      </c>
      <c r="C1088" s="1000" t="s">
        <v>3272</v>
      </c>
      <c r="D1088" s="932" t="str">
        <f>VLOOKUP($C1088,Table1[#All],2,0)</f>
        <v>SUPPLY CHAIN 2A</v>
      </c>
      <c r="E1088" s="932" t="s">
        <v>95</v>
      </c>
      <c r="F1088" s="998" t="s">
        <v>80</v>
      </c>
      <c r="G1088" s="932" t="s">
        <v>308</v>
      </c>
      <c r="H1088" s="932" t="str">
        <f>VLOOKUP($C1088,Table1[#All],3,0)</f>
        <v>Subsidiaries</v>
      </c>
      <c r="I1088" s="932" t="str" cm="1">
        <f t="array" ref="I1088">_xlfn.XLOOKUP(Acc_Char!$E1088,Table4[[#All],[Branch]],Table4[[#All],[Bank]],"recheck",0)</f>
        <v>OCB - BINH DUONG</v>
      </c>
    </row>
    <row r="1089" spans="1:9">
      <c r="A1089" s="998">
        <f t="shared" si="16"/>
        <v>1086</v>
      </c>
      <c r="B1089" s="1004" t="s">
        <v>1040</v>
      </c>
      <c r="C1089" s="1000" t="s">
        <v>412</v>
      </c>
      <c r="D1089" s="932" t="str">
        <f>VLOOKUP($C1089,Table1[#All],2,0)</f>
        <v>DELIWAY</v>
      </c>
      <c r="E1089" s="932" t="s">
        <v>95</v>
      </c>
      <c r="F1089" s="998" t="s">
        <v>80</v>
      </c>
      <c r="G1089" s="932" t="s">
        <v>308</v>
      </c>
      <c r="H1089" s="932" t="str">
        <f>VLOOKUP($C1089,Table1[#All],3,0)</f>
        <v>Subsidiaries</v>
      </c>
      <c r="I1089" s="932" t="str" cm="1">
        <f t="array" ref="I1089">_xlfn.XLOOKUP(Acc_Char!$E1089,Table4[[#All],[Branch]],Table4[[#All],[Bank]],"recheck",0)</f>
        <v>OCB - BINH DUONG</v>
      </c>
    </row>
    <row r="1090" spans="1:9">
      <c r="A1090" s="998">
        <f t="shared" si="16"/>
        <v>1087</v>
      </c>
      <c r="B1090" s="1004" t="s">
        <v>1041</v>
      </c>
      <c r="C1090" s="1000" t="s">
        <v>428</v>
      </c>
      <c r="D1090" s="932" t="str">
        <f>VLOOKUP($C1090,Table1[#All],2,0)</f>
        <v>TAY HAI</v>
      </c>
      <c r="E1090" s="932" t="s">
        <v>95</v>
      </c>
      <c r="F1090" s="998" t="s">
        <v>80</v>
      </c>
      <c r="G1090" s="932" t="s">
        <v>308</v>
      </c>
      <c r="H1090" s="932" t="str">
        <f>VLOOKUP($C1090,Table1[#All],3,0)</f>
        <v>Subsidiaries</v>
      </c>
      <c r="I1090" s="932" t="str" cm="1">
        <f t="array" ref="I1090">_xlfn.XLOOKUP(Acc_Char!$E1090,Table4[[#All],[Branch]],Table4[[#All],[Bank]],"recheck",0)</f>
        <v>OCB - BINH DUONG</v>
      </c>
    </row>
    <row r="1091" spans="1:9">
      <c r="A1091" s="998">
        <f t="shared" si="16"/>
        <v>1088</v>
      </c>
      <c r="B1091" s="1004" t="s">
        <v>1042</v>
      </c>
      <c r="C1091" s="1000" t="s">
        <v>3516</v>
      </c>
      <c r="D1091" s="932" t="str">
        <f>VLOOKUP($C1091,Table1[#All],2,0)</f>
        <v>QV2 HOLDCO</v>
      </c>
      <c r="E1091" s="932" t="s">
        <v>95</v>
      </c>
      <c r="F1091" s="998" t="s">
        <v>80</v>
      </c>
      <c r="G1091" s="932" t="s">
        <v>308</v>
      </c>
      <c r="H1091" s="932" t="str">
        <f>VLOOKUP($C1091,Table1[#All],3,0)</f>
        <v>Subsidiaries</v>
      </c>
      <c r="I1091" s="932" t="str" cm="1">
        <f t="array" ref="I1091">_xlfn.XLOOKUP(Acc_Char!$E1091,Table4[[#All],[Branch]],Table4[[#All],[Bank]],"recheck",0)</f>
        <v>OCB - BINH DUONG</v>
      </c>
    </row>
    <row r="1092" spans="1:9">
      <c r="A1092" s="998">
        <f t="shared" si="16"/>
        <v>1089</v>
      </c>
      <c r="B1092" s="1004" t="s">
        <v>1043</v>
      </c>
      <c r="C1092" s="1000" t="s">
        <v>3042</v>
      </c>
      <c r="D1092" s="932" t="str">
        <f>VLOOKUP($C1092,Table1[#All],2,0)</f>
        <v>BW NEW CITY</v>
      </c>
      <c r="E1092" s="932" t="s">
        <v>95</v>
      </c>
      <c r="F1092" s="998" t="s">
        <v>80</v>
      </c>
      <c r="G1092" s="932" t="s">
        <v>308</v>
      </c>
      <c r="H1092" s="932" t="str">
        <f>VLOOKUP($C1092,Table1[#All],3,0)</f>
        <v>Subsidiaries</v>
      </c>
      <c r="I1092" s="932" t="str" cm="1">
        <f t="array" ref="I1092">_xlfn.XLOOKUP(Acc_Char!$E1092,Table4[[#All],[Branch]],Table4[[#All],[Bank]],"recheck",0)</f>
        <v>OCB - BINH DUONG</v>
      </c>
    </row>
    <row r="1093" spans="1:9">
      <c r="A1093" s="998">
        <f t="shared" ref="A1093:A1156" si="17">A1092+1</f>
        <v>1090</v>
      </c>
      <c r="B1093" s="1004" t="s">
        <v>1045</v>
      </c>
      <c r="C1093" s="1000" t="s">
        <v>67</v>
      </c>
      <c r="D1093" s="932" t="str">
        <f>VLOOKUP($C1093,Table1[#All],2,0)</f>
        <v>SAO HOA</v>
      </c>
      <c r="E1093" s="932" t="s">
        <v>1044</v>
      </c>
      <c r="F1093" s="998" t="s">
        <v>80</v>
      </c>
      <c r="G1093" s="932" t="s">
        <v>308</v>
      </c>
      <c r="H1093" s="932" t="str">
        <f>VLOOKUP($C1093,Table1[#All],3,0)</f>
        <v>VC3</v>
      </c>
      <c r="I1093" s="932" t="str" cm="1">
        <f t="array" ref="I1093">_xlfn.XLOOKUP(Acc_Char!$E1093,Table4[[#All],[Branch]],Table4[[#All],[Bank]],"recheck",0)</f>
        <v>OTHERS</v>
      </c>
    </row>
    <row r="1094" spans="1:9">
      <c r="A1094" s="998">
        <f t="shared" si="17"/>
        <v>1091</v>
      </c>
      <c r="B1094" s="1004" t="s">
        <v>3666</v>
      </c>
      <c r="C1094" s="1000" t="s">
        <v>67</v>
      </c>
      <c r="D1094" s="932" t="str">
        <f>VLOOKUP($C1094,Table1[#All],2,0)</f>
        <v>SAO HOA</v>
      </c>
      <c r="E1094" s="932" t="s">
        <v>1044</v>
      </c>
      <c r="F1094" s="998" t="s">
        <v>80</v>
      </c>
      <c r="G1094" s="932" t="s">
        <v>310</v>
      </c>
      <c r="H1094" s="932" t="str">
        <f>VLOOKUP($C1094,Table1[#All],3,0)</f>
        <v>VC3</v>
      </c>
      <c r="I1094" s="932" t="str" cm="1">
        <f t="array" ref="I1094">_xlfn.XLOOKUP(Acc_Char!$E1094,Table4[[#All],[Branch]],Table4[[#All],[Bank]],"recheck",0)</f>
        <v>OTHERS</v>
      </c>
    </row>
    <row r="1095" spans="1:9">
      <c r="A1095" s="998">
        <f t="shared" si="17"/>
        <v>1092</v>
      </c>
      <c r="B1095" s="1002" t="s">
        <v>1046</v>
      </c>
      <c r="C1095" s="1003" t="s">
        <v>3300</v>
      </c>
      <c r="D1095" s="932" t="str">
        <f>VLOOKUP($C1095,Table1[#All],2,0)</f>
        <v>SONG THAN 2</v>
      </c>
      <c r="E1095" s="999" t="s">
        <v>191</v>
      </c>
      <c r="F1095" s="998" t="s">
        <v>80</v>
      </c>
      <c r="G1095" s="932" t="s">
        <v>308</v>
      </c>
      <c r="H1095" s="932" t="str">
        <f>VLOOKUP($C1095,Table1[#All],3,0)</f>
        <v>Subsidiaries</v>
      </c>
      <c r="I1095" s="932" t="str" cm="1">
        <f t="array" ref="I1095">_xlfn.XLOOKUP(Acc_Char!$E1095,Table4[[#All],[Branch]],Table4[[#All],[Bank]],"recheck",0)</f>
        <v>VIETINBANK - TPHCM</v>
      </c>
    </row>
    <row r="1096" spans="1:9">
      <c r="A1096" s="998">
        <f t="shared" si="17"/>
        <v>1093</v>
      </c>
      <c r="B1096" s="1004" t="s">
        <v>1047</v>
      </c>
      <c r="C1096" s="1000" t="s">
        <v>3309</v>
      </c>
      <c r="D1096" s="932" t="str">
        <f>VLOOKUP($C1096,Table1[#All],2,0)</f>
        <v>LE MINH XUAN 3</v>
      </c>
      <c r="E1096" s="932" t="s">
        <v>191</v>
      </c>
      <c r="F1096" s="998" t="s">
        <v>80</v>
      </c>
      <c r="G1096" s="932" t="s">
        <v>308</v>
      </c>
      <c r="H1096" s="932" t="str">
        <f>VLOOKUP($C1096,Table1[#All],3,0)</f>
        <v>Subsidiaries</v>
      </c>
      <c r="I1096" s="932" t="str" cm="1">
        <f t="array" ref="I1096">_xlfn.XLOOKUP(Acc_Char!$E1096,Table4[[#All],[Branch]],Table4[[#All],[Bank]],"recheck",0)</f>
        <v>VIETINBANK - TPHCM</v>
      </c>
    </row>
    <row r="1097" spans="1:9">
      <c r="A1097" s="998">
        <f t="shared" si="17"/>
        <v>1094</v>
      </c>
      <c r="B1097" s="1004" t="s">
        <v>1048</v>
      </c>
      <c r="C1097" s="1000" t="s">
        <v>3323</v>
      </c>
      <c r="D1097" s="932" t="str">
        <f>VLOOKUP($C1097,Table1[#All],2,0)</f>
        <v>TAN DONG HIEP B ELECTRON</v>
      </c>
      <c r="E1097" s="932" t="s">
        <v>191</v>
      </c>
      <c r="F1097" s="998" t="s">
        <v>80</v>
      </c>
      <c r="G1097" s="932" t="s">
        <v>308</v>
      </c>
      <c r="H1097" s="932" t="str">
        <f>VLOOKUP($C1097,Table1[#All],3,0)</f>
        <v>Subsidiaries</v>
      </c>
      <c r="I1097" s="932" t="str" cm="1">
        <f t="array" ref="I1097">_xlfn.XLOOKUP(Acc_Char!$E1097,Table4[[#All],[Branch]],Table4[[#All],[Bank]],"recheck",0)</f>
        <v>VIETINBANK - TPHCM</v>
      </c>
    </row>
    <row r="1098" spans="1:9">
      <c r="A1098" s="998">
        <f t="shared" si="17"/>
        <v>1095</v>
      </c>
      <c r="B1098" s="1004" t="s">
        <v>1049</v>
      </c>
      <c r="C1098" s="1000" t="s">
        <v>414</v>
      </c>
      <c r="D1098" s="932" t="str">
        <f>VLOOKUP($C1098,Table1[#All],2,0)</f>
        <v>DEEP C 2B</v>
      </c>
      <c r="E1098" s="932" t="s">
        <v>191</v>
      </c>
      <c r="F1098" s="998" t="s">
        <v>80</v>
      </c>
      <c r="G1098" s="932" t="s">
        <v>308</v>
      </c>
      <c r="H1098" s="932" t="str">
        <f>VLOOKUP($C1098,Table1[#All],3,0)</f>
        <v>Subsidiaries</v>
      </c>
      <c r="I1098" s="932" t="str" cm="1">
        <f t="array" ref="I1098">_xlfn.XLOOKUP(Acc_Char!$E1098,Table4[[#All],[Branch]],Table4[[#All],[Bank]],"recheck",0)</f>
        <v>VIETINBANK - TPHCM</v>
      </c>
    </row>
    <row r="1099" spans="1:9">
      <c r="A1099" s="998">
        <f t="shared" si="17"/>
        <v>1096</v>
      </c>
      <c r="B1099" s="1004" t="s">
        <v>1050</v>
      </c>
      <c r="C1099" s="1000" t="s">
        <v>67</v>
      </c>
      <c r="D1099" s="932" t="str">
        <f>VLOOKUP($C1099,Table1[#All],2,0)</f>
        <v>SAO HOA</v>
      </c>
      <c r="E1099" s="932" t="s">
        <v>971</v>
      </c>
      <c r="F1099" s="998" t="s">
        <v>80</v>
      </c>
      <c r="G1099" s="932" t="s">
        <v>308</v>
      </c>
      <c r="H1099" s="932" t="str">
        <f>VLOOKUP($C1099,Table1[#All],3,0)</f>
        <v>VC3</v>
      </c>
      <c r="I1099" s="932" t="str" cm="1">
        <f t="array" ref="I1099">_xlfn.XLOOKUP(Acc_Char!$E1099,Table4[[#All],[Branch]],Table4[[#All],[Bank]],"recheck",0)</f>
        <v>OTHERS</v>
      </c>
    </row>
    <row r="1100" spans="1:9">
      <c r="A1100" s="998">
        <f t="shared" si="17"/>
        <v>1097</v>
      </c>
      <c r="B1100" s="1004" t="s">
        <v>1052</v>
      </c>
      <c r="C1100" s="1000" t="s">
        <v>389</v>
      </c>
      <c r="D1100" s="932" t="str">
        <f>VLOOKUP($C1100,Table1[#All],2,0)</f>
        <v>BWID BINH DUONG</v>
      </c>
      <c r="E1100" s="932" t="s">
        <v>1051</v>
      </c>
      <c r="F1100" s="998" t="s">
        <v>80</v>
      </c>
      <c r="G1100" s="932" t="s">
        <v>308</v>
      </c>
      <c r="H1100" s="932" t="str">
        <f>VLOOKUP($C1100,Table1[#All],3,0)</f>
        <v>BWID JSC</v>
      </c>
      <c r="I1100" s="932" t="str" cm="1">
        <f t="array" ref="I1100">_xlfn.XLOOKUP(Acc_Char!$E1100,Table4[[#All],[Branch]],Table4[[#All],[Bank]],"recheck",0)</f>
        <v>OTHERS</v>
      </c>
    </row>
    <row r="1101" spans="1:9">
      <c r="A1101" s="998">
        <f t="shared" si="17"/>
        <v>1098</v>
      </c>
      <c r="B1101" s="1004" t="s">
        <v>1053</v>
      </c>
      <c r="C1101" s="1000" t="s">
        <v>67</v>
      </c>
      <c r="D1101" s="932" t="str">
        <f>VLOOKUP($C1101,Table1[#All],2,0)</f>
        <v>SAO HOA</v>
      </c>
      <c r="E1101" s="932" t="s">
        <v>1051</v>
      </c>
      <c r="F1101" s="998" t="s">
        <v>80</v>
      </c>
      <c r="G1101" s="932" t="s">
        <v>308</v>
      </c>
      <c r="H1101" s="932" t="str">
        <f>VLOOKUP($C1101,Table1[#All],3,0)</f>
        <v>VC3</v>
      </c>
      <c r="I1101" s="932" t="str" cm="1">
        <f t="array" ref="I1101">_xlfn.XLOOKUP(Acc_Char!$E1101,Table4[[#All],[Branch]],Table4[[#All],[Bank]],"recheck",0)</f>
        <v>OTHERS</v>
      </c>
    </row>
    <row r="1102" spans="1:9">
      <c r="A1102" s="998">
        <f t="shared" si="17"/>
        <v>1099</v>
      </c>
      <c r="B1102" s="1004" t="s">
        <v>1054</v>
      </c>
      <c r="C1102" s="1000" t="s">
        <v>67</v>
      </c>
      <c r="D1102" s="932" t="str">
        <f>VLOOKUP($C1102,Table1[#All],2,0)</f>
        <v>SAO HOA</v>
      </c>
      <c r="E1102" s="932" t="s">
        <v>88</v>
      </c>
      <c r="F1102" s="998" t="s">
        <v>80</v>
      </c>
      <c r="G1102" s="932" t="s">
        <v>308</v>
      </c>
      <c r="H1102" s="932" t="str">
        <f>VLOOKUP($C1102,Table1[#All],3,0)</f>
        <v>VC3</v>
      </c>
      <c r="I1102" s="932" t="str" cm="1">
        <f t="array" ref="I1102">_xlfn.XLOOKUP(Acc_Char!$E1102,Table4[[#All],[Branch]],Table4[[#All],[Bank]],"recheck",0)</f>
        <v>VIETINBANK - DONG SAI GON</v>
      </c>
    </row>
    <row r="1103" spans="1:9">
      <c r="A1103" s="998">
        <f t="shared" si="17"/>
        <v>1100</v>
      </c>
      <c r="B1103" s="1004" t="s">
        <v>3667</v>
      </c>
      <c r="C1103" s="1000" t="s">
        <v>3250</v>
      </c>
      <c r="D1103" s="932" t="str">
        <f>VLOOKUP($C1103,Table1[#All],2,0)</f>
        <v>BW MY PHUOC 3</v>
      </c>
      <c r="E1103" s="932" t="s">
        <v>153</v>
      </c>
      <c r="F1103" s="998" t="s">
        <v>80</v>
      </c>
      <c r="G1103" s="932" t="s">
        <v>310</v>
      </c>
      <c r="H1103" s="932" t="str">
        <f>VLOOKUP($C1103,Table1[#All],3,0)</f>
        <v>Subsidiaries</v>
      </c>
      <c r="I1103" s="932" t="str" cm="1">
        <f t="array" ref="I1103">_xlfn.XLOOKUP(Acc_Char!$E1103,Table4[[#All],[Branch]],Table4[[#All],[Bank]],"recheck",0)</f>
        <v>VIETINBANK - BINH DUONG + QM</v>
      </c>
    </row>
    <row r="1104" spans="1:9">
      <c r="A1104" s="998">
        <f t="shared" si="17"/>
        <v>1101</v>
      </c>
      <c r="B1104" s="1004" t="s">
        <v>1055</v>
      </c>
      <c r="C1104" s="1000" t="s">
        <v>3300</v>
      </c>
      <c r="D1104" s="932" t="str">
        <f>VLOOKUP($C1104,Table1[#All],2,0)</f>
        <v>SONG THAN 2</v>
      </c>
      <c r="E1104" s="932" t="s">
        <v>191</v>
      </c>
      <c r="F1104" s="998" t="s">
        <v>80</v>
      </c>
      <c r="G1104" s="932" t="s">
        <v>310</v>
      </c>
      <c r="H1104" s="932" t="str">
        <f>VLOOKUP($C1104,Table1[#All],3,0)</f>
        <v>Subsidiaries</v>
      </c>
      <c r="I1104" s="932" t="str" cm="1">
        <f t="array" ref="I1104">_xlfn.XLOOKUP(Acc_Char!$E1104,Table4[[#All],[Branch]],Table4[[#All],[Bank]],"recheck",0)</f>
        <v>VIETINBANK - TPHCM</v>
      </c>
    </row>
    <row r="1105" spans="1:9">
      <c r="A1105" s="998">
        <f t="shared" si="17"/>
        <v>1102</v>
      </c>
      <c r="B1105" s="1004" t="s">
        <v>3668</v>
      </c>
      <c r="C1105" s="1000" t="s">
        <v>3323</v>
      </c>
      <c r="D1105" s="932" t="str">
        <f>VLOOKUP($C1105,Table1[#All],2,0)</f>
        <v>TAN DONG HIEP B ELECTRON</v>
      </c>
      <c r="E1105" s="932" t="s">
        <v>191</v>
      </c>
      <c r="F1105" s="998" t="s">
        <v>80</v>
      </c>
      <c r="G1105" s="932" t="s">
        <v>310</v>
      </c>
      <c r="H1105" s="932" t="str">
        <f>VLOOKUP($C1105,Table1[#All],3,0)</f>
        <v>Subsidiaries</v>
      </c>
      <c r="I1105" s="932" t="str" cm="1">
        <f t="array" ref="I1105">_xlfn.XLOOKUP(Acc_Char!$E1105,Table4[[#All],[Branch]],Table4[[#All],[Bank]],"recheck",0)</f>
        <v>VIETINBANK - TPHCM</v>
      </c>
    </row>
    <row r="1106" spans="1:9">
      <c r="A1106" s="998">
        <f t="shared" si="17"/>
        <v>1103</v>
      </c>
      <c r="B1106" s="1004" t="s">
        <v>1056</v>
      </c>
      <c r="C1106" s="1000" t="s">
        <v>3249</v>
      </c>
      <c r="D1106" s="932" t="str">
        <f>VLOOKUP($C1106,Table1[#All],2,0)</f>
        <v>WINLOCK 2B</v>
      </c>
      <c r="E1106" s="932" t="s">
        <v>85</v>
      </c>
      <c r="F1106" s="998" t="s">
        <v>80</v>
      </c>
      <c r="G1106" s="932" t="s">
        <v>310</v>
      </c>
      <c r="H1106" s="932" t="str">
        <f>VLOOKUP($C1106,Table1[#All],3,0)</f>
        <v>Subsidiaries</v>
      </c>
      <c r="I1106" s="932" t="str" cm="1">
        <f t="array" ref="I1106">_xlfn.XLOOKUP(Acc_Char!$E1106,Table4[[#All],[Branch]],Table4[[#All],[Bank]],"recheck",0)</f>
        <v>VIETINBANK - TIEN SON</v>
      </c>
    </row>
    <row r="1107" spans="1:9">
      <c r="A1107" s="998">
        <f t="shared" si="17"/>
        <v>1104</v>
      </c>
      <c r="B1107" s="1004" t="s">
        <v>3669</v>
      </c>
      <c r="C1107" s="1000" t="s">
        <v>2888</v>
      </c>
      <c r="D1107" s="932" t="str">
        <f>VLOOKUP($C1107,Table1[#All],2,0)</f>
        <v>BWID HAI DUONG</v>
      </c>
      <c r="E1107" s="932" t="s">
        <v>85</v>
      </c>
      <c r="F1107" s="998" t="s">
        <v>80</v>
      </c>
      <c r="G1107" s="932" t="s">
        <v>310</v>
      </c>
      <c r="H1107" s="932" t="str">
        <f>VLOOKUP($C1107,Table1[#All],3,0)</f>
        <v>Subsidiaries</v>
      </c>
      <c r="I1107" s="932" t="str" cm="1">
        <f t="array" ref="I1107">_xlfn.XLOOKUP(Acc_Char!$E1107,Table4[[#All],[Branch]],Table4[[#All],[Bank]],"recheck",0)</f>
        <v>VIETINBANK - TIEN SON</v>
      </c>
    </row>
    <row r="1108" spans="1:9">
      <c r="A1108" s="998">
        <f t="shared" si="17"/>
        <v>1105</v>
      </c>
      <c r="B1108" s="1004" t="s">
        <v>3670</v>
      </c>
      <c r="C1108" s="1000" t="s">
        <v>67</v>
      </c>
      <c r="D1108" s="932" t="str">
        <f>VLOOKUP($C1108,Table1[#All],2,0)</f>
        <v>SAO HOA</v>
      </c>
      <c r="E1108" s="932" t="s">
        <v>153</v>
      </c>
      <c r="F1108" s="998" t="s">
        <v>80</v>
      </c>
      <c r="G1108" s="932" t="s">
        <v>310</v>
      </c>
      <c r="H1108" s="932" t="str">
        <f>VLOOKUP($C1108,Table1[#All],3,0)</f>
        <v>VC3</v>
      </c>
      <c r="I1108" s="932" t="str" cm="1">
        <f t="array" ref="I1108">_xlfn.XLOOKUP(Acc_Char!$E1108,Table4[[#All],[Branch]],Table4[[#All],[Bank]],"recheck",0)</f>
        <v>VIETINBANK - BINH DUONG + QM</v>
      </c>
    </row>
    <row r="1109" spans="1:9">
      <c r="A1109" s="998">
        <f t="shared" si="17"/>
        <v>1106</v>
      </c>
      <c r="B1109" s="1004" t="s">
        <v>3671</v>
      </c>
      <c r="C1109" s="1000" t="s">
        <v>67</v>
      </c>
      <c r="D1109" s="932" t="str">
        <f>VLOOKUP($C1109,Table1[#All],2,0)</f>
        <v>SAO HOA</v>
      </c>
      <c r="E1109" s="932" t="s">
        <v>153</v>
      </c>
      <c r="F1109" s="998" t="s">
        <v>80</v>
      </c>
      <c r="G1109" s="932" t="s">
        <v>310</v>
      </c>
      <c r="H1109" s="932" t="str">
        <f>VLOOKUP($C1109,Table1[#All],3,0)</f>
        <v>VC3</v>
      </c>
      <c r="I1109" s="932" t="str" cm="1">
        <f t="array" ref="I1109">_xlfn.XLOOKUP(Acc_Char!$E1109,Table4[[#All],[Branch]],Table4[[#All],[Bank]],"recheck",0)</f>
        <v>VIETINBANK - BINH DUONG + QM</v>
      </c>
    </row>
    <row r="1110" spans="1:9">
      <c r="A1110" s="998">
        <f t="shared" si="17"/>
        <v>1107</v>
      </c>
      <c r="B1110" s="1004" t="s">
        <v>3672</v>
      </c>
      <c r="C1110" s="1000" t="s">
        <v>67</v>
      </c>
      <c r="D1110" s="932" t="str">
        <f>VLOOKUP($C1110,Table1[#All],2,0)</f>
        <v>SAO HOA</v>
      </c>
      <c r="E1110" s="932" t="s">
        <v>85</v>
      </c>
      <c r="F1110" s="998" t="s">
        <v>80</v>
      </c>
      <c r="G1110" s="932" t="s">
        <v>310</v>
      </c>
      <c r="H1110" s="932" t="str">
        <f>VLOOKUP($C1110,Table1[#All],3,0)</f>
        <v>VC3</v>
      </c>
      <c r="I1110" s="932" t="str" cm="1">
        <f t="array" ref="I1110">_xlfn.XLOOKUP(Acc_Char!$E1110,Table4[[#All],[Branch]],Table4[[#All],[Bank]],"recheck",0)</f>
        <v>VIETINBANK - TIEN SON</v>
      </c>
    </row>
    <row r="1111" spans="1:9">
      <c r="A1111" s="998">
        <f t="shared" si="17"/>
        <v>1108</v>
      </c>
      <c r="B1111" s="1004" t="s">
        <v>3673</v>
      </c>
      <c r="C1111" s="1000" t="s">
        <v>67</v>
      </c>
      <c r="D1111" s="932" t="str">
        <f>VLOOKUP($C1111,Table1[#All],2,0)</f>
        <v>SAO HOA</v>
      </c>
      <c r="E1111" s="932" t="s">
        <v>191</v>
      </c>
      <c r="F1111" s="998" t="s">
        <v>80</v>
      </c>
      <c r="G1111" s="932" t="s">
        <v>310</v>
      </c>
      <c r="H1111" s="932" t="str">
        <f>VLOOKUP($C1111,Table1[#All],3,0)</f>
        <v>VC3</v>
      </c>
      <c r="I1111" s="932" t="str" cm="1">
        <f t="array" ref="I1111">_xlfn.XLOOKUP(Acc_Char!$E1111,Table4[[#All],[Branch]],Table4[[#All],[Bank]],"recheck",0)</f>
        <v>VIETINBANK - TPHCM</v>
      </c>
    </row>
    <row r="1112" spans="1:9">
      <c r="A1112" s="998">
        <f t="shared" si="17"/>
        <v>1109</v>
      </c>
      <c r="B1112" s="1004" t="s">
        <v>3674</v>
      </c>
      <c r="C1112" s="1000" t="s">
        <v>67</v>
      </c>
      <c r="D1112" s="932" t="str">
        <f>VLOOKUP($C1112,Table1[#All],2,0)</f>
        <v>SAO HOA</v>
      </c>
      <c r="E1112" s="932" t="s">
        <v>88</v>
      </c>
      <c r="F1112" s="998" t="s">
        <v>80</v>
      </c>
      <c r="G1112" s="932" t="s">
        <v>310</v>
      </c>
      <c r="H1112" s="932" t="str">
        <f>VLOOKUP($C1112,Table1[#All],3,0)</f>
        <v>VC3</v>
      </c>
      <c r="I1112" s="932" t="str" cm="1">
        <f t="array" ref="I1112">_xlfn.XLOOKUP(Acc_Char!$E1112,Table4[[#All],[Branch]],Table4[[#All],[Bank]],"recheck",0)</f>
        <v>VIETINBANK - DONG SAI GON</v>
      </c>
    </row>
    <row r="1113" spans="1:9">
      <c r="A1113" s="998">
        <f t="shared" si="17"/>
        <v>1110</v>
      </c>
      <c r="B1113" s="1004" t="s">
        <v>3675</v>
      </c>
      <c r="C1113" s="1000" t="s">
        <v>67</v>
      </c>
      <c r="D1113" s="932" t="str">
        <f>VLOOKUP($C1113,Table1[#All],2,0)</f>
        <v>SAO HOA</v>
      </c>
      <c r="E1113" s="932" t="s">
        <v>155</v>
      </c>
      <c r="F1113" s="998" t="s">
        <v>80</v>
      </c>
      <c r="G1113" s="932" t="s">
        <v>310</v>
      </c>
      <c r="H1113" s="932" t="str">
        <f>VLOOKUP($C1113,Table1[#All],3,0)</f>
        <v>VC3</v>
      </c>
      <c r="I1113" s="932" t="str" cm="1">
        <f t="array" ref="I1113">_xlfn.XLOOKUP(Acc_Char!$E1113,Table4[[#All],[Branch]],Table4[[#All],[Bank]],"recheck",0)</f>
        <v>VIETINBANK - BINH DUONG + QM</v>
      </c>
    </row>
    <row r="1114" spans="1:9">
      <c r="A1114" s="998">
        <f t="shared" si="17"/>
        <v>1111</v>
      </c>
      <c r="B1114" s="1004" t="s">
        <v>3676</v>
      </c>
      <c r="C1114" s="1000" t="s">
        <v>389</v>
      </c>
      <c r="D1114" s="932" t="str">
        <f>VLOOKUP($C1114,Table1[#All],2,0)</f>
        <v>BWID BINH DUONG</v>
      </c>
      <c r="E1114" s="932" t="s">
        <v>92</v>
      </c>
      <c r="F1114" s="998" t="s">
        <v>80</v>
      </c>
      <c r="G1114" s="932" t="s">
        <v>310</v>
      </c>
      <c r="H1114" s="932" t="str">
        <f>VLOOKUP($C1114,Table1[#All],3,0)</f>
        <v>BWID JSC</v>
      </c>
      <c r="I1114" s="932" t="str" cm="1">
        <f t="array" ref="I1114">_xlfn.XLOOKUP(Acc_Char!$E1114,Table4[[#All],[Branch]],Table4[[#All],[Bank]],"recheck",0)</f>
        <v>BIDV - THANH XUAN</v>
      </c>
    </row>
    <row r="1115" spans="1:9">
      <c r="A1115" s="998">
        <f t="shared" si="17"/>
        <v>1112</v>
      </c>
      <c r="B1115" s="1004" t="s">
        <v>3677</v>
      </c>
      <c r="C1115" s="1000" t="s">
        <v>67</v>
      </c>
      <c r="D1115" s="932" t="str">
        <f>VLOOKUP($C1115,Table1[#All],2,0)</f>
        <v>SAO HOA</v>
      </c>
      <c r="E1115" s="932" t="s">
        <v>92</v>
      </c>
      <c r="F1115" s="998" t="s">
        <v>80</v>
      </c>
      <c r="G1115" s="932" t="s">
        <v>310</v>
      </c>
      <c r="H1115" s="932" t="str">
        <f>VLOOKUP($C1115,Table1[#All],3,0)</f>
        <v>VC3</v>
      </c>
      <c r="I1115" s="932" t="str" cm="1">
        <f t="array" ref="I1115">_xlfn.XLOOKUP(Acc_Char!$E1115,Table4[[#All],[Branch]],Table4[[#All],[Bank]],"recheck",0)</f>
        <v>BIDV - THANH XUAN</v>
      </c>
    </row>
    <row r="1116" spans="1:9">
      <c r="A1116" s="998">
        <f t="shared" si="17"/>
        <v>1113</v>
      </c>
      <c r="B1116" s="1004" t="s">
        <v>3678</v>
      </c>
      <c r="C1116" s="1000" t="s">
        <v>67</v>
      </c>
      <c r="D1116" s="932" t="str">
        <f>VLOOKUP($C1116,Table1[#All],2,0)</f>
        <v>SAO HOA</v>
      </c>
      <c r="E1116" s="932" t="s">
        <v>89</v>
      </c>
      <c r="F1116" s="998" t="s">
        <v>80</v>
      </c>
      <c r="G1116" s="932" t="s">
        <v>310</v>
      </c>
      <c r="H1116" s="932" t="str">
        <f>VLOOKUP($C1116,Table1[#All],3,0)</f>
        <v>VC3</v>
      </c>
      <c r="I1116" s="932" t="str" cm="1">
        <f t="array" ref="I1116">_xlfn.XLOOKUP(Acc_Char!$E1116,Table4[[#All],[Branch]],Table4[[#All],[Bank]],"recheck",0)</f>
        <v>VIETCOMBANK - BA DINH</v>
      </c>
    </row>
    <row r="1117" spans="1:9">
      <c r="A1117" s="998">
        <f t="shared" si="17"/>
        <v>1114</v>
      </c>
      <c r="B1117" s="1004" t="s">
        <v>3679</v>
      </c>
      <c r="C1117" s="1000" t="s">
        <v>67</v>
      </c>
      <c r="D1117" s="932" t="str">
        <f>VLOOKUP($C1117,Table1[#All],2,0)</f>
        <v>SAO HOA</v>
      </c>
      <c r="E1117" s="932" t="s">
        <v>91</v>
      </c>
      <c r="F1117" s="998" t="s">
        <v>80</v>
      </c>
      <c r="G1117" s="932" t="s">
        <v>310</v>
      </c>
      <c r="H1117" s="932" t="str">
        <f>VLOOKUP($C1117,Table1[#All],3,0)</f>
        <v>VC3</v>
      </c>
      <c r="I1117" s="932" t="str" cm="1">
        <f t="array" ref="I1117">_xlfn.XLOOKUP(Acc_Char!$E1117,Table4[[#All],[Branch]],Table4[[#All],[Bank]],"recheck",0)</f>
        <v>VIETCOMBANK - HCM</v>
      </c>
    </row>
    <row r="1118" spans="1:9">
      <c r="A1118" s="998">
        <f t="shared" si="17"/>
        <v>1115</v>
      </c>
      <c r="B1118" s="1004" t="s">
        <v>3680</v>
      </c>
      <c r="C1118" s="1000" t="s">
        <v>2998</v>
      </c>
      <c r="D1118" s="932" t="str">
        <f>VLOOKUP($C1118,Table1[#All],2,0)</f>
        <v>BWID THOI HOA 2</v>
      </c>
      <c r="E1118" s="932" t="s">
        <v>95</v>
      </c>
      <c r="F1118" s="998" t="s">
        <v>80</v>
      </c>
      <c r="G1118" s="932" t="s">
        <v>310</v>
      </c>
      <c r="H1118" s="932" t="str">
        <f>VLOOKUP($C1118,Table1[#All],3,0)</f>
        <v>Subsidiaries</v>
      </c>
      <c r="I1118" s="932" t="str" cm="1">
        <f t="array" ref="I1118">_xlfn.XLOOKUP(Acc_Char!$E1118,Table4[[#All],[Branch]],Table4[[#All],[Bank]],"recheck",0)</f>
        <v>OCB - BINH DUONG</v>
      </c>
    </row>
    <row r="1119" spans="1:9">
      <c r="A1119" s="998">
        <f t="shared" si="17"/>
        <v>1116</v>
      </c>
      <c r="B1119" s="1004" t="s">
        <v>3681</v>
      </c>
      <c r="C1119" s="1000" t="s">
        <v>67</v>
      </c>
      <c r="D1119" s="932" t="str">
        <f>VLOOKUP($C1119,Table1[#All],2,0)</f>
        <v>SAO HOA</v>
      </c>
      <c r="E1119" s="932" t="s">
        <v>971</v>
      </c>
      <c r="F1119" s="998" t="s">
        <v>80</v>
      </c>
      <c r="G1119" s="932" t="s">
        <v>310</v>
      </c>
      <c r="H1119" s="932" t="str">
        <f>VLOOKUP($C1119,Table1[#All],3,0)</f>
        <v>VC3</v>
      </c>
      <c r="I1119" s="932" t="str" cm="1">
        <f t="array" ref="I1119">_xlfn.XLOOKUP(Acc_Char!$E1119,Table4[[#All],[Branch]],Table4[[#All],[Bank]],"recheck",0)</f>
        <v>OTHERS</v>
      </c>
    </row>
    <row r="1120" spans="1:9">
      <c r="A1120" s="998">
        <f t="shared" si="17"/>
        <v>1117</v>
      </c>
      <c r="B1120" s="1004" t="s">
        <v>3682</v>
      </c>
      <c r="C1120" s="1000" t="s">
        <v>67</v>
      </c>
      <c r="D1120" s="932" t="str">
        <f>VLOOKUP($C1120,Table1[#All],2,0)</f>
        <v>SAO HOA</v>
      </c>
      <c r="E1120" s="932" t="s">
        <v>971</v>
      </c>
      <c r="F1120" s="998" t="s">
        <v>80</v>
      </c>
      <c r="G1120" s="932" t="s">
        <v>310</v>
      </c>
      <c r="H1120" s="932" t="str">
        <f>VLOOKUP($C1120,Table1[#All],3,0)</f>
        <v>VC3</v>
      </c>
      <c r="I1120" s="932" t="str" cm="1">
        <f t="array" ref="I1120">_xlfn.XLOOKUP(Acc_Char!$E1120,Table4[[#All],[Branch]],Table4[[#All],[Bank]],"recheck",0)</f>
        <v>OTHERS</v>
      </c>
    </row>
    <row r="1121" spans="1:9">
      <c r="A1121" s="998">
        <f t="shared" si="17"/>
        <v>1118</v>
      </c>
      <c r="B1121" s="1004" t="s">
        <v>3683</v>
      </c>
      <c r="C1121" s="1000" t="s">
        <v>67</v>
      </c>
      <c r="D1121" s="932" t="str">
        <f>VLOOKUP($C1121,Table1[#All],2,0)</f>
        <v>SAO HOA</v>
      </c>
      <c r="E1121" s="932" t="s">
        <v>98</v>
      </c>
      <c r="F1121" s="998" t="s">
        <v>80</v>
      </c>
      <c r="G1121" s="932" t="s">
        <v>310</v>
      </c>
      <c r="H1121" s="932" t="str">
        <f>VLOOKUP($C1121,Table1[#All],3,0)</f>
        <v>VC3</v>
      </c>
      <c r="I1121" s="932" t="str" cm="1">
        <f t="array" ref="I1121">_xlfn.XLOOKUP(Acc_Char!$E1121,Table4[[#All],[Branch]],Table4[[#All],[Bank]],"recheck",0)</f>
        <v>SINOPAC</v>
      </c>
    </row>
    <row r="1122" spans="1:9">
      <c r="A1122" s="998">
        <f t="shared" si="17"/>
        <v>1119</v>
      </c>
      <c r="B1122" s="1004" t="s">
        <v>3684</v>
      </c>
      <c r="C1122" s="1000" t="s">
        <v>389</v>
      </c>
      <c r="D1122" s="932" t="str">
        <f>VLOOKUP($C1122,Table1[#All],2,0)</f>
        <v>BWID BINH DUONG</v>
      </c>
      <c r="E1122" s="932" t="s">
        <v>1051</v>
      </c>
      <c r="F1122" s="998" t="s">
        <v>80</v>
      </c>
      <c r="G1122" s="932" t="s">
        <v>310</v>
      </c>
      <c r="H1122" s="932" t="str">
        <f>VLOOKUP($C1122,Table1[#All],3,0)</f>
        <v>BWID JSC</v>
      </c>
      <c r="I1122" s="932" t="str" cm="1">
        <f t="array" ref="I1122">_xlfn.XLOOKUP(Acc_Char!$E1122,Table4[[#All],[Branch]],Table4[[#All],[Bank]],"recheck",0)</f>
        <v>OTHERS</v>
      </c>
    </row>
    <row r="1123" spans="1:9">
      <c r="A1123" s="998">
        <f t="shared" si="17"/>
        <v>1120</v>
      </c>
      <c r="B1123" s="1004" t="s">
        <v>3685</v>
      </c>
      <c r="C1123" s="1000" t="s">
        <v>67</v>
      </c>
      <c r="D1123" s="932" t="str">
        <f>VLOOKUP($C1123,Table1[#All],2,0)</f>
        <v>SAO HOA</v>
      </c>
      <c r="E1123" s="932" t="s">
        <v>1051</v>
      </c>
      <c r="F1123" s="998" t="s">
        <v>80</v>
      </c>
      <c r="G1123" s="932" t="s">
        <v>310</v>
      </c>
      <c r="H1123" s="932" t="str">
        <f>VLOOKUP($C1123,Table1[#All],3,0)</f>
        <v>VC3</v>
      </c>
      <c r="I1123" s="932" t="str" cm="1">
        <f t="array" ref="I1123">_xlfn.XLOOKUP(Acc_Char!$E1123,Table4[[#All],[Branch]],Table4[[#All],[Bank]],"recheck",0)</f>
        <v>OTHERS</v>
      </c>
    </row>
    <row r="1124" spans="1:9">
      <c r="A1124" s="998">
        <f t="shared" si="17"/>
        <v>1121</v>
      </c>
      <c r="B1124" s="1004" t="s">
        <v>3686</v>
      </c>
      <c r="C1124" s="1000" t="s">
        <v>67</v>
      </c>
      <c r="D1124" s="932" t="str">
        <f>VLOOKUP($C1124,Table1[#All],2,0)</f>
        <v>SAO HOA</v>
      </c>
      <c r="E1124" s="932" t="s">
        <v>1044</v>
      </c>
      <c r="F1124" s="998" t="s">
        <v>80</v>
      </c>
      <c r="G1124" s="932" t="s">
        <v>310</v>
      </c>
      <c r="H1124" s="932" t="str">
        <f>VLOOKUP($C1124,Table1[#All],3,0)</f>
        <v>VC3</v>
      </c>
      <c r="I1124" s="932" t="str" cm="1">
        <f t="array" ref="I1124">_xlfn.XLOOKUP(Acc_Char!$E1124,Table4[[#All],[Branch]],Table4[[#All],[Bank]],"recheck",0)</f>
        <v>OTHERS</v>
      </c>
    </row>
    <row r="1125" spans="1:9">
      <c r="A1125" s="998">
        <f t="shared" si="17"/>
        <v>1122</v>
      </c>
      <c r="B1125" s="1004" t="s">
        <v>3687</v>
      </c>
      <c r="C1125" s="1000" t="s">
        <v>2980</v>
      </c>
      <c r="D1125" s="932" t="str">
        <f>VLOOKUP($C1125,Table1[#All],2,0)</f>
        <v>BWID THOI HOA</v>
      </c>
      <c r="E1125" s="932" t="s">
        <v>85</v>
      </c>
      <c r="F1125" s="998" t="s">
        <v>80</v>
      </c>
      <c r="G1125" s="932" t="s">
        <v>310</v>
      </c>
      <c r="H1125" s="932" t="str">
        <f>VLOOKUP($C1125,Table1[#All],3,0)</f>
        <v>Subsidiaries</v>
      </c>
      <c r="I1125" s="932" t="str" cm="1">
        <f t="array" ref="I1125">_xlfn.XLOOKUP(Acc_Char!$E1125,Table4[[#All],[Branch]],Table4[[#All],[Bank]],"recheck",0)</f>
        <v>VIETINBANK - TIEN SON</v>
      </c>
    </row>
    <row r="1126" spans="1:9">
      <c r="A1126" s="998">
        <f t="shared" si="17"/>
        <v>1123</v>
      </c>
      <c r="B1126" s="1004" t="s">
        <v>3688</v>
      </c>
      <c r="C1126" s="1000" t="s">
        <v>2998</v>
      </c>
      <c r="D1126" s="932" t="str">
        <f>VLOOKUP($C1126,Table1[#All],2,0)</f>
        <v>BWID THOI HOA 2</v>
      </c>
      <c r="E1126" s="932" t="s">
        <v>85</v>
      </c>
      <c r="F1126" s="998" t="s">
        <v>80</v>
      </c>
      <c r="G1126" s="932" t="s">
        <v>310</v>
      </c>
      <c r="H1126" s="932" t="str">
        <f>VLOOKUP($C1126,Table1[#All],3,0)</f>
        <v>Subsidiaries</v>
      </c>
      <c r="I1126" s="932" t="str" cm="1">
        <f t="array" ref="I1126">_xlfn.XLOOKUP(Acc_Char!$E1126,Table4[[#All],[Branch]],Table4[[#All],[Bank]],"recheck",0)</f>
        <v>VIETINBANK - TIEN SON</v>
      </c>
    </row>
    <row r="1127" spans="1:9">
      <c r="A1127" s="998">
        <f t="shared" si="17"/>
        <v>1124</v>
      </c>
      <c r="B1127" s="1004" t="s">
        <v>3689</v>
      </c>
      <c r="C1127" s="1000" t="s">
        <v>389</v>
      </c>
      <c r="D1127" s="932" t="str">
        <f>VLOOKUP($C1127,Table1[#All],2,0)</f>
        <v>BWID BINH DUONG</v>
      </c>
      <c r="E1127" s="932" t="s">
        <v>98</v>
      </c>
      <c r="F1127" s="998" t="s">
        <v>80</v>
      </c>
      <c r="G1127" s="932" t="s">
        <v>310</v>
      </c>
      <c r="H1127" s="932" t="str">
        <f>VLOOKUP($C1127,Table1[#All],3,0)</f>
        <v>BWID JSC</v>
      </c>
      <c r="I1127" s="932" t="str" cm="1">
        <f t="array" ref="I1127">_xlfn.XLOOKUP(Acc_Char!$E1127,Table4[[#All],[Branch]],Table4[[#All],[Bank]],"recheck",0)</f>
        <v>SINOPAC</v>
      </c>
    </row>
    <row r="1128" spans="1:9">
      <c r="A1128" s="998">
        <f t="shared" si="17"/>
        <v>1125</v>
      </c>
      <c r="B1128" s="1004" t="s">
        <v>1057</v>
      </c>
      <c r="C1128" s="1000" t="s">
        <v>389</v>
      </c>
      <c r="D1128" s="932" t="str">
        <f>VLOOKUP($C1128,Table1[#All],2,0)</f>
        <v>BWID BINH DUONG</v>
      </c>
      <c r="E1128" s="932" t="s">
        <v>1044</v>
      </c>
      <c r="F1128" s="998" t="s">
        <v>80</v>
      </c>
      <c r="G1128" s="932" t="s">
        <v>308</v>
      </c>
      <c r="H1128" s="932" t="str">
        <f>VLOOKUP($C1128,Table1[#All],3,0)</f>
        <v>BWID JSC</v>
      </c>
      <c r="I1128" s="932" t="str" cm="1">
        <f t="array" ref="I1128">_xlfn.XLOOKUP(Acc_Char!$E1128,Table4[[#All],[Branch]],Table4[[#All],[Bank]],"recheck",0)</f>
        <v>OTHERS</v>
      </c>
    </row>
    <row r="1129" spans="1:9">
      <c r="A1129" s="998">
        <f t="shared" si="17"/>
        <v>1126</v>
      </c>
      <c r="B1129" s="1004" t="s">
        <v>3690</v>
      </c>
      <c r="C1129" s="1000" t="s">
        <v>389</v>
      </c>
      <c r="D1129" s="932" t="str">
        <f>VLOOKUP($C1129,Table1[#All],2,0)</f>
        <v>BWID BINH DUONG</v>
      </c>
      <c r="E1129" s="932" t="s">
        <v>1044</v>
      </c>
      <c r="F1129" s="998" t="s">
        <v>80</v>
      </c>
      <c r="G1129" s="932" t="s">
        <v>310</v>
      </c>
      <c r="H1129" s="932" t="str">
        <f>VLOOKUP($C1129,Table1[#All],3,0)</f>
        <v>BWID JSC</v>
      </c>
      <c r="I1129" s="932" t="str" cm="1">
        <f t="array" ref="I1129">_xlfn.XLOOKUP(Acc_Char!$E1129,Table4[[#All],[Branch]],Table4[[#All],[Bank]],"recheck",0)</f>
        <v>OTHERS</v>
      </c>
    </row>
    <row r="1130" spans="1:9">
      <c r="A1130" s="998">
        <f t="shared" si="17"/>
        <v>1127</v>
      </c>
      <c r="B1130" s="1004" t="s">
        <v>3691</v>
      </c>
      <c r="C1130" s="1000" t="s">
        <v>645</v>
      </c>
      <c r="D1130" s="932" t="str">
        <f>VLOOKUP($C1130,Table1[#All],2,0)</f>
        <v>SPV5B</v>
      </c>
      <c r="E1130" s="932" t="s">
        <v>98</v>
      </c>
      <c r="F1130" s="998" t="s">
        <v>80</v>
      </c>
      <c r="G1130" s="932" t="s">
        <v>310</v>
      </c>
      <c r="H1130" s="932" t="str">
        <f>VLOOKUP($C1130,Table1[#All],3,0)</f>
        <v>Subsidiaries</v>
      </c>
      <c r="I1130" s="932" t="str" cm="1">
        <f t="array" ref="I1130">_xlfn.XLOOKUP(Acc_Char!$E1130,Table4[[#All],[Branch]],Table4[[#All],[Bank]],"recheck",0)</f>
        <v>SINOPAC</v>
      </c>
    </row>
    <row r="1131" spans="1:9">
      <c r="A1131" s="998">
        <f t="shared" si="17"/>
        <v>1128</v>
      </c>
      <c r="B1131" s="1004" t="s">
        <v>1059</v>
      </c>
      <c r="C1131" s="1000" t="s">
        <v>3692</v>
      </c>
      <c r="D1131" s="932" t="str">
        <f>VLOOKUP($C1131,Table1[#All],2,0)</f>
        <v>MPL JSC</v>
      </c>
      <c r="E1131" s="932" t="s">
        <v>92</v>
      </c>
      <c r="F1131" s="998" t="s">
        <v>80</v>
      </c>
      <c r="G1131" s="932" t="s">
        <v>308</v>
      </c>
      <c r="H1131" s="932" t="str">
        <f>VLOOKUP($C1131,Table1[#All],3,0)</f>
        <v>Subsidiaries</v>
      </c>
      <c r="I1131" s="932" t="str" cm="1">
        <f t="array" ref="I1131">_xlfn.XLOOKUP(Acc_Char!$E1131,Table4[[#All],[Branch]],Table4[[#All],[Bank]],"recheck",0)</f>
        <v>BIDV - THANH XUAN</v>
      </c>
    </row>
    <row r="1132" spans="1:9">
      <c r="A1132" s="998">
        <f t="shared" si="17"/>
        <v>1129</v>
      </c>
      <c r="B1132" s="1004" t="s">
        <v>3693</v>
      </c>
      <c r="C1132" s="1000" t="s">
        <v>426</v>
      </c>
      <c r="D1132" s="932" t="str">
        <f>VLOOKUP($C1132,Table1[#All],2,0)</f>
        <v>BAU BANG 5</v>
      </c>
      <c r="E1132" s="932" t="s">
        <v>153</v>
      </c>
      <c r="F1132" s="998" t="s">
        <v>80</v>
      </c>
      <c r="G1132" s="932" t="s">
        <v>310</v>
      </c>
      <c r="H1132" s="932" t="str">
        <f>VLOOKUP($C1132,Table1[#All],3,0)</f>
        <v>Subsidiaries</v>
      </c>
      <c r="I1132" s="932" t="str" cm="1">
        <f t="array" ref="I1132">_xlfn.XLOOKUP(Acc_Char!$E1132,Table4[[#All],[Branch]],Table4[[#All],[Bank]],"recheck",0)</f>
        <v>VIETINBANK - BINH DUONG + QM</v>
      </c>
    </row>
    <row r="1133" spans="1:9">
      <c r="A1133" s="998">
        <f t="shared" si="17"/>
        <v>1130</v>
      </c>
      <c r="B1133" s="1004" t="s">
        <v>3694</v>
      </c>
      <c r="C1133" s="1000" t="s">
        <v>428</v>
      </c>
      <c r="D1133" s="932" t="str">
        <f>VLOOKUP($C1133,Table1[#All],2,0)</f>
        <v>TAY HAI</v>
      </c>
      <c r="E1133" s="932" t="s">
        <v>155</v>
      </c>
      <c r="F1133" s="998" t="s">
        <v>80</v>
      </c>
      <c r="G1133" s="932" t="s">
        <v>310</v>
      </c>
      <c r="H1133" s="932" t="str">
        <f>VLOOKUP($C1133,Table1[#All],3,0)</f>
        <v>Subsidiaries</v>
      </c>
      <c r="I1133" s="932" t="str" cm="1">
        <f t="array" ref="I1133">_xlfn.XLOOKUP(Acc_Char!$E1133,Table4[[#All],[Branch]],Table4[[#All],[Bank]],"recheck",0)</f>
        <v>VIETINBANK - BINH DUONG + QM</v>
      </c>
    </row>
    <row r="1134" spans="1:9">
      <c r="A1134" s="998">
        <f t="shared" si="17"/>
        <v>1131</v>
      </c>
      <c r="B1134" s="1004" t="s">
        <v>3695</v>
      </c>
      <c r="C1134" s="1000" t="s">
        <v>428</v>
      </c>
      <c r="D1134" s="932" t="str">
        <f>VLOOKUP($C1134,Table1[#All],2,0)</f>
        <v>TAY HAI</v>
      </c>
      <c r="E1134" s="932" t="s">
        <v>155</v>
      </c>
      <c r="F1134" s="998" t="s">
        <v>80</v>
      </c>
      <c r="G1134" s="932" t="s">
        <v>310</v>
      </c>
      <c r="H1134" s="932" t="str">
        <f>VLOOKUP($C1134,Table1[#All],3,0)</f>
        <v>Subsidiaries</v>
      </c>
      <c r="I1134" s="932" t="str" cm="1">
        <f t="array" ref="I1134">_xlfn.XLOOKUP(Acc_Char!$E1134,Table4[[#All],[Branch]],Table4[[#All],[Bank]],"recheck",0)</f>
        <v>VIETINBANK - BINH DUONG + QM</v>
      </c>
    </row>
    <row r="1135" spans="1:9">
      <c r="A1135" s="998">
        <f t="shared" si="17"/>
        <v>1132</v>
      </c>
      <c r="B1135" s="1004" t="s">
        <v>1060</v>
      </c>
      <c r="C1135" s="1000" t="s">
        <v>3323</v>
      </c>
      <c r="D1135" s="932" t="str">
        <f>VLOOKUP($C1135,Table1[#All],2,0)</f>
        <v>TAN DONG HIEP B ELECTRON</v>
      </c>
      <c r="E1135" s="932" t="s">
        <v>191</v>
      </c>
      <c r="F1135" s="998" t="s">
        <v>80</v>
      </c>
      <c r="G1135" s="932" t="s">
        <v>310</v>
      </c>
      <c r="H1135" s="932" t="str">
        <f>VLOOKUP($C1135,Table1[#All],3,0)</f>
        <v>Subsidiaries</v>
      </c>
      <c r="I1135" s="932" t="str" cm="1">
        <f t="array" ref="I1135">_xlfn.XLOOKUP(Acc_Char!$E1135,Table4[[#All],[Branch]],Table4[[#All],[Bank]],"recheck",0)</f>
        <v>VIETINBANK - TPHCM</v>
      </c>
    </row>
    <row r="1136" spans="1:9">
      <c r="A1136" s="998">
        <f t="shared" si="17"/>
        <v>1133</v>
      </c>
      <c r="B1136" s="1004" t="s">
        <v>3696</v>
      </c>
      <c r="C1136" s="1000" t="s">
        <v>3323</v>
      </c>
      <c r="D1136" s="932" t="str">
        <f>VLOOKUP($C1136,Table1[#All],2,0)</f>
        <v>TAN DONG HIEP B ELECTRON</v>
      </c>
      <c r="E1136" s="932" t="s">
        <v>191</v>
      </c>
      <c r="F1136" s="998" t="s">
        <v>80</v>
      </c>
      <c r="G1136" s="932" t="s">
        <v>310</v>
      </c>
      <c r="H1136" s="932" t="str">
        <f>VLOOKUP($C1136,Table1[#All],3,0)</f>
        <v>Subsidiaries</v>
      </c>
      <c r="I1136" s="932" t="str" cm="1">
        <f t="array" ref="I1136">_xlfn.XLOOKUP(Acc_Char!$E1136,Table4[[#All],[Branch]],Table4[[#All],[Bank]],"recheck",0)</f>
        <v>VIETINBANK - TPHCM</v>
      </c>
    </row>
    <row r="1137" spans="1:9">
      <c r="A1137" s="998">
        <f t="shared" si="17"/>
        <v>1134</v>
      </c>
      <c r="B1137" s="1004" t="s">
        <v>1061</v>
      </c>
      <c r="C1137" s="1000" t="s">
        <v>2888</v>
      </c>
      <c r="D1137" s="932" t="str">
        <f>VLOOKUP($C1137,Table1[#All],2,0)</f>
        <v>BWID HAI DUONG</v>
      </c>
      <c r="E1137" s="932" t="s">
        <v>85</v>
      </c>
      <c r="F1137" s="998" t="s">
        <v>80</v>
      </c>
      <c r="G1137" s="932" t="s">
        <v>310</v>
      </c>
      <c r="H1137" s="932" t="str">
        <f>VLOOKUP($C1137,Table1[#All],3,0)</f>
        <v>Subsidiaries</v>
      </c>
      <c r="I1137" s="932" t="str" cm="1">
        <f t="array" ref="I1137">_xlfn.XLOOKUP(Acc_Char!$E1137,Table4[[#All],[Branch]],Table4[[#All],[Bank]],"recheck",0)</f>
        <v>VIETINBANK - TIEN SON</v>
      </c>
    </row>
    <row r="1138" spans="1:9">
      <c r="A1138" s="998">
        <f t="shared" si="17"/>
        <v>1135</v>
      </c>
      <c r="B1138" s="1004" t="s">
        <v>3697</v>
      </c>
      <c r="C1138" s="1000" t="s">
        <v>2888</v>
      </c>
      <c r="D1138" s="932" t="str">
        <f>VLOOKUP($C1138,Table1[#All],2,0)</f>
        <v>BWID HAI DUONG</v>
      </c>
      <c r="E1138" s="932" t="s">
        <v>85</v>
      </c>
      <c r="F1138" s="998" t="s">
        <v>80</v>
      </c>
      <c r="G1138" s="932" t="s">
        <v>310</v>
      </c>
      <c r="H1138" s="932" t="str">
        <f>VLOOKUP($C1138,Table1[#All],3,0)</f>
        <v>Subsidiaries</v>
      </c>
      <c r="I1138" s="932" t="str" cm="1">
        <f t="array" ref="I1138">_xlfn.XLOOKUP(Acc_Char!$E1138,Table4[[#All],[Branch]],Table4[[#All],[Bank]],"recheck",0)</f>
        <v>VIETINBANK - TIEN SON</v>
      </c>
    </row>
    <row r="1139" spans="1:9">
      <c r="A1139" s="998">
        <f t="shared" si="17"/>
        <v>1136</v>
      </c>
      <c r="B1139" s="1004" t="s">
        <v>1062</v>
      </c>
      <c r="C1139" s="1000" t="s">
        <v>402</v>
      </c>
      <c r="D1139" s="932" t="str">
        <f>VLOOKUP($C1139,Table1[#All],2,0)</f>
        <v>BWID DONG AN LID</v>
      </c>
      <c r="E1139" s="932" t="s">
        <v>88</v>
      </c>
      <c r="F1139" s="998" t="s">
        <v>80</v>
      </c>
      <c r="G1139" s="932" t="s">
        <v>310</v>
      </c>
      <c r="H1139" s="932" t="str">
        <f>VLOOKUP($C1139,Table1[#All],3,0)</f>
        <v>Subsidiaries</v>
      </c>
      <c r="I1139" s="932" t="str" cm="1">
        <f t="array" ref="I1139">_xlfn.XLOOKUP(Acc_Char!$E1139,Table4[[#All],[Branch]],Table4[[#All],[Bank]],"recheck",0)</f>
        <v>VIETINBANK - DONG SAI GON</v>
      </c>
    </row>
    <row r="1140" spans="1:9">
      <c r="A1140" s="998">
        <f t="shared" si="17"/>
        <v>1137</v>
      </c>
      <c r="B1140" s="1004" t="s">
        <v>3698</v>
      </c>
      <c r="C1140" s="1000" t="s">
        <v>2895</v>
      </c>
      <c r="D1140" s="932" t="str">
        <f>VLOOKUP($C1140,Table1[#All],2,0)</f>
        <v>BWID HAI DUONG 2</v>
      </c>
      <c r="E1140" s="932" t="s">
        <v>85</v>
      </c>
      <c r="F1140" s="998" t="s">
        <v>80</v>
      </c>
      <c r="G1140" s="932" t="s">
        <v>310</v>
      </c>
      <c r="H1140" s="932" t="str">
        <f>VLOOKUP($C1140,Table1[#All],3,0)</f>
        <v>Subsidiaries</v>
      </c>
      <c r="I1140" s="932" t="str" cm="1">
        <f t="array" ref="I1140">_xlfn.XLOOKUP(Acc_Char!$E1140,Table4[[#All],[Branch]],Table4[[#All],[Bank]],"recheck",0)</f>
        <v>VIETINBANK - TIEN SON</v>
      </c>
    </row>
    <row r="1141" spans="1:9">
      <c r="A1141" s="998">
        <f t="shared" si="17"/>
        <v>1138</v>
      </c>
      <c r="B1141" s="1004" t="s">
        <v>1063</v>
      </c>
      <c r="C1141" s="1000" t="s">
        <v>2895</v>
      </c>
      <c r="D1141" s="932" t="str">
        <f>VLOOKUP($C1141,Table1[#All],2,0)</f>
        <v>BWID HAI DUONG 2</v>
      </c>
      <c r="E1141" s="932" t="s">
        <v>85</v>
      </c>
      <c r="F1141" s="998" t="s">
        <v>80</v>
      </c>
      <c r="G1141" s="932" t="s">
        <v>310</v>
      </c>
      <c r="H1141" s="932" t="str">
        <f>VLOOKUP($C1141,Table1[#All],3,0)</f>
        <v>Subsidiaries</v>
      </c>
      <c r="I1141" s="932" t="str" cm="1">
        <f t="array" ref="I1141">_xlfn.XLOOKUP(Acc_Char!$E1141,Table4[[#All],[Branch]],Table4[[#All],[Bank]],"recheck",0)</f>
        <v>VIETINBANK - TIEN SON</v>
      </c>
    </row>
    <row r="1142" spans="1:9">
      <c r="A1142" s="998">
        <f t="shared" si="17"/>
        <v>1139</v>
      </c>
      <c r="B1142" s="1004" t="s">
        <v>3699</v>
      </c>
      <c r="C1142" s="1000" t="s">
        <v>3093</v>
      </c>
      <c r="D1142" s="932" t="str">
        <f>VLOOKUP($C1142,Table1[#All],2,0)</f>
        <v>SONGTHAN LID</v>
      </c>
      <c r="E1142" s="932" t="s">
        <v>88</v>
      </c>
      <c r="F1142" s="998" t="s">
        <v>80</v>
      </c>
      <c r="G1142" s="932" t="s">
        <v>310</v>
      </c>
      <c r="H1142" s="932" t="str">
        <f>VLOOKUP($C1142,Table1[#All],3,0)</f>
        <v>Subsidiaries</v>
      </c>
      <c r="I1142" s="932" t="str" cm="1">
        <f t="array" ref="I1142">_xlfn.XLOOKUP(Acc_Char!$E1142,Table4[[#All],[Branch]],Table4[[#All],[Bank]],"recheck",0)</f>
        <v>VIETINBANK - DONG SAI GON</v>
      </c>
    </row>
    <row r="1143" spans="1:9">
      <c r="A1143" s="998">
        <f t="shared" si="17"/>
        <v>1140</v>
      </c>
      <c r="B1143" s="1002" t="s">
        <v>3700</v>
      </c>
      <c r="C1143" s="1000" t="s">
        <v>3093</v>
      </c>
      <c r="D1143" s="932" t="str">
        <f>VLOOKUP($C1143,Table1[#All],2,0)</f>
        <v>SONGTHAN LID</v>
      </c>
      <c r="E1143" s="932" t="s">
        <v>88</v>
      </c>
      <c r="F1143" s="998" t="s">
        <v>80</v>
      </c>
      <c r="G1143" s="932" t="s">
        <v>310</v>
      </c>
      <c r="H1143" s="932" t="str">
        <f>VLOOKUP($C1143,Table1[#All],3,0)</f>
        <v>Subsidiaries</v>
      </c>
      <c r="I1143" s="932" t="str" cm="1">
        <f t="array" ref="I1143">_xlfn.XLOOKUP(Acc_Char!$E1143,Table4[[#All],[Branch]],Table4[[#All],[Bank]],"recheck",0)</f>
        <v>VIETINBANK - DONG SAI GON</v>
      </c>
    </row>
    <row r="1144" spans="1:9">
      <c r="A1144" s="998">
        <f t="shared" si="17"/>
        <v>1141</v>
      </c>
      <c r="B1144" s="1004" t="s">
        <v>3701</v>
      </c>
      <c r="C1144" s="1000" t="s">
        <v>67</v>
      </c>
      <c r="D1144" s="932" t="str">
        <f>VLOOKUP($C1144,Table1[#All],2,0)</f>
        <v>SAO HOA</v>
      </c>
      <c r="E1144" s="932" t="s">
        <v>191</v>
      </c>
      <c r="F1144" s="998" t="s">
        <v>80</v>
      </c>
      <c r="G1144" s="932" t="s">
        <v>310</v>
      </c>
      <c r="H1144" s="932" t="str">
        <f>VLOOKUP($C1144,Table1[#All],3,0)</f>
        <v>VC3</v>
      </c>
      <c r="I1144" s="932" t="str" cm="1">
        <f t="array" ref="I1144">_xlfn.XLOOKUP(Acc_Char!$E1144,Table4[[#All],[Branch]],Table4[[#All],[Bank]],"recheck",0)</f>
        <v>VIETINBANK - TPHCM</v>
      </c>
    </row>
    <row r="1145" spans="1:9">
      <c r="A1145" s="998">
        <f t="shared" si="17"/>
        <v>1142</v>
      </c>
      <c r="B1145" s="1004" t="s">
        <v>3702</v>
      </c>
      <c r="C1145" s="1000" t="s">
        <v>67</v>
      </c>
      <c r="D1145" s="932" t="str">
        <f>VLOOKUP($C1145,Table1[#All],2,0)</f>
        <v>SAO HOA</v>
      </c>
      <c r="E1145" s="932" t="s">
        <v>191</v>
      </c>
      <c r="F1145" s="998" t="s">
        <v>80</v>
      </c>
      <c r="G1145" s="932" t="s">
        <v>310</v>
      </c>
      <c r="H1145" s="932" t="str">
        <f>VLOOKUP($C1145,Table1[#All],3,0)</f>
        <v>VC3</v>
      </c>
      <c r="I1145" s="932" t="str" cm="1">
        <f t="array" ref="I1145">_xlfn.XLOOKUP(Acc_Char!$E1145,Table4[[#All],[Branch]],Table4[[#All],[Bank]],"recheck",0)</f>
        <v>VIETINBANK - TPHCM</v>
      </c>
    </row>
    <row r="1146" spans="1:9">
      <c r="A1146" s="998">
        <f t="shared" si="17"/>
        <v>1143</v>
      </c>
      <c r="B1146" s="1004" t="s">
        <v>3703</v>
      </c>
      <c r="C1146" s="1000" t="s">
        <v>67</v>
      </c>
      <c r="D1146" s="932" t="str">
        <f>VLOOKUP($C1146,Table1[#All],2,0)</f>
        <v>SAO HOA</v>
      </c>
      <c r="E1146" s="932" t="s">
        <v>86</v>
      </c>
      <c r="F1146" s="998" t="s">
        <v>80</v>
      </c>
      <c r="G1146" s="932" t="s">
        <v>310</v>
      </c>
      <c r="H1146" s="932" t="str">
        <f>VLOOKUP($C1146,Table1[#All],3,0)</f>
        <v>VC3</v>
      </c>
      <c r="I1146" s="932" t="str" cm="1">
        <f t="array" ref="I1146">_xlfn.XLOOKUP(Acc_Char!$E1146,Table4[[#All],[Branch]],Table4[[#All],[Bank]],"recheck",0)</f>
        <v>VIETINBANK - CN1</v>
      </c>
    </row>
    <row r="1147" spans="1:9">
      <c r="A1147" s="998">
        <f t="shared" si="17"/>
        <v>1144</v>
      </c>
      <c r="B1147" s="1004" t="s">
        <v>3704</v>
      </c>
      <c r="C1147" s="1000" t="s">
        <v>67</v>
      </c>
      <c r="D1147" s="932" t="str">
        <f>VLOOKUP($C1147,Table1[#All],2,0)</f>
        <v>SAO HOA</v>
      </c>
      <c r="E1147" s="932" t="s">
        <v>155</v>
      </c>
      <c r="F1147" s="998" t="s">
        <v>80</v>
      </c>
      <c r="G1147" s="932" t="s">
        <v>310</v>
      </c>
      <c r="H1147" s="932" t="str">
        <f>VLOOKUP($C1147,Table1[#All],3,0)</f>
        <v>VC3</v>
      </c>
      <c r="I1147" s="932" t="str" cm="1">
        <f t="array" ref="I1147">_xlfn.XLOOKUP(Acc_Char!$E1147,Table4[[#All],[Branch]],Table4[[#All],[Bank]],"recheck",0)</f>
        <v>VIETINBANK - BINH DUONG + QM</v>
      </c>
    </row>
    <row r="1148" spans="1:9">
      <c r="A1148" s="998">
        <f t="shared" si="17"/>
        <v>1145</v>
      </c>
      <c r="B1148" s="1004" t="s">
        <v>1064</v>
      </c>
      <c r="C1148" s="1000" t="s">
        <v>3079</v>
      </c>
      <c r="D1148" s="932" t="str">
        <f>VLOOKUP($C1148,Table1[#All],2,0)</f>
        <v>SG LOGISTICS</v>
      </c>
      <c r="E1148" s="932" t="s">
        <v>803</v>
      </c>
      <c r="F1148" s="998" t="s">
        <v>80</v>
      </c>
      <c r="G1148" s="932" t="s">
        <v>308</v>
      </c>
      <c r="H1148" s="932" t="str">
        <f>VLOOKUP($C1148,Table1[#All],3,0)</f>
        <v>Subsidiaries</v>
      </c>
      <c r="I1148" s="932" t="str" cm="1">
        <f t="array" ref="I1148">_xlfn.XLOOKUP(Acc_Char!$E1148,Table4[[#All],[Branch]],Table4[[#All],[Bank]],"recheck",0)</f>
        <v>UOB</v>
      </c>
    </row>
    <row r="1149" spans="1:9">
      <c r="A1149" s="998">
        <f t="shared" si="17"/>
        <v>1146</v>
      </c>
      <c r="B1149" s="1004" t="s">
        <v>3705</v>
      </c>
      <c r="C1149" s="1000" t="s">
        <v>3175</v>
      </c>
      <c r="D1149" s="932" t="str">
        <f>VLOOKUP($C1149,Table1[#All],2,0)</f>
        <v>BW HAI AN</v>
      </c>
      <c r="E1149" s="932" t="s">
        <v>92</v>
      </c>
      <c r="F1149" s="998" t="s">
        <v>80</v>
      </c>
      <c r="G1149" s="932" t="s">
        <v>310</v>
      </c>
      <c r="H1149" s="932" t="str">
        <f>VLOOKUP($C1149,Table1[#All],3,0)</f>
        <v>Subsidiaries</v>
      </c>
      <c r="I1149" s="932" t="str" cm="1">
        <f t="array" ref="I1149">_xlfn.XLOOKUP(Acc_Char!$E1149,Table4[[#All],[Branch]],Table4[[#All],[Bank]],"recheck",0)</f>
        <v>BIDV - THANH XUAN</v>
      </c>
    </row>
    <row r="1150" spans="1:9">
      <c r="A1150" s="998">
        <f t="shared" si="17"/>
        <v>1147</v>
      </c>
      <c r="B1150" s="1004" t="s">
        <v>3706</v>
      </c>
      <c r="C1150" s="1000" t="s">
        <v>3175</v>
      </c>
      <c r="D1150" s="932" t="str">
        <f>VLOOKUP($C1150,Table1[#All],2,0)</f>
        <v>BW HAI AN</v>
      </c>
      <c r="E1150" s="932" t="s">
        <v>92</v>
      </c>
      <c r="F1150" s="998" t="s">
        <v>80</v>
      </c>
      <c r="G1150" s="932" t="s">
        <v>310</v>
      </c>
      <c r="H1150" s="932" t="str">
        <f>VLOOKUP($C1150,Table1[#All],3,0)</f>
        <v>Subsidiaries</v>
      </c>
      <c r="I1150" s="932" t="str" cm="1">
        <f t="array" ref="I1150">_xlfn.XLOOKUP(Acc_Char!$E1150,Table4[[#All],[Branch]],Table4[[#All],[Bank]],"recheck",0)</f>
        <v>BIDV - THANH XUAN</v>
      </c>
    </row>
    <row r="1151" spans="1:9">
      <c r="A1151" s="998">
        <f t="shared" si="17"/>
        <v>1148</v>
      </c>
      <c r="B1151" s="1004" t="s">
        <v>3707</v>
      </c>
      <c r="C1151" s="1000" t="s">
        <v>389</v>
      </c>
      <c r="D1151" s="932" t="str">
        <f>VLOOKUP($C1151,Table1[#All],2,0)</f>
        <v>BWID BINH DUONG</v>
      </c>
      <c r="E1151" s="932" t="s">
        <v>92</v>
      </c>
      <c r="F1151" s="998" t="s">
        <v>80</v>
      </c>
      <c r="G1151" s="932" t="s">
        <v>310</v>
      </c>
      <c r="H1151" s="932" t="str">
        <f>VLOOKUP($C1151,Table1[#All],3,0)</f>
        <v>BWID JSC</v>
      </c>
      <c r="I1151" s="932" t="str" cm="1">
        <f t="array" ref="I1151">_xlfn.XLOOKUP(Acc_Char!$E1151,Table4[[#All],[Branch]],Table4[[#All],[Bank]],"recheck",0)</f>
        <v>BIDV - THANH XUAN</v>
      </c>
    </row>
    <row r="1152" spans="1:9">
      <c r="A1152" s="998">
        <f t="shared" si="17"/>
        <v>1149</v>
      </c>
      <c r="B1152" s="1004" t="s">
        <v>3708</v>
      </c>
      <c r="C1152" s="1000" t="s">
        <v>3280</v>
      </c>
      <c r="D1152" s="932" t="str">
        <f>VLOOKUP($C1152,Table1[#All],2,0)</f>
        <v>BAC TIEN PHONG</v>
      </c>
      <c r="E1152" s="932" t="s">
        <v>92</v>
      </c>
      <c r="F1152" s="998" t="s">
        <v>80</v>
      </c>
      <c r="G1152" s="932" t="s">
        <v>310</v>
      </c>
      <c r="H1152" s="932" t="str">
        <f>VLOOKUP($C1152,Table1[#All],3,0)</f>
        <v>Subsidiaries</v>
      </c>
      <c r="I1152" s="932" t="str" cm="1">
        <f t="array" ref="I1152">_xlfn.XLOOKUP(Acc_Char!$E1152,Table4[[#All],[Branch]],Table4[[#All],[Bank]],"recheck",0)</f>
        <v>BIDV - THANH XUAN</v>
      </c>
    </row>
    <row r="1153" spans="1:9">
      <c r="A1153" s="998">
        <f t="shared" si="17"/>
        <v>1150</v>
      </c>
      <c r="B1153" s="1004" t="s">
        <v>3709</v>
      </c>
      <c r="C1153" s="1000" t="s">
        <v>3280</v>
      </c>
      <c r="D1153" s="932" t="str">
        <f>VLOOKUP($C1153,Table1[#All],2,0)</f>
        <v>BAC TIEN PHONG</v>
      </c>
      <c r="E1153" s="932" t="s">
        <v>92</v>
      </c>
      <c r="F1153" s="998" t="s">
        <v>80</v>
      </c>
      <c r="G1153" s="932" t="s">
        <v>310</v>
      </c>
      <c r="H1153" s="932" t="str">
        <f>VLOOKUP($C1153,Table1[#All],3,0)</f>
        <v>Subsidiaries</v>
      </c>
      <c r="I1153" s="932" t="str" cm="1">
        <f t="array" ref="I1153">_xlfn.XLOOKUP(Acc_Char!$E1153,Table4[[#All],[Branch]],Table4[[#All],[Bank]],"recheck",0)</f>
        <v>BIDV - THANH XUAN</v>
      </c>
    </row>
    <row r="1154" spans="1:9">
      <c r="A1154" s="998">
        <f t="shared" si="17"/>
        <v>1151</v>
      </c>
      <c r="B1154" s="1004" t="s">
        <v>3710</v>
      </c>
      <c r="C1154" s="1000" t="s">
        <v>2915</v>
      </c>
      <c r="D1154" s="932" t="str">
        <f>VLOOKUP($C1154,Table1[#All],2,0)</f>
        <v>BW DINH VU</v>
      </c>
      <c r="E1154" s="932" t="s">
        <v>92</v>
      </c>
      <c r="F1154" s="998" t="s">
        <v>80</v>
      </c>
      <c r="G1154" s="932" t="s">
        <v>310</v>
      </c>
      <c r="H1154" s="932" t="str">
        <f>VLOOKUP($C1154,Table1[#All],3,0)</f>
        <v>Subsidiaries</v>
      </c>
      <c r="I1154" s="932" t="str" cm="1">
        <f t="array" ref="I1154">_xlfn.XLOOKUP(Acc_Char!$E1154,Table4[[#All],[Branch]],Table4[[#All],[Bank]],"recheck",0)</f>
        <v>BIDV - THANH XUAN</v>
      </c>
    </row>
    <row r="1155" spans="1:9">
      <c r="A1155" s="998">
        <f t="shared" si="17"/>
        <v>1152</v>
      </c>
      <c r="B1155" s="1004" t="s">
        <v>3711</v>
      </c>
      <c r="C1155" s="1000" t="s">
        <v>2915</v>
      </c>
      <c r="D1155" s="932" t="str">
        <f>VLOOKUP($C1155,Table1[#All],2,0)</f>
        <v>BW DINH VU</v>
      </c>
      <c r="E1155" s="932" t="s">
        <v>92</v>
      </c>
      <c r="F1155" s="998" t="s">
        <v>80</v>
      </c>
      <c r="G1155" s="932" t="s">
        <v>310</v>
      </c>
      <c r="H1155" s="932" t="str">
        <f>VLOOKUP($C1155,Table1[#All],3,0)</f>
        <v>Subsidiaries</v>
      </c>
      <c r="I1155" s="932" t="str" cm="1">
        <f t="array" ref="I1155">_xlfn.XLOOKUP(Acc_Char!$E1155,Table4[[#All],[Branch]],Table4[[#All],[Bank]],"recheck",0)</f>
        <v>BIDV - THANH XUAN</v>
      </c>
    </row>
    <row r="1156" spans="1:9">
      <c r="A1156" s="998">
        <f t="shared" si="17"/>
        <v>1153</v>
      </c>
      <c r="B1156" s="1004" t="s">
        <v>3712</v>
      </c>
      <c r="C1156" s="1000" t="s">
        <v>67</v>
      </c>
      <c r="D1156" s="932" t="str">
        <f>VLOOKUP($C1156,Table1[#All],2,0)</f>
        <v>SAO HOA</v>
      </c>
      <c r="E1156" s="932" t="s">
        <v>91</v>
      </c>
      <c r="F1156" s="998" t="s">
        <v>80</v>
      </c>
      <c r="G1156" s="932" t="s">
        <v>310</v>
      </c>
      <c r="H1156" s="932" t="str">
        <f>VLOOKUP($C1156,Table1[#All],3,0)</f>
        <v>VC3</v>
      </c>
      <c r="I1156" s="932" t="str" cm="1">
        <f t="array" ref="I1156">_xlfn.XLOOKUP(Acc_Char!$E1156,Table4[[#All],[Branch]],Table4[[#All],[Bank]],"recheck",0)</f>
        <v>VIETCOMBANK - HCM</v>
      </c>
    </row>
    <row r="1157" spans="1:9">
      <c r="A1157" s="998">
        <f t="shared" ref="A1157:A1220" si="18">A1156+1</f>
        <v>1154</v>
      </c>
      <c r="B1157" s="1004" t="s">
        <v>3713</v>
      </c>
      <c r="C1157" s="1000" t="s">
        <v>2980</v>
      </c>
      <c r="D1157" s="932" t="str">
        <f>VLOOKUP($C1157,Table1[#All],2,0)</f>
        <v>BWID THOI HOA</v>
      </c>
      <c r="E1157" s="932" t="s">
        <v>95</v>
      </c>
      <c r="F1157" s="998" t="s">
        <v>80</v>
      </c>
      <c r="G1157" s="932" t="s">
        <v>310</v>
      </c>
      <c r="H1157" s="932" t="str">
        <f>VLOOKUP($C1157,Table1[#All],3,0)</f>
        <v>Subsidiaries</v>
      </c>
      <c r="I1157" s="932" t="str" cm="1">
        <f t="array" ref="I1157">_xlfn.XLOOKUP(Acc_Char!$E1157,Table4[[#All],[Branch]],Table4[[#All],[Bank]],"recheck",0)</f>
        <v>OCB - BINH DUONG</v>
      </c>
    </row>
    <row r="1158" spans="1:9">
      <c r="A1158" s="998">
        <f t="shared" si="18"/>
        <v>1155</v>
      </c>
      <c r="B1158" s="1004" t="s">
        <v>3714</v>
      </c>
      <c r="C1158" s="1000" t="s">
        <v>389</v>
      </c>
      <c r="D1158" s="932" t="str">
        <f>VLOOKUP($C1158,Table1[#All],2,0)</f>
        <v>BWID BINH DUONG</v>
      </c>
      <c r="E1158" s="932" t="s">
        <v>98</v>
      </c>
      <c r="F1158" s="998" t="s">
        <v>80</v>
      </c>
      <c r="G1158" s="932" t="s">
        <v>310</v>
      </c>
      <c r="H1158" s="932" t="str">
        <f>VLOOKUP($C1158,Table1[#All],3,0)</f>
        <v>BWID JSC</v>
      </c>
      <c r="I1158" s="932" t="str" cm="1">
        <f t="array" ref="I1158">_xlfn.XLOOKUP(Acc_Char!$E1158,Table4[[#All],[Branch]],Table4[[#All],[Bank]],"recheck",0)</f>
        <v>SINOPAC</v>
      </c>
    </row>
    <row r="1159" spans="1:9">
      <c r="A1159" s="998">
        <f t="shared" si="18"/>
        <v>1156</v>
      </c>
      <c r="B1159" s="1004" t="s">
        <v>1065</v>
      </c>
      <c r="C1159" s="1000" t="s">
        <v>2998</v>
      </c>
      <c r="D1159" s="932" t="str">
        <f>VLOOKUP($C1159,Table1[#All],2,0)</f>
        <v>BWID THOI HOA 2</v>
      </c>
      <c r="E1159" s="932" t="s">
        <v>971</v>
      </c>
      <c r="F1159" s="998" t="s">
        <v>80</v>
      </c>
      <c r="G1159" s="932" t="s">
        <v>308</v>
      </c>
      <c r="H1159" s="932" t="str">
        <f>VLOOKUP($C1159,Table1[#All],3,0)</f>
        <v>Subsidiaries</v>
      </c>
      <c r="I1159" s="932" t="str" cm="1">
        <f t="array" ref="I1159">_xlfn.XLOOKUP(Acc_Char!$E1159,Table4[[#All],[Branch]],Table4[[#All],[Bank]],"recheck",0)</f>
        <v>OTHERS</v>
      </c>
    </row>
    <row r="1160" spans="1:9">
      <c r="A1160" s="998">
        <f t="shared" si="18"/>
        <v>1157</v>
      </c>
      <c r="B1160" s="1004" t="s">
        <v>3715</v>
      </c>
      <c r="C1160" s="1000" t="s">
        <v>432</v>
      </c>
      <c r="D1160" s="932" t="str">
        <f>VLOOKUP($C1160,Table1[#All],2,0)</f>
        <v>BWID BAC NINH</v>
      </c>
      <c r="E1160" s="932" t="s">
        <v>85</v>
      </c>
      <c r="F1160" s="998" t="s">
        <v>80</v>
      </c>
      <c r="G1160" s="932" t="s">
        <v>310</v>
      </c>
      <c r="H1160" s="932" t="str">
        <f>VLOOKUP($C1160,Table1[#All],3,0)</f>
        <v>Subsidiaries</v>
      </c>
      <c r="I1160" s="932" t="str" cm="1">
        <f t="array" ref="I1160">_xlfn.XLOOKUP(Acc_Char!$E1160,Table4[[#All],[Branch]],Table4[[#All],[Bank]],"recheck",0)</f>
        <v>VIETINBANK - TIEN SON</v>
      </c>
    </row>
    <row r="1161" spans="1:9">
      <c r="A1161" s="998">
        <f t="shared" si="18"/>
        <v>1158</v>
      </c>
      <c r="B1161" s="1004" t="s">
        <v>3716</v>
      </c>
      <c r="C1161" s="1000" t="s">
        <v>432</v>
      </c>
      <c r="D1161" s="932" t="str">
        <f>VLOOKUP($C1161,Table1[#All],2,0)</f>
        <v>BWID BAC NINH</v>
      </c>
      <c r="E1161" s="932" t="s">
        <v>85</v>
      </c>
      <c r="F1161" s="998" t="s">
        <v>80</v>
      </c>
      <c r="G1161" s="932" t="s">
        <v>310</v>
      </c>
      <c r="H1161" s="932" t="str">
        <f>VLOOKUP($C1161,Table1[#All],3,0)</f>
        <v>Subsidiaries</v>
      </c>
      <c r="I1161" s="932" t="str" cm="1">
        <f t="array" ref="I1161">_xlfn.XLOOKUP(Acc_Char!$E1161,Table4[[#All],[Branch]],Table4[[#All],[Bank]],"recheck",0)</f>
        <v>VIETINBANK - TIEN SON</v>
      </c>
    </row>
    <row r="1162" spans="1:9">
      <c r="A1162" s="998">
        <f t="shared" si="18"/>
        <v>1159</v>
      </c>
      <c r="B1162" s="1004" t="s">
        <v>3717</v>
      </c>
      <c r="C1162" s="1000" t="s">
        <v>2888</v>
      </c>
      <c r="D1162" s="932" t="str">
        <f>VLOOKUP($C1162,Table1[#All],2,0)</f>
        <v>BWID HAI DUONG</v>
      </c>
      <c r="E1162" s="932" t="s">
        <v>85</v>
      </c>
      <c r="F1162" s="998" t="s">
        <v>80</v>
      </c>
      <c r="G1162" s="932" t="s">
        <v>310</v>
      </c>
      <c r="H1162" s="932" t="str">
        <f>VLOOKUP($C1162,Table1[#All],3,0)</f>
        <v>Subsidiaries</v>
      </c>
      <c r="I1162" s="932" t="str" cm="1">
        <f t="array" ref="I1162">_xlfn.XLOOKUP(Acc_Char!$E1162,Table4[[#All],[Branch]],Table4[[#All],[Bank]],"recheck",0)</f>
        <v>VIETINBANK - TIEN SON</v>
      </c>
    </row>
    <row r="1163" spans="1:9">
      <c r="A1163" s="998">
        <f t="shared" si="18"/>
        <v>1160</v>
      </c>
      <c r="B1163" s="1004" t="s">
        <v>3718</v>
      </c>
      <c r="C1163" s="1000" t="s">
        <v>3237</v>
      </c>
      <c r="D1163" s="932" t="str">
        <f>VLOOKUP($C1163,Table1[#All],2,0)</f>
        <v>LONG BINH</v>
      </c>
      <c r="E1163" s="932" t="s">
        <v>86</v>
      </c>
      <c r="F1163" s="998" t="s">
        <v>80</v>
      </c>
      <c r="G1163" s="932" t="s">
        <v>310</v>
      </c>
      <c r="H1163" s="932" t="str">
        <f>VLOOKUP($C1163,Table1[#All],3,0)</f>
        <v>Subsidiaries</v>
      </c>
      <c r="I1163" s="932" t="str" cm="1">
        <f t="array" ref="I1163">_xlfn.XLOOKUP(Acc_Char!$E1163,Table4[[#All],[Branch]],Table4[[#All],[Bank]],"recheck",0)</f>
        <v>VIETINBANK - CN1</v>
      </c>
    </row>
    <row r="1164" spans="1:9">
      <c r="A1164" s="998">
        <f t="shared" si="18"/>
        <v>1161</v>
      </c>
      <c r="B1164" s="1004" t="s">
        <v>3719</v>
      </c>
      <c r="C1164" s="1000" t="s">
        <v>3237</v>
      </c>
      <c r="D1164" s="932" t="str">
        <f>VLOOKUP($C1164,Table1[#All],2,0)</f>
        <v>LONG BINH</v>
      </c>
      <c r="E1164" s="932" t="s">
        <v>86</v>
      </c>
      <c r="F1164" s="998" t="s">
        <v>80</v>
      </c>
      <c r="G1164" s="932" t="s">
        <v>310</v>
      </c>
      <c r="H1164" s="932" t="str">
        <f>VLOOKUP($C1164,Table1[#All],3,0)</f>
        <v>Subsidiaries</v>
      </c>
      <c r="I1164" s="932" t="str" cm="1">
        <f t="array" ref="I1164">_xlfn.XLOOKUP(Acc_Char!$E1164,Table4[[#All],[Branch]],Table4[[#All],[Bank]],"recheck",0)</f>
        <v>VIETINBANK - CN1</v>
      </c>
    </row>
    <row r="1165" spans="1:9">
      <c r="A1165" s="998">
        <f t="shared" si="18"/>
        <v>1162</v>
      </c>
      <c r="B1165" s="1004" t="s">
        <v>1066</v>
      </c>
      <c r="C1165" s="1000" t="s">
        <v>3280</v>
      </c>
      <c r="D1165" s="932" t="str">
        <f>VLOOKUP($C1165,Table1[#All],2,0)</f>
        <v>BAC TIEN PHONG</v>
      </c>
      <c r="E1165" s="932" t="s">
        <v>92</v>
      </c>
      <c r="F1165" s="998" t="s">
        <v>80</v>
      </c>
      <c r="G1165" s="932" t="s">
        <v>310</v>
      </c>
      <c r="H1165" s="932" t="str">
        <f>VLOOKUP($C1165,Table1[#All],3,0)</f>
        <v>Subsidiaries</v>
      </c>
      <c r="I1165" s="932" t="str" cm="1">
        <f t="array" ref="I1165">_xlfn.XLOOKUP(Acc_Char!$E1165,Table4[[#All],[Branch]],Table4[[#All],[Bank]],"recheck",0)</f>
        <v>BIDV - THANH XUAN</v>
      </c>
    </row>
    <row r="1166" spans="1:9">
      <c r="A1166" s="998">
        <f t="shared" si="18"/>
        <v>1163</v>
      </c>
      <c r="B1166" s="1004" t="s">
        <v>1067</v>
      </c>
      <c r="C1166" s="1000" t="s">
        <v>3280</v>
      </c>
      <c r="D1166" s="932" t="str">
        <f>VLOOKUP($C1166,Table1[#All],2,0)</f>
        <v>BAC TIEN PHONG</v>
      </c>
      <c r="E1166" s="932" t="s">
        <v>92</v>
      </c>
      <c r="F1166" s="998" t="s">
        <v>80</v>
      </c>
      <c r="G1166" s="932" t="s">
        <v>310</v>
      </c>
      <c r="H1166" s="932" t="str">
        <f>VLOOKUP($C1166,Table1[#All],3,0)</f>
        <v>Subsidiaries</v>
      </c>
      <c r="I1166" s="932" t="str" cm="1">
        <f t="array" ref="I1166">_xlfn.XLOOKUP(Acc_Char!$E1166,Table4[[#All],[Branch]],Table4[[#All],[Bank]],"recheck",0)</f>
        <v>BIDV - THANH XUAN</v>
      </c>
    </row>
    <row r="1167" spans="1:9">
      <c r="A1167" s="998">
        <f t="shared" si="18"/>
        <v>1164</v>
      </c>
      <c r="B1167" s="1004" t="s">
        <v>3720</v>
      </c>
      <c r="C1167" s="1000" t="s">
        <v>2974</v>
      </c>
      <c r="D1167" s="932" t="str">
        <f>VLOOKUP($C1167,Table1[#All],2,0)</f>
        <v>BWID HAI DUONG 3</v>
      </c>
      <c r="E1167" s="932" t="s">
        <v>92</v>
      </c>
      <c r="F1167" s="998" t="s">
        <v>80</v>
      </c>
      <c r="G1167" s="932" t="s">
        <v>310</v>
      </c>
      <c r="H1167" s="932" t="str">
        <f>VLOOKUP($C1167,Table1[#All],3,0)</f>
        <v>Subsidiaries</v>
      </c>
      <c r="I1167" s="932" t="str" cm="1">
        <f t="array" ref="I1167">_xlfn.XLOOKUP(Acc_Char!$E1167,Table4[[#All],[Branch]],Table4[[#All],[Bank]],"recheck",0)</f>
        <v>BIDV - THANH XUAN</v>
      </c>
    </row>
    <row r="1168" spans="1:9">
      <c r="A1168" s="998">
        <f t="shared" si="18"/>
        <v>1165</v>
      </c>
      <c r="B1168" s="1004" t="s">
        <v>3721</v>
      </c>
      <c r="C1168" s="1000" t="s">
        <v>2974</v>
      </c>
      <c r="D1168" s="932" t="str">
        <f>VLOOKUP($C1168,Table1[#All],2,0)</f>
        <v>BWID HAI DUONG 3</v>
      </c>
      <c r="E1168" s="932" t="s">
        <v>92</v>
      </c>
      <c r="F1168" s="998" t="s">
        <v>80</v>
      </c>
      <c r="G1168" s="932" t="s">
        <v>310</v>
      </c>
      <c r="H1168" s="932" t="str">
        <f>VLOOKUP($C1168,Table1[#All],3,0)</f>
        <v>Subsidiaries</v>
      </c>
      <c r="I1168" s="932" t="str" cm="1">
        <f t="array" ref="I1168">_xlfn.XLOOKUP(Acc_Char!$E1168,Table4[[#All],[Branch]],Table4[[#All],[Bank]],"recheck",0)</f>
        <v>BIDV - THANH XUAN</v>
      </c>
    </row>
    <row r="1169" spans="1:9">
      <c r="A1169" s="998">
        <f t="shared" si="18"/>
        <v>1166</v>
      </c>
      <c r="B1169" s="1004" t="s">
        <v>1068</v>
      </c>
      <c r="C1169" s="1000" t="s">
        <v>2974</v>
      </c>
      <c r="D1169" s="932" t="str">
        <f>VLOOKUP($C1169,Table1[#All],2,0)</f>
        <v>BWID HAI DUONG 3</v>
      </c>
      <c r="E1169" s="932" t="s">
        <v>92</v>
      </c>
      <c r="F1169" s="998" t="s">
        <v>80</v>
      </c>
      <c r="G1169" s="932" t="s">
        <v>310</v>
      </c>
      <c r="H1169" s="932" t="str">
        <f>VLOOKUP($C1169,Table1[#All],3,0)</f>
        <v>Subsidiaries</v>
      </c>
      <c r="I1169" s="932" t="str" cm="1">
        <f t="array" ref="I1169">_xlfn.XLOOKUP(Acc_Char!$E1169,Table4[[#All],[Branch]],Table4[[#All],[Bank]],"recheck",0)</f>
        <v>BIDV - THANH XUAN</v>
      </c>
    </row>
    <row r="1170" spans="1:9">
      <c r="A1170" s="998">
        <f t="shared" si="18"/>
        <v>1167</v>
      </c>
      <c r="B1170" s="1004" t="s">
        <v>3722</v>
      </c>
      <c r="C1170" s="1000" t="s">
        <v>440</v>
      </c>
      <c r="D1170" s="932" t="str">
        <f>VLOOKUP($C1170,Table1[#All],2,0)</f>
        <v>BW NAM DINH VU</v>
      </c>
      <c r="E1170" s="932" t="s">
        <v>94</v>
      </c>
      <c r="F1170" s="998" t="s">
        <v>80</v>
      </c>
      <c r="G1170" s="932" t="s">
        <v>310</v>
      </c>
      <c r="H1170" s="932" t="str">
        <f>VLOOKUP($C1170,Table1[#All],3,0)</f>
        <v>Subsidiaries</v>
      </c>
      <c r="I1170" s="932" t="str" cm="1">
        <f t="array" ref="I1170">_xlfn.XLOOKUP(Acc_Char!$E1170,Table4[[#All],[Branch]],Table4[[#All],[Bank]],"recheck",0)</f>
        <v>BIDV - LONG BIEN</v>
      </c>
    </row>
    <row r="1171" spans="1:9">
      <c r="A1171" s="998">
        <f t="shared" si="18"/>
        <v>1168</v>
      </c>
      <c r="B1171" s="1004" t="s">
        <v>3723</v>
      </c>
      <c r="C1171" s="1000" t="s">
        <v>3277</v>
      </c>
      <c r="D1171" s="932" t="str">
        <f>VLOOKUP($C1171,Table1[#All],2,0)</f>
        <v>THUAN THANH 3B</v>
      </c>
      <c r="E1171" s="932" t="s">
        <v>89</v>
      </c>
      <c r="F1171" s="998" t="s">
        <v>80</v>
      </c>
      <c r="G1171" s="932" t="s">
        <v>310</v>
      </c>
      <c r="H1171" s="932" t="str">
        <f>VLOOKUP($C1171,Table1[#All],3,0)</f>
        <v>Subsidiaries</v>
      </c>
      <c r="I1171" s="932" t="str" cm="1">
        <f t="array" ref="I1171">_xlfn.XLOOKUP(Acc_Char!$E1171,Table4[[#All],[Branch]],Table4[[#All],[Bank]],"recheck",0)</f>
        <v>VIETCOMBANK - BA DINH</v>
      </c>
    </row>
    <row r="1172" spans="1:9">
      <c r="A1172" s="998">
        <f t="shared" si="18"/>
        <v>1169</v>
      </c>
      <c r="B1172" s="1004" t="s">
        <v>3724</v>
      </c>
      <c r="C1172" s="1000" t="s">
        <v>436</v>
      </c>
      <c r="D1172" s="932" t="str">
        <f>VLOOKUP($C1172,Table1[#All],2,0)</f>
        <v>BW NAM HAI</v>
      </c>
      <c r="E1172" s="932" t="s">
        <v>89</v>
      </c>
      <c r="F1172" s="998" t="s">
        <v>80</v>
      </c>
      <c r="G1172" s="932" t="s">
        <v>310</v>
      </c>
      <c r="H1172" s="932" t="str">
        <f>VLOOKUP($C1172,Table1[#All],3,0)</f>
        <v>Subsidiaries</v>
      </c>
      <c r="I1172" s="932" t="str" cm="1">
        <f t="array" ref="I1172">_xlfn.XLOOKUP(Acc_Char!$E1172,Table4[[#All],[Branch]],Table4[[#All],[Bank]],"recheck",0)</f>
        <v>VIETCOMBANK - BA DINH</v>
      </c>
    </row>
    <row r="1173" spans="1:9">
      <c r="A1173" s="998">
        <f t="shared" si="18"/>
        <v>1170</v>
      </c>
      <c r="B1173" s="1004" t="s">
        <v>3725</v>
      </c>
      <c r="C1173" s="1000" t="s">
        <v>436</v>
      </c>
      <c r="D1173" s="932" t="str">
        <f>VLOOKUP($C1173,Table1[#All],2,0)</f>
        <v>BW NAM HAI</v>
      </c>
      <c r="E1173" s="932" t="s">
        <v>89</v>
      </c>
      <c r="F1173" s="998" t="s">
        <v>80</v>
      </c>
      <c r="G1173" s="932" t="s">
        <v>310</v>
      </c>
      <c r="H1173" s="932" t="str">
        <f>VLOOKUP($C1173,Table1[#All],3,0)</f>
        <v>Subsidiaries</v>
      </c>
      <c r="I1173" s="932" t="str" cm="1">
        <f t="array" ref="I1173">_xlfn.XLOOKUP(Acc_Char!$E1173,Table4[[#All],[Branch]],Table4[[#All],[Bank]],"recheck",0)</f>
        <v>VIETCOMBANK - BA DINH</v>
      </c>
    </row>
    <row r="1174" spans="1:9">
      <c r="A1174" s="998">
        <f t="shared" si="18"/>
        <v>1171</v>
      </c>
      <c r="B1174" s="1004" t="s">
        <v>3726</v>
      </c>
      <c r="C1174" s="1000" t="s">
        <v>3309</v>
      </c>
      <c r="D1174" s="932" t="str">
        <f>VLOOKUP($C1174,Table1[#All],2,0)</f>
        <v>LE MINH XUAN 3</v>
      </c>
      <c r="E1174" s="932" t="s">
        <v>191</v>
      </c>
      <c r="F1174" s="998" t="s">
        <v>80</v>
      </c>
      <c r="G1174" s="932" t="s">
        <v>310</v>
      </c>
      <c r="H1174" s="932" t="str">
        <f>VLOOKUP($C1174,Table1[#All],3,0)</f>
        <v>Subsidiaries</v>
      </c>
      <c r="I1174" s="932" t="str" cm="1">
        <f t="array" ref="I1174">_xlfn.XLOOKUP(Acc_Char!$E1174,Table4[[#All],[Branch]],Table4[[#All],[Bank]],"recheck",0)</f>
        <v>VIETINBANK - TPHCM</v>
      </c>
    </row>
    <row r="1175" spans="1:9">
      <c r="A1175" s="998">
        <f t="shared" si="18"/>
        <v>1172</v>
      </c>
      <c r="B1175" s="1004" t="s">
        <v>3727</v>
      </c>
      <c r="C1175" s="1000" t="s">
        <v>389</v>
      </c>
      <c r="D1175" s="932" t="str">
        <f>VLOOKUP($C1175,Table1[#All],2,0)</f>
        <v>BWID BINH DUONG</v>
      </c>
      <c r="E1175" s="932" t="s">
        <v>92</v>
      </c>
      <c r="F1175" s="998" t="s">
        <v>80</v>
      </c>
      <c r="G1175" s="932" t="s">
        <v>310</v>
      </c>
      <c r="H1175" s="932" t="str">
        <f>VLOOKUP($C1175,Table1[#All],3,0)</f>
        <v>BWID JSC</v>
      </c>
      <c r="I1175" s="932" t="str" cm="1">
        <f t="array" ref="I1175">_xlfn.XLOOKUP(Acc_Char!$E1175,Table4[[#All],[Branch]],Table4[[#All],[Bank]],"recheck",0)</f>
        <v>BIDV - THANH XUAN</v>
      </c>
    </row>
    <row r="1176" spans="1:9">
      <c r="A1176" s="998">
        <f t="shared" si="18"/>
        <v>1173</v>
      </c>
      <c r="B1176" s="1004" t="s">
        <v>1069</v>
      </c>
      <c r="C1176" s="1000" t="s">
        <v>389</v>
      </c>
      <c r="D1176" s="932" t="str">
        <f>VLOOKUP($C1176,Table1[#All],2,0)</f>
        <v>BWID BINH DUONG</v>
      </c>
      <c r="E1176" s="932" t="s">
        <v>92</v>
      </c>
      <c r="F1176" s="998" t="s">
        <v>80</v>
      </c>
      <c r="G1176" s="932" t="s">
        <v>310</v>
      </c>
      <c r="H1176" s="932" t="str">
        <f>VLOOKUP($C1176,Table1[#All],3,0)</f>
        <v>BWID JSC</v>
      </c>
      <c r="I1176" s="932" t="str" cm="1">
        <f t="array" ref="I1176">_xlfn.XLOOKUP(Acc_Char!$E1176,Table4[[#All],[Branch]],Table4[[#All],[Bank]],"recheck",0)</f>
        <v>BIDV - THANH XUAN</v>
      </c>
    </row>
    <row r="1177" spans="1:9">
      <c r="A1177" s="998">
        <f t="shared" si="18"/>
        <v>1174</v>
      </c>
      <c r="B1177" s="1004" t="s">
        <v>3728</v>
      </c>
      <c r="C1177" s="1000" t="s">
        <v>445</v>
      </c>
      <c r="D1177" s="932" t="str">
        <f>VLOOKUP($C1177,Table1[#All],2,0)</f>
        <v>BW PHU NGHIA</v>
      </c>
      <c r="E1177" s="932" t="s">
        <v>92</v>
      </c>
      <c r="F1177" s="998" t="s">
        <v>80</v>
      </c>
      <c r="G1177" s="932" t="s">
        <v>310</v>
      </c>
      <c r="H1177" s="932" t="str">
        <f>VLOOKUP($C1177,Table1[#All],3,0)</f>
        <v>Subsidiaries</v>
      </c>
      <c r="I1177" s="932" t="str" cm="1">
        <f t="array" ref="I1177">_xlfn.XLOOKUP(Acc_Char!$E1177,Table4[[#All],[Branch]],Table4[[#All],[Bank]],"recheck",0)</f>
        <v>BIDV - THANH XUAN</v>
      </c>
    </row>
    <row r="1178" spans="1:9">
      <c r="A1178" s="998">
        <f t="shared" si="18"/>
        <v>1175</v>
      </c>
      <c r="B1178" s="1004" t="s">
        <v>3729</v>
      </c>
      <c r="C1178" s="1000" t="s">
        <v>440</v>
      </c>
      <c r="D1178" s="932" t="str">
        <f>VLOOKUP($C1178,Table1[#All],2,0)</f>
        <v>BW NAM DINH VU</v>
      </c>
      <c r="E1178" s="932" t="s">
        <v>94</v>
      </c>
      <c r="F1178" s="998" t="s">
        <v>80</v>
      </c>
      <c r="G1178" s="932" t="s">
        <v>310</v>
      </c>
      <c r="H1178" s="932" t="str">
        <f>VLOOKUP($C1178,Table1[#All],3,0)</f>
        <v>Subsidiaries</v>
      </c>
      <c r="I1178" s="932" t="str" cm="1">
        <f t="array" ref="I1178">_xlfn.XLOOKUP(Acc_Char!$E1178,Table4[[#All],[Branch]],Table4[[#All],[Bank]],"recheck",0)</f>
        <v>BIDV - LONG BIEN</v>
      </c>
    </row>
    <row r="1179" spans="1:9">
      <c r="A1179" s="998">
        <f t="shared" si="18"/>
        <v>1176</v>
      </c>
      <c r="B1179" s="1002" t="s">
        <v>3730</v>
      </c>
      <c r="C1179" s="1003" t="s">
        <v>2980</v>
      </c>
      <c r="D1179" s="932" t="str">
        <f>VLOOKUP($C1179,Table1[#All],2,0)</f>
        <v>BWID THOI HOA</v>
      </c>
      <c r="E1179" s="999" t="s">
        <v>95</v>
      </c>
      <c r="F1179" s="998" t="s">
        <v>80</v>
      </c>
      <c r="G1179" s="932" t="s">
        <v>310</v>
      </c>
      <c r="H1179" s="932" t="str">
        <f>VLOOKUP($C1179,Table1[#All],3,0)</f>
        <v>Subsidiaries</v>
      </c>
      <c r="I1179" s="932" t="str" cm="1">
        <f t="array" ref="I1179">_xlfn.XLOOKUP(Acc_Char!$E1179,Table4[[#All],[Branch]],Table4[[#All],[Bank]],"recheck",0)</f>
        <v>OCB - BINH DUONG</v>
      </c>
    </row>
    <row r="1180" spans="1:9">
      <c r="A1180" s="998">
        <f t="shared" si="18"/>
        <v>1177</v>
      </c>
      <c r="B1180" s="1004" t="s">
        <v>1075</v>
      </c>
      <c r="C1180" s="1000" t="s">
        <v>3571</v>
      </c>
      <c r="D1180" s="932" t="str">
        <f>VLOOKUP($C1180,Table1[#All],2,0)</f>
        <v>PHUC DIEN</v>
      </c>
      <c r="E1180" s="932" t="s">
        <v>89</v>
      </c>
      <c r="F1180" s="998" t="s">
        <v>80</v>
      </c>
      <c r="G1180" s="932" t="s">
        <v>308</v>
      </c>
      <c r="H1180" s="932" t="str">
        <f>VLOOKUP($C1180,Table1[#All],3,0)</f>
        <v>Subsidiaries</v>
      </c>
      <c r="I1180" s="932" t="str" cm="1">
        <f t="array" ref="I1180">_xlfn.XLOOKUP(Acc_Char!$E1180,Table4[[#All],[Branch]],Table4[[#All],[Bank]],"recheck",0)</f>
        <v>VIETCOMBANK - BA DINH</v>
      </c>
    </row>
    <row r="1181" spans="1:9">
      <c r="A1181" s="998">
        <f t="shared" si="18"/>
        <v>1178</v>
      </c>
      <c r="B1181" s="1004" t="s">
        <v>3731</v>
      </c>
      <c r="C1181" s="1000" t="s">
        <v>3571</v>
      </c>
      <c r="D1181" s="932" t="str">
        <f>VLOOKUP($C1181,Table1[#All],2,0)</f>
        <v>PHUC DIEN</v>
      </c>
      <c r="E1181" s="932" t="s">
        <v>89</v>
      </c>
      <c r="F1181" s="998" t="s">
        <v>80</v>
      </c>
      <c r="G1181" s="932" t="s">
        <v>310</v>
      </c>
      <c r="H1181" s="932" t="str">
        <f>VLOOKUP($C1181,Table1[#All],3,0)</f>
        <v>Subsidiaries</v>
      </c>
      <c r="I1181" s="932" t="str" cm="1">
        <f t="array" ref="I1181">_xlfn.XLOOKUP(Acc_Char!$E1181,Table4[[#All],[Branch]],Table4[[#All],[Bank]],"recheck",0)</f>
        <v>VIETCOMBANK - BA DINH</v>
      </c>
    </row>
    <row r="1182" spans="1:9">
      <c r="A1182" s="998">
        <f t="shared" si="18"/>
        <v>1179</v>
      </c>
      <c r="B1182" s="1004" t="s">
        <v>3732</v>
      </c>
      <c r="C1182" s="1000" t="s">
        <v>3250</v>
      </c>
      <c r="D1182" s="932" t="str">
        <f>VLOOKUP($C1182,Table1[#All],2,0)</f>
        <v>BW MY PHUOC 3</v>
      </c>
      <c r="E1182" s="932" t="s">
        <v>153</v>
      </c>
      <c r="F1182" s="998" t="s">
        <v>80</v>
      </c>
      <c r="G1182" s="932" t="s">
        <v>310</v>
      </c>
      <c r="H1182" s="932" t="str">
        <f>VLOOKUP($C1182,Table1[#All],3,0)</f>
        <v>Subsidiaries</v>
      </c>
      <c r="I1182" s="932" t="str" cm="1">
        <f t="array" ref="I1182">_xlfn.XLOOKUP(Acc_Char!$E1182,Table4[[#All],[Branch]],Table4[[#All],[Bank]],"recheck",0)</f>
        <v>VIETINBANK - BINH DUONG + QM</v>
      </c>
    </row>
    <row r="1183" spans="1:9">
      <c r="A1183" s="998">
        <f t="shared" si="18"/>
        <v>1180</v>
      </c>
      <c r="B1183" s="1004" t="s">
        <v>3733</v>
      </c>
      <c r="C1183" s="1000" t="s">
        <v>3250</v>
      </c>
      <c r="D1183" s="932" t="str">
        <f>VLOOKUP($C1183,Table1[#All],2,0)</f>
        <v>BW MY PHUOC 3</v>
      </c>
      <c r="E1183" s="932" t="s">
        <v>153</v>
      </c>
      <c r="F1183" s="998" t="s">
        <v>80</v>
      </c>
      <c r="G1183" s="932" t="s">
        <v>310</v>
      </c>
      <c r="H1183" s="932" t="str">
        <f>VLOOKUP($C1183,Table1[#All],3,0)</f>
        <v>Subsidiaries</v>
      </c>
      <c r="I1183" s="932" t="str" cm="1">
        <f t="array" ref="I1183">_xlfn.XLOOKUP(Acc_Char!$E1183,Table4[[#All],[Branch]],Table4[[#All],[Bank]],"recheck",0)</f>
        <v>VIETINBANK - BINH DUONG + QM</v>
      </c>
    </row>
    <row r="1184" spans="1:9">
      <c r="A1184" s="998">
        <f t="shared" si="18"/>
        <v>1181</v>
      </c>
      <c r="B1184" s="1004" t="s">
        <v>3734</v>
      </c>
      <c r="C1184" s="1000" t="s">
        <v>3052</v>
      </c>
      <c r="D1184" s="932" t="str">
        <f>VLOOKUP($C1184,Table1[#All],2,0)</f>
        <v>GREAT KINGDOM NT 2</v>
      </c>
      <c r="E1184" s="932" t="s">
        <v>86</v>
      </c>
      <c r="F1184" s="998" t="s">
        <v>80</v>
      </c>
      <c r="G1184" s="932" t="s">
        <v>310</v>
      </c>
      <c r="H1184" s="932" t="str">
        <f>VLOOKUP($C1184,Table1[#All],3,0)</f>
        <v>Subsidiaries</v>
      </c>
      <c r="I1184" s="932" t="str" cm="1">
        <f t="array" ref="I1184">_xlfn.XLOOKUP(Acc_Char!$E1184,Table4[[#All],[Branch]],Table4[[#All],[Bank]],"recheck",0)</f>
        <v>VIETINBANK - CN1</v>
      </c>
    </row>
    <row r="1185" spans="1:9">
      <c r="A1185" s="998">
        <f t="shared" si="18"/>
        <v>1182</v>
      </c>
      <c r="B1185" s="1004" t="s">
        <v>3735</v>
      </c>
      <c r="C1185" s="1000" t="s">
        <v>3052</v>
      </c>
      <c r="D1185" s="932" t="str">
        <f>VLOOKUP($C1185,Table1[#All],2,0)</f>
        <v>GREAT KINGDOM NT 2</v>
      </c>
      <c r="E1185" s="932" t="s">
        <v>86</v>
      </c>
      <c r="F1185" s="998" t="s">
        <v>80</v>
      </c>
      <c r="G1185" s="932" t="s">
        <v>310</v>
      </c>
      <c r="H1185" s="932" t="str">
        <f>VLOOKUP($C1185,Table1[#All],3,0)</f>
        <v>Subsidiaries</v>
      </c>
      <c r="I1185" s="932" t="str" cm="1">
        <f t="array" ref="I1185">_xlfn.XLOOKUP(Acc_Char!$E1185,Table4[[#All],[Branch]],Table4[[#All],[Bank]],"recheck",0)</f>
        <v>VIETINBANK - CN1</v>
      </c>
    </row>
    <row r="1186" spans="1:9">
      <c r="A1186" s="998">
        <f t="shared" si="18"/>
        <v>1183</v>
      </c>
      <c r="B1186" s="1004" t="s">
        <v>3736</v>
      </c>
      <c r="C1186" s="1000" t="s">
        <v>3160</v>
      </c>
      <c r="D1186" s="932" t="str">
        <f>VLOOKUP($C1186,Table1[#All],2,0)</f>
        <v>BWID Tan Phu Trung</v>
      </c>
      <c r="E1186" s="932" t="s">
        <v>85</v>
      </c>
      <c r="F1186" s="998" t="s">
        <v>80</v>
      </c>
      <c r="G1186" s="932" t="s">
        <v>310</v>
      </c>
      <c r="H1186" s="932" t="str">
        <f>VLOOKUP($C1186,Table1[#All],3,0)</f>
        <v>Subsidiaries</v>
      </c>
      <c r="I1186" s="932" t="str" cm="1">
        <f t="array" ref="I1186">_xlfn.XLOOKUP(Acc_Char!$E1186,Table4[[#All],[Branch]],Table4[[#All],[Bank]],"recheck",0)</f>
        <v>VIETINBANK - TIEN SON</v>
      </c>
    </row>
    <row r="1187" spans="1:9">
      <c r="A1187" s="998">
        <f t="shared" si="18"/>
        <v>1184</v>
      </c>
      <c r="B1187" s="1004" t="s">
        <v>3737</v>
      </c>
      <c r="C1187" s="1000" t="s">
        <v>3160</v>
      </c>
      <c r="D1187" s="932" t="str">
        <f>VLOOKUP($C1187,Table1[#All],2,0)</f>
        <v>BWID Tan Phu Trung</v>
      </c>
      <c r="E1187" s="932" t="s">
        <v>85</v>
      </c>
      <c r="F1187" s="998" t="s">
        <v>80</v>
      </c>
      <c r="G1187" s="932" t="s">
        <v>310</v>
      </c>
      <c r="H1187" s="932" t="str">
        <f>VLOOKUP($C1187,Table1[#All],3,0)</f>
        <v>Subsidiaries</v>
      </c>
      <c r="I1187" s="932" t="str" cm="1">
        <f t="array" ref="I1187">_xlfn.XLOOKUP(Acc_Char!$E1187,Table4[[#All],[Branch]],Table4[[#All],[Bank]],"recheck",0)</f>
        <v>VIETINBANK - TIEN SON</v>
      </c>
    </row>
    <row r="1188" spans="1:9">
      <c r="A1188" s="998">
        <f t="shared" si="18"/>
        <v>1185</v>
      </c>
      <c r="B1188" s="1004" t="s">
        <v>3738</v>
      </c>
      <c r="C1188" s="1000" t="s">
        <v>2969</v>
      </c>
      <c r="D1188" s="932" t="str">
        <f>VLOOKUP($C1188,Table1[#All],2,0)</f>
        <v>BWID NHON TRACH</v>
      </c>
      <c r="E1188" s="932" t="s">
        <v>91</v>
      </c>
      <c r="F1188" s="998" t="s">
        <v>80</v>
      </c>
      <c r="G1188" s="932" t="s">
        <v>310</v>
      </c>
      <c r="H1188" s="932" t="str">
        <f>VLOOKUP($C1188,Table1[#All],3,0)</f>
        <v>Subsidiaries</v>
      </c>
      <c r="I1188" s="932" t="str" cm="1">
        <f t="array" ref="I1188">_xlfn.XLOOKUP(Acc_Char!$E1188,Table4[[#All],[Branch]],Table4[[#All],[Bank]],"recheck",0)</f>
        <v>VIETCOMBANK - HCM</v>
      </c>
    </row>
    <row r="1189" spans="1:9">
      <c r="A1189" s="998">
        <f t="shared" si="18"/>
        <v>1186</v>
      </c>
      <c r="B1189" s="1004" t="s">
        <v>3739</v>
      </c>
      <c r="C1189" s="1000" t="s">
        <v>2969</v>
      </c>
      <c r="D1189" s="932" t="str">
        <f>VLOOKUP($C1189,Table1[#All],2,0)</f>
        <v>BWID NHON TRACH</v>
      </c>
      <c r="E1189" s="932" t="s">
        <v>91</v>
      </c>
      <c r="F1189" s="998" t="s">
        <v>80</v>
      </c>
      <c r="G1189" s="932" t="s">
        <v>310</v>
      </c>
      <c r="H1189" s="932" t="str">
        <f>VLOOKUP($C1189,Table1[#All],3,0)</f>
        <v>Subsidiaries</v>
      </c>
      <c r="I1189" s="932" t="str" cm="1">
        <f t="array" ref="I1189">_xlfn.XLOOKUP(Acc_Char!$E1189,Table4[[#All],[Branch]],Table4[[#All],[Bank]],"recheck",0)</f>
        <v>VIETCOMBANK - HCM</v>
      </c>
    </row>
    <row r="1190" spans="1:9">
      <c r="A1190" s="998">
        <f t="shared" si="18"/>
        <v>1187</v>
      </c>
      <c r="B1190" s="1004" t="s">
        <v>3740</v>
      </c>
      <c r="C1190" s="1000" t="s">
        <v>389</v>
      </c>
      <c r="D1190" s="932" t="str">
        <f>VLOOKUP($C1190,Table1[#All],2,0)</f>
        <v>BWID BINH DUONG</v>
      </c>
      <c r="E1190" s="932" t="s">
        <v>98</v>
      </c>
      <c r="F1190" s="998" t="s">
        <v>80</v>
      </c>
      <c r="G1190" s="932" t="s">
        <v>310</v>
      </c>
      <c r="H1190" s="932" t="str">
        <f>VLOOKUP($C1190,Table1[#All],3,0)</f>
        <v>BWID JSC</v>
      </c>
      <c r="I1190" s="932" t="str" cm="1">
        <f t="array" ref="I1190">_xlfn.XLOOKUP(Acc_Char!$E1190,Table4[[#All],[Branch]],Table4[[#All],[Bank]],"recheck",0)</f>
        <v>SINOPAC</v>
      </c>
    </row>
    <row r="1191" spans="1:9">
      <c r="A1191" s="998">
        <f t="shared" si="18"/>
        <v>1188</v>
      </c>
      <c r="B1191" s="1004" t="s">
        <v>3741</v>
      </c>
      <c r="C1191" s="1000" t="s">
        <v>2998</v>
      </c>
      <c r="D1191" s="932" t="str">
        <f>VLOOKUP($C1191,Table1[#All],2,0)</f>
        <v>BWID THOI HOA 2</v>
      </c>
      <c r="E1191" s="932" t="s">
        <v>971</v>
      </c>
      <c r="F1191" s="998" t="s">
        <v>80</v>
      </c>
      <c r="G1191" s="932" t="s">
        <v>310</v>
      </c>
      <c r="H1191" s="932" t="str">
        <f>VLOOKUP($C1191,Table1[#All],3,0)</f>
        <v>Subsidiaries</v>
      </c>
      <c r="I1191" s="932" t="str" cm="1">
        <f t="array" ref="I1191">_xlfn.XLOOKUP(Acc_Char!$E1191,Table4[[#All],[Branch]],Table4[[#All],[Bank]],"recheck",0)</f>
        <v>OTHERS</v>
      </c>
    </row>
    <row r="1192" spans="1:9">
      <c r="A1192" s="998">
        <f t="shared" si="18"/>
        <v>1189</v>
      </c>
      <c r="B1192" s="1004" t="s">
        <v>1070</v>
      </c>
      <c r="C1192" s="1000" t="s">
        <v>3572</v>
      </c>
      <c r="D1192" s="932" t="str">
        <f>VLOOKUP($C1192,Table1[#All],2,0)</f>
        <v>TAY NAM A</v>
      </c>
      <c r="E1192" s="932" t="s">
        <v>971</v>
      </c>
      <c r="F1192" s="998" t="s">
        <v>80</v>
      </c>
      <c r="G1192" s="932" t="s">
        <v>308</v>
      </c>
      <c r="H1192" s="932" t="str">
        <f>VLOOKUP($C1192,Table1[#All],3,0)</f>
        <v>Subsidiaries</v>
      </c>
      <c r="I1192" s="932" t="str" cm="1">
        <f t="array" ref="I1192">_xlfn.XLOOKUP(Acc_Char!$E1192,Table4[[#All],[Branch]],Table4[[#All],[Bank]],"recheck",0)</f>
        <v>OTHERS</v>
      </c>
    </row>
    <row r="1193" spans="1:9">
      <c r="A1193" s="998">
        <f t="shared" si="18"/>
        <v>1190</v>
      </c>
      <c r="B1193" s="1004" t="s">
        <v>1281</v>
      </c>
      <c r="C1193" s="1000" t="s">
        <v>3564</v>
      </c>
      <c r="D1193" s="932" t="str">
        <f>VLOOKUP($C1193,Table1[#All],2,0)</f>
        <v>QV2 LLC</v>
      </c>
      <c r="E1193" s="932" t="s">
        <v>96</v>
      </c>
      <c r="F1193" s="998" t="s">
        <v>80</v>
      </c>
      <c r="G1193" s="932" t="s">
        <v>308</v>
      </c>
      <c r="H1193" s="932" t="str">
        <f>VLOOKUP($C1193,Table1[#All],3,0)</f>
        <v>Subsidiaries</v>
      </c>
      <c r="I1193" s="932" t="str" cm="1">
        <f t="array" ref="I1193">_xlfn.XLOOKUP(Acc_Char!$E1193,Table4[[#All],[Branch]],Table4[[#All],[Bank]],"recheck",0)</f>
        <v>VIB - HOI SO</v>
      </c>
    </row>
    <row r="1194" spans="1:9">
      <c r="A1194" s="998">
        <f t="shared" si="18"/>
        <v>1191</v>
      </c>
      <c r="B1194" s="1004" t="s">
        <v>1071</v>
      </c>
      <c r="C1194" s="1000" t="s">
        <v>389</v>
      </c>
      <c r="D1194" s="932" t="str">
        <f>VLOOKUP($C1194,Table1[#All],2,0)</f>
        <v>BWID BINH DUONG</v>
      </c>
      <c r="E1194" s="932" t="s">
        <v>153</v>
      </c>
      <c r="F1194" s="998" t="s">
        <v>80</v>
      </c>
      <c r="G1194" s="932" t="s">
        <v>310</v>
      </c>
      <c r="H1194" s="932" t="str">
        <f>VLOOKUP($C1194,Table1[#All],3,0)</f>
        <v>BWID JSC</v>
      </c>
      <c r="I1194" s="932" t="str" cm="1">
        <f t="array" ref="I1194">_xlfn.XLOOKUP(Acc_Char!$E1194,Table4[[#All],[Branch]],Table4[[#All],[Bank]],"recheck",0)</f>
        <v>VIETINBANK - BINH DUONG + QM</v>
      </c>
    </row>
    <row r="1195" spans="1:9">
      <c r="A1195" s="998">
        <f t="shared" si="18"/>
        <v>1192</v>
      </c>
      <c r="B1195" s="1004" t="s">
        <v>3742</v>
      </c>
      <c r="C1195" s="1000" t="s">
        <v>426</v>
      </c>
      <c r="D1195" s="932" t="str">
        <f>VLOOKUP($C1195,Table1[#All],2,0)</f>
        <v>BAU BANG 5</v>
      </c>
      <c r="E1195" s="932" t="s">
        <v>153</v>
      </c>
      <c r="F1195" s="998" t="s">
        <v>80</v>
      </c>
      <c r="G1195" s="932" t="s">
        <v>310</v>
      </c>
      <c r="H1195" s="932" t="str">
        <f>VLOOKUP($C1195,Table1[#All],3,0)</f>
        <v>Subsidiaries</v>
      </c>
      <c r="I1195" s="932" t="str" cm="1">
        <f t="array" ref="I1195">_xlfn.XLOOKUP(Acc_Char!$E1195,Table4[[#All],[Branch]],Table4[[#All],[Bank]],"recheck",0)</f>
        <v>VIETINBANK - BINH DUONG + QM</v>
      </c>
    </row>
    <row r="1196" spans="1:9">
      <c r="A1196" s="998">
        <f t="shared" si="18"/>
        <v>1193</v>
      </c>
      <c r="B1196" s="1004" t="s">
        <v>3743</v>
      </c>
      <c r="C1196" s="1000" t="s">
        <v>426</v>
      </c>
      <c r="D1196" s="932" t="str">
        <f>VLOOKUP($C1196,Table1[#All],2,0)</f>
        <v>BAU BANG 5</v>
      </c>
      <c r="E1196" s="932" t="s">
        <v>153</v>
      </c>
      <c r="F1196" s="998" t="s">
        <v>80</v>
      </c>
      <c r="G1196" s="932" t="s">
        <v>310</v>
      </c>
      <c r="H1196" s="932" t="str">
        <f>VLOOKUP($C1196,Table1[#All],3,0)</f>
        <v>Subsidiaries</v>
      </c>
      <c r="I1196" s="932" t="str" cm="1">
        <f t="array" ref="I1196">_xlfn.XLOOKUP(Acc_Char!$E1196,Table4[[#All],[Branch]],Table4[[#All],[Bank]],"recheck",0)</f>
        <v>VIETINBANK - BINH DUONG + QM</v>
      </c>
    </row>
    <row r="1197" spans="1:9">
      <c r="A1197" s="998">
        <f t="shared" si="18"/>
        <v>1194</v>
      </c>
      <c r="B1197" s="1004" t="s">
        <v>3744</v>
      </c>
      <c r="C1197" s="1000" t="s">
        <v>426</v>
      </c>
      <c r="D1197" s="932" t="str">
        <f>VLOOKUP($C1197,Table1[#All],2,0)</f>
        <v>BAU BANG 5</v>
      </c>
      <c r="E1197" s="932" t="s">
        <v>153</v>
      </c>
      <c r="F1197" s="998" t="s">
        <v>80</v>
      </c>
      <c r="G1197" s="932" t="s">
        <v>310</v>
      </c>
      <c r="H1197" s="932" t="str">
        <f>VLOOKUP($C1197,Table1[#All],3,0)</f>
        <v>Subsidiaries</v>
      </c>
      <c r="I1197" s="932" t="str" cm="1">
        <f t="array" ref="I1197">_xlfn.XLOOKUP(Acc_Char!$E1197,Table4[[#All],[Branch]],Table4[[#All],[Bank]],"recheck",0)</f>
        <v>VIETINBANK - BINH DUONG + QM</v>
      </c>
    </row>
    <row r="1198" spans="1:9">
      <c r="A1198" s="998">
        <f t="shared" si="18"/>
        <v>1195</v>
      </c>
      <c r="B1198" s="1004" t="s">
        <v>3745</v>
      </c>
      <c r="C1198" s="1000" t="s">
        <v>3237</v>
      </c>
      <c r="D1198" s="932" t="str">
        <f>VLOOKUP($C1198,Table1[#All],2,0)</f>
        <v>LONG BINH</v>
      </c>
      <c r="E1198" s="932" t="s">
        <v>86</v>
      </c>
      <c r="F1198" s="998" t="s">
        <v>80</v>
      </c>
      <c r="G1198" s="932" t="s">
        <v>310</v>
      </c>
      <c r="H1198" s="932" t="str">
        <f>VLOOKUP($C1198,Table1[#All],3,0)</f>
        <v>Subsidiaries</v>
      </c>
      <c r="I1198" s="932" t="str" cm="1">
        <f t="array" ref="I1198">_xlfn.XLOOKUP(Acc_Char!$E1198,Table4[[#All],[Branch]],Table4[[#All],[Bank]],"recheck",0)</f>
        <v>VIETINBANK - CN1</v>
      </c>
    </row>
    <row r="1199" spans="1:9">
      <c r="A1199" s="998">
        <f t="shared" si="18"/>
        <v>1196</v>
      </c>
      <c r="B1199" s="1004" t="s">
        <v>3746</v>
      </c>
      <c r="C1199" s="1000" t="s">
        <v>3250</v>
      </c>
      <c r="D1199" s="932" t="str">
        <f>VLOOKUP($C1199,Table1[#All],2,0)</f>
        <v>BW MY PHUOC 3</v>
      </c>
      <c r="E1199" s="932" t="s">
        <v>153</v>
      </c>
      <c r="F1199" s="998" t="s">
        <v>80</v>
      </c>
      <c r="G1199" s="932" t="s">
        <v>310</v>
      </c>
      <c r="H1199" s="932" t="str">
        <f>VLOOKUP($C1199,Table1[#All],3,0)</f>
        <v>Subsidiaries</v>
      </c>
      <c r="I1199" s="932" t="str" cm="1">
        <f t="array" ref="I1199">_xlfn.XLOOKUP(Acc_Char!$E1199,Table4[[#All],[Branch]],Table4[[#All],[Bank]],"recheck",0)</f>
        <v>VIETINBANK - BINH DUONG + QM</v>
      </c>
    </row>
    <row r="1200" spans="1:9">
      <c r="A1200" s="998">
        <f t="shared" si="18"/>
        <v>1197</v>
      </c>
      <c r="B1200" s="1004" t="s">
        <v>1072</v>
      </c>
      <c r="C1200" s="1000" t="s">
        <v>3250</v>
      </c>
      <c r="D1200" s="932" t="str">
        <f>VLOOKUP($C1200,Table1[#All],2,0)</f>
        <v>BW MY PHUOC 3</v>
      </c>
      <c r="E1200" s="932" t="s">
        <v>153</v>
      </c>
      <c r="F1200" s="998" t="s">
        <v>80</v>
      </c>
      <c r="G1200" s="932" t="s">
        <v>310</v>
      </c>
      <c r="H1200" s="932" t="str">
        <f>VLOOKUP($C1200,Table1[#All],3,0)</f>
        <v>Subsidiaries</v>
      </c>
      <c r="I1200" s="932" t="str" cm="1">
        <f t="array" ref="I1200">_xlfn.XLOOKUP(Acc_Char!$E1200,Table4[[#All],[Branch]],Table4[[#All],[Bank]],"recheck",0)</f>
        <v>VIETINBANK - BINH DUONG + QM</v>
      </c>
    </row>
    <row r="1201" spans="1:9">
      <c r="A1201" s="998">
        <f t="shared" si="18"/>
        <v>1198</v>
      </c>
      <c r="B1201" s="1004" t="s">
        <v>1073</v>
      </c>
      <c r="C1201" s="1000" t="s">
        <v>3190</v>
      </c>
      <c r="D1201" s="932" t="str">
        <f>VLOOKUP($C1201,Table1[#All],2,0)</f>
        <v>NDV PROJECT CO</v>
      </c>
      <c r="E1201" s="932" t="s">
        <v>92</v>
      </c>
      <c r="F1201" s="998" t="s">
        <v>80</v>
      </c>
      <c r="G1201" s="932" t="s">
        <v>310</v>
      </c>
      <c r="H1201" s="932" t="str">
        <f>VLOOKUP($C1201,Table1[#All],3,0)</f>
        <v>Subsidiaries</v>
      </c>
      <c r="I1201" s="932" t="str" cm="1">
        <f t="array" ref="I1201">_xlfn.XLOOKUP(Acc_Char!$E1201,Table4[[#All],[Branch]],Table4[[#All],[Bank]],"recheck",0)</f>
        <v>BIDV - THANH XUAN</v>
      </c>
    </row>
    <row r="1202" spans="1:9">
      <c r="A1202" s="998">
        <f t="shared" si="18"/>
        <v>1199</v>
      </c>
      <c r="B1202" s="1004" t="s">
        <v>3747</v>
      </c>
      <c r="C1202" s="1000" t="s">
        <v>3010</v>
      </c>
      <c r="D1202" s="932" t="str">
        <f>VLOOKUP($C1202,Table1[#All],2,0)</f>
        <v>BWID LOGISTICS TAN UYEN</v>
      </c>
      <c r="E1202" s="932" t="s">
        <v>89</v>
      </c>
      <c r="F1202" s="998" t="s">
        <v>80</v>
      </c>
      <c r="G1202" s="932" t="s">
        <v>310</v>
      </c>
      <c r="H1202" s="932" t="str">
        <f>VLOOKUP($C1202,Table1[#All],3,0)</f>
        <v>Subsidiaries</v>
      </c>
      <c r="I1202" s="932" t="str" cm="1">
        <f t="array" ref="I1202">_xlfn.XLOOKUP(Acc_Char!$E1202,Table4[[#All],[Branch]],Table4[[#All],[Bank]],"recheck",0)</f>
        <v>VIETCOMBANK - BA DINH</v>
      </c>
    </row>
    <row r="1203" spans="1:9">
      <c r="A1203" s="998">
        <f t="shared" si="18"/>
        <v>1200</v>
      </c>
      <c r="B1203" s="1004" t="s">
        <v>1074</v>
      </c>
      <c r="C1203" s="1000" t="s">
        <v>3277</v>
      </c>
      <c r="D1203" s="932" t="str">
        <f>VLOOKUP($C1203,Table1[#All],2,0)</f>
        <v>THUAN THANH 3B</v>
      </c>
      <c r="E1203" s="932" t="s">
        <v>89</v>
      </c>
      <c r="F1203" s="998" t="s">
        <v>80</v>
      </c>
      <c r="G1203" s="932" t="s">
        <v>310</v>
      </c>
      <c r="H1203" s="932" t="str">
        <f>VLOOKUP($C1203,Table1[#All],3,0)</f>
        <v>Subsidiaries</v>
      </c>
      <c r="I1203" s="932" t="str" cm="1">
        <f t="array" ref="I1203">_xlfn.XLOOKUP(Acc_Char!$E1203,Table4[[#All],[Branch]],Table4[[#All],[Bank]],"recheck",0)</f>
        <v>VIETCOMBANK - BA DINH</v>
      </c>
    </row>
    <row r="1204" spans="1:9">
      <c r="A1204" s="998">
        <f t="shared" si="18"/>
        <v>1201</v>
      </c>
      <c r="B1204" s="1004" t="s">
        <v>3748</v>
      </c>
      <c r="C1204" s="1000" t="s">
        <v>389</v>
      </c>
      <c r="D1204" s="932" t="str">
        <f>VLOOKUP($C1204,Table1[#All],2,0)</f>
        <v>BWID BINH DUONG</v>
      </c>
      <c r="E1204" s="932" t="s">
        <v>98</v>
      </c>
      <c r="F1204" s="998" t="s">
        <v>80</v>
      </c>
      <c r="G1204" s="932" t="s">
        <v>310</v>
      </c>
      <c r="H1204" s="932" t="str">
        <f>VLOOKUP($C1204,Table1[#All],3,0)</f>
        <v>BWID JSC</v>
      </c>
      <c r="I1204" s="932" t="str" cm="1">
        <f t="array" ref="I1204">_xlfn.XLOOKUP(Acc_Char!$E1204,Table4[[#All],[Branch]],Table4[[#All],[Bank]],"recheck",0)</f>
        <v>SINOPAC</v>
      </c>
    </row>
    <row r="1205" spans="1:9">
      <c r="A1205" s="998">
        <f t="shared" si="18"/>
        <v>1202</v>
      </c>
      <c r="B1205" s="1004" t="s">
        <v>3749</v>
      </c>
      <c r="C1205" s="1000" t="s">
        <v>3572</v>
      </c>
      <c r="D1205" s="932" t="str">
        <f>VLOOKUP($C1205,Table1[#All],2,0)</f>
        <v>TAY NAM A</v>
      </c>
      <c r="E1205" s="932" t="s">
        <v>971</v>
      </c>
      <c r="F1205" s="998" t="s">
        <v>80</v>
      </c>
      <c r="G1205" s="932" t="s">
        <v>310</v>
      </c>
      <c r="H1205" s="932" t="str">
        <f>VLOOKUP($C1205,Table1[#All],3,0)</f>
        <v>Subsidiaries</v>
      </c>
      <c r="I1205" s="932" t="str" cm="1">
        <f t="array" ref="I1205">_xlfn.XLOOKUP(Acc_Char!$E1205,Table4[[#All],[Branch]],Table4[[#All],[Bank]],"recheck",0)</f>
        <v>OTHERS</v>
      </c>
    </row>
    <row r="1206" spans="1:9">
      <c r="A1206" s="998">
        <f t="shared" si="18"/>
        <v>1203</v>
      </c>
      <c r="B1206" s="1004" t="s">
        <v>3750</v>
      </c>
      <c r="C1206" s="1000" t="s">
        <v>2998</v>
      </c>
      <c r="D1206" s="932" t="str">
        <f>VLOOKUP($C1206,Table1[#All],2,0)</f>
        <v>BWID THOI HOA 2</v>
      </c>
      <c r="E1206" s="932" t="s">
        <v>971</v>
      </c>
      <c r="F1206" s="998" t="s">
        <v>80</v>
      </c>
      <c r="G1206" s="932" t="s">
        <v>310</v>
      </c>
      <c r="H1206" s="932" t="str">
        <f>VLOOKUP($C1206,Table1[#All],3,0)</f>
        <v>Subsidiaries</v>
      </c>
      <c r="I1206" s="932" t="str" cm="1">
        <f t="array" ref="I1206">_xlfn.XLOOKUP(Acc_Char!$E1206,Table4[[#All],[Branch]],Table4[[#All],[Bank]],"recheck",0)</f>
        <v>OTHERS</v>
      </c>
    </row>
    <row r="1207" spans="1:9">
      <c r="A1207" s="998">
        <f t="shared" si="18"/>
        <v>1204</v>
      </c>
      <c r="B1207" s="1004" t="s">
        <v>3751</v>
      </c>
      <c r="C1207" s="1000" t="s">
        <v>389</v>
      </c>
      <c r="D1207" s="932" t="str">
        <f>VLOOKUP($C1207,Table1[#All],2,0)</f>
        <v>BWID BINH DUONG</v>
      </c>
      <c r="E1207" s="932" t="s">
        <v>1044</v>
      </c>
      <c r="F1207" s="998" t="s">
        <v>80</v>
      </c>
      <c r="G1207" s="932" t="s">
        <v>310</v>
      </c>
      <c r="H1207" s="932" t="str">
        <f>VLOOKUP($C1207,Table1[#All],3,0)</f>
        <v>BWID JSC</v>
      </c>
      <c r="I1207" s="932" t="str" cm="1">
        <f t="array" ref="I1207">_xlfn.XLOOKUP(Acc_Char!$E1207,Table4[[#All],[Branch]],Table4[[#All],[Bank]],"recheck",0)</f>
        <v>OTHERS</v>
      </c>
    </row>
    <row r="1208" spans="1:9">
      <c r="A1208" s="998">
        <f t="shared" si="18"/>
        <v>1205</v>
      </c>
      <c r="B1208" s="1004" t="s">
        <v>1076</v>
      </c>
      <c r="C1208" s="1000" t="s">
        <v>436</v>
      </c>
      <c r="D1208" s="932" t="str">
        <f>VLOOKUP($C1208,Table1[#All],2,0)</f>
        <v>BW NAM HAI</v>
      </c>
      <c r="E1208" s="932" t="s">
        <v>89</v>
      </c>
      <c r="F1208" s="998" t="s">
        <v>80</v>
      </c>
      <c r="G1208" s="932" t="s">
        <v>308</v>
      </c>
      <c r="H1208" s="932" t="str">
        <f>VLOOKUP($C1208,Table1[#All],3,0)</f>
        <v>Subsidiaries</v>
      </c>
      <c r="I1208" s="932" t="str" cm="1">
        <f t="array" ref="I1208">_xlfn.XLOOKUP(Acc_Char!$E1208,Table4[[#All],[Branch]],Table4[[#All],[Bank]],"recheck",0)</f>
        <v>VIETCOMBANK - BA DINH</v>
      </c>
    </row>
    <row r="1209" spans="1:9">
      <c r="A1209" s="998">
        <f t="shared" si="18"/>
        <v>1206</v>
      </c>
      <c r="B1209" s="1004" t="s">
        <v>3752</v>
      </c>
      <c r="C1209" s="1000" t="s">
        <v>389</v>
      </c>
      <c r="D1209" s="932" t="str">
        <f>VLOOKUP($C1209,Table1[#All],2,0)</f>
        <v>BWID BINH DUONG</v>
      </c>
      <c r="E1209" s="932" t="s">
        <v>98</v>
      </c>
      <c r="F1209" s="998" t="s">
        <v>80</v>
      </c>
      <c r="G1209" s="932" t="s">
        <v>310</v>
      </c>
      <c r="H1209" s="932" t="str">
        <f>VLOOKUP($C1209,Table1[#All],3,0)</f>
        <v>BWID JSC</v>
      </c>
      <c r="I1209" s="932" t="str" cm="1">
        <f t="array" ref="I1209">_xlfn.XLOOKUP(Acc_Char!$E1209,Table4[[#All],[Branch]],Table4[[#All],[Bank]],"recheck",0)</f>
        <v>SINOPAC</v>
      </c>
    </row>
    <row r="1210" spans="1:9">
      <c r="A1210" s="998">
        <f t="shared" si="18"/>
        <v>1207</v>
      </c>
      <c r="B1210" s="1004" t="s">
        <v>3753</v>
      </c>
      <c r="C1210" s="1000" t="s">
        <v>389</v>
      </c>
      <c r="D1210" s="932" t="str">
        <f>VLOOKUP($C1210,Table1[#All],2,0)</f>
        <v>BWID BINH DUONG</v>
      </c>
      <c r="E1210" s="932" t="s">
        <v>98</v>
      </c>
      <c r="F1210" s="998" t="s">
        <v>80</v>
      </c>
      <c r="G1210" s="932" t="s">
        <v>310</v>
      </c>
      <c r="H1210" s="932" t="str">
        <f>VLOOKUP($C1210,Table1[#All],3,0)</f>
        <v>BWID JSC</v>
      </c>
      <c r="I1210" s="932" t="str" cm="1">
        <f t="array" ref="I1210">_xlfn.XLOOKUP(Acc_Char!$E1210,Table4[[#All],[Branch]],Table4[[#All],[Bank]],"recheck",0)</f>
        <v>SINOPAC</v>
      </c>
    </row>
    <row r="1211" spans="1:9">
      <c r="A1211" s="998">
        <f t="shared" si="18"/>
        <v>1208</v>
      </c>
      <c r="B1211" s="1004" t="s">
        <v>1077</v>
      </c>
      <c r="C1211" s="1000" t="s">
        <v>3182</v>
      </c>
      <c r="D1211" s="932" t="str">
        <f>VLOOKUP($C1211,Table1[#All],2,0)</f>
        <v>PHUOC LOI</v>
      </c>
      <c r="E1211" s="932" t="s">
        <v>86</v>
      </c>
      <c r="F1211" s="998" t="s">
        <v>80</v>
      </c>
      <c r="G1211" s="932" t="s">
        <v>308</v>
      </c>
      <c r="H1211" s="932" t="str">
        <f>VLOOKUP($C1211,Table1[#All],3,0)</f>
        <v>Subsidiaries</v>
      </c>
      <c r="I1211" s="932" t="str" cm="1">
        <f t="array" ref="I1211">_xlfn.XLOOKUP(Acc_Char!$E1211,Table4[[#All],[Branch]],Table4[[#All],[Bank]],"recheck",0)</f>
        <v>VIETINBANK - CN1</v>
      </c>
    </row>
    <row r="1212" spans="1:9">
      <c r="A1212" s="998">
        <f t="shared" si="18"/>
        <v>1209</v>
      </c>
      <c r="B1212" s="1004" t="s">
        <v>1078</v>
      </c>
      <c r="C1212" s="1000" t="s">
        <v>3072</v>
      </c>
      <c r="D1212" s="932" t="str">
        <f>VLOOKUP($C1212,Table1[#All],2,0)</f>
        <v>BWID TAN DONG HIEP</v>
      </c>
      <c r="E1212" s="932" t="s">
        <v>98</v>
      </c>
      <c r="F1212" s="998" t="s">
        <v>80</v>
      </c>
      <c r="G1212" s="932" t="s">
        <v>308</v>
      </c>
      <c r="H1212" s="932" t="str">
        <f>VLOOKUP($C1212,Table1[#All],3,0)</f>
        <v>Subsidiaries</v>
      </c>
      <c r="I1212" s="932" t="str" cm="1">
        <f t="array" ref="I1212">_xlfn.XLOOKUP(Acc_Char!$E1212,Table4[[#All],[Branch]],Table4[[#All],[Bank]],"recheck",0)</f>
        <v>SINOPAC</v>
      </c>
    </row>
    <row r="1213" spans="1:9">
      <c r="A1213" s="998">
        <f t="shared" si="18"/>
        <v>1210</v>
      </c>
      <c r="B1213" s="1004" t="s">
        <v>3754</v>
      </c>
      <c r="C1213" s="1000" t="s">
        <v>432</v>
      </c>
      <c r="D1213" s="932" t="str">
        <f>VLOOKUP($C1213,Table1[#All],2,0)</f>
        <v>BWID BAC NINH</v>
      </c>
      <c r="E1213" s="932" t="s">
        <v>85</v>
      </c>
      <c r="F1213" s="998" t="s">
        <v>80</v>
      </c>
      <c r="G1213" s="932" t="s">
        <v>310</v>
      </c>
      <c r="H1213" s="932" t="str">
        <f>VLOOKUP($C1213,Table1[#All],3,0)</f>
        <v>Subsidiaries</v>
      </c>
      <c r="I1213" s="932" t="str" cm="1">
        <f t="array" ref="I1213">_xlfn.XLOOKUP(Acc_Char!$E1213,Table4[[#All],[Branch]],Table4[[#All],[Bank]],"recheck",0)</f>
        <v>VIETINBANK - TIEN SON</v>
      </c>
    </row>
    <row r="1214" spans="1:9">
      <c r="A1214" s="998">
        <f t="shared" si="18"/>
        <v>1211</v>
      </c>
      <c r="B1214" s="1004" t="s">
        <v>1079</v>
      </c>
      <c r="C1214" s="1000" t="s">
        <v>2968</v>
      </c>
      <c r="D1214" s="932" t="str">
        <f>VLOOKUP($C1214,Table1[#All],2,0)</f>
        <v>BCI JSC</v>
      </c>
      <c r="E1214" s="932" t="s">
        <v>85</v>
      </c>
      <c r="F1214" s="998" t="s">
        <v>80</v>
      </c>
      <c r="G1214" s="932" t="s">
        <v>310</v>
      </c>
      <c r="H1214" s="932" t="str">
        <f>VLOOKUP($C1214,Table1[#All],3,0)</f>
        <v>Subsidiaries</v>
      </c>
      <c r="I1214" s="932" t="str" cm="1">
        <f t="array" ref="I1214">_xlfn.XLOOKUP(Acc_Char!$E1214,Table4[[#All],[Branch]],Table4[[#All],[Bank]],"recheck",0)</f>
        <v>VIETINBANK - TIEN SON</v>
      </c>
    </row>
    <row r="1215" spans="1:9">
      <c r="A1215" s="998">
        <f t="shared" si="18"/>
        <v>1212</v>
      </c>
      <c r="B1215" s="1004" t="s">
        <v>3755</v>
      </c>
      <c r="C1215" s="1000" t="s">
        <v>2968</v>
      </c>
      <c r="D1215" s="932" t="str">
        <f>VLOOKUP($C1215,Table1[#All],2,0)</f>
        <v>BCI JSC</v>
      </c>
      <c r="E1215" s="932" t="s">
        <v>85</v>
      </c>
      <c r="F1215" s="998" t="s">
        <v>80</v>
      </c>
      <c r="G1215" s="932" t="s">
        <v>310</v>
      </c>
      <c r="H1215" s="932" t="str">
        <f>VLOOKUP($C1215,Table1[#All],3,0)</f>
        <v>Subsidiaries</v>
      </c>
      <c r="I1215" s="932" t="str" cm="1">
        <f t="array" ref="I1215">_xlfn.XLOOKUP(Acc_Char!$E1215,Table4[[#All],[Branch]],Table4[[#All],[Bank]],"recheck",0)</f>
        <v>VIETINBANK - TIEN SON</v>
      </c>
    </row>
    <row r="1216" spans="1:9">
      <c r="A1216" s="998">
        <f t="shared" si="18"/>
        <v>1213</v>
      </c>
      <c r="B1216" s="1004" t="s">
        <v>3756</v>
      </c>
      <c r="C1216" s="1000" t="s">
        <v>2888</v>
      </c>
      <c r="D1216" s="932" t="str">
        <f>VLOOKUP($C1216,Table1[#All],2,0)</f>
        <v>BWID HAI DUONG</v>
      </c>
      <c r="E1216" s="932" t="s">
        <v>85</v>
      </c>
      <c r="F1216" s="998" t="s">
        <v>80</v>
      </c>
      <c r="G1216" s="932" t="s">
        <v>310</v>
      </c>
      <c r="H1216" s="932" t="str">
        <f>VLOOKUP($C1216,Table1[#All],3,0)</f>
        <v>Subsidiaries</v>
      </c>
      <c r="I1216" s="932" t="str" cm="1">
        <f t="array" ref="I1216">_xlfn.XLOOKUP(Acc_Char!$E1216,Table4[[#All],[Branch]],Table4[[#All],[Bank]],"recheck",0)</f>
        <v>VIETINBANK - TIEN SON</v>
      </c>
    </row>
    <row r="1217" spans="1:9">
      <c r="A1217" s="998">
        <f t="shared" si="18"/>
        <v>1214</v>
      </c>
      <c r="B1217" s="1004" t="s">
        <v>3757</v>
      </c>
      <c r="C1217" s="1000" t="s">
        <v>2895</v>
      </c>
      <c r="D1217" s="932" t="str">
        <f>VLOOKUP($C1217,Table1[#All],2,0)</f>
        <v>BWID HAI DUONG 2</v>
      </c>
      <c r="E1217" s="932" t="s">
        <v>85</v>
      </c>
      <c r="F1217" s="998" t="s">
        <v>80</v>
      </c>
      <c r="G1217" s="932" t="s">
        <v>310</v>
      </c>
      <c r="H1217" s="932" t="str">
        <f>VLOOKUP($C1217,Table1[#All],3,0)</f>
        <v>Subsidiaries</v>
      </c>
      <c r="I1217" s="932" t="str" cm="1">
        <f t="array" ref="I1217">_xlfn.XLOOKUP(Acc_Char!$E1217,Table4[[#All],[Branch]],Table4[[#All],[Bank]],"recheck",0)</f>
        <v>VIETINBANK - TIEN SON</v>
      </c>
    </row>
    <row r="1218" spans="1:9">
      <c r="A1218" s="998">
        <f t="shared" si="18"/>
        <v>1215</v>
      </c>
      <c r="B1218" s="1004" t="s">
        <v>3758</v>
      </c>
      <c r="C1218" s="1000" t="s">
        <v>3175</v>
      </c>
      <c r="D1218" s="932" t="str">
        <f>VLOOKUP($C1218,Table1[#All],2,0)</f>
        <v>BW HAI AN</v>
      </c>
      <c r="E1218" s="932" t="s">
        <v>92</v>
      </c>
      <c r="F1218" s="998" t="s">
        <v>80</v>
      </c>
      <c r="G1218" s="932" t="s">
        <v>310</v>
      </c>
      <c r="H1218" s="932" t="str">
        <f>VLOOKUP($C1218,Table1[#All],3,0)</f>
        <v>Subsidiaries</v>
      </c>
      <c r="I1218" s="932" t="str" cm="1">
        <f t="array" ref="I1218">_xlfn.XLOOKUP(Acc_Char!$E1218,Table4[[#All],[Branch]],Table4[[#All],[Bank]],"recheck",0)</f>
        <v>BIDV - THANH XUAN</v>
      </c>
    </row>
    <row r="1219" spans="1:9">
      <c r="A1219" s="998">
        <f t="shared" si="18"/>
        <v>1216</v>
      </c>
      <c r="B1219" s="1004" t="s">
        <v>3759</v>
      </c>
      <c r="C1219" s="1000" t="s">
        <v>3175</v>
      </c>
      <c r="D1219" s="932" t="str">
        <f>VLOOKUP($C1219,Table1[#All],2,0)</f>
        <v>BW HAI AN</v>
      </c>
      <c r="E1219" s="932" t="s">
        <v>92</v>
      </c>
      <c r="F1219" s="998" t="s">
        <v>80</v>
      </c>
      <c r="G1219" s="932" t="s">
        <v>310</v>
      </c>
      <c r="H1219" s="932" t="str">
        <f>VLOOKUP($C1219,Table1[#All],3,0)</f>
        <v>Subsidiaries</v>
      </c>
      <c r="I1219" s="932" t="str" cm="1">
        <f t="array" ref="I1219">_xlfn.XLOOKUP(Acc_Char!$E1219,Table4[[#All],[Branch]],Table4[[#All],[Bank]],"recheck",0)</f>
        <v>BIDV - THANH XUAN</v>
      </c>
    </row>
    <row r="1220" spans="1:9">
      <c r="A1220" s="998">
        <f t="shared" si="18"/>
        <v>1217</v>
      </c>
      <c r="B1220" s="1004" t="s">
        <v>3760</v>
      </c>
      <c r="C1220" s="1000" t="s">
        <v>3175</v>
      </c>
      <c r="D1220" s="932" t="str">
        <f>VLOOKUP($C1220,Table1[#All],2,0)</f>
        <v>BW HAI AN</v>
      </c>
      <c r="E1220" s="932" t="s">
        <v>92</v>
      </c>
      <c r="F1220" s="998" t="s">
        <v>80</v>
      </c>
      <c r="G1220" s="932" t="s">
        <v>310</v>
      </c>
      <c r="H1220" s="932" t="str">
        <f>VLOOKUP($C1220,Table1[#All],3,0)</f>
        <v>Subsidiaries</v>
      </c>
      <c r="I1220" s="932" t="str" cm="1">
        <f t="array" ref="I1220">_xlfn.XLOOKUP(Acc_Char!$E1220,Table4[[#All],[Branch]],Table4[[#All],[Bank]],"recheck",0)</f>
        <v>BIDV - THANH XUAN</v>
      </c>
    </row>
    <row r="1221" spans="1:9">
      <c r="A1221" s="998">
        <f t="shared" ref="A1221:A1284" si="19">A1220+1</f>
        <v>1218</v>
      </c>
      <c r="B1221" s="1004" t="s">
        <v>1080</v>
      </c>
      <c r="C1221" s="1000" t="s">
        <v>2915</v>
      </c>
      <c r="D1221" s="932" t="str">
        <f>VLOOKUP($C1221,Table1[#All],2,0)</f>
        <v>BW DINH VU</v>
      </c>
      <c r="E1221" s="932" t="s">
        <v>92</v>
      </c>
      <c r="F1221" s="998" t="s">
        <v>80</v>
      </c>
      <c r="G1221" s="932" t="s">
        <v>310</v>
      </c>
      <c r="H1221" s="932" t="str">
        <f>VLOOKUP($C1221,Table1[#All],3,0)</f>
        <v>Subsidiaries</v>
      </c>
      <c r="I1221" s="932" t="str" cm="1">
        <f t="array" ref="I1221">_xlfn.XLOOKUP(Acc_Char!$E1221,Table4[[#All],[Branch]],Table4[[#All],[Bank]],"recheck",0)</f>
        <v>BIDV - THANH XUAN</v>
      </c>
    </row>
    <row r="1222" spans="1:9">
      <c r="A1222" s="998">
        <f t="shared" si="19"/>
        <v>1219</v>
      </c>
      <c r="B1222" s="1004" t="s">
        <v>3761</v>
      </c>
      <c r="C1222" s="1000" t="s">
        <v>2915</v>
      </c>
      <c r="D1222" s="932" t="str">
        <f>VLOOKUP($C1222,Table1[#All],2,0)</f>
        <v>BW DINH VU</v>
      </c>
      <c r="E1222" s="932" t="s">
        <v>92</v>
      </c>
      <c r="F1222" s="998" t="s">
        <v>80</v>
      </c>
      <c r="G1222" s="932" t="s">
        <v>310</v>
      </c>
      <c r="H1222" s="932" t="str">
        <f>VLOOKUP($C1222,Table1[#All],3,0)</f>
        <v>Subsidiaries</v>
      </c>
      <c r="I1222" s="932" t="str" cm="1">
        <f t="array" ref="I1222">_xlfn.XLOOKUP(Acc_Char!$E1222,Table4[[#All],[Branch]],Table4[[#All],[Bank]],"recheck",0)</f>
        <v>BIDV - THANH XUAN</v>
      </c>
    </row>
    <row r="1223" spans="1:9">
      <c r="A1223" s="998">
        <f t="shared" si="19"/>
        <v>1220</v>
      </c>
      <c r="B1223" s="1004" t="s">
        <v>1081</v>
      </c>
      <c r="C1223" s="1000" t="s">
        <v>2974</v>
      </c>
      <c r="D1223" s="932" t="str">
        <f>VLOOKUP($C1223,Table1[#All],2,0)</f>
        <v>BWID HAI DUONG 3</v>
      </c>
      <c r="E1223" s="932" t="s">
        <v>92</v>
      </c>
      <c r="F1223" s="998" t="s">
        <v>80</v>
      </c>
      <c r="G1223" s="932" t="s">
        <v>310</v>
      </c>
      <c r="H1223" s="932" t="str">
        <f>VLOOKUP($C1223,Table1[#All],3,0)</f>
        <v>Subsidiaries</v>
      </c>
      <c r="I1223" s="932" t="str" cm="1">
        <f t="array" ref="I1223">_xlfn.XLOOKUP(Acc_Char!$E1223,Table4[[#All],[Branch]],Table4[[#All],[Bank]],"recheck",0)</f>
        <v>BIDV - THANH XUAN</v>
      </c>
    </row>
    <row r="1224" spans="1:9">
      <c r="A1224" s="998">
        <f t="shared" si="19"/>
        <v>1221</v>
      </c>
      <c r="B1224" s="1004" t="s">
        <v>3762</v>
      </c>
      <c r="C1224" s="1000" t="s">
        <v>440</v>
      </c>
      <c r="D1224" s="932" t="str">
        <f>VLOOKUP($C1224,Table1[#All],2,0)</f>
        <v>BW NAM DINH VU</v>
      </c>
      <c r="E1224" s="932" t="s">
        <v>94</v>
      </c>
      <c r="F1224" s="998" t="s">
        <v>80</v>
      </c>
      <c r="G1224" s="932" t="s">
        <v>310</v>
      </c>
      <c r="H1224" s="932" t="str">
        <f>VLOOKUP($C1224,Table1[#All],3,0)</f>
        <v>Subsidiaries</v>
      </c>
      <c r="I1224" s="932" t="str" cm="1">
        <f t="array" ref="I1224">_xlfn.XLOOKUP(Acc_Char!$E1224,Table4[[#All],[Branch]],Table4[[#All],[Bank]],"recheck",0)</f>
        <v>BIDV - LONG BIEN</v>
      </c>
    </row>
    <row r="1225" spans="1:9">
      <c r="A1225" s="998">
        <f t="shared" si="19"/>
        <v>1222</v>
      </c>
      <c r="B1225" s="1004" t="s">
        <v>3763</v>
      </c>
      <c r="C1225" s="1000" t="s">
        <v>440</v>
      </c>
      <c r="D1225" s="932" t="str">
        <f>VLOOKUP($C1225,Table1[#All],2,0)</f>
        <v>BW NAM DINH VU</v>
      </c>
      <c r="E1225" s="932" t="s">
        <v>94</v>
      </c>
      <c r="F1225" s="998" t="s">
        <v>80</v>
      </c>
      <c r="G1225" s="932" t="s">
        <v>310</v>
      </c>
      <c r="H1225" s="932" t="str">
        <f>VLOOKUP($C1225,Table1[#All],3,0)</f>
        <v>Subsidiaries</v>
      </c>
      <c r="I1225" s="932" t="str" cm="1">
        <f t="array" ref="I1225">_xlfn.XLOOKUP(Acc_Char!$E1225,Table4[[#All],[Branch]],Table4[[#All],[Bank]],"recheck",0)</f>
        <v>BIDV - LONG BIEN</v>
      </c>
    </row>
    <row r="1226" spans="1:9">
      <c r="A1226" s="998">
        <f t="shared" si="19"/>
        <v>1223</v>
      </c>
      <c r="B1226" s="1004" t="s">
        <v>1082</v>
      </c>
      <c r="C1226" s="1000" t="s">
        <v>389</v>
      </c>
      <c r="D1226" s="932" t="str">
        <f>VLOOKUP($C1226,Table1[#All],2,0)</f>
        <v>BWID BINH DUONG</v>
      </c>
      <c r="E1226" s="932" t="s">
        <v>98</v>
      </c>
      <c r="F1226" s="998" t="s">
        <v>80</v>
      </c>
      <c r="G1226" s="932" t="s">
        <v>310</v>
      </c>
      <c r="H1226" s="932" t="str">
        <f>VLOOKUP($C1226,Table1[#All],3,0)</f>
        <v>BWID JSC</v>
      </c>
      <c r="I1226" s="932" t="str" cm="1">
        <f t="array" ref="I1226">_xlfn.XLOOKUP(Acc_Char!$E1226,Table4[[#All],[Branch]],Table4[[#All],[Bank]],"recheck",0)</f>
        <v>SINOPAC</v>
      </c>
    </row>
    <row r="1227" spans="1:9">
      <c r="A1227" s="998">
        <f t="shared" si="19"/>
        <v>1224</v>
      </c>
      <c r="B1227" s="1004" t="s">
        <v>3764</v>
      </c>
      <c r="C1227" s="1000" t="s">
        <v>3309</v>
      </c>
      <c r="D1227" s="932" t="str">
        <f>VLOOKUP($C1227,Table1[#All],2,0)</f>
        <v>LE MINH XUAN 3</v>
      </c>
      <c r="E1227" s="932" t="s">
        <v>191</v>
      </c>
      <c r="F1227" s="998" t="s">
        <v>80</v>
      </c>
      <c r="G1227" s="932" t="s">
        <v>310</v>
      </c>
      <c r="H1227" s="932" t="str">
        <f>VLOOKUP($C1227,Table1[#All],3,0)</f>
        <v>Subsidiaries</v>
      </c>
      <c r="I1227" s="932" t="str" cm="1">
        <f t="array" ref="I1227">_xlfn.XLOOKUP(Acc_Char!$E1227,Table4[[#All],[Branch]],Table4[[#All],[Bank]],"recheck",0)</f>
        <v>VIETINBANK - TPHCM</v>
      </c>
    </row>
    <row r="1228" spans="1:9">
      <c r="A1228" s="998">
        <f t="shared" si="19"/>
        <v>1225</v>
      </c>
      <c r="B1228" s="1004" t="s">
        <v>1083</v>
      </c>
      <c r="C1228" s="1000" t="s">
        <v>424</v>
      </c>
      <c r="D1228" s="932" t="str">
        <f>VLOOKUP($C1228,Table1[#All],2,0)</f>
        <v>HOLDCO N4C</v>
      </c>
      <c r="E1228" s="932" t="s">
        <v>85</v>
      </c>
      <c r="F1228" s="998" t="s">
        <v>80</v>
      </c>
      <c r="G1228" s="932" t="s">
        <v>342</v>
      </c>
      <c r="H1228" s="932" t="str">
        <f>VLOOKUP($C1228,Table1[#All],3,0)</f>
        <v>Subsidiaries</v>
      </c>
      <c r="I1228" s="932" t="str" cm="1">
        <f t="array" ref="I1228">_xlfn.XLOOKUP(Acc_Char!$E1228,Table4[[#All],[Branch]],Table4[[#All],[Bank]],"recheck",0)</f>
        <v>VIETINBANK - TIEN SON</v>
      </c>
    </row>
    <row r="1229" spans="1:9">
      <c r="A1229" s="998">
        <f t="shared" si="19"/>
        <v>1226</v>
      </c>
      <c r="B1229" s="1004" t="s">
        <v>3765</v>
      </c>
      <c r="C1229" s="1000" t="s">
        <v>67</v>
      </c>
      <c r="D1229" s="932" t="str">
        <f>VLOOKUP($C1229,Table1[#All],2,0)</f>
        <v>SAO HOA</v>
      </c>
      <c r="E1229" s="932" t="s">
        <v>85</v>
      </c>
      <c r="F1229" s="998" t="s">
        <v>80</v>
      </c>
      <c r="G1229" s="932" t="s">
        <v>310</v>
      </c>
      <c r="H1229" s="932" t="str">
        <f>VLOOKUP($C1229,Table1[#All],3,0)</f>
        <v>VC3</v>
      </c>
      <c r="I1229" s="932" t="str" cm="1">
        <f t="array" ref="I1229">_xlfn.XLOOKUP(Acc_Char!$E1229,Table4[[#All],[Branch]],Table4[[#All],[Bank]],"recheck",0)</f>
        <v>VIETINBANK - TIEN SON</v>
      </c>
    </row>
    <row r="1230" spans="1:9">
      <c r="A1230" s="998">
        <f t="shared" si="19"/>
        <v>1227</v>
      </c>
      <c r="B1230" s="1004" t="s">
        <v>3766</v>
      </c>
      <c r="C1230" s="1000" t="s">
        <v>67</v>
      </c>
      <c r="D1230" s="932" t="str">
        <f>VLOOKUP($C1230,Table1[#All],2,0)</f>
        <v>SAO HOA</v>
      </c>
      <c r="E1230" s="932" t="s">
        <v>191</v>
      </c>
      <c r="F1230" s="998" t="s">
        <v>80</v>
      </c>
      <c r="G1230" s="932" t="s">
        <v>310</v>
      </c>
      <c r="H1230" s="932" t="str">
        <f>VLOOKUP($C1230,Table1[#All],3,0)</f>
        <v>VC3</v>
      </c>
      <c r="I1230" s="932" t="str" cm="1">
        <f t="array" ref="I1230">_xlfn.XLOOKUP(Acc_Char!$E1230,Table4[[#All],[Branch]],Table4[[#All],[Bank]],"recheck",0)</f>
        <v>VIETINBANK - TPHCM</v>
      </c>
    </row>
    <row r="1231" spans="1:9">
      <c r="A1231" s="998">
        <f t="shared" si="19"/>
        <v>1228</v>
      </c>
      <c r="B1231" s="1004" t="s">
        <v>3767</v>
      </c>
      <c r="C1231" s="1000" t="s">
        <v>67</v>
      </c>
      <c r="D1231" s="932" t="str">
        <f>VLOOKUP($C1231,Table1[#All],2,0)</f>
        <v>SAO HOA</v>
      </c>
      <c r="E1231" s="932" t="s">
        <v>92</v>
      </c>
      <c r="F1231" s="998" t="s">
        <v>80</v>
      </c>
      <c r="G1231" s="932" t="s">
        <v>310</v>
      </c>
      <c r="H1231" s="932" t="str">
        <f>VLOOKUP($C1231,Table1[#All],3,0)</f>
        <v>VC3</v>
      </c>
      <c r="I1231" s="932" t="str" cm="1">
        <f t="array" ref="I1231">_xlfn.XLOOKUP(Acc_Char!$E1231,Table4[[#All],[Branch]],Table4[[#All],[Bank]],"recheck",0)</f>
        <v>BIDV - THANH XUAN</v>
      </c>
    </row>
    <row r="1232" spans="1:9">
      <c r="A1232" s="998">
        <f t="shared" si="19"/>
        <v>1229</v>
      </c>
      <c r="B1232" s="1004" t="s">
        <v>3768</v>
      </c>
      <c r="C1232" s="1000" t="s">
        <v>645</v>
      </c>
      <c r="D1232" s="932" t="str">
        <f>VLOOKUP($C1232,Table1[#All],2,0)</f>
        <v>SPV5B</v>
      </c>
      <c r="E1232" s="932" t="s">
        <v>98</v>
      </c>
      <c r="F1232" s="998" t="s">
        <v>80</v>
      </c>
      <c r="G1232" s="932" t="s">
        <v>310</v>
      </c>
      <c r="H1232" s="932" t="str">
        <f>VLOOKUP($C1232,Table1[#All],3,0)</f>
        <v>Subsidiaries</v>
      </c>
      <c r="I1232" s="932" t="str" cm="1">
        <f t="array" ref="I1232">_xlfn.XLOOKUP(Acc_Char!$E1232,Table4[[#All],[Branch]],Table4[[#All],[Bank]],"recheck",0)</f>
        <v>SINOPAC</v>
      </c>
    </row>
    <row r="1233" spans="1:9">
      <c r="A1233" s="998">
        <f t="shared" si="19"/>
        <v>1230</v>
      </c>
      <c r="B1233" s="1004" t="s">
        <v>3769</v>
      </c>
      <c r="C1233" s="1000" t="s">
        <v>645</v>
      </c>
      <c r="D1233" s="932" t="str">
        <f>VLOOKUP($C1233,Table1[#All],2,0)</f>
        <v>SPV5B</v>
      </c>
      <c r="E1233" s="932" t="s">
        <v>98</v>
      </c>
      <c r="F1233" s="998" t="s">
        <v>80</v>
      </c>
      <c r="G1233" s="932" t="s">
        <v>310</v>
      </c>
      <c r="H1233" s="932" t="str">
        <f>VLOOKUP($C1233,Table1[#All],3,0)</f>
        <v>Subsidiaries</v>
      </c>
      <c r="I1233" s="932" t="str" cm="1">
        <f t="array" ref="I1233">_xlfn.XLOOKUP(Acc_Char!$E1233,Table4[[#All],[Branch]],Table4[[#All],[Bank]],"recheck",0)</f>
        <v>SINOPAC</v>
      </c>
    </row>
    <row r="1234" spans="1:9">
      <c r="A1234" s="998">
        <f t="shared" si="19"/>
        <v>1231</v>
      </c>
      <c r="B1234" s="1004" t="s">
        <v>3770</v>
      </c>
      <c r="C1234" s="1000" t="s">
        <v>67</v>
      </c>
      <c r="D1234" s="932" t="str">
        <f>VLOOKUP($C1234,Table1[#All],2,0)</f>
        <v>SAO HOA</v>
      </c>
      <c r="E1234" s="932" t="s">
        <v>98</v>
      </c>
      <c r="F1234" s="998" t="s">
        <v>80</v>
      </c>
      <c r="G1234" s="932" t="s">
        <v>310</v>
      </c>
      <c r="H1234" s="932" t="str">
        <f>VLOOKUP($C1234,Table1[#All],3,0)</f>
        <v>VC3</v>
      </c>
      <c r="I1234" s="932" t="str" cm="1">
        <f t="array" ref="I1234">_xlfn.XLOOKUP(Acc_Char!$E1234,Table4[[#All],[Branch]],Table4[[#All],[Bank]],"recheck",0)</f>
        <v>SINOPAC</v>
      </c>
    </row>
    <row r="1235" spans="1:9">
      <c r="A1235" s="998">
        <f t="shared" si="19"/>
        <v>1232</v>
      </c>
      <c r="B1235" s="1004" t="s">
        <v>1084</v>
      </c>
      <c r="C1235" s="1000" t="s">
        <v>3572</v>
      </c>
      <c r="D1235" s="932" t="str">
        <f>VLOOKUP($C1235,Table1[#All],2,0)</f>
        <v>TAY NAM A</v>
      </c>
      <c r="E1235" s="932" t="s">
        <v>971</v>
      </c>
      <c r="F1235" s="998" t="s">
        <v>80</v>
      </c>
      <c r="G1235" s="932" t="s">
        <v>310</v>
      </c>
      <c r="H1235" s="932" t="str">
        <f>VLOOKUP($C1235,Table1[#All],3,0)</f>
        <v>Subsidiaries</v>
      </c>
      <c r="I1235" s="932" t="str" cm="1">
        <f t="array" ref="I1235">_xlfn.XLOOKUP(Acc_Char!$E1235,Table4[[#All],[Branch]],Table4[[#All],[Bank]],"recheck",0)</f>
        <v>OTHERS</v>
      </c>
    </row>
    <row r="1236" spans="1:9">
      <c r="A1236" s="998">
        <f t="shared" si="19"/>
        <v>1233</v>
      </c>
      <c r="B1236" s="1004" t="s">
        <v>3771</v>
      </c>
      <c r="C1236" s="1000" t="s">
        <v>67</v>
      </c>
      <c r="D1236" s="932" t="str">
        <f>VLOOKUP($C1236,Table1[#All],2,0)</f>
        <v>SAO HOA</v>
      </c>
      <c r="E1236" s="932" t="s">
        <v>971</v>
      </c>
      <c r="F1236" s="998" t="s">
        <v>80</v>
      </c>
      <c r="G1236" s="932" t="s">
        <v>310</v>
      </c>
      <c r="H1236" s="932" t="str">
        <f>VLOOKUP($C1236,Table1[#All],3,0)</f>
        <v>VC3</v>
      </c>
      <c r="I1236" s="932" t="str" cm="1">
        <f t="array" ref="I1236">_xlfn.XLOOKUP(Acc_Char!$E1236,Table4[[#All],[Branch]],Table4[[#All],[Bank]],"recheck",0)</f>
        <v>OTHERS</v>
      </c>
    </row>
    <row r="1237" spans="1:9">
      <c r="A1237" s="998">
        <f t="shared" si="19"/>
        <v>1234</v>
      </c>
      <c r="B1237" s="1002" t="s">
        <v>3772</v>
      </c>
      <c r="C1237" s="1000" t="s">
        <v>67</v>
      </c>
      <c r="D1237" s="932" t="str">
        <f>VLOOKUP($C1237,Table1[#All],2,0)</f>
        <v>SAO HOA</v>
      </c>
      <c r="E1237" s="932" t="s">
        <v>971</v>
      </c>
      <c r="F1237" s="998" t="s">
        <v>80</v>
      </c>
      <c r="G1237" s="932" t="s">
        <v>310</v>
      </c>
      <c r="H1237" s="932" t="str">
        <f>VLOOKUP($C1237,Table1[#All],3,0)</f>
        <v>VC3</v>
      </c>
      <c r="I1237" s="932" t="str" cm="1">
        <f t="array" ref="I1237">_xlfn.XLOOKUP(Acc_Char!$E1237,Table4[[#All],[Branch]],Table4[[#All],[Bank]],"recheck",0)</f>
        <v>OTHERS</v>
      </c>
    </row>
    <row r="1238" spans="1:9">
      <c r="A1238" s="998">
        <f t="shared" si="19"/>
        <v>1235</v>
      </c>
      <c r="B1238" s="1004" t="s">
        <v>1085</v>
      </c>
      <c r="C1238" s="1000" t="s">
        <v>424</v>
      </c>
      <c r="D1238" s="932" t="str">
        <f>VLOOKUP($C1238,Table1[#All],2,0)</f>
        <v>HOLDCO N4C</v>
      </c>
      <c r="E1238" s="932" t="s">
        <v>85</v>
      </c>
      <c r="F1238" s="998" t="s">
        <v>80</v>
      </c>
      <c r="G1238" s="932" t="s">
        <v>310</v>
      </c>
      <c r="H1238" s="932" t="str">
        <f>VLOOKUP($C1238,Table1[#All],3,0)</f>
        <v>Subsidiaries</v>
      </c>
      <c r="I1238" s="932" t="str" cm="1">
        <f t="array" ref="I1238">_xlfn.XLOOKUP(Acc_Char!$E1238,Table4[[#All],[Branch]],Table4[[#All],[Bank]],"recheck",0)</f>
        <v>VIETINBANK - TIEN SON</v>
      </c>
    </row>
    <row r="1239" spans="1:9">
      <c r="A1239" s="998">
        <f t="shared" si="19"/>
        <v>1236</v>
      </c>
      <c r="B1239" s="1004" t="s">
        <v>3773</v>
      </c>
      <c r="C1239" s="1000" t="s">
        <v>3233</v>
      </c>
      <c r="D1239" s="932" t="str">
        <f>VLOOKUP($C1239,Table1[#All],2,0)</f>
        <v>BAU BANG 6</v>
      </c>
      <c r="E1239" s="932" t="s">
        <v>153</v>
      </c>
      <c r="F1239" s="998" t="s">
        <v>80</v>
      </c>
      <c r="G1239" s="932" t="s">
        <v>310</v>
      </c>
      <c r="H1239" s="932" t="str">
        <f>VLOOKUP($C1239,Table1[#All],3,0)</f>
        <v>Subsidiaries</v>
      </c>
      <c r="I1239" s="932" t="str" cm="1">
        <f t="array" ref="I1239">_xlfn.XLOOKUP(Acc_Char!$E1239,Table4[[#All],[Branch]],Table4[[#All],[Bank]],"recheck",0)</f>
        <v>VIETINBANK - BINH DUONG + QM</v>
      </c>
    </row>
    <row r="1240" spans="1:9">
      <c r="A1240" s="998">
        <f t="shared" si="19"/>
        <v>1237</v>
      </c>
      <c r="B1240" s="1004" t="s">
        <v>3774</v>
      </c>
      <c r="C1240" s="1000" t="s">
        <v>3093</v>
      </c>
      <c r="D1240" s="932" t="str">
        <f>VLOOKUP($C1240,Table1[#All],2,0)</f>
        <v>SONGTHAN LID</v>
      </c>
      <c r="E1240" s="932" t="s">
        <v>88</v>
      </c>
      <c r="F1240" s="998" t="s">
        <v>80</v>
      </c>
      <c r="G1240" s="932" t="s">
        <v>310</v>
      </c>
      <c r="H1240" s="932" t="str">
        <f>VLOOKUP($C1240,Table1[#All],3,0)</f>
        <v>Subsidiaries</v>
      </c>
      <c r="I1240" s="932" t="str" cm="1">
        <f t="array" ref="I1240">_xlfn.XLOOKUP(Acc_Char!$E1240,Table4[[#All],[Branch]],Table4[[#All],[Bank]],"recheck",0)</f>
        <v>VIETINBANK - DONG SAI GON</v>
      </c>
    </row>
    <row r="1241" spans="1:9">
      <c r="A1241" s="998">
        <f t="shared" si="19"/>
        <v>1238</v>
      </c>
      <c r="B1241" s="1004" t="s">
        <v>3775</v>
      </c>
      <c r="C1241" s="1000" t="s">
        <v>3237</v>
      </c>
      <c r="D1241" s="932" t="str">
        <f>VLOOKUP($C1241,Table1[#All],2,0)</f>
        <v>LONG BINH</v>
      </c>
      <c r="E1241" s="932" t="s">
        <v>86</v>
      </c>
      <c r="F1241" s="998" t="s">
        <v>80</v>
      </c>
      <c r="G1241" s="932" t="s">
        <v>310</v>
      </c>
      <c r="H1241" s="932" t="str">
        <f>VLOOKUP($C1241,Table1[#All],3,0)</f>
        <v>Subsidiaries</v>
      </c>
      <c r="I1241" s="932" t="str" cm="1">
        <f t="array" ref="I1241">_xlfn.XLOOKUP(Acc_Char!$E1241,Table4[[#All],[Branch]],Table4[[#All],[Bank]],"recheck",0)</f>
        <v>VIETINBANK - CN1</v>
      </c>
    </row>
    <row r="1242" spans="1:9">
      <c r="A1242" s="998">
        <f t="shared" si="19"/>
        <v>1239</v>
      </c>
      <c r="B1242" s="1004" t="s">
        <v>3776</v>
      </c>
      <c r="C1242" s="1000" t="s">
        <v>434</v>
      </c>
      <c r="D1242" s="932" t="str">
        <f>VLOOKUP($C1242,Table1[#All],2,0)</f>
        <v>BWID HAI PHONG</v>
      </c>
      <c r="E1242" s="932" t="s">
        <v>85</v>
      </c>
      <c r="F1242" s="998" t="s">
        <v>80</v>
      </c>
      <c r="G1242" s="932" t="s">
        <v>310</v>
      </c>
      <c r="H1242" s="932" t="str">
        <f>VLOOKUP($C1242,Table1[#All],3,0)</f>
        <v>Subsidiaries</v>
      </c>
      <c r="I1242" s="932" t="str" cm="1">
        <f t="array" ref="I1242">_xlfn.XLOOKUP(Acc_Char!$E1242,Table4[[#All],[Branch]],Table4[[#All],[Bank]],"recheck",0)</f>
        <v>VIETINBANK - TIEN SON</v>
      </c>
    </row>
    <row r="1243" spans="1:9">
      <c r="A1243" s="998">
        <f t="shared" si="19"/>
        <v>1240</v>
      </c>
      <c r="B1243" s="1004" t="s">
        <v>3777</v>
      </c>
      <c r="C1243" s="1000" t="s">
        <v>2895</v>
      </c>
      <c r="D1243" s="932" t="str">
        <f>VLOOKUP($C1243,Table1[#All],2,0)</f>
        <v>BWID HAI DUONG 2</v>
      </c>
      <c r="E1243" s="932" t="s">
        <v>85</v>
      </c>
      <c r="F1243" s="998" t="s">
        <v>80</v>
      </c>
      <c r="G1243" s="932" t="s">
        <v>310</v>
      </c>
      <c r="H1243" s="932" t="str">
        <f>VLOOKUP($C1243,Table1[#All],3,0)</f>
        <v>Subsidiaries</v>
      </c>
      <c r="I1243" s="932" t="str" cm="1">
        <f t="array" ref="I1243">_xlfn.XLOOKUP(Acc_Char!$E1243,Table4[[#All],[Branch]],Table4[[#All],[Bank]],"recheck",0)</f>
        <v>VIETINBANK - TIEN SON</v>
      </c>
    </row>
    <row r="1244" spans="1:9">
      <c r="A1244" s="998">
        <f t="shared" si="19"/>
        <v>1241</v>
      </c>
      <c r="B1244" s="1004" t="s">
        <v>1086</v>
      </c>
      <c r="C1244" s="1000" t="s">
        <v>3160</v>
      </c>
      <c r="D1244" s="932" t="str">
        <f>VLOOKUP($C1244,Table1[#All],2,0)</f>
        <v>BWID Tan Phu Trung</v>
      </c>
      <c r="E1244" s="932" t="s">
        <v>85</v>
      </c>
      <c r="F1244" s="998" t="s">
        <v>80</v>
      </c>
      <c r="G1244" s="932" t="s">
        <v>310</v>
      </c>
      <c r="H1244" s="932" t="str">
        <f>VLOOKUP($C1244,Table1[#All],3,0)</f>
        <v>Subsidiaries</v>
      </c>
      <c r="I1244" s="932" t="str" cm="1">
        <f t="array" ref="I1244">_xlfn.XLOOKUP(Acc_Char!$E1244,Table4[[#All],[Branch]],Table4[[#All],[Bank]],"recheck",0)</f>
        <v>VIETINBANK - TIEN SON</v>
      </c>
    </row>
    <row r="1245" spans="1:9">
      <c r="A1245" s="998">
        <f t="shared" si="19"/>
        <v>1242</v>
      </c>
      <c r="B1245" s="1004" t="s">
        <v>3778</v>
      </c>
      <c r="C1245" s="1000" t="s">
        <v>3160</v>
      </c>
      <c r="D1245" s="932" t="str">
        <f>VLOOKUP($C1245,Table1[#All],2,0)</f>
        <v>BWID Tan Phu Trung</v>
      </c>
      <c r="E1245" s="932" t="s">
        <v>85</v>
      </c>
      <c r="F1245" s="998" t="s">
        <v>80</v>
      </c>
      <c r="G1245" s="932" t="s">
        <v>310</v>
      </c>
      <c r="H1245" s="932" t="str">
        <f>VLOOKUP($C1245,Table1[#All],3,0)</f>
        <v>Subsidiaries</v>
      </c>
      <c r="I1245" s="932" t="str" cm="1">
        <f t="array" ref="I1245">_xlfn.XLOOKUP(Acc_Char!$E1245,Table4[[#All],[Branch]],Table4[[#All],[Bank]],"recheck",0)</f>
        <v>VIETINBANK - TIEN SON</v>
      </c>
    </row>
    <row r="1246" spans="1:9">
      <c r="A1246" s="998">
        <f t="shared" si="19"/>
        <v>1243</v>
      </c>
      <c r="B1246" s="1004" t="s">
        <v>3779</v>
      </c>
      <c r="C1246" s="1000" t="s">
        <v>3250</v>
      </c>
      <c r="D1246" s="932" t="str">
        <f>VLOOKUP($C1246,Table1[#All],2,0)</f>
        <v>BW MY PHUOC 3</v>
      </c>
      <c r="E1246" s="932" t="s">
        <v>153</v>
      </c>
      <c r="F1246" s="998" t="s">
        <v>80</v>
      </c>
      <c r="G1246" s="932" t="s">
        <v>310</v>
      </c>
      <c r="H1246" s="932" t="str">
        <f>VLOOKUP($C1246,Table1[#All],3,0)</f>
        <v>Subsidiaries</v>
      </c>
      <c r="I1246" s="932" t="str" cm="1">
        <f t="array" ref="I1246">_xlfn.XLOOKUP(Acc_Char!$E1246,Table4[[#All],[Branch]],Table4[[#All],[Bank]],"recheck",0)</f>
        <v>VIETINBANK - BINH DUONG + QM</v>
      </c>
    </row>
    <row r="1247" spans="1:9">
      <c r="A1247" s="998">
        <f t="shared" si="19"/>
        <v>1244</v>
      </c>
      <c r="B1247" s="1004" t="s">
        <v>1087</v>
      </c>
      <c r="C1247" s="1000" t="s">
        <v>3268</v>
      </c>
      <c r="D1247" s="932" t="str">
        <f>VLOOKUP($C1247,Table1[#All],2,0)</f>
        <v>BW DONG HAI</v>
      </c>
      <c r="E1247" s="932" t="s">
        <v>92</v>
      </c>
      <c r="F1247" s="998" t="s">
        <v>80</v>
      </c>
      <c r="G1247" s="932" t="s">
        <v>310</v>
      </c>
      <c r="H1247" s="932" t="str">
        <f>VLOOKUP($C1247,Table1[#All],3,0)</f>
        <v>Subsidiaries</v>
      </c>
      <c r="I1247" s="932" t="str" cm="1">
        <f t="array" ref="I1247">_xlfn.XLOOKUP(Acc_Char!$E1247,Table4[[#All],[Branch]],Table4[[#All],[Bank]],"recheck",0)</f>
        <v>BIDV - THANH XUAN</v>
      </c>
    </row>
    <row r="1248" spans="1:9">
      <c r="A1248" s="998">
        <f t="shared" si="19"/>
        <v>1245</v>
      </c>
      <c r="B1248" s="1004" t="s">
        <v>3780</v>
      </c>
      <c r="C1248" s="1000" t="s">
        <v>3280</v>
      </c>
      <c r="D1248" s="932" t="str">
        <f>VLOOKUP($C1248,Table1[#All],2,0)</f>
        <v>BAC TIEN PHONG</v>
      </c>
      <c r="E1248" s="932" t="s">
        <v>92</v>
      </c>
      <c r="F1248" s="998" t="s">
        <v>80</v>
      </c>
      <c r="G1248" s="932" t="s">
        <v>310</v>
      </c>
      <c r="H1248" s="932" t="str">
        <f>VLOOKUP($C1248,Table1[#All],3,0)</f>
        <v>Subsidiaries</v>
      </c>
      <c r="I1248" s="932" t="str" cm="1">
        <f t="array" ref="I1248">_xlfn.XLOOKUP(Acc_Char!$E1248,Table4[[#All],[Branch]],Table4[[#All],[Bank]],"recheck",0)</f>
        <v>BIDV - THANH XUAN</v>
      </c>
    </row>
    <row r="1249" spans="1:9">
      <c r="A1249" s="998">
        <f t="shared" si="19"/>
        <v>1246</v>
      </c>
      <c r="B1249" s="1002" t="s">
        <v>3781</v>
      </c>
      <c r="C1249" s="1000" t="s">
        <v>445</v>
      </c>
      <c r="D1249" s="932" t="str">
        <f>VLOOKUP($C1249,Table1[#All],2,0)</f>
        <v>BW PHU NGHIA</v>
      </c>
      <c r="E1249" s="932" t="s">
        <v>92</v>
      </c>
      <c r="F1249" s="998" t="s">
        <v>80</v>
      </c>
      <c r="G1249" s="932" t="s">
        <v>310</v>
      </c>
      <c r="H1249" s="932" t="str">
        <f>VLOOKUP($C1249,Table1[#All],3,0)</f>
        <v>Subsidiaries</v>
      </c>
      <c r="I1249" s="932" t="str" cm="1">
        <f t="array" ref="I1249">_xlfn.XLOOKUP(Acc_Char!$E1249,Table4[[#All],[Branch]],Table4[[#All],[Bank]],"recheck",0)</f>
        <v>BIDV - THANH XUAN</v>
      </c>
    </row>
    <row r="1250" spans="1:9">
      <c r="A1250" s="998">
        <f t="shared" si="19"/>
        <v>1247</v>
      </c>
      <c r="B1250" s="1004" t="s">
        <v>3782</v>
      </c>
      <c r="C1250" s="1000" t="s">
        <v>445</v>
      </c>
      <c r="D1250" s="932" t="str">
        <f>VLOOKUP($C1250,Table1[#All],2,0)</f>
        <v>BW PHU NGHIA</v>
      </c>
      <c r="E1250" s="932" t="s">
        <v>92</v>
      </c>
      <c r="F1250" s="998" t="s">
        <v>80</v>
      </c>
      <c r="G1250" s="932" t="s">
        <v>310</v>
      </c>
      <c r="H1250" s="932" t="str">
        <f>VLOOKUP($C1250,Table1[#All],3,0)</f>
        <v>Subsidiaries</v>
      </c>
      <c r="I1250" s="932" t="str" cm="1">
        <f t="array" ref="I1250">_xlfn.XLOOKUP(Acc_Char!$E1250,Table4[[#All],[Branch]],Table4[[#All],[Bank]],"recheck",0)</f>
        <v>BIDV - THANH XUAN</v>
      </c>
    </row>
    <row r="1251" spans="1:9">
      <c r="A1251" s="998">
        <f t="shared" si="19"/>
        <v>1248</v>
      </c>
      <c r="B1251" s="1004" t="s">
        <v>1088</v>
      </c>
      <c r="C1251" s="1000" t="s">
        <v>445</v>
      </c>
      <c r="D1251" s="932" t="str">
        <f>VLOOKUP($C1251,Table1[#All],2,0)</f>
        <v>BW PHU NGHIA</v>
      </c>
      <c r="E1251" s="932" t="s">
        <v>92</v>
      </c>
      <c r="F1251" s="998" t="s">
        <v>80</v>
      </c>
      <c r="G1251" s="932" t="s">
        <v>310</v>
      </c>
      <c r="H1251" s="932" t="str">
        <f>VLOOKUP($C1251,Table1[#All],3,0)</f>
        <v>Subsidiaries</v>
      </c>
      <c r="I1251" s="932" t="str" cm="1">
        <f t="array" ref="I1251">_xlfn.XLOOKUP(Acc_Char!$E1251,Table4[[#All],[Branch]],Table4[[#All],[Bank]],"recheck",0)</f>
        <v>BIDV - THANH XUAN</v>
      </c>
    </row>
    <row r="1252" spans="1:9">
      <c r="A1252" s="998">
        <f t="shared" si="19"/>
        <v>1249</v>
      </c>
      <c r="B1252" s="1004" t="s">
        <v>3783</v>
      </c>
      <c r="C1252" s="1000" t="s">
        <v>3010</v>
      </c>
      <c r="D1252" s="932" t="str">
        <f>VLOOKUP($C1252,Table1[#All],2,0)</f>
        <v>BWID LOGISTICS TAN UYEN</v>
      </c>
      <c r="E1252" s="932" t="s">
        <v>89</v>
      </c>
      <c r="F1252" s="998" t="s">
        <v>80</v>
      </c>
      <c r="G1252" s="932" t="s">
        <v>310</v>
      </c>
      <c r="H1252" s="932" t="str">
        <f>VLOOKUP($C1252,Table1[#All],3,0)</f>
        <v>Subsidiaries</v>
      </c>
      <c r="I1252" s="932" t="str" cm="1">
        <f t="array" ref="I1252">_xlfn.XLOOKUP(Acc_Char!$E1252,Table4[[#All],[Branch]],Table4[[#All],[Bank]],"recheck",0)</f>
        <v>VIETCOMBANK - BA DINH</v>
      </c>
    </row>
    <row r="1253" spans="1:9">
      <c r="A1253" s="998">
        <f t="shared" si="19"/>
        <v>1250</v>
      </c>
      <c r="B1253" s="1004" t="s">
        <v>3784</v>
      </c>
      <c r="C1253" s="1000" t="s">
        <v>3010</v>
      </c>
      <c r="D1253" s="932" t="str">
        <f>VLOOKUP($C1253,Table1[#All],2,0)</f>
        <v>BWID LOGISTICS TAN UYEN</v>
      </c>
      <c r="E1253" s="932" t="s">
        <v>89</v>
      </c>
      <c r="F1253" s="998" t="s">
        <v>80</v>
      </c>
      <c r="G1253" s="932" t="s">
        <v>310</v>
      </c>
      <c r="H1253" s="932" t="str">
        <f>VLOOKUP($C1253,Table1[#All],3,0)</f>
        <v>Subsidiaries</v>
      </c>
      <c r="I1253" s="932" t="str" cm="1">
        <f t="array" ref="I1253">_xlfn.XLOOKUP(Acc_Char!$E1253,Table4[[#All],[Branch]],Table4[[#All],[Bank]],"recheck",0)</f>
        <v>VIETCOMBANK - BA DINH</v>
      </c>
    </row>
    <row r="1254" spans="1:9">
      <c r="A1254" s="998">
        <f t="shared" si="19"/>
        <v>1251</v>
      </c>
      <c r="B1254" s="1004" t="s">
        <v>3785</v>
      </c>
      <c r="C1254" s="1000" t="s">
        <v>2969</v>
      </c>
      <c r="D1254" s="932" t="str">
        <f>VLOOKUP($C1254,Table1[#All],2,0)</f>
        <v>BWID NHON TRACH</v>
      </c>
      <c r="E1254" s="932" t="s">
        <v>91</v>
      </c>
      <c r="F1254" s="998" t="s">
        <v>80</v>
      </c>
      <c r="G1254" s="932" t="s">
        <v>310</v>
      </c>
      <c r="H1254" s="932" t="str">
        <f>VLOOKUP($C1254,Table1[#All],3,0)</f>
        <v>Subsidiaries</v>
      </c>
      <c r="I1254" s="932" t="str" cm="1">
        <f t="array" ref="I1254">_xlfn.XLOOKUP(Acc_Char!$E1254,Table4[[#All],[Branch]],Table4[[#All],[Bank]],"recheck",0)</f>
        <v>VIETCOMBANK - HCM</v>
      </c>
    </row>
    <row r="1255" spans="1:9">
      <c r="A1255" s="998">
        <f t="shared" si="19"/>
        <v>1252</v>
      </c>
      <c r="B1255" s="1004" t="s">
        <v>1089</v>
      </c>
      <c r="C1255" s="1000" t="s">
        <v>436</v>
      </c>
      <c r="D1255" s="932" t="str">
        <f>VLOOKUP($C1255,Table1[#All],2,0)</f>
        <v>BW NAM HAI</v>
      </c>
      <c r="E1255" s="932" t="s">
        <v>89</v>
      </c>
      <c r="F1255" s="998" t="s">
        <v>80</v>
      </c>
      <c r="G1255" s="932" t="s">
        <v>310</v>
      </c>
      <c r="H1255" s="932" t="str">
        <f>VLOOKUP($C1255,Table1[#All],3,0)</f>
        <v>Subsidiaries</v>
      </c>
      <c r="I1255" s="932" t="str" cm="1">
        <f t="array" ref="I1255">_xlfn.XLOOKUP(Acc_Char!$E1255,Table4[[#All],[Branch]],Table4[[#All],[Bank]],"recheck",0)</f>
        <v>VIETCOMBANK - BA DINH</v>
      </c>
    </row>
    <row r="1256" spans="1:9">
      <c r="A1256" s="998">
        <f t="shared" si="19"/>
        <v>1253</v>
      </c>
      <c r="B1256" s="1004" t="s">
        <v>3786</v>
      </c>
      <c r="C1256" s="1000" t="s">
        <v>2980</v>
      </c>
      <c r="D1256" s="932" t="str">
        <f>VLOOKUP($C1256,Table1[#All],2,0)</f>
        <v>BWID THOI HOA</v>
      </c>
      <c r="E1256" s="932" t="s">
        <v>95</v>
      </c>
      <c r="F1256" s="998" t="s">
        <v>80</v>
      </c>
      <c r="G1256" s="932" t="s">
        <v>310</v>
      </c>
      <c r="H1256" s="932" t="str">
        <f>VLOOKUP($C1256,Table1[#All],3,0)</f>
        <v>Subsidiaries</v>
      </c>
      <c r="I1256" s="932" t="str" cm="1">
        <f t="array" ref="I1256">_xlfn.XLOOKUP(Acc_Char!$E1256,Table4[[#All],[Branch]],Table4[[#All],[Bank]],"recheck",0)</f>
        <v>OCB - BINH DUONG</v>
      </c>
    </row>
    <row r="1257" spans="1:9">
      <c r="A1257" s="998">
        <f t="shared" si="19"/>
        <v>1254</v>
      </c>
      <c r="B1257" s="1004" t="s">
        <v>3787</v>
      </c>
      <c r="C1257" s="1000" t="s">
        <v>389</v>
      </c>
      <c r="D1257" s="932" t="str">
        <f>VLOOKUP($C1257,Table1[#All],2,0)</f>
        <v>BWID BINH DUONG</v>
      </c>
      <c r="E1257" s="932" t="s">
        <v>98</v>
      </c>
      <c r="F1257" s="998" t="s">
        <v>80</v>
      </c>
      <c r="G1257" s="932" t="s">
        <v>310</v>
      </c>
      <c r="H1257" s="932" t="str">
        <f>VLOOKUP($C1257,Table1[#All],3,0)</f>
        <v>BWID JSC</v>
      </c>
      <c r="I1257" s="932" t="str" cm="1">
        <f t="array" ref="I1257">_xlfn.XLOOKUP(Acc_Char!$E1257,Table4[[#All],[Branch]],Table4[[#All],[Bank]],"recheck",0)</f>
        <v>SINOPAC</v>
      </c>
    </row>
    <row r="1258" spans="1:9">
      <c r="A1258" s="998">
        <f t="shared" si="19"/>
        <v>1255</v>
      </c>
      <c r="B1258" s="1004" t="s">
        <v>1090</v>
      </c>
      <c r="C1258" s="1000" t="s">
        <v>3026</v>
      </c>
      <c r="D1258" s="932" t="str">
        <f>VLOOKUP($C1258,Table1[#All],2,0)</f>
        <v>BW SAI GON</v>
      </c>
      <c r="E1258" s="932" t="s">
        <v>98</v>
      </c>
      <c r="F1258" s="998" t="s">
        <v>80</v>
      </c>
      <c r="G1258" s="932" t="s">
        <v>310</v>
      </c>
      <c r="H1258" s="932" t="str">
        <f>VLOOKUP($C1258,Table1[#All],3,0)</f>
        <v>Subsidiaries</v>
      </c>
      <c r="I1258" s="932" t="str" cm="1">
        <f t="array" ref="I1258">_xlfn.XLOOKUP(Acc_Char!$E1258,Table4[[#All],[Branch]],Table4[[#All],[Bank]],"recheck",0)</f>
        <v>SINOPAC</v>
      </c>
    </row>
    <row r="1259" spans="1:9">
      <c r="A1259" s="998">
        <f t="shared" si="19"/>
        <v>1256</v>
      </c>
      <c r="B1259" s="1004" t="s">
        <v>3788</v>
      </c>
      <c r="C1259" s="1000" t="s">
        <v>2998</v>
      </c>
      <c r="D1259" s="932" t="str">
        <f>VLOOKUP($C1259,Table1[#All],2,0)</f>
        <v>BWID THOI HOA 2</v>
      </c>
      <c r="E1259" s="932" t="s">
        <v>971</v>
      </c>
      <c r="F1259" s="998" t="s">
        <v>80</v>
      </c>
      <c r="G1259" s="932" t="s">
        <v>310</v>
      </c>
      <c r="H1259" s="932" t="str">
        <f>VLOOKUP($C1259,Table1[#All],3,0)</f>
        <v>Subsidiaries</v>
      </c>
      <c r="I1259" s="932" t="str" cm="1">
        <f t="array" ref="I1259">_xlfn.XLOOKUP(Acc_Char!$E1259,Table4[[#All],[Branch]],Table4[[#All],[Bank]],"recheck",0)</f>
        <v>OTHERS</v>
      </c>
    </row>
    <row r="1260" spans="1:9">
      <c r="A1260" s="998">
        <f t="shared" si="19"/>
        <v>1257</v>
      </c>
      <c r="B1260" s="1004" t="s">
        <v>3789</v>
      </c>
      <c r="C1260" s="1000" t="s">
        <v>389</v>
      </c>
      <c r="D1260" s="932" t="str">
        <f>VLOOKUP($C1260,Table1[#All],2,0)</f>
        <v>BWID BINH DUONG</v>
      </c>
      <c r="E1260" s="932" t="s">
        <v>1051</v>
      </c>
      <c r="F1260" s="998" t="s">
        <v>80</v>
      </c>
      <c r="G1260" s="932" t="s">
        <v>310</v>
      </c>
      <c r="H1260" s="932" t="str">
        <f>VLOOKUP($C1260,Table1[#All],3,0)</f>
        <v>BWID JSC</v>
      </c>
      <c r="I1260" s="932" t="str" cm="1">
        <f t="array" ref="I1260">_xlfn.XLOOKUP(Acc_Char!$E1260,Table4[[#All],[Branch]],Table4[[#All],[Bank]],"recheck",0)</f>
        <v>OTHERS</v>
      </c>
    </row>
    <row r="1261" spans="1:9">
      <c r="A1261" s="998">
        <f t="shared" si="19"/>
        <v>1258</v>
      </c>
      <c r="B1261" s="1004" t="s">
        <v>3790</v>
      </c>
      <c r="C1261" s="1000" t="s">
        <v>3277</v>
      </c>
      <c r="D1261" s="932" t="str">
        <f>VLOOKUP($C1261,Table1[#All],2,0)</f>
        <v>THUAN THANH 3B</v>
      </c>
      <c r="E1261" s="932" t="s">
        <v>89</v>
      </c>
      <c r="F1261" s="998" t="s">
        <v>80</v>
      </c>
      <c r="G1261" s="932" t="s">
        <v>310</v>
      </c>
      <c r="H1261" s="932" t="str">
        <f>VLOOKUP($C1261,Table1[#All],3,0)</f>
        <v>Subsidiaries</v>
      </c>
      <c r="I1261" s="932" t="str" cm="1">
        <f t="array" ref="I1261">_xlfn.XLOOKUP(Acc_Char!$E1261,Table4[[#All],[Branch]],Table4[[#All],[Bank]],"recheck",0)</f>
        <v>VIETCOMBANK - BA DINH</v>
      </c>
    </row>
    <row r="1262" spans="1:9">
      <c r="A1262" s="998">
        <f t="shared" si="19"/>
        <v>1259</v>
      </c>
      <c r="B1262" s="1004" t="s">
        <v>3791</v>
      </c>
      <c r="C1262" s="1000" t="s">
        <v>389</v>
      </c>
      <c r="D1262" s="932" t="str">
        <f>VLOOKUP($C1262,Table1[#All],2,0)</f>
        <v>BWID BINH DUONG</v>
      </c>
      <c r="E1262" s="932" t="s">
        <v>153</v>
      </c>
      <c r="F1262" s="998" t="s">
        <v>80</v>
      </c>
      <c r="G1262" s="932" t="s">
        <v>310</v>
      </c>
      <c r="H1262" s="932" t="str">
        <f>VLOOKUP($C1262,Table1[#All],3,0)</f>
        <v>BWID JSC</v>
      </c>
      <c r="I1262" s="932" t="str" cm="1">
        <f t="array" ref="I1262">_xlfn.XLOOKUP(Acc_Char!$E1262,Table4[[#All],[Branch]],Table4[[#All],[Bank]],"recheck",0)</f>
        <v>VIETINBANK - BINH DUONG + QM</v>
      </c>
    </row>
    <row r="1263" spans="1:9">
      <c r="A1263" s="998">
        <f t="shared" si="19"/>
        <v>1260</v>
      </c>
      <c r="B1263" s="1004" t="s">
        <v>3792</v>
      </c>
      <c r="C1263" s="1000" t="s">
        <v>389</v>
      </c>
      <c r="D1263" s="932" t="str">
        <f>VLOOKUP($C1263,Table1[#All],2,0)</f>
        <v>BWID BINH DUONG</v>
      </c>
      <c r="E1263" s="932" t="s">
        <v>98</v>
      </c>
      <c r="F1263" s="998" t="s">
        <v>80</v>
      </c>
      <c r="G1263" s="932" t="s">
        <v>310</v>
      </c>
      <c r="H1263" s="932" t="str">
        <f>VLOOKUP($C1263,Table1[#All],3,0)</f>
        <v>BWID JSC</v>
      </c>
      <c r="I1263" s="932" t="str" cm="1">
        <f t="array" ref="I1263">_xlfn.XLOOKUP(Acc_Char!$E1263,Table4[[#All],[Branch]],Table4[[#All],[Bank]],"recheck",0)</f>
        <v>SINOPAC</v>
      </c>
    </row>
    <row r="1264" spans="1:9">
      <c r="A1264" s="998">
        <f t="shared" si="19"/>
        <v>1261</v>
      </c>
      <c r="B1264" s="1004" t="s">
        <v>3793</v>
      </c>
      <c r="C1264" s="1000" t="s">
        <v>3047</v>
      </c>
      <c r="D1264" s="932" t="str">
        <f>VLOOKUP($C1264,Table1[#All],2,0)</f>
        <v>BW SAIGON LOGISTICS</v>
      </c>
      <c r="E1264" s="932" t="s">
        <v>91</v>
      </c>
      <c r="F1264" s="998" t="s">
        <v>80</v>
      </c>
      <c r="G1264" s="932" t="s">
        <v>310</v>
      </c>
      <c r="H1264" s="932" t="str">
        <f>VLOOKUP($C1264,Table1[#All],3,0)</f>
        <v>Subsidiaries</v>
      </c>
      <c r="I1264" s="932" t="str" cm="1">
        <f t="array" ref="I1264">_xlfn.XLOOKUP(Acc_Char!$E1264,Table4[[#All],[Branch]],Table4[[#All],[Bank]],"recheck",0)</f>
        <v>VIETCOMBANK - HCM</v>
      </c>
    </row>
    <row r="1265" spans="1:9">
      <c r="A1265" s="998">
        <f t="shared" si="19"/>
        <v>1262</v>
      </c>
      <c r="B1265" s="1004" t="s">
        <v>3794</v>
      </c>
      <c r="C1265" s="1000" t="s">
        <v>3272</v>
      </c>
      <c r="D1265" s="932" t="str">
        <f>VLOOKUP($C1265,Table1[#All],2,0)</f>
        <v>SUPPLY CHAIN 2A</v>
      </c>
      <c r="E1265" s="932" t="s">
        <v>85</v>
      </c>
      <c r="F1265" s="998" t="s">
        <v>80</v>
      </c>
      <c r="G1265" s="932" t="s">
        <v>310</v>
      </c>
      <c r="H1265" s="932" t="str">
        <f>VLOOKUP($C1265,Table1[#All],3,0)</f>
        <v>Subsidiaries</v>
      </c>
      <c r="I1265" s="932" t="str" cm="1">
        <f t="array" ref="I1265">_xlfn.XLOOKUP(Acc_Char!$E1265,Table4[[#All],[Branch]],Table4[[#All],[Bank]],"recheck",0)</f>
        <v>VIETINBANK - TIEN SON</v>
      </c>
    </row>
    <row r="1266" spans="1:9">
      <c r="A1266" s="998">
        <f t="shared" si="19"/>
        <v>1263</v>
      </c>
      <c r="B1266" s="1004" t="s">
        <v>1091</v>
      </c>
      <c r="C1266" s="1000" t="s">
        <v>3272</v>
      </c>
      <c r="D1266" s="932" t="str">
        <f>VLOOKUP($C1266,Table1[#All],2,0)</f>
        <v>SUPPLY CHAIN 2A</v>
      </c>
      <c r="E1266" s="932" t="s">
        <v>96</v>
      </c>
      <c r="F1266" s="998" t="s">
        <v>80</v>
      </c>
      <c r="G1266" s="932" t="s">
        <v>310</v>
      </c>
      <c r="H1266" s="932" t="str">
        <f>VLOOKUP($C1266,Table1[#All],3,0)</f>
        <v>Subsidiaries</v>
      </c>
      <c r="I1266" s="932" t="str" cm="1">
        <f t="array" ref="I1266">_xlfn.XLOOKUP(Acc_Char!$E1266,Table4[[#All],[Branch]],Table4[[#All],[Bank]],"recheck",0)</f>
        <v>VIB - HOI SO</v>
      </c>
    </row>
    <row r="1267" spans="1:9">
      <c r="A1267" s="998">
        <f t="shared" si="19"/>
        <v>1264</v>
      </c>
      <c r="B1267" s="1002" t="s">
        <v>1092</v>
      </c>
      <c r="C1267" s="1000" t="s">
        <v>416</v>
      </c>
      <c r="D1267" s="932" t="str">
        <f>VLOOKUP($C1267,Table1[#All],2,0)</f>
        <v>TCS JSC</v>
      </c>
      <c r="E1267" s="932" t="s">
        <v>92</v>
      </c>
      <c r="F1267" s="998" t="s">
        <v>80</v>
      </c>
      <c r="G1267" s="932" t="s">
        <v>308</v>
      </c>
      <c r="H1267" s="932" t="str">
        <f>VLOOKUP($C1267,Table1[#All],3,0)</f>
        <v>Subsidiaries</v>
      </c>
      <c r="I1267" s="932" t="str" cm="1">
        <f t="array" ref="I1267">_xlfn.XLOOKUP(Acc_Char!$E1267,Table4[[#All],[Branch]],Table4[[#All],[Bank]],"recheck",0)</f>
        <v>BIDV - THANH XUAN</v>
      </c>
    </row>
    <row r="1268" spans="1:9">
      <c r="A1268" s="998">
        <f t="shared" si="19"/>
        <v>1265</v>
      </c>
      <c r="B1268" s="1004" t="s">
        <v>1093</v>
      </c>
      <c r="C1268" s="1000" t="s">
        <v>3395</v>
      </c>
      <c r="D1268" s="932" t="str">
        <f>VLOOKUP($C1268,Table1[#All],2,0)</f>
        <v>HOLDCO4V</v>
      </c>
      <c r="E1268" s="932" t="s">
        <v>803</v>
      </c>
      <c r="F1268" s="998" t="s">
        <v>80</v>
      </c>
      <c r="G1268" s="932" t="s">
        <v>308</v>
      </c>
      <c r="H1268" s="932" t="str">
        <f>VLOOKUP($C1268,Table1[#All],3,0)</f>
        <v>Subsidiaries</v>
      </c>
      <c r="I1268" s="932" t="str" cm="1">
        <f t="array" ref="I1268">_xlfn.XLOOKUP(Acc_Char!$E1268,Table4[[#All],[Branch]],Table4[[#All],[Bank]],"recheck",0)</f>
        <v>UOB</v>
      </c>
    </row>
    <row r="1269" spans="1:9">
      <c r="A1269" s="998">
        <f t="shared" si="19"/>
        <v>1266</v>
      </c>
      <c r="B1269" s="1004" t="s">
        <v>1094</v>
      </c>
      <c r="C1269" s="1000" t="s">
        <v>3392</v>
      </c>
      <c r="D1269" s="932" t="str">
        <f>VLOOKUP($C1269,Table1[#All],2,0)</f>
        <v>HOLDCO4S</v>
      </c>
      <c r="E1269" s="932" t="s">
        <v>803</v>
      </c>
      <c r="F1269" s="998" t="s">
        <v>80</v>
      </c>
      <c r="G1269" s="932" t="s">
        <v>308</v>
      </c>
      <c r="H1269" s="932" t="str">
        <f>VLOOKUP($C1269,Table1[#All],3,0)</f>
        <v>Subsidiaries</v>
      </c>
      <c r="I1269" s="932" t="str" cm="1">
        <f t="array" ref="I1269">_xlfn.XLOOKUP(Acc_Char!$E1269,Table4[[#All],[Branch]],Table4[[#All],[Bank]],"recheck",0)</f>
        <v>UOB</v>
      </c>
    </row>
    <row r="1270" spans="1:9">
      <c r="A1270" s="998">
        <f t="shared" si="19"/>
        <v>1267</v>
      </c>
      <c r="B1270" s="1004" t="s">
        <v>1095</v>
      </c>
      <c r="C1270" s="1000" t="s">
        <v>3402</v>
      </c>
      <c r="D1270" s="932" t="str">
        <f>VLOOKUP($C1270,Table1[#All],2,0)</f>
        <v>HOLDCO5S</v>
      </c>
      <c r="E1270" s="932" t="s">
        <v>803</v>
      </c>
      <c r="F1270" s="998" t="s">
        <v>80</v>
      </c>
      <c r="G1270" s="932" t="s">
        <v>308</v>
      </c>
      <c r="H1270" s="932" t="str">
        <f>VLOOKUP($C1270,Table1[#All],3,0)</f>
        <v>Subsidiaries</v>
      </c>
      <c r="I1270" s="932" t="str" cm="1">
        <f t="array" ref="I1270">_xlfn.XLOOKUP(Acc_Char!$E1270,Table4[[#All],[Branch]],Table4[[#All],[Bank]],"recheck",0)</f>
        <v>UOB</v>
      </c>
    </row>
    <row r="1271" spans="1:9">
      <c r="A1271" s="998">
        <f t="shared" si="19"/>
        <v>1268</v>
      </c>
      <c r="B1271" s="1004" t="s">
        <v>1096</v>
      </c>
      <c r="C1271" s="1000" t="s">
        <v>3394</v>
      </c>
      <c r="D1271" s="932" t="str">
        <f>VLOOKUP($C1271,Table1[#All],2,0)</f>
        <v>HOLDCO4U</v>
      </c>
      <c r="E1271" s="932" t="s">
        <v>803</v>
      </c>
      <c r="F1271" s="998" t="s">
        <v>80</v>
      </c>
      <c r="G1271" s="932" t="s">
        <v>308</v>
      </c>
      <c r="H1271" s="932" t="str">
        <f>VLOOKUP($C1271,Table1[#All],3,0)</f>
        <v>Subsidiaries</v>
      </c>
      <c r="I1271" s="932" t="str" cm="1">
        <f t="array" ref="I1271">_xlfn.XLOOKUP(Acc_Char!$E1271,Table4[[#All],[Branch]],Table4[[#All],[Bank]],"recheck",0)</f>
        <v>UOB</v>
      </c>
    </row>
    <row r="1272" spans="1:9">
      <c r="A1272" s="998">
        <f t="shared" si="19"/>
        <v>1269</v>
      </c>
      <c r="B1272" s="1004" t="s">
        <v>1097</v>
      </c>
      <c r="C1272" s="1000" t="s">
        <v>3218</v>
      </c>
      <c r="D1272" s="932" t="str">
        <f>VLOOKUP($C1272,Table1[#All],2,0)</f>
        <v>HOLDCO5J</v>
      </c>
      <c r="E1272" s="932" t="s">
        <v>803</v>
      </c>
      <c r="F1272" s="998" t="s">
        <v>80</v>
      </c>
      <c r="G1272" s="932" t="s">
        <v>308</v>
      </c>
      <c r="H1272" s="932" t="str">
        <f>VLOOKUP($C1272,Table1[#All],3,0)</f>
        <v>Subsidiaries</v>
      </c>
      <c r="I1272" s="932" t="str" cm="1">
        <f t="array" ref="I1272">_xlfn.XLOOKUP(Acc_Char!$E1272,Table4[[#All],[Branch]],Table4[[#All],[Bank]],"recheck",0)</f>
        <v>UOB</v>
      </c>
    </row>
    <row r="1273" spans="1:9">
      <c r="A1273" s="998">
        <f t="shared" si="19"/>
        <v>1270</v>
      </c>
      <c r="B1273" s="1004" t="s">
        <v>1098</v>
      </c>
      <c r="C1273" s="1000" t="s">
        <v>3214</v>
      </c>
      <c r="D1273" s="932" t="str">
        <f>VLOOKUP($C1273,Table1[#All],2,0)</f>
        <v>HOLDCO4J</v>
      </c>
      <c r="E1273" s="932" t="s">
        <v>803</v>
      </c>
      <c r="F1273" s="998" t="s">
        <v>80</v>
      </c>
      <c r="G1273" s="932" t="s">
        <v>308</v>
      </c>
      <c r="H1273" s="932" t="str">
        <f>VLOOKUP($C1273,Table1[#All],3,0)</f>
        <v>Subsidiaries</v>
      </c>
      <c r="I1273" s="932" t="str" cm="1">
        <f t="array" ref="I1273">_xlfn.XLOOKUP(Acc_Char!$E1273,Table4[[#All],[Branch]],Table4[[#All],[Bank]],"recheck",0)</f>
        <v>UOB</v>
      </c>
    </row>
    <row r="1274" spans="1:9">
      <c r="A1274" s="998">
        <f t="shared" si="19"/>
        <v>1271</v>
      </c>
      <c r="B1274" s="1004" t="s">
        <v>1099</v>
      </c>
      <c r="C1274" s="1000" t="s">
        <v>3396</v>
      </c>
      <c r="D1274" s="932" t="str">
        <f>VLOOKUP($C1274,Table1[#All],2,0)</f>
        <v>HOLDCO4Y</v>
      </c>
      <c r="E1274" s="932" t="s">
        <v>803</v>
      </c>
      <c r="F1274" s="998" t="s">
        <v>80</v>
      </c>
      <c r="G1274" s="932" t="s">
        <v>308</v>
      </c>
      <c r="H1274" s="932" t="str">
        <f>VLOOKUP($C1274,Table1[#All],3,0)</f>
        <v>Subsidiaries</v>
      </c>
      <c r="I1274" s="932" t="str" cm="1">
        <f t="array" ref="I1274">_xlfn.XLOOKUP(Acc_Char!$E1274,Table4[[#All],[Branch]],Table4[[#All],[Bank]],"recheck",0)</f>
        <v>UOB</v>
      </c>
    </row>
    <row r="1275" spans="1:9">
      <c r="A1275" s="998">
        <f t="shared" si="19"/>
        <v>1272</v>
      </c>
      <c r="B1275" s="1004" t="s">
        <v>1100</v>
      </c>
      <c r="C1275" s="1000" t="s">
        <v>412</v>
      </c>
      <c r="D1275" s="932" t="str">
        <f>VLOOKUP($C1275,Table1[#All],2,0)</f>
        <v>DELIWAY</v>
      </c>
      <c r="E1275" s="932" t="s">
        <v>191</v>
      </c>
      <c r="F1275" s="998" t="s">
        <v>80</v>
      </c>
      <c r="G1275" s="932" t="s">
        <v>308</v>
      </c>
      <c r="H1275" s="932" t="str">
        <f>VLOOKUP($C1275,Table1[#All],3,0)</f>
        <v>Subsidiaries</v>
      </c>
      <c r="I1275" s="932" t="str" cm="1">
        <f t="array" ref="I1275">_xlfn.XLOOKUP(Acc_Char!$E1275,Table4[[#All],[Branch]],Table4[[#All],[Bank]],"recheck",0)</f>
        <v>VIETINBANK - TPHCM</v>
      </c>
    </row>
    <row r="1276" spans="1:9">
      <c r="A1276" s="998">
        <f t="shared" si="19"/>
        <v>1273</v>
      </c>
      <c r="B1276" s="1004" t="s">
        <v>3795</v>
      </c>
      <c r="C1276" s="1000" t="s">
        <v>3233</v>
      </c>
      <c r="D1276" s="932" t="str">
        <f>VLOOKUP($C1276,Table1[#All],2,0)</f>
        <v>BAU BANG 6</v>
      </c>
      <c r="E1276" s="932" t="s">
        <v>153</v>
      </c>
      <c r="F1276" s="998" t="s">
        <v>80</v>
      </c>
      <c r="G1276" s="932" t="s">
        <v>310</v>
      </c>
      <c r="H1276" s="932" t="str">
        <f>VLOOKUP($C1276,Table1[#All],3,0)</f>
        <v>Subsidiaries</v>
      </c>
      <c r="I1276" s="932" t="str" cm="1">
        <f t="array" ref="I1276">_xlfn.XLOOKUP(Acc_Char!$E1276,Table4[[#All],[Branch]],Table4[[#All],[Bank]],"recheck",0)</f>
        <v>VIETINBANK - BINH DUONG + QM</v>
      </c>
    </row>
    <row r="1277" spans="1:9">
      <c r="A1277" s="998">
        <f t="shared" si="19"/>
        <v>1274</v>
      </c>
      <c r="B1277" s="1004" t="s">
        <v>3796</v>
      </c>
      <c r="C1277" s="1000" t="s">
        <v>426</v>
      </c>
      <c r="D1277" s="932" t="str">
        <f>VLOOKUP($C1277,Table1[#All],2,0)</f>
        <v>BAU BANG 5</v>
      </c>
      <c r="E1277" s="932" t="s">
        <v>153</v>
      </c>
      <c r="F1277" s="998" t="s">
        <v>80</v>
      </c>
      <c r="G1277" s="932" t="s">
        <v>310</v>
      </c>
      <c r="H1277" s="932" t="str">
        <f>VLOOKUP($C1277,Table1[#All],3,0)</f>
        <v>Subsidiaries</v>
      </c>
      <c r="I1277" s="932" t="str" cm="1">
        <f t="array" ref="I1277">_xlfn.XLOOKUP(Acc_Char!$E1277,Table4[[#All],[Branch]],Table4[[#All],[Bank]],"recheck",0)</f>
        <v>VIETINBANK - BINH DUONG + QM</v>
      </c>
    </row>
    <row r="1278" spans="1:9">
      <c r="A1278" s="998">
        <f t="shared" si="19"/>
        <v>1275</v>
      </c>
      <c r="B1278" s="1004" t="s">
        <v>3797</v>
      </c>
      <c r="C1278" s="1000" t="s">
        <v>412</v>
      </c>
      <c r="D1278" s="932" t="str">
        <f>VLOOKUP($C1278,Table1[#All],2,0)</f>
        <v>DELIWAY</v>
      </c>
      <c r="E1278" s="932" t="s">
        <v>191</v>
      </c>
      <c r="F1278" s="998" t="s">
        <v>80</v>
      </c>
      <c r="G1278" s="932" t="s">
        <v>310</v>
      </c>
      <c r="H1278" s="932" t="str">
        <f>VLOOKUP($C1278,Table1[#All],3,0)</f>
        <v>Subsidiaries</v>
      </c>
      <c r="I1278" s="932" t="str" cm="1">
        <f t="array" ref="I1278">_xlfn.XLOOKUP(Acc_Char!$E1278,Table4[[#All],[Branch]],Table4[[#All],[Bank]],"recheck",0)</f>
        <v>VIETINBANK - TPHCM</v>
      </c>
    </row>
    <row r="1279" spans="1:9">
      <c r="A1279" s="998">
        <f t="shared" si="19"/>
        <v>1276</v>
      </c>
      <c r="B1279" s="1004" t="s">
        <v>3798</v>
      </c>
      <c r="C1279" s="1000" t="s">
        <v>3323</v>
      </c>
      <c r="D1279" s="932" t="str">
        <f>VLOOKUP($C1279,Table1[#All],2,0)</f>
        <v>TAN DONG HIEP B ELECTRON</v>
      </c>
      <c r="E1279" s="932" t="s">
        <v>191</v>
      </c>
      <c r="F1279" s="998" t="s">
        <v>80</v>
      </c>
      <c r="G1279" s="932" t="s">
        <v>310</v>
      </c>
      <c r="H1279" s="932" t="str">
        <f>VLOOKUP($C1279,Table1[#All],3,0)</f>
        <v>Subsidiaries</v>
      </c>
      <c r="I1279" s="932" t="str" cm="1">
        <f t="array" ref="I1279">_xlfn.XLOOKUP(Acc_Char!$E1279,Table4[[#All],[Branch]],Table4[[#All],[Bank]],"recheck",0)</f>
        <v>VIETINBANK - TPHCM</v>
      </c>
    </row>
    <row r="1280" spans="1:9">
      <c r="A1280" s="998">
        <f t="shared" si="19"/>
        <v>1277</v>
      </c>
      <c r="B1280" s="1004" t="s">
        <v>3799</v>
      </c>
      <c r="C1280" s="1000" t="s">
        <v>3093</v>
      </c>
      <c r="D1280" s="932" t="str">
        <f>VLOOKUP($C1280,Table1[#All],2,0)</f>
        <v>SONGTHAN LID</v>
      </c>
      <c r="E1280" s="932" t="s">
        <v>88</v>
      </c>
      <c r="F1280" s="998" t="s">
        <v>80</v>
      </c>
      <c r="G1280" s="932" t="s">
        <v>310</v>
      </c>
      <c r="H1280" s="932" t="str">
        <f>VLOOKUP($C1280,Table1[#All],3,0)</f>
        <v>Subsidiaries</v>
      </c>
      <c r="I1280" s="932" t="str" cm="1">
        <f t="array" ref="I1280">_xlfn.XLOOKUP(Acc_Char!$E1280,Table4[[#All],[Branch]],Table4[[#All],[Bank]],"recheck",0)</f>
        <v>VIETINBANK - DONG SAI GON</v>
      </c>
    </row>
    <row r="1281" spans="1:9">
      <c r="A1281" s="998">
        <f t="shared" si="19"/>
        <v>1278</v>
      </c>
      <c r="B1281" s="1004" t="s">
        <v>1101</v>
      </c>
      <c r="C1281" s="1000" t="s">
        <v>3237</v>
      </c>
      <c r="D1281" s="932" t="str">
        <f>VLOOKUP($C1281,Table1[#All],2,0)</f>
        <v>LONG BINH</v>
      </c>
      <c r="E1281" s="932" t="s">
        <v>86</v>
      </c>
      <c r="F1281" s="998" t="s">
        <v>80</v>
      </c>
      <c r="G1281" s="932" t="s">
        <v>310</v>
      </c>
      <c r="H1281" s="932" t="str">
        <f>VLOOKUP($C1281,Table1[#All],3,0)</f>
        <v>Subsidiaries</v>
      </c>
      <c r="I1281" s="932" t="str" cm="1">
        <f t="array" ref="I1281">_xlfn.XLOOKUP(Acc_Char!$E1281,Table4[[#All],[Branch]],Table4[[#All],[Bank]],"recheck",0)</f>
        <v>VIETINBANK - CN1</v>
      </c>
    </row>
    <row r="1282" spans="1:9">
      <c r="A1282" s="998">
        <f t="shared" si="19"/>
        <v>1279</v>
      </c>
      <c r="B1282" s="1004" t="s">
        <v>3800</v>
      </c>
      <c r="C1282" s="1000" t="s">
        <v>3145</v>
      </c>
      <c r="D1282" s="932" t="str">
        <f>VLOOKUP($C1282,Table1[#All],2,0)</f>
        <v>BAU BANG 3</v>
      </c>
      <c r="E1282" s="932" t="s">
        <v>153</v>
      </c>
      <c r="F1282" s="998" t="s">
        <v>80</v>
      </c>
      <c r="G1282" s="932" t="s">
        <v>310</v>
      </c>
      <c r="H1282" s="932" t="str">
        <f>VLOOKUP($C1282,Table1[#All],3,0)</f>
        <v>Subsidiaries</v>
      </c>
      <c r="I1282" s="932" t="str" cm="1">
        <f t="array" ref="I1282">_xlfn.XLOOKUP(Acc_Char!$E1282,Table4[[#All],[Branch]],Table4[[#All],[Bank]],"recheck",0)</f>
        <v>VIETINBANK - BINH DUONG + QM</v>
      </c>
    </row>
    <row r="1283" spans="1:9">
      <c r="A1283" s="998">
        <f t="shared" si="19"/>
        <v>1280</v>
      </c>
      <c r="B1283" s="1004" t="s">
        <v>3801</v>
      </c>
      <c r="C1283" s="1000" t="s">
        <v>3268</v>
      </c>
      <c r="D1283" s="932" t="str">
        <f>VLOOKUP($C1283,Table1[#All],2,0)</f>
        <v>BW DONG HAI</v>
      </c>
      <c r="E1283" s="932" t="s">
        <v>92</v>
      </c>
      <c r="F1283" s="998" t="s">
        <v>80</v>
      </c>
      <c r="G1283" s="932" t="s">
        <v>310</v>
      </c>
      <c r="H1283" s="932" t="str">
        <f>VLOOKUP($C1283,Table1[#All],3,0)</f>
        <v>Subsidiaries</v>
      </c>
      <c r="I1283" s="932" t="str" cm="1">
        <f t="array" ref="I1283">_xlfn.XLOOKUP(Acc_Char!$E1283,Table4[[#All],[Branch]],Table4[[#All],[Bank]],"recheck",0)</f>
        <v>BIDV - THANH XUAN</v>
      </c>
    </row>
    <row r="1284" spans="1:9">
      <c r="A1284" s="998">
        <f t="shared" si="19"/>
        <v>1281</v>
      </c>
      <c r="B1284" s="1004" t="s">
        <v>1102</v>
      </c>
      <c r="C1284" s="1000" t="s">
        <v>430</v>
      </c>
      <c r="D1284" s="932" t="str">
        <f>VLOOKUP($C1284,Table1[#All],2,0)</f>
        <v>KIM TRUC DN</v>
      </c>
      <c r="E1284" s="932" t="s">
        <v>93</v>
      </c>
      <c r="F1284" s="998" t="s">
        <v>80</v>
      </c>
      <c r="G1284" s="932" t="s">
        <v>310</v>
      </c>
      <c r="H1284" s="932" t="str">
        <f>VLOOKUP($C1284,Table1[#All],3,0)</f>
        <v>Subsidiaries</v>
      </c>
      <c r="I1284" s="932" t="str" cm="1">
        <f t="array" ref="I1284">_xlfn.XLOOKUP(Acc_Char!$E1284,Table4[[#All],[Branch]],Table4[[#All],[Bank]],"recheck",0)</f>
        <v>BIDV - NAM SAI GON</v>
      </c>
    </row>
    <row r="1285" spans="1:9">
      <c r="A1285" s="998">
        <f t="shared" ref="A1285:A1348" si="20">A1284+1</f>
        <v>1282</v>
      </c>
      <c r="B1285" s="1004" t="s">
        <v>1103</v>
      </c>
      <c r="C1285" s="1000" t="s">
        <v>430</v>
      </c>
      <c r="D1285" s="932" t="str">
        <f>VLOOKUP($C1285,Table1[#All],2,0)</f>
        <v>KIM TRUC DN</v>
      </c>
      <c r="E1285" s="932" t="s">
        <v>93</v>
      </c>
      <c r="F1285" s="998" t="s">
        <v>80</v>
      </c>
      <c r="G1285" s="932" t="s">
        <v>310</v>
      </c>
      <c r="H1285" s="932" t="str">
        <f>VLOOKUP($C1285,Table1[#All],3,0)</f>
        <v>Subsidiaries</v>
      </c>
      <c r="I1285" s="932" t="str" cm="1">
        <f t="array" ref="I1285">_xlfn.XLOOKUP(Acc_Char!$E1285,Table4[[#All],[Branch]],Table4[[#All],[Bank]],"recheck",0)</f>
        <v>BIDV - NAM SAI GON</v>
      </c>
    </row>
    <row r="1286" spans="1:9">
      <c r="A1286" s="998">
        <f t="shared" si="20"/>
        <v>1283</v>
      </c>
      <c r="B1286" s="1004" t="s">
        <v>1104</v>
      </c>
      <c r="C1286" s="1000" t="s">
        <v>3519</v>
      </c>
      <c r="D1286" s="932" t="str">
        <f>VLOOKUP($C1286,Table1[#All],2,0)</f>
        <v>NSHL LLC</v>
      </c>
      <c r="E1286" s="932" t="s">
        <v>92</v>
      </c>
      <c r="F1286" s="998" t="s">
        <v>80</v>
      </c>
      <c r="G1286" s="932" t="s">
        <v>310</v>
      </c>
      <c r="H1286" s="932" t="str">
        <f>VLOOKUP($C1286,Table1[#All],3,0)</f>
        <v>Subsidiaries</v>
      </c>
      <c r="I1286" s="932" t="str" cm="1">
        <f t="array" ref="I1286">_xlfn.XLOOKUP(Acc_Char!$E1286,Table4[[#All],[Branch]],Table4[[#All],[Bank]],"recheck",0)</f>
        <v>BIDV - THANH XUAN</v>
      </c>
    </row>
    <row r="1287" spans="1:9">
      <c r="A1287" s="998">
        <f t="shared" si="20"/>
        <v>1284</v>
      </c>
      <c r="B1287" s="1004" t="s">
        <v>3802</v>
      </c>
      <c r="C1287" s="1000" t="s">
        <v>3026</v>
      </c>
      <c r="D1287" s="932" t="str">
        <f>VLOOKUP($C1287,Table1[#All],2,0)</f>
        <v>BW SAI GON</v>
      </c>
      <c r="E1287" s="932" t="s">
        <v>98</v>
      </c>
      <c r="F1287" s="998" t="s">
        <v>80</v>
      </c>
      <c r="G1287" s="932" t="s">
        <v>310</v>
      </c>
      <c r="H1287" s="932" t="str">
        <f>VLOOKUP($C1287,Table1[#All],3,0)</f>
        <v>Subsidiaries</v>
      </c>
      <c r="I1287" s="932" t="str" cm="1">
        <f t="array" ref="I1287">_xlfn.XLOOKUP(Acc_Char!$E1287,Table4[[#All],[Branch]],Table4[[#All],[Bank]],"recheck",0)</f>
        <v>SINOPAC</v>
      </c>
    </row>
    <row r="1288" spans="1:9">
      <c r="A1288" s="998">
        <f t="shared" si="20"/>
        <v>1285</v>
      </c>
      <c r="B1288" s="1004" t="s">
        <v>3803</v>
      </c>
      <c r="C1288" s="1000" t="s">
        <v>389</v>
      </c>
      <c r="D1288" s="932" t="str">
        <f>VLOOKUP($C1288,Table1[#All],2,0)</f>
        <v>BWID BINH DUONG</v>
      </c>
      <c r="E1288" s="932" t="s">
        <v>98</v>
      </c>
      <c r="F1288" s="998" t="s">
        <v>80</v>
      </c>
      <c r="G1288" s="932" t="s">
        <v>310</v>
      </c>
      <c r="H1288" s="932" t="str">
        <f>VLOOKUP($C1288,Table1[#All],3,0)</f>
        <v>BWID JSC</v>
      </c>
      <c r="I1288" s="932" t="str" cm="1">
        <f t="array" ref="I1288">_xlfn.XLOOKUP(Acc_Char!$E1288,Table4[[#All],[Branch]],Table4[[#All],[Bank]],"recheck",0)</f>
        <v>SINOPAC</v>
      </c>
    </row>
    <row r="1289" spans="1:9">
      <c r="A1289" s="998">
        <f t="shared" si="20"/>
        <v>1286</v>
      </c>
      <c r="B1289" s="1004" t="s">
        <v>3804</v>
      </c>
      <c r="C1289" s="1000" t="s">
        <v>389</v>
      </c>
      <c r="D1289" s="932" t="str">
        <f>VLOOKUP($C1289,Table1[#All],2,0)</f>
        <v>BWID BINH DUONG</v>
      </c>
      <c r="E1289" s="932" t="s">
        <v>98</v>
      </c>
      <c r="F1289" s="998" t="s">
        <v>80</v>
      </c>
      <c r="G1289" s="932" t="s">
        <v>310</v>
      </c>
      <c r="H1289" s="932" t="str">
        <f>VLOOKUP($C1289,Table1[#All],3,0)</f>
        <v>BWID JSC</v>
      </c>
      <c r="I1289" s="932" t="str" cm="1">
        <f t="array" ref="I1289">_xlfn.XLOOKUP(Acc_Char!$E1289,Table4[[#All],[Branch]],Table4[[#All],[Bank]],"recheck",0)</f>
        <v>SINOPAC</v>
      </c>
    </row>
    <row r="1290" spans="1:9">
      <c r="A1290" s="998">
        <f t="shared" si="20"/>
        <v>1287</v>
      </c>
      <c r="B1290" s="1004" t="s">
        <v>3805</v>
      </c>
      <c r="C1290" s="1000" t="s">
        <v>3072</v>
      </c>
      <c r="D1290" s="932" t="str">
        <f>VLOOKUP($C1290,Table1[#All],2,0)</f>
        <v>BWID TAN DONG HIEP</v>
      </c>
      <c r="E1290" s="932" t="s">
        <v>98</v>
      </c>
      <c r="F1290" s="998" t="s">
        <v>80</v>
      </c>
      <c r="G1290" s="932" t="s">
        <v>310</v>
      </c>
      <c r="H1290" s="932" t="str">
        <f>VLOOKUP($C1290,Table1[#All],3,0)</f>
        <v>Subsidiaries</v>
      </c>
      <c r="I1290" s="932" t="str" cm="1">
        <f t="array" ref="I1290">_xlfn.XLOOKUP(Acc_Char!$E1290,Table4[[#All],[Branch]],Table4[[#All],[Bank]],"recheck",0)</f>
        <v>SINOPAC</v>
      </c>
    </row>
    <row r="1291" spans="1:9">
      <c r="A1291" s="998">
        <f t="shared" si="20"/>
        <v>1288</v>
      </c>
      <c r="B1291" s="1004" t="s">
        <v>3806</v>
      </c>
      <c r="C1291" s="1000" t="s">
        <v>2998</v>
      </c>
      <c r="D1291" s="932" t="str">
        <f>VLOOKUP($C1291,Table1[#All],2,0)</f>
        <v>BWID THOI HOA 2</v>
      </c>
      <c r="E1291" s="932" t="s">
        <v>971</v>
      </c>
      <c r="F1291" s="998" t="s">
        <v>80</v>
      </c>
      <c r="G1291" s="932" t="s">
        <v>310</v>
      </c>
      <c r="H1291" s="932" t="str">
        <f>VLOOKUP($C1291,Table1[#All],3,0)</f>
        <v>Subsidiaries</v>
      </c>
      <c r="I1291" s="932" t="str" cm="1">
        <f t="array" ref="I1291">_xlfn.XLOOKUP(Acc_Char!$E1291,Table4[[#All],[Branch]],Table4[[#All],[Bank]],"recheck",0)</f>
        <v>OTHERS</v>
      </c>
    </row>
    <row r="1292" spans="1:9">
      <c r="A1292" s="998">
        <f t="shared" si="20"/>
        <v>1289</v>
      </c>
      <c r="B1292" s="1004" t="s">
        <v>3807</v>
      </c>
      <c r="C1292" s="1000" t="s">
        <v>2998</v>
      </c>
      <c r="D1292" s="932" t="str">
        <f>VLOOKUP($C1292,Table1[#All],2,0)</f>
        <v>BWID THOI HOA 2</v>
      </c>
      <c r="E1292" s="932" t="s">
        <v>971</v>
      </c>
      <c r="F1292" s="998" t="s">
        <v>80</v>
      </c>
      <c r="G1292" s="932" t="s">
        <v>310</v>
      </c>
      <c r="H1292" s="932" t="str">
        <f>VLOOKUP($C1292,Table1[#All],3,0)</f>
        <v>Subsidiaries</v>
      </c>
      <c r="I1292" s="932" t="str" cm="1">
        <f t="array" ref="I1292">_xlfn.XLOOKUP(Acc_Char!$E1292,Table4[[#All],[Branch]],Table4[[#All],[Bank]],"recheck",0)</f>
        <v>OTHERS</v>
      </c>
    </row>
    <row r="1293" spans="1:9">
      <c r="A1293" s="998">
        <f t="shared" si="20"/>
        <v>1290</v>
      </c>
      <c r="B1293" s="1004" t="s">
        <v>3808</v>
      </c>
      <c r="C1293" s="1000" t="s">
        <v>3160</v>
      </c>
      <c r="D1293" s="932" t="str">
        <f>VLOOKUP($C1293,Table1[#All],2,0)</f>
        <v>BWID Tan Phu Trung</v>
      </c>
      <c r="E1293" s="932" t="s">
        <v>341</v>
      </c>
      <c r="F1293" s="998" t="s">
        <v>80</v>
      </c>
      <c r="G1293" s="932" t="s">
        <v>310</v>
      </c>
      <c r="H1293" s="932" t="str">
        <f>VLOOKUP($C1293,Table1[#All],3,0)</f>
        <v>Subsidiaries</v>
      </c>
      <c r="I1293" s="932" t="str" cm="1">
        <f t="array" ref="I1293">_xlfn.XLOOKUP(Acc_Char!$E1293,Table4[[#All],[Branch]],Table4[[#All],[Bank]],"recheck",0)</f>
        <v>KEB Hana - HCM</v>
      </c>
    </row>
    <row r="1294" spans="1:9">
      <c r="A1294" s="998">
        <f t="shared" si="20"/>
        <v>1291</v>
      </c>
      <c r="B1294" s="1004" t="s">
        <v>3809</v>
      </c>
      <c r="C1294" s="1000" t="s">
        <v>3160</v>
      </c>
      <c r="D1294" s="932" t="str">
        <f>VLOOKUP($C1294,Table1[#All],2,0)</f>
        <v>BWID Tan Phu Trung</v>
      </c>
      <c r="E1294" s="932" t="s">
        <v>341</v>
      </c>
      <c r="F1294" s="998" t="s">
        <v>80</v>
      </c>
      <c r="G1294" s="932" t="s">
        <v>310</v>
      </c>
      <c r="H1294" s="932" t="str">
        <f>VLOOKUP($C1294,Table1[#All],3,0)</f>
        <v>Subsidiaries</v>
      </c>
      <c r="I1294" s="932" t="str" cm="1">
        <f t="array" ref="I1294">_xlfn.XLOOKUP(Acc_Char!$E1294,Table4[[#All],[Branch]],Table4[[#All],[Bank]],"recheck",0)</f>
        <v>KEB Hana - HCM</v>
      </c>
    </row>
    <row r="1295" spans="1:9">
      <c r="A1295" s="998">
        <f t="shared" si="20"/>
        <v>1292</v>
      </c>
      <c r="B1295" s="1004" t="s">
        <v>3810</v>
      </c>
      <c r="C1295" s="1000" t="s">
        <v>3160</v>
      </c>
      <c r="D1295" s="932" t="str">
        <f>VLOOKUP($C1295,Table1[#All],2,0)</f>
        <v>BWID Tan Phu Trung</v>
      </c>
      <c r="E1295" s="932" t="s">
        <v>341</v>
      </c>
      <c r="F1295" s="998" t="s">
        <v>80</v>
      </c>
      <c r="G1295" s="932" t="s">
        <v>310</v>
      </c>
      <c r="H1295" s="932" t="str">
        <f>VLOOKUP($C1295,Table1[#All],3,0)</f>
        <v>Subsidiaries</v>
      </c>
      <c r="I1295" s="932" t="str" cm="1">
        <f t="array" ref="I1295">_xlfn.XLOOKUP(Acc_Char!$E1295,Table4[[#All],[Branch]],Table4[[#All],[Bank]],"recheck",0)</f>
        <v>KEB Hana - HCM</v>
      </c>
    </row>
    <row r="1296" spans="1:9">
      <c r="A1296" s="998">
        <f t="shared" si="20"/>
        <v>1293</v>
      </c>
      <c r="B1296" s="1004" t="s">
        <v>1105</v>
      </c>
      <c r="C1296" s="1000" t="s">
        <v>3692</v>
      </c>
      <c r="D1296" s="932" t="str">
        <f>VLOOKUP($C1296,Table1[#All],2,0)</f>
        <v>MPL JSC</v>
      </c>
      <c r="E1296" s="932" t="s">
        <v>85</v>
      </c>
      <c r="F1296" s="998" t="s">
        <v>80</v>
      </c>
      <c r="G1296" s="932" t="s">
        <v>308</v>
      </c>
      <c r="H1296" s="932" t="str">
        <f>VLOOKUP($C1296,Table1[#All],3,0)</f>
        <v>Subsidiaries</v>
      </c>
      <c r="I1296" s="932" t="str" cm="1">
        <f t="array" ref="I1296">_xlfn.XLOOKUP(Acc_Char!$E1296,Table4[[#All],[Branch]],Table4[[#All],[Bank]],"recheck",0)</f>
        <v>VIETINBANK - TIEN SON</v>
      </c>
    </row>
    <row r="1297" spans="1:9">
      <c r="A1297" s="998">
        <f t="shared" si="20"/>
        <v>1294</v>
      </c>
      <c r="B1297" s="1004" t="s">
        <v>3811</v>
      </c>
      <c r="C1297" s="1000" t="s">
        <v>432</v>
      </c>
      <c r="D1297" s="932" t="str">
        <f>VLOOKUP($C1297,Table1[#All],2,0)</f>
        <v>BWID BAC NINH</v>
      </c>
      <c r="E1297" s="932" t="s">
        <v>85</v>
      </c>
      <c r="F1297" s="998" t="s">
        <v>80</v>
      </c>
      <c r="G1297" s="932" t="s">
        <v>310</v>
      </c>
      <c r="H1297" s="932" t="str">
        <f>VLOOKUP($C1297,Table1[#All],3,0)</f>
        <v>Subsidiaries</v>
      </c>
      <c r="I1297" s="932" t="str" cm="1">
        <f t="array" ref="I1297">_xlfn.XLOOKUP(Acc_Char!$E1297,Table4[[#All],[Branch]],Table4[[#All],[Bank]],"recheck",0)</f>
        <v>VIETINBANK - TIEN SON</v>
      </c>
    </row>
    <row r="1298" spans="1:9">
      <c r="A1298" s="998">
        <f t="shared" si="20"/>
        <v>1295</v>
      </c>
      <c r="B1298" s="1004" t="s">
        <v>1106</v>
      </c>
      <c r="C1298" s="1000" t="s">
        <v>432</v>
      </c>
      <c r="D1298" s="932" t="str">
        <f>VLOOKUP($C1298,Table1[#All],2,0)</f>
        <v>BWID BAC NINH</v>
      </c>
      <c r="E1298" s="932" t="s">
        <v>85</v>
      </c>
      <c r="F1298" s="998" t="s">
        <v>80</v>
      </c>
      <c r="G1298" s="932" t="s">
        <v>310</v>
      </c>
      <c r="H1298" s="932" t="str">
        <f>VLOOKUP($C1298,Table1[#All],3,0)</f>
        <v>Subsidiaries</v>
      </c>
      <c r="I1298" s="932" t="str" cm="1">
        <f t="array" ref="I1298">_xlfn.XLOOKUP(Acc_Char!$E1298,Table4[[#All],[Branch]],Table4[[#All],[Bank]],"recheck",0)</f>
        <v>VIETINBANK - TIEN SON</v>
      </c>
    </row>
    <row r="1299" spans="1:9">
      <c r="A1299" s="998">
        <f t="shared" si="20"/>
        <v>1296</v>
      </c>
      <c r="B1299" s="1004" t="s">
        <v>1107</v>
      </c>
      <c r="C1299" s="1000" t="s">
        <v>434</v>
      </c>
      <c r="D1299" s="932" t="str">
        <f>VLOOKUP($C1299,Table1[#All],2,0)</f>
        <v>BWID HAI PHONG</v>
      </c>
      <c r="E1299" s="932" t="s">
        <v>85</v>
      </c>
      <c r="F1299" s="998" t="s">
        <v>80</v>
      </c>
      <c r="G1299" s="932" t="s">
        <v>310</v>
      </c>
      <c r="H1299" s="932" t="str">
        <f>VLOOKUP($C1299,Table1[#All],3,0)</f>
        <v>Subsidiaries</v>
      </c>
      <c r="I1299" s="932" t="str" cm="1">
        <f t="array" ref="I1299">_xlfn.XLOOKUP(Acc_Char!$E1299,Table4[[#All],[Branch]],Table4[[#All],[Bank]],"recheck",0)</f>
        <v>VIETINBANK - TIEN SON</v>
      </c>
    </row>
    <row r="1300" spans="1:9">
      <c r="A1300" s="998">
        <f t="shared" si="20"/>
        <v>1297</v>
      </c>
      <c r="B1300" s="1004" t="s">
        <v>1108</v>
      </c>
      <c r="C1300" s="1000" t="s">
        <v>3237</v>
      </c>
      <c r="D1300" s="932" t="str">
        <f>VLOOKUP($C1300,Table1[#All],2,0)</f>
        <v>LONG BINH</v>
      </c>
      <c r="E1300" s="932" t="s">
        <v>86</v>
      </c>
      <c r="F1300" s="998" t="s">
        <v>80</v>
      </c>
      <c r="G1300" s="932" t="s">
        <v>310</v>
      </c>
      <c r="H1300" s="932" t="str">
        <f>VLOOKUP($C1300,Table1[#All],3,0)</f>
        <v>Subsidiaries</v>
      </c>
      <c r="I1300" s="932" t="str" cm="1">
        <f t="array" ref="I1300">_xlfn.XLOOKUP(Acc_Char!$E1300,Table4[[#All],[Branch]],Table4[[#All],[Bank]],"recheck",0)</f>
        <v>VIETINBANK - CN1</v>
      </c>
    </row>
    <row r="1301" spans="1:9">
      <c r="A1301" s="998">
        <f t="shared" si="20"/>
        <v>1298</v>
      </c>
      <c r="B1301" s="1004" t="s">
        <v>3812</v>
      </c>
      <c r="C1301" s="1000" t="s">
        <v>2895</v>
      </c>
      <c r="D1301" s="932" t="str">
        <f>VLOOKUP($C1301,Table1[#All],2,0)</f>
        <v>BWID HAI DUONG 2</v>
      </c>
      <c r="E1301" s="932" t="s">
        <v>85</v>
      </c>
      <c r="F1301" s="998" t="s">
        <v>80</v>
      </c>
      <c r="G1301" s="932" t="s">
        <v>310</v>
      </c>
      <c r="H1301" s="932" t="str">
        <f>VLOOKUP($C1301,Table1[#All],3,0)</f>
        <v>Subsidiaries</v>
      </c>
      <c r="I1301" s="932" t="str" cm="1">
        <f t="array" ref="I1301">_xlfn.XLOOKUP(Acc_Char!$E1301,Table4[[#All],[Branch]],Table4[[#All],[Bank]],"recheck",0)</f>
        <v>VIETINBANK - TIEN SON</v>
      </c>
    </row>
    <row r="1302" spans="1:9">
      <c r="A1302" s="998">
        <f t="shared" si="20"/>
        <v>1299</v>
      </c>
      <c r="B1302" s="1004" t="s">
        <v>3813</v>
      </c>
      <c r="C1302" s="1000" t="s">
        <v>3093</v>
      </c>
      <c r="D1302" s="932" t="str">
        <f>VLOOKUP($C1302,Table1[#All],2,0)</f>
        <v>SONGTHAN LID</v>
      </c>
      <c r="E1302" s="932" t="s">
        <v>88</v>
      </c>
      <c r="F1302" s="998" t="s">
        <v>80</v>
      </c>
      <c r="G1302" s="932" t="s">
        <v>310</v>
      </c>
      <c r="H1302" s="932" t="str">
        <f>VLOOKUP($C1302,Table1[#All],3,0)</f>
        <v>Subsidiaries</v>
      </c>
      <c r="I1302" s="932" t="str" cm="1">
        <f t="array" ref="I1302">_xlfn.XLOOKUP(Acc_Char!$E1302,Table4[[#All],[Branch]],Table4[[#All],[Bank]],"recheck",0)</f>
        <v>VIETINBANK - DONG SAI GON</v>
      </c>
    </row>
    <row r="1303" spans="1:9">
      <c r="A1303" s="998">
        <f t="shared" si="20"/>
        <v>1300</v>
      </c>
      <c r="B1303" s="1004" t="s">
        <v>3814</v>
      </c>
      <c r="C1303" s="1000" t="s">
        <v>3160</v>
      </c>
      <c r="D1303" s="932" t="str">
        <f>VLOOKUP($C1303,Table1[#All],2,0)</f>
        <v>BWID Tan Phu Trung</v>
      </c>
      <c r="E1303" s="932" t="s">
        <v>85</v>
      </c>
      <c r="F1303" s="998" t="s">
        <v>80</v>
      </c>
      <c r="G1303" s="932" t="s">
        <v>310</v>
      </c>
      <c r="H1303" s="932" t="str">
        <f>VLOOKUP($C1303,Table1[#All],3,0)</f>
        <v>Subsidiaries</v>
      </c>
      <c r="I1303" s="932" t="str" cm="1">
        <f t="array" ref="I1303">_xlfn.XLOOKUP(Acc_Char!$E1303,Table4[[#All],[Branch]],Table4[[#All],[Bank]],"recheck",0)</f>
        <v>VIETINBANK - TIEN SON</v>
      </c>
    </row>
    <row r="1304" spans="1:9">
      <c r="A1304" s="998">
        <f t="shared" si="20"/>
        <v>1301</v>
      </c>
      <c r="B1304" s="1004" t="s">
        <v>1109</v>
      </c>
      <c r="C1304" s="1000" t="s">
        <v>437</v>
      </c>
      <c r="D1304" s="932" t="str">
        <f>VLOOKUP($C1304,Table1[#All],2,0)</f>
        <v>XENIA 1</v>
      </c>
      <c r="E1304" s="932" t="s">
        <v>85</v>
      </c>
      <c r="F1304" s="998" t="s">
        <v>80</v>
      </c>
      <c r="G1304" s="932" t="s">
        <v>310</v>
      </c>
      <c r="H1304" s="932" t="str">
        <f>VLOOKUP($C1304,Table1[#All],3,0)</f>
        <v>Subsidiaries</v>
      </c>
      <c r="I1304" s="932" t="str" cm="1">
        <f t="array" ref="I1304">_xlfn.XLOOKUP(Acc_Char!$E1304,Table4[[#All],[Branch]],Table4[[#All],[Bank]],"recheck",0)</f>
        <v>VIETINBANK - TIEN SON</v>
      </c>
    </row>
    <row r="1305" spans="1:9">
      <c r="A1305" s="998">
        <f t="shared" si="20"/>
        <v>1302</v>
      </c>
      <c r="B1305" s="1004" t="s">
        <v>1110</v>
      </c>
      <c r="C1305" s="1000" t="s">
        <v>3264</v>
      </c>
      <c r="D1305" s="932" t="str">
        <f>VLOOKUP($C1305,Table1[#All],2,0)</f>
        <v>WPJV 3</v>
      </c>
      <c r="E1305" s="932" t="s">
        <v>85</v>
      </c>
      <c r="F1305" s="998" t="s">
        <v>80</v>
      </c>
      <c r="G1305" s="932" t="s">
        <v>310</v>
      </c>
      <c r="H1305" s="932" t="str">
        <f>VLOOKUP($C1305,Table1[#All],3,0)</f>
        <v>Subsidiaries</v>
      </c>
      <c r="I1305" s="932" t="str" cm="1">
        <f t="array" ref="I1305">_xlfn.XLOOKUP(Acc_Char!$E1305,Table4[[#All],[Branch]],Table4[[#All],[Bank]],"recheck",0)</f>
        <v>VIETINBANK - TIEN SON</v>
      </c>
    </row>
    <row r="1306" spans="1:9">
      <c r="A1306" s="998">
        <f t="shared" si="20"/>
        <v>1303</v>
      </c>
      <c r="B1306" s="1004" t="s">
        <v>3815</v>
      </c>
      <c r="C1306" s="1000" t="s">
        <v>3175</v>
      </c>
      <c r="D1306" s="932" t="str">
        <f>VLOOKUP($C1306,Table1[#All],2,0)</f>
        <v>BW HAI AN</v>
      </c>
      <c r="E1306" s="932" t="s">
        <v>92</v>
      </c>
      <c r="F1306" s="998" t="s">
        <v>80</v>
      </c>
      <c r="G1306" s="932" t="s">
        <v>310</v>
      </c>
      <c r="H1306" s="932" t="str">
        <f>VLOOKUP($C1306,Table1[#All],3,0)</f>
        <v>Subsidiaries</v>
      </c>
      <c r="I1306" s="932" t="str" cm="1">
        <f t="array" ref="I1306">_xlfn.XLOOKUP(Acc_Char!$E1306,Table4[[#All],[Branch]],Table4[[#All],[Bank]],"recheck",0)</f>
        <v>BIDV - THANH XUAN</v>
      </c>
    </row>
    <row r="1307" spans="1:9">
      <c r="A1307" s="998">
        <f t="shared" si="20"/>
        <v>1304</v>
      </c>
      <c r="B1307" s="1002" t="s">
        <v>3816</v>
      </c>
      <c r="C1307" s="1000" t="s">
        <v>3175</v>
      </c>
      <c r="D1307" s="932" t="str">
        <f>VLOOKUP($C1307,Table1[#All],2,0)</f>
        <v>BW HAI AN</v>
      </c>
      <c r="E1307" s="932" t="s">
        <v>92</v>
      </c>
      <c r="F1307" s="998" t="s">
        <v>80</v>
      </c>
      <c r="G1307" s="932" t="s">
        <v>310</v>
      </c>
      <c r="H1307" s="932" t="str">
        <f>VLOOKUP($C1307,Table1[#All],3,0)</f>
        <v>Subsidiaries</v>
      </c>
      <c r="I1307" s="932" t="str" cm="1">
        <f t="array" ref="I1307">_xlfn.XLOOKUP(Acc_Char!$E1307,Table4[[#All],[Branch]],Table4[[#All],[Bank]],"recheck",0)</f>
        <v>BIDV - THANH XUAN</v>
      </c>
    </row>
    <row r="1308" spans="1:9">
      <c r="A1308" s="998">
        <f t="shared" si="20"/>
        <v>1305</v>
      </c>
      <c r="B1308" s="1004" t="s">
        <v>1111</v>
      </c>
      <c r="C1308" s="1000" t="s">
        <v>3280</v>
      </c>
      <c r="D1308" s="932" t="str">
        <f>VLOOKUP($C1308,Table1[#All],2,0)</f>
        <v>BAC TIEN PHONG</v>
      </c>
      <c r="E1308" s="932" t="s">
        <v>92</v>
      </c>
      <c r="F1308" s="998" t="s">
        <v>80</v>
      </c>
      <c r="G1308" s="932" t="s">
        <v>310</v>
      </c>
      <c r="H1308" s="932" t="str">
        <f>VLOOKUP($C1308,Table1[#All],3,0)</f>
        <v>Subsidiaries</v>
      </c>
      <c r="I1308" s="932" t="str" cm="1">
        <f t="array" ref="I1308">_xlfn.XLOOKUP(Acc_Char!$E1308,Table4[[#All],[Branch]],Table4[[#All],[Bank]],"recheck",0)</f>
        <v>BIDV - THANH XUAN</v>
      </c>
    </row>
    <row r="1309" spans="1:9">
      <c r="A1309" s="998">
        <f t="shared" si="20"/>
        <v>1306</v>
      </c>
      <c r="B1309" s="1004" t="s">
        <v>3817</v>
      </c>
      <c r="C1309" s="1000" t="s">
        <v>3280</v>
      </c>
      <c r="D1309" s="932" t="str">
        <f>VLOOKUP($C1309,Table1[#All],2,0)</f>
        <v>BAC TIEN PHONG</v>
      </c>
      <c r="E1309" s="932" t="s">
        <v>92</v>
      </c>
      <c r="F1309" s="998" t="s">
        <v>80</v>
      </c>
      <c r="G1309" s="932" t="s">
        <v>310</v>
      </c>
      <c r="H1309" s="932" t="str">
        <f>VLOOKUP($C1309,Table1[#All],3,0)</f>
        <v>Subsidiaries</v>
      </c>
      <c r="I1309" s="932" t="str" cm="1">
        <f t="array" ref="I1309">_xlfn.XLOOKUP(Acc_Char!$E1309,Table4[[#All],[Branch]],Table4[[#All],[Bank]],"recheck",0)</f>
        <v>BIDV - THANH XUAN</v>
      </c>
    </row>
    <row r="1310" spans="1:9">
      <c r="A1310" s="998">
        <f t="shared" si="20"/>
        <v>1307</v>
      </c>
      <c r="B1310" s="1004" t="s">
        <v>3818</v>
      </c>
      <c r="C1310" s="1000" t="s">
        <v>3280</v>
      </c>
      <c r="D1310" s="932" t="str">
        <f>VLOOKUP($C1310,Table1[#All],2,0)</f>
        <v>BAC TIEN PHONG</v>
      </c>
      <c r="E1310" s="932" t="s">
        <v>92</v>
      </c>
      <c r="F1310" s="998" t="s">
        <v>80</v>
      </c>
      <c r="G1310" s="932" t="s">
        <v>310</v>
      </c>
      <c r="H1310" s="932" t="str">
        <f>VLOOKUP($C1310,Table1[#All],3,0)</f>
        <v>Subsidiaries</v>
      </c>
      <c r="I1310" s="932" t="str" cm="1">
        <f t="array" ref="I1310">_xlfn.XLOOKUP(Acc_Char!$E1310,Table4[[#All],[Branch]],Table4[[#All],[Bank]],"recheck",0)</f>
        <v>BIDV - THANH XUAN</v>
      </c>
    </row>
    <row r="1311" spans="1:9">
      <c r="A1311" s="998">
        <f t="shared" si="20"/>
        <v>1308</v>
      </c>
      <c r="B1311" s="1004" t="s">
        <v>3819</v>
      </c>
      <c r="C1311" s="1000" t="s">
        <v>3280</v>
      </c>
      <c r="D1311" s="932" t="str">
        <f>VLOOKUP($C1311,Table1[#All],2,0)</f>
        <v>BAC TIEN PHONG</v>
      </c>
      <c r="E1311" s="932" t="s">
        <v>92</v>
      </c>
      <c r="F1311" s="998" t="s">
        <v>80</v>
      </c>
      <c r="G1311" s="932" t="s">
        <v>310</v>
      </c>
      <c r="H1311" s="932" t="str">
        <f>VLOOKUP($C1311,Table1[#All],3,0)</f>
        <v>Subsidiaries</v>
      </c>
      <c r="I1311" s="932" t="str" cm="1">
        <f t="array" ref="I1311">_xlfn.XLOOKUP(Acc_Char!$E1311,Table4[[#All],[Branch]],Table4[[#All],[Bank]],"recheck",0)</f>
        <v>BIDV - THANH XUAN</v>
      </c>
    </row>
    <row r="1312" spans="1:9">
      <c r="A1312" s="998">
        <f t="shared" si="20"/>
        <v>1309</v>
      </c>
      <c r="B1312" s="1004" t="s">
        <v>1112</v>
      </c>
      <c r="C1312" s="1000" t="s">
        <v>2915</v>
      </c>
      <c r="D1312" s="932" t="str">
        <f>VLOOKUP($C1312,Table1[#All],2,0)</f>
        <v>BW DINH VU</v>
      </c>
      <c r="E1312" s="932" t="s">
        <v>92</v>
      </c>
      <c r="F1312" s="998" t="s">
        <v>80</v>
      </c>
      <c r="G1312" s="932" t="s">
        <v>310</v>
      </c>
      <c r="H1312" s="932" t="str">
        <f>VLOOKUP($C1312,Table1[#All],3,0)</f>
        <v>Subsidiaries</v>
      </c>
      <c r="I1312" s="932" t="str" cm="1">
        <f t="array" ref="I1312">_xlfn.XLOOKUP(Acc_Char!$E1312,Table4[[#All],[Branch]],Table4[[#All],[Bank]],"recheck",0)</f>
        <v>BIDV - THANH XUAN</v>
      </c>
    </row>
    <row r="1313" spans="1:9">
      <c r="A1313" s="998">
        <f t="shared" si="20"/>
        <v>1310</v>
      </c>
      <c r="B1313" s="1004" t="s">
        <v>1113</v>
      </c>
      <c r="C1313" s="1000" t="s">
        <v>2974</v>
      </c>
      <c r="D1313" s="932" t="str">
        <f>VLOOKUP($C1313,Table1[#All],2,0)</f>
        <v>BWID HAI DUONG 3</v>
      </c>
      <c r="E1313" s="932" t="s">
        <v>92</v>
      </c>
      <c r="F1313" s="998" t="s">
        <v>80</v>
      </c>
      <c r="G1313" s="932" t="s">
        <v>310</v>
      </c>
      <c r="H1313" s="932" t="str">
        <f>VLOOKUP($C1313,Table1[#All],3,0)</f>
        <v>Subsidiaries</v>
      </c>
      <c r="I1313" s="932" t="str" cm="1">
        <f t="array" ref="I1313">_xlfn.XLOOKUP(Acc_Char!$E1313,Table4[[#All],[Branch]],Table4[[#All],[Bank]],"recheck",0)</f>
        <v>BIDV - THANH XUAN</v>
      </c>
    </row>
    <row r="1314" spans="1:9">
      <c r="A1314" s="998">
        <f t="shared" si="20"/>
        <v>1311</v>
      </c>
      <c r="B1314" s="1004" t="s">
        <v>1114</v>
      </c>
      <c r="C1314" s="1000" t="s">
        <v>2974</v>
      </c>
      <c r="D1314" s="932" t="str">
        <f>VLOOKUP($C1314,Table1[#All],2,0)</f>
        <v>BWID HAI DUONG 3</v>
      </c>
      <c r="E1314" s="932" t="s">
        <v>92</v>
      </c>
      <c r="F1314" s="998" t="s">
        <v>80</v>
      </c>
      <c r="G1314" s="932" t="s">
        <v>310</v>
      </c>
      <c r="H1314" s="932" t="str">
        <f>VLOOKUP($C1314,Table1[#All],3,0)</f>
        <v>Subsidiaries</v>
      </c>
      <c r="I1314" s="932" t="str" cm="1">
        <f t="array" ref="I1314">_xlfn.XLOOKUP(Acc_Char!$E1314,Table4[[#All],[Branch]],Table4[[#All],[Bank]],"recheck",0)</f>
        <v>BIDV - THANH XUAN</v>
      </c>
    </row>
    <row r="1315" spans="1:9">
      <c r="A1315" s="998">
        <f t="shared" si="20"/>
        <v>1312</v>
      </c>
      <c r="B1315" s="1004" t="s">
        <v>1115</v>
      </c>
      <c r="C1315" s="1000" t="s">
        <v>67</v>
      </c>
      <c r="D1315" s="932" t="str">
        <f>VLOOKUP($C1315,Table1[#All],2,0)</f>
        <v>SAO HOA</v>
      </c>
      <c r="E1315" s="932" t="s">
        <v>92</v>
      </c>
      <c r="F1315" s="998" t="s">
        <v>80</v>
      </c>
      <c r="G1315" s="932" t="s">
        <v>310</v>
      </c>
      <c r="H1315" s="932" t="str">
        <f>VLOOKUP($C1315,Table1[#All],3,0)</f>
        <v>VC3</v>
      </c>
      <c r="I1315" s="932" t="str" cm="1">
        <f t="array" ref="I1315">_xlfn.XLOOKUP(Acc_Char!$E1315,Table4[[#All],[Branch]],Table4[[#All],[Bank]],"recheck",0)</f>
        <v>BIDV - THANH XUAN</v>
      </c>
    </row>
    <row r="1316" spans="1:9">
      <c r="A1316" s="998">
        <f t="shared" si="20"/>
        <v>1313</v>
      </c>
      <c r="B1316" s="1004" t="s">
        <v>1116</v>
      </c>
      <c r="C1316" s="1000" t="s">
        <v>67</v>
      </c>
      <c r="D1316" s="932" t="str">
        <f>VLOOKUP($C1316,Table1[#All],2,0)</f>
        <v>SAO HOA</v>
      </c>
      <c r="E1316" s="932" t="s">
        <v>92</v>
      </c>
      <c r="F1316" s="998" t="s">
        <v>80</v>
      </c>
      <c r="G1316" s="932" t="s">
        <v>310</v>
      </c>
      <c r="H1316" s="932" t="str">
        <f>VLOOKUP($C1316,Table1[#All],3,0)</f>
        <v>VC3</v>
      </c>
      <c r="I1316" s="932" t="str" cm="1">
        <f t="array" ref="I1316">_xlfn.XLOOKUP(Acc_Char!$E1316,Table4[[#All],[Branch]],Table4[[#All],[Bank]],"recheck",0)</f>
        <v>BIDV - THANH XUAN</v>
      </c>
    </row>
    <row r="1317" spans="1:9">
      <c r="A1317" s="998">
        <f t="shared" si="20"/>
        <v>1314</v>
      </c>
      <c r="B1317" s="1004" t="s">
        <v>3820</v>
      </c>
      <c r="C1317" s="1000" t="s">
        <v>67</v>
      </c>
      <c r="D1317" s="932" t="str">
        <f>VLOOKUP($C1317,Table1[#All],2,0)</f>
        <v>SAO HOA</v>
      </c>
      <c r="E1317" s="932" t="s">
        <v>91</v>
      </c>
      <c r="F1317" s="998" t="s">
        <v>80</v>
      </c>
      <c r="G1317" s="932" t="s">
        <v>310</v>
      </c>
      <c r="H1317" s="932" t="str">
        <f>VLOOKUP($C1317,Table1[#All],3,0)</f>
        <v>VC3</v>
      </c>
      <c r="I1317" s="932" t="str" cm="1">
        <f t="array" ref="I1317">_xlfn.XLOOKUP(Acc_Char!$E1317,Table4[[#All],[Branch]],Table4[[#All],[Bank]],"recheck",0)</f>
        <v>VIETCOMBANK - HCM</v>
      </c>
    </row>
    <row r="1318" spans="1:9">
      <c r="A1318" s="998">
        <f t="shared" si="20"/>
        <v>1315</v>
      </c>
      <c r="B1318" s="1004" t="s">
        <v>1118</v>
      </c>
      <c r="C1318" s="1000" t="s">
        <v>3072</v>
      </c>
      <c r="D1318" s="932" t="str">
        <f>VLOOKUP($C1318,Table1[#All],2,0)</f>
        <v>BWID TAN DONG HIEP</v>
      </c>
      <c r="E1318" s="932" t="s">
        <v>98</v>
      </c>
      <c r="F1318" s="998" t="s">
        <v>80</v>
      </c>
      <c r="G1318" s="932" t="s">
        <v>310</v>
      </c>
      <c r="H1318" s="932" t="str">
        <f>VLOOKUP($C1318,Table1[#All],3,0)</f>
        <v>Subsidiaries</v>
      </c>
      <c r="I1318" s="932" t="str" cm="1">
        <f t="array" ref="I1318">_xlfn.XLOOKUP(Acc_Char!$E1318,Table4[[#All],[Branch]],Table4[[#All],[Bank]],"recheck",0)</f>
        <v>SINOPAC</v>
      </c>
    </row>
    <row r="1319" spans="1:9">
      <c r="A1319" s="998">
        <f t="shared" si="20"/>
        <v>1316</v>
      </c>
      <c r="B1319" s="1004" t="s">
        <v>3821</v>
      </c>
      <c r="C1319" s="1000" t="s">
        <v>67</v>
      </c>
      <c r="D1319" s="932" t="str">
        <f>VLOOKUP($C1319,Table1[#All],2,0)</f>
        <v>SAO HOA</v>
      </c>
      <c r="E1319" s="932" t="s">
        <v>98</v>
      </c>
      <c r="F1319" s="998" t="s">
        <v>80</v>
      </c>
      <c r="G1319" s="932" t="s">
        <v>310</v>
      </c>
      <c r="H1319" s="932" t="str">
        <f>VLOOKUP($C1319,Table1[#All],3,0)</f>
        <v>VC3</v>
      </c>
      <c r="I1319" s="932" t="str" cm="1">
        <f t="array" ref="I1319">_xlfn.XLOOKUP(Acc_Char!$E1319,Table4[[#All],[Branch]],Table4[[#All],[Bank]],"recheck",0)</f>
        <v>SINOPAC</v>
      </c>
    </row>
    <row r="1320" spans="1:9">
      <c r="A1320" s="998">
        <f t="shared" si="20"/>
        <v>1317</v>
      </c>
      <c r="B1320" s="1004" t="s">
        <v>1119</v>
      </c>
      <c r="C1320" s="1000" t="s">
        <v>2998</v>
      </c>
      <c r="D1320" s="932" t="str">
        <f>VLOOKUP($C1320,Table1[#All],2,0)</f>
        <v>BWID THOI HOA 2</v>
      </c>
      <c r="E1320" s="932" t="s">
        <v>971</v>
      </c>
      <c r="F1320" s="998" t="s">
        <v>80</v>
      </c>
      <c r="G1320" s="932" t="s">
        <v>310</v>
      </c>
      <c r="H1320" s="932" t="str">
        <f>VLOOKUP($C1320,Table1[#All],3,0)</f>
        <v>Subsidiaries</v>
      </c>
      <c r="I1320" s="932" t="str" cm="1">
        <f t="array" ref="I1320">_xlfn.XLOOKUP(Acc_Char!$E1320,Table4[[#All],[Branch]],Table4[[#All],[Bank]],"recheck",0)</f>
        <v>OTHERS</v>
      </c>
    </row>
    <row r="1321" spans="1:9">
      <c r="A1321" s="998">
        <f t="shared" si="20"/>
        <v>1318</v>
      </c>
      <c r="B1321" s="1004" t="s">
        <v>1120</v>
      </c>
      <c r="C1321" s="1000" t="s">
        <v>2998</v>
      </c>
      <c r="D1321" s="932" t="str">
        <f>VLOOKUP($C1321,Table1[#All],2,0)</f>
        <v>BWID THOI HOA 2</v>
      </c>
      <c r="E1321" s="932" t="s">
        <v>971</v>
      </c>
      <c r="F1321" s="998" t="s">
        <v>80</v>
      </c>
      <c r="G1321" s="932" t="s">
        <v>310</v>
      </c>
      <c r="H1321" s="932" t="str">
        <f>VLOOKUP($C1321,Table1[#All],3,0)</f>
        <v>Subsidiaries</v>
      </c>
      <c r="I1321" s="932" t="str" cm="1">
        <f t="array" ref="I1321">_xlfn.XLOOKUP(Acc_Char!$E1321,Table4[[#All],[Branch]],Table4[[#All],[Bank]],"recheck",0)</f>
        <v>OTHERS</v>
      </c>
    </row>
    <row r="1322" spans="1:9">
      <c r="A1322" s="998">
        <f t="shared" si="20"/>
        <v>1319</v>
      </c>
      <c r="B1322" s="1004" t="s">
        <v>1121</v>
      </c>
      <c r="C1322" s="1000" t="s">
        <v>3212</v>
      </c>
      <c r="D1322" s="932" t="str">
        <f>VLOOKUP($C1322,Table1[#All],2,0)</f>
        <v>HOLDCO4G</v>
      </c>
      <c r="E1322" s="932" t="s">
        <v>89</v>
      </c>
      <c r="F1322" s="998" t="s">
        <v>80</v>
      </c>
      <c r="G1322" s="932" t="s">
        <v>308</v>
      </c>
      <c r="H1322" s="932" t="str">
        <f>VLOOKUP($C1322,Table1[#All],3,0)</f>
        <v>Subsidiaries</v>
      </c>
      <c r="I1322" s="932" t="str" cm="1">
        <f t="array" ref="I1322">_xlfn.XLOOKUP(Acc_Char!$E1322,Table4[[#All],[Branch]],Table4[[#All],[Bank]],"recheck",0)</f>
        <v>VIETCOMBANK - BA DINH</v>
      </c>
    </row>
    <row r="1323" spans="1:9">
      <c r="A1323" s="998">
        <f t="shared" si="20"/>
        <v>1320</v>
      </c>
      <c r="B1323" s="1004" t="s">
        <v>1122</v>
      </c>
      <c r="C1323" s="1000" t="s">
        <v>67</v>
      </c>
      <c r="D1323" s="932" t="str">
        <f>VLOOKUP($C1323,Table1[#All],2,0)</f>
        <v>SAO HOA</v>
      </c>
      <c r="E1323" s="932" t="s">
        <v>85</v>
      </c>
      <c r="F1323" s="998" t="s">
        <v>80</v>
      </c>
      <c r="G1323" s="932" t="s">
        <v>308</v>
      </c>
      <c r="H1323" s="932" t="str">
        <f>VLOOKUP($C1323,Table1[#All],3,0)</f>
        <v>VC3</v>
      </c>
      <c r="I1323" s="932" t="str" cm="1">
        <f t="array" ref="I1323">_xlfn.XLOOKUP(Acc_Char!$E1323,Table4[[#All],[Branch]],Table4[[#All],[Bank]],"recheck",0)</f>
        <v>VIETINBANK - TIEN SON</v>
      </c>
    </row>
    <row r="1324" spans="1:9">
      <c r="A1324" s="998">
        <f t="shared" si="20"/>
        <v>1321</v>
      </c>
      <c r="B1324" s="1004" t="s">
        <v>1123</v>
      </c>
      <c r="C1324" s="1000" t="s">
        <v>3393</v>
      </c>
      <c r="D1324" s="932" t="str">
        <f>VLOOKUP($C1324,Table1[#All],2,0)</f>
        <v>HOLDCO4T</v>
      </c>
      <c r="E1324" s="932" t="s">
        <v>803</v>
      </c>
      <c r="F1324" s="998" t="s">
        <v>80</v>
      </c>
      <c r="G1324" s="932" t="s">
        <v>308</v>
      </c>
      <c r="H1324" s="932" t="str">
        <f>VLOOKUP($C1324,Table1[#All],3,0)</f>
        <v>Subsidiaries</v>
      </c>
      <c r="I1324" s="932" t="str" cm="1">
        <f t="array" ref="I1324">_xlfn.XLOOKUP(Acc_Char!$E1324,Table4[[#All],[Branch]],Table4[[#All],[Bank]],"recheck",0)</f>
        <v>UOB</v>
      </c>
    </row>
    <row r="1325" spans="1:9">
      <c r="A1325" s="998">
        <f t="shared" si="20"/>
        <v>1322</v>
      </c>
      <c r="B1325" s="1004" t="s">
        <v>1124</v>
      </c>
      <c r="C1325" s="1000" t="s">
        <v>456</v>
      </c>
      <c r="D1325" s="932" t="str">
        <f>VLOOKUP($C1325,Table1[#All],2,0)</f>
        <v>DONG TIEN PHONG</v>
      </c>
      <c r="E1325" s="932" t="s">
        <v>89</v>
      </c>
      <c r="F1325" s="998" t="s">
        <v>80</v>
      </c>
      <c r="G1325" s="932" t="s">
        <v>308</v>
      </c>
      <c r="H1325" s="932" t="str">
        <f>VLOOKUP($C1325,Table1[#All],3,0)</f>
        <v>Subsidiaries</v>
      </c>
      <c r="I1325" s="932" t="str" cm="1">
        <f t="array" ref="I1325">_xlfn.XLOOKUP(Acc_Char!$E1325,Table4[[#All],[Branch]],Table4[[#All],[Bank]],"recheck",0)</f>
        <v>VIETCOMBANK - BA DINH</v>
      </c>
    </row>
    <row r="1326" spans="1:9">
      <c r="A1326" s="998">
        <f t="shared" si="20"/>
        <v>1323</v>
      </c>
      <c r="B1326" s="1004" t="s">
        <v>1125</v>
      </c>
      <c r="C1326" s="1000" t="s">
        <v>3323</v>
      </c>
      <c r="D1326" s="932" t="str">
        <f>VLOOKUP($C1326,Table1[#All],2,0)</f>
        <v>TAN DONG HIEP B ELECTRON</v>
      </c>
      <c r="E1326" s="932" t="s">
        <v>191</v>
      </c>
      <c r="F1326" s="998" t="s">
        <v>80</v>
      </c>
      <c r="G1326" s="932" t="s">
        <v>310</v>
      </c>
      <c r="H1326" s="932" t="str">
        <f>VLOOKUP($C1326,Table1[#All],3,0)</f>
        <v>Subsidiaries</v>
      </c>
      <c r="I1326" s="932" t="str" cm="1">
        <f t="array" ref="I1326">_xlfn.XLOOKUP(Acc_Char!$E1326,Table4[[#All],[Branch]],Table4[[#All],[Bank]],"recheck",0)</f>
        <v>VIETINBANK - TPHCM</v>
      </c>
    </row>
    <row r="1327" spans="1:9">
      <c r="A1327" s="998">
        <f t="shared" si="20"/>
        <v>1324</v>
      </c>
      <c r="B1327" s="1004" t="s">
        <v>3822</v>
      </c>
      <c r="C1327" s="1000" t="s">
        <v>3233</v>
      </c>
      <c r="D1327" s="932" t="str">
        <f>VLOOKUP($C1327,Table1[#All],2,0)</f>
        <v>BAU BANG 6</v>
      </c>
      <c r="E1327" s="932" t="s">
        <v>153</v>
      </c>
      <c r="F1327" s="998" t="s">
        <v>80</v>
      </c>
      <c r="G1327" s="932" t="s">
        <v>310</v>
      </c>
      <c r="H1327" s="932" t="str">
        <f>VLOOKUP($C1327,Table1[#All],3,0)</f>
        <v>Subsidiaries</v>
      </c>
      <c r="I1327" s="932" t="str" cm="1">
        <f t="array" ref="I1327">_xlfn.XLOOKUP(Acc_Char!$E1327,Table4[[#All],[Branch]],Table4[[#All],[Bank]],"recheck",0)</f>
        <v>VIETINBANK - BINH DUONG + QM</v>
      </c>
    </row>
    <row r="1328" spans="1:9">
      <c r="A1328" s="998">
        <f t="shared" si="20"/>
        <v>1325</v>
      </c>
      <c r="B1328" s="1004" t="s">
        <v>1126</v>
      </c>
      <c r="C1328" s="1000" t="s">
        <v>3237</v>
      </c>
      <c r="D1328" s="932" t="str">
        <f>VLOOKUP($C1328,Table1[#All],2,0)</f>
        <v>LONG BINH</v>
      </c>
      <c r="E1328" s="932" t="s">
        <v>86</v>
      </c>
      <c r="F1328" s="998" t="s">
        <v>80</v>
      </c>
      <c r="G1328" s="932" t="s">
        <v>310</v>
      </c>
      <c r="H1328" s="932" t="str">
        <f>VLOOKUP($C1328,Table1[#All],3,0)</f>
        <v>Subsidiaries</v>
      </c>
      <c r="I1328" s="932" t="str" cm="1">
        <f t="array" ref="I1328">_xlfn.XLOOKUP(Acc_Char!$E1328,Table4[[#All],[Branch]],Table4[[#All],[Bank]],"recheck",0)</f>
        <v>VIETINBANK - CN1</v>
      </c>
    </row>
    <row r="1329" spans="1:9">
      <c r="A1329" s="998">
        <f t="shared" si="20"/>
        <v>1326</v>
      </c>
      <c r="B1329" s="1004" t="s">
        <v>1127</v>
      </c>
      <c r="C1329" s="1000" t="s">
        <v>2895</v>
      </c>
      <c r="D1329" s="932" t="str">
        <f>VLOOKUP($C1329,Table1[#All],2,0)</f>
        <v>BWID HAI DUONG 2</v>
      </c>
      <c r="E1329" s="932" t="s">
        <v>85</v>
      </c>
      <c r="F1329" s="998" t="s">
        <v>80</v>
      </c>
      <c r="G1329" s="932" t="s">
        <v>310</v>
      </c>
      <c r="H1329" s="932" t="str">
        <f>VLOOKUP($C1329,Table1[#All],3,0)</f>
        <v>Subsidiaries</v>
      </c>
      <c r="I1329" s="932" t="str" cm="1">
        <f t="array" ref="I1329">_xlfn.XLOOKUP(Acc_Char!$E1329,Table4[[#All],[Branch]],Table4[[#All],[Bank]],"recheck",0)</f>
        <v>VIETINBANK - TIEN SON</v>
      </c>
    </row>
    <row r="1330" spans="1:9">
      <c r="A1330" s="998">
        <f t="shared" si="20"/>
        <v>1327</v>
      </c>
      <c r="B1330" s="1004" t="s">
        <v>1128</v>
      </c>
      <c r="C1330" s="1000" t="s">
        <v>430</v>
      </c>
      <c r="D1330" s="932" t="str">
        <f>VLOOKUP($C1330,Table1[#All],2,0)</f>
        <v>KIM TRUC DN</v>
      </c>
      <c r="E1330" s="932" t="s">
        <v>93</v>
      </c>
      <c r="F1330" s="998" t="s">
        <v>80</v>
      </c>
      <c r="G1330" s="932" t="s">
        <v>310</v>
      </c>
      <c r="H1330" s="932" t="str">
        <f>VLOOKUP($C1330,Table1[#All],3,0)</f>
        <v>Subsidiaries</v>
      </c>
      <c r="I1330" s="932" t="str" cm="1">
        <f t="array" ref="I1330">_xlfn.XLOOKUP(Acc_Char!$E1330,Table4[[#All],[Branch]],Table4[[#All],[Bank]],"recheck",0)</f>
        <v>BIDV - NAM SAI GON</v>
      </c>
    </row>
    <row r="1331" spans="1:9">
      <c r="A1331" s="998">
        <f t="shared" si="20"/>
        <v>1328</v>
      </c>
      <c r="B1331" s="1004" t="s">
        <v>3823</v>
      </c>
      <c r="C1331" s="1000" t="s">
        <v>67</v>
      </c>
      <c r="D1331" s="932" t="str">
        <f>VLOOKUP($C1331,Table1[#All],2,0)</f>
        <v>SAO HOA</v>
      </c>
      <c r="E1331" s="932" t="s">
        <v>91</v>
      </c>
      <c r="F1331" s="998" t="s">
        <v>80</v>
      </c>
      <c r="G1331" s="932" t="s">
        <v>310</v>
      </c>
      <c r="H1331" s="932" t="str">
        <f>VLOOKUP($C1331,Table1[#All],3,0)</f>
        <v>VC3</v>
      </c>
      <c r="I1331" s="932" t="str" cm="1">
        <f t="array" ref="I1331">_xlfn.XLOOKUP(Acc_Char!$E1331,Table4[[#All],[Branch]],Table4[[#All],[Bank]],"recheck",0)</f>
        <v>VIETCOMBANK - HCM</v>
      </c>
    </row>
    <row r="1332" spans="1:9">
      <c r="A1332" s="998">
        <f t="shared" si="20"/>
        <v>1329</v>
      </c>
      <c r="B1332" s="1004" t="s">
        <v>3824</v>
      </c>
      <c r="C1332" s="1000" t="s">
        <v>67</v>
      </c>
      <c r="D1332" s="932" t="str">
        <f>VLOOKUP($C1332,Table1[#All],2,0)</f>
        <v>SAO HOA</v>
      </c>
      <c r="E1332" s="932" t="s">
        <v>89</v>
      </c>
      <c r="F1332" s="998" t="s">
        <v>80</v>
      </c>
      <c r="G1332" s="932" t="s">
        <v>310</v>
      </c>
      <c r="H1332" s="932" t="str">
        <f>VLOOKUP($C1332,Table1[#All],3,0)</f>
        <v>VC3</v>
      </c>
      <c r="I1332" s="932" t="str" cm="1">
        <f t="array" ref="I1332">_xlfn.XLOOKUP(Acc_Char!$E1332,Table4[[#All],[Branch]],Table4[[#All],[Bank]],"recheck",0)</f>
        <v>VIETCOMBANK - BA DINH</v>
      </c>
    </row>
    <row r="1333" spans="1:9">
      <c r="A1333" s="998">
        <f t="shared" si="20"/>
        <v>1330</v>
      </c>
      <c r="B1333" s="1001" t="s">
        <v>5387</v>
      </c>
      <c r="C1333" s="1000" t="s">
        <v>3010</v>
      </c>
      <c r="D1333" s="932" t="str">
        <f>VLOOKUP($C1333,Table1[#All],2,0)</f>
        <v>BWID LOGISTICS TAN UYEN</v>
      </c>
      <c r="E1333" s="932" t="s">
        <v>89</v>
      </c>
      <c r="F1333" s="998" t="s">
        <v>80</v>
      </c>
      <c r="G1333" s="932" t="s">
        <v>310</v>
      </c>
      <c r="H1333" s="932" t="str">
        <f>VLOOKUP($C1333,Table1[#All],3,0)</f>
        <v>Subsidiaries</v>
      </c>
      <c r="I1333" s="932" t="str" cm="1">
        <f t="array" ref="I1333">_xlfn.XLOOKUP(Acc_Char!$E1333,Table4[[#All],[Branch]],Table4[[#All],[Bank]],"recheck",0)</f>
        <v>VIETCOMBANK - BA DINH</v>
      </c>
    </row>
    <row r="1334" spans="1:9">
      <c r="A1334" s="998">
        <f t="shared" si="20"/>
        <v>1331</v>
      </c>
      <c r="B1334" s="1004" t="s">
        <v>1129</v>
      </c>
      <c r="C1334" s="1000" t="s">
        <v>3190</v>
      </c>
      <c r="D1334" s="932" t="str">
        <f>VLOOKUP($C1334,Table1[#All],2,0)</f>
        <v>NDV PROJECT CO</v>
      </c>
      <c r="E1334" s="932" t="s">
        <v>92</v>
      </c>
      <c r="F1334" s="998" t="s">
        <v>80</v>
      </c>
      <c r="G1334" s="932" t="s">
        <v>310</v>
      </c>
      <c r="H1334" s="932" t="str">
        <f>VLOOKUP($C1334,Table1[#All],3,0)</f>
        <v>Subsidiaries</v>
      </c>
      <c r="I1334" s="932" t="str" cm="1">
        <f t="array" ref="I1334">_xlfn.XLOOKUP(Acc_Char!$E1334,Table4[[#All],[Branch]],Table4[[#All],[Bank]],"recheck",0)</f>
        <v>BIDV - THANH XUAN</v>
      </c>
    </row>
    <row r="1335" spans="1:9">
      <c r="A1335" s="998">
        <f t="shared" si="20"/>
        <v>1332</v>
      </c>
      <c r="B1335" s="1004" t="s">
        <v>1131</v>
      </c>
      <c r="C1335" s="1000" t="s">
        <v>67</v>
      </c>
      <c r="D1335" s="932" t="str">
        <f>VLOOKUP($C1335,Table1[#All],2,0)</f>
        <v>SAO HOA</v>
      </c>
      <c r="E1335" s="932" t="s">
        <v>1130</v>
      </c>
      <c r="F1335" s="998" t="s">
        <v>81</v>
      </c>
      <c r="G1335" s="932" t="s">
        <v>311</v>
      </c>
      <c r="H1335" s="932" t="str">
        <f>VLOOKUP($C1335,Table1[#All],3,0)</f>
        <v>VC3</v>
      </c>
      <c r="I1335" s="932" t="str" cm="1">
        <f t="array" ref="I1335">_xlfn.XLOOKUP(Acc_Char!$E1335,Table4[[#All],[Branch]],Table4[[#All],[Bank]],"recheck",0)</f>
        <v>UOB</v>
      </c>
    </row>
    <row r="1336" spans="1:9">
      <c r="A1336" s="998">
        <f t="shared" si="20"/>
        <v>1333</v>
      </c>
      <c r="B1336" s="1004" t="s">
        <v>3825</v>
      </c>
      <c r="C1336" s="1000" t="s">
        <v>389</v>
      </c>
      <c r="D1336" s="932" t="str">
        <f>VLOOKUP($C1336,Table1[#All],2,0)</f>
        <v>BWID BINH DUONG</v>
      </c>
      <c r="E1336" s="932" t="s">
        <v>153</v>
      </c>
      <c r="F1336" s="998" t="s">
        <v>80</v>
      </c>
      <c r="G1336" s="932" t="s">
        <v>310</v>
      </c>
      <c r="H1336" s="932" t="str">
        <f>VLOOKUP($C1336,Table1[#All],3,0)</f>
        <v>BWID JSC</v>
      </c>
      <c r="I1336" s="932" t="str" cm="1">
        <f t="array" ref="I1336">_xlfn.XLOOKUP(Acc_Char!$E1336,Table4[[#All],[Branch]],Table4[[#All],[Bank]],"recheck",0)</f>
        <v>VIETINBANK - BINH DUONG + QM</v>
      </c>
    </row>
    <row r="1337" spans="1:9">
      <c r="A1337" s="998">
        <f t="shared" si="20"/>
        <v>1334</v>
      </c>
      <c r="B1337" s="1004" t="s">
        <v>1132</v>
      </c>
      <c r="C1337" s="1000" t="s">
        <v>428</v>
      </c>
      <c r="D1337" s="932" t="str">
        <f>VLOOKUP($C1337,Table1[#All],2,0)</f>
        <v>TAY HAI</v>
      </c>
      <c r="E1337" s="932" t="s">
        <v>155</v>
      </c>
      <c r="F1337" s="998" t="s">
        <v>80</v>
      </c>
      <c r="G1337" s="932" t="s">
        <v>310</v>
      </c>
      <c r="H1337" s="932" t="str">
        <f>VLOOKUP($C1337,Table1[#All],3,0)</f>
        <v>Subsidiaries</v>
      </c>
      <c r="I1337" s="932" t="str" cm="1">
        <f t="array" ref="I1337">_xlfn.XLOOKUP(Acc_Char!$E1337,Table4[[#All],[Branch]],Table4[[#All],[Bank]],"recheck",0)</f>
        <v>VIETINBANK - BINH DUONG + QM</v>
      </c>
    </row>
    <row r="1338" spans="1:9">
      <c r="A1338" s="998">
        <f t="shared" si="20"/>
        <v>1335</v>
      </c>
      <c r="B1338" s="1004" t="s">
        <v>3826</v>
      </c>
      <c r="C1338" s="1000" t="s">
        <v>2895</v>
      </c>
      <c r="D1338" s="932" t="str">
        <f>VLOOKUP($C1338,Table1[#All],2,0)</f>
        <v>BWID HAI DUONG 2</v>
      </c>
      <c r="E1338" s="932" t="s">
        <v>85</v>
      </c>
      <c r="F1338" s="998" t="s">
        <v>80</v>
      </c>
      <c r="G1338" s="932" t="s">
        <v>310</v>
      </c>
      <c r="H1338" s="932" t="str">
        <f>VLOOKUP($C1338,Table1[#All],3,0)</f>
        <v>Subsidiaries</v>
      </c>
      <c r="I1338" s="932" t="str" cm="1">
        <f t="array" ref="I1338">_xlfn.XLOOKUP(Acc_Char!$E1338,Table4[[#All],[Branch]],Table4[[#All],[Bank]],"recheck",0)</f>
        <v>VIETINBANK - TIEN SON</v>
      </c>
    </row>
    <row r="1339" spans="1:9">
      <c r="A1339" s="998">
        <f t="shared" si="20"/>
        <v>1336</v>
      </c>
      <c r="B1339" s="1004" t="s">
        <v>1133</v>
      </c>
      <c r="C1339" s="1000" t="s">
        <v>3052</v>
      </c>
      <c r="D1339" s="932" t="str">
        <f>VLOOKUP($C1339,Table1[#All],2,0)</f>
        <v>GREAT KINGDOM NT 2</v>
      </c>
      <c r="E1339" s="932" t="s">
        <v>86</v>
      </c>
      <c r="F1339" s="998" t="s">
        <v>80</v>
      </c>
      <c r="G1339" s="932" t="s">
        <v>310</v>
      </c>
      <c r="H1339" s="932" t="str">
        <f>VLOOKUP($C1339,Table1[#All],3,0)</f>
        <v>Subsidiaries</v>
      </c>
      <c r="I1339" s="932" t="str" cm="1">
        <f t="array" ref="I1339">_xlfn.XLOOKUP(Acc_Char!$E1339,Table4[[#All],[Branch]],Table4[[#All],[Bank]],"recheck",0)</f>
        <v>VIETINBANK - CN1</v>
      </c>
    </row>
    <row r="1340" spans="1:9">
      <c r="A1340" s="998">
        <f t="shared" si="20"/>
        <v>1337</v>
      </c>
      <c r="B1340" s="1004" t="s">
        <v>3827</v>
      </c>
      <c r="C1340" s="1000" t="s">
        <v>3160</v>
      </c>
      <c r="D1340" s="932" t="str">
        <f>VLOOKUP($C1340,Table1[#All],2,0)</f>
        <v>BWID Tan Phu Trung</v>
      </c>
      <c r="E1340" s="932" t="s">
        <v>85</v>
      </c>
      <c r="F1340" s="998" t="s">
        <v>80</v>
      </c>
      <c r="G1340" s="932" t="s">
        <v>310</v>
      </c>
      <c r="H1340" s="932" t="str">
        <f>VLOOKUP($C1340,Table1[#All],3,0)</f>
        <v>Subsidiaries</v>
      </c>
      <c r="I1340" s="932" t="str" cm="1">
        <f t="array" ref="I1340">_xlfn.XLOOKUP(Acc_Char!$E1340,Table4[[#All],[Branch]],Table4[[#All],[Bank]],"recheck",0)</f>
        <v>VIETINBANK - TIEN SON</v>
      </c>
    </row>
    <row r="1341" spans="1:9">
      <c r="A1341" s="998">
        <f t="shared" si="20"/>
        <v>1338</v>
      </c>
      <c r="B1341" s="1004" t="s">
        <v>1134</v>
      </c>
      <c r="C1341" s="1000" t="s">
        <v>437</v>
      </c>
      <c r="D1341" s="932" t="str">
        <f>VLOOKUP($C1341,Table1[#All],2,0)</f>
        <v>XENIA 1</v>
      </c>
      <c r="E1341" s="932" t="s">
        <v>85</v>
      </c>
      <c r="F1341" s="998" t="s">
        <v>80</v>
      </c>
      <c r="G1341" s="932" t="s">
        <v>310</v>
      </c>
      <c r="H1341" s="932" t="str">
        <f>VLOOKUP($C1341,Table1[#All],3,0)</f>
        <v>Subsidiaries</v>
      </c>
      <c r="I1341" s="932" t="str" cm="1">
        <f t="array" ref="I1341">_xlfn.XLOOKUP(Acc_Char!$E1341,Table4[[#All],[Branch]],Table4[[#All],[Bank]],"recheck",0)</f>
        <v>VIETINBANK - TIEN SON</v>
      </c>
    </row>
    <row r="1342" spans="1:9">
      <c r="A1342" s="998">
        <f t="shared" si="20"/>
        <v>1339</v>
      </c>
      <c r="B1342" s="1004" t="s">
        <v>1135</v>
      </c>
      <c r="C1342" s="1000" t="s">
        <v>437</v>
      </c>
      <c r="D1342" s="932" t="str">
        <f>VLOOKUP($C1342,Table1[#All],2,0)</f>
        <v>XENIA 1</v>
      </c>
      <c r="E1342" s="932" t="s">
        <v>85</v>
      </c>
      <c r="F1342" s="998" t="s">
        <v>80</v>
      </c>
      <c r="G1342" s="932" t="s">
        <v>310</v>
      </c>
      <c r="H1342" s="932" t="str">
        <f>VLOOKUP($C1342,Table1[#All],3,0)</f>
        <v>Subsidiaries</v>
      </c>
      <c r="I1342" s="932" t="str" cm="1">
        <f t="array" ref="I1342">_xlfn.XLOOKUP(Acc_Char!$E1342,Table4[[#All],[Branch]],Table4[[#All],[Bank]],"recheck",0)</f>
        <v>VIETINBANK - TIEN SON</v>
      </c>
    </row>
    <row r="1343" spans="1:9">
      <c r="A1343" s="998">
        <f t="shared" si="20"/>
        <v>1340</v>
      </c>
      <c r="B1343" s="1004" t="s">
        <v>1136</v>
      </c>
      <c r="C1343" s="1000" t="s">
        <v>437</v>
      </c>
      <c r="D1343" s="932" t="str">
        <f>VLOOKUP($C1343,Table1[#All],2,0)</f>
        <v>XENIA 1</v>
      </c>
      <c r="E1343" s="932" t="s">
        <v>85</v>
      </c>
      <c r="F1343" s="998" t="s">
        <v>80</v>
      </c>
      <c r="G1343" s="932" t="s">
        <v>310</v>
      </c>
      <c r="H1343" s="932" t="str">
        <f>VLOOKUP($C1343,Table1[#All],3,0)</f>
        <v>Subsidiaries</v>
      </c>
      <c r="I1343" s="932" t="str" cm="1">
        <f t="array" ref="I1343">_xlfn.XLOOKUP(Acc_Char!$E1343,Table4[[#All],[Branch]],Table4[[#All],[Bank]],"recheck",0)</f>
        <v>VIETINBANK - TIEN SON</v>
      </c>
    </row>
    <row r="1344" spans="1:9">
      <c r="A1344" s="998">
        <f t="shared" si="20"/>
        <v>1341</v>
      </c>
      <c r="B1344" s="1004" t="s">
        <v>1137</v>
      </c>
      <c r="C1344" s="1000" t="s">
        <v>3248</v>
      </c>
      <c r="D1344" s="932" t="str">
        <f>VLOOKUP($C1344,Table1[#All],2,0)</f>
        <v>WINLOCK 2A</v>
      </c>
      <c r="E1344" s="932" t="s">
        <v>85</v>
      </c>
      <c r="F1344" s="998" t="s">
        <v>80</v>
      </c>
      <c r="G1344" s="932" t="s">
        <v>310</v>
      </c>
      <c r="H1344" s="932" t="str">
        <f>VLOOKUP($C1344,Table1[#All],3,0)</f>
        <v>Subsidiaries</v>
      </c>
      <c r="I1344" s="932" t="str" cm="1">
        <f t="array" ref="I1344">_xlfn.XLOOKUP(Acc_Char!$E1344,Table4[[#All],[Branch]],Table4[[#All],[Bank]],"recheck",0)</f>
        <v>VIETINBANK - TIEN SON</v>
      </c>
    </row>
    <row r="1345" spans="1:9">
      <c r="A1345" s="998">
        <f t="shared" si="20"/>
        <v>1342</v>
      </c>
      <c r="B1345" s="1004" t="s">
        <v>1138</v>
      </c>
      <c r="C1345" s="1000" t="s">
        <v>3248</v>
      </c>
      <c r="D1345" s="932" t="str">
        <f>VLOOKUP($C1345,Table1[#All],2,0)</f>
        <v>WINLOCK 2A</v>
      </c>
      <c r="E1345" s="932" t="s">
        <v>85</v>
      </c>
      <c r="F1345" s="998" t="s">
        <v>80</v>
      </c>
      <c r="G1345" s="932" t="s">
        <v>310</v>
      </c>
      <c r="H1345" s="932" t="str">
        <f>VLOOKUP($C1345,Table1[#All],3,0)</f>
        <v>Subsidiaries</v>
      </c>
      <c r="I1345" s="932" t="str" cm="1">
        <f t="array" ref="I1345">_xlfn.XLOOKUP(Acc_Char!$E1345,Table4[[#All],[Branch]],Table4[[#All],[Bank]],"recheck",0)</f>
        <v>VIETINBANK - TIEN SON</v>
      </c>
    </row>
    <row r="1346" spans="1:9">
      <c r="A1346" s="998">
        <f t="shared" si="20"/>
        <v>1343</v>
      </c>
      <c r="B1346" s="1004" t="s">
        <v>1139</v>
      </c>
      <c r="C1346" s="1000" t="s">
        <v>3246</v>
      </c>
      <c r="D1346" s="932" t="str">
        <f>VLOOKUP($C1346,Table1[#All],2,0)</f>
        <v>XENIA 2</v>
      </c>
      <c r="E1346" s="932" t="s">
        <v>85</v>
      </c>
      <c r="F1346" s="998" t="s">
        <v>80</v>
      </c>
      <c r="G1346" s="932" t="s">
        <v>310</v>
      </c>
      <c r="H1346" s="932" t="str">
        <f>VLOOKUP($C1346,Table1[#All],3,0)</f>
        <v>Subsidiaries</v>
      </c>
      <c r="I1346" s="932" t="str" cm="1">
        <f t="array" ref="I1346">_xlfn.XLOOKUP(Acc_Char!$E1346,Table4[[#All],[Branch]],Table4[[#All],[Bank]],"recheck",0)</f>
        <v>VIETINBANK - TIEN SON</v>
      </c>
    </row>
    <row r="1347" spans="1:9">
      <c r="A1347" s="998">
        <f t="shared" si="20"/>
        <v>1344</v>
      </c>
      <c r="B1347" s="1004" t="s">
        <v>1140</v>
      </c>
      <c r="C1347" s="1000" t="s">
        <v>3246</v>
      </c>
      <c r="D1347" s="932" t="str">
        <f>VLOOKUP($C1347,Table1[#All],2,0)</f>
        <v>XENIA 2</v>
      </c>
      <c r="E1347" s="932" t="s">
        <v>85</v>
      </c>
      <c r="F1347" s="998" t="s">
        <v>80</v>
      </c>
      <c r="G1347" s="932" t="s">
        <v>310</v>
      </c>
      <c r="H1347" s="932" t="str">
        <f>VLOOKUP($C1347,Table1[#All],3,0)</f>
        <v>Subsidiaries</v>
      </c>
      <c r="I1347" s="932" t="str" cm="1">
        <f t="array" ref="I1347">_xlfn.XLOOKUP(Acc_Char!$E1347,Table4[[#All],[Branch]],Table4[[#All],[Bank]],"recheck",0)</f>
        <v>VIETINBANK - TIEN SON</v>
      </c>
    </row>
    <row r="1348" spans="1:9">
      <c r="A1348" s="998">
        <f t="shared" si="20"/>
        <v>1345</v>
      </c>
      <c r="B1348" s="1004" t="s">
        <v>1141</v>
      </c>
      <c r="C1348" s="1000" t="s">
        <v>3268</v>
      </c>
      <c r="D1348" s="932" t="str">
        <f>VLOOKUP($C1348,Table1[#All],2,0)</f>
        <v>BW DONG HAI</v>
      </c>
      <c r="E1348" s="932" t="s">
        <v>92</v>
      </c>
      <c r="F1348" s="998" t="s">
        <v>80</v>
      </c>
      <c r="G1348" s="932" t="s">
        <v>310</v>
      </c>
      <c r="H1348" s="932" t="str">
        <f>VLOOKUP($C1348,Table1[#All],3,0)</f>
        <v>Subsidiaries</v>
      </c>
      <c r="I1348" s="932" t="str" cm="1">
        <f t="array" ref="I1348">_xlfn.XLOOKUP(Acc_Char!$E1348,Table4[[#All],[Branch]],Table4[[#All],[Bank]],"recheck",0)</f>
        <v>BIDV - THANH XUAN</v>
      </c>
    </row>
    <row r="1349" spans="1:9">
      <c r="A1349" s="998">
        <f t="shared" ref="A1349:A1412" si="21">A1348+1</f>
        <v>1346</v>
      </c>
      <c r="B1349" s="1004" t="s">
        <v>1142</v>
      </c>
      <c r="C1349" s="1000" t="s">
        <v>430</v>
      </c>
      <c r="D1349" s="932" t="str">
        <f>VLOOKUP($C1349,Table1[#All],2,0)</f>
        <v>KIM TRUC DN</v>
      </c>
      <c r="E1349" s="932" t="s">
        <v>93</v>
      </c>
      <c r="F1349" s="998" t="s">
        <v>80</v>
      </c>
      <c r="G1349" s="932" t="s">
        <v>310</v>
      </c>
      <c r="H1349" s="932" t="str">
        <f>VLOOKUP($C1349,Table1[#All],3,0)</f>
        <v>Subsidiaries</v>
      </c>
      <c r="I1349" s="932" t="str" cm="1">
        <f t="array" ref="I1349">_xlfn.XLOOKUP(Acc_Char!$E1349,Table4[[#All],[Branch]],Table4[[#All],[Bank]],"recheck",0)</f>
        <v>BIDV - NAM SAI GON</v>
      </c>
    </row>
    <row r="1350" spans="1:9">
      <c r="A1350" s="998">
        <f t="shared" si="21"/>
        <v>1347</v>
      </c>
      <c r="B1350" s="1004" t="s">
        <v>1143</v>
      </c>
      <c r="C1350" s="1000" t="s">
        <v>2974</v>
      </c>
      <c r="D1350" s="932" t="str">
        <f>VLOOKUP($C1350,Table1[#All],2,0)</f>
        <v>BWID HAI DUONG 3</v>
      </c>
      <c r="E1350" s="932" t="s">
        <v>92</v>
      </c>
      <c r="F1350" s="998" t="s">
        <v>80</v>
      </c>
      <c r="G1350" s="932" t="s">
        <v>310</v>
      </c>
      <c r="H1350" s="932" t="str">
        <f>VLOOKUP($C1350,Table1[#All],3,0)</f>
        <v>Subsidiaries</v>
      </c>
      <c r="I1350" s="932" t="str" cm="1">
        <f t="array" ref="I1350">_xlfn.XLOOKUP(Acc_Char!$E1350,Table4[[#All],[Branch]],Table4[[#All],[Bank]],"recheck",0)</f>
        <v>BIDV - THANH XUAN</v>
      </c>
    </row>
    <row r="1351" spans="1:9">
      <c r="A1351" s="998">
        <f t="shared" si="21"/>
        <v>1348</v>
      </c>
      <c r="B1351" s="1004" t="s">
        <v>1144</v>
      </c>
      <c r="C1351" s="1000" t="s">
        <v>3280</v>
      </c>
      <c r="D1351" s="932" t="str">
        <f>VLOOKUP($C1351,Table1[#All],2,0)</f>
        <v>BAC TIEN PHONG</v>
      </c>
      <c r="E1351" s="932" t="s">
        <v>92</v>
      </c>
      <c r="F1351" s="998" t="s">
        <v>80</v>
      </c>
      <c r="G1351" s="932" t="s">
        <v>310</v>
      </c>
      <c r="H1351" s="932" t="str">
        <f>VLOOKUP($C1351,Table1[#All],3,0)</f>
        <v>Subsidiaries</v>
      </c>
      <c r="I1351" s="932" t="str" cm="1">
        <f t="array" ref="I1351">_xlfn.XLOOKUP(Acc_Char!$E1351,Table4[[#All],[Branch]],Table4[[#All],[Bank]],"recheck",0)</f>
        <v>BIDV - THANH XUAN</v>
      </c>
    </row>
    <row r="1352" spans="1:9">
      <c r="A1352" s="998">
        <f t="shared" si="21"/>
        <v>1349</v>
      </c>
      <c r="B1352" s="1004" t="s">
        <v>1145</v>
      </c>
      <c r="C1352" s="1000" t="s">
        <v>3277</v>
      </c>
      <c r="D1352" s="932" t="str">
        <f>VLOOKUP($C1352,Table1[#All],2,0)</f>
        <v>THUAN THANH 3B</v>
      </c>
      <c r="E1352" s="932" t="s">
        <v>89</v>
      </c>
      <c r="F1352" s="998" t="s">
        <v>80</v>
      </c>
      <c r="G1352" s="932" t="s">
        <v>310</v>
      </c>
      <c r="H1352" s="932" t="str">
        <f>VLOOKUP($C1352,Table1[#All],3,0)</f>
        <v>Subsidiaries</v>
      </c>
      <c r="I1352" s="932" t="str" cm="1">
        <f t="array" ref="I1352">_xlfn.XLOOKUP(Acc_Char!$E1352,Table4[[#All],[Branch]],Table4[[#All],[Bank]],"recheck",0)</f>
        <v>VIETCOMBANK - BA DINH</v>
      </c>
    </row>
    <row r="1353" spans="1:9">
      <c r="A1353" s="998">
        <f t="shared" si="21"/>
        <v>1350</v>
      </c>
      <c r="B1353" s="1004" t="s">
        <v>3828</v>
      </c>
      <c r="C1353" s="1000" t="s">
        <v>3277</v>
      </c>
      <c r="D1353" s="932" t="str">
        <f>VLOOKUP($C1353,Table1[#All],2,0)</f>
        <v>THUAN THANH 3B</v>
      </c>
      <c r="E1353" s="999" t="s">
        <v>89</v>
      </c>
      <c r="F1353" s="998" t="s">
        <v>80</v>
      </c>
      <c r="G1353" s="932" t="s">
        <v>310</v>
      </c>
      <c r="H1353" s="932" t="str">
        <f>VLOOKUP($C1353,Table1[#All],3,0)</f>
        <v>Subsidiaries</v>
      </c>
      <c r="I1353" s="932" t="str" cm="1">
        <f t="array" ref="I1353">_xlfn.XLOOKUP(Acc_Char!$E1353,Table4[[#All],[Branch]],Table4[[#All],[Bank]],"recheck",0)</f>
        <v>VIETCOMBANK - BA DINH</v>
      </c>
    </row>
    <row r="1354" spans="1:9">
      <c r="A1354" s="998">
        <f t="shared" si="21"/>
        <v>1351</v>
      </c>
      <c r="B1354" s="1004" t="s">
        <v>1146</v>
      </c>
      <c r="C1354" s="1000" t="s">
        <v>3277</v>
      </c>
      <c r="D1354" s="932" t="str">
        <f>VLOOKUP($C1354,Table1[#All],2,0)</f>
        <v>THUAN THANH 3B</v>
      </c>
      <c r="E1354" s="932" t="s">
        <v>89</v>
      </c>
      <c r="F1354" s="998" t="s">
        <v>80</v>
      </c>
      <c r="G1354" s="932" t="s">
        <v>310</v>
      </c>
      <c r="H1354" s="932" t="str">
        <f>VLOOKUP($C1354,Table1[#All],3,0)</f>
        <v>Subsidiaries</v>
      </c>
      <c r="I1354" s="932" t="str" cm="1">
        <f t="array" ref="I1354">_xlfn.XLOOKUP(Acc_Char!$E1354,Table4[[#All],[Branch]],Table4[[#All],[Bank]],"recheck",0)</f>
        <v>VIETCOMBANK - BA DINH</v>
      </c>
    </row>
    <row r="1355" spans="1:9">
      <c r="A1355" s="998">
        <f t="shared" si="21"/>
        <v>1352</v>
      </c>
      <c r="B1355" s="1004" t="s">
        <v>1147</v>
      </c>
      <c r="C1355" s="1000" t="s">
        <v>3047</v>
      </c>
      <c r="D1355" s="932" t="str">
        <f>VLOOKUP($C1355,Table1[#All],2,0)</f>
        <v>BW SAIGON LOGISTICS</v>
      </c>
      <c r="E1355" s="932" t="s">
        <v>91</v>
      </c>
      <c r="F1355" s="998" t="s">
        <v>80</v>
      </c>
      <c r="G1355" s="932" t="s">
        <v>310</v>
      </c>
      <c r="H1355" s="932" t="str">
        <f>VLOOKUP($C1355,Table1[#All],3,0)</f>
        <v>Subsidiaries</v>
      </c>
      <c r="I1355" s="932" t="str" cm="1">
        <f t="array" ref="I1355">_xlfn.XLOOKUP(Acc_Char!$E1355,Table4[[#All],[Branch]],Table4[[#All],[Bank]],"recheck",0)</f>
        <v>VIETCOMBANK - HCM</v>
      </c>
    </row>
    <row r="1356" spans="1:9">
      <c r="A1356" s="998">
        <f t="shared" si="21"/>
        <v>1353</v>
      </c>
      <c r="B1356" s="1004" t="s">
        <v>1148</v>
      </c>
      <c r="C1356" s="1000" t="s">
        <v>2980</v>
      </c>
      <c r="D1356" s="932" t="str">
        <f>VLOOKUP($C1356,Table1[#All],2,0)</f>
        <v>BWID THOI HOA</v>
      </c>
      <c r="E1356" s="932" t="s">
        <v>95</v>
      </c>
      <c r="F1356" s="998" t="s">
        <v>80</v>
      </c>
      <c r="G1356" s="932" t="s">
        <v>310</v>
      </c>
      <c r="H1356" s="932" t="str">
        <f>VLOOKUP($C1356,Table1[#All],3,0)</f>
        <v>Subsidiaries</v>
      </c>
      <c r="I1356" s="932" t="str" cm="1">
        <f t="array" ref="I1356">_xlfn.XLOOKUP(Acc_Char!$E1356,Table4[[#All],[Branch]],Table4[[#All],[Bank]],"recheck",0)</f>
        <v>OCB - BINH DUONG</v>
      </c>
    </row>
    <row r="1357" spans="1:9">
      <c r="A1357" s="998">
        <f t="shared" si="21"/>
        <v>1354</v>
      </c>
      <c r="B1357" s="1004" t="s">
        <v>3829</v>
      </c>
      <c r="C1357" s="1003" t="s">
        <v>2980</v>
      </c>
      <c r="D1357" s="932" t="str">
        <f>VLOOKUP($C1357,Table1[#All],2,0)</f>
        <v>BWID THOI HOA</v>
      </c>
      <c r="E1357" s="932" t="s">
        <v>95</v>
      </c>
      <c r="F1357" s="998" t="s">
        <v>80</v>
      </c>
      <c r="G1357" s="932" t="s">
        <v>310</v>
      </c>
      <c r="H1357" s="932" t="str">
        <f>VLOOKUP($C1357,Table1[#All],3,0)</f>
        <v>Subsidiaries</v>
      </c>
      <c r="I1357" s="932" t="str" cm="1">
        <f t="array" ref="I1357">_xlfn.XLOOKUP(Acc_Char!$E1357,Table4[[#All],[Branch]],Table4[[#All],[Bank]],"recheck",0)</f>
        <v>OCB - BINH DUONG</v>
      </c>
    </row>
    <row r="1358" spans="1:9">
      <c r="A1358" s="998">
        <f t="shared" si="21"/>
        <v>1355</v>
      </c>
      <c r="B1358" s="1004" t="s">
        <v>1149</v>
      </c>
      <c r="C1358" s="1000" t="s">
        <v>389</v>
      </c>
      <c r="D1358" s="932" t="str">
        <f>VLOOKUP($C1358,Table1[#All],2,0)</f>
        <v>BWID BINH DUONG</v>
      </c>
      <c r="E1358" s="932" t="s">
        <v>98</v>
      </c>
      <c r="F1358" s="998" t="s">
        <v>80</v>
      </c>
      <c r="G1358" s="932" t="s">
        <v>310</v>
      </c>
      <c r="H1358" s="932" t="str">
        <f>VLOOKUP($C1358,Table1[#All],3,0)</f>
        <v>BWID JSC</v>
      </c>
      <c r="I1358" s="932" t="str" cm="1">
        <f t="array" ref="I1358">_xlfn.XLOOKUP(Acc_Char!$E1358,Table4[[#All],[Branch]],Table4[[#All],[Bank]],"recheck",0)</f>
        <v>SINOPAC</v>
      </c>
    </row>
    <row r="1359" spans="1:9">
      <c r="A1359" s="998">
        <f t="shared" si="21"/>
        <v>1356</v>
      </c>
      <c r="B1359" s="1004" t="s">
        <v>1150</v>
      </c>
      <c r="C1359" s="1000" t="s">
        <v>2998</v>
      </c>
      <c r="D1359" s="932" t="str">
        <f>VLOOKUP($C1359,Table1[#All],2,0)</f>
        <v>BWID THOI HOA 2</v>
      </c>
      <c r="E1359" s="932" t="s">
        <v>971</v>
      </c>
      <c r="F1359" s="998" t="s">
        <v>80</v>
      </c>
      <c r="G1359" s="932" t="s">
        <v>310</v>
      </c>
      <c r="H1359" s="932" t="str">
        <f>VLOOKUP($C1359,Table1[#All],3,0)</f>
        <v>Subsidiaries</v>
      </c>
      <c r="I1359" s="932" t="str" cm="1">
        <f t="array" ref="I1359">_xlfn.XLOOKUP(Acc_Char!$E1359,Table4[[#All],[Branch]],Table4[[#All],[Bank]],"recheck",0)</f>
        <v>OTHERS</v>
      </c>
    </row>
    <row r="1360" spans="1:9">
      <c r="A1360" s="998">
        <f t="shared" si="21"/>
        <v>1357</v>
      </c>
      <c r="B1360" s="1004" t="s">
        <v>3830</v>
      </c>
      <c r="C1360" s="1000" t="s">
        <v>3233</v>
      </c>
      <c r="D1360" s="932" t="str">
        <f>VLOOKUP($C1360,Table1[#All],2,0)</f>
        <v>BAU BANG 6</v>
      </c>
      <c r="E1360" s="932" t="s">
        <v>153</v>
      </c>
      <c r="F1360" s="998" t="s">
        <v>80</v>
      </c>
      <c r="G1360" s="932" t="s">
        <v>310</v>
      </c>
      <c r="H1360" s="932" t="str">
        <f>VLOOKUP($C1360,Table1[#All],3,0)</f>
        <v>Subsidiaries</v>
      </c>
      <c r="I1360" s="932" t="str" cm="1">
        <f t="array" ref="I1360">_xlfn.XLOOKUP(Acc_Char!$E1360,Table4[[#All],[Branch]],Table4[[#All],[Bank]],"recheck",0)</f>
        <v>VIETINBANK - BINH DUONG + QM</v>
      </c>
    </row>
    <row r="1361" spans="1:9">
      <c r="A1361" s="998">
        <f t="shared" si="21"/>
        <v>1358</v>
      </c>
      <c r="B1361" s="1004" t="s">
        <v>1151</v>
      </c>
      <c r="C1361" s="1000" t="s">
        <v>430</v>
      </c>
      <c r="D1361" s="932" t="str">
        <f>VLOOKUP($C1361,Table1[#All],2,0)</f>
        <v>KIM TRUC DN</v>
      </c>
      <c r="E1361" s="999" t="s">
        <v>93</v>
      </c>
      <c r="F1361" s="998" t="s">
        <v>80</v>
      </c>
      <c r="G1361" s="932" t="s">
        <v>310</v>
      </c>
      <c r="H1361" s="932" t="str">
        <f>VLOOKUP($C1361,Table1[#All],3,0)</f>
        <v>Subsidiaries</v>
      </c>
      <c r="I1361" s="932" t="str" cm="1">
        <f t="array" ref="I1361">_xlfn.XLOOKUP(Acc_Char!$E1361,Table4[[#All],[Branch]],Table4[[#All],[Bank]],"recheck",0)</f>
        <v>BIDV - NAM SAI GON</v>
      </c>
    </row>
    <row r="1362" spans="1:9">
      <c r="A1362" s="998">
        <f t="shared" si="21"/>
        <v>1359</v>
      </c>
      <c r="B1362" s="1004" t="s">
        <v>1152</v>
      </c>
      <c r="C1362" s="1000" t="s">
        <v>2969</v>
      </c>
      <c r="D1362" s="932" t="str">
        <f>VLOOKUP($C1362,Table1[#All],2,0)</f>
        <v>BWID NHON TRACH</v>
      </c>
      <c r="E1362" s="932" t="s">
        <v>91</v>
      </c>
      <c r="F1362" s="998" t="s">
        <v>80</v>
      </c>
      <c r="G1362" s="932" t="s">
        <v>310</v>
      </c>
      <c r="H1362" s="932" t="str">
        <f>VLOOKUP($C1362,Table1[#All],3,0)</f>
        <v>Subsidiaries</v>
      </c>
      <c r="I1362" s="932" t="str" cm="1">
        <f t="array" ref="I1362">_xlfn.XLOOKUP(Acc_Char!$E1362,Table4[[#All],[Branch]],Table4[[#All],[Bank]],"recheck",0)</f>
        <v>VIETCOMBANK - HCM</v>
      </c>
    </row>
    <row r="1363" spans="1:9">
      <c r="A1363" s="998">
        <f t="shared" si="21"/>
        <v>1360</v>
      </c>
      <c r="B1363" s="1004" t="s">
        <v>1153</v>
      </c>
      <c r="C1363" s="1000" t="s">
        <v>67</v>
      </c>
      <c r="D1363" s="932" t="str">
        <f>VLOOKUP($C1363,Table1[#All],2,0)</f>
        <v>SAO HOA</v>
      </c>
      <c r="E1363" s="932" t="s">
        <v>91</v>
      </c>
      <c r="F1363" s="998" t="s">
        <v>80</v>
      </c>
      <c r="G1363" s="932" t="s">
        <v>310</v>
      </c>
      <c r="H1363" s="932" t="str">
        <f>VLOOKUP($C1363,Table1[#All],3,0)</f>
        <v>VC3</v>
      </c>
      <c r="I1363" s="932" t="str" cm="1">
        <f t="array" ref="I1363">_xlfn.XLOOKUP(Acc_Char!$E1363,Table4[[#All],[Branch]],Table4[[#All],[Bank]],"recheck",0)</f>
        <v>VIETCOMBANK - HCM</v>
      </c>
    </row>
    <row r="1364" spans="1:9">
      <c r="A1364" s="998">
        <f t="shared" si="21"/>
        <v>1361</v>
      </c>
      <c r="B1364" s="1004" t="s">
        <v>1154</v>
      </c>
      <c r="C1364" s="1000" t="s">
        <v>67</v>
      </c>
      <c r="D1364" s="932" t="str">
        <f>VLOOKUP($C1364,Table1[#All],2,0)</f>
        <v>SAO HOA</v>
      </c>
      <c r="E1364" s="932" t="s">
        <v>89</v>
      </c>
      <c r="F1364" s="998" t="s">
        <v>80</v>
      </c>
      <c r="G1364" s="932" t="s">
        <v>310</v>
      </c>
      <c r="H1364" s="932" t="str">
        <f>VLOOKUP($C1364,Table1[#All],3,0)</f>
        <v>VC3</v>
      </c>
      <c r="I1364" s="932" t="str" cm="1">
        <f t="array" ref="I1364">_xlfn.XLOOKUP(Acc_Char!$E1364,Table4[[#All],[Branch]],Table4[[#All],[Bank]],"recheck",0)</f>
        <v>VIETCOMBANK - BA DINH</v>
      </c>
    </row>
    <row r="1365" spans="1:9">
      <c r="A1365" s="998">
        <f t="shared" si="21"/>
        <v>1362</v>
      </c>
      <c r="B1365" s="1004" t="s">
        <v>1155</v>
      </c>
      <c r="C1365" s="1000" t="s">
        <v>2998</v>
      </c>
      <c r="D1365" s="932" t="str">
        <f>VLOOKUP($C1365,Table1[#All],2,0)</f>
        <v>BWID THOI HOA 2</v>
      </c>
      <c r="E1365" s="932" t="s">
        <v>971</v>
      </c>
      <c r="F1365" s="998" t="s">
        <v>80</v>
      </c>
      <c r="G1365" s="932" t="s">
        <v>310</v>
      </c>
      <c r="H1365" s="932" t="str">
        <f>VLOOKUP($C1365,Table1[#All],3,0)</f>
        <v>Subsidiaries</v>
      </c>
      <c r="I1365" s="932" t="str" cm="1">
        <f t="array" ref="I1365">_xlfn.XLOOKUP(Acc_Char!$E1365,Table4[[#All],[Branch]],Table4[[#All],[Bank]],"recheck",0)</f>
        <v>OTHERS</v>
      </c>
    </row>
    <row r="1366" spans="1:9">
      <c r="A1366" s="998">
        <f t="shared" si="21"/>
        <v>1363</v>
      </c>
      <c r="B1366" s="1004" t="s">
        <v>1156</v>
      </c>
      <c r="C1366" s="1000" t="s">
        <v>67</v>
      </c>
      <c r="D1366" s="932" t="str">
        <f>VLOOKUP($C1366,Table1[#All],2,0)</f>
        <v>SAO HOA</v>
      </c>
      <c r="E1366" s="932" t="s">
        <v>191</v>
      </c>
      <c r="F1366" s="998" t="s">
        <v>80</v>
      </c>
      <c r="G1366" s="932" t="s">
        <v>310</v>
      </c>
      <c r="H1366" s="932" t="str">
        <f>VLOOKUP($C1366,Table1[#All],3,0)</f>
        <v>VC3</v>
      </c>
      <c r="I1366" s="932" t="str" cm="1">
        <f t="array" ref="I1366">_xlfn.XLOOKUP(Acc_Char!$E1366,Table4[[#All],[Branch]],Table4[[#All],[Bank]],"recheck",0)</f>
        <v>VIETINBANK - TPHCM</v>
      </c>
    </row>
    <row r="1367" spans="1:9">
      <c r="A1367" s="998">
        <f t="shared" si="21"/>
        <v>1364</v>
      </c>
      <c r="B1367" s="1004" t="s">
        <v>1159</v>
      </c>
      <c r="C1367" s="1000" t="s">
        <v>624</v>
      </c>
      <c r="D1367" s="932" t="str">
        <f>VLOOKUP($C1367,Table1[#All],2,0)</f>
        <v>SPV4B</v>
      </c>
      <c r="E1367" s="932" t="s">
        <v>803</v>
      </c>
      <c r="F1367" s="998" t="s">
        <v>80</v>
      </c>
      <c r="G1367" s="932" t="s">
        <v>308</v>
      </c>
      <c r="H1367" s="932" t="str">
        <f>VLOOKUP($C1367,Table1[#All],3,0)</f>
        <v>Subsidiaries</v>
      </c>
      <c r="I1367" s="932" t="str" cm="1">
        <f t="array" ref="I1367">_xlfn.XLOOKUP(Acc_Char!$E1367,Table4[[#All],[Branch]],Table4[[#All],[Bank]],"recheck",0)</f>
        <v>UOB</v>
      </c>
    </row>
    <row r="1368" spans="1:9">
      <c r="A1368" s="998">
        <f t="shared" si="21"/>
        <v>1365</v>
      </c>
      <c r="B1368" s="1004" t="s">
        <v>1160</v>
      </c>
      <c r="C1368" s="1000" t="s">
        <v>3237</v>
      </c>
      <c r="D1368" s="932" t="str">
        <f>VLOOKUP($C1368,Table1[#All],2,0)</f>
        <v>LONG BINH</v>
      </c>
      <c r="E1368" s="932" t="s">
        <v>86</v>
      </c>
      <c r="F1368" s="998" t="s">
        <v>80</v>
      </c>
      <c r="G1368" s="932" t="s">
        <v>310</v>
      </c>
      <c r="H1368" s="932" t="str">
        <f>VLOOKUP($C1368,Table1[#All],3,0)</f>
        <v>Subsidiaries</v>
      </c>
      <c r="I1368" s="932" t="str" cm="1">
        <f t="array" ref="I1368">_xlfn.XLOOKUP(Acc_Char!$E1368,Table4[[#All],[Branch]],Table4[[#All],[Bank]],"recheck",0)</f>
        <v>VIETINBANK - CN1</v>
      </c>
    </row>
    <row r="1369" spans="1:9">
      <c r="A1369" s="998">
        <f t="shared" si="21"/>
        <v>1366</v>
      </c>
      <c r="B1369" s="1004" t="s">
        <v>1161</v>
      </c>
      <c r="C1369" s="1000" t="s">
        <v>3160</v>
      </c>
      <c r="D1369" s="932" t="str">
        <f>VLOOKUP($C1369,Table1[#All],2,0)</f>
        <v>BWID Tan Phu Trung</v>
      </c>
      <c r="E1369" s="999" t="s">
        <v>341</v>
      </c>
      <c r="F1369" s="998" t="s">
        <v>80</v>
      </c>
      <c r="G1369" s="932" t="s">
        <v>310</v>
      </c>
      <c r="H1369" s="932" t="str">
        <f>VLOOKUP($C1369,Table1[#All],3,0)</f>
        <v>Subsidiaries</v>
      </c>
      <c r="I1369" s="932" t="str" cm="1">
        <f t="array" ref="I1369">_xlfn.XLOOKUP(Acc_Char!$E1369,Table4[[#All],[Branch]],Table4[[#All],[Bank]],"recheck",0)</f>
        <v>KEB Hana - HCM</v>
      </c>
    </row>
    <row r="1370" spans="1:9">
      <c r="A1370" s="998">
        <f t="shared" si="21"/>
        <v>1367</v>
      </c>
      <c r="B1370" s="1004" t="s">
        <v>1162</v>
      </c>
      <c r="C1370" s="1000" t="s">
        <v>3160</v>
      </c>
      <c r="D1370" s="932" t="str">
        <f>VLOOKUP($C1370,Table1[#All],2,0)</f>
        <v>BWID Tan Phu Trung</v>
      </c>
      <c r="E1370" s="932" t="s">
        <v>341</v>
      </c>
      <c r="F1370" s="998" t="s">
        <v>80</v>
      </c>
      <c r="G1370" s="932" t="s">
        <v>310</v>
      </c>
      <c r="H1370" s="932" t="str">
        <f>VLOOKUP($C1370,Table1[#All],3,0)</f>
        <v>Subsidiaries</v>
      </c>
      <c r="I1370" s="932" t="str" cm="1">
        <f t="array" ref="I1370">_xlfn.XLOOKUP(Acc_Char!$E1370,Table4[[#All],[Branch]],Table4[[#All],[Bank]],"recheck",0)</f>
        <v>KEB Hana - HCM</v>
      </c>
    </row>
    <row r="1371" spans="1:9">
      <c r="A1371" s="998">
        <f t="shared" si="21"/>
        <v>1368</v>
      </c>
      <c r="B1371" s="1004" t="s">
        <v>1163</v>
      </c>
      <c r="C1371" s="1000" t="s">
        <v>3160</v>
      </c>
      <c r="D1371" s="932" t="str">
        <f>VLOOKUP($C1371,Table1[#All],2,0)</f>
        <v>BWID Tan Phu Trung</v>
      </c>
      <c r="E1371" s="932" t="s">
        <v>85</v>
      </c>
      <c r="F1371" s="998" t="s">
        <v>80</v>
      </c>
      <c r="G1371" s="932" t="s">
        <v>310</v>
      </c>
      <c r="H1371" s="932" t="str">
        <f>VLOOKUP($C1371,Table1[#All],3,0)</f>
        <v>Subsidiaries</v>
      </c>
      <c r="I1371" s="932" t="str" cm="1">
        <f t="array" ref="I1371">_xlfn.XLOOKUP(Acc_Char!$E1371,Table4[[#All],[Branch]],Table4[[#All],[Bank]],"recheck",0)</f>
        <v>VIETINBANK - TIEN SON</v>
      </c>
    </row>
    <row r="1372" spans="1:9">
      <c r="A1372" s="998">
        <f t="shared" si="21"/>
        <v>1369</v>
      </c>
      <c r="B1372" s="1004" t="s">
        <v>1164</v>
      </c>
      <c r="C1372" s="1000" t="s">
        <v>430</v>
      </c>
      <c r="D1372" s="932" t="str">
        <f>VLOOKUP($C1372,Table1[#All],2,0)</f>
        <v>KIM TRUC DN</v>
      </c>
      <c r="E1372" s="932" t="s">
        <v>93</v>
      </c>
      <c r="F1372" s="998" t="s">
        <v>80</v>
      </c>
      <c r="G1372" s="932" t="s">
        <v>310</v>
      </c>
      <c r="H1372" s="932" t="str">
        <f>VLOOKUP($C1372,Table1[#All],3,0)</f>
        <v>Subsidiaries</v>
      </c>
      <c r="I1372" s="932" t="str" cm="1">
        <f t="array" ref="I1372">_xlfn.XLOOKUP(Acc_Char!$E1372,Table4[[#All],[Branch]],Table4[[#All],[Bank]],"recheck",0)</f>
        <v>BIDV - NAM SAI GON</v>
      </c>
    </row>
    <row r="1373" spans="1:9">
      <c r="A1373" s="998">
        <f t="shared" si="21"/>
        <v>1370</v>
      </c>
      <c r="B1373" s="1004" t="s">
        <v>1165</v>
      </c>
      <c r="C1373" s="1000" t="s">
        <v>440</v>
      </c>
      <c r="D1373" s="932" t="str">
        <f>VLOOKUP($C1373,Table1[#All],2,0)</f>
        <v>BW NAM DINH VU</v>
      </c>
      <c r="E1373" s="932" t="s">
        <v>94</v>
      </c>
      <c r="F1373" s="998" t="s">
        <v>80</v>
      </c>
      <c r="G1373" s="932" t="s">
        <v>310</v>
      </c>
      <c r="H1373" s="932" t="str">
        <f>VLOOKUP($C1373,Table1[#All],3,0)</f>
        <v>Subsidiaries</v>
      </c>
      <c r="I1373" s="932" t="str" cm="1">
        <f t="array" ref="I1373">_xlfn.XLOOKUP(Acc_Char!$E1373,Table4[[#All],[Branch]],Table4[[#All],[Bank]],"recheck",0)</f>
        <v>BIDV - LONG BIEN</v>
      </c>
    </row>
    <row r="1374" spans="1:9">
      <c r="A1374" s="998">
        <f t="shared" si="21"/>
        <v>1371</v>
      </c>
      <c r="B1374" s="1004" t="s">
        <v>1166</v>
      </c>
      <c r="C1374" s="1000" t="s">
        <v>389</v>
      </c>
      <c r="D1374" s="932" t="str">
        <f>VLOOKUP($C1374,Table1[#All],2,0)</f>
        <v>BWID BINH DUONG</v>
      </c>
      <c r="E1374" s="932" t="s">
        <v>98</v>
      </c>
      <c r="F1374" s="998" t="s">
        <v>80</v>
      </c>
      <c r="G1374" s="932" t="s">
        <v>310</v>
      </c>
      <c r="H1374" s="932" t="str">
        <f>VLOOKUP($C1374,Table1[#All],3,0)</f>
        <v>BWID JSC</v>
      </c>
      <c r="I1374" s="932" t="str" cm="1">
        <f t="array" ref="I1374">_xlfn.XLOOKUP(Acc_Char!$E1374,Table4[[#All],[Branch]],Table4[[#All],[Bank]],"recheck",0)</f>
        <v>SINOPAC</v>
      </c>
    </row>
    <row r="1375" spans="1:9">
      <c r="A1375" s="998">
        <f t="shared" si="21"/>
        <v>1372</v>
      </c>
      <c r="B1375" s="1004" t="s">
        <v>1167</v>
      </c>
      <c r="C1375" s="1000" t="s">
        <v>3248</v>
      </c>
      <c r="D1375" s="932" t="str">
        <f>VLOOKUP($C1375,Table1[#All],2,0)</f>
        <v>WINLOCK 2A</v>
      </c>
      <c r="E1375" s="932" t="s">
        <v>85</v>
      </c>
      <c r="F1375" s="998" t="s">
        <v>80</v>
      </c>
      <c r="G1375" s="932" t="s">
        <v>310</v>
      </c>
      <c r="H1375" s="932" t="str">
        <f>VLOOKUP($C1375,Table1[#All],3,0)</f>
        <v>Subsidiaries</v>
      </c>
      <c r="I1375" s="932" t="str" cm="1">
        <f t="array" ref="I1375">_xlfn.XLOOKUP(Acc_Char!$E1375,Table4[[#All],[Branch]],Table4[[#All],[Bank]],"recheck",0)</f>
        <v>VIETINBANK - TIEN SON</v>
      </c>
    </row>
    <row r="1376" spans="1:9">
      <c r="A1376" s="998">
        <f t="shared" si="21"/>
        <v>1373</v>
      </c>
      <c r="B1376" s="1004" t="s">
        <v>1168</v>
      </c>
      <c r="C1376" s="1000" t="s">
        <v>3248</v>
      </c>
      <c r="D1376" s="932" t="str">
        <f>VLOOKUP($C1376,Table1[#All],2,0)</f>
        <v>WINLOCK 2A</v>
      </c>
      <c r="E1376" s="932" t="s">
        <v>85</v>
      </c>
      <c r="F1376" s="998" t="s">
        <v>80</v>
      </c>
      <c r="G1376" s="932" t="s">
        <v>310</v>
      </c>
      <c r="H1376" s="932" t="str">
        <f>VLOOKUP($C1376,Table1[#All],3,0)</f>
        <v>Subsidiaries</v>
      </c>
      <c r="I1376" s="932" t="str" cm="1">
        <f t="array" ref="I1376">_xlfn.XLOOKUP(Acc_Char!$E1376,Table4[[#All],[Branch]],Table4[[#All],[Bank]],"recheck",0)</f>
        <v>VIETINBANK - TIEN SON</v>
      </c>
    </row>
    <row r="1377" spans="1:10">
      <c r="A1377" s="998">
        <f t="shared" si="21"/>
        <v>1374</v>
      </c>
      <c r="B1377" s="1004" t="s">
        <v>1169</v>
      </c>
      <c r="C1377" s="1000" t="s">
        <v>3250</v>
      </c>
      <c r="D1377" s="932" t="str">
        <f>VLOOKUP($C1377,Table1[#All],2,0)</f>
        <v>BW MY PHUOC 3</v>
      </c>
      <c r="E1377" s="999" t="s">
        <v>153</v>
      </c>
      <c r="F1377" s="998" t="s">
        <v>80</v>
      </c>
      <c r="G1377" s="932" t="s">
        <v>310</v>
      </c>
      <c r="H1377" s="932" t="str">
        <f>VLOOKUP($C1377,Table1[#All],3,0)</f>
        <v>Subsidiaries</v>
      </c>
      <c r="I1377" s="932" t="str" cm="1">
        <f t="array" ref="I1377">_xlfn.XLOOKUP(Acc_Char!$E1377,Table4[[#All],[Branch]],Table4[[#All],[Bank]],"recheck",0)</f>
        <v>VIETINBANK - BINH DUONG + QM</v>
      </c>
    </row>
    <row r="1378" spans="1:10">
      <c r="A1378" s="998">
        <f t="shared" si="21"/>
        <v>1375</v>
      </c>
      <c r="B1378" s="1004" t="s">
        <v>1170</v>
      </c>
      <c r="C1378" s="1000" t="s">
        <v>3145</v>
      </c>
      <c r="D1378" s="932" t="str">
        <f>VLOOKUP($C1378,Table1[#All],2,0)</f>
        <v>BAU BANG 3</v>
      </c>
      <c r="E1378" s="932" t="s">
        <v>803</v>
      </c>
      <c r="F1378" s="998" t="s">
        <v>80</v>
      </c>
      <c r="G1378" s="932" t="s">
        <v>308</v>
      </c>
      <c r="H1378" s="932" t="str">
        <f>VLOOKUP($C1378,Table1[#All],3,0)</f>
        <v>Subsidiaries</v>
      </c>
      <c r="I1378" s="932" t="str" cm="1">
        <f t="array" ref="I1378">_xlfn.XLOOKUP(Acc_Char!$E1378,Table4[[#All],[Branch]],Table4[[#All],[Bank]],"recheck",0)</f>
        <v>UOB</v>
      </c>
    </row>
    <row r="1379" spans="1:10">
      <c r="A1379" s="998">
        <f t="shared" si="21"/>
        <v>1376</v>
      </c>
      <c r="B1379" s="1004" t="s">
        <v>1171</v>
      </c>
      <c r="C1379" s="1000" t="s">
        <v>2888</v>
      </c>
      <c r="D1379" s="932" t="str">
        <f>VLOOKUP($C1379,Table1[#All],2,0)</f>
        <v>BWID HAI DUONG</v>
      </c>
      <c r="E1379" s="932" t="s">
        <v>85</v>
      </c>
      <c r="F1379" s="998" t="s">
        <v>80</v>
      </c>
      <c r="G1379" s="932" t="s">
        <v>310</v>
      </c>
      <c r="H1379" s="932" t="str">
        <f>VLOOKUP($C1379,Table1[#All],3,0)</f>
        <v>Subsidiaries</v>
      </c>
      <c r="I1379" s="932" t="str" cm="1">
        <f t="array" ref="I1379">_xlfn.XLOOKUP(Acc_Char!$E1379,Table4[[#All],[Branch]],Table4[[#All],[Bank]],"recheck",0)</f>
        <v>VIETINBANK - TIEN SON</v>
      </c>
    </row>
    <row r="1380" spans="1:10">
      <c r="A1380" s="998">
        <f t="shared" si="21"/>
        <v>1377</v>
      </c>
      <c r="B1380" s="1004" t="s">
        <v>1172</v>
      </c>
      <c r="C1380" s="1000" t="s">
        <v>67</v>
      </c>
      <c r="D1380" s="932" t="str">
        <f>VLOOKUP($C1380,Table1[#All],2,0)</f>
        <v>SAO HOA</v>
      </c>
      <c r="E1380" s="932" t="s">
        <v>191</v>
      </c>
      <c r="F1380" s="998" t="s">
        <v>80</v>
      </c>
      <c r="G1380" s="932" t="s">
        <v>310</v>
      </c>
      <c r="H1380" s="932" t="str">
        <f>VLOOKUP($C1380,Table1[#All],3,0)</f>
        <v>VC3</v>
      </c>
      <c r="I1380" s="932" t="str" cm="1">
        <f t="array" ref="I1380">_xlfn.XLOOKUP(Acc_Char!$E1380,Table4[[#All],[Branch]],Table4[[#All],[Bank]],"recheck",0)</f>
        <v>VIETINBANK - TPHCM</v>
      </c>
    </row>
    <row r="1381" spans="1:10">
      <c r="A1381" s="998">
        <f t="shared" si="21"/>
        <v>1378</v>
      </c>
      <c r="B1381" s="1004" t="s">
        <v>1173</v>
      </c>
      <c r="C1381" s="1000" t="s">
        <v>3300</v>
      </c>
      <c r="D1381" s="932" t="str">
        <f>VLOOKUP($C1381,Table1[#All],2,0)</f>
        <v>SONG THAN 2</v>
      </c>
      <c r="E1381" s="932" t="s">
        <v>191</v>
      </c>
      <c r="F1381" s="998" t="s">
        <v>80</v>
      </c>
      <c r="G1381" s="932" t="s">
        <v>310</v>
      </c>
      <c r="H1381" s="932" t="str">
        <f>VLOOKUP($C1381,Table1[#All],3,0)</f>
        <v>Subsidiaries</v>
      </c>
      <c r="I1381" s="932" t="str" cm="1">
        <f t="array" ref="I1381">_xlfn.XLOOKUP(Acc_Char!$E1381,Table4[[#All],[Branch]],Table4[[#All],[Bank]],"recheck",0)</f>
        <v>VIETINBANK - TPHCM</v>
      </c>
    </row>
    <row r="1382" spans="1:10">
      <c r="A1382" s="998">
        <f t="shared" si="21"/>
        <v>1379</v>
      </c>
      <c r="B1382" s="1004" t="s">
        <v>1174</v>
      </c>
      <c r="C1382" s="1000" t="s">
        <v>436</v>
      </c>
      <c r="D1382" s="932" t="str">
        <f>VLOOKUP($C1382,Table1[#All],2,0)</f>
        <v>BW NAM HAI</v>
      </c>
      <c r="E1382" s="932" t="s">
        <v>89</v>
      </c>
      <c r="F1382" s="998" t="s">
        <v>80</v>
      </c>
      <c r="G1382" s="932" t="s">
        <v>310</v>
      </c>
      <c r="H1382" s="932" t="str">
        <f>VLOOKUP($C1382,Table1[#All],3,0)</f>
        <v>Subsidiaries</v>
      </c>
      <c r="I1382" s="932" t="str" cm="1">
        <f t="array" ref="I1382">_xlfn.XLOOKUP(Acc_Char!$E1382,Table4[[#All],[Branch]],Table4[[#All],[Bank]],"recheck",0)</f>
        <v>VIETCOMBANK - BA DINH</v>
      </c>
    </row>
    <row r="1383" spans="1:10">
      <c r="A1383" s="998">
        <f t="shared" si="21"/>
        <v>1380</v>
      </c>
      <c r="B1383" s="1004" t="s">
        <v>1175</v>
      </c>
      <c r="C1383" s="1000" t="s">
        <v>436</v>
      </c>
      <c r="D1383" s="932" t="str">
        <f>VLOOKUP($C1383,Table1[#All],2,0)</f>
        <v>BW NAM HAI</v>
      </c>
      <c r="E1383" s="932" t="s">
        <v>89</v>
      </c>
      <c r="F1383" s="998" t="s">
        <v>80</v>
      </c>
      <c r="G1383" s="932" t="s">
        <v>310</v>
      </c>
      <c r="H1383" s="932" t="str">
        <f>VLOOKUP($C1383,Table1[#All],3,0)</f>
        <v>Subsidiaries</v>
      </c>
      <c r="I1383" s="932" t="str" cm="1">
        <f t="array" ref="I1383">_xlfn.XLOOKUP(Acc_Char!$E1383,Table4[[#All],[Branch]],Table4[[#All],[Bank]],"recheck",0)</f>
        <v>VIETCOMBANK - BA DINH</v>
      </c>
    </row>
    <row r="1384" spans="1:10">
      <c r="A1384" s="998">
        <f t="shared" si="21"/>
        <v>1381</v>
      </c>
      <c r="B1384" s="1004" t="s">
        <v>1176</v>
      </c>
      <c r="C1384" s="1000" t="s">
        <v>436</v>
      </c>
      <c r="D1384" s="932" t="str">
        <f>VLOOKUP($C1384,Table1[#All],2,0)</f>
        <v>BW NAM HAI</v>
      </c>
      <c r="E1384" s="932" t="s">
        <v>89</v>
      </c>
      <c r="F1384" s="998" t="s">
        <v>80</v>
      </c>
      <c r="G1384" s="932" t="s">
        <v>310</v>
      </c>
      <c r="H1384" s="932" t="str">
        <f>VLOOKUP($C1384,Table1[#All],3,0)</f>
        <v>Subsidiaries</v>
      </c>
      <c r="I1384" s="932" t="str" cm="1">
        <f t="array" ref="I1384">_xlfn.XLOOKUP(Acc_Char!$E1384,Table4[[#All],[Branch]],Table4[[#All],[Bank]],"recheck",0)</f>
        <v>VIETCOMBANK - BA DINH</v>
      </c>
      <c r="J1384" t="s">
        <v>466</v>
      </c>
    </row>
    <row r="1385" spans="1:10">
      <c r="A1385" s="998">
        <f t="shared" si="21"/>
        <v>1382</v>
      </c>
      <c r="B1385" s="1004" t="s">
        <v>1177</v>
      </c>
      <c r="C1385" s="1000" t="s">
        <v>389</v>
      </c>
      <c r="D1385" s="932" t="str">
        <f>VLOOKUP($C1385,Table1[#All],2,0)</f>
        <v>BWID BINH DUONG</v>
      </c>
      <c r="E1385" s="932" t="s">
        <v>153</v>
      </c>
      <c r="F1385" s="998" t="s">
        <v>80</v>
      </c>
      <c r="G1385" s="932" t="s">
        <v>310</v>
      </c>
      <c r="H1385" s="932" t="str">
        <f>VLOOKUP($C1385,Table1[#All],3,0)</f>
        <v>BWID JSC</v>
      </c>
      <c r="I1385" s="932" t="str" cm="1">
        <f t="array" ref="I1385">_xlfn.XLOOKUP(Acc_Char!$E1385,Table4[[#All],[Branch]],Table4[[#All],[Bank]],"recheck",0)</f>
        <v>VIETINBANK - BINH DUONG + QM</v>
      </c>
    </row>
    <row r="1386" spans="1:10">
      <c r="A1386" s="998">
        <f t="shared" si="21"/>
        <v>1383</v>
      </c>
      <c r="B1386" s="1004" t="s">
        <v>1178</v>
      </c>
      <c r="C1386" s="1000" t="s">
        <v>2968</v>
      </c>
      <c r="D1386" s="932" t="str">
        <f>VLOOKUP($C1386,Table1[#All],2,0)</f>
        <v>BCI JSC</v>
      </c>
      <c r="E1386" s="932" t="s">
        <v>85</v>
      </c>
      <c r="F1386" s="998" t="s">
        <v>80</v>
      </c>
      <c r="G1386" s="932" t="s">
        <v>310</v>
      </c>
      <c r="H1386" s="932" t="str">
        <f>VLOOKUP($C1386,Table1[#All],3,0)</f>
        <v>Subsidiaries</v>
      </c>
      <c r="I1386" s="932" t="str" cm="1">
        <f t="array" ref="I1386">_xlfn.XLOOKUP(Acc_Char!$E1386,Table4[[#All],[Branch]],Table4[[#All],[Bank]],"recheck",0)</f>
        <v>VIETINBANK - TIEN SON</v>
      </c>
    </row>
    <row r="1387" spans="1:10">
      <c r="A1387" s="998">
        <f t="shared" si="21"/>
        <v>1384</v>
      </c>
      <c r="B1387" s="1004" t="s">
        <v>1179</v>
      </c>
      <c r="C1387" s="1000" t="s">
        <v>2968</v>
      </c>
      <c r="D1387" s="932" t="str">
        <f>VLOOKUP($C1387,Table1[#All],2,0)</f>
        <v>BCI JSC</v>
      </c>
      <c r="E1387" s="932" t="s">
        <v>85</v>
      </c>
      <c r="F1387" s="998" t="s">
        <v>80</v>
      </c>
      <c r="G1387" s="932" t="s">
        <v>310</v>
      </c>
      <c r="H1387" s="932" t="str">
        <f>VLOOKUP($C1387,Table1[#All],3,0)</f>
        <v>Subsidiaries</v>
      </c>
      <c r="I1387" s="932" t="str" cm="1">
        <f t="array" ref="I1387">_xlfn.XLOOKUP(Acc_Char!$E1387,Table4[[#All],[Branch]],Table4[[#All],[Bank]],"recheck",0)</f>
        <v>VIETINBANK - TIEN SON</v>
      </c>
    </row>
    <row r="1388" spans="1:10">
      <c r="A1388" s="998">
        <f t="shared" si="21"/>
        <v>1385</v>
      </c>
      <c r="B1388" s="1004" t="s">
        <v>1180</v>
      </c>
      <c r="C1388" s="1000" t="s">
        <v>3323</v>
      </c>
      <c r="D1388" s="932" t="str">
        <f>VLOOKUP($C1388,Table1[#All],2,0)</f>
        <v>TAN DONG HIEP B ELECTRON</v>
      </c>
      <c r="E1388" s="932" t="s">
        <v>191</v>
      </c>
      <c r="F1388" s="998" t="s">
        <v>80</v>
      </c>
      <c r="G1388" s="932" t="s">
        <v>310</v>
      </c>
      <c r="H1388" s="932" t="str">
        <f>VLOOKUP($C1388,Table1[#All],3,0)</f>
        <v>Subsidiaries</v>
      </c>
      <c r="I1388" s="932" t="str" cm="1">
        <f t="array" ref="I1388">_xlfn.XLOOKUP(Acc_Char!$E1388,Table4[[#All],[Branch]],Table4[[#All],[Bank]],"recheck",0)</f>
        <v>VIETINBANK - TPHCM</v>
      </c>
    </row>
    <row r="1389" spans="1:10">
      <c r="A1389" s="998">
        <f t="shared" si="21"/>
        <v>1386</v>
      </c>
      <c r="B1389" s="1004" t="s">
        <v>1181</v>
      </c>
      <c r="C1389" s="1000" t="s">
        <v>3237</v>
      </c>
      <c r="D1389" s="932" t="str">
        <f>VLOOKUP($C1389,Table1[#All],2,0)</f>
        <v>LONG BINH</v>
      </c>
      <c r="E1389" s="932" t="s">
        <v>86</v>
      </c>
      <c r="F1389" s="998" t="s">
        <v>80</v>
      </c>
      <c r="G1389" s="932" t="s">
        <v>310</v>
      </c>
      <c r="H1389" s="932" t="str">
        <f>VLOOKUP($C1389,Table1[#All],3,0)</f>
        <v>Subsidiaries</v>
      </c>
      <c r="I1389" s="932" t="str" cm="1">
        <f t="array" ref="I1389">_xlfn.XLOOKUP(Acc_Char!$E1389,Table4[[#All],[Branch]],Table4[[#All],[Bank]],"recheck",0)</f>
        <v>VIETINBANK - CN1</v>
      </c>
    </row>
    <row r="1390" spans="1:10">
      <c r="A1390" s="998">
        <f t="shared" si="21"/>
        <v>1387</v>
      </c>
      <c r="B1390" s="1004" t="s">
        <v>1182</v>
      </c>
      <c r="C1390" s="1000" t="s">
        <v>2888</v>
      </c>
      <c r="D1390" s="932" t="str">
        <f>VLOOKUP($C1390,Table1[#All],2,0)</f>
        <v>BWID HAI DUONG</v>
      </c>
      <c r="E1390" s="932" t="s">
        <v>85</v>
      </c>
      <c r="F1390" s="998" t="s">
        <v>80</v>
      </c>
      <c r="G1390" s="932" t="s">
        <v>310</v>
      </c>
      <c r="H1390" s="932" t="str">
        <f>VLOOKUP($C1390,Table1[#All],3,0)</f>
        <v>Subsidiaries</v>
      </c>
      <c r="I1390" s="932" t="str" cm="1">
        <f t="array" ref="I1390">_xlfn.XLOOKUP(Acc_Char!$E1390,Table4[[#All],[Branch]],Table4[[#All],[Bank]],"recheck",0)</f>
        <v>VIETINBANK - TIEN SON</v>
      </c>
    </row>
    <row r="1391" spans="1:10">
      <c r="A1391" s="998">
        <f t="shared" si="21"/>
        <v>1388</v>
      </c>
      <c r="B1391" s="1004" t="s">
        <v>1183</v>
      </c>
      <c r="C1391" s="1000" t="s">
        <v>2888</v>
      </c>
      <c r="D1391" s="932" t="str">
        <f>VLOOKUP($C1391,Table1[#All],2,0)</f>
        <v>BWID HAI DUONG</v>
      </c>
      <c r="E1391" s="999" t="s">
        <v>85</v>
      </c>
      <c r="F1391" s="998" t="s">
        <v>80</v>
      </c>
      <c r="G1391" s="932" t="s">
        <v>310</v>
      </c>
      <c r="H1391" s="932" t="str">
        <f>VLOOKUP($C1391,Table1[#All],3,0)</f>
        <v>Subsidiaries</v>
      </c>
      <c r="I1391" s="932" t="str" cm="1">
        <f t="array" ref="I1391">_xlfn.XLOOKUP(Acc_Char!$E1391,Table4[[#All],[Branch]],Table4[[#All],[Bank]],"recheck",0)</f>
        <v>VIETINBANK - TIEN SON</v>
      </c>
    </row>
    <row r="1392" spans="1:10">
      <c r="A1392" s="998">
        <f t="shared" si="21"/>
        <v>1389</v>
      </c>
      <c r="B1392" s="1004" t="s">
        <v>1184</v>
      </c>
      <c r="C1392" s="1000" t="s">
        <v>3052</v>
      </c>
      <c r="D1392" s="932" t="str">
        <f>VLOOKUP($C1392,Table1[#All],2,0)</f>
        <v>GREAT KINGDOM NT 2</v>
      </c>
      <c r="E1392" s="932" t="s">
        <v>86</v>
      </c>
      <c r="F1392" s="998" t="s">
        <v>80</v>
      </c>
      <c r="G1392" s="932" t="s">
        <v>310</v>
      </c>
      <c r="H1392" s="932" t="str">
        <f>VLOOKUP($C1392,Table1[#All],3,0)</f>
        <v>Subsidiaries</v>
      </c>
      <c r="I1392" s="932" t="str" cm="1">
        <f t="array" ref="I1392">_xlfn.XLOOKUP(Acc_Char!$E1392,Table4[[#All],[Branch]],Table4[[#All],[Bank]],"recheck",0)</f>
        <v>VIETINBANK - CN1</v>
      </c>
    </row>
    <row r="1393" spans="1:9">
      <c r="A1393" s="998">
        <f t="shared" si="21"/>
        <v>1390</v>
      </c>
      <c r="B1393" s="1004" t="s">
        <v>1185</v>
      </c>
      <c r="C1393" s="1000" t="s">
        <v>414</v>
      </c>
      <c r="D1393" s="932" t="str">
        <f>VLOOKUP($C1393,Table1[#All],2,0)</f>
        <v>DEEP C 2B</v>
      </c>
      <c r="E1393" s="932" t="s">
        <v>191</v>
      </c>
      <c r="F1393" s="998" t="s">
        <v>80</v>
      </c>
      <c r="G1393" s="932" t="s">
        <v>310</v>
      </c>
      <c r="H1393" s="932" t="str">
        <f>VLOOKUP($C1393,Table1[#All],3,0)</f>
        <v>Subsidiaries</v>
      </c>
      <c r="I1393" s="932" t="str" cm="1">
        <f t="array" ref="I1393">_xlfn.XLOOKUP(Acc_Char!$E1393,Table4[[#All],[Branch]],Table4[[#All],[Bank]],"recheck",0)</f>
        <v>VIETINBANK - TPHCM</v>
      </c>
    </row>
    <row r="1394" spans="1:9">
      <c r="A1394" s="998">
        <f t="shared" si="21"/>
        <v>1391</v>
      </c>
      <c r="B1394" s="1004" t="s">
        <v>1186</v>
      </c>
      <c r="C1394" s="1000" t="s">
        <v>432</v>
      </c>
      <c r="D1394" s="932" t="str">
        <f>VLOOKUP($C1394,Table1[#All],2,0)</f>
        <v>BWID BAC NINH</v>
      </c>
      <c r="E1394" s="932" t="s">
        <v>85</v>
      </c>
      <c r="F1394" s="998" t="s">
        <v>80</v>
      </c>
      <c r="G1394" s="932" t="s">
        <v>310</v>
      </c>
      <c r="H1394" s="932" t="str">
        <f>VLOOKUP($C1394,Table1[#All],3,0)</f>
        <v>Subsidiaries</v>
      </c>
      <c r="I1394" s="932" t="str" cm="1">
        <f t="array" ref="I1394">_xlfn.XLOOKUP(Acc_Char!$E1394,Table4[[#All],[Branch]],Table4[[#All],[Bank]],"recheck",0)</f>
        <v>VIETINBANK - TIEN SON</v>
      </c>
    </row>
    <row r="1395" spans="1:9">
      <c r="A1395" s="998">
        <f t="shared" si="21"/>
        <v>1392</v>
      </c>
      <c r="B1395" s="1004" t="s">
        <v>1187</v>
      </c>
      <c r="C1395" s="1000" t="s">
        <v>432</v>
      </c>
      <c r="D1395" s="932" t="str">
        <f>VLOOKUP($C1395,Table1[#All],2,0)</f>
        <v>BWID BAC NINH</v>
      </c>
      <c r="E1395" s="932" t="s">
        <v>85</v>
      </c>
      <c r="F1395" s="998" t="s">
        <v>80</v>
      </c>
      <c r="G1395" s="932" t="s">
        <v>310</v>
      </c>
      <c r="H1395" s="932" t="str">
        <f>VLOOKUP($C1395,Table1[#All],3,0)</f>
        <v>Subsidiaries</v>
      </c>
      <c r="I1395" s="932" t="str" cm="1">
        <f t="array" ref="I1395">_xlfn.XLOOKUP(Acc_Char!$E1395,Table4[[#All],[Branch]],Table4[[#All],[Bank]],"recheck",0)</f>
        <v>VIETINBANK - TIEN SON</v>
      </c>
    </row>
    <row r="1396" spans="1:9">
      <c r="A1396" s="998">
        <f t="shared" si="21"/>
        <v>1393</v>
      </c>
      <c r="B1396" s="1004" t="s">
        <v>1188</v>
      </c>
      <c r="C1396" s="1000" t="s">
        <v>2895</v>
      </c>
      <c r="D1396" s="932" t="str">
        <f>VLOOKUP($C1396,Table1[#All],2,0)</f>
        <v>BWID HAI DUONG 2</v>
      </c>
      <c r="E1396" s="932" t="s">
        <v>85</v>
      </c>
      <c r="F1396" s="998" t="s">
        <v>80</v>
      </c>
      <c r="G1396" s="932" t="s">
        <v>310</v>
      </c>
      <c r="H1396" s="932" t="str">
        <f>VLOOKUP($C1396,Table1[#All],3,0)</f>
        <v>Subsidiaries</v>
      </c>
      <c r="I1396" s="932" t="str" cm="1">
        <f t="array" ref="I1396">_xlfn.XLOOKUP(Acc_Char!$E1396,Table4[[#All],[Branch]],Table4[[#All],[Bank]],"recheck",0)</f>
        <v>VIETINBANK - TIEN SON</v>
      </c>
    </row>
    <row r="1397" spans="1:9">
      <c r="A1397" s="998">
        <f t="shared" si="21"/>
        <v>1394</v>
      </c>
      <c r="B1397" s="1004" t="s">
        <v>1189</v>
      </c>
      <c r="C1397" s="1000" t="s">
        <v>3160</v>
      </c>
      <c r="D1397" s="932" t="str">
        <f>VLOOKUP($C1397,Table1[#All],2,0)</f>
        <v>BWID Tan Phu Trung</v>
      </c>
      <c r="E1397" s="932" t="s">
        <v>85</v>
      </c>
      <c r="F1397" s="998" t="s">
        <v>80</v>
      </c>
      <c r="G1397" s="932" t="s">
        <v>310</v>
      </c>
      <c r="H1397" s="932" t="str">
        <f>VLOOKUP($C1397,Table1[#All],3,0)</f>
        <v>Subsidiaries</v>
      </c>
      <c r="I1397" s="932" t="str" cm="1">
        <f t="array" ref="I1397">_xlfn.XLOOKUP(Acc_Char!$E1397,Table4[[#All],[Branch]],Table4[[#All],[Bank]],"recheck",0)</f>
        <v>VIETINBANK - TIEN SON</v>
      </c>
    </row>
    <row r="1398" spans="1:9">
      <c r="A1398" s="998">
        <f t="shared" si="21"/>
        <v>1395</v>
      </c>
      <c r="B1398" s="1004" t="s">
        <v>1190</v>
      </c>
      <c r="C1398" s="1000" t="s">
        <v>430</v>
      </c>
      <c r="D1398" s="932" t="str">
        <f>VLOOKUP($C1398,Table1[#All],2,0)</f>
        <v>KIM TRUC DN</v>
      </c>
      <c r="E1398" s="932" t="s">
        <v>93</v>
      </c>
      <c r="F1398" s="998" t="s">
        <v>80</v>
      </c>
      <c r="G1398" s="932" t="s">
        <v>310</v>
      </c>
      <c r="H1398" s="932" t="str">
        <f>VLOOKUP($C1398,Table1[#All],3,0)</f>
        <v>Subsidiaries</v>
      </c>
      <c r="I1398" s="932" t="str" cm="1">
        <f t="array" ref="I1398">_xlfn.XLOOKUP(Acc_Char!$E1398,Table4[[#All],[Branch]],Table4[[#All],[Bank]],"recheck",0)</f>
        <v>BIDV - NAM SAI GON</v>
      </c>
    </row>
    <row r="1399" spans="1:9">
      <c r="A1399" s="998">
        <f t="shared" si="21"/>
        <v>1396</v>
      </c>
      <c r="B1399" s="1004" t="s">
        <v>1191</v>
      </c>
      <c r="C1399" s="1000" t="s">
        <v>440</v>
      </c>
      <c r="D1399" s="932" t="str">
        <f>VLOOKUP($C1399,Table1[#All],2,0)</f>
        <v>BW NAM DINH VU</v>
      </c>
      <c r="E1399" s="999" t="s">
        <v>94</v>
      </c>
      <c r="F1399" s="998" t="s">
        <v>80</v>
      </c>
      <c r="G1399" s="932" t="s">
        <v>310</v>
      </c>
      <c r="H1399" s="932" t="str">
        <f>VLOOKUP($C1399,Table1[#All],3,0)</f>
        <v>Subsidiaries</v>
      </c>
      <c r="I1399" s="932" t="str" cm="1">
        <f t="array" ref="I1399">_xlfn.XLOOKUP(Acc_Char!$E1399,Table4[[#All],[Branch]],Table4[[#All],[Bank]],"recheck",0)</f>
        <v>BIDV - LONG BIEN</v>
      </c>
    </row>
    <row r="1400" spans="1:9">
      <c r="A1400" s="998">
        <f t="shared" si="21"/>
        <v>1397</v>
      </c>
      <c r="B1400" s="1004" t="s">
        <v>3831</v>
      </c>
      <c r="C1400" s="1000" t="s">
        <v>3175</v>
      </c>
      <c r="D1400" s="932" t="str">
        <f>VLOOKUP($C1400,Table1[#All],2,0)</f>
        <v>BW HAI AN</v>
      </c>
      <c r="E1400" s="932" t="s">
        <v>92</v>
      </c>
      <c r="F1400" s="998" t="s">
        <v>80</v>
      </c>
      <c r="G1400" s="932" t="s">
        <v>310</v>
      </c>
      <c r="H1400" s="932" t="str">
        <f>VLOOKUP($C1400,Table1[#All],3,0)</f>
        <v>Subsidiaries</v>
      </c>
      <c r="I1400" s="932" t="str" cm="1">
        <f t="array" ref="I1400">_xlfn.XLOOKUP(Acc_Char!$E1400,Table4[[#All],[Branch]],Table4[[#All],[Bank]],"recheck",0)</f>
        <v>BIDV - THANH XUAN</v>
      </c>
    </row>
    <row r="1401" spans="1:9">
      <c r="A1401" s="998">
        <f t="shared" si="21"/>
        <v>1398</v>
      </c>
      <c r="B1401" s="1004" t="s">
        <v>3832</v>
      </c>
      <c r="C1401" s="1000" t="s">
        <v>3175</v>
      </c>
      <c r="D1401" s="932" t="str">
        <f>VLOOKUP($C1401,Table1[#All],2,0)</f>
        <v>BW HAI AN</v>
      </c>
      <c r="E1401" s="932" t="s">
        <v>92</v>
      </c>
      <c r="F1401" s="998" t="s">
        <v>80</v>
      </c>
      <c r="G1401" s="932" t="s">
        <v>310</v>
      </c>
      <c r="H1401" s="932" t="str">
        <f>VLOOKUP($C1401,Table1[#All],3,0)</f>
        <v>Subsidiaries</v>
      </c>
      <c r="I1401" s="932" t="str" cm="1">
        <f t="array" ref="I1401">_xlfn.XLOOKUP(Acc_Char!$E1401,Table4[[#All],[Branch]],Table4[[#All],[Bank]],"recheck",0)</f>
        <v>BIDV - THANH XUAN</v>
      </c>
    </row>
    <row r="1402" spans="1:9">
      <c r="A1402" s="998">
        <f t="shared" si="21"/>
        <v>1399</v>
      </c>
      <c r="B1402" s="1004" t="s">
        <v>1192</v>
      </c>
      <c r="C1402" s="1000" t="s">
        <v>2915</v>
      </c>
      <c r="D1402" s="932" t="str">
        <f>VLOOKUP($C1402,Table1[#All],2,0)</f>
        <v>BW DINH VU</v>
      </c>
      <c r="E1402" s="932" t="s">
        <v>92</v>
      </c>
      <c r="F1402" s="998" t="s">
        <v>80</v>
      </c>
      <c r="G1402" s="932" t="s">
        <v>310</v>
      </c>
      <c r="H1402" s="932" t="str">
        <f>VLOOKUP($C1402,Table1[#All],3,0)</f>
        <v>Subsidiaries</v>
      </c>
      <c r="I1402" s="932" t="str" cm="1">
        <f t="array" ref="I1402">_xlfn.XLOOKUP(Acc_Char!$E1402,Table4[[#All],[Branch]],Table4[[#All],[Bank]],"recheck",0)</f>
        <v>BIDV - THANH XUAN</v>
      </c>
    </row>
    <row r="1403" spans="1:9">
      <c r="A1403" s="998">
        <f t="shared" si="21"/>
        <v>1400</v>
      </c>
      <c r="B1403" s="1004" t="s">
        <v>1193</v>
      </c>
      <c r="C1403" s="1000" t="s">
        <v>3280</v>
      </c>
      <c r="D1403" s="932" t="str">
        <f>VLOOKUP($C1403,Table1[#All],2,0)</f>
        <v>BAC TIEN PHONG</v>
      </c>
      <c r="E1403" s="932" t="s">
        <v>92</v>
      </c>
      <c r="F1403" s="998" t="s">
        <v>80</v>
      </c>
      <c r="G1403" s="932" t="s">
        <v>310</v>
      </c>
      <c r="H1403" s="932" t="str">
        <f>VLOOKUP($C1403,Table1[#All],3,0)</f>
        <v>Subsidiaries</v>
      </c>
      <c r="I1403" s="932" t="str" cm="1">
        <f t="array" ref="I1403">_xlfn.XLOOKUP(Acc_Char!$E1403,Table4[[#All],[Branch]],Table4[[#All],[Bank]],"recheck",0)</f>
        <v>BIDV - THANH XUAN</v>
      </c>
    </row>
    <row r="1404" spans="1:9">
      <c r="A1404" s="998">
        <f t="shared" si="21"/>
        <v>1401</v>
      </c>
      <c r="B1404" s="1004" t="s">
        <v>1194</v>
      </c>
      <c r="C1404" s="1000" t="s">
        <v>3280</v>
      </c>
      <c r="D1404" s="932" t="str">
        <f>VLOOKUP($C1404,Table1[#All],2,0)</f>
        <v>BAC TIEN PHONG</v>
      </c>
      <c r="E1404" s="932" t="s">
        <v>92</v>
      </c>
      <c r="F1404" s="998" t="s">
        <v>80</v>
      </c>
      <c r="G1404" s="932" t="s">
        <v>310</v>
      </c>
      <c r="H1404" s="932" t="str">
        <f>VLOOKUP($C1404,Table1[#All],3,0)</f>
        <v>Subsidiaries</v>
      </c>
      <c r="I1404" s="932" t="str" cm="1">
        <f t="array" ref="I1404">_xlfn.XLOOKUP(Acc_Char!$E1404,Table4[[#All],[Branch]],Table4[[#All],[Bank]],"recheck",0)</f>
        <v>BIDV - THANH XUAN</v>
      </c>
    </row>
    <row r="1405" spans="1:9">
      <c r="A1405" s="998">
        <f t="shared" si="21"/>
        <v>1402</v>
      </c>
      <c r="B1405" s="1004" t="s">
        <v>1195</v>
      </c>
      <c r="C1405" s="1000" t="s">
        <v>3280</v>
      </c>
      <c r="D1405" s="932" t="str">
        <f>VLOOKUP($C1405,Table1[#All],2,0)</f>
        <v>BAC TIEN PHONG</v>
      </c>
      <c r="E1405" s="932" t="s">
        <v>92</v>
      </c>
      <c r="F1405" s="998" t="s">
        <v>80</v>
      </c>
      <c r="G1405" s="932" t="s">
        <v>310</v>
      </c>
      <c r="H1405" s="932" t="str">
        <f>VLOOKUP($C1405,Table1[#All],3,0)</f>
        <v>Subsidiaries</v>
      </c>
      <c r="I1405" s="932" t="str" cm="1">
        <f t="array" ref="I1405">_xlfn.XLOOKUP(Acc_Char!$E1405,Table4[[#All],[Branch]],Table4[[#All],[Bank]],"recheck",0)</f>
        <v>BIDV - THANH XUAN</v>
      </c>
    </row>
    <row r="1406" spans="1:9">
      <c r="A1406" s="998">
        <f t="shared" si="21"/>
        <v>1403</v>
      </c>
      <c r="B1406" s="1004" t="s">
        <v>3833</v>
      </c>
      <c r="C1406" s="1000" t="s">
        <v>3268</v>
      </c>
      <c r="D1406" s="932" t="str">
        <f>VLOOKUP($C1406,Table1[#All],2,0)</f>
        <v>BW DONG HAI</v>
      </c>
      <c r="E1406" s="932" t="s">
        <v>92</v>
      </c>
      <c r="F1406" s="998" t="s">
        <v>80</v>
      </c>
      <c r="G1406" s="932" t="s">
        <v>310</v>
      </c>
      <c r="H1406" s="932" t="str">
        <f>VLOOKUP($C1406,Table1[#All],3,0)</f>
        <v>Subsidiaries</v>
      </c>
      <c r="I1406" s="932" t="str" cm="1">
        <f t="array" ref="I1406">_xlfn.XLOOKUP(Acc_Char!$E1406,Table4[[#All],[Branch]],Table4[[#All],[Bank]],"recheck",0)</f>
        <v>BIDV - THANH XUAN</v>
      </c>
    </row>
    <row r="1407" spans="1:9">
      <c r="A1407" s="998">
        <f t="shared" si="21"/>
        <v>1404</v>
      </c>
      <c r="B1407" s="1004" t="s">
        <v>1196</v>
      </c>
      <c r="C1407" s="1000" t="s">
        <v>2974</v>
      </c>
      <c r="D1407" s="932" t="str">
        <f>VLOOKUP($C1407,Table1[#All],2,0)</f>
        <v>BWID HAI DUONG 3</v>
      </c>
      <c r="E1407" s="932" t="s">
        <v>92</v>
      </c>
      <c r="F1407" s="998" t="s">
        <v>80</v>
      </c>
      <c r="G1407" s="932" t="s">
        <v>310</v>
      </c>
      <c r="H1407" s="932" t="str">
        <f>VLOOKUP($C1407,Table1[#All],3,0)</f>
        <v>Subsidiaries</v>
      </c>
      <c r="I1407" s="932" t="str" cm="1">
        <f t="array" ref="I1407">_xlfn.XLOOKUP(Acc_Char!$E1407,Table4[[#All],[Branch]],Table4[[#All],[Bank]],"recheck",0)</f>
        <v>BIDV - THANH XUAN</v>
      </c>
    </row>
    <row r="1408" spans="1:9">
      <c r="A1408" s="998">
        <f t="shared" si="21"/>
        <v>1405</v>
      </c>
      <c r="B1408" s="1004" t="s">
        <v>1197</v>
      </c>
      <c r="C1408" s="1000" t="s">
        <v>2974</v>
      </c>
      <c r="D1408" s="932" t="str">
        <f>VLOOKUP($C1408,Table1[#All],2,0)</f>
        <v>BWID HAI DUONG 3</v>
      </c>
      <c r="E1408" s="932" t="s">
        <v>92</v>
      </c>
      <c r="F1408" s="998" t="s">
        <v>80</v>
      </c>
      <c r="G1408" s="932" t="s">
        <v>310</v>
      </c>
      <c r="H1408" s="932" t="str">
        <f>VLOOKUP($C1408,Table1[#All],3,0)</f>
        <v>Subsidiaries</v>
      </c>
      <c r="I1408" s="932" t="str" cm="1">
        <f t="array" ref="I1408">_xlfn.XLOOKUP(Acc_Char!$E1408,Table4[[#All],[Branch]],Table4[[#All],[Bank]],"recheck",0)</f>
        <v>BIDV - THANH XUAN</v>
      </c>
    </row>
    <row r="1409" spans="1:9">
      <c r="A1409" s="998">
        <f t="shared" si="21"/>
        <v>1406</v>
      </c>
      <c r="B1409" s="1004" t="s">
        <v>1198</v>
      </c>
      <c r="C1409" s="1000" t="s">
        <v>2974</v>
      </c>
      <c r="D1409" s="932" t="str">
        <f>VLOOKUP($C1409,Table1[#All],2,0)</f>
        <v>BWID HAI DUONG 3</v>
      </c>
      <c r="E1409" s="932" t="s">
        <v>92</v>
      </c>
      <c r="F1409" s="998" t="s">
        <v>80</v>
      </c>
      <c r="G1409" s="932" t="s">
        <v>310</v>
      </c>
      <c r="H1409" s="932" t="str">
        <f>VLOOKUP($C1409,Table1[#All],3,0)</f>
        <v>Subsidiaries</v>
      </c>
      <c r="I1409" s="932" t="str" cm="1">
        <f t="array" ref="I1409">_xlfn.XLOOKUP(Acc_Char!$E1409,Table4[[#All],[Branch]],Table4[[#All],[Bank]],"recheck",0)</f>
        <v>BIDV - THANH XUAN</v>
      </c>
    </row>
    <row r="1410" spans="1:9">
      <c r="A1410" s="998">
        <f t="shared" si="21"/>
        <v>1407</v>
      </c>
      <c r="B1410" s="1004" t="s">
        <v>1199</v>
      </c>
      <c r="C1410" s="1000" t="s">
        <v>3277</v>
      </c>
      <c r="D1410" s="932" t="str">
        <f>VLOOKUP($C1410,Table1[#All],2,0)</f>
        <v>THUAN THANH 3B</v>
      </c>
      <c r="E1410" s="932" t="s">
        <v>89</v>
      </c>
      <c r="F1410" s="998" t="s">
        <v>80</v>
      </c>
      <c r="G1410" s="932" t="s">
        <v>310</v>
      </c>
      <c r="H1410" s="932" t="str">
        <f>VLOOKUP($C1410,Table1[#All],3,0)</f>
        <v>Subsidiaries</v>
      </c>
      <c r="I1410" s="932" t="str" cm="1">
        <f t="array" ref="I1410">_xlfn.XLOOKUP(Acc_Char!$E1410,Table4[[#All],[Branch]],Table4[[#All],[Bank]],"recheck",0)</f>
        <v>VIETCOMBANK - BA DINH</v>
      </c>
    </row>
    <row r="1411" spans="1:9">
      <c r="A1411" s="998">
        <f t="shared" si="21"/>
        <v>1408</v>
      </c>
      <c r="B1411" s="1004" t="s">
        <v>1200</v>
      </c>
      <c r="C1411" s="1000" t="s">
        <v>3277</v>
      </c>
      <c r="D1411" s="932" t="str">
        <f>VLOOKUP($C1411,Table1[#All],2,0)</f>
        <v>THUAN THANH 3B</v>
      </c>
      <c r="E1411" s="932" t="s">
        <v>89</v>
      </c>
      <c r="F1411" s="998" t="s">
        <v>80</v>
      </c>
      <c r="G1411" s="932" t="s">
        <v>310</v>
      </c>
      <c r="H1411" s="932" t="str">
        <f>VLOOKUP($C1411,Table1[#All],3,0)</f>
        <v>Subsidiaries</v>
      </c>
      <c r="I1411" s="932" t="str" cm="1">
        <f t="array" ref="I1411">_xlfn.XLOOKUP(Acc_Char!$E1411,Table4[[#All],[Branch]],Table4[[#All],[Bank]],"recheck",0)</f>
        <v>VIETCOMBANK - BA DINH</v>
      </c>
    </row>
    <row r="1412" spans="1:9">
      <c r="A1412" s="998">
        <f t="shared" si="21"/>
        <v>1409</v>
      </c>
      <c r="B1412" s="1004" t="s">
        <v>1201</v>
      </c>
      <c r="C1412" s="1000" t="s">
        <v>3277</v>
      </c>
      <c r="D1412" s="932" t="str">
        <f>VLOOKUP($C1412,Table1[#All],2,0)</f>
        <v>THUAN THANH 3B</v>
      </c>
      <c r="E1412" s="932" t="s">
        <v>89</v>
      </c>
      <c r="F1412" s="998" t="s">
        <v>80</v>
      </c>
      <c r="G1412" s="932" t="s">
        <v>310</v>
      </c>
      <c r="H1412" s="932" t="str">
        <f>VLOOKUP($C1412,Table1[#All],3,0)</f>
        <v>Subsidiaries</v>
      </c>
      <c r="I1412" s="932" t="str" cm="1">
        <f t="array" ref="I1412">_xlfn.XLOOKUP(Acc_Char!$E1412,Table4[[#All],[Branch]],Table4[[#All],[Bank]],"recheck",0)</f>
        <v>VIETCOMBANK - BA DINH</v>
      </c>
    </row>
    <row r="1413" spans="1:9">
      <c r="A1413" s="998">
        <f t="shared" ref="A1413:A1476" si="22">A1412+1</f>
        <v>1410</v>
      </c>
      <c r="B1413" s="1004" t="s">
        <v>1202</v>
      </c>
      <c r="C1413" s="1000" t="s">
        <v>3277</v>
      </c>
      <c r="D1413" s="932" t="str">
        <f>VLOOKUP($C1413,Table1[#All],2,0)</f>
        <v>THUAN THANH 3B</v>
      </c>
      <c r="E1413" s="932" t="s">
        <v>89</v>
      </c>
      <c r="F1413" s="998" t="s">
        <v>80</v>
      </c>
      <c r="G1413" s="932" t="s">
        <v>310</v>
      </c>
      <c r="H1413" s="932" t="str">
        <f>VLOOKUP($C1413,Table1[#All],3,0)</f>
        <v>Subsidiaries</v>
      </c>
      <c r="I1413" s="932" t="str" cm="1">
        <f t="array" ref="I1413">_xlfn.XLOOKUP(Acc_Char!$E1413,Table4[[#All],[Branch]],Table4[[#All],[Bank]],"recheck",0)</f>
        <v>VIETCOMBANK - BA DINH</v>
      </c>
    </row>
    <row r="1414" spans="1:9">
      <c r="A1414" s="998">
        <f t="shared" si="22"/>
        <v>1411</v>
      </c>
      <c r="B1414" s="1004" t="s">
        <v>1203</v>
      </c>
      <c r="C1414" s="1000" t="s">
        <v>2980</v>
      </c>
      <c r="D1414" s="932" t="str">
        <f>VLOOKUP($C1414,Table1[#All],2,0)</f>
        <v>BWID THOI HOA</v>
      </c>
      <c r="E1414" s="932" t="s">
        <v>95</v>
      </c>
      <c r="F1414" s="998" t="s">
        <v>80</v>
      </c>
      <c r="G1414" s="932" t="s">
        <v>310</v>
      </c>
      <c r="H1414" s="932" t="str">
        <f>VLOOKUP($C1414,Table1[#All],3,0)</f>
        <v>Subsidiaries</v>
      </c>
      <c r="I1414" s="932" t="str" cm="1">
        <f t="array" ref="I1414">_xlfn.XLOOKUP(Acc_Char!$E1414,Table4[[#All],[Branch]],Table4[[#All],[Bank]],"recheck",0)</f>
        <v>OCB - BINH DUONG</v>
      </c>
    </row>
    <row r="1415" spans="1:9">
      <c r="A1415" s="998">
        <f t="shared" si="22"/>
        <v>1412</v>
      </c>
      <c r="B1415" s="1004" t="s">
        <v>1204</v>
      </c>
      <c r="C1415" s="1000" t="s">
        <v>2980</v>
      </c>
      <c r="D1415" s="932" t="str">
        <f>VLOOKUP($C1415,Table1[#All],2,0)</f>
        <v>BWID THOI HOA</v>
      </c>
      <c r="E1415" s="932" t="s">
        <v>95</v>
      </c>
      <c r="F1415" s="998" t="s">
        <v>80</v>
      </c>
      <c r="G1415" s="932" t="s">
        <v>310</v>
      </c>
      <c r="H1415" s="932" t="str">
        <f>VLOOKUP($C1415,Table1[#All],3,0)</f>
        <v>Subsidiaries</v>
      </c>
      <c r="I1415" s="932" t="str" cm="1">
        <f t="array" ref="I1415">_xlfn.XLOOKUP(Acc_Char!$E1415,Table4[[#All],[Branch]],Table4[[#All],[Bank]],"recheck",0)</f>
        <v>OCB - BINH DUONG</v>
      </c>
    </row>
    <row r="1416" spans="1:9">
      <c r="A1416" s="998">
        <f t="shared" si="22"/>
        <v>1413</v>
      </c>
      <c r="B1416" s="1004" t="s">
        <v>1205</v>
      </c>
      <c r="C1416" s="1000" t="s">
        <v>3026</v>
      </c>
      <c r="D1416" s="932" t="str">
        <f>VLOOKUP($C1416,Table1[#All],2,0)</f>
        <v>BW SAI GON</v>
      </c>
      <c r="E1416" s="932" t="s">
        <v>98</v>
      </c>
      <c r="F1416" s="998" t="s">
        <v>80</v>
      </c>
      <c r="G1416" s="932" t="s">
        <v>310</v>
      </c>
      <c r="H1416" s="932" t="str">
        <f>VLOOKUP($C1416,Table1[#All],3,0)</f>
        <v>Subsidiaries</v>
      </c>
      <c r="I1416" s="932" t="str" cm="1">
        <f t="array" ref="I1416">_xlfn.XLOOKUP(Acc_Char!$E1416,Table4[[#All],[Branch]],Table4[[#All],[Bank]],"recheck",0)</f>
        <v>SINOPAC</v>
      </c>
    </row>
    <row r="1417" spans="1:9">
      <c r="A1417" s="998">
        <f t="shared" si="22"/>
        <v>1414</v>
      </c>
      <c r="B1417" s="1004" t="s">
        <v>1206</v>
      </c>
      <c r="C1417" s="1000" t="s">
        <v>2998</v>
      </c>
      <c r="D1417" s="932" t="str">
        <f>VLOOKUP($C1417,Table1[#All],2,0)</f>
        <v>BWID THOI HOA 2</v>
      </c>
      <c r="E1417" s="932" t="s">
        <v>971</v>
      </c>
      <c r="F1417" s="998" t="s">
        <v>80</v>
      </c>
      <c r="G1417" s="932" t="s">
        <v>310</v>
      </c>
      <c r="H1417" s="932" t="str">
        <f>VLOOKUP($C1417,Table1[#All],3,0)</f>
        <v>Subsidiaries</v>
      </c>
      <c r="I1417" s="932" t="str" cm="1">
        <f t="array" ref="I1417">_xlfn.XLOOKUP(Acc_Char!$E1417,Table4[[#All],[Branch]],Table4[[#All],[Bank]],"recheck",0)</f>
        <v>OTHERS</v>
      </c>
    </row>
    <row r="1418" spans="1:9">
      <c r="A1418" s="998">
        <f t="shared" si="22"/>
        <v>1415</v>
      </c>
      <c r="B1418" s="1004" t="s">
        <v>1207</v>
      </c>
      <c r="C1418" s="1000" t="s">
        <v>3072</v>
      </c>
      <c r="D1418" s="932" t="str">
        <f>VLOOKUP($C1418,Table1[#All],2,0)</f>
        <v>BWID TAN DONG HIEP</v>
      </c>
      <c r="E1418" s="932" t="s">
        <v>98</v>
      </c>
      <c r="F1418" s="998" t="s">
        <v>80</v>
      </c>
      <c r="G1418" s="932" t="s">
        <v>311</v>
      </c>
      <c r="H1418" s="932" t="str">
        <f>VLOOKUP($C1418,Table1[#All],3,0)</f>
        <v>Subsidiaries</v>
      </c>
      <c r="I1418" s="932" t="str" cm="1">
        <f t="array" ref="I1418">_xlfn.XLOOKUP(Acc_Char!$E1418,Table4[[#All],[Branch]],Table4[[#All],[Bank]],"recheck",0)</f>
        <v>SINOPAC</v>
      </c>
    </row>
    <row r="1419" spans="1:9">
      <c r="A1419" s="998">
        <f t="shared" si="22"/>
        <v>1416</v>
      </c>
      <c r="B1419" s="1004" t="s">
        <v>1208</v>
      </c>
      <c r="C1419" s="1000" t="s">
        <v>645</v>
      </c>
      <c r="D1419" s="932" t="str">
        <f>VLOOKUP($C1419,Table1[#All],2,0)</f>
        <v>SPV5B</v>
      </c>
      <c r="E1419" s="932" t="s">
        <v>85</v>
      </c>
      <c r="F1419" s="998" t="s">
        <v>80</v>
      </c>
      <c r="G1419" s="932" t="s">
        <v>310</v>
      </c>
      <c r="H1419" s="932" t="str">
        <f>VLOOKUP($C1419,Table1[#All],3,0)</f>
        <v>Subsidiaries</v>
      </c>
      <c r="I1419" s="932" t="str" cm="1">
        <f t="array" ref="I1419">_xlfn.XLOOKUP(Acc_Char!$E1419,Table4[[#All],[Branch]],Table4[[#All],[Bank]],"recheck",0)</f>
        <v>VIETINBANK - TIEN SON</v>
      </c>
    </row>
    <row r="1420" spans="1:9">
      <c r="A1420" s="998">
        <f t="shared" si="22"/>
        <v>1417</v>
      </c>
      <c r="B1420" s="1004" t="s">
        <v>1209</v>
      </c>
      <c r="C1420" s="1000" t="s">
        <v>3237</v>
      </c>
      <c r="D1420" s="932" t="str">
        <f>VLOOKUP($C1420,Table1[#All],2,0)</f>
        <v>LONG BINH</v>
      </c>
      <c r="E1420" s="932" t="s">
        <v>86</v>
      </c>
      <c r="F1420" s="998" t="s">
        <v>80</v>
      </c>
      <c r="G1420" s="932" t="s">
        <v>310</v>
      </c>
      <c r="H1420" s="932" t="str">
        <f>VLOOKUP($C1420,Table1[#All],3,0)</f>
        <v>Subsidiaries</v>
      </c>
      <c r="I1420" s="932" t="str" cm="1">
        <f t="array" ref="I1420">_xlfn.XLOOKUP(Acc_Char!$E1420,Table4[[#All],[Branch]],Table4[[#All],[Bank]],"recheck",0)</f>
        <v>VIETINBANK - CN1</v>
      </c>
    </row>
    <row r="1421" spans="1:9">
      <c r="A1421" s="998">
        <f t="shared" si="22"/>
        <v>1418</v>
      </c>
      <c r="B1421" s="1004" t="s">
        <v>1210</v>
      </c>
      <c r="C1421" s="1000" t="s">
        <v>3052</v>
      </c>
      <c r="D1421" s="932" t="str">
        <f>VLOOKUP($C1421,Table1[#All],2,0)</f>
        <v>GREAT KINGDOM NT 2</v>
      </c>
      <c r="E1421" s="932" t="s">
        <v>86</v>
      </c>
      <c r="F1421" s="998" t="s">
        <v>80</v>
      </c>
      <c r="G1421" s="932" t="s">
        <v>310</v>
      </c>
      <c r="H1421" s="932" t="str">
        <f>VLOOKUP($C1421,Table1[#All],3,0)</f>
        <v>Subsidiaries</v>
      </c>
      <c r="I1421" s="932" t="str" cm="1">
        <f t="array" ref="I1421">_xlfn.XLOOKUP(Acc_Char!$E1421,Table4[[#All],[Branch]],Table4[[#All],[Bank]],"recheck",0)</f>
        <v>VIETINBANK - CN1</v>
      </c>
    </row>
    <row r="1422" spans="1:9">
      <c r="A1422" s="998">
        <f t="shared" si="22"/>
        <v>1419</v>
      </c>
      <c r="B1422" s="1004" t="s">
        <v>1211</v>
      </c>
      <c r="C1422" s="1000" t="s">
        <v>3300</v>
      </c>
      <c r="D1422" s="932" t="str">
        <f>VLOOKUP($C1422,Table1[#All],2,0)</f>
        <v>SONG THAN 2</v>
      </c>
      <c r="E1422" s="932" t="s">
        <v>191</v>
      </c>
      <c r="F1422" s="998" t="s">
        <v>80</v>
      </c>
      <c r="G1422" s="932" t="s">
        <v>310</v>
      </c>
      <c r="H1422" s="932" t="str">
        <f>VLOOKUP($C1422,Table1[#All],3,0)</f>
        <v>Subsidiaries</v>
      </c>
      <c r="I1422" s="932" t="str" cm="1">
        <f t="array" ref="I1422">_xlfn.XLOOKUP(Acc_Char!$E1422,Table4[[#All],[Branch]],Table4[[#All],[Bank]],"recheck",0)</f>
        <v>VIETINBANK - TPHCM</v>
      </c>
    </row>
    <row r="1423" spans="1:9">
      <c r="A1423" s="998">
        <f t="shared" si="22"/>
        <v>1420</v>
      </c>
      <c r="B1423" s="1004" t="s">
        <v>1212</v>
      </c>
      <c r="C1423" s="1000" t="s">
        <v>3300</v>
      </c>
      <c r="D1423" s="932" t="str">
        <f>VLOOKUP($C1423,Table1[#All],2,0)</f>
        <v>SONG THAN 2</v>
      </c>
      <c r="E1423" s="932" t="s">
        <v>191</v>
      </c>
      <c r="F1423" s="998" t="s">
        <v>80</v>
      </c>
      <c r="G1423" s="932" t="s">
        <v>310</v>
      </c>
      <c r="H1423" s="932" t="str">
        <f>VLOOKUP($C1423,Table1[#All],3,0)</f>
        <v>Subsidiaries</v>
      </c>
      <c r="I1423" s="932" t="str" cm="1">
        <f t="array" ref="I1423">_xlfn.XLOOKUP(Acc_Char!$E1423,Table4[[#All],[Branch]],Table4[[#All],[Bank]],"recheck",0)</f>
        <v>VIETINBANK - TPHCM</v>
      </c>
    </row>
    <row r="1424" spans="1:9">
      <c r="A1424" s="998">
        <f t="shared" si="22"/>
        <v>1421</v>
      </c>
      <c r="B1424" s="1004" t="s">
        <v>1213</v>
      </c>
      <c r="C1424" s="1000" t="s">
        <v>3160</v>
      </c>
      <c r="D1424" s="932" t="str">
        <f>VLOOKUP($C1424,Table1[#All],2,0)</f>
        <v>BWID Tan Phu Trung</v>
      </c>
      <c r="E1424" s="932" t="s">
        <v>85</v>
      </c>
      <c r="F1424" s="998" t="s">
        <v>80</v>
      </c>
      <c r="G1424" s="932" t="s">
        <v>310</v>
      </c>
      <c r="H1424" s="932" t="str">
        <f>VLOOKUP($C1424,Table1[#All],3,0)</f>
        <v>Subsidiaries</v>
      </c>
      <c r="I1424" s="932" t="str" cm="1">
        <f t="array" ref="I1424">_xlfn.XLOOKUP(Acc_Char!$E1424,Table4[[#All],[Branch]],Table4[[#All],[Bank]],"recheck",0)</f>
        <v>VIETINBANK - TIEN SON</v>
      </c>
    </row>
    <row r="1425" spans="1:9">
      <c r="A1425" s="998">
        <f t="shared" si="22"/>
        <v>1422</v>
      </c>
      <c r="B1425" s="1004" t="s">
        <v>1214</v>
      </c>
      <c r="C1425" s="1000" t="s">
        <v>3160</v>
      </c>
      <c r="D1425" s="932" t="str">
        <f>VLOOKUP($C1425,Table1[#All],2,0)</f>
        <v>BWID Tan Phu Trung</v>
      </c>
      <c r="E1425" s="932" t="s">
        <v>341</v>
      </c>
      <c r="F1425" s="998" t="s">
        <v>80</v>
      </c>
      <c r="G1425" s="932" t="s">
        <v>308</v>
      </c>
      <c r="H1425" s="932" t="str">
        <f>VLOOKUP($C1425,Table1[#All],3,0)</f>
        <v>Subsidiaries</v>
      </c>
      <c r="I1425" s="932" t="str" cm="1">
        <f t="array" ref="I1425">_xlfn.XLOOKUP(Acc_Char!$E1425,Table4[[#All],[Branch]],Table4[[#All],[Bank]],"recheck",0)</f>
        <v>KEB Hana - HCM</v>
      </c>
    </row>
    <row r="1426" spans="1:9">
      <c r="A1426" s="998">
        <f t="shared" si="22"/>
        <v>1423</v>
      </c>
      <c r="B1426" s="1004" t="s">
        <v>1215</v>
      </c>
      <c r="C1426" s="1000" t="s">
        <v>3160</v>
      </c>
      <c r="D1426" s="932" t="str">
        <f>VLOOKUP($C1426,Table1[#All],2,0)</f>
        <v>BWID Tan Phu Trung</v>
      </c>
      <c r="E1426" s="932" t="s">
        <v>341</v>
      </c>
      <c r="F1426" s="998" t="s">
        <v>80</v>
      </c>
      <c r="G1426" s="932" t="s">
        <v>310</v>
      </c>
      <c r="H1426" s="932" t="str">
        <f>VLOOKUP($C1426,Table1[#All],3,0)</f>
        <v>Subsidiaries</v>
      </c>
      <c r="I1426" s="932" t="str" cm="1">
        <f t="array" ref="I1426">_xlfn.XLOOKUP(Acc_Char!$E1426,Table4[[#All],[Branch]],Table4[[#All],[Bank]],"recheck",0)</f>
        <v>KEB Hana - HCM</v>
      </c>
    </row>
    <row r="1427" spans="1:9">
      <c r="A1427" s="998">
        <f t="shared" si="22"/>
        <v>1424</v>
      </c>
      <c r="B1427" s="1004" t="s">
        <v>3834</v>
      </c>
      <c r="C1427" s="1000" t="s">
        <v>3199</v>
      </c>
      <c r="D1427" s="932" t="str">
        <f>VLOOKUP($C1427,Table1[#All],2,0)</f>
        <v>VINA PARTNERS INVESTMENT</v>
      </c>
      <c r="E1427" s="932" t="s">
        <v>86</v>
      </c>
      <c r="F1427" s="998" t="s">
        <v>80</v>
      </c>
      <c r="G1427" s="932" t="s">
        <v>310</v>
      </c>
      <c r="H1427" s="932" t="str">
        <f>VLOOKUP($C1427,Table1[#All],3,0)</f>
        <v>Subsidiaries</v>
      </c>
      <c r="I1427" s="932" t="str" cm="1">
        <f t="array" ref="I1427">_xlfn.XLOOKUP(Acc_Char!$E1427,Table4[[#All],[Branch]],Table4[[#All],[Bank]],"recheck",0)</f>
        <v>VIETINBANK - CN1</v>
      </c>
    </row>
    <row r="1428" spans="1:9">
      <c r="A1428" s="998">
        <f t="shared" si="22"/>
        <v>1425</v>
      </c>
      <c r="B1428" s="1004" t="s">
        <v>1216</v>
      </c>
      <c r="C1428" s="1000" t="s">
        <v>2974</v>
      </c>
      <c r="D1428" s="932" t="str">
        <f>VLOOKUP($C1428,Table1[#All],2,0)</f>
        <v>BWID HAI DUONG 3</v>
      </c>
      <c r="E1428" s="932" t="s">
        <v>92</v>
      </c>
      <c r="F1428" s="998" t="s">
        <v>80</v>
      </c>
      <c r="G1428" s="932" t="s">
        <v>310</v>
      </c>
      <c r="H1428" s="932" t="str">
        <f>VLOOKUP($C1428,Table1[#All],3,0)</f>
        <v>Subsidiaries</v>
      </c>
      <c r="I1428" s="932" t="str" cm="1">
        <f t="array" ref="I1428">_xlfn.XLOOKUP(Acc_Char!$E1428,Table4[[#All],[Branch]],Table4[[#All],[Bank]],"recheck",0)</f>
        <v>BIDV - THANH XUAN</v>
      </c>
    </row>
    <row r="1429" spans="1:9">
      <c r="A1429" s="998">
        <f t="shared" si="22"/>
        <v>1426</v>
      </c>
      <c r="B1429" s="1004" t="s">
        <v>1217</v>
      </c>
      <c r="C1429" s="1000" t="s">
        <v>3190</v>
      </c>
      <c r="D1429" s="932" t="str">
        <f>VLOOKUP($C1429,Table1[#All],2,0)</f>
        <v>NDV PROJECT CO</v>
      </c>
      <c r="E1429" s="932" t="s">
        <v>92</v>
      </c>
      <c r="F1429" s="998" t="s">
        <v>80</v>
      </c>
      <c r="G1429" s="932" t="s">
        <v>310</v>
      </c>
      <c r="H1429" s="932" t="str">
        <f>VLOOKUP($C1429,Table1[#All],3,0)</f>
        <v>Subsidiaries</v>
      </c>
      <c r="I1429" s="932" t="str" cm="1">
        <f t="array" ref="I1429">_xlfn.XLOOKUP(Acc_Char!$E1429,Table4[[#All],[Branch]],Table4[[#All],[Bank]],"recheck",0)</f>
        <v>BIDV - THANH XUAN</v>
      </c>
    </row>
    <row r="1430" spans="1:9">
      <c r="A1430" s="998">
        <f t="shared" si="22"/>
        <v>1427</v>
      </c>
      <c r="B1430" s="1004" t="s">
        <v>1218</v>
      </c>
      <c r="C1430" s="1000" t="s">
        <v>2969</v>
      </c>
      <c r="D1430" s="932" t="str">
        <f>VLOOKUP($C1430,Table1[#All],2,0)</f>
        <v>BWID NHON TRACH</v>
      </c>
      <c r="E1430" s="932" t="s">
        <v>91</v>
      </c>
      <c r="F1430" s="998" t="s">
        <v>80</v>
      </c>
      <c r="G1430" s="932" t="s">
        <v>310</v>
      </c>
      <c r="H1430" s="932" t="str">
        <f>VLOOKUP($C1430,Table1[#All],3,0)</f>
        <v>Subsidiaries</v>
      </c>
      <c r="I1430" s="932" t="str" cm="1">
        <f t="array" ref="I1430">_xlfn.XLOOKUP(Acc_Char!$E1430,Table4[[#All],[Branch]],Table4[[#All],[Bank]],"recheck",0)</f>
        <v>VIETCOMBANK - HCM</v>
      </c>
    </row>
    <row r="1431" spans="1:9">
      <c r="A1431" s="998">
        <f t="shared" si="22"/>
        <v>1428</v>
      </c>
      <c r="B1431" s="1004" t="s">
        <v>1219</v>
      </c>
      <c r="C1431" s="1000" t="s">
        <v>3010</v>
      </c>
      <c r="D1431" s="932" t="str">
        <f>VLOOKUP($C1431,Table1[#All],2,0)</f>
        <v>BWID LOGISTICS TAN UYEN</v>
      </c>
      <c r="E1431" s="932" t="s">
        <v>89</v>
      </c>
      <c r="F1431" s="998" t="s">
        <v>80</v>
      </c>
      <c r="G1431" s="932" t="s">
        <v>310</v>
      </c>
      <c r="H1431" s="932" t="str">
        <f>VLOOKUP($C1431,Table1[#All],3,0)</f>
        <v>Subsidiaries</v>
      </c>
      <c r="I1431" s="932" t="str" cm="1">
        <f t="array" ref="I1431">_xlfn.XLOOKUP(Acc_Char!$E1431,Table4[[#All],[Branch]],Table4[[#All],[Bank]],"recheck",0)</f>
        <v>VIETCOMBANK - BA DINH</v>
      </c>
    </row>
    <row r="1432" spans="1:9">
      <c r="A1432" s="998">
        <f t="shared" si="22"/>
        <v>1429</v>
      </c>
      <c r="B1432" s="1004" t="s">
        <v>1220</v>
      </c>
      <c r="C1432" s="1000" t="s">
        <v>436</v>
      </c>
      <c r="D1432" s="932" t="str">
        <f>VLOOKUP($C1432,Table1[#All],2,0)</f>
        <v>BW NAM HAI</v>
      </c>
      <c r="E1432" s="932" t="s">
        <v>89</v>
      </c>
      <c r="F1432" s="998" t="s">
        <v>80</v>
      </c>
      <c r="G1432" s="932" t="s">
        <v>310</v>
      </c>
      <c r="H1432" s="932" t="str">
        <f>VLOOKUP($C1432,Table1[#All],3,0)</f>
        <v>Subsidiaries</v>
      </c>
      <c r="I1432" s="932" t="str" cm="1">
        <f t="array" ref="I1432">_xlfn.XLOOKUP(Acc_Char!$E1432,Table4[[#All],[Branch]],Table4[[#All],[Bank]],"recheck",0)</f>
        <v>VIETCOMBANK - BA DINH</v>
      </c>
    </row>
    <row r="1433" spans="1:9">
      <c r="A1433" s="998">
        <f t="shared" si="22"/>
        <v>1430</v>
      </c>
      <c r="B1433" s="1004" t="s">
        <v>1221</v>
      </c>
      <c r="C1433" s="1000" t="s">
        <v>436</v>
      </c>
      <c r="D1433" s="932" t="str">
        <f>VLOOKUP($C1433,Table1[#All],2,0)</f>
        <v>BW NAM HAI</v>
      </c>
      <c r="E1433" s="932" t="s">
        <v>89</v>
      </c>
      <c r="F1433" s="998" t="s">
        <v>80</v>
      </c>
      <c r="G1433" s="932" t="s">
        <v>310</v>
      </c>
      <c r="H1433" s="932" t="str">
        <f>VLOOKUP($C1433,Table1[#All],3,0)</f>
        <v>Subsidiaries</v>
      </c>
      <c r="I1433" s="932" t="str" cm="1">
        <f t="array" ref="I1433">_xlfn.XLOOKUP(Acc_Char!$E1433,Table4[[#All],[Branch]],Table4[[#All],[Bank]],"recheck",0)</f>
        <v>VIETCOMBANK - BA DINH</v>
      </c>
    </row>
    <row r="1434" spans="1:9">
      <c r="A1434" s="998">
        <f t="shared" si="22"/>
        <v>1431</v>
      </c>
      <c r="B1434" s="1004" t="s">
        <v>1222</v>
      </c>
      <c r="C1434" s="1000" t="s">
        <v>3072</v>
      </c>
      <c r="D1434" s="932" t="str">
        <f>VLOOKUP($C1434,Table1[#All],2,0)</f>
        <v>BWID TAN DONG HIEP</v>
      </c>
      <c r="E1434" s="932" t="s">
        <v>98</v>
      </c>
      <c r="F1434" s="998" t="s">
        <v>80</v>
      </c>
      <c r="G1434" s="932" t="s">
        <v>310</v>
      </c>
      <c r="H1434" s="932" t="str">
        <f>VLOOKUP($C1434,Table1[#All],3,0)</f>
        <v>Subsidiaries</v>
      </c>
      <c r="I1434" s="932" t="str" cm="1">
        <f t="array" ref="I1434">_xlfn.XLOOKUP(Acc_Char!$E1434,Table4[[#All],[Branch]],Table4[[#All],[Bank]],"recheck",0)</f>
        <v>SINOPAC</v>
      </c>
    </row>
    <row r="1435" spans="1:9">
      <c r="A1435" s="998">
        <f t="shared" si="22"/>
        <v>1432</v>
      </c>
      <c r="B1435" s="1004" t="s">
        <v>1223</v>
      </c>
      <c r="C1435" s="1000" t="s">
        <v>389</v>
      </c>
      <c r="D1435" s="932" t="str">
        <f>VLOOKUP($C1435,Table1[#All],2,0)</f>
        <v>BWID BINH DUONG</v>
      </c>
      <c r="E1435" s="932" t="s">
        <v>98</v>
      </c>
      <c r="F1435" s="998" t="s">
        <v>80</v>
      </c>
      <c r="G1435" s="932" t="s">
        <v>310</v>
      </c>
      <c r="H1435" s="932" t="str">
        <f>VLOOKUP($C1435,Table1[#All],3,0)</f>
        <v>BWID JSC</v>
      </c>
      <c r="I1435" s="932" t="str" cm="1">
        <f t="array" ref="I1435">_xlfn.XLOOKUP(Acc_Char!$E1435,Table4[[#All],[Branch]],Table4[[#All],[Bank]],"recheck",0)</f>
        <v>SINOPAC</v>
      </c>
    </row>
    <row r="1436" spans="1:9">
      <c r="A1436" s="998">
        <f t="shared" si="22"/>
        <v>1433</v>
      </c>
      <c r="B1436" s="1004" t="s">
        <v>1224</v>
      </c>
      <c r="C1436" s="1000" t="s">
        <v>2998</v>
      </c>
      <c r="D1436" s="932" t="str">
        <f>VLOOKUP($C1436,Table1[#All],2,0)</f>
        <v>BWID THOI HOA 2</v>
      </c>
      <c r="E1436" s="932" t="s">
        <v>971</v>
      </c>
      <c r="F1436" s="998" t="s">
        <v>80</v>
      </c>
      <c r="G1436" s="932" t="s">
        <v>310</v>
      </c>
      <c r="H1436" s="932" t="str">
        <f>VLOOKUP($C1436,Table1[#All],3,0)</f>
        <v>Subsidiaries</v>
      </c>
      <c r="I1436" s="932" t="str" cm="1">
        <f t="array" ref="I1436">_xlfn.XLOOKUP(Acc_Char!$E1436,Table4[[#All],[Branch]],Table4[[#All],[Bank]],"recheck",0)</f>
        <v>OTHERS</v>
      </c>
    </row>
    <row r="1437" spans="1:9">
      <c r="A1437" s="998">
        <f t="shared" si="22"/>
        <v>1434</v>
      </c>
      <c r="B1437" s="1004" t="s">
        <v>1225</v>
      </c>
      <c r="C1437" s="1000" t="s">
        <v>2998</v>
      </c>
      <c r="D1437" s="932" t="str">
        <f>VLOOKUP($C1437,Table1[#All],2,0)</f>
        <v>BWID THOI HOA 2</v>
      </c>
      <c r="E1437" s="932" t="s">
        <v>971</v>
      </c>
      <c r="F1437" s="998" t="s">
        <v>80</v>
      </c>
      <c r="G1437" s="932" t="s">
        <v>310</v>
      </c>
      <c r="H1437" s="932" t="str">
        <f>VLOOKUP($C1437,Table1[#All],3,0)</f>
        <v>Subsidiaries</v>
      </c>
      <c r="I1437" s="932" t="str" cm="1">
        <f t="array" ref="I1437">_xlfn.XLOOKUP(Acc_Char!$E1437,Table4[[#All],[Branch]],Table4[[#All],[Bank]],"recheck",0)</f>
        <v>OTHERS</v>
      </c>
    </row>
    <row r="1438" spans="1:9">
      <c r="A1438" s="998">
        <f t="shared" si="22"/>
        <v>1435</v>
      </c>
      <c r="B1438" s="1004" t="s">
        <v>1227</v>
      </c>
      <c r="C1438" s="1000" t="s">
        <v>3835</v>
      </c>
      <c r="D1438" s="932" t="str">
        <f>VLOOKUP($C1438,Table1[#All],2,0)</f>
        <v>NASTEC JSC</v>
      </c>
      <c r="E1438" s="932" t="s">
        <v>85</v>
      </c>
      <c r="F1438" s="998" t="s">
        <v>80</v>
      </c>
      <c r="G1438" s="932" t="s">
        <v>308</v>
      </c>
      <c r="H1438" s="932" t="str">
        <f>VLOOKUP($C1438,Table1[#All],3,0)</f>
        <v>Subsidiaries</v>
      </c>
      <c r="I1438" s="932" t="str" cm="1">
        <f t="array" ref="I1438">_xlfn.XLOOKUP(Acc_Char!$E1438,Table4[[#All],[Branch]],Table4[[#All],[Bank]],"recheck",0)</f>
        <v>VIETINBANK - TIEN SON</v>
      </c>
    </row>
    <row r="1439" spans="1:9">
      <c r="A1439" s="998">
        <f t="shared" si="22"/>
        <v>1436</v>
      </c>
      <c r="B1439" s="1004" t="s">
        <v>3836</v>
      </c>
      <c r="C1439" s="1000" t="s">
        <v>3233</v>
      </c>
      <c r="D1439" s="932" t="str">
        <f>VLOOKUP($C1439,Table1[#All],2,0)</f>
        <v>BAU BANG 6</v>
      </c>
      <c r="E1439" s="932" t="s">
        <v>153</v>
      </c>
      <c r="F1439" s="998" t="s">
        <v>80</v>
      </c>
      <c r="G1439" s="932" t="s">
        <v>310</v>
      </c>
      <c r="H1439" s="932" t="str">
        <f>VLOOKUP($C1439,Table1[#All],3,0)</f>
        <v>Subsidiaries</v>
      </c>
      <c r="I1439" s="932" t="str" cm="1">
        <f t="array" ref="I1439">_xlfn.XLOOKUP(Acc_Char!$E1439,Table4[[#All],[Branch]],Table4[[#All],[Bank]],"recheck",0)</f>
        <v>VIETINBANK - BINH DUONG + QM</v>
      </c>
    </row>
    <row r="1440" spans="1:9">
      <c r="A1440" s="998">
        <f t="shared" si="22"/>
        <v>1437</v>
      </c>
      <c r="B1440" s="1004" t="s">
        <v>1228</v>
      </c>
      <c r="C1440" s="1000" t="s">
        <v>3052</v>
      </c>
      <c r="D1440" s="932" t="str">
        <f>VLOOKUP($C1440,Table1[#All],2,0)</f>
        <v>GREAT KINGDOM NT 2</v>
      </c>
      <c r="E1440" s="932" t="s">
        <v>86</v>
      </c>
      <c r="F1440" s="998" t="s">
        <v>80</v>
      </c>
      <c r="G1440" s="932" t="s">
        <v>310</v>
      </c>
      <c r="H1440" s="932" t="str">
        <f>VLOOKUP($C1440,Table1[#All],3,0)</f>
        <v>Subsidiaries</v>
      </c>
      <c r="I1440" s="932" t="str" cm="1">
        <f t="array" ref="I1440">_xlfn.XLOOKUP(Acc_Char!$E1440,Table4[[#All],[Branch]],Table4[[#All],[Bank]],"recheck",0)</f>
        <v>VIETINBANK - CN1</v>
      </c>
    </row>
    <row r="1441" spans="1:9">
      <c r="A1441" s="998">
        <f t="shared" si="22"/>
        <v>1438</v>
      </c>
      <c r="B1441" s="1004" t="s">
        <v>1229</v>
      </c>
      <c r="C1441" s="1000" t="s">
        <v>2974</v>
      </c>
      <c r="D1441" s="932" t="str">
        <f>VLOOKUP($C1441,Table1[#All],2,0)</f>
        <v>BWID HAI DUONG 3</v>
      </c>
      <c r="E1441" s="932" t="s">
        <v>92</v>
      </c>
      <c r="F1441" s="998" t="s">
        <v>80</v>
      </c>
      <c r="G1441" s="932" t="s">
        <v>310</v>
      </c>
      <c r="H1441" s="932" t="str">
        <f>VLOOKUP($C1441,Table1[#All],3,0)</f>
        <v>Subsidiaries</v>
      </c>
      <c r="I1441" s="932" t="str" cm="1">
        <f t="array" ref="I1441">_xlfn.XLOOKUP(Acc_Char!$E1441,Table4[[#All],[Branch]],Table4[[#All],[Bank]],"recheck",0)</f>
        <v>BIDV - THANH XUAN</v>
      </c>
    </row>
    <row r="1442" spans="1:9">
      <c r="A1442" s="998">
        <f t="shared" si="22"/>
        <v>1439</v>
      </c>
      <c r="B1442" s="1004" t="s">
        <v>1230</v>
      </c>
      <c r="C1442" s="1000" t="s">
        <v>2974</v>
      </c>
      <c r="D1442" s="932" t="str">
        <f>VLOOKUP($C1442,Table1[#All],2,0)</f>
        <v>BWID HAI DUONG 3</v>
      </c>
      <c r="E1442" s="932" t="s">
        <v>92</v>
      </c>
      <c r="F1442" s="998" t="s">
        <v>80</v>
      </c>
      <c r="G1442" s="932" t="s">
        <v>310</v>
      </c>
      <c r="H1442" s="932" t="str">
        <f>VLOOKUP($C1442,Table1[#All],3,0)</f>
        <v>Subsidiaries</v>
      </c>
      <c r="I1442" s="932" t="str" cm="1">
        <f t="array" ref="I1442">_xlfn.XLOOKUP(Acc_Char!$E1442,Table4[[#All],[Branch]],Table4[[#All],[Bank]],"recheck",0)</f>
        <v>BIDV - THANH XUAN</v>
      </c>
    </row>
    <row r="1443" spans="1:9">
      <c r="A1443" s="998">
        <f t="shared" si="22"/>
        <v>1440</v>
      </c>
      <c r="B1443" s="1004" t="s">
        <v>1231</v>
      </c>
      <c r="C1443" s="1000" t="s">
        <v>445</v>
      </c>
      <c r="D1443" s="932" t="str">
        <f>VLOOKUP($C1443,Table1[#All],2,0)</f>
        <v>BW PHU NGHIA</v>
      </c>
      <c r="E1443" s="932" t="s">
        <v>92</v>
      </c>
      <c r="F1443" s="998" t="s">
        <v>80</v>
      </c>
      <c r="G1443" s="932" t="s">
        <v>310</v>
      </c>
      <c r="H1443" s="932" t="str">
        <f>VLOOKUP($C1443,Table1[#All],3,0)</f>
        <v>Subsidiaries</v>
      </c>
      <c r="I1443" s="932" t="str" cm="1">
        <f t="array" ref="I1443">_xlfn.XLOOKUP(Acc_Char!$E1443,Table4[[#All],[Branch]],Table4[[#All],[Bank]],"recheck",0)</f>
        <v>BIDV - THANH XUAN</v>
      </c>
    </row>
    <row r="1444" spans="1:9">
      <c r="A1444" s="998">
        <f t="shared" si="22"/>
        <v>1441</v>
      </c>
      <c r="B1444" s="1004" t="s">
        <v>1232</v>
      </c>
      <c r="C1444" s="1000" t="s">
        <v>445</v>
      </c>
      <c r="D1444" s="932" t="str">
        <f>VLOOKUP($C1444,Table1[#All],2,0)</f>
        <v>BW PHU NGHIA</v>
      </c>
      <c r="E1444" s="932" t="s">
        <v>92</v>
      </c>
      <c r="F1444" s="998" t="s">
        <v>80</v>
      </c>
      <c r="G1444" s="932" t="s">
        <v>310</v>
      </c>
      <c r="H1444" s="932" t="str">
        <f>VLOOKUP($C1444,Table1[#All],3,0)</f>
        <v>Subsidiaries</v>
      </c>
      <c r="I1444" s="932" t="str" cm="1">
        <f t="array" ref="I1444">_xlfn.XLOOKUP(Acc_Char!$E1444,Table4[[#All],[Branch]],Table4[[#All],[Bank]],"recheck",0)</f>
        <v>BIDV - THANH XUAN</v>
      </c>
    </row>
    <row r="1445" spans="1:9">
      <c r="A1445" s="998">
        <f t="shared" si="22"/>
        <v>1442</v>
      </c>
      <c r="B1445" s="1004" t="s">
        <v>1233</v>
      </c>
      <c r="C1445" s="1000" t="s">
        <v>445</v>
      </c>
      <c r="D1445" s="932" t="str">
        <f>VLOOKUP($C1445,Table1[#All],2,0)</f>
        <v>BW PHU NGHIA</v>
      </c>
      <c r="E1445" s="932" t="s">
        <v>92</v>
      </c>
      <c r="F1445" s="998" t="s">
        <v>80</v>
      </c>
      <c r="G1445" s="932" t="s">
        <v>310</v>
      </c>
      <c r="H1445" s="932" t="str">
        <f>VLOOKUP($C1445,Table1[#All],3,0)</f>
        <v>Subsidiaries</v>
      </c>
      <c r="I1445" s="932" t="str" cm="1">
        <f t="array" ref="I1445">_xlfn.XLOOKUP(Acc_Char!$E1445,Table4[[#All],[Branch]],Table4[[#All],[Bank]],"recheck",0)</f>
        <v>BIDV - THANH XUAN</v>
      </c>
    </row>
    <row r="1446" spans="1:9">
      <c r="A1446" s="998">
        <f t="shared" si="22"/>
        <v>1443</v>
      </c>
      <c r="B1446" s="1004" t="s">
        <v>1234</v>
      </c>
      <c r="C1446" s="1000" t="s">
        <v>445</v>
      </c>
      <c r="D1446" s="932" t="str">
        <f>VLOOKUP($C1446,Table1[#All],2,0)</f>
        <v>BW PHU NGHIA</v>
      </c>
      <c r="E1446" s="932" t="s">
        <v>92</v>
      </c>
      <c r="F1446" s="998" t="s">
        <v>80</v>
      </c>
      <c r="G1446" s="932" t="s">
        <v>310</v>
      </c>
      <c r="H1446" s="932" t="str">
        <f>VLOOKUP($C1446,Table1[#All],3,0)</f>
        <v>Subsidiaries</v>
      </c>
      <c r="I1446" s="932" t="str" cm="1">
        <f t="array" ref="I1446">_xlfn.XLOOKUP(Acc_Char!$E1446,Table4[[#All],[Branch]],Table4[[#All],[Bank]],"recheck",0)</f>
        <v>BIDV - THANH XUAN</v>
      </c>
    </row>
    <row r="1447" spans="1:9">
      <c r="A1447" s="998">
        <f t="shared" si="22"/>
        <v>1444</v>
      </c>
      <c r="B1447" s="1004" t="s">
        <v>1235</v>
      </c>
      <c r="C1447" s="1000" t="s">
        <v>3047</v>
      </c>
      <c r="D1447" s="932" t="str">
        <f>VLOOKUP($C1447,Table1[#All],2,0)</f>
        <v>BW SAIGON LOGISTICS</v>
      </c>
      <c r="E1447" s="932" t="s">
        <v>91</v>
      </c>
      <c r="F1447" s="998" t="s">
        <v>80</v>
      </c>
      <c r="G1447" s="932" t="s">
        <v>310</v>
      </c>
      <c r="H1447" s="932" t="str">
        <f>VLOOKUP($C1447,Table1[#All],3,0)</f>
        <v>Subsidiaries</v>
      </c>
      <c r="I1447" s="932" t="str" cm="1">
        <f t="array" ref="I1447">_xlfn.XLOOKUP(Acc_Char!$E1447,Table4[[#All],[Branch]],Table4[[#All],[Bank]],"recheck",0)</f>
        <v>VIETCOMBANK - HCM</v>
      </c>
    </row>
    <row r="1448" spans="1:9">
      <c r="A1448" s="998">
        <f t="shared" si="22"/>
        <v>1445</v>
      </c>
      <c r="B1448" s="1004" t="s">
        <v>1236</v>
      </c>
      <c r="C1448" s="1000" t="s">
        <v>3072</v>
      </c>
      <c r="D1448" s="932" t="str">
        <f>VLOOKUP($C1448,Table1[#All],2,0)</f>
        <v>BWID TAN DONG HIEP</v>
      </c>
      <c r="E1448" s="932" t="s">
        <v>98</v>
      </c>
      <c r="F1448" s="998" t="s">
        <v>80</v>
      </c>
      <c r="G1448" s="932" t="s">
        <v>310</v>
      </c>
      <c r="H1448" s="932" t="str">
        <f>VLOOKUP($C1448,Table1[#All],3,0)</f>
        <v>Subsidiaries</v>
      </c>
      <c r="I1448" s="932" t="str" cm="1">
        <f t="array" ref="I1448">_xlfn.XLOOKUP(Acc_Char!$E1448,Table4[[#All],[Branch]],Table4[[#All],[Bank]],"recheck",0)</f>
        <v>SINOPAC</v>
      </c>
    </row>
    <row r="1449" spans="1:9">
      <c r="A1449" s="998">
        <f t="shared" si="22"/>
        <v>1446</v>
      </c>
      <c r="B1449" s="1004" t="s">
        <v>1237</v>
      </c>
      <c r="C1449" s="1000" t="s">
        <v>2998</v>
      </c>
      <c r="D1449" s="932" t="str">
        <f>VLOOKUP($C1449,Table1[#All],2,0)</f>
        <v>BWID THOI HOA 2</v>
      </c>
      <c r="E1449" s="932" t="s">
        <v>971</v>
      </c>
      <c r="F1449" s="998" t="s">
        <v>80</v>
      </c>
      <c r="G1449" s="932" t="s">
        <v>310</v>
      </c>
      <c r="H1449" s="932" t="str">
        <f>VLOOKUP($C1449,Table1[#All],3,0)</f>
        <v>Subsidiaries</v>
      </c>
      <c r="I1449" s="932" t="str" cm="1">
        <f t="array" ref="I1449">_xlfn.XLOOKUP(Acc_Char!$E1449,Table4[[#All],[Branch]],Table4[[#All],[Bank]],"recheck",0)</f>
        <v>OTHERS</v>
      </c>
    </row>
    <row r="1450" spans="1:9">
      <c r="A1450" s="998">
        <f t="shared" si="22"/>
        <v>1447</v>
      </c>
      <c r="B1450" s="1004" t="s">
        <v>3837</v>
      </c>
      <c r="C1450" s="1000" t="s">
        <v>3268</v>
      </c>
      <c r="D1450" s="932" t="str">
        <f>VLOOKUP($C1450,Table1[#All],2,0)</f>
        <v>BW DONG HAI</v>
      </c>
      <c r="E1450" s="932" t="s">
        <v>92</v>
      </c>
      <c r="F1450" s="998" t="s">
        <v>80</v>
      </c>
      <c r="G1450" s="932" t="s">
        <v>310</v>
      </c>
      <c r="H1450" s="932" t="str">
        <f>VLOOKUP($C1450,Table1[#All],3,0)</f>
        <v>Subsidiaries</v>
      </c>
      <c r="I1450" s="932" t="str" cm="1">
        <f t="array" ref="I1450">_xlfn.XLOOKUP(Acc_Char!$E1450,Table4[[#All],[Branch]],Table4[[#All],[Bank]],"recheck",0)</f>
        <v>BIDV - THANH XUAN</v>
      </c>
    </row>
    <row r="1451" spans="1:9">
      <c r="A1451" s="998">
        <f t="shared" si="22"/>
        <v>1448</v>
      </c>
      <c r="B1451" s="1004" t="s">
        <v>1238</v>
      </c>
      <c r="C1451" s="1000" t="s">
        <v>3237</v>
      </c>
      <c r="D1451" s="932" t="str">
        <f>VLOOKUP($C1451,Table1[#All],2,0)</f>
        <v>LONG BINH</v>
      </c>
      <c r="E1451" s="932" t="s">
        <v>86</v>
      </c>
      <c r="F1451" s="998" t="s">
        <v>80</v>
      </c>
      <c r="G1451" s="932" t="s">
        <v>310</v>
      </c>
      <c r="H1451" s="932" t="str">
        <f>VLOOKUP($C1451,Table1[#All],3,0)</f>
        <v>Subsidiaries</v>
      </c>
      <c r="I1451" s="932" t="str" cm="1">
        <f t="array" ref="I1451">_xlfn.XLOOKUP(Acc_Char!$E1451,Table4[[#All],[Branch]],Table4[[#All],[Bank]],"recheck",0)</f>
        <v>VIETINBANK - CN1</v>
      </c>
    </row>
    <row r="1452" spans="1:9">
      <c r="A1452" s="998">
        <f t="shared" si="22"/>
        <v>1449</v>
      </c>
      <c r="B1452" s="1004" t="s">
        <v>1239</v>
      </c>
      <c r="C1452" s="1000" t="s">
        <v>402</v>
      </c>
      <c r="D1452" s="932" t="str">
        <f>VLOOKUP($C1452,Table1[#All],2,0)</f>
        <v>BWID DONG AN LID</v>
      </c>
      <c r="E1452" s="932" t="s">
        <v>88</v>
      </c>
      <c r="F1452" s="998" t="s">
        <v>80</v>
      </c>
      <c r="G1452" s="932" t="s">
        <v>310</v>
      </c>
      <c r="H1452" s="932" t="str">
        <f>VLOOKUP($C1452,Table1[#All],3,0)</f>
        <v>Subsidiaries</v>
      </c>
      <c r="I1452" s="932" t="str" cm="1">
        <f t="array" ref="I1452">_xlfn.XLOOKUP(Acc_Char!$E1452,Table4[[#All],[Branch]],Table4[[#All],[Bank]],"recheck",0)</f>
        <v>VIETINBANK - DONG SAI GON</v>
      </c>
    </row>
    <row r="1453" spans="1:9">
      <c r="A1453" s="998">
        <f t="shared" si="22"/>
        <v>1450</v>
      </c>
      <c r="B1453" s="1004" t="s">
        <v>1240</v>
      </c>
      <c r="C1453" s="1000" t="s">
        <v>2968</v>
      </c>
      <c r="D1453" s="932" t="str">
        <f>VLOOKUP($C1453,Table1[#All],2,0)</f>
        <v>BCI JSC</v>
      </c>
      <c r="E1453" s="932" t="s">
        <v>85</v>
      </c>
      <c r="F1453" s="998" t="s">
        <v>80</v>
      </c>
      <c r="G1453" s="932" t="s">
        <v>310</v>
      </c>
      <c r="H1453" s="932" t="str">
        <f>VLOOKUP($C1453,Table1[#All],3,0)</f>
        <v>Subsidiaries</v>
      </c>
      <c r="I1453" s="932" t="str" cm="1">
        <f t="array" ref="I1453">_xlfn.XLOOKUP(Acc_Char!$E1453,Table4[[#All],[Branch]],Table4[[#All],[Bank]],"recheck",0)</f>
        <v>VIETINBANK - TIEN SON</v>
      </c>
    </row>
    <row r="1454" spans="1:9">
      <c r="A1454" s="998">
        <f t="shared" si="22"/>
        <v>1451</v>
      </c>
      <c r="B1454" s="1004" t="s">
        <v>1241</v>
      </c>
      <c r="C1454" s="1000" t="s">
        <v>389</v>
      </c>
      <c r="D1454" s="932" t="str">
        <f>VLOOKUP($C1454,Table1[#All],2,0)</f>
        <v>BWID BINH DUONG</v>
      </c>
      <c r="E1454" s="932" t="s">
        <v>153</v>
      </c>
      <c r="F1454" s="998" t="s">
        <v>80</v>
      </c>
      <c r="G1454" s="932" t="s">
        <v>310</v>
      </c>
      <c r="H1454" s="932" t="str">
        <f>VLOOKUP($C1454,Table1[#All],3,0)</f>
        <v>BWID JSC</v>
      </c>
      <c r="I1454" s="932" t="str" cm="1">
        <f t="array" ref="I1454">_xlfn.XLOOKUP(Acc_Char!$E1454,Table4[[#All],[Branch]],Table4[[#All],[Bank]],"recheck",0)</f>
        <v>VIETINBANK - BINH DUONG + QM</v>
      </c>
    </row>
    <row r="1455" spans="1:9">
      <c r="A1455" s="998">
        <f t="shared" si="22"/>
        <v>1452</v>
      </c>
      <c r="B1455" s="1004" t="s">
        <v>1242</v>
      </c>
      <c r="C1455" s="1000" t="s">
        <v>3160</v>
      </c>
      <c r="D1455" s="932" t="str">
        <f>VLOOKUP($C1455,Table1[#All],2,0)</f>
        <v>BWID Tan Phu Trung</v>
      </c>
      <c r="E1455" s="932" t="s">
        <v>85</v>
      </c>
      <c r="F1455" s="998" t="s">
        <v>80</v>
      </c>
      <c r="G1455" s="932" t="s">
        <v>310</v>
      </c>
      <c r="H1455" s="932" t="str">
        <f>VLOOKUP($C1455,Table1[#All],3,0)</f>
        <v>Subsidiaries</v>
      </c>
      <c r="I1455" s="932" t="str" cm="1">
        <f t="array" ref="I1455">_xlfn.XLOOKUP(Acc_Char!$E1455,Table4[[#All],[Branch]],Table4[[#All],[Bank]],"recheck",0)</f>
        <v>VIETINBANK - TIEN SON</v>
      </c>
    </row>
    <row r="1456" spans="1:9">
      <c r="A1456" s="998">
        <f t="shared" si="22"/>
        <v>1453</v>
      </c>
      <c r="B1456" s="1004" t="s">
        <v>1243</v>
      </c>
      <c r="C1456" s="1000" t="s">
        <v>67</v>
      </c>
      <c r="D1456" s="932" t="str">
        <f>VLOOKUP($C1456,Table1[#All],2,0)</f>
        <v>SAO HOA</v>
      </c>
      <c r="E1456" s="932" t="s">
        <v>91</v>
      </c>
      <c r="F1456" s="998" t="s">
        <v>80</v>
      </c>
      <c r="G1456" s="932" t="s">
        <v>310</v>
      </c>
      <c r="H1456" s="932" t="str">
        <f>VLOOKUP($C1456,Table1[#All],3,0)</f>
        <v>VC3</v>
      </c>
      <c r="I1456" s="932" t="str" cm="1">
        <f t="array" ref="I1456">_xlfn.XLOOKUP(Acc_Char!$E1456,Table4[[#All],[Branch]],Table4[[#All],[Bank]],"recheck",0)</f>
        <v>VIETCOMBANK - HCM</v>
      </c>
    </row>
    <row r="1457" spans="1:10">
      <c r="A1457" s="998">
        <f t="shared" si="22"/>
        <v>1454</v>
      </c>
      <c r="B1457" s="1004" t="s">
        <v>1244</v>
      </c>
      <c r="C1457" s="1000" t="s">
        <v>67</v>
      </c>
      <c r="D1457" s="932" t="str">
        <f>VLOOKUP($C1457,Table1[#All],2,0)</f>
        <v>SAO HOA</v>
      </c>
      <c r="E1457" s="932" t="s">
        <v>91</v>
      </c>
      <c r="F1457" s="998" t="s">
        <v>80</v>
      </c>
      <c r="G1457" s="932" t="s">
        <v>310</v>
      </c>
      <c r="H1457" s="932" t="str">
        <f>VLOOKUP($C1457,Table1[#All],3,0)</f>
        <v>VC3</v>
      </c>
      <c r="I1457" s="932" t="str" cm="1">
        <f t="array" ref="I1457">_xlfn.XLOOKUP(Acc_Char!$E1457,Table4[[#All],[Branch]],Table4[[#All],[Bank]],"recheck",0)</f>
        <v>VIETCOMBANK - HCM</v>
      </c>
    </row>
    <row r="1458" spans="1:10">
      <c r="A1458" s="998">
        <f t="shared" si="22"/>
        <v>1455</v>
      </c>
      <c r="B1458" s="1004" t="s">
        <v>1245</v>
      </c>
      <c r="C1458" s="1000" t="s">
        <v>2969</v>
      </c>
      <c r="D1458" s="932" t="str">
        <f>VLOOKUP($C1458,Table1[#All],2,0)</f>
        <v>BWID NHON TRACH</v>
      </c>
      <c r="E1458" s="932" t="s">
        <v>91</v>
      </c>
      <c r="F1458" s="998" t="s">
        <v>80</v>
      </c>
      <c r="G1458" s="932" t="s">
        <v>310</v>
      </c>
      <c r="H1458" s="932" t="str">
        <f>VLOOKUP($C1458,Table1[#All],3,0)</f>
        <v>Subsidiaries</v>
      </c>
      <c r="I1458" s="932" t="str" cm="1">
        <f t="array" ref="I1458">_xlfn.XLOOKUP(Acc_Char!$E1458,Table4[[#All],[Branch]],Table4[[#All],[Bank]],"recheck",0)</f>
        <v>VIETCOMBANK - HCM</v>
      </c>
    </row>
    <row r="1459" spans="1:10">
      <c r="A1459" s="998">
        <f t="shared" si="22"/>
        <v>1456</v>
      </c>
      <c r="B1459" s="1004" t="s">
        <v>1246</v>
      </c>
      <c r="C1459" s="1000" t="s">
        <v>3047</v>
      </c>
      <c r="D1459" s="932" t="str">
        <f>VLOOKUP($C1459,Table1[#All],2,0)</f>
        <v>BW SAIGON LOGISTICS</v>
      </c>
      <c r="E1459" s="932" t="s">
        <v>91</v>
      </c>
      <c r="F1459" s="998" t="s">
        <v>80</v>
      </c>
      <c r="G1459" s="932" t="s">
        <v>310</v>
      </c>
      <c r="H1459" s="932" t="str">
        <f>VLOOKUP($C1459,Table1[#All],3,0)</f>
        <v>Subsidiaries</v>
      </c>
      <c r="I1459" s="932" t="str" cm="1">
        <f t="array" ref="I1459">_xlfn.XLOOKUP(Acc_Char!$E1459,Table4[[#All],[Branch]],Table4[[#All],[Bank]],"recheck",0)</f>
        <v>VIETCOMBANK - HCM</v>
      </c>
    </row>
    <row r="1460" spans="1:10">
      <c r="A1460" s="998">
        <f t="shared" si="22"/>
        <v>1457</v>
      </c>
      <c r="B1460" s="1004" t="s">
        <v>1247</v>
      </c>
      <c r="C1460" s="1000" t="s">
        <v>3277</v>
      </c>
      <c r="D1460" s="932" t="str">
        <f>VLOOKUP($C1460,Table1[#All],2,0)</f>
        <v>THUAN THANH 3B</v>
      </c>
      <c r="E1460" s="932" t="s">
        <v>89</v>
      </c>
      <c r="F1460" s="998" t="s">
        <v>80</v>
      </c>
      <c r="G1460" s="932" t="s">
        <v>310</v>
      </c>
      <c r="H1460" s="932" t="str">
        <f>VLOOKUP($C1460,Table1[#All],3,0)</f>
        <v>Subsidiaries</v>
      </c>
      <c r="I1460" s="932" t="str" cm="1">
        <f t="array" ref="I1460">_xlfn.XLOOKUP(Acc_Char!$E1460,Table4[[#All],[Branch]],Table4[[#All],[Bank]],"recheck",0)</f>
        <v>VIETCOMBANK - BA DINH</v>
      </c>
    </row>
    <row r="1461" spans="1:10">
      <c r="A1461" s="998">
        <f t="shared" si="22"/>
        <v>1458</v>
      </c>
      <c r="B1461" s="1004" t="s">
        <v>1248</v>
      </c>
      <c r="C1461" s="1000" t="s">
        <v>3277</v>
      </c>
      <c r="D1461" s="932" t="str">
        <f>VLOOKUP($C1461,Table1[#All],2,0)</f>
        <v>THUAN THANH 3B</v>
      </c>
      <c r="E1461" s="932" t="s">
        <v>89</v>
      </c>
      <c r="F1461" s="998" t="s">
        <v>80</v>
      </c>
      <c r="G1461" s="932" t="s">
        <v>310</v>
      </c>
      <c r="H1461" s="932" t="str">
        <f>VLOOKUP($C1461,Table1[#All],3,0)</f>
        <v>Subsidiaries</v>
      </c>
      <c r="I1461" s="932" t="str" cm="1">
        <f t="array" ref="I1461">_xlfn.XLOOKUP(Acc_Char!$E1461,Table4[[#All],[Branch]],Table4[[#All],[Bank]],"recheck",0)</f>
        <v>VIETCOMBANK - BA DINH</v>
      </c>
    </row>
    <row r="1462" spans="1:10">
      <c r="A1462" s="998">
        <f t="shared" si="22"/>
        <v>1459</v>
      </c>
      <c r="B1462" s="1004" t="s">
        <v>1249</v>
      </c>
      <c r="C1462" s="1000" t="s">
        <v>3277</v>
      </c>
      <c r="D1462" s="932" t="str">
        <f>VLOOKUP($C1462,Table1[#All],2,0)</f>
        <v>THUAN THANH 3B</v>
      </c>
      <c r="E1462" s="932" t="s">
        <v>89</v>
      </c>
      <c r="F1462" s="998" t="s">
        <v>80</v>
      </c>
      <c r="G1462" s="932" t="s">
        <v>310</v>
      </c>
      <c r="H1462" s="932" t="str">
        <f>VLOOKUP($C1462,Table1[#All],3,0)</f>
        <v>Subsidiaries</v>
      </c>
      <c r="I1462" s="932" t="str" cm="1">
        <f t="array" ref="I1462">_xlfn.XLOOKUP(Acc_Char!$E1462,Table4[[#All],[Branch]],Table4[[#All],[Bank]],"recheck",0)</f>
        <v>VIETCOMBANK - BA DINH</v>
      </c>
    </row>
    <row r="1463" spans="1:10">
      <c r="A1463" s="998">
        <f t="shared" si="22"/>
        <v>1460</v>
      </c>
      <c r="B1463" s="1004" t="s">
        <v>1250</v>
      </c>
      <c r="C1463" s="1000" t="s">
        <v>3277</v>
      </c>
      <c r="D1463" s="932" t="str">
        <f>VLOOKUP($C1463,Table1[#All],2,0)</f>
        <v>THUAN THANH 3B</v>
      </c>
      <c r="E1463" s="932" t="s">
        <v>89</v>
      </c>
      <c r="F1463" s="998" t="s">
        <v>80</v>
      </c>
      <c r="G1463" s="932" t="s">
        <v>310</v>
      </c>
      <c r="H1463" s="932" t="str">
        <f>VLOOKUP($C1463,Table1[#All],3,0)</f>
        <v>Subsidiaries</v>
      </c>
      <c r="I1463" s="932" t="str" cm="1">
        <f t="array" ref="I1463">_xlfn.XLOOKUP(Acc_Char!$E1463,Table4[[#All],[Branch]],Table4[[#All],[Bank]],"recheck",0)</f>
        <v>VIETCOMBANK - BA DINH</v>
      </c>
      <c r="J1463" t="s">
        <v>466</v>
      </c>
    </row>
    <row r="1464" spans="1:10">
      <c r="A1464" s="998">
        <f t="shared" si="22"/>
        <v>1461</v>
      </c>
      <c r="B1464" s="1004" t="s">
        <v>1252</v>
      </c>
      <c r="C1464" s="1000" t="s">
        <v>2980</v>
      </c>
      <c r="D1464" s="932" t="str">
        <f>VLOOKUP($C1464,Table1[#All],2,0)</f>
        <v>BWID THOI HOA</v>
      </c>
      <c r="E1464" s="932" t="s">
        <v>91</v>
      </c>
      <c r="F1464" s="998" t="s">
        <v>80</v>
      </c>
      <c r="G1464" s="932" t="s">
        <v>308</v>
      </c>
      <c r="H1464" s="932" t="str">
        <f>VLOOKUP($C1464,Table1[#All],3,0)</f>
        <v>Subsidiaries</v>
      </c>
      <c r="I1464" s="932" t="str" cm="1">
        <f t="array" ref="I1464">_xlfn.XLOOKUP(Acc_Char!$E1464,Table4[[#All],[Branch]],Table4[[#All],[Bank]],"recheck",0)</f>
        <v>VIETCOMBANK - HCM</v>
      </c>
    </row>
    <row r="1465" spans="1:10">
      <c r="A1465" s="998">
        <f t="shared" si="22"/>
        <v>1462</v>
      </c>
      <c r="B1465" s="1004" t="s">
        <v>1253</v>
      </c>
      <c r="C1465" s="1000" t="s">
        <v>3160</v>
      </c>
      <c r="D1465" s="932" t="str">
        <f>VLOOKUP($C1465,Table1[#All],2,0)</f>
        <v>BWID Tan Phu Trung</v>
      </c>
      <c r="E1465" s="932" t="s">
        <v>341</v>
      </c>
      <c r="F1465" s="998" t="s">
        <v>80</v>
      </c>
      <c r="G1465" s="932" t="s">
        <v>308</v>
      </c>
      <c r="H1465" s="932" t="str">
        <f>VLOOKUP($C1465,Table1[#All],3,0)</f>
        <v>Subsidiaries</v>
      </c>
      <c r="I1465" s="932" t="str" cm="1">
        <f t="array" ref="I1465">_xlfn.XLOOKUP(Acc_Char!$E1465,Table4[[#All],[Branch]],Table4[[#All],[Bank]],"recheck",0)</f>
        <v>KEB Hana - HCM</v>
      </c>
    </row>
    <row r="1466" spans="1:10">
      <c r="A1466" s="998">
        <f t="shared" si="22"/>
        <v>1463</v>
      </c>
      <c r="B1466" s="1004" t="s">
        <v>1254</v>
      </c>
      <c r="C1466" s="1000" t="s">
        <v>3160</v>
      </c>
      <c r="D1466" s="932" t="str">
        <f>VLOOKUP($C1466,Table1[#All],2,0)</f>
        <v>BWID Tan Phu Trung</v>
      </c>
      <c r="E1466" s="932" t="s">
        <v>341</v>
      </c>
      <c r="F1466" s="998" t="s">
        <v>80</v>
      </c>
      <c r="G1466" s="932" t="s">
        <v>310</v>
      </c>
      <c r="H1466" s="932" t="str">
        <f>VLOOKUP($C1466,Table1[#All],3,0)</f>
        <v>Subsidiaries</v>
      </c>
      <c r="I1466" s="932" t="str" cm="1">
        <f t="array" ref="I1466">_xlfn.XLOOKUP(Acc_Char!$E1466,Table4[[#All],[Branch]],Table4[[#All],[Bank]],"recheck",0)</f>
        <v>KEB Hana - HCM</v>
      </c>
    </row>
    <row r="1467" spans="1:10">
      <c r="A1467" s="998">
        <f t="shared" si="22"/>
        <v>1464</v>
      </c>
      <c r="B1467" s="1004" t="s">
        <v>1255</v>
      </c>
      <c r="C1467" s="1000" t="s">
        <v>3160</v>
      </c>
      <c r="D1467" s="932" t="str">
        <f>VLOOKUP($C1467,Table1[#All],2,0)</f>
        <v>BWID Tan Phu Trung</v>
      </c>
      <c r="E1467" s="932" t="s">
        <v>341</v>
      </c>
      <c r="F1467" s="998" t="s">
        <v>80</v>
      </c>
      <c r="G1467" s="932" t="s">
        <v>308</v>
      </c>
      <c r="H1467" s="932" t="str">
        <f>VLOOKUP($C1467,Table1[#All],3,0)</f>
        <v>Subsidiaries</v>
      </c>
      <c r="I1467" s="932" t="str" cm="1">
        <f t="array" ref="I1467">_xlfn.XLOOKUP(Acc_Char!$E1467,Table4[[#All],[Branch]],Table4[[#All],[Bank]],"recheck",0)</f>
        <v>KEB Hana - HCM</v>
      </c>
    </row>
    <row r="1468" spans="1:10">
      <c r="A1468" s="998">
        <f t="shared" si="22"/>
        <v>1465</v>
      </c>
      <c r="B1468" s="1004" t="s">
        <v>1256</v>
      </c>
      <c r="C1468" s="1000" t="s">
        <v>3160</v>
      </c>
      <c r="D1468" s="932" t="str">
        <f>VLOOKUP($C1468,Table1[#All],2,0)</f>
        <v>BWID Tan Phu Trung</v>
      </c>
      <c r="E1468" s="932" t="s">
        <v>341</v>
      </c>
      <c r="F1468" s="998" t="s">
        <v>80</v>
      </c>
      <c r="G1468" s="932" t="s">
        <v>310</v>
      </c>
      <c r="H1468" s="932" t="str">
        <f>VLOOKUP($C1468,Table1[#All],3,0)</f>
        <v>Subsidiaries</v>
      </c>
      <c r="I1468" s="932" t="str" cm="1">
        <f t="array" ref="I1468">_xlfn.XLOOKUP(Acc_Char!$E1468,Table4[[#All],[Branch]],Table4[[#All],[Bank]],"recheck",0)</f>
        <v>KEB Hana - HCM</v>
      </c>
    </row>
    <row r="1469" spans="1:10">
      <c r="A1469" s="998">
        <f t="shared" si="22"/>
        <v>1466</v>
      </c>
      <c r="B1469" s="1004" t="s">
        <v>1257</v>
      </c>
      <c r="C1469" s="1000" t="s">
        <v>440</v>
      </c>
      <c r="D1469" s="932" t="str">
        <f>VLOOKUP($C1469,Table1[#All],2,0)</f>
        <v>BW NAM DINH VU</v>
      </c>
      <c r="E1469" s="932" t="s">
        <v>94</v>
      </c>
      <c r="F1469" s="998" t="s">
        <v>80</v>
      </c>
      <c r="G1469" s="932" t="s">
        <v>310</v>
      </c>
      <c r="H1469" s="932" t="str">
        <f>VLOOKUP($C1469,Table1[#All],3,0)</f>
        <v>Subsidiaries</v>
      </c>
      <c r="I1469" s="932" t="str" cm="1">
        <f t="array" ref="I1469">_xlfn.XLOOKUP(Acc_Char!$E1469,Table4[[#All],[Branch]],Table4[[#All],[Bank]],"recheck",0)</f>
        <v>BIDV - LONG BIEN</v>
      </c>
    </row>
    <row r="1470" spans="1:10">
      <c r="A1470" s="998">
        <f t="shared" si="22"/>
        <v>1467</v>
      </c>
      <c r="B1470" s="1004" t="s">
        <v>1258</v>
      </c>
      <c r="C1470" s="1000" t="s">
        <v>3226</v>
      </c>
      <c r="D1470" s="932" t="str">
        <f>VLOOKUP($C1470,Table1[#All],2,0)</f>
        <v>YEN PHONG</v>
      </c>
      <c r="E1470" s="932" t="s">
        <v>85</v>
      </c>
      <c r="F1470" s="998" t="s">
        <v>80</v>
      </c>
      <c r="G1470" s="932" t="s">
        <v>310</v>
      </c>
      <c r="H1470" s="932" t="str">
        <f>VLOOKUP($C1470,Table1[#All],3,0)</f>
        <v>Subsidiaries</v>
      </c>
      <c r="I1470" s="932" t="str" cm="1">
        <f t="array" ref="I1470">_xlfn.XLOOKUP(Acc_Char!$E1470,Table4[[#All],[Branch]],Table4[[#All],[Bank]],"recheck",0)</f>
        <v>VIETINBANK - TIEN SON</v>
      </c>
    </row>
    <row r="1471" spans="1:10">
      <c r="A1471" s="998">
        <f t="shared" si="22"/>
        <v>1468</v>
      </c>
      <c r="B1471" s="1004" t="s">
        <v>1259</v>
      </c>
      <c r="C1471" s="1000" t="s">
        <v>67</v>
      </c>
      <c r="D1471" s="932" t="str">
        <f>VLOOKUP($C1471,Table1[#All],2,0)</f>
        <v>SAO HOA</v>
      </c>
      <c r="E1471" s="932" t="s">
        <v>153</v>
      </c>
      <c r="F1471" s="998" t="s">
        <v>80</v>
      </c>
      <c r="G1471" s="932" t="s">
        <v>310</v>
      </c>
      <c r="H1471" s="932" t="str">
        <f>VLOOKUP($C1471,Table1[#All],3,0)</f>
        <v>VC3</v>
      </c>
      <c r="I1471" s="932" t="str" cm="1">
        <f t="array" ref="I1471">_xlfn.XLOOKUP(Acc_Char!$E1471,Table4[[#All],[Branch]],Table4[[#All],[Bank]],"recheck",0)</f>
        <v>VIETINBANK - BINH DUONG + QM</v>
      </c>
    </row>
    <row r="1472" spans="1:10">
      <c r="A1472" s="998">
        <f t="shared" si="22"/>
        <v>1469</v>
      </c>
      <c r="B1472" s="1004" t="s">
        <v>1260</v>
      </c>
      <c r="C1472" s="1000" t="s">
        <v>3280</v>
      </c>
      <c r="D1472" s="932" t="str">
        <f>VLOOKUP($C1472,Table1[#All],2,0)</f>
        <v>BAC TIEN PHONG</v>
      </c>
      <c r="E1472" s="932" t="s">
        <v>92</v>
      </c>
      <c r="F1472" s="998" t="s">
        <v>80</v>
      </c>
      <c r="G1472" s="932" t="s">
        <v>310</v>
      </c>
      <c r="H1472" s="932" t="str">
        <f>VLOOKUP($C1472,Table1[#All],3,0)</f>
        <v>Subsidiaries</v>
      </c>
      <c r="I1472" s="932" t="str" cm="1">
        <f t="array" ref="I1472">_xlfn.XLOOKUP(Acc_Char!$E1472,Table4[[#All],[Branch]],Table4[[#All],[Bank]],"recheck",0)</f>
        <v>BIDV - THANH XUAN</v>
      </c>
    </row>
    <row r="1473" spans="1:9">
      <c r="A1473" s="998">
        <f t="shared" si="22"/>
        <v>1470</v>
      </c>
      <c r="B1473" s="1004" t="s">
        <v>1261</v>
      </c>
      <c r="C1473" s="1000" t="s">
        <v>3160</v>
      </c>
      <c r="D1473" s="932" t="str">
        <f>VLOOKUP($C1473,Table1[#All],2,0)</f>
        <v>BWID Tan Phu Trung</v>
      </c>
      <c r="E1473" s="932" t="s">
        <v>85</v>
      </c>
      <c r="F1473" s="998" t="s">
        <v>80</v>
      </c>
      <c r="G1473" s="932" t="s">
        <v>310</v>
      </c>
      <c r="H1473" s="932" t="str">
        <f>VLOOKUP($C1473,Table1[#All],3,0)</f>
        <v>Subsidiaries</v>
      </c>
      <c r="I1473" s="932" t="str" cm="1">
        <f t="array" ref="I1473">_xlfn.XLOOKUP(Acc_Char!$E1473,Table4[[#All],[Branch]],Table4[[#All],[Bank]],"recheck",0)</f>
        <v>VIETINBANK - TIEN SON</v>
      </c>
    </row>
    <row r="1474" spans="1:9">
      <c r="A1474" s="998">
        <f t="shared" si="22"/>
        <v>1471</v>
      </c>
      <c r="B1474" s="1004" t="s">
        <v>1262</v>
      </c>
      <c r="C1474" s="1000" t="s">
        <v>3093</v>
      </c>
      <c r="D1474" s="932" t="str">
        <f>VLOOKUP($C1474,Table1[#All],2,0)</f>
        <v>SONGTHAN LID</v>
      </c>
      <c r="E1474" s="932" t="s">
        <v>88</v>
      </c>
      <c r="F1474" s="998" t="s">
        <v>80</v>
      </c>
      <c r="G1474" s="932" t="s">
        <v>310</v>
      </c>
      <c r="H1474" s="932" t="str">
        <f>VLOOKUP($C1474,Table1[#All],3,0)</f>
        <v>Subsidiaries</v>
      </c>
      <c r="I1474" s="932" t="str" cm="1">
        <f t="array" ref="I1474">_xlfn.XLOOKUP(Acc_Char!$E1474,Table4[[#All],[Branch]],Table4[[#All],[Bank]],"recheck",0)</f>
        <v>VIETINBANK - DONG SAI GON</v>
      </c>
    </row>
    <row r="1475" spans="1:9">
      <c r="A1475" s="998">
        <f t="shared" si="22"/>
        <v>1472</v>
      </c>
      <c r="B1475" s="1004" t="s">
        <v>1263</v>
      </c>
      <c r="C1475" s="1000" t="s">
        <v>3280</v>
      </c>
      <c r="D1475" s="932" t="str">
        <f>VLOOKUP($C1475,Table1[#All],2,0)</f>
        <v>BAC TIEN PHONG</v>
      </c>
      <c r="E1475" s="932" t="s">
        <v>92</v>
      </c>
      <c r="F1475" s="998" t="s">
        <v>80</v>
      </c>
      <c r="G1475" s="932" t="s">
        <v>310</v>
      </c>
      <c r="H1475" s="932" t="str">
        <f>VLOOKUP($C1475,Table1[#All],3,0)</f>
        <v>Subsidiaries</v>
      </c>
      <c r="I1475" s="932" t="str" cm="1">
        <f t="array" ref="I1475">_xlfn.XLOOKUP(Acc_Char!$E1475,Table4[[#All],[Branch]],Table4[[#All],[Bank]],"recheck",0)</f>
        <v>BIDV - THANH XUAN</v>
      </c>
    </row>
    <row r="1476" spans="1:9">
      <c r="A1476" s="998">
        <f t="shared" si="22"/>
        <v>1473</v>
      </c>
      <c r="B1476" s="1004" t="s">
        <v>1264</v>
      </c>
      <c r="C1476" s="1000" t="s">
        <v>67</v>
      </c>
      <c r="D1476" s="932" t="str">
        <f>VLOOKUP($C1476,Table1[#All],2,0)</f>
        <v>SAO HOA</v>
      </c>
      <c r="E1476" s="932" t="s">
        <v>155</v>
      </c>
      <c r="F1476" s="998" t="s">
        <v>80</v>
      </c>
      <c r="G1476" s="932" t="s">
        <v>310</v>
      </c>
      <c r="H1476" s="932" t="str">
        <f>VLOOKUP($C1476,Table1[#All],3,0)</f>
        <v>VC3</v>
      </c>
      <c r="I1476" s="932" t="str" cm="1">
        <f t="array" ref="I1476">_xlfn.XLOOKUP(Acc_Char!$E1476,Table4[[#All],[Branch]],Table4[[#All],[Bank]],"recheck",0)</f>
        <v>VIETINBANK - BINH DUONG + QM</v>
      </c>
    </row>
    <row r="1477" spans="1:9">
      <c r="A1477" s="998">
        <f t="shared" ref="A1477:A1541" si="23">A1476+1</f>
        <v>1474</v>
      </c>
      <c r="B1477" s="1004" t="s">
        <v>1265</v>
      </c>
      <c r="C1477" s="1000" t="s">
        <v>67</v>
      </c>
      <c r="D1477" s="932" t="str">
        <f>VLOOKUP($C1477,Table1[#All],2,0)</f>
        <v>SAO HOA</v>
      </c>
      <c r="E1477" s="932" t="s">
        <v>85</v>
      </c>
      <c r="F1477" s="998" t="s">
        <v>80</v>
      </c>
      <c r="G1477" s="932" t="s">
        <v>310</v>
      </c>
      <c r="H1477" s="932" t="str">
        <f>VLOOKUP($C1477,Table1[#All],3,0)</f>
        <v>VC3</v>
      </c>
      <c r="I1477" s="932" t="str" cm="1">
        <f t="array" ref="I1477">_xlfn.XLOOKUP(Acc_Char!$E1477,Table4[[#All],[Branch]],Table4[[#All],[Bank]],"recheck",0)</f>
        <v>VIETINBANK - TIEN SON</v>
      </c>
    </row>
    <row r="1478" spans="1:9">
      <c r="A1478" s="998">
        <f t="shared" si="23"/>
        <v>1475</v>
      </c>
      <c r="B1478" s="1004" t="s">
        <v>1266</v>
      </c>
      <c r="C1478" s="1000" t="s">
        <v>389</v>
      </c>
      <c r="D1478" s="932" t="str">
        <f>VLOOKUP($C1478,Table1[#All],2,0)</f>
        <v>BWID BINH DUONG</v>
      </c>
      <c r="E1478" s="932" t="s">
        <v>153</v>
      </c>
      <c r="F1478" s="998" t="s">
        <v>80</v>
      </c>
      <c r="G1478" s="932" t="s">
        <v>310</v>
      </c>
      <c r="H1478" s="932" t="str">
        <f>VLOOKUP($C1478,Table1[#All],3,0)</f>
        <v>BWID JSC</v>
      </c>
      <c r="I1478" s="932" t="str" cm="1">
        <f t="array" ref="I1478">_xlfn.XLOOKUP(Acc_Char!$E1478,Table4[[#All],[Branch]],Table4[[#All],[Bank]],"recheck",0)</f>
        <v>VIETINBANK - BINH DUONG + QM</v>
      </c>
    </row>
    <row r="1479" spans="1:9">
      <c r="A1479" s="998">
        <f t="shared" si="23"/>
        <v>1476</v>
      </c>
      <c r="B1479" s="1004" t="s">
        <v>1267</v>
      </c>
      <c r="C1479" s="1000" t="s">
        <v>67</v>
      </c>
      <c r="D1479" s="932" t="str">
        <f>VLOOKUP($C1479,Table1[#All],2,0)</f>
        <v>SAO HOA</v>
      </c>
      <c r="E1479" s="932" t="s">
        <v>153</v>
      </c>
      <c r="F1479" s="998" t="s">
        <v>80</v>
      </c>
      <c r="G1479" s="932" t="s">
        <v>310</v>
      </c>
      <c r="H1479" s="932" t="str">
        <f>VLOOKUP($C1479,Table1[#All],3,0)</f>
        <v>VC3</v>
      </c>
      <c r="I1479" s="932" t="str" cm="1">
        <f t="array" ref="I1479">_xlfn.XLOOKUP(Acc_Char!$E1479,Table4[[#All],[Branch]],Table4[[#All],[Bank]],"recheck",0)</f>
        <v>VIETINBANK - BINH DUONG + QM</v>
      </c>
    </row>
    <row r="1480" spans="1:9">
      <c r="A1480" s="998">
        <f t="shared" si="23"/>
        <v>1477</v>
      </c>
      <c r="B1480" s="1004" t="s">
        <v>1268</v>
      </c>
      <c r="C1480" s="1000" t="s">
        <v>67</v>
      </c>
      <c r="D1480" s="932" t="str">
        <f>VLOOKUP($C1480,Table1[#All],2,0)</f>
        <v>SAO HOA</v>
      </c>
      <c r="E1480" s="932" t="s">
        <v>153</v>
      </c>
      <c r="F1480" s="998" t="s">
        <v>80</v>
      </c>
      <c r="G1480" s="932" t="s">
        <v>310</v>
      </c>
      <c r="H1480" s="932" t="str">
        <f>VLOOKUP($C1480,Table1[#All],3,0)</f>
        <v>VC3</v>
      </c>
      <c r="I1480" s="932" t="str" cm="1">
        <f t="array" ref="I1480">_xlfn.XLOOKUP(Acc_Char!$E1480,Table4[[#All],[Branch]],Table4[[#All],[Bank]],"recheck",0)</f>
        <v>VIETINBANK - BINH DUONG + QM</v>
      </c>
    </row>
    <row r="1481" spans="1:9">
      <c r="A1481" s="998">
        <f t="shared" si="23"/>
        <v>1478</v>
      </c>
      <c r="B1481" s="1004" t="s">
        <v>1269</v>
      </c>
      <c r="C1481" s="1000" t="s">
        <v>3309</v>
      </c>
      <c r="D1481" s="932" t="str">
        <f>VLOOKUP($C1481,Table1[#All],2,0)</f>
        <v>LE MINH XUAN 3</v>
      </c>
      <c r="E1481" s="932" t="s">
        <v>191</v>
      </c>
      <c r="F1481" s="998" t="s">
        <v>80</v>
      </c>
      <c r="G1481" s="932" t="s">
        <v>310</v>
      </c>
      <c r="H1481" s="932" t="str">
        <f>VLOOKUP($C1481,Table1[#All],3,0)</f>
        <v>Subsidiaries</v>
      </c>
      <c r="I1481" s="932" t="str" cm="1">
        <f t="array" ref="I1481">_xlfn.XLOOKUP(Acc_Char!$E1481,Table4[[#All],[Branch]],Table4[[#All],[Bank]],"recheck",0)</f>
        <v>VIETINBANK - TPHCM</v>
      </c>
    </row>
    <row r="1482" spans="1:9">
      <c r="A1482" s="998">
        <f t="shared" si="23"/>
        <v>1479</v>
      </c>
      <c r="B1482" s="1004" t="s">
        <v>1270</v>
      </c>
      <c r="C1482" s="1000" t="s">
        <v>424</v>
      </c>
      <c r="D1482" s="932" t="str">
        <f>VLOOKUP($C1482,Table1[#All],2,0)</f>
        <v>HOLDCO N4C</v>
      </c>
      <c r="E1482" s="932" t="s">
        <v>85</v>
      </c>
      <c r="F1482" s="998" t="s">
        <v>80</v>
      </c>
      <c r="G1482" s="932" t="s">
        <v>310</v>
      </c>
      <c r="H1482" s="932" t="str">
        <f>VLOOKUP($C1482,Table1[#All],3,0)</f>
        <v>Subsidiaries</v>
      </c>
      <c r="I1482" s="932" t="str" cm="1">
        <f t="array" ref="I1482">_xlfn.XLOOKUP(Acc_Char!$E1482,Table4[[#All],[Branch]],Table4[[#All],[Bank]],"recheck",0)</f>
        <v>VIETINBANK - TIEN SON</v>
      </c>
    </row>
    <row r="1483" spans="1:9">
      <c r="A1483" s="998">
        <f t="shared" si="23"/>
        <v>1480</v>
      </c>
      <c r="B1483" s="1004" t="s">
        <v>1271</v>
      </c>
      <c r="C1483" s="1000" t="s">
        <v>3323</v>
      </c>
      <c r="D1483" s="932" t="str">
        <f>VLOOKUP($C1483,Table1[#All],2,0)</f>
        <v>TAN DONG HIEP B ELECTRON</v>
      </c>
      <c r="E1483" s="932" t="s">
        <v>191</v>
      </c>
      <c r="F1483" s="998" t="s">
        <v>80</v>
      </c>
      <c r="G1483" s="932" t="s">
        <v>310</v>
      </c>
      <c r="H1483" s="932" t="str">
        <f>VLOOKUP($C1483,Table1[#All],3,0)</f>
        <v>Subsidiaries</v>
      </c>
      <c r="I1483" s="932" t="str" cm="1">
        <f t="array" ref="I1483">_xlfn.XLOOKUP(Acc_Char!$E1483,Table4[[#All],[Branch]],Table4[[#All],[Bank]],"recheck",0)</f>
        <v>VIETINBANK - TPHCM</v>
      </c>
    </row>
    <row r="1484" spans="1:9">
      <c r="A1484" s="998">
        <f t="shared" si="23"/>
        <v>1481</v>
      </c>
      <c r="B1484" s="1004" t="s">
        <v>1272</v>
      </c>
      <c r="C1484" s="1000" t="s">
        <v>3323</v>
      </c>
      <c r="D1484" s="932" t="str">
        <f>VLOOKUP($C1484,Table1[#All],2,0)</f>
        <v>TAN DONG HIEP B ELECTRON</v>
      </c>
      <c r="E1484" s="932" t="s">
        <v>191</v>
      </c>
      <c r="F1484" s="998" t="s">
        <v>80</v>
      </c>
      <c r="G1484" s="932" t="s">
        <v>310</v>
      </c>
      <c r="H1484" s="932" t="str">
        <f>VLOOKUP($C1484,Table1[#All],3,0)</f>
        <v>Subsidiaries</v>
      </c>
      <c r="I1484" s="932" t="str" cm="1">
        <f t="array" ref="I1484">_xlfn.XLOOKUP(Acc_Char!$E1484,Table4[[#All],[Branch]],Table4[[#All],[Bank]],"recheck",0)</f>
        <v>VIETINBANK - TPHCM</v>
      </c>
    </row>
    <row r="1485" spans="1:9">
      <c r="A1485" s="998">
        <f t="shared" si="23"/>
        <v>1482</v>
      </c>
      <c r="B1485" s="1004" t="s">
        <v>1273</v>
      </c>
      <c r="C1485" s="1000" t="s">
        <v>67</v>
      </c>
      <c r="D1485" s="932" t="str">
        <f>VLOOKUP($C1485,Table1[#All],2,0)</f>
        <v>SAO HOA</v>
      </c>
      <c r="E1485" s="932" t="s">
        <v>92</v>
      </c>
      <c r="F1485" s="998" t="s">
        <v>80</v>
      </c>
      <c r="G1485" s="932" t="s">
        <v>310</v>
      </c>
      <c r="H1485" s="932" t="str">
        <f>VLOOKUP($C1485,Table1[#All],3,0)</f>
        <v>VC3</v>
      </c>
      <c r="I1485" s="932" t="str" cm="1">
        <f t="array" ref="I1485">_xlfn.XLOOKUP(Acc_Char!$E1485,Table4[[#All],[Branch]],Table4[[#All],[Bank]],"recheck",0)</f>
        <v>BIDV - THANH XUAN</v>
      </c>
    </row>
    <row r="1486" spans="1:9">
      <c r="A1486" s="998">
        <f t="shared" si="23"/>
        <v>1483</v>
      </c>
      <c r="B1486" s="1004" t="s">
        <v>1274</v>
      </c>
      <c r="C1486" s="1000" t="s">
        <v>67</v>
      </c>
      <c r="D1486" s="932" t="str">
        <f>VLOOKUP($C1486,Table1[#All],2,0)</f>
        <v>SAO HOA</v>
      </c>
      <c r="E1486" s="932" t="s">
        <v>92</v>
      </c>
      <c r="F1486" s="998" t="s">
        <v>80</v>
      </c>
      <c r="G1486" s="932" t="s">
        <v>310</v>
      </c>
      <c r="H1486" s="932" t="str">
        <f>VLOOKUP($C1486,Table1[#All],3,0)</f>
        <v>VC3</v>
      </c>
      <c r="I1486" s="932" t="str" cm="1">
        <f t="array" ref="I1486">_xlfn.XLOOKUP(Acc_Char!$E1486,Table4[[#All],[Branch]],Table4[[#All],[Bank]],"recheck",0)</f>
        <v>BIDV - THANH XUAN</v>
      </c>
    </row>
    <row r="1487" spans="1:9">
      <c r="A1487" s="998">
        <f t="shared" si="23"/>
        <v>1484</v>
      </c>
      <c r="B1487" s="1004" t="s">
        <v>1275</v>
      </c>
      <c r="C1487" s="1000" t="s">
        <v>3190</v>
      </c>
      <c r="D1487" s="932" t="str">
        <f>VLOOKUP($C1487,Table1[#All],2,0)</f>
        <v>NDV PROJECT CO</v>
      </c>
      <c r="E1487" s="932" t="s">
        <v>92</v>
      </c>
      <c r="F1487" s="998" t="s">
        <v>80</v>
      </c>
      <c r="G1487" s="932" t="s">
        <v>310</v>
      </c>
      <c r="H1487" s="932" t="str">
        <f>VLOOKUP($C1487,Table1[#All],3,0)</f>
        <v>Subsidiaries</v>
      </c>
      <c r="I1487" s="932" t="str" cm="1">
        <f t="array" ref="I1487">_xlfn.XLOOKUP(Acc_Char!$E1487,Table4[[#All],[Branch]],Table4[[#All],[Bank]],"recheck",0)</f>
        <v>BIDV - THANH XUAN</v>
      </c>
    </row>
    <row r="1488" spans="1:9">
      <c r="A1488" s="998">
        <f t="shared" si="23"/>
        <v>1485</v>
      </c>
      <c r="B1488" s="1004" t="s">
        <v>1276</v>
      </c>
      <c r="C1488" s="1000" t="s">
        <v>2980</v>
      </c>
      <c r="D1488" s="932" t="str">
        <f>VLOOKUP($C1488,Table1[#All],2,0)</f>
        <v>BWID THOI HOA</v>
      </c>
      <c r="E1488" s="932" t="s">
        <v>91</v>
      </c>
      <c r="F1488" s="998" t="s">
        <v>80</v>
      </c>
      <c r="G1488" s="932" t="s">
        <v>310</v>
      </c>
      <c r="H1488" s="932" t="str">
        <f>VLOOKUP($C1488,Table1[#All],3,0)</f>
        <v>Subsidiaries</v>
      </c>
      <c r="I1488" s="932" t="str" cm="1">
        <f t="array" ref="I1488">_xlfn.XLOOKUP(Acc_Char!$E1488,Table4[[#All],[Branch]],Table4[[#All],[Bank]],"recheck",0)</f>
        <v>VIETCOMBANK - HCM</v>
      </c>
    </row>
    <row r="1489" spans="1:10">
      <c r="A1489" s="998">
        <f t="shared" si="23"/>
        <v>1486</v>
      </c>
      <c r="B1489" s="1004" t="s">
        <v>1277</v>
      </c>
      <c r="C1489" s="1000" t="s">
        <v>67</v>
      </c>
      <c r="D1489" s="932" t="str">
        <f>VLOOKUP($C1489,Table1[#All],2,0)</f>
        <v>SAO HOA</v>
      </c>
      <c r="E1489" s="932" t="s">
        <v>98</v>
      </c>
      <c r="F1489" s="998" t="s">
        <v>80</v>
      </c>
      <c r="G1489" s="932" t="s">
        <v>310</v>
      </c>
      <c r="H1489" s="932" t="str">
        <f>VLOOKUP($C1489,Table1[#All],3,0)</f>
        <v>VC3</v>
      </c>
      <c r="I1489" s="932" t="str" cm="1">
        <f t="array" ref="I1489">_xlfn.XLOOKUP(Acc_Char!$E1489,Table4[[#All],[Branch]],Table4[[#All],[Bank]],"recheck",0)</f>
        <v>SINOPAC</v>
      </c>
    </row>
    <row r="1490" spans="1:10">
      <c r="A1490" s="998">
        <f t="shared" si="23"/>
        <v>1487</v>
      </c>
      <c r="B1490" s="1004" t="s">
        <v>1278</v>
      </c>
      <c r="C1490" s="1000" t="s">
        <v>389</v>
      </c>
      <c r="D1490" s="932" t="str">
        <f>VLOOKUP($C1490,Table1[#All],2,0)</f>
        <v>BWID BINH DUONG</v>
      </c>
      <c r="E1490" s="932" t="s">
        <v>98</v>
      </c>
      <c r="F1490" s="998" t="s">
        <v>80</v>
      </c>
      <c r="G1490" s="932" t="s">
        <v>310</v>
      </c>
      <c r="H1490" s="932" t="str">
        <f>VLOOKUP($C1490,Table1[#All],3,0)</f>
        <v>BWID JSC</v>
      </c>
      <c r="I1490" s="932" t="str" cm="1">
        <f t="array" ref="I1490">_xlfn.XLOOKUP(Acc_Char!$E1490,Table4[[#All],[Branch]],Table4[[#All],[Bank]],"recheck",0)</f>
        <v>SINOPAC</v>
      </c>
    </row>
    <row r="1491" spans="1:10">
      <c r="A1491" s="998">
        <f t="shared" si="23"/>
        <v>1488</v>
      </c>
      <c r="B1491" s="1004" t="s">
        <v>1279</v>
      </c>
      <c r="C1491" s="1000" t="s">
        <v>3026</v>
      </c>
      <c r="D1491" s="932" t="str">
        <f>VLOOKUP($C1491,Table1[#All],2,0)</f>
        <v>BW SAI GON</v>
      </c>
      <c r="E1491" s="932" t="s">
        <v>98</v>
      </c>
      <c r="F1491" s="998" t="s">
        <v>80</v>
      </c>
      <c r="G1491" s="932" t="s">
        <v>310</v>
      </c>
      <c r="H1491" s="932" t="str">
        <f>VLOOKUP($C1491,Table1[#All],3,0)</f>
        <v>Subsidiaries</v>
      </c>
      <c r="I1491" s="932" t="str" cm="1">
        <f t="array" ref="I1491">_xlfn.XLOOKUP(Acc_Char!$E1491,Table4[[#All],[Branch]],Table4[[#All],[Bank]],"recheck",0)</f>
        <v>SINOPAC</v>
      </c>
    </row>
    <row r="1492" spans="1:10">
      <c r="A1492" s="998">
        <f t="shared" si="23"/>
        <v>1489</v>
      </c>
      <c r="B1492" s="1004" t="s">
        <v>1280</v>
      </c>
      <c r="C1492" s="1000" t="s">
        <v>3072</v>
      </c>
      <c r="D1492" s="932" t="str">
        <f>VLOOKUP($C1492,Table1[#All],2,0)</f>
        <v>BWID TAN DONG HIEP</v>
      </c>
      <c r="E1492" s="932" t="s">
        <v>98</v>
      </c>
      <c r="F1492" s="998" t="s">
        <v>80</v>
      </c>
      <c r="G1492" s="932" t="s">
        <v>310</v>
      </c>
      <c r="H1492" s="932" t="str">
        <f>VLOOKUP($C1492,Table1[#All],3,0)</f>
        <v>Subsidiaries</v>
      </c>
      <c r="I1492" s="932" t="str" cm="1">
        <f t="array" ref="I1492">_xlfn.XLOOKUP(Acc_Char!$E1492,Table4[[#All],[Branch]],Table4[[#All],[Bank]],"recheck",0)</f>
        <v>SINOPAC</v>
      </c>
      <c r="J1492">
        <v>85</v>
      </c>
    </row>
    <row r="1493" spans="1:10">
      <c r="A1493" s="998">
        <f t="shared" si="23"/>
        <v>1490</v>
      </c>
      <c r="B1493" s="1004" t="s">
        <v>1321</v>
      </c>
      <c r="C1493" s="1000" t="s">
        <v>459</v>
      </c>
      <c r="D1493" s="932" t="str">
        <f>VLOOKUP($C1493,Table1[#All],2,0)</f>
        <v>YEN PHONG PROJECT CO</v>
      </c>
      <c r="E1493" s="932" t="s">
        <v>92</v>
      </c>
      <c r="F1493" s="998" t="s">
        <v>80</v>
      </c>
      <c r="G1493" s="932" t="s">
        <v>310</v>
      </c>
      <c r="H1493" s="932" t="str">
        <f>VLOOKUP($C1493,Table1[#All],3,0)</f>
        <v>Subsidiaries</v>
      </c>
      <c r="I1493" s="932" t="str" cm="1">
        <f t="array" ref="I1493">_xlfn.XLOOKUP(Acc_Char!$E1493,Table4[[#All],[Branch]],Table4[[#All],[Bank]],"recheck",0)</f>
        <v>BIDV - THANH XUAN</v>
      </c>
      <c r="J1493">
        <v>40</v>
      </c>
    </row>
    <row r="1494" spans="1:10">
      <c r="A1494" s="998">
        <f t="shared" si="23"/>
        <v>1491</v>
      </c>
      <c r="B1494" s="1004" t="s">
        <v>1320</v>
      </c>
      <c r="C1494" s="1000" t="s">
        <v>3518</v>
      </c>
      <c r="D1494" s="932" t="str">
        <f>VLOOKUP($C1494,Table1[#All],2,0)</f>
        <v>NSHL HOLDCO</v>
      </c>
      <c r="E1494" s="932" t="s">
        <v>92</v>
      </c>
      <c r="F1494" s="998" t="s">
        <v>80</v>
      </c>
      <c r="G1494" s="932" t="s">
        <v>310</v>
      </c>
      <c r="H1494" s="932" t="str">
        <f>VLOOKUP($C1494,Table1[#All],3,0)</f>
        <v>Subsidiaries</v>
      </c>
      <c r="I1494" s="932" t="str" cm="1">
        <f t="array" ref="I1494">_xlfn.XLOOKUP(Acc_Char!$E1494,Table4[[#All],[Branch]],Table4[[#All],[Bank]],"recheck",0)</f>
        <v>BIDV - THANH XUAN</v>
      </c>
    </row>
    <row r="1495" spans="1:10">
      <c r="A1495" s="998">
        <f t="shared" si="23"/>
        <v>1492</v>
      </c>
      <c r="B1495" s="1004" t="s">
        <v>1319</v>
      </c>
      <c r="C1495" s="1000" t="s">
        <v>3047</v>
      </c>
      <c r="D1495" s="932" t="str">
        <f>VLOOKUP($C1495,Table1[#All],2,0)</f>
        <v>BW SAIGON LOGISTICS</v>
      </c>
      <c r="E1495" s="932" t="s">
        <v>91</v>
      </c>
      <c r="F1495" s="998" t="s">
        <v>80</v>
      </c>
      <c r="G1495" s="932" t="s">
        <v>310</v>
      </c>
      <c r="H1495" s="932" t="str">
        <f>VLOOKUP($C1495,Table1[#All],3,0)</f>
        <v>Subsidiaries</v>
      </c>
      <c r="I1495" s="932" t="str" cm="1">
        <f t="array" ref="I1495">_xlfn.XLOOKUP(Acc_Char!$E1495,Table4[[#All],[Branch]],Table4[[#All],[Bank]],"recheck",0)</f>
        <v>VIETCOMBANK - HCM</v>
      </c>
    </row>
    <row r="1496" spans="1:10">
      <c r="A1496" s="998">
        <f t="shared" si="23"/>
        <v>1493</v>
      </c>
      <c r="B1496" s="1004" t="s">
        <v>1318</v>
      </c>
      <c r="C1496" s="1000" t="s">
        <v>3257</v>
      </c>
      <c r="D1496" s="932" t="str">
        <f>VLOOKUP($C1496,Table1[#All],2,0)</f>
        <v>HOLDCO4P</v>
      </c>
      <c r="E1496" s="932" t="s">
        <v>92</v>
      </c>
      <c r="F1496" s="998" t="s">
        <v>80</v>
      </c>
      <c r="G1496" s="932" t="s">
        <v>310</v>
      </c>
      <c r="H1496" s="932" t="str">
        <f>VLOOKUP($C1496,Table1[#All],3,0)</f>
        <v>Subsidiaries</v>
      </c>
      <c r="I1496" s="932" t="str" cm="1">
        <f t="array" ref="I1496">_xlfn.XLOOKUP(Acc_Char!$E1496,Table4[[#All],[Branch]],Table4[[#All],[Bank]],"recheck",0)</f>
        <v>BIDV - THANH XUAN</v>
      </c>
    </row>
    <row r="1497" spans="1:10">
      <c r="A1497" s="998">
        <f t="shared" si="23"/>
        <v>1494</v>
      </c>
      <c r="B1497" s="1004" t="s">
        <v>1317</v>
      </c>
      <c r="C1497" s="1000" t="s">
        <v>3256</v>
      </c>
      <c r="D1497" s="932" t="str">
        <f>VLOOKUP($C1497,Table1[#All],2,0)</f>
        <v>HOLDCO4O</v>
      </c>
      <c r="E1497" s="932" t="s">
        <v>92</v>
      </c>
      <c r="F1497" s="998" t="s">
        <v>80</v>
      </c>
      <c r="G1497" s="932" t="s">
        <v>310</v>
      </c>
      <c r="H1497" s="932" t="str">
        <f>VLOOKUP($C1497,Table1[#All],3,0)</f>
        <v>Subsidiaries</v>
      </c>
      <c r="I1497" s="932" t="str" cm="1">
        <f t="array" ref="I1497">_xlfn.XLOOKUP(Acc_Char!$E1497,Table4[[#All],[Branch]],Table4[[#All],[Bank]],"recheck",0)</f>
        <v>BIDV - THANH XUAN</v>
      </c>
    </row>
    <row r="1498" spans="1:10">
      <c r="A1498" s="998">
        <f t="shared" si="23"/>
        <v>1495</v>
      </c>
      <c r="B1498" s="1004" t="s">
        <v>1316</v>
      </c>
      <c r="C1498" s="1000" t="s">
        <v>3255</v>
      </c>
      <c r="D1498" s="932" t="str">
        <f>VLOOKUP($C1498,Table1[#All],2,0)</f>
        <v>HOLDCO4N</v>
      </c>
      <c r="E1498" s="932" t="s">
        <v>92</v>
      </c>
      <c r="F1498" s="998" t="s">
        <v>80</v>
      </c>
      <c r="G1498" s="932" t="s">
        <v>310</v>
      </c>
      <c r="H1498" s="932" t="str">
        <f>VLOOKUP($C1498,Table1[#All],3,0)</f>
        <v>Subsidiaries</v>
      </c>
      <c r="I1498" s="932" t="str" cm="1">
        <f t="array" ref="I1498">_xlfn.XLOOKUP(Acc_Char!$E1498,Table4[[#All],[Branch]],Table4[[#All],[Bank]],"recheck",0)</f>
        <v>BIDV - THANH XUAN</v>
      </c>
    </row>
    <row r="1499" spans="1:10">
      <c r="A1499" s="998">
        <f t="shared" si="23"/>
        <v>1496</v>
      </c>
      <c r="B1499" s="1004" t="s">
        <v>1315</v>
      </c>
      <c r="C1499" s="1000" t="s">
        <v>3260</v>
      </c>
      <c r="D1499" s="932" t="str">
        <f>VLOOKUP($C1499,Table1[#All],2,0)</f>
        <v>HOLDCO5M</v>
      </c>
      <c r="E1499" s="932" t="s">
        <v>92</v>
      </c>
      <c r="F1499" s="998" t="s">
        <v>80</v>
      </c>
      <c r="G1499" s="932" t="s">
        <v>310</v>
      </c>
      <c r="H1499" s="932" t="str">
        <f>VLOOKUP($C1499,Table1[#All],3,0)</f>
        <v>Subsidiaries</v>
      </c>
      <c r="I1499" s="932" t="str" cm="1">
        <f t="array" ref="I1499">_xlfn.XLOOKUP(Acc_Char!$E1499,Table4[[#All],[Branch]],Table4[[#All],[Bank]],"recheck",0)</f>
        <v>BIDV - THANH XUAN</v>
      </c>
    </row>
    <row r="1500" spans="1:10">
      <c r="A1500" s="998">
        <f t="shared" si="23"/>
        <v>1497</v>
      </c>
      <c r="B1500" s="1004" t="s">
        <v>1314</v>
      </c>
      <c r="C1500" s="1000" t="s">
        <v>3258</v>
      </c>
      <c r="D1500" s="932" t="str">
        <f>VLOOKUP($C1500,Table1[#All],2,0)</f>
        <v>HOLDCO5K</v>
      </c>
      <c r="E1500" s="932" t="s">
        <v>92</v>
      </c>
      <c r="F1500" s="998" t="s">
        <v>80</v>
      </c>
      <c r="G1500" s="932" t="s">
        <v>310</v>
      </c>
      <c r="H1500" s="932" t="str">
        <f>VLOOKUP($C1500,Table1[#All],3,0)</f>
        <v>Subsidiaries</v>
      </c>
      <c r="I1500" s="932" t="str" cm="1">
        <f t="array" ref="I1500">_xlfn.XLOOKUP(Acc_Char!$E1500,Table4[[#All],[Branch]],Table4[[#All],[Bank]],"recheck",0)</f>
        <v>BIDV - THANH XUAN</v>
      </c>
    </row>
    <row r="1501" spans="1:10">
      <c r="A1501" s="998">
        <f t="shared" si="23"/>
        <v>1498</v>
      </c>
      <c r="B1501" s="1004" t="s">
        <v>1313</v>
      </c>
      <c r="C1501" s="1000" t="s">
        <v>3254</v>
      </c>
      <c r="D1501" s="932" t="str">
        <f>VLOOKUP($C1501,Table1[#All],2,0)</f>
        <v>HOLDCO4M</v>
      </c>
      <c r="E1501" s="932" t="s">
        <v>92</v>
      </c>
      <c r="F1501" s="998" t="s">
        <v>80</v>
      </c>
      <c r="G1501" s="932" t="s">
        <v>310</v>
      </c>
      <c r="H1501" s="932" t="str">
        <f>VLOOKUP($C1501,Table1[#All],3,0)</f>
        <v>Subsidiaries</v>
      </c>
      <c r="I1501" s="932" t="str" cm="1">
        <f t="array" ref="I1501">_xlfn.XLOOKUP(Acc_Char!$E1501,Table4[[#All],[Branch]],Table4[[#All],[Bank]],"recheck",0)</f>
        <v>BIDV - THANH XUAN</v>
      </c>
    </row>
    <row r="1502" spans="1:10">
      <c r="A1502" s="998">
        <f t="shared" si="23"/>
        <v>1499</v>
      </c>
      <c r="B1502" s="1004" t="s">
        <v>1312</v>
      </c>
      <c r="C1502" s="1000" t="s">
        <v>3252</v>
      </c>
      <c r="D1502" s="932" t="str">
        <f>VLOOKUP($C1502,Table1[#All],2,0)</f>
        <v>HOLDCO4K</v>
      </c>
      <c r="E1502" s="932" t="s">
        <v>92</v>
      </c>
      <c r="F1502" s="998" t="s">
        <v>80</v>
      </c>
      <c r="G1502" s="932" t="s">
        <v>310</v>
      </c>
      <c r="H1502" s="932" t="str">
        <f>VLOOKUP($C1502,Table1[#All],3,0)</f>
        <v>Subsidiaries</v>
      </c>
      <c r="I1502" s="932" t="str" cm="1">
        <f t="array" ref="I1502">_xlfn.XLOOKUP(Acc_Char!$E1502,Table4[[#All],[Branch]],Table4[[#All],[Bank]],"recheck",0)</f>
        <v>BIDV - THANH XUAN</v>
      </c>
    </row>
    <row r="1503" spans="1:10">
      <c r="A1503" s="998">
        <f t="shared" si="23"/>
        <v>1500</v>
      </c>
      <c r="B1503" s="1004" t="s">
        <v>1311</v>
      </c>
      <c r="C1503" s="1000" t="s">
        <v>389</v>
      </c>
      <c r="D1503" s="932" t="str">
        <f>VLOOKUP($C1503,Table1[#All],2,0)</f>
        <v>BWID BINH DUONG</v>
      </c>
      <c r="E1503" s="932" t="s">
        <v>153</v>
      </c>
      <c r="F1503" s="998" t="s">
        <v>80</v>
      </c>
      <c r="G1503" s="932" t="s">
        <v>310</v>
      </c>
      <c r="H1503" s="932" t="str">
        <f>VLOOKUP($C1503,Table1[#All],3,0)</f>
        <v>BWID JSC</v>
      </c>
      <c r="I1503" s="932" t="str" cm="1">
        <f t="array" ref="I1503">_xlfn.XLOOKUP(Acc_Char!$E1503,Table4[[#All],[Branch]],Table4[[#All],[Bank]],"recheck",0)</f>
        <v>VIETINBANK - BINH DUONG + QM</v>
      </c>
    </row>
    <row r="1504" spans="1:10">
      <c r="A1504" s="998">
        <f t="shared" si="23"/>
        <v>1501</v>
      </c>
      <c r="B1504" s="1004" t="s">
        <v>1310</v>
      </c>
      <c r="C1504" s="1000" t="s">
        <v>389</v>
      </c>
      <c r="D1504" s="932" t="str">
        <f>VLOOKUP($C1504,Table1[#All],2,0)</f>
        <v>BWID BINH DUONG</v>
      </c>
      <c r="E1504" s="932" t="s">
        <v>153</v>
      </c>
      <c r="F1504" s="998" t="s">
        <v>80</v>
      </c>
      <c r="G1504" s="932" t="s">
        <v>310</v>
      </c>
      <c r="H1504" s="932" t="str">
        <f>VLOOKUP($C1504,Table1[#All],3,0)</f>
        <v>BWID JSC</v>
      </c>
      <c r="I1504" s="932" t="str" cm="1">
        <f t="array" ref="I1504">_xlfn.XLOOKUP(Acc_Char!$E1504,Table4[[#All],[Branch]],Table4[[#All],[Bank]],"recheck",0)</f>
        <v>VIETINBANK - BINH DUONG + QM</v>
      </c>
    </row>
    <row r="1505" spans="1:9">
      <c r="A1505" s="998">
        <f t="shared" si="23"/>
        <v>1502</v>
      </c>
      <c r="B1505" s="1004" t="s">
        <v>1309</v>
      </c>
      <c r="C1505" s="1000" t="s">
        <v>402</v>
      </c>
      <c r="D1505" s="932" t="str">
        <f>VLOOKUP($C1505,Table1[#All],2,0)</f>
        <v>BWID DONG AN LID</v>
      </c>
      <c r="E1505" s="932" t="s">
        <v>88</v>
      </c>
      <c r="F1505" s="998" t="s">
        <v>80</v>
      </c>
      <c r="G1505" s="932" t="s">
        <v>310</v>
      </c>
      <c r="H1505" s="932" t="str">
        <f>VLOOKUP($C1505,Table1[#All],3,0)</f>
        <v>Subsidiaries</v>
      </c>
      <c r="I1505" s="932" t="str" cm="1">
        <f t="array" ref="I1505">_xlfn.XLOOKUP(Acc_Char!$E1505,Table4[[#All],[Branch]],Table4[[#All],[Bank]],"recheck",0)</f>
        <v>VIETINBANK - DONG SAI GON</v>
      </c>
    </row>
    <row r="1506" spans="1:9">
      <c r="A1506" s="998">
        <f t="shared" si="23"/>
        <v>1503</v>
      </c>
      <c r="B1506" s="1004" t="s">
        <v>1307</v>
      </c>
      <c r="C1506" s="1000" t="s">
        <v>634</v>
      </c>
      <c r="D1506" s="932" t="str">
        <f>VLOOKUP($C1506,Table1[#All],2,0)</f>
        <v>SPV4E</v>
      </c>
      <c r="E1506" s="932" t="s">
        <v>85</v>
      </c>
      <c r="F1506" s="998" t="s">
        <v>80</v>
      </c>
      <c r="G1506" s="932" t="s">
        <v>310</v>
      </c>
      <c r="H1506" s="932" t="str">
        <f>VLOOKUP($C1506,Table1[#All],3,0)</f>
        <v>Subsidiaries</v>
      </c>
      <c r="I1506" s="932" t="str" cm="1">
        <f t="array" ref="I1506">_xlfn.XLOOKUP(Acc_Char!$E1506,Table4[[#All],[Branch]],Table4[[#All],[Bank]],"recheck",0)</f>
        <v>VIETINBANK - TIEN SON</v>
      </c>
    </row>
    <row r="1507" spans="1:9">
      <c r="A1507" s="998">
        <f t="shared" si="23"/>
        <v>1504</v>
      </c>
      <c r="B1507" s="1004" t="s">
        <v>1306</v>
      </c>
      <c r="C1507" s="1000" t="s">
        <v>630</v>
      </c>
      <c r="D1507" s="932" t="str">
        <f>VLOOKUP($C1507,Table1[#All],2,0)</f>
        <v>SPV4D</v>
      </c>
      <c r="E1507" s="932" t="s">
        <v>85</v>
      </c>
      <c r="F1507" s="998" t="s">
        <v>80</v>
      </c>
      <c r="G1507" s="932" t="s">
        <v>310</v>
      </c>
      <c r="H1507" s="932" t="str">
        <f>VLOOKUP($C1507,Table1[#All],3,0)</f>
        <v>Subsidiaries</v>
      </c>
      <c r="I1507" s="932" t="str" cm="1">
        <f t="array" ref="I1507">_xlfn.XLOOKUP(Acc_Char!$E1507,Table4[[#All],[Branch]],Table4[[#All],[Bank]],"recheck",0)</f>
        <v>VIETINBANK - TIEN SON</v>
      </c>
    </row>
    <row r="1508" spans="1:9">
      <c r="A1508" s="998">
        <f t="shared" si="23"/>
        <v>1505</v>
      </c>
      <c r="B1508" s="1004" t="s">
        <v>1304</v>
      </c>
      <c r="C1508" s="1000" t="s">
        <v>3182</v>
      </c>
      <c r="D1508" s="932" t="str">
        <f>VLOOKUP($C1508,Table1[#All],2,0)</f>
        <v>PHUOC LOI</v>
      </c>
      <c r="E1508" s="932" t="s">
        <v>85</v>
      </c>
      <c r="F1508" s="998" t="s">
        <v>80</v>
      </c>
      <c r="G1508" s="932" t="s">
        <v>310</v>
      </c>
      <c r="H1508" s="932" t="str">
        <f>VLOOKUP($C1508,Table1[#All],3,0)</f>
        <v>Subsidiaries</v>
      </c>
      <c r="I1508" s="932" t="str" cm="1">
        <f t="array" ref="I1508">_xlfn.XLOOKUP(Acc_Char!$E1508,Table4[[#All],[Branch]],Table4[[#All],[Bank]],"recheck",0)</f>
        <v>VIETINBANK - TIEN SON</v>
      </c>
    </row>
    <row r="1509" spans="1:9">
      <c r="A1509" s="998">
        <f t="shared" si="23"/>
        <v>1506</v>
      </c>
      <c r="B1509" s="1004" t="s">
        <v>1305</v>
      </c>
      <c r="C1509" s="1000" t="s">
        <v>3182</v>
      </c>
      <c r="D1509" s="932" t="str">
        <f>VLOOKUP($C1509,Table1[#All],2,0)</f>
        <v>PHUOC LOI</v>
      </c>
      <c r="E1509" s="932" t="s">
        <v>803</v>
      </c>
      <c r="F1509" s="998" t="s">
        <v>80</v>
      </c>
      <c r="G1509" s="932" t="s">
        <v>308</v>
      </c>
      <c r="H1509" s="932" t="str">
        <f>VLOOKUP($C1509,Table1[#All],3,0)</f>
        <v>Subsidiaries</v>
      </c>
      <c r="I1509" s="932" t="str" cm="1">
        <f t="array" ref="I1509">_xlfn.XLOOKUP(Acc_Char!$E1509,Table4[[#All],[Branch]],Table4[[#All],[Bank]],"recheck",0)</f>
        <v>UOB</v>
      </c>
    </row>
    <row r="1510" spans="1:9">
      <c r="A1510" s="998">
        <f>A1508+1</f>
        <v>1506</v>
      </c>
      <c r="B1510" s="1004" t="s">
        <v>1303</v>
      </c>
      <c r="C1510" s="1000" t="s">
        <v>3262</v>
      </c>
      <c r="D1510" s="932" t="str">
        <f>VLOOKUP($C1510,Table1[#All],2,0)</f>
        <v>WPJV 2</v>
      </c>
      <c r="E1510" s="932" t="s">
        <v>85</v>
      </c>
      <c r="F1510" s="998" t="s">
        <v>80</v>
      </c>
      <c r="G1510" s="932" t="s">
        <v>310</v>
      </c>
      <c r="H1510" s="932" t="str">
        <f>VLOOKUP($C1510,Table1[#All],3,0)</f>
        <v>Subsidiaries</v>
      </c>
      <c r="I1510" s="932" t="str" cm="1">
        <f t="array" ref="I1510">_xlfn.XLOOKUP(Acc_Char!$E1510,Table4[[#All],[Branch]],Table4[[#All],[Bank]],"recheck",0)</f>
        <v>VIETINBANK - TIEN SON</v>
      </c>
    </row>
    <row r="1511" spans="1:9">
      <c r="A1511" s="998">
        <f t="shared" si="23"/>
        <v>1507</v>
      </c>
      <c r="B1511" s="1004" t="s">
        <v>1302</v>
      </c>
      <c r="C1511" s="1000" t="s">
        <v>3261</v>
      </c>
      <c r="D1511" s="932" t="str">
        <f>VLOOKUP($C1511,Table1[#All],2,0)</f>
        <v>WPJV 1</v>
      </c>
      <c r="E1511" s="932" t="s">
        <v>85</v>
      </c>
      <c r="F1511" s="998" t="s">
        <v>80</v>
      </c>
      <c r="G1511" s="932" t="s">
        <v>310</v>
      </c>
      <c r="H1511" s="932" t="str">
        <f>VLOOKUP($C1511,Table1[#All],3,0)</f>
        <v>Subsidiaries</v>
      </c>
      <c r="I1511" s="932" t="str" cm="1">
        <f t="array" ref="I1511">_xlfn.XLOOKUP(Acc_Char!$E1511,Table4[[#All],[Branch]],Table4[[#All],[Bank]],"recheck",0)</f>
        <v>VIETINBANK - TIEN SON</v>
      </c>
    </row>
    <row r="1512" spans="1:9">
      <c r="A1512" s="998">
        <f t="shared" si="23"/>
        <v>1508</v>
      </c>
      <c r="B1512" s="1004" t="s">
        <v>1301</v>
      </c>
      <c r="C1512" s="1000" t="s">
        <v>638</v>
      </c>
      <c r="D1512" s="932" t="str">
        <f>VLOOKUP($C1512,Table1[#All],2,0)</f>
        <v>SPV5A</v>
      </c>
      <c r="E1512" s="932" t="s">
        <v>85</v>
      </c>
      <c r="F1512" s="998" t="s">
        <v>80</v>
      </c>
      <c r="G1512" s="932" t="s">
        <v>310</v>
      </c>
      <c r="H1512" s="932" t="str">
        <f>VLOOKUP($C1512,Table1[#All],3,0)</f>
        <v>Subsidiaries</v>
      </c>
      <c r="I1512" s="932" t="str" cm="1">
        <f t="array" ref="I1512">_xlfn.XLOOKUP(Acc_Char!$E1512,Table4[[#All],[Branch]],Table4[[#All],[Bank]],"recheck",0)</f>
        <v>VIETINBANK - TIEN SON</v>
      </c>
    </row>
    <row r="1513" spans="1:9">
      <c r="A1513" s="998">
        <f t="shared" si="23"/>
        <v>1509</v>
      </c>
      <c r="B1513" s="1004" t="s">
        <v>1300</v>
      </c>
      <c r="C1513" s="1000" t="s">
        <v>3085</v>
      </c>
      <c r="D1513" s="932" t="str">
        <f>VLOOKUP($C1513,Table1[#All],2,0)</f>
        <v>IRE CONSULTANCY &amp; MANAGEMENT</v>
      </c>
      <c r="E1513" s="932" t="s">
        <v>85</v>
      </c>
      <c r="F1513" s="998" t="s">
        <v>80</v>
      </c>
      <c r="G1513" s="932" t="s">
        <v>310</v>
      </c>
      <c r="H1513" s="932" t="str">
        <f>VLOOKUP($C1513,Table1[#All],3,0)</f>
        <v>Subsidiaries</v>
      </c>
      <c r="I1513" s="932" t="str" cm="1">
        <f t="array" ref="I1513">_xlfn.XLOOKUP(Acc_Char!$E1513,Table4[[#All],[Branch]],Table4[[#All],[Bank]],"recheck",0)</f>
        <v>VIETINBANK - TIEN SON</v>
      </c>
    </row>
    <row r="1514" spans="1:9">
      <c r="A1514" s="998">
        <f t="shared" si="23"/>
        <v>1510</v>
      </c>
      <c r="B1514" s="1004" t="s">
        <v>1299</v>
      </c>
      <c r="C1514" s="1000" t="s">
        <v>3404</v>
      </c>
      <c r="D1514" s="932" t="str">
        <f>VLOOKUP($C1514,Table1[#All],2,0)</f>
        <v>HOLDCO5U</v>
      </c>
      <c r="E1514" s="932" t="s">
        <v>85</v>
      </c>
      <c r="F1514" s="998" t="s">
        <v>80</v>
      </c>
      <c r="G1514" s="932" t="s">
        <v>310</v>
      </c>
      <c r="H1514" s="932" t="str">
        <f>VLOOKUP($C1514,Table1[#All],3,0)</f>
        <v>Subsidiaries</v>
      </c>
      <c r="I1514" s="932" t="str" cm="1">
        <f t="array" ref="I1514">_xlfn.XLOOKUP(Acc_Char!$E1514,Table4[[#All],[Branch]],Table4[[#All],[Bank]],"recheck",0)</f>
        <v>VIETINBANK - TIEN SON</v>
      </c>
    </row>
    <row r="1515" spans="1:9">
      <c r="A1515" s="998">
        <f t="shared" si="23"/>
        <v>1511</v>
      </c>
      <c r="B1515" s="1004" t="s">
        <v>1298</v>
      </c>
      <c r="C1515" s="1000" t="s">
        <v>3403</v>
      </c>
      <c r="D1515" s="932" t="str">
        <f>VLOOKUP($C1515,Table1[#All],2,0)</f>
        <v>HOLDCO5T</v>
      </c>
      <c r="E1515" s="932" t="s">
        <v>85</v>
      </c>
      <c r="F1515" s="998" t="s">
        <v>80</v>
      </c>
      <c r="G1515" s="932" t="s">
        <v>310</v>
      </c>
      <c r="H1515" s="932" t="str">
        <f>VLOOKUP($C1515,Table1[#All],3,0)</f>
        <v>Subsidiaries</v>
      </c>
      <c r="I1515" s="932" t="str" cm="1">
        <f t="array" ref="I1515">_xlfn.XLOOKUP(Acc_Char!$E1515,Table4[[#All],[Branch]],Table4[[#All],[Bank]],"recheck",0)</f>
        <v>VIETINBANK - TIEN SON</v>
      </c>
    </row>
    <row r="1516" spans="1:9">
      <c r="A1516" s="998">
        <f t="shared" si="23"/>
        <v>1512</v>
      </c>
      <c r="B1516" s="1004" t="s">
        <v>1296</v>
      </c>
      <c r="C1516" s="1000" t="s">
        <v>3401</v>
      </c>
      <c r="D1516" s="932" t="str">
        <f>VLOOKUP($C1516,Table1[#All],2,0)</f>
        <v>HOLDCO5R</v>
      </c>
      <c r="E1516" s="932" t="s">
        <v>85</v>
      </c>
      <c r="F1516" s="998" t="s">
        <v>80</v>
      </c>
      <c r="G1516" s="932" t="s">
        <v>310</v>
      </c>
      <c r="H1516" s="932" t="str">
        <f>VLOOKUP($C1516,Table1[#All],3,0)</f>
        <v>Subsidiaries</v>
      </c>
      <c r="I1516" s="932" t="str" cm="1">
        <f t="array" ref="I1516">_xlfn.XLOOKUP(Acc_Char!$E1516,Table4[[#All],[Branch]],Table4[[#All],[Bank]],"recheck",0)</f>
        <v>VIETINBANK - TIEN SON</v>
      </c>
    </row>
    <row r="1517" spans="1:9">
      <c r="A1517" s="998">
        <f t="shared" si="23"/>
        <v>1513</v>
      </c>
      <c r="B1517" s="1004" t="s">
        <v>1295</v>
      </c>
      <c r="C1517" s="1000" t="s">
        <v>3217</v>
      </c>
      <c r="D1517" s="932" t="str">
        <f>VLOOKUP($C1517,Table1[#All],2,0)</f>
        <v>HOLDCO5I</v>
      </c>
      <c r="E1517" s="932" t="s">
        <v>85</v>
      </c>
      <c r="F1517" s="998" t="s">
        <v>80</v>
      </c>
      <c r="G1517" s="932" t="s">
        <v>310</v>
      </c>
      <c r="H1517" s="932" t="str">
        <f>VLOOKUP($C1517,Table1[#All],3,0)</f>
        <v>Subsidiaries</v>
      </c>
      <c r="I1517" s="932" t="str" cm="1">
        <f t="array" ref="I1517">_xlfn.XLOOKUP(Acc_Char!$E1517,Table4[[#All],[Branch]],Table4[[#All],[Bank]],"recheck",0)</f>
        <v>VIETINBANK - TIEN SON</v>
      </c>
    </row>
    <row r="1518" spans="1:9">
      <c r="A1518" s="998">
        <f t="shared" si="23"/>
        <v>1514</v>
      </c>
      <c r="B1518" s="1004" t="s">
        <v>1294</v>
      </c>
      <c r="C1518" s="1000" t="s">
        <v>3011</v>
      </c>
      <c r="D1518" s="932" t="str">
        <f>VLOOKUP($C1518,Table1[#All],2,0)</f>
        <v>HOLDCO5H</v>
      </c>
      <c r="E1518" s="932" t="s">
        <v>85</v>
      </c>
      <c r="F1518" s="998" t="s">
        <v>80</v>
      </c>
      <c r="G1518" s="932" t="s">
        <v>310</v>
      </c>
      <c r="H1518" s="932" t="str">
        <f>VLOOKUP($C1518,Table1[#All],3,0)</f>
        <v>Subsidiaries</v>
      </c>
      <c r="I1518" s="932" t="str" cm="1">
        <f t="array" ref="I1518">_xlfn.XLOOKUP(Acc_Char!$E1518,Table4[[#All],[Branch]],Table4[[#All],[Bank]],"recheck",0)</f>
        <v>VIETINBANK - TIEN SON</v>
      </c>
    </row>
    <row r="1519" spans="1:9">
      <c r="A1519" s="998">
        <f t="shared" si="23"/>
        <v>1515</v>
      </c>
      <c r="B1519" s="1004" t="s">
        <v>1293</v>
      </c>
      <c r="C1519" s="1000" t="s">
        <v>3215</v>
      </c>
      <c r="D1519" s="932" t="str">
        <f>VLOOKUP($C1519,Table1[#All],2,0)</f>
        <v>HOLDCO5G</v>
      </c>
      <c r="E1519" s="932" t="s">
        <v>85</v>
      </c>
      <c r="F1519" s="998" t="s">
        <v>80</v>
      </c>
      <c r="G1519" s="932" t="s">
        <v>310</v>
      </c>
      <c r="H1519" s="932" t="str">
        <f>VLOOKUP($C1519,Table1[#All],3,0)</f>
        <v>Subsidiaries</v>
      </c>
      <c r="I1519" s="932" t="str" cm="1">
        <f t="array" ref="I1519">_xlfn.XLOOKUP(Acc_Char!$E1519,Table4[[#All],[Branch]],Table4[[#All],[Bank]],"recheck",0)</f>
        <v>VIETINBANK - TIEN SON</v>
      </c>
    </row>
    <row r="1520" spans="1:9">
      <c r="A1520" s="998">
        <f t="shared" si="23"/>
        <v>1516</v>
      </c>
      <c r="B1520" s="1004" t="s">
        <v>1292</v>
      </c>
      <c r="C1520" s="1000" t="s">
        <v>3398</v>
      </c>
      <c r="D1520" s="932" t="str">
        <f>VLOOKUP($C1520,Table1[#All],2,0)</f>
        <v>HOLDCO4W</v>
      </c>
      <c r="E1520" s="932" t="s">
        <v>85</v>
      </c>
      <c r="F1520" s="998" t="s">
        <v>80</v>
      </c>
      <c r="G1520" s="932" t="s">
        <v>310</v>
      </c>
      <c r="H1520" s="932" t="str">
        <f>VLOOKUP($C1520,Table1[#All],3,0)</f>
        <v>Subsidiaries</v>
      </c>
      <c r="I1520" s="932" t="str" cm="1">
        <f t="array" ref="I1520">_xlfn.XLOOKUP(Acc_Char!$E1520,Table4[[#All],[Branch]],Table4[[#All],[Bank]],"recheck",0)</f>
        <v>VIETINBANK - TIEN SON</v>
      </c>
    </row>
    <row r="1521" spans="1:10">
      <c r="A1521" s="998">
        <f t="shared" si="23"/>
        <v>1517</v>
      </c>
      <c r="B1521" s="1004" t="s">
        <v>1291</v>
      </c>
      <c r="C1521" s="1000" t="s">
        <v>3559</v>
      </c>
      <c r="D1521" s="932" t="str">
        <f>VLOOKUP($C1521,Table1[#All],2,0)</f>
        <v>HOLDCO S5B</v>
      </c>
      <c r="E1521" s="932" t="s">
        <v>85</v>
      </c>
      <c r="F1521" s="998" t="s">
        <v>80</v>
      </c>
      <c r="G1521" s="932" t="s">
        <v>310</v>
      </c>
      <c r="H1521" s="932" t="str">
        <f>VLOOKUP($C1521,Table1[#All],3,0)</f>
        <v>Subsidiaries</v>
      </c>
      <c r="I1521" s="932" t="str" cm="1">
        <f t="array" ref="I1521">_xlfn.XLOOKUP(Acc_Char!$E1521,Table4[[#All],[Branch]],Table4[[#All],[Bank]],"recheck",0)</f>
        <v>VIETINBANK - TIEN SON</v>
      </c>
    </row>
    <row r="1522" spans="1:10">
      <c r="A1522" s="998">
        <f t="shared" si="23"/>
        <v>1518</v>
      </c>
      <c r="B1522" s="1004" t="s">
        <v>1288</v>
      </c>
      <c r="C1522" s="1000" t="s">
        <v>3557</v>
      </c>
      <c r="D1522" s="932" t="str">
        <f>VLOOKUP($C1522,Table1[#All],2,0)</f>
        <v>HOLDCO S5A</v>
      </c>
      <c r="E1522" s="932" t="s">
        <v>85</v>
      </c>
      <c r="F1522" s="998" t="s">
        <v>80</v>
      </c>
      <c r="G1522" s="932" t="s">
        <v>310</v>
      </c>
      <c r="H1522" s="932" t="str">
        <f>VLOOKUP($C1522,Table1[#All],3,0)</f>
        <v>Subsidiaries</v>
      </c>
      <c r="I1522" s="932" t="str" cm="1">
        <f t="array" ref="I1522">_xlfn.XLOOKUP(Acc_Char!$E1522,Table4[[#All],[Branch]],Table4[[#All],[Bank]],"recheck",0)</f>
        <v>VIETINBANK - TIEN SON</v>
      </c>
    </row>
    <row r="1523" spans="1:10">
      <c r="A1523" s="998">
        <f t="shared" si="23"/>
        <v>1519</v>
      </c>
      <c r="B1523" s="1004" t="s">
        <v>1287</v>
      </c>
      <c r="C1523" s="1000" t="s">
        <v>3560</v>
      </c>
      <c r="D1523" s="932" t="str">
        <f>VLOOKUP($C1523,Table1[#All],2,0)</f>
        <v>HOLDCO S4E</v>
      </c>
      <c r="E1523" s="932" t="s">
        <v>85</v>
      </c>
      <c r="F1523" s="998" t="s">
        <v>80</v>
      </c>
      <c r="G1523" s="932" t="s">
        <v>310</v>
      </c>
      <c r="H1523" s="932" t="str">
        <f>VLOOKUP($C1523,Table1[#All],3,0)</f>
        <v>Subsidiaries</v>
      </c>
      <c r="I1523" s="932" t="str" cm="1">
        <f t="array" ref="I1523">_xlfn.XLOOKUP(Acc_Char!$E1523,Table4[[#All],[Branch]],Table4[[#All],[Bank]],"recheck",0)</f>
        <v>VIETINBANK - TIEN SON</v>
      </c>
    </row>
    <row r="1524" spans="1:10">
      <c r="A1524" s="998">
        <f t="shared" si="23"/>
        <v>1520</v>
      </c>
      <c r="B1524" s="1004" t="s">
        <v>1286</v>
      </c>
      <c r="C1524" s="1000" t="s">
        <v>3399</v>
      </c>
      <c r="D1524" s="932" t="str">
        <f>VLOOKUP($C1524,Table1[#All],2,0)</f>
        <v>HOLDCO4X</v>
      </c>
      <c r="E1524" s="932" t="s">
        <v>85</v>
      </c>
      <c r="F1524" s="998" t="s">
        <v>80</v>
      </c>
      <c r="G1524" s="932" t="s">
        <v>310</v>
      </c>
      <c r="H1524" s="932" t="str">
        <f>VLOOKUP($C1524,Table1[#All],3,0)</f>
        <v>Subsidiaries</v>
      </c>
      <c r="I1524" s="932" t="str" cm="1">
        <f t="array" ref="I1524">_xlfn.XLOOKUP(Acc_Char!$E1524,Table4[[#All],[Branch]],Table4[[#All],[Bank]],"recheck",0)</f>
        <v>VIETINBANK - TIEN SON</v>
      </c>
    </row>
    <row r="1525" spans="1:10">
      <c r="A1525" s="998">
        <f t="shared" si="23"/>
        <v>1521</v>
      </c>
      <c r="B1525" s="1004" t="s">
        <v>1289</v>
      </c>
      <c r="C1525" s="1000" t="s">
        <v>3250</v>
      </c>
      <c r="D1525" s="932" t="str">
        <f>VLOOKUP($C1525,Table1[#All],2,0)</f>
        <v>BW MY PHUOC 3</v>
      </c>
      <c r="E1525" s="932" t="s">
        <v>153</v>
      </c>
      <c r="F1525" s="998" t="s">
        <v>80</v>
      </c>
      <c r="G1525" s="932" t="s">
        <v>310</v>
      </c>
      <c r="H1525" s="932" t="str">
        <f>VLOOKUP($C1525,Table1[#All],3,0)</f>
        <v>Subsidiaries</v>
      </c>
      <c r="I1525" s="932" t="str" cm="1">
        <f t="array" ref="I1525">_xlfn.XLOOKUP(Acc_Char!$E1525,Table4[[#All],[Branch]],Table4[[#All],[Bank]],"recheck",0)</f>
        <v>VIETINBANK - BINH DUONG + QM</v>
      </c>
    </row>
    <row r="1526" spans="1:10">
      <c r="A1526" s="998">
        <f t="shared" si="23"/>
        <v>1522</v>
      </c>
      <c r="B1526" s="1004" t="s">
        <v>1285</v>
      </c>
      <c r="C1526" s="1000" t="s">
        <v>3628</v>
      </c>
      <c r="D1526" s="932" t="str">
        <f>VLOOKUP($C1526,Table1[#All],2,0)</f>
        <v>HOLDCO N4E</v>
      </c>
      <c r="E1526" s="932" t="s">
        <v>85</v>
      </c>
      <c r="F1526" s="998" t="s">
        <v>80</v>
      </c>
      <c r="G1526" s="932" t="s">
        <v>310</v>
      </c>
      <c r="H1526" s="932" t="str">
        <f>VLOOKUP($C1526,Table1[#All],3,0)</f>
        <v>Subsidiaries</v>
      </c>
      <c r="I1526" s="932" t="str" cm="1">
        <f t="array" ref="I1526">_xlfn.XLOOKUP(Acc_Char!$E1526,Table4[[#All],[Branch]],Table4[[#All],[Bank]],"recheck",0)</f>
        <v>VIETINBANK - TIEN SON</v>
      </c>
    </row>
    <row r="1527" spans="1:10">
      <c r="A1527" s="998">
        <f t="shared" si="23"/>
        <v>1523</v>
      </c>
      <c r="B1527" s="1004" t="s">
        <v>1308</v>
      </c>
      <c r="C1527" s="1000" t="s">
        <v>3627</v>
      </c>
      <c r="D1527" s="932" t="str">
        <f>VLOOKUP($C1527,Table1[#All],2,0)</f>
        <v>HOLDCO N4D</v>
      </c>
      <c r="E1527" s="932" t="s">
        <v>85</v>
      </c>
      <c r="F1527" s="998" t="s">
        <v>80</v>
      </c>
      <c r="G1527" s="932" t="s">
        <v>310</v>
      </c>
      <c r="H1527" s="932" t="str">
        <f>VLOOKUP($C1527,Table1[#All],3,0)</f>
        <v>Subsidiaries</v>
      </c>
      <c r="I1527" s="932" t="str" cm="1">
        <f t="array" ref="I1527">_xlfn.XLOOKUP(Acc_Char!$E1527,Table4[[#All],[Branch]],Table4[[#All],[Bank]],"recheck",0)</f>
        <v>VIETINBANK - TIEN SON</v>
      </c>
    </row>
    <row r="1528" spans="1:10">
      <c r="A1528" s="998">
        <f t="shared" si="23"/>
        <v>1524</v>
      </c>
      <c r="B1528" s="1004" t="s">
        <v>1284</v>
      </c>
      <c r="C1528" s="1000" t="s">
        <v>3626</v>
      </c>
      <c r="D1528" s="932" t="str">
        <f>VLOOKUP($C1528,Table1[#All],2,0)</f>
        <v>HOLDCO N4B</v>
      </c>
      <c r="E1528" s="932" t="s">
        <v>85</v>
      </c>
      <c r="F1528" s="998" t="s">
        <v>80</v>
      </c>
      <c r="G1528" s="932" t="s">
        <v>310</v>
      </c>
      <c r="H1528" s="932" t="str">
        <f>VLOOKUP($C1528,Table1[#All],3,0)</f>
        <v>Subsidiaries</v>
      </c>
      <c r="I1528" s="932" t="str" cm="1">
        <f t="array" ref="I1528">_xlfn.XLOOKUP(Acc_Char!$E1528,Table4[[#All],[Branch]],Table4[[#All],[Bank]],"recheck",0)</f>
        <v>VIETINBANK - TIEN SON</v>
      </c>
    </row>
    <row r="1529" spans="1:10">
      <c r="A1529" s="998">
        <f t="shared" si="23"/>
        <v>1525</v>
      </c>
      <c r="B1529" s="1004" t="s">
        <v>1283</v>
      </c>
      <c r="C1529" s="1000" t="s">
        <v>3625</v>
      </c>
      <c r="D1529" s="932" t="str">
        <f>VLOOKUP($C1529,Table1[#All],2,0)</f>
        <v>HOLDCO N4A</v>
      </c>
      <c r="E1529" s="932" t="s">
        <v>85</v>
      </c>
      <c r="F1529" s="998" t="s">
        <v>80</v>
      </c>
      <c r="G1529" s="932" t="s">
        <v>310</v>
      </c>
      <c r="H1529" s="932" t="str">
        <f>VLOOKUP($C1529,Table1[#All],3,0)</f>
        <v>Subsidiaries</v>
      </c>
      <c r="I1529" s="932" t="str" cm="1">
        <f t="array" ref="I1529">_xlfn.XLOOKUP(Acc_Char!$E1529,Table4[[#All],[Branch]],Table4[[#All],[Bank]],"recheck",0)</f>
        <v>VIETINBANK - TIEN SON</v>
      </c>
    </row>
    <row r="1530" spans="1:10">
      <c r="A1530" s="998">
        <f t="shared" si="23"/>
        <v>1526</v>
      </c>
      <c r="B1530" s="1004" t="s">
        <v>1322</v>
      </c>
      <c r="C1530" s="1040" t="s">
        <v>67</v>
      </c>
      <c r="D1530" s="932" t="str">
        <f>VLOOKUP($C1530,Table1[#All],2,0)</f>
        <v>SAO HOA</v>
      </c>
      <c r="E1530" s="932" t="s">
        <v>155</v>
      </c>
      <c r="F1530" s="998" t="s">
        <v>80</v>
      </c>
      <c r="G1530" s="932" t="s">
        <v>310</v>
      </c>
      <c r="H1530" s="932" t="str">
        <f>VLOOKUP($C1530,Table1[#All],3,0)</f>
        <v>VC3</v>
      </c>
      <c r="I1530" s="932" t="str" cm="1">
        <f t="array" ref="I1530">_xlfn.XLOOKUP(Acc_Char!$E1530,Table4[[#All],[Branch]],Table4[[#All],[Bank]],"recheck",0)</f>
        <v>VIETINBANK - BINH DUONG + QM</v>
      </c>
      <c r="J1530" t="s">
        <v>466</v>
      </c>
    </row>
    <row r="1531" spans="1:10">
      <c r="A1531" s="998">
        <f t="shared" si="23"/>
        <v>1527</v>
      </c>
      <c r="B1531" s="1004" t="s">
        <v>1347</v>
      </c>
      <c r="C1531" s="1040" t="s">
        <v>67</v>
      </c>
      <c r="D1531" s="932" t="str">
        <f>VLOOKUP($C1531,Table1[#All],2,0)</f>
        <v>SAO HOA</v>
      </c>
      <c r="E1531" s="932" t="s">
        <v>86</v>
      </c>
      <c r="F1531" s="998" t="s">
        <v>80</v>
      </c>
      <c r="G1531" s="932" t="s">
        <v>310</v>
      </c>
      <c r="H1531" s="932" t="str">
        <f>VLOOKUP($C1531,Table1[#All],3,0)</f>
        <v>VC3</v>
      </c>
      <c r="I1531" s="932" t="str" cm="1">
        <f t="array" ref="I1531">_xlfn.XLOOKUP(Acc_Char!$E1531,Table4[[#All],[Branch]],Table4[[#All],[Bank]],"recheck",0)</f>
        <v>VIETINBANK - CN1</v>
      </c>
    </row>
    <row r="1532" spans="1:10">
      <c r="A1532" s="998">
        <f t="shared" si="23"/>
        <v>1528</v>
      </c>
      <c r="B1532" s="1004" t="s">
        <v>1323</v>
      </c>
      <c r="C1532" s="1000" t="s">
        <v>2968</v>
      </c>
      <c r="D1532" s="932" t="str">
        <f>VLOOKUP($C1532,Table1[#All],2,0)</f>
        <v>BCI JSC</v>
      </c>
      <c r="E1532" s="932" t="s">
        <v>85</v>
      </c>
      <c r="F1532" s="998" t="s">
        <v>80</v>
      </c>
      <c r="G1532" s="932" t="s">
        <v>310</v>
      </c>
      <c r="H1532" s="932" t="str">
        <f>VLOOKUP($C1532,Table1[#All],3,0)</f>
        <v>Subsidiaries</v>
      </c>
      <c r="I1532" s="932" t="str" cm="1">
        <f t="array" ref="I1532">_xlfn.XLOOKUP(Acc_Char!$E1532,Table4[[#All],[Branch]],Table4[[#All],[Bank]],"recheck",0)</f>
        <v>VIETINBANK - TIEN SON</v>
      </c>
    </row>
    <row r="1533" spans="1:10">
      <c r="A1533" s="998">
        <f t="shared" si="23"/>
        <v>1529</v>
      </c>
      <c r="B1533" s="1004" t="s">
        <v>1324</v>
      </c>
      <c r="C1533" s="1000" t="s">
        <v>3160</v>
      </c>
      <c r="D1533" s="932" t="str">
        <f>VLOOKUP($C1533,Table1[#All],2,0)</f>
        <v>BWID Tan Phu Trung</v>
      </c>
      <c r="E1533" s="932" t="s">
        <v>85</v>
      </c>
      <c r="F1533" s="998" t="s">
        <v>80</v>
      </c>
      <c r="G1533" s="932" t="s">
        <v>310</v>
      </c>
      <c r="H1533" s="932" t="str">
        <f>VLOOKUP($C1533,Table1[#All],3,0)</f>
        <v>Subsidiaries</v>
      </c>
      <c r="I1533" s="932" t="str" cm="1">
        <f t="array" ref="I1533">_xlfn.XLOOKUP(Acc_Char!$E1533,Table4[[#All],[Branch]],Table4[[#All],[Bank]],"recheck",0)</f>
        <v>VIETINBANK - TIEN SON</v>
      </c>
    </row>
    <row r="1534" spans="1:10">
      <c r="A1534" s="998">
        <f t="shared" si="23"/>
        <v>1530</v>
      </c>
      <c r="B1534" s="1004" t="s">
        <v>1325</v>
      </c>
      <c r="C1534" s="1000" t="s">
        <v>2895</v>
      </c>
      <c r="D1534" s="932" t="str">
        <f>VLOOKUP($C1534,Table1[#All],2,0)</f>
        <v>BWID HAI DUONG 2</v>
      </c>
      <c r="E1534" s="932" t="s">
        <v>85</v>
      </c>
      <c r="F1534" s="998" t="s">
        <v>80</v>
      </c>
      <c r="G1534" s="932" t="s">
        <v>310</v>
      </c>
      <c r="H1534" s="932" t="str">
        <f>VLOOKUP($C1534,Table1[#All],3,0)</f>
        <v>Subsidiaries</v>
      </c>
      <c r="I1534" s="932" t="str" cm="1">
        <f t="array" ref="I1534">_xlfn.XLOOKUP(Acc_Char!$E1534,Table4[[#All],[Branch]],Table4[[#All],[Bank]],"recheck",0)</f>
        <v>VIETINBANK - TIEN SON</v>
      </c>
    </row>
    <row r="1535" spans="1:10">
      <c r="A1535" s="998">
        <f t="shared" si="23"/>
        <v>1531</v>
      </c>
      <c r="B1535" s="1004" t="s">
        <v>1326</v>
      </c>
      <c r="C1535" s="1000" t="s">
        <v>2888</v>
      </c>
      <c r="D1535" s="932" t="str">
        <f>VLOOKUP($C1535,Table1[#All],2,0)</f>
        <v>BWID HAI DUONG</v>
      </c>
      <c r="E1535" s="932" t="s">
        <v>85</v>
      </c>
      <c r="F1535" s="998" t="s">
        <v>80</v>
      </c>
      <c r="G1535" s="932" t="s">
        <v>310</v>
      </c>
      <c r="H1535" s="932" t="str">
        <f>VLOOKUP($C1535,Table1[#All],3,0)</f>
        <v>Subsidiaries</v>
      </c>
      <c r="I1535" s="932" t="str" cm="1">
        <f t="array" ref="I1535">_xlfn.XLOOKUP(Acc_Char!$E1535,Table4[[#All],[Branch]],Table4[[#All],[Bank]],"recheck",0)</f>
        <v>VIETINBANK - TIEN SON</v>
      </c>
    </row>
    <row r="1536" spans="1:10">
      <c r="A1536" s="998">
        <f t="shared" si="23"/>
        <v>1532</v>
      </c>
      <c r="B1536" s="1004" t="s">
        <v>1327</v>
      </c>
      <c r="C1536" s="1000" t="s">
        <v>3323</v>
      </c>
      <c r="D1536" s="932" t="str">
        <f>VLOOKUP($C1536,Table1[#All],2,0)</f>
        <v>TAN DONG HIEP B ELECTRON</v>
      </c>
      <c r="E1536" s="932" t="s">
        <v>191</v>
      </c>
      <c r="F1536" s="998" t="s">
        <v>80</v>
      </c>
      <c r="G1536" s="932" t="s">
        <v>310</v>
      </c>
      <c r="H1536" s="932" t="str">
        <f>VLOOKUP($C1536,Table1[#All],3,0)</f>
        <v>Subsidiaries</v>
      </c>
      <c r="I1536" s="932" t="str" cm="1">
        <f t="array" ref="I1536">_xlfn.XLOOKUP(Acc_Char!$E1536,Table4[[#All],[Branch]],Table4[[#All],[Bank]],"recheck",0)</f>
        <v>VIETINBANK - TPHCM</v>
      </c>
    </row>
    <row r="1537" spans="1:10">
      <c r="A1537" s="998">
        <f t="shared" si="23"/>
        <v>1533</v>
      </c>
      <c r="B1537" s="1004" t="s">
        <v>1328</v>
      </c>
      <c r="C1537" s="1000" t="s">
        <v>3237</v>
      </c>
      <c r="D1537" s="932" t="str">
        <f>VLOOKUP($C1537,Table1[#All],2,0)</f>
        <v>LONG BINH</v>
      </c>
      <c r="E1537" s="932" t="s">
        <v>86</v>
      </c>
      <c r="F1537" s="998" t="s">
        <v>80</v>
      </c>
      <c r="G1537" s="932" t="s">
        <v>310</v>
      </c>
      <c r="H1537" s="932" t="str">
        <f>VLOOKUP($C1537,Table1[#All],3,0)</f>
        <v>Subsidiaries</v>
      </c>
      <c r="I1537" s="932" t="str" cm="1">
        <f t="array" ref="I1537">_xlfn.XLOOKUP(Acc_Char!$E1537,Table4[[#All],[Branch]],Table4[[#All],[Bank]],"recheck",0)</f>
        <v>VIETINBANK - CN1</v>
      </c>
    </row>
    <row r="1538" spans="1:10">
      <c r="A1538" s="998">
        <f t="shared" si="23"/>
        <v>1534</v>
      </c>
      <c r="B1538" s="1004" t="s">
        <v>3838</v>
      </c>
      <c r="C1538" s="1000" t="s">
        <v>3199</v>
      </c>
      <c r="D1538" s="932" t="str">
        <f>VLOOKUP($C1538,Table1[#All],2,0)</f>
        <v>VINA PARTNERS INVESTMENT</v>
      </c>
      <c r="E1538" s="932" t="s">
        <v>86</v>
      </c>
      <c r="F1538" s="998" t="s">
        <v>80</v>
      </c>
      <c r="G1538" s="932" t="s">
        <v>310</v>
      </c>
      <c r="H1538" s="932" t="str">
        <f>VLOOKUP($C1538,Table1[#All],3,0)</f>
        <v>Subsidiaries</v>
      </c>
      <c r="I1538" s="932" t="str" cm="1">
        <f t="array" ref="I1538">_xlfn.XLOOKUP(Acc_Char!$E1538,Table4[[#All],[Branch]],Table4[[#All],[Bank]],"recheck",0)</f>
        <v>VIETINBANK - CN1</v>
      </c>
    </row>
    <row r="1539" spans="1:10">
      <c r="A1539" s="998">
        <f t="shared" si="23"/>
        <v>1535</v>
      </c>
      <c r="B1539" s="1004" t="s">
        <v>1282</v>
      </c>
      <c r="C1539" s="1000" t="s">
        <v>3086</v>
      </c>
      <c r="D1539" s="932" t="str">
        <f>VLOOKUP($C1539,Table1[#All],2,0)</f>
        <v>BW THU DAU MOT</v>
      </c>
      <c r="E1539" s="932" t="s">
        <v>85</v>
      </c>
      <c r="F1539" s="998" t="s">
        <v>80</v>
      </c>
      <c r="G1539" s="932" t="s">
        <v>310</v>
      </c>
      <c r="H1539" s="932" t="str">
        <f>VLOOKUP($C1539,Table1[#All],3,0)</f>
        <v>Subsidiaries</v>
      </c>
      <c r="I1539" s="932" t="str" cm="1">
        <f t="array" ref="I1539">_xlfn.XLOOKUP(Acc_Char!$E1539,Table4[[#All],[Branch]],Table4[[#All],[Bank]],"recheck",0)</f>
        <v>VIETINBANK - TIEN SON</v>
      </c>
    </row>
    <row r="1540" spans="1:10">
      <c r="A1540" s="998">
        <f t="shared" si="23"/>
        <v>1536</v>
      </c>
      <c r="B1540" s="1004" t="s">
        <v>1330</v>
      </c>
      <c r="C1540" s="1000" t="s">
        <v>432</v>
      </c>
      <c r="D1540" s="932" t="str">
        <f>VLOOKUP($C1540,Table1[#All],2,0)</f>
        <v>BWID BAC NINH</v>
      </c>
      <c r="E1540" s="932" t="s">
        <v>85</v>
      </c>
      <c r="F1540" s="998" t="s">
        <v>80</v>
      </c>
      <c r="G1540" s="932" t="s">
        <v>310</v>
      </c>
      <c r="H1540" s="932" t="str">
        <f>VLOOKUP($C1540,Table1[#All],3,0)</f>
        <v>Subsidiaries</v>
      </c>
      <c r="I1540" s="932" t="str" cm="1">
        <f t="array" ref="I1540">_xlfn.XLOOKUP(Acc_Char!$E1540,Table4[[#All],[Branch]],Table4[[#All],[Bank]],"recheck",0)</f>
        <v>VIETINBANK - TIEN SON</v>
      </c>
    </row>
    <row r="1541" spans="1:10">
      <c r="A1541" s="998">
        <f t="shared" si="23"/>
        <v>1537</v>
      </c>
      <c r="B1541" s="1004" t="s">
        <v>3839</v>
      </c>
      <c r="C1541" s="1000" t="s">
        <v>3199</v>
      </c>
      <c r="D1541" s="932" t="str">
        <f>VLOOKUP($C1541,Table1[#All],2,0)</f>
        <v>VINA PARTNERS INVESTMENT</v>
      </c>
      <c r="E1541" s="932" t="s">
        <v>86</v>
      </c>
      <c r="F1541" s="998" t="s">
        <v>80</v>
      </c>
      <c r="G1541" s="932" t="s">
        <v>310</v>
      </c>
      <c r="H1541" s="932" t="str">
        <f>VLOOKUP($C1541,Table1[#All],3,0)</f>
        <v>Subsidiaries</v>
      </c>
      <c r="I1541" s="932" t="str" cm="1">
        <f t="array" ref="I1541">_xlfn.XLOOKUP(Acc_Char!$E1541,Table4[[#All],[Branch]],Table4[[#All],[Bank]],"recheck",0)</f>
        <v>VIETINBANK - CN1</v>
      </c>
    </row>
    <row r="1542" spans="1:10">
      <c r="A1542" s="998">
        <f t="shared" ref="A1542:A1605" si="24">A1541+1</f>
        <v>1538</v>
      </c>
      <c r="B1542" s="1004" t="s">
        <v>1331</v>
      </c>
      <c r="C1542" s="1000" t="s">
        <v>2895</v>
      </c>
      <c r="D1542" s="932" t="str">
        <f>VLOOKUP($C1542,Table1[#All],2,0)</f>
        <v>BWID HAI DUONG 2</v>
      </c>
      <c r="E1542" s="932" t="s">
        <v>85</v>
      </c>
      <c r="F1542" s="998" t="s">
        <v>80</v>
      </c>
      <c r="G1542" s="932" t="s">
        <v>310</v>
      </c>
      <c r="H1542" s="932" t="str">
        <f>VLOOKUP($C1542,Table1[#All],3,0)</f>
        <v>Subsidiaries</v>
      </c>
      <c r="I1542" s="932" t="str" cm="1">
        <f t="array" ref="I1542">_xlfn.XLOOKUP(Acc_Char!$E1542,Table4[[#All],[Branch]],Table4[[#All],[Bank]],"recheck",0)</f>
        <v>VIETINBANK - TIEN SON</v>
      </c>
    </row>
    <row r="1543" spans="1:10">
      <c r="A1543" s="998">
        <f t="shared" si="24"/>
        <v>1539</v>
      </c>
      <c r="B1543" s="1004" t="s">
        <v>1334</v>
      </c>
      <c r="C1543" s="1000" t="s">
        <v>3835</v>
      </c>
      <c r="D1543" s="932" t="str">
        <f>VLOOKUP($C1543,Table1[#All],2,0)</f>
        <v>NASTEC JSC</v>
      </c>
      <c r="E1543" s="932" t="s">
        <v>85</v>
      </c>
      <c r="F1543" s="998" t="s">
        <v>80</v>
      </c>
      <c r="G1543" s="932" t="s">
        <v>310</v>
      </c>
      <c r="H1543" s="932" t="str">
        <f>VLOOKUP($C1543,Table1[#All],3,0)</f>
        <v>Subsidiaries</v>
      </c>
      <c r="I1543" s="932" t="str" cm="1">
        <f t="array" ref="I1543">_xlfn.XLOOKUP(Acc_Char!$E1543,Table4[[#All],[Branch]],Table4[[#All],[Bank]],"recheck",0)</f>
        <v>VIETINBANK - TIEN SON</v>
      </c>
    </row>
    <row r="1544" spans="1:10">
      <c r="A1544" s="998">
        <f t="shared" si="24"/>
        <v>1540</v>
      </c>
      <c r="B1544" s="1004" t="s">
        <v>1332</v>
      </c>
      <c r="C1544" s="1000" t="s">
        <v>3246</v>
      </c>
      <c r="D1544" s="932" t="str">
        <f>VLOOKUP($C1544,Table1[#All],2,0)</f>
        <v>XENIA 2</v>
      </c>
      <c r="E1544" s="932" t="s">
        <v>85</v>
      </c>
      <c r="F1544" s="998" t="s">
        <v>80</v>
      </c>
      <c r="G1544" s="932" t="s">
        <v>310</v>
      </c>
      <c r="H1544" s="932" t="str">
        <f>VLOOKUP($C1544,Table1[#All],3,0)</f>
        <v>Subsidiaries</v>
      </c>
      <c r="I1544" s="932" t="str" cm="1">
        <f t="array" ref="I1544">_xlfn.XLOOKUP(Acc_Char!$E1544,Table4[[#All],[Branch]],Table4[[#All],[Bank]],"recheck",0)</f>
        <v>VIETINBANK - TIEN SON</v>
      </c>
    </row>
    <row r="1545" spans="1:10">
      <c r="A1545" s="998">
        <f t="shared" si="24"/>
        <v>1541</v>
      </c>
      <c r="B1545" s="1004" t="s">
        <v>1333</v>
      </c>
      <c r="C1545" s="1040" t="s">
        <v>3246</v>
      </c>
      <c r="D1545" s="932" t="str">
        <f>VLOOKUP($C1545,Table1[#All],2,0)</f>
        <v>XENIA 2</v>
      </c>
      <c r="E1545" s="932" t="s">
        <v>85</v>
      </c>
      <c r="F1545" s="998" t="s">
        <v>80</v>
      </c>
      <c r="G1545" s="932" t="s">
        <v>310</v>
      </c>
      <c r="H1545" s="932" t="str">
        <f>VLOOKUP($C1545,Table1[#All],3,0)</f>
        <v>Subsidiaries</v>
      </c>
      <c r="I1545" s="932" t="str" cm="1">
        <f t="array" ref="I1545">_xlfn.XLOOKUP(Acc_Char!$E1545,Table4[[#All],[Branch]],Table4[[#All],[Bank]],"recheck",0)</f>
        <v>VIETINBANK - TIEN SON</v>
      </c>
    </row>
    <row r="1546" spans="1:10">
      <c r="A1546" s="998">
        <f t="shared" si="24"/>
        <v>1542</v>
      </c>
      <c r="B1546" s="1004" t="s">
        <v>1329</v>
      </c>
      <c r="C1546" s="1000" t="s">
        <v>3160</v>
      </c>
      <c r="D1546" s="932" t="str">
        <f>VLOOKUP($C1546,Table1[#All],2,0)</f>
        <v>BWID Tan Phu Trung</v>
      </c>
      <c r="E1546" s="932" t="s">
        <v>85</v>
      </c>
      <c r="F1546" s="998" t="s">
        <v>80</v>
      </c>
      <c r="G1546" s="932" t="s">
        <v>310</v>
      </c>
      <c r="H1546" s="932" t="str">
        <f>VLOOKUP($C1546,Table1[#All],3,0)</f>
        <v>Subsidiaries</v>
      </c>
      <c r="I1546" s="932" t="str" cm="1">
        <f t="array" ref="I1546">_xlfn.XLOOKUP(Acc_Char!$E1546,Table4[[#All],[Branch]],Table4[[#All],[Bank]],"recheck",0)</f>
        <v>VIETINBANK - TIEN SON</v>
      </c>
    </row>
    <row r="1547" spans="1:10">
      <c r="A1547" s="998">
        <f t="shared" si="24"/>
        <v>1543</v>
      </c>
      <c r="B1547" s="1004" t="s">
        <v>1335</v>
      </c>
      <c r="C1547" s="1000" t="s">
        <v>2969</v>
      </c>
      <c r="D1547" s="932" t="str">
        <f>VLOOKUP($C1547,Table1[#All],2,0)</f>
        <v>BWID NHON TRACH</v>
      </c>
      <c r="E1547" s="932" t="s">
        <v>91</v>
      </c>
      <c r="F1547" s="998" t="s">
        <v>80</v>
      </c>
      <c r="G1547" s="932" t="s">
        <v>310</v>
      </c>
      <c r="H1547" s="932" t="str">
        <f>VLOOKUP($C1547,Table1[#All],3,0)</f>
        <v>Subsidiaries</v>
      </c>
      <c r="I1547" s="932" t="str" cm="1">
        <f t="array" ref="I1547">_xlfn.XLOOKUP(Acc_Char!$E1547,Table4[[#All],[Branch]],Table4[[#All],[Bank]],"recheck",0)</f>
        <v>VIETCOMBANK - HCM</v>
      </c>
    </row>
    <row r="1548" spans="1:10">
      <c r="A1548" s="998">
        <f t="shared" si="24"/>
        <v>1544</v>
      </c>
      <c r="B1548" s="1004" t="s">
        <v>1336</v>
      </c>
      <c r="C1548" s="1000" t="s">
        <v>3047</v>
      </c>
      <c r="D1548" s="932" t="str">
        <f>VLOOKUP($C1548,Table1[#All],2,0)</f>
        <v>BW SAIGON LOGISTICS</v>
      </c>
      <c r="E1548" s="932" t="s">
        <v>91</v>
      </c>
      <c r="F1548" s="998" t="s">
        <v>80</v>
      </c>
      <c r="G1548" s="932" t="s">
        <v>310</v>
      </c>
      <c r="H1548" s="932" t="str">
        <f>VLOOKUP($C1548,Table1[#All],3,0)</f>
        <v>Subsidiaries</v>
      </c>
      <c r="I1548" s="932" t="str" cm="1">
        <f t="array" ref="I1548">_xlfn.XLOOKUP(Acc_Char!$E1548,Table4[[#All],[Branch]],Table4[[#All],[Bank]],"recheck",0)</f>
        <v>VIETCOMBANK - HCM</v>
      </c>
    </row>
    <row r="1549" spans="1:10">
      <c r="A1549" s="998">
        <f t="shared" si="24"/>
        <v>1545</v>
      </c>
      <c r="B1549" s="1004" t="s">
        <v>1337</v>
      </c>
      <c r="C1549" s="1000" t="s">
        <v>67</v>
      </c>
      <c r="D1549" s="932" t="str">
        <f>VLOOKUP($C1549,Table1[#All],2,0)</f>
        <v>SAO HOA</v>
      </c>
      <c r="E1549" s="932" t="s">
        <v>91</v>
      </c>
      <c r="F1549" s="998" t="s">
        <v>80</v>
      </c>
      <c r="G1549" s="932" t="s">
        <v>310</v>
      </c>
      <c r="H1549" s="932" t="str">
        <f>VLOOKUP($C1549,Table1[#All],3,0)</f>
        <v>VC3</v>
      </c>
      <c r="I1549" s="932" t="str" cm="1">
        <f t="array" ref="I1549">_xlfn.XLOOKUP(Acc_Char!$E1549,Table4[[#All],[Branch]],Table4[[#All],[Bank]],"recheck",0)</f>
        <v>VIETCOMBANK - HCM</v>
      </c>
    </row>
    <row r="1550" spans="1:10">
      <c r="A1550" s="998">
        <f t="shared" si="24"/>
        <v>1546</v>
      </c>
      <c r="B1550" s="1004" t="s">
        <v>1338</v>
      </c>
      <c r="C1550" s="1000" t="s">
        <v>67</v>
      </c>
      <c r="D1550" s="932" t="str">
        <f>VLOOKUP($C1550,Table1[#All],2,0)</f>
        <v>SAO HOA</v>
      </c>
      <c r="E1550" s="932" t="s">
        <v>91</v>
      </c>
      <c r="F1550" s="998" t="s">
        <v>80</v>
      </c>
      <c r="G1550" s="932" t="s">
        <v>310</v>
      </c>
      <c r="H1550" s="932" t="str">
        <f>VLOOKUP($C1550,Table1[#All],3,0)</f>
        <v>VC3</v>
      </c>
      <c r="I1550" s="932" t="str" cm="1">
        <f t="array" ref="I1550">_xlfn.XLOOKUP(Acc_Char!$E1550,Table4[[#All],[Branch]],Table4[[#All],[Bank]],"recheck",0)</f>
        <v>VIETCOMBANK - HCM</v>
      </c>
    </row>
    <row r="1551" spans="1:10" ht="15" thickBot="1">
      <c r="A1551" s="998">
        <f t="shared" si="24"/>
        <v>1547</v>
      </c>
      <c r="B1551" s="1004" t="s">
        <v>1339</v>
      </c>
      <c r="C1551" s="1000" t="s">
        <v>3277</v>
      </c>
      <c r="D1551" s="932" t="str">
        <f>VLOOKUP($C1551,Table1[#All],2,0)</f>
        <v>THUAN THANH 3B</v>
      </c>
      <c r="E1551" s="932" t="s">
        <v>89</v>
      </c>
      <c r="F1551" s="998" t="s">
        <v>80</v>
      </c>
      <c r="G1551" s="932" t="s">
        <v>310</v>
      </c>
      <c r="H1551" s="932" t="str">
        <f>VLOOKUP($C1551,Table1[#All],3,0)</f>
        <v>Subsidiaries</v>
      </c>
      <c r="I1551" s="932" t="str" cm="1">
        <f t="array" ref="I1551">_xlfn.XLOOKUP(Acc_Char!$E1551,Table4[[#All],[Branch]],Table4[[#All],[Bank]],"recheck",0)</f>
        <v>VIETCOMBANK - BA DINH</v>
      </c>
    </row>
    <row r="1552" spans="1:10" s="1083" customFormat="1" ht="15" thickBot="1">
      <c r="A1552" s="998">
        <f t="shared" si="24"/>
        <v>1548</v>
      </c>
      <c r="B1552" s="1004" t="s">
        <v>1340</v>
      </c>
      <c r="C1552" s="1000" t="s">
        <v>3277</v>
      </c>
      <c r="D1552" s="932" t="str">
        <f>VLOOKUP($C1552,Table1[#All],2,0)</f>
        <v>THUAN THANH 3B</v>
      </c>
      <c r="E1552" s="932" t="s">
        <v>89</v>
      </c>
      <c r="F1552" s="998" t="s">
        <v>80</v>
      </c>
      <c r="G1552" s="932" t="s">
        <v>310</v>
      </c>
      <c r="H1552" s="932" t="str">
        <f>VLOOKUP($C1552,Table1[#All],3,0)</f>
        <v>Subsidiaries</v>
      </c>
      <c r="I1552" s="932" t="str" cm="1">
        <f t="array" ref="I1552">_xlfn.XLOOKUP(Acc_Char!$E1552,Table4[[#All],[Branch]],Table4[[#All],[Bank]],"recheck",0)</f>
        <v>VIETCOMBANK - BA DINH</v>
      </c>
      <c r="J1552" s="1145"/>
    </row>
    <row r="1553" spans="1:9">
      <c r="A1553" s="998">
        <f t="shared" si="24"/>
        <v>1549</v>
      </c>
      <c r="B1553" s="1004" t="s">
        <v>1341</v>
      </c>
      <c r="C1553" s="1000" t="s">
        <v>436</v>
      </c>
      <c r="D1553" s="932" t="str">
        <f>VLOOKUP($C1553,Table1[#All],2,0)</f>
        <v>BW NAM HAI</v>
      </c>
      <c r="E1553" s="932" t="s">
        <v>89</v>
      </c>
      <c r="F1553" s="998" t="s">
        <v>80</v>
      </c>
      <c r="G1553" s="932" t="s">
        <v>310</v>
      </c>
      <c r="H1553" s="932" t="str">
        <f>VLOOKUP($C1553,Table1[#All],3,0)</f>
        <v>Subsidiaries</v>
      </c>
      <c r="I1553" s="932" t="str" cm="1">
        <f t="array" ref="I1553">_xlfn.XLOOKUP(Acc_Char!$E1553,Table4[[#All],[Branch]],Table4[[#All],[Bank]],"recheck",0)</f>
        <v>VIETCOMBANK - BA DINH</v>
      </c>
    </row>
    <row r="1554" spans="1:9">
      <c r="A1554" s="998">
        <f t="shared" si="24"/>
        <v>1550</v>
      </c>
      <c r="B1554" s="1004" t="s">
        <v>1342</v>
      </c>
      <c r="C1554" s="1000" t="s">
        <v>2980</v>
      </c>
      <c r="D1554" s="932" t="str">
        <f>VLOOKUP($C1554,Table1[#All],2,0)</f>
        <v>BWID THOI HOA</v>
      </c>
      <c r="E1554" s="932" t="s">
        <v>91</v>
      </c>
      <c r="F1554" s="998" t="s">
        <v>80</v>
      </c>
      <c r="G1554" s="932" t="s">
        <v>310</v>
      </c>
      <c r="H1554" s="932" t="str">
        <f>VLOOKUP($C1554,Table1[#All],3,0)</f>
        <v>Subsidiaries</v>
      </c>
      <c r="I1554" s="932" t="str" cm="1">
        <f t="array" ref="I1554">_xlfn.XLOOKUP(Acc_Char!$E1554,Table4[[#All],[Branch]],Table4[[#All],[Bank]],"recheck",0)</f>
        <v>VIETCOMBANK - HCM</v>
      </c>
    </row>
    <row r="1555" spans="1:9">
      <c r="A1555" s="998">
        <f t="shared" si="24"/>
        <v>1551</v>
      </c>
      <c r="B1555" s="1004" t="s">
        <v>1343</v>
      </c>
      <c r="C1555" s="1000" t="s">
        <v>2980</v>
      </c>
      <c r="D1555" s="932" t="str">
        <f>VLOOKUP($C1555,Table1[#All],2,0)</f>
        <v>BWID THOI HOA</v>
      </c>
      <c r="E1555" s="932" t="s">
        <v>91</v>
      </c>
      <c r="F1555" s="998" t="s">
        <v>80</v>
      </c>
      <c r="G1555" s="932" t="s">
        <v>310</v>
      </c>
      <c r="H1555" s="932" t="str">
        <f>VLOOKUP($C1555,Table1[#All],3,0)</f>
        <v>Subsidiaries</v>
      </c>
      <c r="I1555" s="932" t="str" cm="1">
        <f t="array" ref="I1555">_xlfn.XLOOKUP(Acc_Char!$E1555,Table4[[#All],[Branch]],Table4[[#All],[Bank]],"recheck",0)</f>
        <v>VIETCOMBANK - HCM</v>
      </c>
    </row>
    <row r="1556" spans="1:9">
      <c r="A1556" s="998">
        <f t="shared" si="24"/>
        <v>1552</v>
      </c>
      <c r="B1556" s="1004" t="s">
        <v>1344</v>
      </c>
      <c r="C1556" s="1000" t="s">
        <v>2980</v>
      </c>
      <c r="D1556" s="932" t="str">
        <f>VLOOKUP($C1556,Table1[#All],2,0)</f>
        <v>BWID THOI HOA</v>
      </c>
      <c r="E1556" s="932" t="s">
        <v>91</v>
      </c>
      <c r="F1556" s="998" t="s">
        <v>80</v>
      </c>
      <c r="G1556" s="932" t="s">
        <v>310</v>
      </c>
      <c r="H1556" s="932" t="str">
        <f>VLOOKUP($C1556,Table1[#All],3,0)</f>
        <v>Subsidiaries</v>
      </c>
      <c r="I1556" s="932" t="str" cm="1">
        <f t="array" ref="I1556">_xlfn.XLOOKUP(Acc_Char!$E1556,Table4[[#All],[Branch]],Table4[[#All],[Bank]],"recheck",0)</f>
        <v>VIETCOMBANK - HCM</v>
      </c>
    </row>
    <row r="1557" spans="1:9">
      <c r="A1557" s="998">
        <f t="shared" si="24"/>
        <v>1553</v>
      </c>
      <c r="B1557" s="1004" t="s">
        <v>1345</v>
      </c>
      <c r="C1557" s="1000" t="s">
        <v>3072</v>
      </c>
      <c r="D1557" s="932" t="str">
        <f>VLOOKUP($C1557,Table1[#All],2,0)</f>
        <v>BWID TAN DONG HIEP</v>
      </c>
      <c r="E1557" s="932" t="s">
        <v>98</v>
      </c>
      <c r="F1557" s="998" t="s">
        <v>80</v>
      </c>
      <c r="G1557" s="932" t="s">
        <v>310</v>
      </c>
      <c r="H1557" s="932" t="str">
        <f>VLOOKUP($C1557,Table1[#All],3,0)</f>
        <v>Subsidiaries</v>
      </c>
      <c r="I1557" s="932" t="str" cm="1">
        <f t="array" ref="I1557">_xlfn.XLOOKUP(Acc_Char!$E1557,Table4[[#All],[Branch]],Table4[[#All],[Bank]],"recheck",0)</f>
        <v>SINOPAC</v>
      </c>
    </row>
    <row r="1558" spans="1:9">
      <c r="A1558" s="998">
        <f t="shared" si="24"/>
        <v>1554</v>
      </c>
      <c r="B1558" s="1004" t="s">
        <v>1346</v>
      </c>
      <c r="C1558" s="1000" t="s">
        <v>2998</v>
      </c>
      <c r="D1558" s="932" t="str">
        <f>VLOOKUP($C1558,Table1[#All],2,0)</f>
        <v>BWID THOI HOA 2</v>
      </c>
      <c r="E1558" s="932" t="s">
        <v>971</v>
      </c>
      <c r="F1558" s="998" t="s">
        <v>80</v>
      </c>
      <c r="G1558" s="932" t="s">
        <v>310</v>
      </c>
      <c r="H1558" s="932" t="str">
        <f>VLOOKUP($C1558,Table1[#All],3,0)</f>
        <v>Subsidiaries</v>
      </c>
      <c r="I1558" s="932" t="str" cm="1">
        <f t="array" ref="I1558">_xlfn.XLOOKUP(Acc_Char!$E1558,Table4[[#All],[Branch]],Table4[[#All],[Bank]],"recheck",0)</f>
        <v>OTHERS</v>
      </c>
    </row>
    <row r="1559" spans="1:9">
      <c r="A1559" s="998">
        <f t="shared" si="24"/>
        <v>1555</v>
      </c>
      <c r="B1559" s="1004" t="s">
        <v>1348</v>
      </c>
      <c r="C1559" s="1000" t="s">
        <v>2974</v>
      </c>
      <c r="D1559" s="932" t="str">
        <f>VLOOKUP($C1559,Table1[#All],2,0)</f>
        <v>BWID HAI DUONG 3</v>
      </c>
      <c r="E1559" s="932" t="s">
        <v>92</v>
      </c>
      <c r="F1559" s="998" t="s">
        <v>80</v>
      </c>
      <c r="G1559" s="932" t="s">
        <v>310</v>
      </c>
      <c r="H1559" s="932" t="str">
        <f>VLOOKUP($C1559,Table1[#All],3,0)</f>
        <v>Subsidiaries</v>
      </c>
      <c r="I1559" s="932" t="str" cm="1">
        <f t="array" ref="I1559">_xlfn.XLOOKUP(Acc_Char!$E1559,Table4[[#All],[Branch]],Table4[[#All],[Bank]],"recheck",0)</f>
        <v>BIDV - THANH XUAN</v>
      </c>
    </row>
    <row r="1560" spans="1:9">
      <c r="A1560" s="998">
        <f t="shared" si="24"/>
        <v>1556</v>
      </c>
      <c r="B1560" s="1004" t="s">
        <v>1349</v>
      </c>
      <c r="C1560" s="1000" t="s">
        <v>440</v>
      </c>
      <c r="D1560" s="932" t="str">
        <f>VLOOKUP($C1560,Table1[#All],2,0)</f>
        <v>BW NAM DINH VU</v>
      </c>
      <c r="E1560" s="932" t="s">
        <v>92</v>
      </c>
      <c r="F1560" s="998" t="s">
        <v>80</v>
      </c>
      <c r="G1560" s="932" t="s">
        <v>310</v>
      </c>
      <c r="H1560" s="932" t="str">
        <f>VLOOKUP($C1560,Table1[#All],3,0)</f>
        <v>Subsidiaries</v>
      </c>
      <c r="I1560" s="932" t="str" cm="1">
        <f t="array" ref="I1560">_xlfn.XLOOKUP(Acc_Char!$E1560,Table4[[#All],[Branch]],Table4[[#All],[Bank]],"recheck",0)</f>
        <v>BIDV - THANH XUAN</v>
      </c>
    </row>
    <row r="1561" spans="1:9">
      <c r="A1561" s="998">
        <f t="shared" si="24"/>
        <v>1557</v>
      </c>
      <c r="B1561" s="1004" t="s">
        <v>1350</v>
      </c>
      <c r="C1561" s="1000" t="s">
        <v>440</v>
      </c>
      <c r="D1561" s="932" t="str">
        <f>VLOOKUP($C1561,Table1[#All],2,0)</f>
        <v>BW NAM DINH VU</v>
      </c>
      <c r="E1561" s="932" t="s">
        <v>92</v>
      </c>
      <c r="F1561" s="998" t="s">
        <v>80</v>
      </c>
      <c r="G1561" s="932" t="s">
        <v>310</v>
      </c>
      <c r="H1561" s="932" t="str">
        <f>VLOOKUP($C1561,Table1[#All],3,0)</f>
        <v>Subsidiaries</v>
      </c>
      <c r="I1561" s="932" t="str" cm="1">
        <f t="array" ref="I1561">_xlfn.XLOOKUP(Acc_Char!$E1561,Table4[[#All],[Branch]],Table4[[#All],[Bank]],"recheck",0)</f>
        <v>BIDV - THANH XUAN</v>
      </c>
    </row>
    <row r="1562" spans="1:9">
      <c r="A1562" s="998">
        <f t="shared" si="24"/>
        <v>1558</v>
      </c>
      <c r="B1562" s="1004" t="s">
        <v>1351</v>
      </c>
      <c r="C1562" s="1000" t="s">
        <v>3280</v>
      </c>
      <c r="D1562" s="932" t="str">
        <f>VLOOKUP($C1562,Table1[#All],2,0)</f>
        <v>BAC TIEN PHONG</v>
      </c>
      <c r="E1562" s="932" t="s">
        <v>92</v>
      </c>
      <c r="F1562" s="998" t="s">
        <v>80</v>
      </c>
      <c r="G1562" s="932" t="s">
        <v>310</v>
      </c>
      <c r="H1562" s="932" t="str">
        <f>VLOOKUP($C1562,Table1[#All],3,0)</f>
        <v>Subsidiaries</v>
      </c>
      <c r="I1562" s="932" t="str" cm="1">
        <f t="array" ref="I1562">_xlfn.XLOOKUP(Acc_Char!$E1562,Table4[[#All],[Branch]],Table4[[#All],[Bank]],"recheck",0)</f>
        <v>BIDV - THANH XUAN</v>
      </c>
    </row>
    <row r="1563" spans="1:9">
      <c r="A1563" s="998">
        <f t="shared" si="24"/>
        <v>1559</v>
      </c>
      <c r="B1563" s="1004" t="s">
        <v>1352</v>
      </c>
      <c r="C1563" s="1000" t="s">
        <v>3280</v>
      </c>
      <c r="D1563" s="932" t="str">
        <f>VLOOKUP($C1563,Table1[#All],2,0)</f>
        <v>BAC TIEN PHONG</v>
      </c>
      <c r="E1563" s="932" t="s">
        <v>92</v>
      </c>
      <c r="F1563" s="998" t="s">
        <v>80</v>
      </c>
      <c r="G1563" s="932" t="s">
        <v>310</v>
      </c>
      <c r="H1563" s="932" t="str">
        <f>VLOOKUP($C1563,Table1[#All],3,0)</f>
        <v>Subsidiaries</v>
      </c>
      <c r="I1563" s="932" t="str" cm="1">
        <f t="array" ref="I1563">_xlfn.XLOOKUP(Acc_Char!$E1563,Table4[[#All],[Branch]],Table4[[#All],[Bank]],"recheck",0)</f>
        <v>BIDV - THANH XUAN</v>
      </c>
    </row>
    <row r="1564" spans="1:9">
      <c r="A1564" s="998">
        <f t="shared" si="24"/>
        <v>1560</v>
      </c>
      <c r="B1564" s="1004" t="s">
        <v>1353</v>
      </c>
      <c r="C1564" s="1000" t="s">
        <v>3280</v>
      </c>
      <c r="D1564" s="932" t="str">
        <f>VLOOKUP($C1564,Table1[#All],2,0)</f>
        <v>BAC TIEN PHONG</v>
      </c>
      <c r="E1564" s="932" t="s">
        <v>92</v>
      </c>
      <c r="F1564" s="998" t="s">
        <v>80</v>
      </c>
      <c r="G1564" s="932" t="s">
        <v>310</v>
      </c>
      <c r="H1564" s="932" t="str">
        <f>VLOOKUP($C1564,Table1[#All],3,0)</f>
        <v>Subsidiaries</v>
      </c>
      <c r="I1564" s="932" t="str" cm="1">
        <f t="array" ref="I1564">_xlfn.XLOOKUP(Acc_Char!$E1564,Table4[[#All],[Branch]],Table4[[#All],[Bank]],"recheck",0)</f>
        <v>BIDV - THANH XUAN</v>
      </c>
    </row>
    <row r="1565" spans="1:9">
      <c r="A1565" s="998">
        <f t="shared" si="24"/>
        <v>1561</v>
      </c>
      <c r="B1565" s="1004" t="s">
        <v>1354</v>
      </c>
      <c r="C1565" s="1000" t="s">
        <v>3190</v>
      </c>
      <c r="D1565" s="932" t="str">
        <f>VLOOKUP($C1565,Table1[#All],2,0)</f>
        <v>NDV PROJECT CO</v>
      </c>
      <c r="E1565" s="932" t="s">
        <v>92</v>
      </c>
      <c r="F1565" s="998" t="s">
        <v>80</v>
      </c>
      <c r="G1565" s="932" t="s">
        <v>310</v>
      </c>
      <c r="H1565" s="932" t="str">
        <f>VLOOKUP($C1565,Table1[#All],3,0)</f>
        <v>Subsidiaries</v>
      </c>
      <c r="I1565" s="932" t="str" cm="1">
        <f t="array" ref="I1565">_xlfn.XLOOKUP(Acc_Char!$E1565,Table4[[#All],[Branch]],Table4[[#All],[Bank]],"recheck",0)</f>
        <v>BIDV - THANH XUAN</v>
      </c>
    </row>
    <row r="1566" spans="1:9">
      <c r="A1566" s="998">
        <f t="shared" si="24"/>
        <v>1562</v>
      </c>
      <c r="B1566" s="1002" t="s">
        <v>1355</v>
      </c>
      <c r="C1566" s="1003" t="s">
        <v>3277</v>
      </c>
      <c r="D1566" s="932" t="str">
        <f>VLOOKUP($C1566,Table1[#All],2,0)</f>
        <v>THUAN THANH 3B</v>
      </c>
      <c r="E1566" s="999" t="s">
        <v>89</v>
      </c>
      <c r="F1566" s="1093" t="s">
        <v>80</v>
      </c>
      <c r="G1566" s="999" t="s">
        <v>310</v>
      </c>
      <c r="H1566" s="932" t="str">
        <f>VLOOKUP($C1566,Table1[#All],3,0)</f>
        <v>Subsidiaries</v>
      </c>
      <c r="I1566" s="932" t="str" cm="1">
        <f t="array" ref="I1566">_xlfn.XLOOKUP(Acc_Char!$E1566,Table4[[#All],[Branch]],Table4[[#All],[Bank]],"recheck",0)</f>
        <v>VIETCOMBANK - BA DINH</v>
      </c>
    </row>
    <row r="1567" spans="1:9">
      <c r="A1567" s="998">
        <f t="shared" si="24"/>
        <v>1563</v>
      </c>
      <c r="B1567" s="1004" t="s">
        <v>1356</v>
      </c>
      <c r="C1567" s="1000" t="s">
        <v>3277</v>
      </c>
      <c r="D1567" s="932" t="str">
        <f>VLOOKUP($C1567,Table1[#All],2,0)</f>
        <v>THUAN THANH 3B</v>
      </c>
      <c r="E1567" s="932" t="s">
        <v>89</v>
      </c>
      <c r="F1567" s="998" t="s">
        <v>80</v>
      </c>
      <c r="G1567" s="932" t="s">
        <v>310</v>
      </c>
      <c r="H1567" s="932" t="str">
        <f>VLOOKUP($C1567,Table1[#All],3,0)</f>
        <v>Subsidiaries</v>
      </c>
      <c r="I1567" s="932" t="str" cm="1">
        <f t="array" ref="I1567">_xlfn.XLOOKUP(Acc_Char!$E1567,Table4[[#All],[Branch]],Table4[[#All],[Bank]],"recheck",0)</f>
        <v>VIETCOMBANK - BA DINH</v>
      </c>
    </row>
    <row r="1568" spans="1:9">
      <c r="A1568" s="998">
        <f t="shared" si="24"/>
        <v>1564</v>
      </c>
      <c r="B1568" s="1002" t="s">
        <v>1357</v>
      </c>
      <c r="C1568" s="1003" t="s">
        <v>3010</v>
      </c>
      <c r="D1568" s="932" t="str">
        <f>VLOOKUP($C1568,Table1[#All],2,0)</f>
        <v>BWID LOGISTICS TAN UYEN</v>
      </c>
      <c r="E1568" s="999" t="s">
        <v>89</v>
      </c>
      <c r="F1568" s="1093" t="s">
        <v>80</v>
      </c>
      <c r="G1568" s="999" t="s">
        <v>310</v>
      </c>
      <c r="H1568" s="932" t="str">
        <f>VLOOKUP($C1568,Table1[#All],3,0)</f>
        <v>Subsidiaries</v>
      </c>
      <c r="I1568" s="932" t="str" cm="1">
        <f t="array" ref="I1568">_xlfn.XLOOKUP(Acc_Char!$E1568,Table4[[#All],[Branch]],Table4[[#All],[Bank]],"recheck",0)</f>
        <v>VIETCOMBANK - BA DINH</v>
      </c>
    </row>
    <row r="1569" spans="1:9">
      <c r="A1569" s="998">
        <f t="shared" si="24"/>
        <v>1565</v>
      </c>
      <c r="B1569" s="1004" t="s">
        <v>1358</v>
      </c>
      <c r="C1569" s="1000" t="s">
        <v>403</v>
      </c>
      <c r="D1569" s="932" t="str">
        <f>VLOOKUP($C1569,Table1[#All],2,0)</f>
        <v>BW SUPLLY CHAIN CITY</v>
      </c>
      <c r="E1569" s="932" t="s">
        <v>91</v>
      </c>
      <c r="F1569" s="998" t="s">
        <v>80</v>
      </c>
      <c r="G1569" s="932" t="s">
        <v>310</v>
      </c>
      <c r="H1569" s="932" t="str">
        <f>VLOOKUP($C1569,Table1[#All],3,0)</f>
        <v>Subsidiaries</v>
      </c>
      <c r="I1569" s="932" t="str" cm="1">
        <f t="array" ref="I1569">_xlfn.XLOOKUP(Acc_Char!$E1569,Table4[[#All],[Branch]],Table4[[#All],[Bank]],"recheck",0)</f>
        <v>VIETCOMBANK - HCM</v>
      </c>
    </row>
    <row r="1570" spans="1:9">
      <c r="A1570" s="998">
        <f t="shared" si="24"/>
        <v>1566</v>
      </c>
      <c r="B1570" s="1002" t="s">
        <v>3840</v>
      </c>
      <c r="C1570" s="1003" t="s">
        <v>3268</v>
      </c>
      <c r="D1570" s="932" t="str">
        <f>VLOOKUP($C1570,Table1[#All],2,0)</f>
        <v>BW DONG HAI</v>
      </c>
      <c r="E1570" s="999" t="s">
        <v>92</v>
      </c>
      <c r="F1570" s="998" t="s">
        <v>80</v>
      </c>
      <c r="G1570" s="932" t="s">
        <v>310</v>
      </c>
      <c r="H1570" s="932" t="str">
        <f>VLOOKUP($C1570,Table1[#All],3,0)</f>
        <v>Subsidiaries</v>
      </c>
      <c r="I1570" s="932" t="str" cm="1">
        <f t="array" ref="I1570">_xlfn.XLOOKUP(Acc_Char!$E1570,Table4[[#All],[Branch]],Table4[[#All],[Bank]],"recheck",0)</f>
        <v>BIDV - THANH XUAN</v>
      </c>
    </row>
    <row r="1571" spans="1:9">
      <c r="A1571" s="998">
        <f t="shared" si="24"/>
        <v>1567</v>
      </c>
      <c r="B1571" s="1004" t="s">
        <v>1359</v>
      </c>
      <c r="C1571" s="1000" t="s">
        <v>2974</v>
      </c>
      <c r="D1571" s="932" t="str">
        <f>VLOOKUP($C1571,Table1[#All],2,0)</f>
        <v>BWID HAI DUONG 3</v>
      </c>
      <c r="E1571" s="932" t="s">
        <v>92</v>
      </c>
      <c r="F1571" s="998" t="s">
        <v>80</v>
      </c>
      <c r="G1571" s="932" t="s">
        <v>310</v>
      </c>
      <c r="H1571" s="932" t="str">
        <f>VLOOKUP($C1571,Table1[#All],3,0)</f>
        <v>Subsidiaries</v>
      </c>
      <c r="I1571" s="932" t="str" cm="1">
        <f t="array" ref="I1571">_xlfn.XLOOKUP(Acc_Char!$E1571,Table4[[#All],[Branch]],Table4[[#All],[Bank]],"recheck",0)</f>
        <v>BIDV - THANH XUAN</v>
      </c>
    </row>
    <row r="1572" spans="1:9">
      <c r="A1572" s="998">
        <f t="shared" si="24"/>
        <v>1568</v>
      </c>
      <c r="B1572" s="1002" t="s">
        <v>1360</v>
      </c>
      <c r="C1572" s="1003" t="s">
        <v>3309</v>
      </c>
      <c r="D1572" s="932" t="str">
        <f>VLOOKUP($C1572,Table1[#All],2,0)</f>
        <v>LE MINH XUAN 3</v>
      </c>
      <c r="E1572" s="999" t="s">
        <v>191</v>
      </c>
      <c r="F1572" s="998" t="s">
        <v>80</v>
      </c>
      <c r="G1572" s="932" t="s">
        <v>310</v>
      </c>
      <c r="H1572" s="932" t="str">
        <f>VLOOKUP($C1572,Table1[#All],3,0)</f>
        <v>Subsidiaries</v>
      </c>
      <c r="I1572" s="932" t="str" cm="1">
        <f t="array" ref="I1572">_xlfn.XLOOKUP(Acc_Char!$E1572,Table4[[#All],[Branch]],Table4[[#All],[Bank]],"recheck",0)</f>
        <v>VIETINBANK - TPHCM</v>
      </c>
    </row>
    <row r="1573" spans="1:9">
      <c r="A1573" s="998">
        <f t="shared" si="24"/>
        <v>1569</v>
      </c>
      <c r="B1573" s="1004" t="s">
        <v>1361</v>
      </c>
      <c r="C1573" s="1000" t="s">
        <v>3300</v>
      </c>
      <c r="D1573" s="932" t="str">
        <f>VLOOKUP($C1573,Table1[#All],2,0)</f>
        <v>SONG THAN 2</v>
      </c>
      <c r="E1573" s="932" t="s">
        <v>191</v>
      </c>
      <c r="F1573" s="998" t="s">
        <v>80</v>
      </c>
      <c r="G1573" s="932" t="s">
        <v>310</v>
      </c>
      <c r="H1573" s="932" t="str">
        <f>VLOOKUP($C1573,Table1[#All],3,0)</f>
        <v>Subsidiaries</v>
      </c>
      <c r="I1573" s="932" t="str" cm="1">
        <f t="array" ref="I1573">_xlfn.XLOOKUP(Acc_Char!$E1573,Table4[[#All],[Branch]],Table4[[#All],[Bank]],"recheck",0)</f>
        <v>VIETINBANK - TPHCM</v>
      </c>
    </row>
    <row r="1574" spans="1:9">
      <c r="A1574" s="998">
        <f t="shared" si="24"/>
        <v>1570</v>
      </c>
      <c r="B1574" s="1002" t="s">
        <v>1362</v>
      </c>
      <c r="C1574" s="1003" t="s">
        <v>3246</v>
      </c>
      <c r="D1574" s="932" t="str">
        <f>VLOOKUP($C1574,Table1[#All],2,0)</f>
        <v>XENIA 2</v>
      </c>
      <c r="E1574" s="999" t="s">
        <v>85</v>
      </c>
      <c r="F1574" s="998" t="s">
        <v>80</v>
      </c>
      <c r="G1574" s="932" t="s">
        <v>310</v>
      </c>
      <c r="H1574" s="932" t="str">
        <f>VLOOKUP($C1574,Table1[#All],3,0)</f>
        <v>Subsidiaries</v>
      </c>
      <c r="I1574" s="932" t="str" cm="1">
        <f t="array" ref="I1574">_xlfn.XLOOKUP(Acc_Char!$E1574,Table4[[#All],[Branch]],Table4[[#All],[Bank]],"recheck",0)</f>
        <v>VIETINBANK - TIEN SON</v>
      </c>
    </row>
    <row r="1575" spans="1:9">
      <c r="A1575" s="998">
        <f t="shared" si="24"/>
        <v>1571</v>
      </c>
      <c r="B1575" s="1004" t="s">
        <v>1363</v>
      </c>
      <c r="C1575" s="1000" t="s">
        <v>437</v>
      </c>
      <c r="D1575" s="932" t="str">
        <f>VLOOKUP($C1575,Table1[#All],2,0)</f>
        <v>XENIA 1</v>
      </c>
      <c r="E1575" s="932" t="s">
        <v>85</v>
      </c>
      <c r="F1575" s="998" t="s">
        <v>80</v>
      </c>
      <c r="G1575" s="932" t="s">
        <v>310</v>
      </c>
      <c r="H1575" s="932" t="str">
        <f>VLOOKUP($C1575,Table1[#All],3,0)</f>
        <v>Subsidiaries</v>
      </c>
      <c r="I1575" s="932" t="str" cm="1">
        <f t="array" ref="I1575">_xlfn.XLOOKUP(Acc_Char!$E1575,Table4[[#All],[Branch]],Table4[[#All],[Bank]],"recheck",0)</f>
        <v>VIETINBANK - TIEN SON</v>
      </c>
    </row>
    <row r="1576" spans="1:9">
      <c r="A1576" s="998">
        <f t="shared" si="24"/>
        <v>1572</v>
      </c>
      <c r="B1576" s="1002" t="s">
        <v>1364</v>
      </c>
      <c r="C1576" s="1003" t="s">
        <v>3250</v>
      </c>
      <c r="D1576" s="932" t="str">
        <f>VLOOKUP($C1576,Table1[#All],2,0)</f>
        <v>BW MY PHUOC 3</v>
      </c>
      <c r="E1576" s="999" t="s">
        <v>293</v>
      </c>
      <c r="F1576" s="998" t="s">
        <v>80</v>
      </c>
      <c r="G1576" s="999" t="s">
        <v>308</v>
      </c>
      <c r="H1576" s="932" t="str">
        <f>VLOOKUP($C1576,Table1[#All],3,0)</f>
        <v>Subsidiaries</v>
      </c>
      <c r="I1576" s="932" t="str" cm="1">
        <f t="array" ref="I1576">_xlfn.XLOOKUP(Acc_Char!$E1576,Table4[[#All],[Branch]],Table4[[#All],[Bank]],"recheck",0)</f>
        <v>OTHERS</v>
      </c>
    </row>
    <row r="1577" spans="1:9">
      <c r="A1577" s="998">
        <f t="shared" si="24"/>
        <v>1573</v>
      </c>
      <c r="B1577" s="1004" t="s">
        <v>1365</v>
      </c>
      <c r="C1577" s="1000" t="s">
        <v>3250</v>
      </c>
      <c r="D1577" s="932" t="str">
        <f>VLOOKUP($C1577,Table1[#All],2,0)</f>
        <v>BW MY PHUOC 3</v>
      </c>
      <c r="E1577" s="932" t="s">
        <v>293</v>
      </c>
      <c r="F1577" s="998" t="s">
        <v>80</v>
      </c>
      <c r="G1577" s="932" t="s">
        <v>308</v>
      </c>
      <c r="H1577" s="932" t="str">
        <f>VLOOKUP($C1577,Table1[#All],3,0)</f>
        <v>Subsidiaries</v>
      </c>
      <c r="I1577" s="932" t="str" cm="1">
        <f t="array" ref="I1577">_xlfn.XLOOKUP(Acc_Char!$E1577,Table4[[#All],[Branch]],Table4[[#All],[Bank]],"recheck",0)</f>
        <v>OTHERS</v>
      </c>
    </row>
    <row r="1578" spans="1:9">
      <c r="A1578" s="998">
        <f t="shared" si="24"/>
        <v>1574</v>
      </c>
      <c r="B1578" s="1002" t="s">
        <v>1366</v>
      </c>
      <c r="C1578" s="1000" t="s">
        <v>3250</v>
      </c>
      <c r="D1578" s="932" t="str">
        <f>VLOOKUP($C1578,Table1[#All],2,0)</f>
        <v>BW MY PHUOC 3</v>
      </c>
      <c r="E1578" s="932" t="s">
        <v>293</v>
      </c>
      <c r="F1578" s="998" t="s">
        <v>80</v>
      </c>
      <c r="G1578" s="932" t="s">
        <v>308</v>
      </c>
      <c r="H1578" s="932" t="str">
        <f>VLOOKUP($C1578,Table1[#All],3,0)</f>
        <v>Subsidiaries</v>
      </c>
      <c r="I1578" s="932" t="str" cm="1">
        <f t="array" ref="I1578">_xlfn.XLOOKUP(Acc_Char!$E1578,Table4[[#All],[Branch]],Table4[[#All],[Bank]],"recheck",0)</f>
        <v>OTHERS</v>
      </c>
    </row>
    <row r="1579" spans="1:9">
      <c r="A1579" s="998">
        <f t="shared" si="24"/>
        <v>1575</v>
      </c>
      <c r="B1579" s="1004" t="s">
        <v>1367</v>
      </c>
      <c r="C1579" s="1000" t="s">
        <v>3250</v>
      </c>
      <c r="D1579" s="932" t="str">
        <f>VLOOKUP($C1579,Table1[#All],2,0)</f>
        <v>BW MY PHUOC 3</v>
      </c>
      <c r="E1579" s="932" t="s">
        <v>293</v>
      </c>
      <c r="F1579" s="998" t="s">
        <v>80</v>
      </c>
      <c r="G1579" s="932" t="s">
        <v>308</v>
      </c>
      <c r="H1579" s="932" t="str">
        <f>VLOOKUP($C1579,Table1[#All],3,0)</f>
        <v>Subsidiaries</v>
      </c>
      <c r="I1579" s="932" t="str" cm="1">
        <f t="array" ref="I1579">_xlfn.XLOOKUP(Acc_Char!$E1579,Table4[[#All],[Branch]],Table4[[#All],[Bank]],"recheck",0)</f>
        <v>OTHERS</v>
      </c>
    </row>
    <row r="1580" spans="1:9">
      <c r="A1580" s="998">
        <f t="shared" si="24"/>
        <v>1576</v>
      </c>
      <c r="B1580" s="1002" t="s">
        <v>1368</v>
      </c>
      <c r="C1580" s="1000" t="s">
        <v>3250</v>
      </c>
      <c r="D1580" s="932" t="str">
        <f>VLOOKUP($C1580,Table1[#All],2,0)</f>
        <v>BW MY PHUOC 3</v>
      </c>
      <c r="E1580" s="932" t="s">
        <v>293</v>
      </c>
      <c r="F1580" s="998" t="s">
        <v>80</v>
      </c>
      <c r="G1580" s="932" t="s">
        <v>310</v>
      </c>
      <c r="H1580" s="932" t="str">
        <f>VLOOKUP($C1580,Table1[#All],3,0)</f>
        <v>Subsidiaries</v>
      </c>
      <c r="I1580" s="932" t="str" cm="1">
        <f t="array" ref="I1580">_xlfn.XLOOKUP(Acc_Char!$E1580,Table4[[#All],[Branch]],Table4[[#All],[Bank]],"recheck",0)</f>
        <v>OTHERS</v>
      </c>
    </row>
    <row r="1581" spans="1:9">
      <c r="A1581" s="998">
        <f t="shared" si="24"/>
        <v>1577</v>
      </c>
      <c r="B1581" s="1004" t="s">
        <v>1369</v>
      </c>
      <c r="C1581" s="1000" t="s">
        <v>3250</v>
      </c>
      <c r="D1581" s="932" t="str">
        <f>VLOOKUP($C1581,Table1[#All],2,0)</f>
        <v>BW MY PHUOC 3</v>
      </c>
      <c r="E1581" s="932" t="s">
        <v>293</v>
      </c>
      <c r="F1581" s="998" t="s">
        <v>80</v>
      </c>
      <c r="G1581" s="932" t="s">
        <v>310</v>
      </c>
      <c r="H1581" s="932" t="str">
        <f>VLOOKUP($C1581,Table1[#All],3,0)</f>
        <v>Subsidiaries</v>
      </c>
      <c r="I1581" s="932" t="str" cm="1">
        <f t="array" ref="I1581">_xlfn.XLOOKUP(Acc_Char!$E1581,Table4[[#All],[Branch]],Table4[[#All],[Bank]],"recheck",0)</f>
        <v>OTHERS</v>
      </c>
    </row>
    <row r="1582" spans="1:9">
      <c r="A1582" s="998">
        <f t="shared" si="24"/>
        <v>1578</v>
      </c>
      <c r="B1582" s="1002" t="s">
        <v>1370</v>
      </c>
      <c r="C1582" s="1003" t="s">
        <v>3277</v>
      </c>
      <c r="D1582" s="932" t="str">
        <f>VLOOKUP($C1582,Table1[#All],2,0)</f>
        <v>THUAN THANH 3B</v>
      </c>
      <c r="E1582" s="999" t="s">
        <v>89</v>
      </c>
      <c r="F1582" s="998" t="s">
        <v>80</v>
      </c>
      <c r="G1582" s="932" t="s">
        <v>310</v>
      </c>
      <c r="H1582" s="932" t="str">
        <f>VLOOKUP($C1582,Table1[#All],3,0)</f>
        <v>Subsidiaries</v>
      </c>
      <c r="I1582" s="932" t="str" cm="1">
        <f t="array" ref="I1582">_xlfn.XLOOKUP(Acc_Char!$E1582,Table4[[#All],[Branch]],Table4[[#All],[Bank]],"recheck",0)</f>
        <v>VIETCOMBANK - BA DINH</v>
      </c>
    </row>
    <row r="1583" spans="1:9">
      <c r="A1583" s="998">
        <f t="shared" si="24"/>
        <v>1579</v>
      </c>
      <c r="B1583" s="1004" t="s">
        <v>1371</v>
      </c>
      <c r="C1583" s="1000" t="s">
        <v>2998</v>
      </c>
      <c r="D1583" s="932" t="str">
        <f>VLOOKUP($C1583,Table1[#All],2,0)</f>
        <v>BWID THOI HOA 2</v>
      </c>
      <c r="E1583" s="932" t="s">
        <v>971</v>
      </c>
      <c r="F1583" s="998" t="s">
        <v>80</v>
      </c>
      <c r="G1583" s="932" t="s">
        <v>310</v>
      </c>
      <c r="H1583" s="932" t="str">
        <f>VLOOKUP($C1583,Table1[#All],3,0)</f>
        <v>Subsidiaries</v>
      </c>
      <c r="I1583" s="932" t="str" cm="1">
        <f t="array" ref="I1583">_xlfn.XLOOKUP(Acc_Char!$E1583,Table4[[#All],[Branch]],Table4[[#All],[Bank]],"recheck",0)</f>
        <v>OTHERS</v>
      </c>
    </row>
    <row r="1584" spans="1:9">
      <c r="A1584" s="998">
        <f t="shared" si="24"/>
        <v>1580</v>
      </c>
      <c r="B1584" s="1002" t="s">
        <v>1372</v>
      </c>
      <c r="C1584" s="1003" t="s">
        <v>67</v>
      </c>
      <c r="D1584" s="932" t="str">
        <f>VLOOKUP($C1584,Table1[#All],2,0)</f>
        <v>SAO HOA</v>
      </c>
      <c r="E1584" s="999" t="s">
        <v>98</v>
      </c>
      <c r="F1584" s="1093" t="s">
        <v>80</v>
      </c>
      <c r="G1584" s="932" t="s">
        <v>310</v>
      </c>
      <c r="H1584" s="932" t="str">
        <f>VLOOKUP($C1584,Table1[#All],3,0)</f>
        <v>VC3</v>
      </c>
      <c r="I1584" s="932" t="str" cm="1">
        <f t="array" ref="I1584">_xlfn.XLOOKUP(Acc_Char!$E1584,Table4[[#All],[Branch]],Table4[[#All],[Bank]],"recheck",0)</f>
        <v>SINOPAC</v>
      </c>
    </row>
    <row r="1585" spans="1:9">
      <c r="A1585" s="998">
        <f t="shared" si="24"/>
        <v>1581</v>
      </c>
      <c r="B1585" s="1004" t="s">
        <v>3841</v>
      </c>
      <c r="C1585" s="1000" t="s">
        <v>3251</v>
      </c>
      <c r="D1585" s="932" t="str">
        <f>VLOOKUP($C1585,Table1[#All],2,0)</f>
        <v>BW BAU BANG 01</v>
      </c>
      <c r="E1585" s="932" t="s">
        <v>153</v>
      </c>
      <c r="F1585" s="998" t="s">
        <v>80</v>
      </c>
      <c r="G1585" s="932" t="s">
        <v>310</v>
      </c>
      <c r="H1585" s="932" t="str">
        <f>VLOOKUP($C1585,Table1[#All],3,0)</f>
        <v>Subsidiaries</v>
      </c>
      <c r="I1585" s="932" t="str" cm="1">
        <f t="array" ref="I1585">_xlfn.XLOOKUP(Acc_Char!$E1585,Table4[[#All],[Branch]],Table4[[#All],[Bank]],"recheck",0)</f>
        <v>VIETINBANK - BINH DUONG + QM</v>
      </c>
    </row>
    <row r="1586" spans="1:9">
      <c r="A1586" s="998">
        <f t="shared" si="24"/>
        <v>1582</v>
      </c>
      <c r="B1586" s="1002" t="s">
        <v>1489</v>
      </c>
      <c r="C1586" s="1003" t="s">
        <v>3052</v>
      </c>
      <c r="D1586" s="932" t="str">
        <f>VLOOKUP($C1586,Table1[#All],2,0)</f>
        <v>GREAT KINGDOM NT 2</v>
      </c>
      <c r="E1586" s="999" t="s">
        <v>86</v>
      </c>
      <c r="F1586" s="998" t="s">
        <v>80</v>
      </c>
      <c r="G1586" s="932" t="s">
        <v>310</v>
      </c>
      <c r="H1586" s="932" t="str">
        <f>VLOOKUP($C1586,Table1[#All],3,0)</f>
        <v>Subsidiaries</v>
      </c>
      <c r="I1586" s="932" t="str" cm="1">
        <f t="array" ref="I1586">_xlfn.XLOOKUP(Acc_Char!$E1586,Table4[[#All],[Branch]],Table4[[#All],[Bank]],"recheck",0)</f>
        <v>VIETINBANK - CN1</v>
      </c>
    </row>
    <row r="1587" spans="1:9">
      <c r="A1587" s="998">
        <f t="shared" si="24"/>
        <v>1583</v>
      </c>
      <c r="B1587" s="1004" t="s">
        <v>1381</v>
      </c>
      <c r="C1587" s="1000" t="s">
        <v>3052</v>
      </c>
      <c r="D1587" s="932" t="str">
        <f>VLOOKUP($C1587,Table1[#All],2,0)</f>
        <v>GREAT KINGDOM NT 2</v>
      </c>
      <c r="E1587" s="932" t="s">
        <v>86</v>
      </c>
      <c r="F1587" s="998" t="s">
        <v>80</v>
      </c>
      <c r="G1587" s="932" t="s">
        <v>310</v>
      </c>
      <c r="H1587" s="932" t="str">
        <f>VLOOKUP($C1587,Table1[#All],3,0)</f>
        <v>Subsidiaries</v>
      </c>
      <c r="I1587" s="932" t="str" cm="1">
        <f t="array" ref="I1587">_xlfn.XLOOKUP(Acc_Char!$E1587,Table4[[#All],[Branch]],Table4[[#All],[Bank]],"recheck",0)</f>
        <v>VIETINBANK - CN1</v>
      </c>
    </row>
    <row r="1588" spans="1:9">
      <c r="A1588" s="998">
        <f t="shared" si="24"/>
        <v>1584</v>
      </c>
      <c r="B1588" s="1002" t="s">
        <v>3842</v>
      </c>
      <c r="C1588" s="1003" t="s">
        <v>3199</v>
      </c>
      <c r="D1588" s="932" t="str">
        <f>VLOOKUP($C1588,Table1[#All],2,0)</f>
        <v>VINA PARTNERS INVESTMENT</v>
      </c>
      <c r="E1588" s="932" t="s">
        <v>86</v>
      </c>
      <c r="F1588" s="998" t="s">
        <v>80</v>
      </c>
      <c r="G1588" s="932" t="s">
        <v>310</v>
      </c>
      <c r="H1588" s="932" t="str">
        <f>VLOOKUP($C1588,Table1[#All],3,0)</f>
        <v>Subsidiaries</v>
      </c>
      <c r="I1588" s="932" t="str" cm="1">
        <f t="array" ref="I1588">_xlfn.XLOOKUP(Acc_Char!$E1588,Table4[[#All],[Branch]],Table4[[#All],[Bank]],"recheck",0)</f>
        <v>VIETINBANK - CN1</v>
      </c>
    </row>
    <row r="1589" spans="1:9">
      <c r="A1589" s="998">
        <f t="shared" si="24"/>
        <v>1585</v>
      </c>
      <c r="B1589" s="1004" t="s">
        <v>1383</v>
      </c>
      <c r="C1589" s="1000" t="s">
        <v>3250</v>
      </c>
      <c r="D1589" s="932" t="str">
        <f>VLOOKUP($C1589,Table1[#All],2,0)</f>
        <v>BW MY PHUOC 3</v>
      </c>
      <c r="E1589" s="932" t="s">
        <v>153</v>
      </c>
      <c r="F1589" s="998" t="s">
        <v>80</v>
      </c>
      <c r="G1589" s="932" t="s">
        <v>310</v>
      </c>
      <c r="H1589" s="932" t="str">
        <f>VLOOKUP($C1589,Table1[#All],3,0)</f>
        <v>Subsidiaries</v>
      </c>
      <c r="I1589" s="932" t="str" cm="1">
        <f t="array" ref="I1589">_xlfn.XLOOKUP(Acc_Char!$E1589,Table4[[#All],[Branch]],Table4[[#All],[Bank]],"recheck",0)</f>
        <v>VIETINBANK - BINH DUONG + QM</v>
      </c>
    </row>
    <row r="1590" spans="1:9">
      <c r="A1590" s="998">
        <f t="shared" si="24"/>
        <v>1586</v>
      </c>
      <c r="B1590" s="1002" t="s">
        <v>1382</v>
      </c>
      <c r="C1590" s="1000" t="s">
        <v>3250</v>
      </c>
      <c r="D1590" s="932" t="str">
        <f>VLOOKUP($C1590,Table1[#All],2,0)</f>
        <v>BW MY PHUOC 3</v>
      </c>
      <c r="E1590" s="932" t="s">
        <v>153</v>
      </c>
      <c r="F1590" s="998" t="s">
        <v>80</v>
      </c>
      <c r="G1590" s="932" t="s">
        <v>310</v>
      </c>
      <c r="H1590" s="932" t="str">
        <f>VLOOKUP($C1590,Table1[#All],3,0)</f>
        <v>Subsidiaries</v>
      </c>
      <c r="I1590" s="932" t="str" cm="1">
        <f t="array" ref="I1590">_xlfn.XLOOKUP(Acc_Char!$E1590,Table4[[#All],[Branch]],Table4[[#All],[Bank]],"recheck",0)</f>
        <v>VIETINBANK - BINH DUONG + QM</v>
      </c>
    </row>
    <row r="1591" spans="1:9">
      <c r="A1591" s="998">
        <f t="shared" si="24"/>
        <v>1587</v>
      </c>
      <c r="B1591" s="1004" t="s">
        <v>1373</v>
      </c>
      <c r="C1591" s="1000" t="s">
        <v>402</v>
      </c>
      <c r="D1591" s="932" t="str">
        <f>VLOOKUP($C1591,Table1[#All],2,0)</f>
        <v>BWID DONG AN LID</v>
      </c>
      <c r="E1591" s="932" t="s">
        <v>88</v>
      </c>
      <c r="F1591" s="998" t="s">
        <v>80</v>
      </c>
      <c r="G1591" s="932" t="s">
        <v>310</v>
      </c>
      <c r="H1591" s="932" t="str">
        <f>VLOOKUP($C1591,Table1[#All],3,0)</f>
        <v>Subsidiaries</v>
      </c>
      <c r="I1591" s="932" t="str" cm="1">
        <f t="array" ref="I1591">_xlfn.XLOOKUP(Acc_Char!$E1591,Table4[[#All],[Branch]],Table4[[#All],[Bank]],"recheck",0)</f>
        <v>VIETINBANK - DONG SAI GON</v>
      </c>
    </row>
    <row r="1592" spans="1:9">
      <c r="A1592" s="998">
        <f t="shared" si="24"/>
        <v>1588</v>
      </c>
      <c r="B1592" s="1002" t="s">
        <v>3843</v>
      </c>
      <c r="C1592" s="1003" t="s">
        <v>3233</v>
      </c>
      <c r="D1592" s="932" t="str">
        <f>VLOOKUP($C1592,Table1[#All],2,0)</f>
        <v>BAU BANG 6</v>
      </c>
      <c r="E1592" s="932" t="s">
        <v>153</v>
      </c>
      <c r="F1592" s="998" t="s">
        <v>80</v>
      </c>
      <c r="G1592" s="932" t="s">
        <v>310</v>
      </c>
      <c r="H1592" s="932" t="str">
        <f>VLOOKUP($C1592,Table1[#All],3,0)</f>
        <v>Subsidiaries</v>
      </c>
      <c r="I1592" s="932" t="str" cm="1">
        <f t="array" ref="I1592">_xlfn.XLOOKUP(Acc_Char!$E1592,Table4[[#All],[Branch]],Table4[[#All],[Bank]],"recheck",0)</f>
        <v>VIETINBANK - BINH DUONG + QM</v>
      </c>
    </row>
    <row r="1593" spans="1:9">
      <c r="A1593" s="998">
        <f t="shared" si="24"/>
        <v>1589</v>
      </c>
      <c r="B1593" s="1004" t="s">
        <v>1374</v>
      </c>
      <c r="C1593" s="1000" t="s">
        <v>3248</v>
      </c>
      <c r="D1593" s="932" t="str">
        <f>VLOOKUP($C1593,Table1[#All],2,0)</f>
        <v>WINLOCK 2A</v>
      </c>
      <c r="E1593" s="932" t="s">
        <v>85</v>
      </c>
      <c r="F1593" s="998" t="s">
        <v>80</v>
      </c>
      <c r="G1593" s="932" t="s">
        <v>310</v>
      </c>
      <c r="H1593" s="932" t="str">
        <f>VLOOKUP($C1593,Table1[#All],3,0)</f>
        <v>Subsidiaries</v>
      </c>
      <c r="I1593" s="932" t="str" cm="1">
        <f t="array" ref="I1593">_xlfn.XLOOKUP(Acc_Char!$E1593,Table4[[#All],[Branch]],Table4[[#All],[Bank]],"recheck",0)</f>
        <v>VIETINBANK - TIEN SON</v>
      </c>
    </row>
    <row r="1594" spans="1:9">
      <c r="A1594" s="998">
        <f t="shared" si="24"/>
        <v>1590</v>
      </c>
      <c r="B1594" s="1002" t="s">
        <v>1375</v>
      </c>
      <c r="C1594" s="1003" t="s">
        <v>3248</v>
      </c>
      <c r="D1594" s="932" t="str">
        <f>VLOOKUP($C1594,Table1[#All],2,0)</f>
        <v>WINLOCK 2A</v>
      </c>
      <c r="E1594" s="999" t="s">
        <v>85</v>
      </c>
      <c r="F1594" s="998" t="s">
        <v>80</v>
      </c>
      <c r="G1594" s="932" t="s">
        <v>310</v>
      </c>
      <c r="H1594" s="932" t="str">
        <f>VLOOKUP($C1594,Table1[#All],3,0)</f>
        <v>Subsidiaries</v>
      </c>
      <c r="I1594" s="932" t="str" cm="1">
        <f t="array" ref="I1594">_xlfn.XLOOKUP(Acc_Char!$E1594,Table4[[#All],[Branch]],Table4[[#All],[Bank]],"recheck",0)</f>
        <v>VIETINBANK - TIEN SON</v>
      </c>
    </row>
    <row r="1595" spans="1:9">
      <c r="A1595" s="998">
        <f t="shared" si="24"/>
        <v>1591</v>
      </c>
      <c r="B1595" s="1004" t="s">
        <v>1376</v>
      </c>
      <c r="C1595" s="1000" t="s">
        <v>3248</v>
      </c>
      <c r="D1595" s="932" t="str">
        <f>VLOOKUP($C1595,Table1[#All],2,0)</f>
        <v>WINLOCK 2A</v>
      </c>
      <c r="E1595" s="932" t="s">
        <v>85</v>
      </c>
      <c r="F1595" s="998" t="s">
        <v>80</v>
      </c>
      <c r="G1595" s="932" t="s">
        <v>310</v>
      </c>
      <c r="H1595" s="932" t="str">
        <f>VLOOKUP($C1595,Table1[#All],3,0)</f>
        <v>Subsidiaries</v>
      </c>
      <c r="I1595" s="932" t="str" cm="1">
        <f t="array" ref="I1595">_xlfn.XLOOKUP(Acc_Char!$E1595,Table4[[#All],[Branch]],Table4[[#All],[Bank]],"recheck",0)</f>
        <v>VIETINBANK - TIEN SON</v>
      </c>
    </row>
    <row r="1596" spans="1:9">
      <c r="A1596" s="998">
        <f t="shared" si="24"/>
        <v>1592</v>
      </c>
      <c r="B1596" s="1002" t="s">
        <v>1377</v>
      </c>
      <c r="C1596" s="1003" t="s">
        <v>434</v>
      </c>
      <c r="D1596" s="932" t="str">
        <f>VLOOKUP($C1596,Table1[#All],2,0)</f>
        <v>BWID HAI PHONG</v>
      </c>
      <c r="E1596" s="932" t="s">
        <v>85</v>
      </c>
      <c r="F1596" s="998" t="s">
        <v>80</v>
      </c>
      <c r="G1596" s="932" t="s">
        <v>310</v>
      </c>
      <c r="H1596" s="932" t="str">
        <f>VLOOKUP($C1596,Table1[#All],3,0)</f>
        <v>Subsidiaries</v>
      </c>
      <c r="I1596" s="932" t="str" cm="1">
        <f t="array" ref="I1596">_xlfn.XLOOKUP(Acc_Char!$E1596,Table4[[#All],[Branch]],Table4[[#All],[Bank]],"recheck",0)</f>
        <v>VIETINBANK - TIEN SON</v>
      </c>
    </row>
    <row r="1597" spans="1:9">
      <c r="A1597" s="998">
        <f t="shared" si="24"/>
        <v>1593</v>
      </c>
      <c r="B1597" s="1004" t="s">
        <v>1378</v>
      </c>
      <c r="C1597" s="1000" t="s">
        <v>437</v>
      </c>
      <c r="D1597" s="932" t="str">
        <f>VLOOKUP($C1597,Table1[#All],2,0)</f>
        <v>XENIA 1</v>
      </c>
      <c r="E1597" s="932" t="s">
        <v>85</v>
      </c>
      <c r="F1597" s="998" t="s">
        <v>80</v>
      </c>
      <c r="G1597" s="932" t="s">
        <v>310</v>
      </c>
      <c r="H1597" s="932" t="str">
        <f>VLOOKUP($C1597,Table1[#All],3,0)</f>
        <v>Subsidiaries</v>
      </c>
      <c r="I1597" s="932" t="str" cm="1">
        <f t="array" ref="I1597">_xlfn.XLOOKUP(Acc_Char!$E1597,Table4[[#All],[Branch]],Table4[[#All],[Bank]],"recheck",0)</f>
        <v>VIETINBANK - TIEN SON</v>
      </c>
    </row>
    <row r="1598" spans="1:9">
      <c r="A1598" s="998">
        <f t="shared" si="24"/>
        <v>1594</v>
      </c>
      <c r="B1598" s="1002" t="s">
        <v>1379</v>
      </c>
      <c r="C1598" s="1003" t="s">
        <v>2895</v>
      </c>
      <c r="D1598" s="932" t="str">
        <f>VLOOKUP($C1598,Table1[#All],2,0)</f>
        <v>BWID HAI DUONG 2</v>
      </c>
      <c r="E1598" s="932" t="s">
        <v>85</v>
      </c>
      <c r="F1598" s="998" t="s">
        <v>80</v>
      </c>
      <c r="G1598" s="932" t="s">
        <v>310</v>
      </c>
      <c r="H1598" s="932" t="str">
        <f>VLOOKUP($C1598,Table1[#All],3,0)</f>
        <v>Subsidiaries</v>
      </c>
      <c r="I1598" s="932" t="str" cm="1">
        <f t="array" ref="I1598">_xlfn.XLOOKUP(Acc_Char!$E1598,Table4[[#All],[Branch]],Table4[[#All],[Bank]],"recheck",0)</f>
        <v>VIETINBANK - TIEN SON</v>
      </c>
    </row>
    <row r="1599" spans="1:9">
      <c r="A1599" s="998">
        <f t="shared" si="24"/>
        <v>1595</v>
      </c>
      <c r="B1599" s="1004" t="s">
        <v>1380</v>
      </c>
      <c r="C1599" s="1000" t="s">
        <v>3323</v>
      </c>
      <c r="D1599" s="932" t="str">
        <f>VLOOKUP($C1599,Table1[#All],2,0)</f>
        <v>TAN DONG HIEP B ELECTRON</v>
      </c>
      <c r="E1599" s="932" t="s">
        <v>191</v>
      </c>
      <c r="F1599" s="998" t="s">
        <v>80</v>
      </c>
      <c r="G1599" s="932" t="s">
        <v>310</v>
      </c>
      <c r="H1599" s="932" t="str">
        <f>VLOOKUP($C1599,Table1[#All],3,0)</f>
        <v>Subsidiaries</v>
      </c>
      <c r="I1599" s="932" t="str" cm="1">
        <f t="array" ref="I1599">_xlfn.XLOOKUP(Acc_Char!$E1599,Table4[[#All],[Branch]],Table4[[#All],[Bank]],"recheck",0)</f>
        <v>VIETINBANK - TPHCM</v>
      </c>
    </row>
    <row r="1600" spans="1:9">
      <c r="A1600" s="998">
        <f t="shared" si="24"/>
        <v>1596</v>
      </c>
      <c r="B1600" s="1002" t="s">
        <v>1384</v>
      </c>
      <c r="C1600" s="1003" t="s">
        <v>2888</v>
      </c>
      <c r="D1600" s="932" t="str">
        <f>VLOOKUP($C1600,Table1[#All],2,0)</f>
        <v>BWID HAI DUONG</v>
      </c>
      <c r="E1600" s="999" t="s">
        <v>85</v>
      </c>
      <c r="F1600" s="1093" t="s">
        <v>80</v>
      </c>
      <c r="G1600" s="999" t="s">
        <v>310</v>
      </c>
      <c r="H1600" s="932" t="str">
        <f>VLOOKUP($C1600,Table1[#All],3,0)</f>
        <v>Subsidiaries</v>
      </c>
      <c r="I1600" s="932" t="str" cm="1">
        <f t="array" ref="I1600">_xlfn.XLOOKUP(Acc_Char!$E1600,Table4[[#All],[Branch]],Table4[[#All],[Bank]],"recheck",0)</f>
        <v>VIETINBANK - TIEN SON</v>
      </c>
    </row>
    <row r="1601" spans="1:9">
      <c r="A1601" s="998">
        <f t="shared" si="24"/>
        <v>1597</v>
      </c>
      <c r="B1601" s="1002" t="s">
        <v>1385</v>
      </c>
      <c r="C1601" s="1003" t="s">
        <v>430</v>
      </c>
      <c r="D1601" s="932" t="str">
        <f>VLOOKUP($C1601,Table1[#All],2,0)</f>
        <v>KIM TRUC DN</v>
      </c>
      <c r="E1601" s="999" t="s">
        <v>93</v>
      </c>
      <c r="F1601" s="1093" t="s">
        <v>80</v>
      </c>
      <c r="G1601" s="932" t="s">
        <v>310</v>
      </c>
      <c r="H1601" s="932" t="str">
        <f>VLOOKUP($C1601,Table1[#All],3,0)</f>
        <v>Subsidiaries</v>
      </c>
      <c r="I1601" s="932" t="str" cm="1">
        <f t="array" ref="I1601">_xlfn.XLOOKUP(Acc_Char!$E1601,Table4[[#All],[Branch]],Table4[[#All],[Bank]],"recheck",0)</f>
        <v>BIDV - NAM SAI GON</v>
      </c>
    </row>
    <row r="1602" spans="1:9">
      <c r="A1602" s="998">
        <f t="shared" si="24"/>
        <v>1598</v>
      </c>
      <c r="B1602" s="1002" t="s">
        <v>1386</v>
      </c>
      <c r="C1602" s="1003" t="s">
        <v>430</v>
      </c>
      <c r="D1602" s="932" t="str">
        <f>VLOOKUP($C1602,Table1[#All],2,0)</f>
        <v>KIM TRUC DN</v>
      </c>
      <c r="E1602" s="999" t="s">
        <v>93</v>
      </c>
      <c r="F1602" s="1093" t="s">
        <v>80</v>
      </c>
      <c r="G1602" s="999" t="s">
        <v>310</v>
      </c>
      <c r="H1602" s="932" t="str">
        <f>VLOOKUP($C1602,Table1[#All],3,0)</f>
        <v>Subsidiaries</v>
      </c>
      <c r="I1602" s="932" t="str" cm="1">
        <f t="array" ref="I1602">_xlfn.XLOOKUP(Acc_Char!$E1602,Table4[[#All],[Branch]],Table4[[#All],[Bank]],"recheck",0)</f>
        <v>BIDV - NAM SAI GON</v>
      </c>
    </row>
    <row r="1603" spans="1:9">
      <c r="A1603" s="998">
        <f t="shared" si="24"/>
        <v>1599</v>
      </c>
      <c r="B1603" s="1002" t="s">
        <v>1387</v>
      </c>
      <c r="C1603" s="1003" t="s">
        <v>67</v>
      </c>
      <c r="D1603" s="932" t="str">
        <f>VLOOKUP($C1603,Table1[#All],2,0)</f>
        <v>SAO HOA</v>
      </c>
      <c r="E1603" s="999" t="s">
        <v>338</v>
      </c>
      <c r="F1603" s="1093" t="s">
        <v>80</v>
      </c>
      <c r="G1603" s="999" t="s">
        <v>310</v>
      </c>
      <c r="H1603" s="932" t="str">
        <f>VLOOKUP($C1603,Table1[#All],3,0)</f>
        <v>VC3</v>
      </c>
      <c r="I1603" s="932" t="str" cm="1">
        <f t="array" ref="I1603">_xlfn.XLOOKUP(Acc_Char!$E1603,Table4[[#All],[Branch]],Table4[[#All],[Bank]],"recheck",0)</f>
        <v>TECHCOMBANK</v>
      </c>
    </row>
    <row r="1604" spans="1:9">
      <c r="A1604" s="998">
        <f t="shared" si="24"/>
        <v>1600</v>
      </c>
      <c r="B1604" s="1002" t="s">
        <v>1388</v>
      </c>
      <c r="C1604" s="1003" t="s">
        <v>67</v>
      </c>
      <c r="D1604" s="932" t="str">
        <f>VLOOKUP($C1604,Table1[#All],2,0)</f>
        <v>SAO HOA</v>
      </c>
      <c r="E1604" s="999" t="s">
        <v>92</v>
      </c>
      <c r="F1604" s="1093" t="s">
        <v>80</v>
      </c>
      <c r="G1604" s="999" t="s">
        <v>310</v>
      </c>
      <c r="H1604" s="932" t="str">
        <f>VLOOKUP($C1604,Table1[#All],3,0)</f>
        <v>VC3</v>
      </c>
      <c r="I1604" s="932" t="str" cm="1">
        <f t="array" ref="I1604">_xlfn.XLOOKUP(Acc_Char!$E1604,Table4[[#All],[Branch]],Table4[[#All],[Bank]],"recheck",0)</f>
        <v>BIDV - THANH XUAN</v>
      </c>
    </row>
    <row r="1605" spans="1:9">
      <c r="A1605" s="998">
        <f t="shared" si="24"/>
        <v>1601</v>
      </c>
      <c r="B1605" s="1002" t="s">
        <v>3844</v>
      </c>
      <c r="C1605" s="1003" t="s">
        <v>3175</v>
      </c>
      <c r="D1605" s="932" t="str">
        <f>VLOOKUP($C1605,Table1[#All],2,0)</f>
        <v>BW HAI AN</v>
      </c>
      <c r="E1605" s="932" t="s">
        <v>92</v>
      </c>
      <c r="F1605" s="1093" t="s">
        <v>80</v>
      </c>
      <c r="G1605" s="999" t="s">
        <v>310</v>
      </c>
      <c r="H1605" s="932" t="str">
        <f>VLOOKUP($C1605,Table1[#All],3,0)</f>
        <v>Subsidiaries</v>
      </c>
      <c r="I1605" s="932" t="str" cm="1">
        <f t="array" ref="I1605">_xlfn.XLOOKUP(Acc_Char!$E1605,Table4[[#All],[Branch]],Table4[[#All],[Bank]],"recheck",0)</f>
        <v>BIDV - THANH XUAN</v>
      </c>
    </row>
    <row r="1606" spans="1:9">
      <c r="A1606" s="998">
        <f t="shared" ref="A1606:A1669" si="25">A1605+1</f>
        <v>1602</v>
      </c>
      <c r="B1606" s="1002" t="s">
        <v>1393</v>
      </c>
      <c r="C1606" s="1003" t="s">
        <v>3052</v>
      </c>
      <c r="D1606" s="932" t="str">
        <f>VLOOKUP($C1606,Table1[#All],2,0)</f>
        <v>GREAT KINGDOM NT 2</v>
      </c>
      <c r="E1606" s="932" t="s">
        <v>86</v>
      </c>
      <c r="F1606" s="1093" t="s">
        <v>80</v>
      </c>
      <c r="G1606" s="999" t="s">
        <v>310</v>
      </c>
      <c r="H1606" s="932" t="str">
        <f>VLOOKUP($C1606,Table1[#All],3,0)</f>
        <v>Subsidiaries</v>
      </c>
      <c r="I1606" s="932" t="str" cm="1">
        <f t="array" ref="I1606">_xlfn.XLOOKUP(Acc_Char!$E1606,Table4[[#All],[Branch]],Table4[[#All],[Bank]],"recheck",0)</f>
        <v>VIETINBANK - CN1</v>
      </c>
    </row>
    <row r="1607" spans="1:9">
      <c r="A1607" s="998">
        <f t="shared" si="25"/>
        <v>1603</v>
      </c>
      <c r="B1607" s="1002" t="s">
        <v>1390</v>
      </c>
      <c r="C1607" s="1003" t="s">
        <v>2888</v>
      </c>
      <c r="D1607" s="932" t="str">
        <f>VLOOKUP($C1607,Table1[#All],2,0)</f>
        <v>BWID HAI DUONG</v>
      </c>
      <c r="E1607" s="932" t="s">
        <v>85</v>
      </c>
      <c r="F1607" s="1093" t="s">
        <v>80</v>
      </c>
      <c r="G1607" s="999" t="s">
        <v>310</v>
      </c>
      <c r="H1607" s="932" t="str">
        <f>VLOOKUP($C1607,Table1[#All],3,0)</f>
        <v>Subsidiaries</v>
      </c>
      <c r="I1607" s="932" t="str" cm="1">
        <f t="array" ref="I1607">_xlfn.XLOOKUP(Acc_Char!$E1607,Table4[[#All],[Branch]],Table4[[#All],[Bank]],"recheck",0)</f>
        <v>VIETINBANK - TIEN SON</v>
      </c>
    </row>
    <row r="1608" spans="1:9">
      <c r="A1608" s="998">
        <f t="shared" si="25"/>
        <v>1604</v>
      </c>
      <c r="B1608" s="1002" t="s">
        <v>1391</v>
      </c>
      <c r="C1608" s="1003" t="s">
        <v>3270</v>
      </c>
      <c r="D1608" s="932" t="str">
        <f>VLOOKUP($C1608,Table1[#All],2,0)</f>
        <v>MP3 SOLAR POWER</v>
      </c>
      <c r="E1608" s="932" t="s">
        <v>88</v>
      </c>
      <c r="F1608" s="1093" t="s">
        <v>80</v>
      </c>
      <c r="G1608" s="999" t="s">
        <v>310</v>
      </c>
      <c r="H1608" s="932" t="str">
        <f>VLOOKUP($C1608,Table1[#All],3,0)</f>
        <v>Subsidiaries</v>
      </c>
      <c r="I1608" s="932" t="str" cm="1">
        <f t="array" ref="I1608">_xlfn.XLOOKUP(Acc_Char!$E1608,Table4[[#All],[Branch]],Table4[[#All],[Bank]],"recheck",0)</f>
        <v>VIETINBANK - DONG SAI GON</v>
      </c>
    </row>
    <row r="1609" spans="1:9">
      <c r="A1609" s="998">
        <f t="shared" si="25"/>
        <v>1605</v>
      </c>
      <c r="B1609" s="1002" t="s">
        <v>1392</v>
      </c>
      <c r="C1609" s="1003" t="s">
        <v>3271</v>
      </c>
      <c r="D1609" s="932" t="str">
        <f>VLOOKUP($C1609,Table1[#All],2,0)</f>
        <v>TPT1 SOLAR POWER</v>
      </c>
      <c r="E1609" s="932" t="s">
        <v>88</v>
      </c>
      <c r="F1609" s="1093" t="s">
        <v>80</v>
      </c>
      <c r="G1609" s="999" t="s">
        <v>310</v>
      </c>
      <c r="H1609" s="932" t="str">
        <f>VLOOKUP($C1609,Table1[#All],3,0)</f>
        <v>Subsidiaries</v>
      </c>
      <c r="I1609" s="932" t="str" cm="1">
        <f t="array" ref="I1609">_xlfn.XLOOKUP(Acc_Char!$E1609,Table4[[#All],[Branch]],Table4[[#All],[Bank]],"recheck",0)</f>
        <v>VIETINBANK - DONG SAI GON</v>
      </c>
    </row>
    <row r="1610" spans="1:9">
      <c r="A1610" s="998">
        <f t="shared" si="25"/>
        <v>1606</v>
      </c>
      <c r="B1610" s="1002" t="s">
        <v>1398</v>
      </c>
      <c r="C1610" s="1003" t="s">
        <v>3309</v>
      </c>
      <c r="D1610" s="932" t="str">
        <f>VLOOKUP($C1610,Table1[#All],2,0)</f>
        <v>LE MINH XUAN 3</v>
      </c>
      <c r="E1610" s="932" t="s">
        <v>191</v>
      </c>
      <c r="F1610" s="1093" t="s">
        <v>80</v>
      </c>
      <c r="G1610" s="999" t="s">
        <v>310</v>
      </c>
      <c r="H1610" s="932" t="str">
        <f>VLOOKUP($C1610,Table1[#All],3,0)</f>
        <v>Subsidiaries</v>
      </c>
      <c r="I1610" s="932" t="str" cm="1">
        <f t="array" ref="I1610">_xlfn.XLOOKUP(Acc_Char!$E1610,Table4[[#All],[Branch]],Table4[[#All],[Bank]],"recheck",0)</f>
        <v>VIETINBANK - TPHCM</v>
      </c>
    </row>
    <row r="1611" spans="1:9">
      <c r="A1611" s="998">
        <f t="shared" si="25"/>
        <v>1607</v>
      </c>
      <c r="B1611" s="1002" t="s">
        <v>1395</v>
      </c>
      <c r="C1611" s="1003" t="s">
        <v>420</v>
      </c>
      <c r="D1611" s="932" t="str">
        <f>VLOOKUP($C1611,Table1[#All],2,0)</f>
        <v>THUAN DAO</v>
      </c>
      <c r="E1611" s="932" t="s">
        <v>191</v>
      </c>
      <c r="F1611" s="1093" t="s">
        <v>80</v>
      </c>
      <c r="G1611" s="999" t="s">
        <v>310</v>
      </c>
      <c r="H1611" s="932" t="str">
        <f>VLOOKUP($C1611,Table1[#All],3,0)</f>
        <v>Subsidiaries</v>
      </c>
      <c r="I1611" s="932" t="str" cm="1">
        <f t="array" ref="I1611">_xlfn.XLOOKUP(Acc_Char!$E1611,Table4[[#All],[Branch]],Table4[[#All],[Bank]],"recheck",0)</f>
        <v>VIETINBANK - TPHCM</v>
      </c>
    </row>
    <row r="1612" spans="1:9">
      <c r="A1612" s="998">
        <f t="shared" si="25"/>
        <v>1608</v>
      </c>
      <c r="B1612" s="1002" t="s">
        <v>1406</v>
      </c>
      <c r="C1612" s="1003" t="s">
        <v>420</v>
      </c>
      <c r="D1612" s="932" t="str">
        <f>VLOOKUP($C1612,Table1[#All],2,0)</f>
        <v>THUAN DAO</v>
      </c>
      <c r="E1612" s="932" t="s">
        <v>191</v>
      </c>
      <c r="F1612" s="1093" t="s">
        <v>80</v>
      </c>
      <c r="G1612" s="999" t="s">
        <v>310</v>
      </c>
      <c r="H1612" s="932" t="str">
        <f>VLOOKUP($C1612,Table1[#All],3,0)</f>
        <v>Subsidiaries</v>
      </c>
      <c r="I1612" s="932" t="str" cm="1">
        <f t="array" ref="I1612">_xlfn.XLOOKUP(Acc_Char!$E1612,Table4[[#All],[Branch]],Table4[[#All],[Bank]],"recheck",0)</f>
        <v>VIETINBANK - TPHCM</v>
      </c>
    </row>
    <row r="1613" spans="1:9">
      <c r="A1613" s="998">
        <f t="shared" si="25"/>
        <v>1609</v>
      </c>
      <c r="B1613" s="1002" t="s">
        <v>1394</v>
      </c>
      <c r="C1613" s="1003" t="s">
        <v>2980</v>
      </c>
      <c r="D1613" s="932" t="str">
        <f>VLOOKUP($C1613,Table1[#All],2,0)</f>
        <v>BWID THOI HOA</v>
      </c>
      <c r="E1613" s="932" t="s">
        <v>91</v>
      </c>
      <c r="F1613" s="1093" t="s">
        <v>80</v>
      </c>
      <c r="G1613" s="999" t="s">
        <v>310</v>
      </c>
      <c r="H1613" s="932" t="str">
        <f>VLOOKUP($C1613,Table1[#All],3,0)</f>
        <v>Subsidiaries</v>
      </c>
      <c r="I1613" s="932" t="str" cm="1">
        <f t="array" ref="I1613">_xlfn.XLOOKUP(Acc_Char!$E1613,Table4[[#All],[Branch]],Table4[[#All],[Bank]],"recheck",0)</f>
        <v>VIETCOMBANK - HCM</v>
      </c>
    </row>
    <row r="1614" spans="1:9">
      <c r="A1614" s="998">
        <f t="shared" si="25"/>
        <v>1610</v>
      </c>
      <c r="B1614" s="1002" t="s">
        <v>1396</v>
      </c>
      <c r="C1614" s="1003" t="s">
        <v>3010</v>
      </c>
      <c r="D1614" s="932" t="str">
        <f>VLOOKUP($C1614,Table1[#All],2,0)</f>
        <v>BWID LOGISTICS TAN UYEN</v>
      </c>
      <c r="E1614" s="932" t="s">
        <v>89</v>
      </c>
      <c r="F1614" s="1093" t="s">
        <v>80</v>
      </c>
      <c r="G1614" s="999" t="s">
        <v>310</v>
      </c>
      <c r="H1614" s="932" t="str">
        <f>VLOOKUP($C1614,Table1[#All],3,0)</f>
        <v>Subsidiaries</v>
      </c>
      <c r="I1614" s="932" t="str" cm="1">
        <f t="array" ref="I1614">_xlfn.XLOOKUP(Acc_Char!$E1614,Table4[[#All],[Branch]],Table4[[#All],[Bank]],"recheck",0)</f>
        <v>VIETCOMBANK - BA DINH</v>
      </c>
    </row>
    <row r="1615" spans="1:9">
      <c r="A1615" s="998">
        <f t="shared" si="25"/>
        <v>1611</v>
      </c>
      <c r="B1615" s="1002" t="s">
        <v>3845</v>
      </c>
      <c r="C1615" s="1003" t="s">
        <v>3233</v>
      </c>
      <c r="D1615" s="932" t="str">
        <f>VLOOKUP($C1615,Table1[#All],2,0)</f>
        <v>BAU BANG 6</v>
      </c>
      <c r="E1615" s="932" t="s">
        <v>153</v>
      </c>
      <c r="F1615" s="1093" t="s">
        <v>80</v>
      </c>
      <c r="G1615" s="932" t="s">
        <v>310</v>
      </c>
      <c r="H1615" s="932" t="str">
        <f>VLOOKUP($C1615,Table1[#All],3,0)</f>
        <v>Subsidiaries</v>
      </c>
      <c r="I1615" s="932" t="str" cm="1">
        <f t="array" ref="I1615">_xlfn.XLOOKUP(Acc_Char!$E1615,Table4[[#All],[Branch]],Table4[[#All],[Bank]],"recheck",0)</f>
        <v>VIETINBANK - BINH DUONG + QM</v>
      </c>
    </row>
    <row r="1616" spans="1:9">
      <c r="A1616" s="998">
        <f t="shared" si="25"/>
        <v>1612</v>
      </c>
      <c r="B1616" s="1002" t="s">
        <v>1389</v>
      </c>
      <c r="C1616" s="1003" t="s">
        <v>3280</v>
      </c>
      <c r="D1616" s="932" t="str">
        <f>VLOOKUP($C1616,Table1[#All],2,0)</f>
        <v>BAC TIEN PHONG</v>
      </c>
      <c r="E1616" s="932" t="s">
        <v>92</v>
      </c>
      <c r="F1616" s="1093" t="s">
        <v>80</v>
      </c>
      <c r="G1616" s="999" t="s">
        <v>310</v>
      </c>
      <c r="H1616" s="932" t="str">
        <f>VLOOKUP($C1616,Table1[#All],3,0)</f>
        <v>Subsidiaries</v>
      </c>
      <c r="I1616" s="932" t="str" cm="1">
        <f t="array" ref="I1616">_xlfn.XLOOKUP(Acc_Char!$E1616,Table4[[#All],[Branch]],Table4[[#All],[Bank]],"recheck",0)</f>
        <v>BIDV - THANH XUAN</v>
      </c>
    </row>
    <row r="1617" spans="1:9">
      <c r="A1617" s="998">
        <f t="shared" si="25"/>
        <v>1613</v>
      </c>
      <c r="B1617" s="1002" t="s">
        <v>1399</v>
      </c>
      <c r="C1617" s="1003" t="s">
        <v>3160</v>
      </c>
      <c r="D1617" s="932" t="str">
        <f>VLOOKUP($C1617,Table1[#All],2,0)</f>
        <v>BWID Tan Phu Trung</v>
      </c>
      <c r="E1617" s="932" t="s">
        <v>85</v>
      </c>
      <c r="F1617" s="998" t="s">
        <v>80</v>
      </c>
      <c r="G1617" s="932" t="s">
        <v>310</v>
      </c>
      <c r="H1617" s="932" t="str">
        <f>VLOOKUP($C1617,Table1[#All],3,0)</f>
        <v>Subsidiaries</v>
      </c>
      <c r="I1617" s="932" t="str" cm="1">
        <f t="array" ref="I1617">_xlfn.XLOOKUP(Acc_Char!$E1617,Table4[[#All],[Branch]],Table4[[#All],[Bank]],"recheck",0)</f>
        <v>VIETINBANK - TIEN SON</v>
      </c>
    </row>
    <row r="1618" spans="1:9">
      <c r="A1618" s="998">
        <f t="shared" si="25"/>
        <v>1614</v>
      </c>
      <c r="B1618" s="1002" t="s">
        <v>3846</v>
      </c>
      <c r="C1618" s="1003" t="s">
        <v>3251</v>
      </c>
      <c r="D1618" s="932" t="str">
        <f>VLOOKUP($C1618,Table1[#All],2,0)</f>
        <v>BW BAU BANG 01</v>
      </c>
      <c r="E1618" s="932" t="s">
        <v>153</v>
      </c>
      <c r="F1618" s="1093" t="s">
        <v>80</v>
      </c>
      <c r="G1618" s="999" t="s">
        <v>310</v>
      </c>
      <c r="H1618" s="932" t="str">
        <f>VLOOKUP($C1618,Table1[#All],3,0)</f>
        <v>Subsidiaries</v>
      </c>
      <c r="I1618" s="932" t="str" cm="1">
        <f t="array" ref="I1618">_xlfn.XLOOKUP(Acc_Char!$E1618,Table4[[#All],[Branch]],Table4[[#All],[Bank]],"recheck",0)</f>
        <v>VIETINBANK - BINH DUONG + QM</v>
      </c>
    </row>
    <row r="1619" spans="1:9">
      <c r="A1619" s="998">
        <f t="shared" si="25"/>
        <v>1615</v>
      </c>
      <c r="B1619" s="1002" t="s">
        <v>1405</v>
      </c>
      <c r="C1619" s="1003" t="s">
        <v>3300</v>
      </c>
      <c r="D1619" s="932" t="str">
        <f>VLOOKUP($C1619,Table1[#All],2,0)</f>
        <v>SONG THAN 2</v>
      </c>
      <c r="E1619" s="932" t="s">
        <v>191</v>
      </c>
      <c r="F1619" s="998" t="s">
        <v>80</v>
      </c>
      <c r="G1619" s="932" t="s">
        <v>310</v>
      </c>
      <c r="H1619" s="932" t="str">
        <f>VLOOKUP($C1619,Table1[#All],3,0)</f>
        <v>Subsidiaries</v>
      </c>
      <c r="I1619" s="932" t="str" cm="1">
        <f t="array" ref="I1619">_xlfn.XLOOKUP(Acc_Char!$E1619,Table4[[#All],[Branch]],Table4[[#All],[Bank]],"recheck",0)</f>
        <v>VIETINBANK - TPHCM</v>
      </c>
    </row>
    <row r="1620" spans="1:9">
      <c r="A1620" s="998">
        <f t="shared" si="25"/>
        <v>1616</v>
      </c>
      <c r="B1620" s="1002" t="s">
        <v>1403</v>
      </c>
      <c r="C1620" s="1003" t="s">
        <v>430</v>
      </c>
      <c r="D1620" s="932" t="str">
        <f>VLOOKUP($C1620,Table1[#All],2,0)</f>
        <v>KIM TRUC DN</v>
      </c>
      <c r="E1620" s="999" t="s">
        <v>93</v>
      </c>
      <c r="F1620" s="1093" t="s">
        <v>80</v>
      </c>
      <c r="G1620" s="999" t="s">
        <v>310</v>
      </c>
      <c r="H1620" s="932" t="str">
        <f>VLOOKUP($C1620,Table1[#All],3,0)</f>
        <v>Subsidiaries</v>
      </c>
      <c r="I1620" s="932" t="str" cm="1">
        <f t="array" ref="I1620">_xlfn.XLOOKUP(Acc_Char!$E1620,Table4[[#All],[Branch]],Table4[[#All],[Bank]],"recheck",0)</f>
        <v>BIDV - NAM SAI GON</v>
      </c>
    </row>
    <row r="1621" spans="1:9">
      <c r="A1621" s="998">
        <f t="shared" si="25"/>
        <v>1617</v>
      </c>
      <c r="B1621" s="1002" t="s">
        <v>1404</v>
      </c>
      <c r="C1621" s="1003" t="s">
        <v>430</v>
      </c>
      <c r="D1621" s="932" t="str">
        <f>VLOOKUP($C1621,Table1[#All],2,0)</f>
        <v>KIM TRUC DN</v>
      </c>
      <c r="E1621" s="999" t="s">
        <v>93</v>
      </c>
      <c r="F1621" s="1093" t="s">
        <v>80</v>
      </c>
      <c r="G1621" s="999" t="s">
        <v>310</v>
      </c>
      <c r="H1621" s="932" t="str">
        <f>VLOOKUP($C1621,Table1[#All],3,0)</f>
        <v>Subsidiaries</v>
      </c>
      <c r="I1621" s="932" t="str" cm="1">
        <f t="array" ref="I1621">_xlfn.XLOOKUP(Acc_Char!$E1621,Table4[[#All],[Branch]],Table4[[#All],[Bank]],"recheck",0)</f>
        <v>BIDV - NAM SAI GON</v>
      </c>
    </row>
    <row r="1622" spans="1:9">
      <c r="A1622" s="998">
        <f t="shared" si="25"/>
        <v>1618</v>
      </c>
      <c r="B1622" s="1002" t="s">
        <v>1402</v>
      </c>
      <c r="C1622" s="1003" t="s">
        <v>67</v>
      </c>
      <c r="D1622" s="932" t="str">
        <f>VLOOKUP($C1622,Table1[#All],2,0)</f>
        <v>SAO HOA</v>
      </c>
      <c r="E1622" s="999" t="s">
        <v>92</v>
      </c>
      <c r="F1622" s="1093" t="s">
        <v>80</v>
      </c>
      <c r="G1622" s="999" t="s">
        <v>310</v>
      </c>
      <c r="H1622" s="932" t="str">
        <f>VLOOKUP($C1622,Table1[#All],3,0)</f>
        <v>VC3</v>
      </c>
      <c r="I1622" s="932" t="str" cm="1">
        <f t="array" ref="I1622">_xlfn.XLOOKUP(Acc_Char!$E1622,Table4[[#All],[Branch]],Table4[[#All],[Bank]],"recheck",0)</f>
        <v>BIDV - THANH XUAN</v>
      </c>
    </row>
    <row r="1623" spans="1:9">
      <c r="A1623" s="998">
        <f t="shared" si="25"/>
        <v>1619</v>
      </c>
      <c r="B1623" s="1002" t="s">
        <v>5392</v>
      </c>
      <c r="C1623" s="1003" t="s">
        <v>3277</v>
      </c>
      <c r="D1623" s="932" t="str">
        <f>VLOOKUP($C1623,Table1[#All],2,0)</f>
        <v>THUAN THANH 3B</v>
      </c>
      <c r="E1623" s="999" t="s">
        <v>89</v>
      </c>
      <c r="F1623" s="998" t="s">
        <v>80</v>
      </c>
      <c r="G1623" s="932" t="s">
        <v>310</v>
      </c>
      <c r="H1623" s="932" t="str">
        <f>VLOOKUP($C1623,Table1[#All],3,0)</f>
        <v>Subsidiaries</v>
      </c>
      <c r="I1623" s="932" t="str" cm="1">
        <f t="array" ref="I1623">_xlfn.XLOOKUP(Acc_Char!$E1623,Table4[[#All],[Branch]],Table4[[#All],[Bank]],"recheck",0)</f>
        <v>VIETCOMBANK - BA DINH</v>
      </c>
    </row>
    <row r="1624" spans="1:9">
      <c r="A1624" s="998">
        <f t="shared" si="25"/>
        <v>1620</v>
      </c>
      <c r="B1624" s="1002" t="s">
        <v>1401</v>
      </c>
      <c r="C1624" s="1003" t="s">
        <v>67</v>
      </c>
      <c r="D1624" s="932" t="str">
        <f>VLOOKUP($C1624,Table1[#All],2,0)</f>
        <v>SAO HOA</v>
      </c>
      <c r="E1624" s="999" t="s">
        <v>98</v>
      </c>
      <c r="F1624" s="1093" t="s">
        <v>80</v>
      </c>
      <c r="G1624" s="999" t="s">
        <v>310</v>
      </c>
      <c r="H1624" s="932" t="str">
        <f>VLOOKUP($C1624,Table1[#All],3,0)</f>
        <v>VC3</v>
      </c>
      <c r="I1624" s="932" t="str" cm="1">
        <f t="array" ref="I1624">_xlfn.XLOOKUP(Acc_Char!$E1624,Table4[[#All],[Branch]],Table4[[#All],[Bank]],"recheck",0)</f>
        <v>SINOPAC</v>
      </c>
    </row>
    <row r="1625" spans="1:9">
      <c r="A1625" s="998">
        <f t="shared" si="25"/>
        <v>1621</v>
      </c>
      <c r="B1625" s="1002" t="s">
        <v>1400</v>
      </c>
      <c r="C1625" s="1003" t="s">
        <v>67</v>
      </c>
      <c r="D1625" s="932" t="str">
        <f>VLOOKUP($C1625,Table1[#All],2,0)</f>
        <v>SAO HOA</v>
      </c>
      <c r="E1625" s="999" t="s">
        <v>91</v>
      </c>
      <c r="F1625" s="1093" t="s">
        <v>80</v>
      </c>
      <c r="G1625" s="999" t="s">
        <v>310</v>
      </c>
      <c r="H1625" s="932" t="str">
        <f>VLOOKUP($C1625,Table1[#All],3,0)</f>
        <v>VC3</v>
      </c>
      <c r="I1625" s="932" t="str" cm="1">
        <f t="array" ref="I1625">_xlfn.XLOOKUP(Acc_Char!$E1625,Table4[[#All],[Branch]],Table4[[#All],[Bank]],"recheck",0)</f>
        <v>VIETCOMBANK - HCM</v>
      </c>
    </row>
    <row r="1626" spans="1:9">
      <c r="A1626" s="998">
        <f t="shared" si="25"/>
        <v>1622</v>
      </c>
      <c r="B1626" s="1002" t="s">
        <v>1397</v>
      </c>
      <c r="C1626" s="1003" t="s">
        <v>2895</v>
      </c>
      <c r="D1626" s="932" t="str">
        <f>VLOOKUP($C1626,Table1[#All],2,0)</f>
        <v>BWID HAI DUONG 2</v>
      </c>
      <c r="E1626" s="932" t="s">
        <v>85</v>
      </c>
      <c r="F1626" s="1093" t="s">
        <v>80</v>
      </c>
      <c r="G1626" s="999" t="s">
        <v>310</v>
      </c>
      <c r="H1626" s="932" t="str">
        <f>VLOOKUP($C1626,Table1[#All],3,0)</f>
        <v>Subsidiaries</v>
      </c>
      <c r="I1626" s="932" t="str" cm="1">
        <f t="array" ref="I1626">_xlfn.XLOOKUP(Acc_Char!$E1626,Table4[[#All],[Branch]],Table4[[#All],[Bank]],"recheck",0)</f>
        <v>VIETINBANK - TIEN SON</v>
      </c>
    </row>
    <row r="1627" spans="1:9">
      <c r="A1627" s="998">
        <f t="shared" si="25"/>
        <v>1623</v>
      </c>
      <c r="B1627" s="1002" t="s">
        <v>1407</v>
      </c>
      <c r="C1627" s="1003" t="s">
        <v>440</v>
      </c>
      <c r="D1627" s="932" t="str">
        <f>VLOOKUP($C1627,Table1[#All],2,0)</f>
        <v>BW NAM DINH VU</v>
      </c>
      <c r="E1627" s="932" t="s">
        <v>153</v>
      </c>
      <c r="F1627" s="1093" t="s">
        <v>80</v>
      </c>
      <c r="G1627" s="999" t="s">
        <v>308</v>
      </c>
      <c r="H1627" s="932" t="str">
        <f>VLOOKUP($C1627,Table1[#All],3,0)</f>
        <v>Subsidiaries</v>
      </c>
      <c r="I1627" s="932" t="str" cm="1">
        <f t="array" ref="I1627">_xlfn.XLOOKUP(Acc_Char!$E1627,Table4[[#All],[Branch]],Table4[[#All],[Bank]],"recheck",0)</f>
        <v>VIETINBANK - BINH DUONG + QM</v>
      </c>
    </row>
    <row r="1628" spans="1:9">
      <c r="A1628" s="998">
        <f t="shared" si="25"/>
        <v>1624</v>
      </c>
      <c r="B1628" s="1002" t="s">
        <v>1408</v>
      </c>
      <c r="C1628" s="1003" t="s">
        <v>3237</v>
      </c>
      <c r="D1628" s="932" t="str">
        <f>VLOOKUP($C1628,Table1[#All],2,0)</f>
        <v>LONG BINH</v>
      </c>
      <c r="E1628" s="932" t="s">
        <v>91</v>
      </c>
      <c r="F1628" s="1093" t="s">
        <v>80</v>
      </c>
      <c r="G1628" s="999" t="s">
        <v>308</v>
      </c>
      <c r="H1628" s="932" t="str">
        <f>VLOOKUP($C1628,Table1[#All],3,0)</f>
        <v>Subsidiaries</v>
      </c>
      <c r="I1628" s="932" t="str" cm="1">
        <f t="array" ref="I1628">_xlfn.XLOOKUP(Acc_Char!$E1628,Table4[[#All],[Branch]],Table4[[#All],[Bank]],"recheck",0)</f>
        <v>VIETCOMBANK - HCM</v>
      </c>
    </row>
    <row r="1629" spans="1:9">
      <c r="A1629" s="998">
        <f t="shared" si="25"/>
        <v>1625</v>
      </c>
      <c r="B1629" s="1002" t="s">
        <v>5393</v>
      </c>
      <c r="C1629" s="1003" t="s">
        <v>3277</v>
      </c>
      <c r="D1629" s="932" t="str">
        <f>VLOOKUP($C1629,Table1[#All],2,0)</f>
        <v>THUAN THANH 3B</v>
      </c>
      <c r="E1629" s="932" t="s">
        <v>89</v>
      </c>
      <c r="F1629" s="1093" t="s">
        <v>80</v>
      </c>
      <c r="G1629" s="999" t="s">
        <v>310</v>
      </c>
      <c r="H1629" s="932" t="str">
        <f>VLOOKUP($C1629,Table1[#All],3,0)</f>
        <v>Subsidiaries</v>
      </c>
      <c r="I1629" s="932" t="str" cm="1">
        <f t="array" ref="I1629">_xlfn.XLOOKUP(Acc_Char!$E1629,Table4[[#All],[Branch]],Table4[[#All],[Bank]],"recheck",0)</f>
        <v>VIETCOMBANK - BA DINH</v>
      </c>
    </row>
    <row r="1630" spans="1:9">
      <c r="A1630" s="998">
        <f t="shared" si="25"/>
        <v>1626</v>
      </c>
      <c r="B1630" s="1002" t="s">
        <v>5394</v>
      </c>
      <c r="C1630" s="1003" t="s">
        <v>67</v>
      </c>
      <c r="D1630" s="932" t="str">
        <f>VLOOKUP($C1630,Table1[#All],2,0)</f>
        <v>SAO HOA</v>
      </c>
      <c r="E1630" s="932" t="s">
        <v>339</v>
      </c>
      <c r="F1630" s="1093" t="s">
        <v>80</v>
      </c>
      <c r="G1630" s="999" t="s">
        <v>310</v>
      </c>
      <c r="H1630" s="932" t="str">
        <f>VLOOKUP($C1630,Table1[#All],3,0)</f>
        <v>VC3</v>
      </c>
      <c r="I1630" s="932" t="str" cm="1">
        <f t="array" ref="I1630">_xlfn.XLOOKUP(Acc_Char!$E1630,Table4[[#All],[Branch]],Table4[[#All],[Bank]],"recheck",0)</f>
        <v>ACB - HCM</v>
      </c>
    </row>
    <row r="1631" spans="1:9">
      <c r="A1631" s="998">
        <f t="shared" si="25"/>
        <v>1627</v>
      </c>
      <c r="B1631" s="1002" t="s">
        <v>1409</v>
      </c>
      <c r="C1631" s="1003" t="s">
        <v>67</v>
      </c>
      <c r="D1631" s="932" t="str">
        <f>VLOOKUP($C1631,Table1[#All],2,0)</f>
        <v>SAO HOA</v>
      </c>
      <c r="E1631" s="932" t="s">
        <v>96</v>
      </c>
      <c r="F1631" s="1093" t="s">
        <v>80</v>
      </c>
      <c r="G1631" s="999" t="s">
        <v>310</v>
      </c>
      <c r="H1631" s="932" t="str">
        <f>VLOOKUP($C1631,Table1[#All],3,0)</f>
        <v>VC3</v>
      </c>
      <c r="I1631" s="932" t="str" cm="1">
        <f t="array" ref="I1631">_xlfn.XLOOKUP(Acc_Char!$E1631,Table4[[#All],[Branch]],Table4[[#All],[Bank]],"recheck",0)</f>
        <v>VIB - HOI SO</v>
      </c>
    </row>
    <row r="1632" spans="1:9">
      <c r="A1632" s="998">
        <f t="shared" si="25"/>
        <v>1628</v>
      </c>
      <c r="B1632" s="1002" t="s">
        <v>1430</v>
      </c>
      <c r="C1632" s="1003" t="s">
        <v>2998</v>
      </c>
      <c r="D1632" s="932" t="str">
        <f>VLOOKUP($C1632,Table1[#All],2,0)</f>
        <v>BWID THOI HOA 2</v>
      </c>
      <c r="E1632" s="932" t="s">
        <v>971</v>
      </c>
      <c r="F1632" s="1093" t="s">
        <v>80</v>
      </c>
      <c r="G1632" s="999" t="s">
        <v>310</v>
      </c>
      <c r="H1632" s="932" t="str">
        <f>VLOOKUP($C1632,Table1[#All],3,0)</f>
        <v>Subsidiaries</v>
      </c>
      <c r="I1632" s="932" t="str" cm="1">
        <f t="array" ref="I1632">_xlfn.XLOOKUP(Acc_Char!$E1632,Table4[[#All],[Branch]],Table4[[#All],[Bank]],"recheck",0)</f>
        <v>OTHERS</v>
      </c>
    </row>
    <row r="1633" spans="1:9">
      <c r="A1633" s="998">
        <f t="shared" si="25"/>
        <v>1629</v>
      </c>
      <c r="B1633" s="1002" t="s">
        <v>1412</v>
      </c>
      <c r="C1633" s="1003" t="s">
        <v>3026</v>
      </c>
      <c r="D1633" s="932" t="str">
        <f>VLOOKUP($C1633,Table1[#All],2,0)</f>
        <v>BW SAI GON</v>
      </c>
      <c r="E1633" s="932" t="s">
        <v>98</v>
      </c>
      <c r="F1633" s="1093" t="s">
        <v>80</v>
      </c>
      <c r="G1633" s="999" t="s">
        <v>310</v>
      </c>
      <c r="H1633" s="932" t="str">
        <f>VLOOKUP($C1633,Table1[#All],3,0)</f>
        <v>Subsidiaries</v>
      </c>
      <c r="I1633" s="932" t="str" cm="1">
        <f t="array" ref="I1633">_xlfn.XLOOKUP(Acc_Char!$E1633,Table4[[#All],[Branch]],Table4[[#All],[Bank]],"recheck",0)</f>
        <v>SINOPAC</v>
      </c>
    </row>
    <row r="1634" spans="1:9">
      <c r="A1634" s="998">
        <f t="shared" si="25"/>
        <v>1630</v>
      </c>
      <c r="B1634" s="1002" t="s">
        <v>1251</v>
      </c>
      <c r="C1634" s="1003" t="s">
        <v>2980</v>
      </c>
      <c r="D1634" s="932" t="str">
        <f>VLOOKUP($C1634,Table1[#All],2,0)</f>
        <v>BWID THOI HOA</v>
      </c>
      <c r="E1634" s="932" t="s">
        <v>91</v>
      </c>
      <c r="F1634" s="1093" t="s">
        <v>80</v>
      </c>
      <c r="G1634" s="999" t="s">
        <v>310</v>
      </c>
      <c r="H1634" s="932" t="str">
        <f>VLOOKUP($C1634,Table1[#All],3,0)</f>
        <v>Subsidiaries</v>
      </c>
      <c r="I1634" s="932" t="str" cm="1">
        <f t="array" ref="I1634">_xlfn.XLOOKUP(Acc_Char!$E1634,Table4[[#All],[Branch]],Table4[[#All],[Bank]],"recheck",0)</f>
        <v>VIETCOMBANK - HCM</v>
      </c>
    </row>
    <row r="1635" spans="1:9">
      <c r="A1635" s="998">
        <f t="shared" si="25"/>
        <v>1631</v>
      </c>
      <c r="B1635" s="1002" t="s">
        <v>1410</v>
      </c>
      <c r="C1635" s="1003" t="s">
        <v>67</v>
      </c>
      <c r="D1635" s="932" t="str">
        <f>VLOOKUP($C1635,Table1[#All],2,0)</f>
        <v>SAO HOA</v>
      </c>
      <c r="E1635" s="932" t="s">
        <v>153</v>
      </c>
      <c r="F1635" s="1093" t="s">
        <v>80</v>
      </c>
      <c r="G1635" s="999" t="s">
        <v>310</v>
      </c>
      <c r="H1635" s="932" t="str">
        <f>VLOOKUP($C1635,Table1[#All],3,0)</f>
        <v>VC3</v>
      </c>
      <c r="I1635" s="932" t="str" cm="1">
        <f t="array" ref="I1635">_xlfn.XLOOKUP(Acc_Char!$E1635,Table4[[#All],[Branch]],Table4[[#All],[Bank]],"recheck",0)</f>
        <v>VIETINBANK - BINH DUONG + QM</v>
      </c>
    </row>
    <row r="1636" spans="1:9">
      <c r="A1636" s="998">
        <f t="shared" si="25"/>
        <v>1632</v>
      </c>
      <c r="B1636" s="1002" t="s">
        <v>1411</v>
      </c>
      <c r="C1636" s="1003" t="s">
        <v>3237</v>
      </c>
      <c r="D1636" s="932" t="str">
        <f>VLOOKUP($C1636,Table1[#All],2,0)</f>
        <v>LONG BINH</v>
      </c>
      <c r="E1636" s="932" t="s">
        <v>91</v>
      </c>
      <c r="F1636" s="1093" t="s">
        <v>80</v>
      </c>
      <c r="G1636" s="999" t="s">
        <v>310</v>
      </c>
      <c r="H1636" s="932" t="str">
        <f>VLOOKUP($C1636,Table1[#All],3,0)</f>
        <v>Subsidiaries</v>
      </c>
      <c r="I1636" s="932" t="str" cm="1">
        <f t="array" ref="I1636">_xlfn.XLOOKUP(Acc_Char!$E1636,Table4[[#All],[Branch]],Table4[[#All],[Bank]],"recheck",0)</f>
        <v>VIETCOMBANK - HCM</v>
      </c>
    </row>
    <row r="1637" spans="1:9">
      <c r="A1637" s="998">
        <f t="shared" si="25"/>
        <v>1633</v>
      </c>
      <c r="B1637" s="1002" t="s">
        <v>1413</v>
      </c>
      <c r="C1637" s="1003" t="s">
        <v>3300</v>
      </c>
      <c r="D1637" s="932" t="str">
        <f>VLOOKUP($C1637,Table1[#All],2,0)</f>
        <v>SONG THAN 2</v>
      </c>
      <c r="E1637" s="932" t="s">
        <v>191</v>
      </c>
      <c r="F1637" s="1093" t="s">
        <v>80</v>
      </c>
      <c r="G1637" s="999" t="s">
        <v>310</v>
      </c>
      <c r="H1637" s="932" t="str">
        <f>VLOOKUP($C1637,Table1[#All],3,0)</f>
        <v>Subsidiaries</v>
      </c>
      <c r="I1637" s="932" t="str" cm="1">
        <f t="array" ref="I1637">_xlfn.XLOOKUP(Acc_Char!$E1637,Table4[[#All],[Branch]],Table4[[#All],[Bank]],"recheck",0)</f>
        <v>VIETINBANK - TPHCM</v>
      </c>
    </row>
    <row r="1638" spans="1:9">
      <c r="A1638" s="998">
        <f t="shared" si="25"/>
        <v>1634</v>
      </c>
      <c r="B1638" s="1002" t="s">
        <v>1414</v>
      </c>
      <c r="C1638" s="1003" t="s">
        <v>3277</v>
      </c>
      <c r="D1638" s="932" t="str">
        <f>VLOOKUP($C1638,Table1[#All],2,0)</f>
        <v>THUAN THANH 3B</v>
      </c>
      <c r="E1638" s="932" t="s">
        <v>89</v>
      </c>
      <c r="F1638" s="1093" t="s">
        <v>80</v>
      </c>
      <c r="G1638" s="999" t="s">
        <v>310</v>
      </c>
      <c r="H1638" s="932" t="str">
        <f>VLOOKUP($C1638,Table1[#All],3,0)</f>
        <v>Subsidiaries</v>
      </c>
      <c r="I1638" s="932" t="str" cm="1">
        <f t="array" ref="I1638">_xlfn.XLOOKUP(Acc_Char!$E1638,Table4[[#All],[Branch]],Table4[[#All],[Bank]],"recheck",0)</f>
        <v>VIETCOMBANK - BA DINH</v>
      </c>
    </row>
    <row r="1639" spans="1:9">
      <c r="A1639" s="998">
        <f t="shared" si="25"/>
        <v>1635</v>
      </c>
      <c r="B1639" s="1002" t="s">
        <v>1425</v>
      </c>
      <c r="C1639" s="1003" t="s">
        <v>3249</v>
      </c>
      <c r="D1639" s="932" t="str">
        <f>VLOOKUP($C1639,Table1[#All],2,0)</f>
        <v>WINLOCK 2B</v>
      </c>
      <c r="E1639" s="932" t="s">
        <v>85</v>
      </c>
      <c r="F1639" s="1093" t="s">
        <v>80</v>
      </c>
      <c r="G1639" s="999" t="s">
        <v>310</v>
      </c>
      <c r="H1639" s="932" t="str">
        <f>VLOOKUP($C1639,Table1[#All],3,0)</f>
        <v>Subsidiaries</v>
      </c>
      <c r="I1639" s="932" t="str" cm="1">
        <f t="array" ref="I1639">_xlfn.XLOOKUP(Acc_Char!$E1639,Table4[[#All],[Branch]],Table4[[#All],[Bank]],"recheck",0)</f>
        <v>VIETINBANK - TIEN SON</v>
      </c>
    </row>
    <row r="1640" spans="1:9">
      <c r="A1640" s="998">
        <f t="shared" si="25"/>
        <v>1636</v>
      </c>
      <c r="B1640" s="1002" t="s">
        <v>1422</v>
      </c>
      <c r="C1640" s="1003" t="s">
        <v>3249</v>
      </c>
      <c r="D1640" s="932" t="str">
        <f>VLOOKUP($C1640,Table1[#All],2,0)</f>
        <v>WINLOCK 2B</v>
      </c>
      <c r="E1640" s="932" t="s">
        <v>85</v>
      </c>
      <c r="F1640" s="1093" t="s">
        <v>80</v>
      </c>
      <c r="G1640" s="999" t="s">
        <v>310</v>
      </c>
      <c r="H1640" s="932" t="str">
        <f>VLOOKUP($C1640,Table1[#All],3,0)</f>
        <v>Subsidiaries</v>
      </c>
      <c r="I1640" s="932" t="str" cm="1">
        <f t="array" ref="I1640">_xlfn.XLOOKUP(Acc_Char!$E1640,Table4[[#All],[Branch]],Table4[[#All],[Bank]],"recheck",0)</f>
        <v>VIETINBANK - TIEN SON</v>
      </c>
    </row>
    <row r="1641" spans="1:9">
      <c r="A1641" s="998">
        <f t="shared" si="25"/>
        <v>1637</v>
      </c>
      <c r="B1641" s="1002" t="s">
        <v>1420</v>
      </c>
      <c r="C1641" s="1003" t="s">
        <v>67</v>
      </c>
      <c r="D1641" s="932" t="str">
        <f>VLOOKUP($C1641,Table1[#All],2,0)</f>
        <v>SAO HOA</v>
      </c>
      <c r="E1641" s="932" t="s">
        <v>98</v>
      </c>
      <c r="F1641" s="1093" t="s">
        <v>80</v>
      </c>
      <c r="G1641" s="999" t="s">
        <v>310</v>
      </c>
      <c r="H1641" s="932" t="str">
        <f>VLOOKUP($C1641,Table1[#All],3,0)</f>
        <v>VC3</v>
      </c>
      <c r="I1641" s="932" t="str" cm="1">
        <f t="array" ref="I1641">_xlfn.XLOOKUP(Acc_Char!$E1641,Table4[[#All],[Branch]],Table4[[#All],[Bank]],"recheck",0)</f>
        <v>SINOPAC</v>
      </c>
    </row>
    <row r="1642" spans="1:9">
      <c r="A1642" s="998">
        <f t="shared" si="25"/>
        <v>1638</v>
      </c>
      <c r="B1642" s="1002" t="s">
        <v>1442</v>
      </c>
      <c r="C1642" s="1003" t="s">
        <v>3190</v>
      </c>
      <c r="D1642" s="932" t="str">
        <f>VLOOKUP($C1642,Table1[#All],2,0)</f>
        <v>NDV PROJECT CO</v>
      </c>
      <c r="E1642" s="999" t="s">
        <v>92</v>
      </c>
      <c r="F1642" s="1093" t="s">
        <v>80</v>
      </c>
      <c r="G1642" s="999" t="s">
        <v>310</v>
      </c>
      <c r="H1642" s="932" t="str">
        <f>VLOOKUP($C1642,Table1[#All],3,0)</f>
        <v>Subsidiaries</v>
      </c>
      <c r="I1642" s="932" t="str" cm="1">
        <f t="array" ref="I1642">_xlfn.XLOOKUP(Acc_Char!$E1642,Table4[[#All],[Branch]],Table4[[#All],[Bank]],"recheck",0)</f>
        <v>BIDV - THANH XUAN</v>
      </c>
    </row>
    <row r="1643" spans="1:9">
      <c r="A1643" s="998">
        <f t="shared" si="25"/>
        <v>1639</v>
      </c>
      <c r="B1643" s="1002" t="s">
        <v>1438</v>
      </c>
      <c r="C1643" s="1003" t="s">
        <v>67</v>
      </c>
      <c r="D1643" s="932" t="str">
        <f>VLOOKUP($C1643,Table1[#All],2,0)</f>
        <v>SAO HOA</v>
      </c>
      <c r="E1643" s="999" t="s">
        <v>338</v>
      </c>
      <c r="F1643" s="1093" t="s">
        <v>80</v>
      </c>
      <c r="G1643" s="999" t="s">
        <v>310</v>
      </c>
      <c r="H1643" s="932" t="str">
        <f>VLOOKUP($C1643,Table1[#All],3,0)</f>
        <v>VC3</v>
      </c>
      <c r="I1643" s="932" t="str" cm="1">
        <f t="array" ref="I1643">_xlfn.XLOOKUP(Acc_Char!$E1643,Table4[[#All],[Branch]],Table4[[#All],[Bank]],"recheck",0)</f>
        <v>TECHCOMBANK</v>
      </c>
    </row>
    <row r="1644" spans="1:9">
      <c r="A1644" s="998">
        <f t="shared" si="25"/>
        <v>1640</v>
      </c>
      <c r="B1644" s="1002" t="s">
        <v>1421</v>
      </c>
      <c r="C1644" s="1003" t="s">
        <v>67</v>
      </c>
      <c r="D1644" s="932" t="str">
        <f>VLOOKUP($C1644,Table1[#All],2,0)</f>
        <v>SAO HOA</v>
      </c>
      <c r="E1644" s="932" t="s">
        <v>92</v>
      </c>
      <c r="F1644" s="1093" t="s">
        <v>80</v>
      </c>
      <c r="G1644" s="999" t="s">
        <v>310</v>
      </c>
      <c r="H1644" s="932" t="str">
        <f>VLOOKUP($C1644,Table1[#All],3,0)</f>
        <v>VC3</v>
      </c>
      <c r="I1644" s="932" t="str" cm="1">
        <f t="array" ref="I1644">_xlfn.XLOOKUP(Acc_Char!$E1644,Table4[[#All],[Branch]],Table4[[#All],[Bank]],"recheck",0)</f>
        <v>BIDV - THANH XUAN</v>
      </c>
    </row>
    <row r="1645" spans="1:9">
      <c r="A1645" s="998">
        <f t="shared" si="25"/>
        <v>1641</v>
      </c>
      <c r="B1645" s="1002" t="s">
        <v>1436</v>
      </c>
      <c r="C1645" s="1003" t="s">
        <v>3300</v>
      </c>
      <c r="D1645" s="932" t="str">
        <f>VLOOKUP($C1645,Table1[#All],2,0)</f>
        <v>SONG THAN 2</v>
      </c>
      <c r="E1645" s="932" t="s">
        <v>191</v>
      </c>
      <c r="F1645" s="1093" t="s">
        <v>80</v>
      </c>
      <c r="G1645" s="999" t="s">
        <v>310</v>
      </c>
      <c r="H1645" s="932" t="str">
        <f>VLOOKUP($C1645,Table1[#All],3,0)</f>
        <v>Subsidiaries</v>
      </c>
      <c r="I1645" s="932" t="str" cm="1">
        <f t="array" ref="I1645">_xlfn.XLOOKUP(Acc_Char!$E1645,Table4[[#All],[Branch]],Table4[[#All],[Bank]],"recheck",0)</f>
        <v>VIETINBANK - TPHCM</v>
      </c>
    </row>
    <row r="1646" spans="1:9">
      <c r="A1646" s="998">
        <f t="shared" si="25"/>
        <v>1642</v>
      </c>
      <c r="B1646" s="1002" t="s">
        <v>1440</v>
      </c>
      <c r="C1646" s="1003" t="s">
        <v>67</v>
      </c>
      <c r="D1646" s="932" t="str">
        <f>VLOOKUP($C1646,Table1[#All],2,0)</f>
        <v>SAO HOA</v>
      </c>
      <c r="E1646" s="932" t="s">
        <v>92</v>
      </c>
      <c r="F1646" s="1093" t="s">
        <v>80</v>
      </c>
      <c r="G1646" s="999" t="s">
        <v>310</v>
      </c>
      <c r="H1646" s="932" t="str">
        <f>VLOOKUP($C1646,Table1[#All],3,0)</f>
        <v>VC3</v>
      </c>
      <c r="I1646" s="932" t="str" cm="1">
        <f t="array" ref="I1646">_xlfn.XLOOKUP(Acc_Char!$E1646,Table4[[#All],[Branch]],Table4[[#All],[Bank]],"recheck",0)</f>
        <v>BIDV - THANH XUAN</v>
      </c>
    </row>
    <row r="1647" spans="1:9">
      <c r="A1647" s="998">
        <f t="shared" si="25"/>
        <v>1643</v>
      </c>
      <c r="B1647" s="1002" t="s">
        <v>1439</v>
      </c>
      <c r="C1647" s="1003" t="s">
        <v>3052</v>
      </c>
      <c r="D1647" s="932" t="str">
        <f>VLOOKUP($C1647,Table1[#All],2,0)</f>
        <v>GREAT KINGDOM NT 2</v>
      </c>
      <c r="E1647" s="932" t="s">
        <v>88</v>
      </c>
      <c r="F1647" s="1093" t="s">
        <v>80</v>
      </c>
      <c r="G1647" s="999" t="s">
        <v>310</v>
      </c>
      <c r="H1647" s="932" t="str">
        <f>VLOOKUP($C1647,Table1[#All],3,0)</f>
        <v>Subsidiaries</v>
      </c>
      <c r="I1647" s="932" t="str" cm="1">
        <f t="array" ref="I1647">_xlfn.XLOOKUP(Acc_Char!$E1647,Table4[[#All],[Branch]],Table4[[#All],[Bank]],"recheck",0)</f>
        <v>VIETINBANK - DONG SAI GON</v>
      </c>
    </row>
    <row r="1648" spans="1:9">
      <c r="A1648" s="998">
        <f t="shared" si="25"/>
        <v>1644</v>
      </c>
      <c r="B1648" s="1002" t="s">
        <v>1443</v>
      </c>
      <c r="C1648" s="1003" t="s">
        <v>3251</v>
      </c>
      <c r="D1648" s="932" t="str">
        <f>VLOOKUP($C1648,Table1[#All],2,0)</f>
        <v>BW BAU BANG 01</v>
      </c>
      <c r="E1648" s="932" t="s">
        <v>153</v>
      </c>
      <c r="F1648" s="1093" t="s">
        <v>80</v>
      </c>
      <c r="G1648" s="999" t="s">
        <v>310</v>
      </c>
      <c r="H1648" s="932" t="str">
        <f>VLOOKUP($C1648,Table1[#All],3,0)</f>
        <v>Subsidiaries</v>
      </c>
      <c r="I1648" s="932" t="str" cm="1">
        <f t="array" ref="I1648">_xlfn.XLOOKUP(Acc_Char!$E1648,Table4[[#All],[Branch]],Table4[[#All],[Bank]],"recheck",0)</f>
        <v>VIETINBANK - BINH DUONG + QM</v>
      </c>
    </row>
    <row r="1649" spans="1:9">
      <c r="A1649" s="998">
        <f t="shared" si="25"/>
        <v>1645</v>
      </c>
      <c r="B1649" s="1002" t="s">
        <v>1441</v>
      </c>
      <c r="C1649" s="1003" t="s">
        <v>3251</v>
      </c>
      <c r="D1649" s="932" t="str">
        <f>VLOOKUP($C1649,Table1[#All],2,0)</f>
        <v>BW BAU BANG 01</v>
      </c>
      <c r="E1649" s="932" t="s">
        <v>153</v>
      </c>
      <c r="F1649" s="1093" t="s">
        <v>80</v>
      </c>
      <c r="G1649" s="999" t="s">
        <v>310</v>
      </c>
      <c r="H1649" s="932" t="str">
        <f>VLOOKUP($C1649,Table1[#All],3,0)</f>
        <v>Subsidiaries</v>
      </c>
      <c r="I1649" s="932" t="str" cm="1">
        <f t="array" ref="I1649">_xlfn.XLOOKUP(Acc_Char!$E1649,Table4[[#All],[Branch]],Table4[[#All],[Bank]],"recheck",0)</f>
        <v>VIETINBANK - BINH DUONG + QM</v>
      </c>
    </row>
    <row r="1650" spans="1:9">
      <c r="A1650" s="998">
        <f t="shared" si="25"/>
        <v>1646</v>
      </c>
      <c r="B1650" s="1002" t="s">
        <v>3847</v>
      </c>
      <c r="C1650" s="1003" t="s">
        <v>3251</v>
      </c>
      <c r="D1650" s="932" t="str">
        <f>VLOOKUP($C1650,Table1[#All],2,0)</f>
        <v>BW BAU BANG 01</v>
      </c>
      <c r="E1650" s="932" t="s">
        <v>153</v>
      </c>
      <c r="F1650" s="1093" t="s">
        <v>80</v>
      </c>
      <c r="G1650" s="999" t="s">
        <v>310</v>
      </c>
      <c r="H1650" s="932" t="str">
        <f>VLOOKUP($C1650,Table1[#All],3,0)</f>
        <v>Subsidiaries</v>
      </c>
      <c r="I1650" s="932" t="str" cm="1">
        <f t="array" ref="I1650">_xlfn.XLOOKUP(Acc_Char!$E1650,Table4[[#All],[Branch]],Table4[[#All],[Bank]],"recheck",0)</f>
        <v>VIETINBANK - BINH DUONG + QM</v>
      </c>
    </row>
    <row r="1651" spans="1:9">
      <c r="A1651" s="998">
        <f t="shared" si="25"/>
        <v>1647</v>
      </c>
      <c r="B1651" s="1002" t="s">
        <v>1437</v>
      </c>
      <c r="C1651" s="1003" t="s">
        <v>3199</v>
      </c>
      <c r="D1651" s="932" t="str">
        <f>VLOOKUP($C1651,Table1[#All],2,0)</f>
        <v>VINA PARTNERS INVESTMENT</v>
      </c>
      <c r="E1651" s="932" t="s">
        <v>86</v>
      </c>
      <c r="F1651" s="1093" t="s">
        <v>80</v>
      </c>
      <c r="G1651" s="999" t="s">
        <v>310</v>
      </c>
      <c r="H1651" s="932" t="str">
        <f>VLOOKUP($C1651,Table1[#All],3,0)</f>
        <v>Subsidiaries</v>
      </c>
      <c r="I1651" s="932" t="str" cm="1">
        <f t="array" ref="I1651">_xlfn.XLOOKUP(Acc_Char!$E1651,Table4[[#All],[Branch]],Table4[[#All],[Bank]],"recheck",0)</f>
        <v>VIETINBANK - CN1</v>
      </c>
    </row>
    <row r="1652" spans="1:9">
      <c r="A1652" s="998">
        <f t="shared" si="25"/>
        <v>1648</v>
      </c>
      <c r="B1652" s="1002" t="s">
        <v>1435</v>
      </c>
      <c r="C1652" s="1003" t="s">
        <v>3248</v>
      </c>
      <c r="D1652" s="932" t="str">
        <f>VLOOKUP($C1652,Table1[#All],2,0)</f>
        <v>WINLOCK 2A</v>
      </c>
      <c r="E1652" s="932" t="s">
        <v>85</v>
      </c>
      <c r="F1652" s="1093" t="s">
        <v>80</v>
      </c>
      <c r="G1652" s="999" t="s">
        <v>310</v>
      </c>
      <c r="H1652" s="932" t="str">
        <f>VLOOKUP($C1652,Table1[#All],3,0)</f>
        <v>Subsidiaries</v>
      </c>
      <c r="I1652" s="932" t="str" cm="1">
        <f t="array" ref="I1652">_xlfn.XLOOKUP(Acc_Char!$E1652,Table4[[#All],[Branch]],Table4[[#All],[Bank]],"recheck",0)</f>
        <v>VIETINBANK - TIEN SON</v>
      </c>
    </row>
    <row r="1653" spans="1:9">
      <c r="A1653" s="998">
        <f t="shared" si="25"/>
        <v>1649</v>
      </c>
      <c r="B1653" s="1002" t="s">
        <v>1432</v>
      </c>
      <c r="C1653" s="1003" t="s">
        <v>3248</v>
      </c>
      <c r="D1653" s="932" t="str">
        <f>VLOOKUP($C1653,Table1[#All],2,0)</f>
        <v>WINLOCK 2A</v>
      </c>
      <c r="E1653" s="932" t="s">
        <v>85</v>
      </c>
      <c r="F1653" s="1093" t="s">
        <v>80</v>
      </c>
      <c r="G1653" s="999" t="s">
        <v>310</v>
      </c>
      <c r="H1653" s="932" t="str">
        <f>VLOOKUP($C1653,Table1[#All],3,0)</f>
        <v>Subsidiaries</v>
      </c>
      <c r="I1653" s="932" t="str" cm="1">
        <f t="array" ref="I1653">_xlfn.XLOOKUP(Acc_Char!$E1653,Table4[[#All],[Branch]],Table4[[#All],[Bank]],"recheck",0)</f>
        <v>VIETINBANK - TIEN SON</v>
      </c>
    </row>
    <row r="1654" spans="1:9">
      <c r="A1654" s="998">
        <f t="shared" si="25"/>
        <v>1650</v>
      </c>
      <c r="B1654" s="1002" t="s">
        <v>1434</v>
      </c>
      <c r="C1654" s="1003" t="s">
        <v>3199</v>
      </c>
      <c r="D1654" s="932" t="str">
        <f>VLOOKUP($C1654,Table1[#All],2,0)</f>
        <v>VINA PARTNERS INVESTMENT</v>
      </c>
      <c r="E1654" s="932" t="s">
        <v>86</v>
      </c>
      <c r="F1654" s="1093" t="s">
        <v>80</v>
      </c>
      <c r="G1654" s="999" t="s">
        <v>310</v>
      </c>
      <c r="H1654" s="932" t="str">
        <f>VLOOKUP($C1654,Table1[#All],3,0)</f>
        <v>Subsidiaries</v>
      </c>
      <c r="I1654" s="932" t="str" cm="1">
        <f t="array" ref="I1654">_xlfn.XLOOKUP(Acc_Char!$E1654,Table4[[#All],[Branch]],Table4[[#All],[Bank]],"recheck",0)</f>
        <v>VIETINBANK - CN1</v>
      </c>
    </row>
    <row r="1655" spans="1:9">
      <c r="A1655" s="998">
        <f t="shared" si="25"/>
        <v>1651</v>
      </c>
      <c r="B1655" s="1002" t="s">
        <v>899</v>
      </c>
      <c r="C1655" s="1003" t="s">
        <v>3226</v>
      </c>
      <c r="D1655" s="932" t="str">
        <f>VLOOKUP($C1655,Table1[#All],2,0)</f>
        <v>YEN PHONG</v>
      </c>
      <c r="E1655" s="932" t="s">
        <v>92</v>
      </c>
      <c r="F1655" s="1093" t="s">
        <v>80</v>
      </c>
      <c r="G1655" s="999" t="s">
        <v>310</v>
      </c>
      <c r="H1655" s="932" t="str">
        <f>VLOOKUP($C1655,Table1[#All],3,0)</f>
        <v>Subsidiaries</v>
      </c>
      <c r="I1655" s="932" t="str" cm="1">
        <f t="array" ref="I1655">_xlfn.XLOOKUP(Acc_Char!$E1655,Table4[[#All],[Branch]],Table4[[#All],[Bank]],"recheck",0)</f>
        <v>BIDV - THANH XUAN</v>
      </c>
    </row>
    <row r="1656" spans="1:9">
      <c r="A1656" s="998">
        <f t="shared" si="25"/>
        <v>1652</v>
      </c>
      <c r="B1656" s="1002" t="s">
        <v>1429</v>
      </c>
      <c r="C1656" s="1003" t="s">
        <v>3233</v>
      </c>
      <c r="D1656" s="932" t="str">
        <f>VLOOKUP($C1656,Table1[#All],2,0)</f>
        <v>BAU BANG 6</v>
      </c>
      <c r="E1656" s="932" t="s">
        <v>153</v>
      </c>
      <c r="F1656" s="1093" t="s">
        <v>80</v>
      </c>
      <c r="G1656" s="999" t="s">
        <v>310</v>
      </c>
      <c r="H1656" s="932" t="str">
        <f>VLOOKUP($C1656,Table1[#All],3,0)</f>
        <v>Subsidiaries</v>
      </c>
      <c r="I1656" s="932" t="str" cm="1">
        <f t="array" ref="I1656">_xlfn.XLOOKUP(Acc_Char!$E1656,Table4[[#All],[Branch]],Table4[[#All],[Bank]],"recheck",0)</f>
        <v>VIETINBANK - BINH DUONG + QM</v>
      </c>
    </row>
    <row r="1657" spans="1:9">
      <c r="A1657" s="998">
        <f t="shared" si="25"/>
        <v>1653</v>
      </c>
      <c r="B1657" s="1002" t="s">
        <v>1428</v>
      </c>
      <c r="C1657" s="1003" t="s">
        <v>434</v>
      </c>
      <c r="D1657" s="932" t="str">
        <f>VLOOKUP($C1657,Table1[#All],2,0)</f>
        <v>BWID HAI PHONG</v>
      </c>
      <c r="E1657" s="932" t="s">
        <v>85</v>
      </c>
      <c r="F1657" s="1093" t="s">
        <v>80</v>
      </c>
      <c r="G1657" s="999" t="s">
        <v>310</v>
      </c>
      <c r="H1657" s="932" t="str">
        <f>VLOOKUP($C1657,Table1[#All],3,0)</f>
        <v>Subsidiaries</v>
      </c>
      <c r="I1657" s="932" t="str" cm="1">
        <f t="array" ref="I1657">_xlfn.XLOOKUP(Acc_Char!$E1657,Table4[[#All],[Branch]],Table4[[#All],[Bank]],"recheck",0)</f>
        <v>VIETINBANK - TIEN SON</v>
      </c>
    </row>
    <row r="1658" spans="1:9">
      <c r="A1658" s="998">
        <f t="shared" si="25"/>
        <v>1654</v>
      </c>
      <c r="B1658" s="1002" t="s">
        <v>1427</v>
      </c>
      <c r="C1658" s="1003" t="s">
        <v>437</v>
      </c>
      <c r="D1658" s="932" t="str">
        <f>VLOOKUP($C1658,Table1[#All],2,0)</f>
        <v>XENIA 1</v>
      </c>
      <c r="E1658" s="932" t="s">
        <v>85</v>
      </c>
      <c r="F1658" s="1093" t="s">
        <v>80</v>
      </c>
      <c r="G1658" s="999" t="s">
        <v>310</v>
      </c>
      <c r="H1658" s="932" t="str">
        <f>VLOOKUP($C1658,Table1[#All],3,0)</f>
        <v>Subsidiaries</v>
      </c>
      <c r="I1658" s="932" t="str" cm="1">
        <f t="array" ref="I1658">_xlfn.XLOOKUP(Acc_Char!$E1658,Table4[[#All],[Branch]],Table4[[#All],[Bank]],"recheck",0)</f>
        <v>VIETINBANK - TIEN SON</v>
      </c>
    </row>
    <row r="1659" spans="1:9">
      <c r="A1659" s="998">
        <f t="shared" si="25"/>
        <v>1655</v>
      </c>
      <c r="B1659" s="1002" t="s">
        <v>1426</v>
      </c>
      <c r="C1659" s="1003" t="s">
        <v>2895</v>
      </c>
      <c r="D1659" s="932" t="str">
        <f>VLOOKUP($C1659,Table1[#All],2,0)</f>
        <v>BWID HAI DUONG 2</v>
      </c>
      <c r="E1659" s="932" t="s">
        <v>85</v>
      </c>
      <c r="F1659" s="1093" t="s">
        <v>80</v>
      </c>
      <c r="G1659" s="999" t="s">
        <v>310</v>
      </c>
      <c r="H1659" s="932" t="str">
        <f>VLOOKUP($C1659,Table1[#All],3,0)</f>
        <v>Subsidiaries</v>
      </c>
      <c r="I1659" s="932" t="str" cm="1">
        <f t="array" ref="I1659">_xlfn.XLOOKUP(Acc_Char!$E1659,Table4[[#All],[Branch]],Table4[[#All],[Bank]],"recheck",0)</f>
        <v>VIETINBANK - TIEN SON</v>
      </c>
    </row>
    <row r="1660" spans="1:9">
      <c r="A1660" s="998">
        <f t="shared" si="25"/>
        <v>1656</v>
      </c>
      <c r="B1660" s="1002" t="s">
        <v>1423</v>
      </c>
      <c r="C1660" s="1003" t="s">
        <v>2895</v>
      </c>
      <c r="D1660" s="932" t="str">
        <f>VLOOKUP($C1660,Table1[#All],2,0)</f>
        <v>BWID HAI DUONG 2</v>
      </c>
      <c r="E1660" s="932" t="s">
        <v>85</v>
      </c>
      <c r="F1660" s="1093" t="s">
        <v>80</v>
      </c>
      <c r="G1660" s="999" t="s">
        <v>310</v>
      </c>
      <c r="H1660" s="932" t="str">
        <f>VLOOKUP($C1660,Table1[#All],3,0)</f>
        <v>Subsidiaries</v>
      </c>
      <c r="I1660" s="932" t="str" cm="1">
        <f t="array" ref="I1660">_xlfn.XLOOKUP(Acc_Char!$E1660,Table4[[#All],[Branch]],Table4[[#All],[Bank]],"recheck",0)</f>
        <v>VIETINBANK - TIEN SON</v>
      </c>
    </row>
    <row r="1661" spans="1:9">
      <c r="A1661" s="998">
        <f t="shared" si="25"/>
        <v>1657</v>
      </c>
      <c r="B1661" s="1002" t="s">
        <v>1431</v>
      </c>
      <c r="C1661" s="1003" t="s">
        <v>3237</v>
      </c>
      <c r="D1661" s="932" t="str">
        <f>VLOOKUP($C1661,Table1[#All],2,0)</f>
        <v>LONG BINH</v>
      </c>
      <c r="E1661" s="932" t="s">
        <v>91</v>
      </c>
      <c r="F1661" s="1093" t="s">
        <v>80</v>
      </c>
      <c r="G1661" s="999" t="s">
        <v>310</v>
      </c>
      <c r="H1661" s="932" t="str">
        <f>VLOOKUP($C1661,Table1[#All],3,0)</f>
        <v>Subsidiaries</v>
      </c>
      <c r="I1661" s="932" t="str" cm="1">
        <f t="array" ref="I1661">_xlfn.XLOOKUP(Acc_Char!$E1661,Table4[[#All],[Branch]],Table4[[#All],[Bank]],"recheck",0)</f>
        <v>VIETCOMBANK - HCM</v>
      </c>
    </row>
    <row r="1662" spans="1:9">
      <c r="A1662" s="998">
        <f t="shared" si="25"/>
        <v>1658</v>
      </c>
      <c r="B1662" s="1002" t="s">
        <v>1424</v>
      </c>
      <c r="C1662" s="1003" t="s">
        <v>3250</v>
      </c>
      <c r="D1662" s="932" t="str">
        <f>VLOOKUP($C1662,Table1[#All],2,0)</f>
        <v>BW MY PHUOC 3</v>
      </c>
      <c r="E1662" s="932" t="s">
        <v>293</v>
      </c>
      <c r="F1662" s="1093" t="s">
        <v>80</v>
      </c>
      <c r="G1662" s="999" t="s">
        <v>310</v>
      </c>
      <c r="H1662" s="932" t="str">
        <f>VLOOKUP($C1662,Table1[#All],3,0)</f>
        <v>Subsidiaries</v>
      </c>
      <c r="I1662" s="932" t="str" cm="1">
        <f t="array" ref="I1662">_xlfn.XLOOKUP(Acc_Char!$E1662,Table4[[#All],[Branch]],Table4[[#All],[Bank]],"recheck",0)</f>
        <v>OTHERS</v>
      </c>
    </row>
    <row r="1663" spans="1:9">
      <c r="A1663" s="998">
        <f t="shared" si="25"/>
        <v>1659</v>
      </c>
      <c r="B1663" s="1002" t="s">
        <v>1433</v>
      </c>
      <c r="C1663" s="1003" t="s">
        <v>440</v>
      </c>
      <c r="D1663" s="932" t="str">
        <f>VLOOKUP($C1663,Table1[#All],2,0)</f>
        <v>BW NAM DINH VU</v>
      </c>
      <c r="E1663" s="932" t="s">
        <v>153</v>
      </c>
      <c r="F1663" s="1093" t="s">
        <v>80</v>
      </c>
      <c r="G1663" s="999" t="s">
        <v>310</v>
      </c>
      <c r="H1663" s="932" t="str">
        <f>VLOOKUP($C1663,Table1[#All],3,0)</f>
        <v>Subsidiaries</v>
      </c>
      <c r="I1663" s="932" t="str" cm="1">
        <f t="array" ref="I1663">_xlfn.XLOOKUP(Acc_Char!$E1663,Table4[[#All],[Branch]],Table4[[#All],[Bank]],"recheck",0)</f>
        <v>VIETINBANK - BINH DUONG + QM</v>
      </c>
    </row>
    <row r="1664" spans="1:9">
      <c r="A1664" s="998">
        <f t="shared" si="25"/>
        <v>1660</v>
      </c>
      <c r="B1664" s="1002" t="s">
        <v>5395</v>
      </c>
      <c r="C1664" s="1003" t="s">
        <v>3237</v>
      </c>
      <c r="D1664" s="932" t="str">
        <f>VLOOKUP($C1664,Table1[#All],2,0)</f>
        <v>LONG BINH</v>
      </c>
      <c r="E1664" s="932" t="s">
        <v>91</v>
      </c>
      <c r="F1664" s="1093" t="s">
        <v>80</v>
      </c>
      <c r="G1664" s="999" t="s">
        <v>310</v>
      </c>
      <c r="H1664" s="932" t="str">
        <f>VLOOKUP($C1664,Table1[#All],3,0)</f>
        <v>Subsidiaries</v>
      </c>
      <c r="I1664" s="932" t="str" cm="1">
        <f t="array" ref="I1664">_xlfn.XLOOKUP(Acc_Char!$E1664,Table4[[#All],[Branch]],Table4[[#All],[Bank]],"recheck",0)</f>
        <v>VIETCOMBANK - HCM</v>
      </c>
    </row>
    <row r="1665" spans="1:9">
      <c r="A1665" s="998">
        <f t="shared" si="25"/>
        <v>1661</v>
      </c>
      <c r="B1665" s="1002" t="s">
        <v>480</v>
      </c>
      <c r="C1665" s="1003" t="s">
        <v>389</v>
      </c>
      <c r="D1665" s="932" t="str">
        <f>VLOOKUP($C1665,Table1[#All],2,0)</f>
        <v>BWID BINH DUONG</v>
      </c>
      <c r="E1665" s="932" t="s">
        <v>153</v>
      </c>
      <c r="F1665" s="1093" t="s">
        <v>80</v>
      </c>
      <c r="G1665" s="999" t="s">
        <v>310</v>
      </c>
      <c r="H1665" s="932" t="str">
        <f>VLOOKUP($C1665,Table1[#All],3,0)</f>
        <v>BWID JSC</v>
      </c>
      <c r="I1665" s="932" t="str" cm="1">
        <f t="array" ref="I1665">_xlfn.XLOOKUP(Acc_Char!$E1665,Table4[[#All],[Branch]],Table4[[#All],[Bank]],"recheck",0)</f>
        <v>VIETINBANK - BINH DUONG + QM</v>
      </c>
    </row>
    <row r="1666" spans="1:9">
      <c r="A1666" s="998">
        <f t="shared" si="25"/>
        <v>1662</v>
      </c>
      <c r="B1666" s="1002" t="s">
        <v>1445</v>
      </c>
      <c r="C1666" s="1003" t="s">
        <v>3251</v>
      </c>
      <c r="D1666" s="932" t="str">
        <f>VLOOKUP($C1666,Table1[#All],2,0)</f>
        <v>BW BAU BANG 01</v>
      </c>
      <c r="E1666" s="932" t="s">
        <v>153</v>
      </c>
      <c r="F1666" s="1093" t="s">
        <v>80</v>
      </c>
      <c r="G1666" s="999" t="s">
        <v>310</v>
      </c>
      <c r="H1666" s="932" t="str">
        <f>VLOOKUP($C1666,Table1[#All],3,0)</f>
        <v>Subsidiaries</v>
      </c>
      <c r="I1666" s="932" t="str" cm="1">
        <f t="array" ref="I1666">_xlfn.XLOOKUP(Acc_Char!$E1666,Table4[[#All],[Branch]],Table4[[#All],[Bank]],"recheck",0)</f>
        <v>VIETINBANK - BINH DUONG + QM</v>
      </c>
    </row>
    <row r="1667" spans="1:9">
      <c r="A1667" s="998">
        <f t="shared" si="25"/>
        <v>1663</v>
      </c>
      <c r="B1667" s="1002" t="s">
        <v>3848</v>
      </c>
      <c r="C1667" s="1003" t="s">
        <v>3175</v>
      </c>
      <c r="D1667" s="932" t="str">
        <f>VLOOKUP($C1667,Table1[#All],2,0)</f>
        <v>BW HAI AN</v>
      </c>
      <c r="E1667" s="932" t="s">
        <v>92</v>
      </c>
      <c r="F1667" s="1093" t="s">
        <v>80</v>
      </c>
      <c r="G1667" s="999" t="s">
        <v>310</v>
      </c>
      <c r="H1667" s="932" t="str">
        <f>VLOOKUP($C1667,Table1[#All],3,0)</f>
        <v>Subsidiaries</v>
      </c>
      <c r="I1667" s="932" t="str" cm="1">
        <f t="array" ref="I1667">_xlfn.XLOOKUP(Acc_Char!$E1667,Table4[[#All],[Branch]],Table4[[#All],[Bank]],"recheck",0)</f>
        <v>BIDV - THANH XUAN</v>
      </c>
    </row>
    <row r="1668" spans="1:9">
      <c r="A1668" s="998">
        <f t="shared" si="25"/>
        <v>1664</v>
      </c>
      <c r="B1668" s="1002" t="s">
        <v>508</v>
      </c>
      <c r="C1668" s="1003" t="s">
        <v>432</v>
      </c>
      <c r="D1668" s="932" t="str">
        <f>VLOOKUP($C1668,Table1[#All],2,0)</f>
        <v>BWID BAC NINH</v>
      </c>
      <c r="E1668" s="932" t="s">
        <v>85</v>
      </c>
      <c r="F1668" s="1093" t="s">
        <v>80</v>
      </c>
      <c r="G1668" s="999" t="s">
        <v>310</v>
      </c>
      <c r="H1668" s="932" t="str">
        <f>VLOOKUP($C1668,Table1[#All],3,0)</f>
        <v>Subsidiaries</v>
      </c>
      <c r="I1668" s="932" t="str" cm="1">
        <f t="array" ref="I1668">_xlfn.XLOOKUP(Acc_Char!$E1668,Table4[[#All],[Branch]],Table4[[#All],[Bank]],"recheck",0)</f>
        <v>VIETINBANK - TIEN SON</v>
      </c>
    </row>
    <row r="1669" spans="1:9">
      <c r="A1669" s="998">
        <f t="shared" si="25"/>
        <v>1665</v>
      </c>
      <c r="B1669" s="1212" t="s">
        <v>1444</v>
      </c>
      <c r="C1669" s="1000" t="s">
        <v>430</v>
      </c>
      <c r="D1669" s="932" t="str">
        <f>VLOOKUP($C1669,Table1[#All],2,0)</f>
        <v>KIM TRUC DN</v>
      </c>
      <c r="E1669" s="932" t="s">
        <v>93</v>
      </c>
      <c r="F1669" s="1093" t="s">
        <v>80</v>
      </c>
      <c r="G1669" s="999" t="s">
        <v>310</v>
      </c>
      <c r="H1669" s="932" t="str">
        <f>VLOOKUP($C1669,Table1[#All],3,0)</f>
        <v>Subsidiaries</v>
      </c>
      <c r="I1669" s="932" t="str" cm="1">
        <f t="array" ref="I1669">_xlfn.XLOOKUP(Acc_Char!$E1669,Table4[[#All],[Branch]],Table4[[#All],[Bank]],"recheck",0)</f>
        <v>BIDV - NAM SAI GON</v>
      </c>
    </row>
    <row r="1670" spans="1:9">
      <c r="A1670" s="998">
        <f t="shared" ref="A1670:A1733" si="26">A1669+1</f>
        <v>1666</v>
      </c>
      <c r="B1670" s="1213" t="s">
        <v>1450</v>
      </c>
      <c r="C1670" s="1000" t="s">
        <v>3010</v>
      </c>
      <c r="D1670" s="932" t="str">
        <f>VLOOKUP($C1670,Table1[#All],2,0)</f>
        <v>BWID LOGISTICS TAN UYEN</v>
      </c>
      <c r="E1670" s="932" t="s">
        <v>89</v>
      </c>
      <c r="F1670" s="1093" t="s">
        <v>80</v>
      </c>
      <c r="G1670" s="999" t="s">
        <v>310</v>
      </c>
      <c r="H1670" s="932" t="str">
        <f>VLOOKUP($C1670,Table1[#All],3,0)</f>
        <v>Subsidiaries</v>
      </c>
      <c r="I1670" s="932" t="str" cm="1">
        <f t="array" ref="I1670">_xlfn.XLOOKUP(Acc_Char!$E1670,Table4[[#All],[Branch]],Table4[[#All],[Bank]],"recheck",0)</f>
        <v>VIETCOMBANK - BA DINH</v>
      </c>
    </row>
    <row r="1671" spans="1:9">
      <c r="A1671" s="998">
        <f t="shared" si="26"/>
        <v>1667</v>
      </c>
      <c r="B1671" s="1213" t="s">
        <v>1446</v>
      </c>
      <c r="C1671" s="1003" t="s">
        <v>3255</v>
      </c>
      <c r="D1671" s="932" t="str">
        <f>VLOOKUP($C1671,Table1[#All],2,0)</f>
        <v>HOLDCO4N</v>
      </c>
      <c r="E1671" s="932" t="s">
        <v>726</v>
      </c>
      <c r="F1671" s="1093" t="s">
        <v>80</v>
      </c>
      <c r="G1671" s="999" t="s">
        <v>310</v>
      </c>
      <c r="H1671" s="932" t="str">
        <f>VLOOKUP($C1671,Table1[#All],3,0)</f>
        <v>Subsidiaries</v>
      </c>
      <c r="I1671" s="932" t="str" cm="1">
        <f t="array" ref="I1671">_xlfn.XLOOKUP(Acc_Char!$E1671,Table4[[#All],[Branch]],Table4[[#All],[Bank]],"recheck",0)</f>
        <v>OTHERS</v>
      </c>
    </row>
    <row r="1672" spans="1:9">
      <c r="A1672" s="998">
        <f t="shared" si="26"/>
        <v>1668</v>
      </c>
      <c r="B1672" s="1213" t="s">
        <v>1447</v>
      </c>
      <c r="C1672" s="1003" t="s">
        <v>3256</v>
      </c>
      <c r="D1672" s="932" t="str">
        <f>VLOOKUP($C1672,Table1[#All],2,0)</f>
        <v>HOLDCO4O</v>
      </c>
      <c r="E1672" s="932" t="s">
        <v>726</v>
      </c>
      <c r="F1672" s="1093" t="s">
        <v>80</v>
      </c>
      <c r="G1672" s="999" t="s">
        <v>310</v>
      </c>
      <c r="H1672" s="932" t="str">
        <f>VLOOKUP($C1672,Table1[#All],3,0)</f>
        <v>Subsidiaries</v>
      </c>
      <c r="I1672" s="932" t="str" cm="1">
        <f t="array" ref="I1672">_xlfn.XLOOKUP(Acc_Char!$E1672,Table4[[#All],[Branch]],Table4[[#All],[Bank]],"recheck",0)</f>
        <v>OTHERS</v>
      </c>
    </row>
    <row r="1673" spans="1:9">
      <c r="A1673" s="998">
        <f t="shared" si="26"/>
        <v>1669</v>
      </c>
      <c r="B1673" s="1213" t="s">
        <v>1448</v>
      </c>
      <c r="C1673" s="1003" t="s">
        <v>3257</v>
      </c>
      <c r="D1673" s="932" t="str">
        <f>VLOOKUP($C1673,Table1[#All],2,0)</f>
        <v>HOLDCO4P</v>
      </c>
      <c r="E1673" s="932" t="s">
        <v>726</v>
      </c>
      <c r="F1673" s="1093" t="s">
        <v>80</v>
      </c>
      <c r="G1673" s="999" t="s">
        <v>310</v>
      </c>
      <c r="H1673" s="932" t="str">
        <f>VLOOKUP($C1673,Table1[#All],3,0)</f>
        <v>Subsidiaries</v>
      </c>
      <c r="I1673" s="932" t="str" cm="1">
        <f t="array" ref="I1673">_xlfn.XLOOKUP(Acc_Char!$E1673,Table4[[#All],[Branch]],Table4[[#All],[Bank]],"recheck",0)</f>
        <v>OTHERS</v>
      </c>
    </row>
    <row r="1674" spans="1:9">
      <c r="A1674" s="998">
        <f t="shared" si="26"/>
        <v>1670</v>
      </c>
      <c r="B1674" s="1213" t="s">
        <v>1449</v>
      </c>
      <c r="C1674" s="1003" t="s">
        <v>3251</v>
      </c>
      <c r="D1674" s="932" t="str">
        <f>VLOOKUP($C1674,Table1[#All],2,0)</f>
        <v>BW BAU BANG 01</v>
      </c>
      <c r="E1674" s="999" t="s">
        <v>153</v>
      </c>
      <c r="F1674" s="1093" t="s">
        <v>80</v>
      </c>
      <c r="G1674" s="999" t="s">
        <v>310</v>
      </c>
      <c r="H1674" s="932" t="str">
        <f>VLOOKUP($C1674,Table1[#All],3,0)</f>
        <v>Subsidiaries</v>
      </c>
      <c r="I1674" s="932" t="str" cm="1">
        <f t="array" ref="I1674">_xlfn.XLOOKUP(Acc_Char!$E1674,Table4[[#All],[Branch]],Table4[[#All],[Bank]],"recheck",0)</f>
        <v>VIETINBANK - BINH DUONG + QM</v>
      </c>
    </row>
    <row r="1675" spans="1:9">
      <c r="A1675" s="998">
        <f t="shared" si="26"/>
        <v>1671</v>
      </c>
      <c r="B1675" s="1213" t="s">
        <v>1456</v>
      </c>
      <c r="C1675" s="1003" t="s">
        <v>389</v>
      </c>
      <c r="D1675" s="932" t="str">
        <f>VLOOKUP($C1675,Table1[#All],2,0)</f>
        <v>BWID BINH DUONG</v>
      </c>
      <c r="E1675" s="999" t="s">
        <v>98</v>
      </c>
      <c r="F1675" s="1093" t="s">
        <v>80</v>
      </c>
      <c r="G1675" s="999" t="s">
        <v>310</v>
      </c>
      <c r="H1675" s="932" t="str">
        <f>VLOOKUP($C1675,Table1[#All],3,0)</f>
        <v>BWID JSC</v>
      </c>
      <c r="I1675" s="932" t="str" cm="1">
        <f t="array" ref="I1675">_xlfn.XLOOKUP(Acc_Char!$E1675,Table4[[#All],[Branch]],Table4[[#All],[Bank]],"recheck",0)</f>
        <v>SINOPAC</v>
      </c>
    </row>
    <row r="1676" spans="1:9">
      <c r="A1676" s="998">
        <f t="shared" si="26"/>
        <v>1672</v>
      </c>
      <c r="B1676" s="1212" t="s">
        <v>1452</v>
      </c>
      <c r="C1676" s="1003" t="s">
        <v>3072</v>
      </c>
      <c r="D1676" s="932" t="str">
        <f>VLOOKUP($C1676,Table1[#All],2,0)</f>
        <v>BWID TAN DONG HIEP</v>
      </c>
      <c r="E1676" s="999" t="s">
        <v>98</v>
      </c>
      <c r="F1676" s="1093" t="s">
        <v>80</v>
      </c>
      <c r="G1676" s="999" t="s">
        <v>310</v>
      </c>
      <c r="H1676" s="932" t="str">
        <f>VLOOKUP($C1676,Table1[#All],3,0)</f>
        <v>Subsidiaries</v>
      </c>
      <c r="I1676" s="932" t="str" cm="1">
        <f t="array" ref="I1676">_xlfn.XLOOKUP(Acc_Char!$E1676,Table4[[#All],[Branch]],Table4[[#All],[Bank]],"recheck",0)</f>
        <v>SINOPAC</v>
      </c>
    </row>
    <row r="1677" spans="1:9">
      <c r="A1677" s="998">
        <f t="shared" si="26"/>
        <v>1673</v>
      </c>
      <c r="B1677" s="1213" t="s">
        <v>1458</v>
      </c>
      <c r="C1677" s="1003" t="s">
        <v>3233</v>
      </c>
      <c r="D1677" s="932" t="str">
        <f>VLOOKUP($C1677,Table1[#All],2,0)</f>
        <v>BAU BANG 6</v>
      </c>
      <c r="E1677" s="999" t="s">
        <v>153</v>
      </c>
      <c r="F1677" s="1093" t="s">
        <v>80</v>
      </c>
      <c r="G1677" s="999" t="s">
        <v>310</v>
      </c>
      <c r="H1677" s="932" t="str">
        <f>VLOOKUP($C1677,Table1[#All],3,0)</f>
        <v>Subsidiaries</v>
      </c>
      <c r="I1677" s="932" t="str" cm="1">
        <f t="array" ref="I1677">_xlfn.XLOOKUP(Acc_Char!$E1677,Table4[[#All],[Branch]],Table4[[#All],[Bank]],"recheck",0)</f>
        <v>VIETINBANK - BINH DUONG + QM</v>
      </c>
    </row>
    <row r="1678" spans="1:9">
      <c r="A1678" s="998">
        <f t="shared" si="26"/>
        <v>1674</v>
      </c>
      <c r="B1678" s="1213" t="s">
        <v>1451</v>
      </c>
      <c r="C1678" s="1000" t="s">
        <v>3506</v>
      </c>
      <c r="D1678" s="932" t="str">
        <f>VLOOKUP($C1678,Table1[#All],2,0)</f>
        <v>WPJV 2A</v>
      </c>
      <c r="E1678" s="932" t="s">
        <v>191</v>
      </c>
      <c r="F1678" s="1093" t="s">
        <v>80</v>
      </c>
      <c r="G1678" s="999" t="s">
        <v>310</v>
      </c>
      <c r="H1678" s="932" t="str">
        <f>VLOOKUP($C1678,Table1[#All],3,0)</f>
        <v>Subsidiaries</v>
      </c>
      <c r="I1678" s="932" t="str" cm="1">
        <f t="array" ref="I1678">_xlfn.XLOOKUP(Acc_Char!$E1678,Table4[[#All],[Branch]],Table4[[#All],[Bank]],"recheck",0)</f>
        <v>VIETINBANK - TPHCM</v>
      </c>
    </row>
    <row r="1679" spans="1:9">
      <c r="A1679" s="998">
        <f t="shared" si="26"/>
        <v>1675</v>
      </c>
      <c r="B1679" s="1213" t="s">
        <v>1453</v>
      </c>
      <c r="C1679" s="1000" t="s">
        <v>3507</v>
      </c>
      <c r="D1679" s="932" t="str">
        <f>VLOOKUP($C1679,Table1[#All],2,0)</f>
        <v>WPJV 2B</v>
      </c>
      <c r="E1679" s="932" t="s">
        <v>191</v>
      </c>
      <c r="F1679" s="1093" t="s">
        <v>80</v>
      </c>
      <c r="G1679" s="999" t="s">
        <v>310</v>
      </c>
      <c r="H1679" s="932" t="str">
        <f>VLOOKUP($C1679,Table1[#All],3,0)</f>
        <v>Subsidiaries</v>
      </c>
      <c r="I1679" s="932" t="str" cm="1">
        <f t="array" ref="I1679">_xlfn.XLOOKUP(Acc_Char!$E1679,Table4[[#All],[Branch]],Table4[[#All],[Bank]],"recheck",0)</f>
        <v>VIETINBANK - TPHCM</v>
      </c>
    </row>
    <row r="1680" spans="1:9">
      <c r="A1680" s="998">
        <f t="shared" si="26"/>
        <v>1676</v>
      </c>
      <c r="B1680" s="1213" t="s">
        <v>1454</v>
      </c>
      <c r="C1680" s="1000" t="s">
        <v>2968</v>
      </c>
      <c r="D1680" s="932" t="str">
        <f>VLOOKUP($C1680,Table1[#All],2,0)</f>
        <v>BCI JSC</v>
      </c>
      <c r="E1680" s="932" t="s">
        <v>85</v>
      </c>
      <c r="F1680" s="1093" t="s">
        <v>80</v>
      </c>
      <c r="G1680" s="999" t="s">
        <v>310</v>
      </c>
      <c r="H1680" s="932" t="str">
        <f>VLOOKUP($C1680,Table1[#All],3,0)</f>
        <v>Subsidiaries</v>
      </c>
      <c r="I1680" s="932" t="str" cm="1">
        <f t="array" ref="I1680">_xlfn.XLOOKUP(Acc_Char!$E1680,Table4[[#All],[Branch]],Table4[[#All],[Bank]],"recheck",0)</f>
        <v>VIETINBANK - TIEN SON</v>
      </c>
    </row>
    <row r="1681" spans="1:9">
      <c r="A1681" s="998">
        <f t="shared" si="26"/>
        <v>1677</v>
      </c>
      <c r="B1681" s="1213" t="s">
        <v>1455</v>
      </c>
      <c r="C1681" s="1000" t="s">
        <v>434</v>
      </c>
      <c r="D1681" s="932" t="str">
        <f>VLOOKUP($C1681,Table1[#All],2,0)</f>
        <v>BWID HAI PHONG</v>
      </c>
      <c r="E1681" s="932" t="s">
        <v>85</v>
      </c>
      <c r="F1681" s="1093" t="s">
        <v>80</v>
      </c>
      <c r="G1681" s="999" t="s">
        <v>310</v>
      </c>
      <c r="H1681" s="932" t="str">
        <f>VLOOKUP($C1681,Table1[#All],3,0)</f>
        <v>Subsidiaries</v>
      </c>
      <c r="I1681" s="932" t="str" cm="1">
        <f t="array" ref="I1681">_xlfn.XLOOKUP(Acc_Char!$E1681,Table4[[#All],[Branch]],Table4[[#All],[Bank]],"recheck",0)</f>
        <v>VIETINBANK - TIEN SON</v>
      </c>
    </row>
    <row r="1682" spans="1:9">
      <c r="A1682" s="998">
        <f t="shared" si="26"/>
        <v>1678</v>
      </c>
      <c r="B1682" s="1213" t="s">
        <v>1457</v>
      </c>
      <c r="C1682" s="1000" t="s">
        <v>67</v>
      </c>
      <c r="D1682" s="932" t="str">
        <f>VLOOKUP($C1682,Table1[#All],2,0)</f>
        <v>SAO HOA</v>
      </c>
      <c r="E1682" s="932" t="s">
        <v>153</v>
      </c>
      <c r="F1682" s="1093" t="s">
        <v>80</v>
      </c>
      <c r="G1682" s="999" t="s">
        <v>310</v>
      </c>
      <c r="H1682" s="932" t="str">
        <f>VLOOKUP($C1682,Table1[#All],3,0)</f>
        <v>VC3</v>
      </c>
      <c r="I1682" s="932" t="str" cm="1">
        <f t="array" ref="I1682">_xlfn.XLOOKUP(Acc_Char!$E1682,Table4[[#All],[Branch]],Table4[[#All],[Bank]],"recheck",0)</f>
        <v>VIETINBANK - BINH DUONG + QM</v>
      </c>
    </row>
    <row r="1683" spans="1:9">
      <c r="A1683" s="998">
        <f t="shared" si="26"/>
        <v>1679</v>
      </c>
      <c r="B1683" s="1213" t="s">
        <v>1459</v>
      </c>
      <c r="C1683" s="1000" t="s">
        <v>420</v>
      </c>
      <c r="D1683" s="932" t="str">
        <f>VLOOKUP($C1683,Table1[#All],2,0)</f>
        <v>THUAN DAO</v>
      </c>
      <c r="E1683" s="932" t="s">
        <v>191</v>
      </c>
      <c r="F1683" s="1093" t="s">
        <v>80</v>
      </c>
      <c r="G1683" s="999" t="s">
        <v>310</v>
      </c>
      <c r="H1683" s="932" t="str">
        <f>VLOOKUP($C1683,Table1[#All],3,0)</f>
        <v>Subsidiaries</v>
      </c>
      <c r="I1683" s="932" t="str" cm="1">
        <f t="array" ref="I1683">_xlfn.XLOOKUP(Acc_Char!$E1683,Table4[[#All],[Branch]],Table4[[#All],[Bank]],"recheck",0)</f>
        <v>VIETINBANK - TPHCM</v>
      </c>
    </row>
    <row r="1684" spans="1:9">
      <c r="A1684" s="998">
        <f t="shared" si="26"/>
        <v>1680</v>
      </c>
      <c r="B1684" s="1213" t="s">
        <v>1464</v>
      </c>
      <c r="C1684" s="1000" t="s">
        <v>2895</v>
      </c>
      <c r="D1684" s="932" t="str">
        <f>VLOOKUP($C1684,Table1[#All],2,0)</f>
        <v>BWID HAI DUONG 2</v>
      </c>
      <c r="E1684" s="999" t="s">
        <v>85</v>
      </c>
      <c r="F1684" s="1093" t="s">
        <v>80</v>
      </c>
      <c r="G1684" s="999" t="s">
        <v>310</v>
      </c>
      <c r="H1684" s="932" t="str">
        <f>VLOOKUP($C1684,Table1[#All],3,0)</f>
        <v>Subsidiaries</v>
      </c>
      <c r="I1684" s="932" t="str" cm="1">
        <f t="array" ref="I1684">_xlfn.XLOOKUP(Acc_Char!$E1684,Table4[[#All],[Branch]],Table4[[#All],[Bank]],"recheck",0)</f>
        <v>VIETINBANK - TIEN SON</v>
      </c>
    </row>
    <row r="1685" spans="1:9">
      <c r="A1685" s="998">
        <f t="shared" si="26"/>
        <v>1681</v>
      </c>
      <c r="B1685" s="1002" t="s">
        <v>497</v>
      </c>
      <c r="C1685" s="1003" t="s">
        <v>440</v>
      </c>
      <c r="D1685" s="932" t="str">
        <f>VLOOKUP($C1685,Table1[#All],2,0)</f>
        <v>BW NAM DINH VU</v>
      </c>
      <c r="E1685" s="932" t="s">
        <v>85</v>
      </c>
      <c r="F1685" s="1093" t="s">
        <v>81</v>
      </c>
      <c r="G1685" s="999" t="s">
        <v>308</v>
      </c>
      <c r="H1685" s="932" t="str">
        <f>VLOOKUP($C1685,Table1[#All],3,0)</f>
        <v>Subsidiaries</v>
      </c>
      <c r="I1685" s="932" t="str" cm="1">
        <f t="array" ref="I1685">_xlfn.XLOOKUP(Acc_Char!$E1685,Table4[[#All],[Branch]],Table4[[#All],[Bank]],"recheck",0)</f>
        <v>VIETINBANK - TIEN SON</v>
      </c>
    </row>
    <row r="1686" spans="1:9">
      <c r="A1686" s="998">
        <f t="shared" si="26"/>
        <v>1682</v>
      </c>
      <c r="B1686" s="1212" t="s">
        <v>1460</v>
      </c>
      <c r="C1686" s="1003" t="s">
        <v>3251</v>
      </c>
      <c r="D1686" s="932" t="str">
        <f>VLOOKUP($C1686,Table1[#All],2,0)</f>
        <v>BW BAU BANG 01</v>
      </c>
      <c r="E1686" s="999" t="s">
        <v>153</v>
      </c>
      <c r="F1686" s="1093" t="s">
        <v>80</v>
      </c>
      <c r="G1686" s="999" t="s">
        <v>310</v>
      </c>
      <c r="H1686" s="932" t="str">
        <f>VLOOKUP($C1686,Table1[#All],3,0)</f>
        <v>Subsidiaries</v>
      </c>
      <c r="I1686" s="932" t="str" cm="1">
        <f t="array" ref="I1686">_xlfn.XLOOKUP(Acc_Char!$E1686,Table4[[#All],[Branch]],Table4[[#All],[Bank]],"recheck",0)</f>
        <v>VIETINBANK - BINH DUONG + QM</v>
      </c>
    </row>
    <row r="1687" spans="1:9">
      <c r="A1687" s="998">
        <f t="shared" si="26"/>
        <v>1683</v>
      </c>
      <c r="B1687" s="1212" t="s">
        <v>1463</v>
      </c>
      <c r="C1687" s="1003" t="s">
        <v>3052</v>
      </c>
      <c r="D1687" s="932" t="str">
        <f>VLOOKUP($C1687,Table1[#All],2,0)</f>
        <v>GREAT KINGDOM NT 2</v>
      </c>
      <c r="E1687" s="999" t="s">
        <v>86</v>
      </c>
      <c r="F1687" s="1093" t="s">
        <v>80</v>
      </c>
      <c r="G1687" s="999" t="s">
        <v>310</v>
      </c>
      <c r="H1687" s="932" t="str">
        <f>VLOOKUP($C1687,Table1[#All],3,0)</f>
        <v>Subsidiaries</v>
      </c>
      <c r="I1687" s="932" t="str" cm="1">
        <f t="array" ref="I1687">_xlfn.XLOOKUP(Acc_Char!$E1687,Table4[[#All],[Branch]],Table4[[#All],[Bank]],"recheck",0)</f>
        <v>VIETINBANK - CN1</v>
      </c>
    </row>
    <row r="1688" spans="1:9">
      <c r="A1688" s="998">
        <f t="shared" si="26"/>
        <v>1684</v>
      </c>
      <c r="B1688" s="1212" t="s">
        <v>1462</v>
      </c>
      <c r="C1688" s="1003" t="s">
        <v>3160</v>
      </c>
      <c r="D1688" s="932" t="str">
        <f>VLOOKUP($C1688,Table1[#All],2,0)</f>
        <v>BWID Tan Phu Trung</v>
      </c>
      <c r="E1688" s="932" t="s">
        <v>85</v>
      </c>
      <c r="F1688" s="1093" t="s">
        <v>80</v>
      </c>
      <c r="G1688" s="999" t="s">
        <v>310</v>
      </c>
      <c r="H1688" s="932" t="str">
        <f>VLOOKUP($C1688,Table1[#All],3,0)</f>
        <v>Subsidiaries</v>
      </c>
      <c r="I1688" s="932" t="str" cm="1">
        <f t="array" ref="I1688">_xlfn.XLOOKUP(Acc_Char!$E1688,Table4[[#All],[Branch]],Table4[[#All],[Bank]],"recheck",0)</f>
        <v>VIETINBANK - TIEN SON</v>
      </c>
    </row>
    <row r="1689" spans="1:9">
      <c r="A1689" s="998">
        <f t="shared" si="26"/>
        <v>1685</v>
      </c>
      <c r="B1689" s="1212" t="s">
        <v>1461</v>
      </c>
      <c r="C1689" s="1003" t="s">
        <v>3323</v>
      </c>
      <c r="D1689" s="932" t="str">
        <f>VLOOKUP($C1689,Table1[#All],2,0)</f>
        <v>TAN DONG HIEP B ELECTRON</v>
      </c>
      <c r="E1689" s="999" t="s">
        <v>191</v>
      </c>
      <c r="F1689" s="1093" t="s">
        <v>80</v>
      </c>
      <c r="G1689" s="999" t="s">
        <v>310</v>
      </c>
      <c r="H1689" s="932" t="str">
        <f>VLOOKUP($C1689,Table1[#All],3,0)</f>
        <v>Subsidiaries</v>
      </c>
      <c r="I1689" s="932" t="str" cm="1">
        <f t="array" ref="I1689">_xlfn.XLOOKUP(Acc_Char!$E1689,Table4[[#All],[Branch]],Table4[[#All],[Bank]],"recheck",0)</f>
        <v>VIETINBANK - TPHCM</v>
      </c>
    </row>
    <row r="1690" spans="1:9">
      <c r="A1690" s="998">
        <f t="shared" si="26"/>
        <v>1686</v>
      </c>
      <c r="B1690" s="1212" t="s">
        <v>1465</v>
      </c>
      <c r="C1690" s="1003" t="s">
        <v>3237</v>
      </c>
      <c r="D1690" s="932" t="str">
        <f>VLOOKUP($C1690,Table1[#All],2,0)</f>
        <v>LONG BINH</v>
      </c>
      <c r="E1690" s="932" t="s">
        <v>91</v>
      </c>
      <c r="F1690" s="1093" t="s">
        <v>80</v>
      </c>
      <c r="G1690" s="999" t="s">
        <v>310</v>
      </c>
      <c r="H1690" s="932" t="str">
        <f>VLOOKUP($C1690,Table1[#All],3,0)</f>
        <v>Subsidiaries</v>
      </c>
      <c r="I1690" s="932" t="str" cm="1">
        <f t="array" ref="I1690">_xlfn.XLOOKUP(Acc_Char!$E1690,Table4[[#All],[Branch]],Table4[[#All],[Bank]],"recheck",0)</f>
        <v>VIETCOMBANK - HCM</v>
      </c>
    </row>
    <row r="1691" spans="1:9">
      <c r="A1691" s="998">
        <f t="shared" si="26"/>
        <v>1687</v>
      </c>
      <c r="B1691" s="1212" t="s">
        <v>1466</v>
      </c>
      <c r="C1691" s="1003" t="s">
        <v>3199</v>
      </c>
      <c r="D1691" s="932" t="str">
        <f>VLOOKUP($C1691,Table1[#All],2,0)</f>
        <v>VINA PARTNERS INVESTMENT</v>
      </c>
      <c r="E1691" s="999" t="s">
        <v>86</v>
      </c>
      <c r="F1691" s="1093" t="s">
        <v>80</v>
      </c>
      <c r="G1691" s="999" t="s">
        <v>310</v>
      </c>
      <c r="H1691" s="932" t="str">
        <f>VLOOKUP($C1691,Table1[#All],3,0)</f>
        <v>Subsidiaries</v>
      </c>
      <c r="I1691" s="932" t="str" cm="1">
        <f t="array" ref="I1691">_xlfn.XLOOKUP(Acc_Char!$E1691,Table4[[#All],[Branch]],Table4[[#All],[Bank]],"recheck",0)</f>
        <v>VIETINBANK - CN1</v>
      </c>
    </row>
    <row r="1692" spans="1:9">
      <c r="A1692" s="998">
        <f t="shared" si="26"/>
        <v>1688</v>
      </c>
      <c r="B1692" s="1212" t="s">
        <v>1469</v>
      </c>
      <c r="C1692" s="1003" t="s">
        <v>3237</v>
      </c>
      <c r="D1692" s="932" t="str">
        <f>VLOOKUP($C1692,Table1[#All],2,0)</f>
        <v>LONG BINH</v>
      </c>
      <c r="E1692" s="932" t="s">
        <v>91</v>
      </c>
      <c r="F1692" s="1093" t="s">
        <v>80</v>
      </c>
      <c r="G1692" s="999" t="s">
        <v>310</v>
      </c>
      <c r="H1692" s="932" t="str">
        <f>VLOOKUP($C1692,Table1[#All],3,0)</f>
        <v>Subsidiaries</v>
      </c>
      <c r="I1692" s="932" t="str" cm="1">
        <f t="array" ref="I1692">_xlfn.XLOOKUP(Acc_Char!$E1692,Table4[[#All],[Branch]],Table4[[#All],[Bank]],"recheck",0)</f>
        <v>VIETCOMBANK - HCM</v>
      </c>
    </row>
    <row r="1693" spans="1:9">
      <c r="A1693" s="998">
        <f t="shared" si="26"/>
        <v>1689</v>
      </c>
      <c r="B1693" s="1212" t="s">
        <v>1468</v>
      </c>
      <c r="C1693" s="1003" t="s">
        <v>3248</v>
      </c>
      <c r="D1693" s="932" t="str">
        <f>VLOOKUP($C1693,Table1[#All],2,0)</f>
        <v>WINLOCK 2A</v>
      </c>
      <c r="E1693" s="932" t="s">
        <v>85</v>
      </c>
      <c r="F1693" s="1093" t="s">
        <v>80</v>
      </c>
      <c r="G1693" s="999" t="s">
        <v>310</v>
      </c>
      <c r="H1693" s="932" t="str">
        <f>VLOOKUP($C1693,Table1[#All],3,0)</f>
        <v>Subsidiaries</v>
      </c>
      <c r="I1693" s="932" t="str" cm="1">
        <f t="array" ref="I1693">_xlfn.XLOOKUP(Acc_Char!$E1693,Table4[[#All],[Branch]],Table4[[#All],[Bank]],"recheck",0)</f>
        <v>VIETINBANK - TIEN SON</v>
      </c>
    </row>
    <row r="1694" spans="1:9">
      <c r="A1694" s="998">
        <f t="shared" si="26"/>
        <v>1690</v>
      </c>
      <c r="B1694" s="1212" t="s">
        <v>1467</v>
      </c>
      <c r="C1694" s="1003" t="s">
        <v>2888</v>
      </c>
      <c r="D1694" s="932" t="str">
        <f>VLOOKUP($C1694,Table1[#All],2,0)</f>
        <v>BWID HAI DUONG</v>
      </c>
      <c r="E1694" s="932" t="s">
        <v>85</v>
      </c>
      <c r="F1694" s="1093" t="s">
        <v>80</v>
      </c>
      <c r="G1694" s="999" t="s">
        <v>310</v>
      </c>
      <c r="H1694" s="932" t="str">
        <f>VLOOKUP($C1694,Table1[#All],3,0)</f>
        <v>Subsidiaries</v>
      </c>
      <c r="I1694" s="932" t="str" cm="1">
        <f t="array" ref="I1694">_xlfn.XLOOKUP(Acc_Char!$E1694,Table4[[#All],[Branch]],Table4[[#All],[Bank]],"recheck",0)</f>
        <v>VIETINBANK - TIEN SON</v>
      </c>
    </row>
    <row r="1695" spans="1:9">
      <c r="A1695" s="998">
        <f t="shared" si="26"/>
        <v>1691</v>
      </c>
      <c r="B1695" s="1212" t="s">
        <v>1470</v>
      </c>
      <c r="C1695" s="1003" t="s">
        <v>3277</v>
      </c>
      <c r="D1695" s="932" t="str">
        <f>VLOOKUP($C1695,Table1[#All],2,0)</f>
        <v>THUAN THANH 3B</v>
      </c>
      <c r="E1695" s="999" t="s">
        <v>89</v>
      </c>
      <c r="F1695" s="1093" t="s">
        <v>80</v>
      </c>
      <c r="G1695" s="999" t="s">
        <v>310</v>
      </c>
      <c r="H1695" s="932" t="str">
        <f>VLOOKUP($C1695,Table1[#All],3,0)</f>
        <v>Subsidiaries</v>
      </c>
      <c r="I1695" s="932" t="str" cm="1">
        <f t="array" ref="I1695">_xlfn.XLOOKUP(Acc_Char!$E1695,Table4[[#All],[Branch]],Table4[[#All],[Bank]],"recheck",0)</f>
        <v>VIETCOMBANK - BA DINH</v>
      </c>
    </row>
    <row r="1696" spans="1:9">
      <c r="A1696" s="998">
        <f t="shared" si="26"/>
        <v>1692</v>
      </c>
      <c r="B1696" s="1212" t="s">
        <v>1473</v>
      </c>
      <c r="C1696" s="1003" t="s">
        <v>440</v>
      </c>
      <c r="D1696" s="932" t="str">
        <f>VLOOKUP($C1696,Table1[#All],2,0)</f>
        <v>BW NAM DINH VU</v>
      </c>
      <c r="E1696" s="999" t="s">
        <v>153</v>
      </c>
      <c r="F1696" s="1093" t="s">
        <v>80</v>
      </c>
      <c r="G1696" s="999" t="s">
        <v>310</v>
      </c>
      <c r="H1696" s="932" t="str">
        <f>VLOOKUP($C1696,Table1[#All],3,0)</f>
        <v>Subsidiaries</v>
      </c>
      <c r="I1696" s="932" t="str" cm="1">
        <f t="array" ref="I1696">_xlfn.XLOOKUP(Acc_Char!$E1696,Table4[[#All],[Branch]],Table4[[#All],[Bank]],"recheck",0)</f>
        <v>VIETINBANK - BINH DUONG + QM</v>
      </c>
    </row>
    <row r="1697" spans="1:9">
      <c r="A1697" s="998">
        <f t="shared" si="26"/>
        <v>1693</v>
      </c>
      <c r="B1697" s="1212" t="s">
        <v>1471</v>
      </c>
      <c r="C1697" s="1003" t="s">
        <v>3277</v>
      </c>
      <c r="D1697" s="932" t="str">
        <f>VLOOKUP($C1697,Table1[#All],2,0)</f>
        <v>THUAN THANH 3B</v>
      </c>
      <c r="E1697" s="999" t="s">
        <v>89</v>
      </c>
      <c r="F1697" s="1093" t="s">
        <v>80</v>
      </c>
      <c r="G1697" s="999" t="s">
        <v>310</v>
      </c>
      <c r="H1697" s="932" t="str">
        <f>VLOOKUP($C1697,Table1[#All],3,0)</f>
        <v>Subsidiaries</v>
      </c>
      <c r="I1697" s="932" t="str" cm="1">
        <f t="array" ref="I1697">_xlfn.XLOOKUP(Acc_Char!$E1697,Table4[[#All],[Branch]],Table4[[#All],[Bank]],"recheck",0)</f>
        <v>VIETCOMBANK - BA DINH</v>
      </c>
    </row>
    <row r="1698" spans="1:9">
      <c r="A1698" s="998">
        <f t="shared" si="26"/>
        <v>1694</v>
      </c>
      <c r="B1698" s="1212" t="s">
        <v>1474</v>
      </c>
      <c r="C1698" s="1003" t="s">
        <v>437</v>
      </c>
      <c r="D1698" s="932" t="str">
        <f>VLOOKUP($C1698,Table1[#All],2,0)</f>
        <v>XENIA 1</v>
      </c>
      <c r="E1698" s="999" t="s">
        <v>85</v>
      </c>
      <c r="F1698" s="1093" t="s">
        <v>80</v>
      </c>
      <c r="G1698" s="999" t="s">
        <v>310</v>
      </c>
      <c r="H1698" s="932" t="str">
        <f>VLOOKUP($C1698,Table1[#All],3,0)</f>
        <v>Subsidiaries</v>
      </c>
      <c r="I1698" s="932" t="str" cm="1">
        <f t="array" ref="I1698">_xlfn.XLOOKUP(Acc_Char!$E1698,Table4[[#All],[Branch]],Table4[[#All],[Bank]],"recheck",0)</f>
        <v>VIETINBANK - TIEN SON</v>
      </c>
    </row>
    <row r="1699" spans="1:9">
      <c r="A1699" s="998">
        <f t="shared" si="26"/>
        <v>1695</v>
      </c>
      <c r="B1699" s="1212" t="s">
        <v>1472</v>
      </c>
      <c r="C1699" s="1003" t="s">
        <v>3010</v>
      </c>
      <c r="D1699" s="932" t="str">
        <f>VLOOKUP($C1699,Table1[#All],2,0)</f>
        <v>BWID LOGISTICS TAN UYEN</v>
      </c>
      <c r="E1699" s="999" t="s">
        <v>89</v>
      </c>
      <c r="F1699" s="1093" t="s">
        <v>80</v>
      </c>
      <c r="G1699" s="999" t="s">
        <v>310</v>
      </c>
      <c r="H1699" s="932" t="str">
        <f>VLOOKUP($C1699,Table1[#All],3,0)</f>
        <v>Subsidiaries</v>
      </c>
      <c r="I1699" s="932" t="str" cm="1">
        <f t="array" ref="I1699">_xlfn.XLOOKUP(Acc_Char!$E1699,Table4[[#All],[Branch]],Table4[[#All],[Bank]],"recheck",0)</f>
        <v>VIETCOMBANK - BA DINH</v>
      </c>
    </row>
    <row r="1700" spans="1:9">
      <c r="A1700" s="998">
        <f t="shared" si="26"/>
        <v>1696</v>
      </c>
      <c r="B1700" s="1212" t="s">
        <v>1475</v>
      </c>
      <c r="C1700" s="1003" t="s">
        <v>3160</v>
      </c>
      <c r="D1700" s="932" t="str">
        <f>VLOOKUP($C1700,Table1[#All],2,0)</f>
        <v>BWID Tan Phu Trung</v>
      </c>
      <c r="E1700" s="999" t="s">
        <v>85</v>
      </c>
      <c r="F1700" s="1093" t="s">
        <v>80</v>
      </c>
      <c r="G1700" s="999" t="s">
        <v>310</v>
      </c>
      <c r="H1700" s="932" t="str">
        <f>VLOOKUP($C1700,Table1[#All],3,0)</f>
        <v>Subsidiaries</v>
      </c>
      <c r="I1700" s="932" t="str" cm="1">
        <f t="array" ref="I1700">_xlfn.XLOOKUP(Acc_Char!$E1700,Table4[[#All],[Branch]],Table4[[#All],[Bank]],"recheck",0)</f>
        <v>VIETINBANK - TIEN SON</v>
      </c>
    </row>
    <row r="1701" spans="1:9">
      <c r="A1701" s="998">
        <f t="shared" si="26"/>
        <v>1697</v>
      </c>
      <c r="B1701" s="1212" t="s">
        <v>1478</v>
      </c>
      <c r="C1701" s="1003" t="s">
        <v>3505</v>
      </c>
      <c r="D1701" s="932" t="str">
        <f>VLOOKUP($C1701,Table1[#All],2,0)</f>
        <v>BIEN HOA</v>
      </c>
      <c r="E1701" s="999" t="s">
        <v>971</v>
      </c>
      <c r="F1701" s="1093" t="s">
        <v>80</v>
      </c>
      <c r="G1701" s="999" t="s">
        <v>310</v>
      </c>
      <c r="H1701" s="932" t="str">
        <f>VLOOKUP($C1701,Table1[#All],3,0)</f>
        <v>Subsidiaries</v>
      </c>
      <c r="I1701" s="932" t="str" cm="1">
        <f t="array" ref="I1701">_xlfn.XLOOKUP(Acc_Char!$E1701,Table4[[#All],[Branch]],Table4[[#All],[Bank]],"recheck",0)</f>
        <v>OTHERS</v>
      </c>
    </row>
    <row r="1702" spans="1:9">
      <c r="A1702" s="998">
        <f t="shared" si="26"/>
        <v>1698</v>
      </c>
      <c r="B1702" s="1212" t="s">
        <v>1476</v>
      </c>
      <c r="C1702" s="1003" t="s">
        <v>412</v>
      </c>
      <c r="D1702" s="932" t="str">
        <f>VLOOKUP($C1702,Table1[#All],2,0)</f>
        <v>DELIWAY</v>
      </c>
      <c r="E1702" s="932" t="s">
        <v>191</v>
      </c>
      <c r="F1702" s="1093" t="s">
        <v>80</v>
      </c>
      <c r="G1702" s="999" t="s">
        <v>310</v>
      </c>
      <c r="H1702" s="932" t="str">
        <f>VLOOKUP($C1702,Table1[#All],3,0)</f>
        <v>Subsidiaries</v>
      </c>
      <c r="I1702" s="932" t="str" cm="1">
        <f t="array" ref="I1702">_xlfn.XLOOKUP(Acc_Char!$E1702,Table4[[#All],[Branch]],Table4[[#All],[Bank]],"recheck",0)</f>
        <v>VIETINBANK - TPHCM</v>
      </c>
    </row>
    <row r="1703" spans="1:9">
      <c r="A1703" s="998">
        <f t="shared" si="26"/>
        <v>1699</v>
      </c>
      <c r="B1703" s="1212" t="s">
        <v>1477</v>
      </c>
      <c r="C1703" s="1003" t="s">
        <v>3309</v>
      </c>
      <c r="D1703" s="932" t="str">
        <f>VLOOKUP($C1703,Table1[#All],2,0)</f>
        <v>LE MINH XUAN 3</v>
      </c>
      <c r="E1703" s="932" t="s">
        <v>191</v>
      </c>
      <c r="F1703" s="1093" t="s">
        <v>80</v>
      </c>
      <c r="G1703" s="999" t="s">
        <v>310</v>
      </c>
      <c r="H1703" s="932" t="str">
        <f>VLOOKUP($C1703,Table1[#All],3,0)</f>
        <v>Subsidiaries</v>
      </c>
      <c r="I1703" s="932" t="str" cm="1">
        <f t="array" ref="I1703">_xlfn.XLOOKUP(Acc_Char!$E1703,Table4[[#All],[Branch]],Table4[[#All],[Bank]],"recheck",0)</f>
        <v>VIETINBANK - TPHCM</v>
      </c>
    </row>
    <row r="1704" spans="1:9">
      <c r="A1704" s="998">
        <f t="shared" si="26"/>
        <v>1700</v>
      </c>
      <c r="B1704" s="1212" t="s">
        <v>1479</v>
      </c>
      <c r="C1704" s="1003" t="s">
        <v>430</v>
      </c>
      <c r="D1704" s="932" t="str">
        <f>VLOOKUP($C1704,Table1[#All],2,0)</f>
        <v>KIM TRUC DN</v>
      </c>
      <c r="E1704" s="932" t="s">
        <v>93</v>
      </c>
      <c r="F1704" s="1093" t="s">
        <v>80</v>
      </c>
      <c r="G1704" s="999" t="s">
        <v>310</v>
      </c>
      <c r="H1704" s="932" t="str">
        <f>VLOOKUP($C1704,Table1[#All],3,0)</f>
        <v>Subsidiaries</v>
      </c>
      <c r="I1704" s="932" t="str" cm="1">
        <f t="array" ref="I1704">_xlfn.XLOOKUP(Acc_Char!$E1704,Table4[[#All],[Branch]],Table4[[#All],[Bank]],"recheck",0)</f>
        <v>BIDV - NAM SAI GON</v>
      </c>
    </row>
    <row r="1705" spans="1:9">
      <c r="A1705" s="998">
        <f t="shared" si="26"/>
        <v>1701</v>
      </c>
      <c r="B1705" s="1212" t="s">
        <v>1480</v>
      </c>
      <c r="C1705" s="1003" t="s">
        <v>2915</v>
      </c>
      <c r="D1705" s="932" t="str">
        <f>VLOOKUP($C1705,Table1[#All],2,0)</f>
        <v>BW DINH VU</v>
      </c>
      <c r="E1705" s="932" t="s">
        <v>92</v>
      </c>
      <c r="F1705" s="1093" t="s">
        <v>80</v>
      </c>
      <c r="G1705" s="999" t="s">
        <v>310</v>
      </c>
      <c r="H1705" s="932" t="str">
        <f>VLOOKUP($C1705,Table1[#All],3,0)</f>
        <v>Subsidiaries</v>
      </c>
      <c r="I1705" s="932" t="str" cm="1">
        <f t="array" ref="I1705">_xlfn.XLOOKUP(Acc_Char!$E1705,Table4[[#All],[Branch]],Table4[[#All],[Bank]],"recheck",0)</f>
        <v>BIDV - THANH XUAN</v>
      </c>
    </row>
    <row r="1706" spans="1:9">
      <c r="A1706" s="998">
        <f t="shared" si="26"/>
        <v>1702</v>
      </c>
      <c r="B1706" s="1212" t="s">
        <v>1481</v>
      </c>
      <c r="C1706" s="1003" t="s">
        <v>2974</v>
      </c>
      <c r="D1706" s="932" t="str">
        <f>VLOOKUP($C1706,Table1[#All],2,0)</f>
        <v>BWID HAI DUONG 3</v>
      </c>
      <c r="E1706" s="999" t="s">
        <v>92</v>
      </c>
      <c r="F1706" s="1093" t="s">
        <v>80</v>
      </c>
      <c r="G1706" s="999" t="s">
        <v>310</v>
      </c>
      <c r="H1706" s="932" t="str">
        <f>VLOOKUP($C1706,Table1[#All],3,0)</f>
        <v>Subsidiaries</v>
      </c>
      <c r="I1706" s="932" t="str" cm="1">
        <f t="array" ref="I1706">_xlfn.XLOOKUP(Acc_Char!$E1706,Table4[[#All],[Branch]],Table4[[#All],[Bank]],"recheck",0)</f>
        <v>BIDV - THANH XUAN</v>
      </c>
    </row>
    <row r="1707" spans="1:9">
      <c r="A1707" s="998">
        <f t="shared" si="26"/>
        <v>1703</v>
      </c>
      <c r="B1707" s="1212" t="s">
        <v>1486</v>
      </c>
      <c r="C1707" s="1003" t="s">
        <v>67</v>
      </c>
      <c r="D1707" s="932" t="str">
        <f>VLOOKUP($C1707,Table1[#All],2,0)</f>
        <v>SAO HOA</v>
      </c>
      <c r="E1707" s="999" t="s">
        <v>339</v>
      </c>
      <c r="F1707" s="1093" t="s">
        <v>80</v>
      </c>
      <c r="G1707" s="999" t="s">
        <v>310</v>
      </c>
      <c r="H1707" s="932" t="str">
        <f>VLOOKUP($C1707,Table1[#All],3,0)</f>
        <v>VC3</v>
      </c>
      <c r="I1707" s="932" t="str" cm="1">
        <f t="array" ref="I1707">_xlfn.XLOOKUP(Acc_Char!$E1707,Table4[[#All],[Branch]],Table4[[#All],[Bank]],"recheck",0)</f>
        <v>ACB - HCM</v>
      </c>
    </row>
    <row r="1708" spans="1:9">
      <c r="A1708" s="998">
        <f t="shared" si="26"/>
        <v>1704</v>
      </c>
      <c r="B1708" s="1002" t="s">
        <v>1484</v>
      </c>
      <c r="C1708" s="1003" t="s">
        <v>67</v>
      </c>
      <c r="D1708" s="932" t="str">
        <f>VLOOKUP($C1708,Table1[#All],2,0)</f>
        <v>SAO HOA</v>
      </c>
      <c r="E1708" s="999" t="s">
        <v>339</v>
      </c>
      <c r="F1708" s="1093" t="s">
        <v>80</v>
      </c>
      <c r="G1708" s="999" t="s">
        <v>310</v>
      </c>
      <c r="H1708" s="932" t="str">
        <f>VLOOKUP($C1708,Table1[#All],3,0)</f>
        <v>VC3</v>
      </c>
      <c r="I1708" s="932" t="str" cm="1">
        <f t="array" ref="I1708">_xlfn.XLOOKUP(Acc_Char!$E1708,Table4[[#All],[Branch]],Table4[[#All],[Bank]],"recheck",0)</f>
        <v>ACB - HCM</v>
      </c>
    </row>
    <row r="1709" spans="1:9">
      <c r="A1709" s="998">
        <f t="shared" si="26"/>
        <v>1705</v>
      </c>
      <c r="B1709" s="1212" t="s">
        <v>1482</v>
      </c>
      <c r="C1709" s="1003" t="s">
        <v>3519</v>
      </c>
      <c r="D1709" s="932" t="str">
        <f>VLOOKUP($C1709,Table1[#All],2,0)</f>
        <v>NSHL LLC</v>
      </c>
      <c r="E1709" s="999" t="s">
        <v>92</v>
      </c>
      <c r="F1709" s="1093" t="s">
        <v>80</v>
      </c>
      <c r="G1709" s="999" t="s">
        <v>310</v>
      </c>
      <c r="H1709" s="932" t="str">
        <f>VLOOKUP($C1709,Table1[#All],3,0)</f>
        <v>Subsidiaries</v>
      </c>
      <c r="I1709" s="932" t="str" cm="1">
        <f t="array" ref="I1709">_xlfn.XLOOKUP(Acc_Char!$E1709,Table4[[#All],[Branch]],Table4[[#All],[Bank]],"recheck",0)</f>
        <v>BIDV - THANH XUAN</v>
      </c>
    </row>
    <row r="1710" spans="1:9">
      <c r="A1710" s="998">
        <f t="shared" si="26"/>
        <v>1706</v>
      </c>
      <c r="B1710" s="1212" t="s">
        <v>1485</v>
      </c>
      <c r="C1710" s="1003" t="s">
        <v>2969</v>
      </c>
      <c r="D1710" s="932" t="str">
        <f>VLOOKUP($C1710,Table1[#All],2,0)</f>
        <v>BWID NHON TRACH</v>
      </c>
      <c r="E1710" s="999" t="s">
        <v>91</v>
      </c>
      <c r="F1710" s="1093" t="s">
        <v>80</v>
      </c>
      <c r="G1710" s="999" t="s">
        <v>310</v>
      </c>
      <c r="H1710" s="932" t="str">
        <f>VLOOKUP($C1710,Table1[#All],3,0)</f>
        <v>Subsidiaries</v>
      </c>
      <c r="I1710" s="932" t="str" cm="1">
        <f t="array" ref="I1710">_xlfn.XLOOKUP(Acc_Char!$E1710,Table4[[#All],[Branch]],Table4[[#All],[Bank]],"recheck",0)</f>
        <v>VIETCOMBANK - HCM</v>
      </c>
    </row>
    <row r="1711" spans="1:9">
      <c r="A1711" s="998">
        <f t="shared" si="26"/>
        <v>1707</v>
      </c>
      <c r="B1711" s="1327" t="s">
        <v>5388</v>
      </c>
      <c r="C1711" s="1003" t="s">
        <v>67</v>
      </c>
      <c r="D1711" s="932" t="str">
        <f>VLOOKUP($C1711,Table1[#All],2,0)</f>
        <v>SAO HOA</v>
      </c>
      <c r="E1711" s="999" t="s">
        <v>91</v>
      </c>
      <c r="F1711" s="1093" t="s">
        <v>80</v>
      </c>
      <c r="G1711" s="999" t="s">
        <v>310</v>
      </c>
      <c r="H1711" s="932" t="str">
        <f>VLOOKUP($C1711,Table1[#All],3,0)</f>
        <v>VC3</v>
      </c>
      <c r="I1711" s="932" t="str" cm="1">
        <f t="array" ref="I1711">_xlfn.XLOOKUP(Acc_Char!$E1711,Table4[[#All],[Branch]],Table4[[#All],[Bank]],"recheck",0)</f>
        <v>VIETCOMBANK - HCM</v>
      </c>
    </row>
    <row r="1712" spans="1:9">
      <c r="A1712" s="998">
        <f t="shared" si="26"/>
        <v>1708</v>
      </c>
      <c r="B1712" s="1212" t="s">
        <v>1483</v>
      </c>
      <c r="C1712" s="1003" t="s">
        <v>3309</v>
      </c>
      <c r="D1712" s="932" t="str">
        <f>VLOOKUP($C1712,Table1[#All],2,0)</f>
        <v>LE MINH XUAN 3</v>
      </c>
      <c r="E1712" s="999" t="s">
        <v>191</v>
      </c>
      <c r="F1712" s="1093" t="s">
        <v>80</v>
      </c>
      <c r="G1712" s="999" t="s">
        <v>310</v>
      </c>
      <c r="H1712" s="932" t="str">
        <f>VLOOKUP($C1712,Table1[#All],3,0)</f>
        <v>Subsidiaries</v>
      </c>
      <c r="I1712" s="932" t="str" cm="1">
        <f t="array" ref="I1712">_xlfn.XLOOKUP(Acc_Char!$E1712,Table4[[#All],[Branch]],Table4[[#All],[Bank]],"recheck",0)</f>
        <v>VIETINBANK - TPHCM</v>
      </c>
    </row>
    <row r="1713" spans="1:9">
      <c r="A1713" s="998">
        <f t="shared" si="26"/>
        <v>1709</v>
      </c>
      <c r="B1713" s="1212" t="s">
        <v>1158</v>
      </c>
      <c r="C1713" s="1003" t="s">
        <v>3400</v>
      </c>
      <c r="D1713" s="932" t="str">
        <f>VLOOKUP($C1713,Table1[#All],2,0)</f>
        <v>HOLDCO5Q</v>
      </c>
      <c r="E1713" s="999" t="s">
        <v>803</v>
      </c>
      <c r="F1713" s="1093" t="s">
        <v>80</v>
      </c>
      <c r="G1713" s="999" t="s">
        <v>308</v>
      </c>
      <c r="H1713" s="932" t="str">
        <f>VLOOKUP($C1713,Table1[#All],3,0)</f>
        <v>Subsidiaries</v>
      </c>
      <c r="I1713" s="932" t="str" cm="1">
        <f t="array" ref="I1713">_xlfn.XLOOKUP(Acc_Char!$E1713,Table4[[#All],[Branch]],Table4[[#All],[Bank]],"recheck",0)</f>
        <v>UOB</v>
      </c>
    </row>
    <row r="1714" spans="1:9">
      <c r="A1714" s="998">
        <f t="shared" si="26"/>
        <v>1710</v>
      </c>
      <c r="B1714" s="1212" t="s">
        <v>1157</v>
      </c>
      <c r="C1714" s="1003" t="s">
        <v>3399</v>
      </c>
      <c r="D1714" s="932" t="str">
        <f>VLOOKUP($C1714,Table1[#All],2,0)</f>
        <v>HOLDCO4X</v>
      </c>
      <c r="E1714" s="999" t="s">
        <v>803</v>
      </c>
      <c r="F1714" s="1093" t="s">
        <v>80</v>
      </c>
      <c r="G1714" s="999" t="s">
        <v>308</v>
      </c>
      <c r="H1714" s="932" t="str">
        <f>VLOOKUP($C1714,Table1[#All],3,0)</f>
        <v>Subsidiaries</v>
      </c>
      <c r="I1714" s="932" t="str" cm="1">
        <f t="array" ref="I1714">_xlfn.XLOOKUP(Acc_Char!$E1714,Table4[[#All],[Branch]],Table4[[#All],[Bank]],"recheck",0)</f>
        <v>UOB</v>
      </c>
    </row>
    <row r="1715" spans="1:9">
      <c r="A1715" s="998">
        <f t="shared" si="26"/>
        <v>1711</v>
      </c>
      <c r="B1715" s="1212" t="s">
        <v>1487</v>
      </c>
      <c r="C1715" s="1003" t="s">
        <v>3519</v>
      </c>
      <c r="D1715" s="932" t="str">
        <f>VLOOKUP($C1715,Table1[#All],2,0)</f>
        <v>NSHL LLC</v>
      </c>
      <c r="E1715" s="999" t="s">
        <v>92</v>
      </c>
      <c r="F1715" s="1093" t="s">
        <v>80</v>
      </c>
      <c r="G1715" s="999" t="s">
        <v>310</v>
      </c>
      <c r="H1715" s="932" t="str">
        <f>VLOOKUP($C1715,Table1[#All],3,0)</f>
        <v>Subsidiaries</v>
      </c>
      <c r="I1715" s="932" t="str" cm="1">
        <f t="array" ref="I1715">_xlfn.XLOOKUP(Acc_Char!$E1715,Table4[[#All],[Branch]],Table4[[#All],[Bank]],"recheck",0)</f>
        <v>BIDV - THANH XUAN</v>
      </c>
    </row>
    <row r="1716" spans="1:9">
      <c r="A1716" s="998">
        <f t="shared" si="26"/>
        <v>1712</v>
      </c>
      <c r="B1716" s="1002" t="s">
        <v>3849</v>
      </c>
      <c r="C1716" s="1003" t="s">
        <v>3268</v>
      </c>
      <c r="D1716" s="932" t="str">
        <f>VLOOKUP($C1716,Table1[#All],2,0)</f>
        <v>BW DONG HAI</v>
      </c>
      <c r="E1716" s="999" t="s">
        <v>93</v>
      </c>
      <c r="F1716" s="1093" t="s">
        <v>80</v>
      </c>
      <c r="G1716" s="999" t="s">
        <v>310</v>
      </c>
      <c r="H1716" s="932" t="str">
        <f>VLOOKUP($C1716,Table1[#All],3,0)</f>
        <v>Subsidiaries</v>
      </c>
      <c r="I1716" s="932" t="str" cm="1">
        <f t="array" ref="I1716">_xlfn.XLOOKUP(Acc_Char!$E1716,Table4[[#All],[Branch]],Table4[[#All],[Bank]],"recheck",0)</f>
        <v>BIDV - NAM SAI GON</v>
      </c>
    </row>
    <row r="1717" spans="1:9">
      <c r="A1717" s="998">
        <f t="shared" si="26"/>
        <v>1713</v>
      </c>
      <c r="B1717" s="1212" t="s">
        <v>1488</v>
      </c>
      <c r="C1717" s="1003" t="s">
        <v>2998</v>
      </c>
      <c r="D1717" s="932" t="str">
        <f>VLOOKUP($C1717,Table1[#All],2,0)</f>
        <v>BWID THOI HOA 2</v>
      </c>
      <c r="E1717" s="999" t="s">
        <v>971</v>
      </c>
      <c r="F1717" s="1093" t="s">
        <v>80</v>
      </c>
      <c r="G1717" s="999" t="s">
        <v>310</v>
      </c>
      <c r="H1717" s="932" t="str">
        <f>VLOOKUP($C1717,Table1[#All],3,0)</f>
        <v>Subsidiaries</v>
      </c>
      <c r="I1717" s="932" t="str" cm="1">
        <f t="array" ref="I1717">_xlfn.XLOOKUP(Acc_Char!$E1717,Table4[[#All],[Branch]],Table4[[#All],[Bank]],"recheck",0)</f>
        <v>OTHERS</v>
      </c>
    </row>
    <row r="1718" spans="1:9">
      <c r="A1718" s="998">
        <f t="shared" si="26"/>
        <v>1714</v>
      </c>
      <c r="B1718" s="1307" t="s">
        <v>1035</v>
      </c>
      <c r="C1718" s="1003" t="s">
        <v>403</v>
      </c>
      <c r="D1718" s="932" t="str">
        <f>VLOOKUP($C1718,Table1[#All],2,0)</f>
        <v>BW SUPLLY CHAIN CITY</v>
      </c>
      <c r="E1718" s="999" t="s">
        <v>338</v>
      </c>
      <c r="F1718" s="1093" t="s">
        <v>80</v>
      </c>
      <c r="G1718" s="999" t="s">
        <v>308</v>
      </c>
      <c r="H1718" s="932" t="str">
        <f>VLOOKUP($C1718,Table1[#All],3,0)</f>
        <v>Subsidiaries</v>
      </c>
      <c r="I1718" s="932" t="str" cm="1">
        <f t="array" ref="I1718">_xlfn.XLOOKUP(Acc_Char!$E1718,Table4[[#All],[Branch]],Table4[[#All],[Bank]],"recheck",0)</f>
        <v>TECHCOMBANK</v>
      </c>
    </row>
    <row r="1719" spans="1:9">
      <c r="A1719" s="998">
        <f t="shared" si="26"/>
        <v>1715</v>
      </c>
      <c r="B1719" s="1307" t="s">
        <v>1036</v>
      </c>
      <c r="C1719" s="1003" t="s">
        <v>403</v>
      </c>
      <c r="D1719" s="932" t="str">
        <f>VLOOKUP($C1719,Table1[#All],2,0)</f>
        <v>BW SUPLLY CHAIN CITY</v>
      </c>
      <c r="E1719" s="999" t="s">
        <v>338</v>
      </c>
      <c r="F1719" s="1093" t="s">
        <v>81</v>
      </c>
      <c r="G1719" s="999" t="s">
        <v>308</v>
      </c>
      <c r="H1719" s="932" t="str">
        <f>VLOOKUP($C1719,Table1[#All],3,0)</f>
        <v>Subsidiaries</v>
      </c>
      <c r="I1719" s="932" t="str" cm="1">
        <f t="array" ref="I1719">_xlfn.XLOOKUP(Acc_Char!$E1719,Table4[[#All],[Branch]],Table4[[#All],[Bank]],"recheck",0)</f>
        <v>TECHCOMBANK</v>
      </c>
    </row>
    <row r="1720" spans="1:9">
      <c r="A1720" s="998">
        <f t="shared" si="26"/>
        <v>1716</v>
      </c>
      <c r="B1720" s="1307" t="s">
        <v>1117</v>
      </c>
      <c r="C1720" s="1003" t="s">
        <v>403</v>
      </c>
      <c r="D1720" s="932" t="str">
        <f>VLOOKUP($C1720,Table1[#All],2,0)</f>
        <v>BW SUPLLY CHAIN CITY</v>
      </c>
      <c r="E1720" s="999" t="s">
        <v>338</v>
      </c>
      <c r="F1720" s="1093" t="s">
        <v>80</v>
      </c>
      <c r="G1720" s="999" t="s">
        <v>310</v>
      </c>
      <c r="H1720" s="932" t="str">
        <f>VLOOKUP($C1720,Table1[#All],3,0)</f>
        <v>Subsidiaries</v>
      </c>
      <c r="I1720" s="932" t="str" cm="1">
        <f t="array" ref="I1720">_xlfn.XLOOKUP(Acc_Char!$E1720,Table4[[#All],[Branch]],Table4[[#All],[Bank]],"recheck",0)</f>
        <v>TECHCOMBANK</v>
      </c>
    </row>
    <row r="1721" spans="1:9">
      <c r="A1721" s="998">
        <f t="shared" si="26"/>
        <v>1717</v>
      </c>
      <c r="B1721" s="1212" t="s">
        <v>1490</v>
      </c>
      <c r="C1721" s="1003" t="s">
        <v>3309</v>
      </c>
      <c r="D1721" s="932" t="str">
        <f>VLOOKUP($C1721,Table1[#All],2,0)</f>
        <v>LE MINH XUAN 3</v>
      </c>
      <c r="E1721" s="999" t="s">
        <v>191</v>
      </c>
      <c r="F1721" s="1093" t="s">
        <v>80</v>
      </c>
      <c r="G1721" s="999" t="s">
        <v>310</v>
      </c>
      <c r="H1721" s="932" t="str">
        <f>VLOOKUP($C1721,Table1[#All],3,0)</f>
        <v>Subsidiaries</v>
      </c>
      <c r="I1721" s="932" t="str" cm="1">
        <f t="array" ref="I1721">_xlfn.XLOOKUP(Acc_Char!$E1721,Table4[[#All],[Branch]],Table4[[#All],[Bank]],"recheck",0)</f>
        <v>VIETINBANK - TPHCM</v>
      </c>
    </row>
    <row r="1722" spans="1:9">
      <c r="A1722" s="998">
        <f t="shared" si="26"/>
        <v>1718</v>
      </c>
      <c r="B1722" s="1212" t="s">
        <v>1491</v>
      </c>
      <c r="C1722" s="1003" t="s">
        <v>2895</v>
      </c>
      <c r="D1722" s="932" t="str">
        <f>VLOOKUP($C1722,Table1[#All],2,0)</f>
        <v>BWID HAI DUONG 2</v>
      </c>
      <c r="E1722" s="999" t="s">
        <v>85</v>
      </c>
      <c r="F1722" s="1093" t="s">
        <v>80</v>
      </c>
      <c r="G1722" s="999" t="s">
        <v>310</v>
      </c>
      <c r="H1722" s="932" t="str">
        <f>VLOOKUP($C1722,Table1[#All],3,0)</f>
        <v>Subsidiaries</v>
      </c>
      <c r="I1722" s="932" t="str" cm="1">
        <f t="array" ref="I1722">_xlfn.XLOOKUP(Acc_Char!$E1722,Table4[[#All],[Branch]],Table4[[#All],[Bank]],"recheck",0)</f>
        <v>VIETINBANK - TIEN SON</v>
      </c>
    </row>
    <row r="1723" spans="1:9">
      <c r="A1723" s="998">
        <f t="shared" si="26"/>
        <v>1719</v>
      </c>
      <c r="B1723" s="1212" t="s">
        <v>1492</v>
      </c>
      <c r="C1723" s="1000" t="s">
        <v>2895</v>
      </c>
      <c r="D1723" s="932" t="str">
        <f>VLOOKUP($C1723,Table1[#All],2,0)</f>
        <v>BWID HAI DUONG 2</v>
      </c>
      <c r="E1723" s="999" t="s">
        <v>85</v>
      </c>
      <c r="F1723" s="1093" t="s">
        <v>80</v>
      </c>
      <c r="G1723" s="999" t="s">
        <v>310</v>
      </c>
      <c r="H1723" s="932" t="str">
        <f>VLOOKUP($C1723,Table1[#All],3,0)</f>
        <v>Subsidiaries</v>
      </c>
      <c r="I1723" s="932" t="str" cm="1">
        <f t="array" ref="I1723">_xlfn.XLOOKUP(Acc_Char!$E1723,Table4[[#All],[Branch]],Table4[[#All],[Bank]],"recheck",0)</f>
        <v>VIETINBANK - TIEN SON</v>
      </c>
    </row>
    <row r="1724" spans="1:9">
      <c r="A1724" s="998">
        <f t="shared" si="26"/>
        <v>1720</v>
      </c>
      <c r="B1724" s="1212" t="s">
        <v>1494</v>
      </c>
      <c r="C1724" s="1003" t="s">
        <v>412</v>
      </c>
      <c r="D1724" s="932" t="str">
        <f>VLOOKUP($C1724,Table1[#All],2,0)</f>
        <v>DELIWAY</v>
      </c>
      <c r="E1724" s="999" t="s">
        <v>191</v>
      </c>
      <c r="F1724" s="1093" t="s">
        <v>80</v>
      </c>
      <c r="G1724" s="999" t="s">
        <v>310</v>
      </c>
      <c r="H1724" s="932" t="str">
        <f>VLOOKUP($C1724,Table1[#All],3,0)</f>
        <v>Subsidiaries</v>
      </c>
      <c r="I1724" s="932" t="str" cm="1">
        <f t="array" ref="I1724">_xlfn.XLOOKUP(Acc_Char!$E1724,Table4[[#All],[Branch]],Table4[[#All],[Bank]],"recheck",0)</f>
        <v>VIETINBANK - TPHCM</v>
      </c>
    </row>
    <row r="1725" spans="1:9">
      <c r="A1725" s="998">
        <f t="shared" si="26"/>
        <v>1721</v>
      </c>
      <c r="B1725" s="1212" t="s">
        <v>1493</v>
      </c>
      <c r="C1725" s="1003" t="s">
        <v>3160</v>
      </c>
      <c r="D1725" s="932" t="str">
        <f>VLOOKUP($C1725,Table1[#All],2,0)</f>
        <v>BWID Tan Phu Trung</v>
      </c>
      <c r="E1725" s="999" t="s">
        <v>85</v>
      </c>
      <c r="F1725" s="1093" t="s">
        <v>80</v>
      </c>
      <c r="G1725" s="999" t="s">
        <v>310</v>
      </c>
      <c r="H1725" s="932" t="str">
        <f>VLOOKUP($C1725,Table1[#All],3,0)</f>
        <v>Subsidiaries</v>
      </c>
      <c r="I1725" s="932" t="str" cm="1">
        <f t="array" ref="I1725">_xlfn.XLOOKUP(Acc_Char!$E1725,Table4[[#All],[Branch]],Table4[[#All],[Bank]],"recheck",0)</f>
        <v>VIETINBANK - TIEN SON</v>
      </c>
    </row>
    <row r="1726" spans="1:9">
      <c r="A1726" s="998">
        <f t="shared" si="26"/>
        <v>1722</v>
      </c>
      <c r="B1726" s="1212" t="s">
        <v>1495</v>
      </c>
      <c r="C1726" s="1003" t="s">
        <v>3233</v>
      </c>
      <c r="D1726" s="932" t="str">
        <f>VLOOKUP($C1726,Table1[#All],2,0)</f>
        <v>BAU BANG 6</v>
      </c>
      <c r="E1726" s="999" t="s">
        <v>153</v>
      </c>
      <c r="F1726" s="1093" t="s">
        <v>80</v>
      </c>
      <c r="G1726" s="999" t="s">
        <v>310</v>
      </c>
      <c r="H1726" s="932" t="str">
        <f>VLOOKUP($C1726,Table1[#All],3,0)</f>
        <v>Subsidiaries</v>
      </c>
      <c r="I1726" s="932" t="str" cm="1">
        <f t="array" ref="I1726">_xlfn.XLOOKUP(Acc_Char!$E1726,Table4[[#All],[Branch]],Table4[[#All],[Bank]],"recheck",0)</f>
        <v>VIETINBANK - BINH DUONG + QM</v>
      </c>
    </row>
    <row r="1727" spans="1:9">
      <c r="A1727" s="998">
        <f t="shared" si="26"/>
        <v>1723</v>
      </c>
      <c r="B1727" s="1212" t="s">
        <v>1496</v>
      </c>
      <c r="C1727" s="1003" t="s">
        <v>3233</v>
      </c>
      <c r="D1727" s="932" t="str">
        <f>VLOOKUP($C1727,Table1[#All],2,0)</f>
        <v>BAU BANG 6</v>
      </c>
      <c r="E1727" s="999" t="s">
        <v>153</v>
      </c>
      <c r="F1727" s="1093" t="s">
        <v>80</v>
      </c>
      <c r="G1727" s="999" t="s">
        <v>310</v>
      </c>
      <c r="H1727" s="932" t="str">
        <f>VLOOKUP($C1727,Table1[#All],3,0)</f>
        <v>Subsidiaries</v>
      </c>
      <c r="I1727" s="932" t="str" cm="1">
        <f t="array" ref="I1727">_xlfn.XLOOKUP(Acc_Char!$E1727,Table4[[#All],[Branch]],Table4[[#All],[Bank]],"recheck",0)</f>
        <v>VIETINBANK - BINH DUONG + QM</v>
      </c>
    </row>
    <row r="1728" spans="1:9">
      <c r="A1728" s="998">
        <f t="shared" si="26"/>
        <v>1724</v>
      </c>
      <c r="B1728" s="1212" t="s">
        <v>1497</v>
      </c>
      <c r="C1728" s="1003" t="s">
        <v>402</v>
      </c>
      <c r="D1728" s="932" t="str">
        <f>VLOOKUP($C1728,Table1[#All],2,0)</f>
        <v>BWID DONG AN LID</v>
      </c>
      <c r="E1728" s="999" t="s">
        <v>88</v>
      </c>
      <c r="F1728" s="1093" t="s">
        <v>80</v>
      </c>
      <c r="G1728" s="999" t="s">
        <v>310</v>
      </c>
      <c r="H1728" s="932" t="str">
        <f>VLOOKUP($C1728,Table1[#All],3,0)</f>
        <v>Subsidiaries</v>
      </c>
      <c r="I1728" s="932" t="str" cm="1">
        <f t="array" ref="I1728">_xlfn.XLOOKUP(Acc_Char!$E1728,Table4[[#All],[Branch]],Table4[[#All],[Bank]],"recheck",0)</f>
        <v>VIETINBANK - DONG SAI GON</v>
      </c>
    </row>
    <row r="1729" spans="1:9">
      <c r="A1729" s="998">
        <f t="shared" si="26"/>
        <v>1725</v>
      </c>
      <c r="B1729" s="1212" t="s">
        <v>1509</v>
      </c>
      <c r="C1729" s="1003" t="s">
        <v>430</v>
      </c>
      <c r="D1729" s="932" t="str">
        <f>VLOOKUP($C1729,Table1[#All],2,0)</f>
        <v>KIM TRUC DN</v>
      </c>
      <c r="E1729" s="999" t="s">
        <v>93</v>
      </c>
      <c r="F1729" s="1093" t="s">
        <v>80</v>
      </c>
      <c r="G1729" s="999" t="s">
        <v>310</v>
      </c>
      <c r="H1729" s="932" t="str">
        <f>VLOOKUP($C1729,Table1[#All],3,0)</f>
        <v>Subsidiaries</v>
      </c>
      <c r="I1729" s="932" t="str" cm="1">
        <f t="array" ref="I1729">_xlfn.XLOOKUP(Acc_Char!$E1729,Table4[[#All],[Branch]],Table4[[#All],[Bank]],"recheck",0)</f>
        <v>BIDV - NAM SAI GON</v>
      </c>
    </row>
    <row r="1730" spans="1:9">
      <c r="A1730" s="998">
        <f t="shared" si="26"/>
        <v>1726</v>
      </c>
      <c r="B1730" s="1212" t="s">
        <v>1498</v>
      </c>
      <c r="C1730" s="1003" t="s">
        <v>3093</v>
      </c>
      <c r="D1730" s="932" t="str">
        <f>VLOOKUP($C1730,Table1[#All],2,0)</f>
        <v>SONGTHAN LID</v>
      </c>
      <c r="E1730" s="932" t="s">
        <v>88</v>
      </c>
      <c r="F1730" s="1093" t="s">
        <v>80</v>
      </c>
      <c r="G1730" s="999" t="s">
        <v>310</v>
      </c>
      <c r="H1730" s="932" t="str">
        <f>VLOOKUP($C1730,Table1[#All],3,0)</f>
        <v>Subsidiaries</v>
      </c>
      <c r="I1730" s="932" t="str" cm="1">
        <f t="array" ref="I1730">_xlfn.XLOOKUP(Acc_Char!$E1730,Table4[[#All],[Branch]],Table4[[#All],[Bank]],"recheck",0)</f>
        <v>VIETINBANK - DONG SAI GON</v>
      </c>
    </row>
    <row r="1731" spans="1:9">
      <c r="A1731" s="998">
        <f t="shared" si="26"/>
        <v>1727</v>
      </c>
      <c r="B1731" s="1212" t="s">
        <v>1499</v>
      </c>
      <c r="C1731" s="1003" t="s">
        <v>2888</v>
      </c>
      <c r="D1731" s="932" t="str">
        <f>VLOOKUP($C1731,Table1[#All],2,0)</f>
        <v>BWID HAI DUONG</v>
      </c>
      <c r="E1731" s="999" t="s">
        <v>85</v>
      </c>
      <c r="F1731" s="1093" t="s">
        <v>80</v>
      </c>
      <c r="G1731" s="999" t="s">
        <v>310</v>
      </c>
      <c r="H1731" s="932" t="str">
        <f>VLOOKUP($C1731,Table1[#All],3,0)</f>
        <v>Subsidiaries</v>
      </c>
      <c r="I1731" s="932" t="str" cm="1">
        <f t="array" ref="I1731">_xlfn.XLOOKUP(Acc_Char!$E1731,Table4[[#All],[Branch]],Table4[[#All],[Bank]],"recheck",0)</f>
        <v>VIETINBANK - TIEN SON</v>
      </c>
    </row>
    <row r="1732" spans="1:9">
      <c r="A1732" s="998">
        <f t="shared" si="26"/>
        <v>1728</v>
      </c>
      <c r="B1732" s="1212" t="s">
        <v>1500</v>
      </c>
      <c r="C1732" s="1003" t="s">
        <v>3323</v>
      </c>
      <c r="D1732" s="932" t="str">
        <f>VLOOKUP($C1732,Table1[#All],2,0)</f>
        <v>TAN DONG HIEP B ELECTRON</v>
      </c>
      <c r="E1732" s="999" t="s">
        <v>191</v>
      </c>
      <c r="F1732" s="1093" t="s">
        <v>80</v>
      </c>
      <c r="G1732" s="999" t="s">
        <v>310</v>
      </c>
      <c r="H1732" s="932" t="str">
        <f>VLOOKUP($C1732,Table1[#All],3,0)</f>
        <v>Subsidiaries</v>
      </c>
      <c r="I1732" s="932" t="str" cm="1">
        <f t="array" ref="I1732">_xlfn.XLOOKUP(Acc_Char!$E1732,Table4[[#All],[Branch]],Table4[[#All],[Bank]],"recheck",0)</f>
        <v>VIETINBANK - TPHCM</v>
      </c>
    </row>
    <row r="1733" spans="1:9">
      <c r="A1733" s="998">
        <f t="shared" si="26"/>
        <v>1729</v>
      </c>
      <c r="B1733" s="1212" t="s">
        <v>1501</v>
      </c>
      <c r="C1733" s="1003" t="s">
        <v>428</v>
      </c>
      <c r="D1733" s="932" t="str">
        <f>VLOOKUP($C1733,Table1[#All],2,0)</f>
        <v>TAY HAI</v>
      </c>
      <c r="E1733" s="932" t="s">
        <v>155</v>
      </c>
      <c r="F1733" s="1093" t="s">
        <v>80</v>
      </c>
      <c r="G1733" s="999" t="s">
        <v>310</v>
      </c>
      <c r="H1733" s="932" t="str">
        <f>VLOOKUP($C1733,Table1[#All],3,0)</f>
        <v>Subsidiaries</v>
      </c>
      <c r="I1733" s="932" t="str" cm="1">
        <f t="array" ref="I1733">_xlfn.XLOOKUP(Acc_Char!$E1733,Table4[[#All],[Branch]],Table4[[#All],[Bank]],"recheck",0)</f>
        <v>VIETINBANK - BINH DUONG + QM</v>
      </c>
    </row>
    <row r="1734" spans="1:9">
      <c r="A1734" s="998">
        <f t="shared" ref="A1734:A1753" si="27">A1733+1</f>
        <v>1730</v>
      </c>
      <c r="B1734" s="1212" t="s">
        <v>1502</v>
      </c>
      <c r="C1734" s="1003" t="s">
        <v>428</v>
      </c>
      <c r="D1734" s="932" t="str">
        <f>VLOOKUP($C1734,Table1[#All],2,0)</f>
        <v>TAY HAI</v>
      </c>
      <c r="E1734" s="932" t="s">
        <v>155</v>
      </c>
      <c r="F1734" s="1093" t="s">
        <v>80</v>
      </c>
      <c r="G1734" s="999" t="s">
        <v>310</v>
      </c>
      <c r="H1734" s="932" t="str">
        <f>VLOOKUP($C1734,Table1[#All],3,0)</f>
        <v>Subsidiaries</v>
      </c>
      <c r="I1734" s="932" t="str" cm="1">
        <f t="array" ref="I1734">_xlfn.XLOOKUP(Acc_Char!$E1734,Table4[[#All],[Branch]],Table4[[#All],[Bank]],"recheck",0)</f>
        <v>VIETINBANK - BINH DUONG + QM</v>
      </c>
    </row>
    <row r="1735" spans="1:9">
      <c r="A1735" s="998">
        <f t="shared" si="27"/>
        <v>1731</v>
      </c>
      <c r="B1735" s="1212" t="s">
        <v>1504</v>
      </c>
      <c r="C1735" s="1003" t="s">
        <v>3251</v>
      </c>
      <c r="D1735" s="932" t="str">
        <f>VLOOKUP($C1735,Table1[#All],2,0)</f>
        <v>BW BAU BANG 01</v>
      </c>
      <c r="E1735" s="932" t="s">
        <v>153</v>
      </c>
      <c r="F1735" s="1093" t="s">
        <v>80</v>
      </c>
      <c r="G1735" s="999" t="s">
        <v>310</v>
      </c>
      <c r="H1735" s="932" t="str">
        <f>VLOOKUP($C1735,Table1[#All],3,0)</f>
        <v>Subsidiaries</v>
      </c>
      <c r="I1735" s="932" t="str" cm="1">
        <f t="array" ref="I1735">_xlfn.XLOOKUP(Acc_Char!$E1735,Table4[[#All],[Branch]],Table4[[#All],[Bank]],"recheck",0)</f>
        <v>VIETINBANK - BINH DUONG + QM</v>
      </c>
    </row>
    <row r="1736" spans="1:9">
      <c r="A1736" s="998">
        <f t="shared" si="27"/>
        <v>1732</v>
      </c>
      <c r="B1736" s="1212" t="s">
        <v>1503</v>
      </c>
      <c r="C1736" s="1003" t="s">
        <v>3251</v>
      </c>
      <c r="D1736" s="932" t="str">
        <f>VLOOKUP($C1736,Table1[#All],2,0)</f>
        <v>BW BAU BANG 01</v>
      </c>
      <c r="E1736" s="932" t="s">
        <v>153</v>
      </c>
      <c r="F1736" s="1093" t="s">
        <v>80</v>
      </c>
      <c r="G1736" s="999" t="s">
        <v>310</v>
      </c>
      <c r="H1736" s="932" t="str">
        <f>VLOOKUP($C1736,Table1[#All],3,0)</f>
        <v>Subsidiaries</v>
      </c>
      <c r="I1736" s="932" t="str" cm="1">
        <f t="array" ref="I1736">_xlfn.XLOOKUP(Acc_Char!$E1736,Table4[[#All],[Branch]],Table4[[#All],[Bank]],"recheck",0)</f>
        <v>VIETINBANK - BINH DUONG + QM</v>
      </c>
    </row>
    <row r="1737" spans="1:9">
      <c r="A1737" s="998">
        <f t="shared" si="27"/>
        <v>1733</v>
      </c>
      <c r="B1737" s="1212" t="s">
        <v>1512</v>
      </c>
      <c r="C1737" s="1003" t="s">
        <v>3505</v>
      </c>
      <c r="D1737" s="932" t="str">
        <f>VLOOKUP($C1737,Table1[#All],2,0)</f>
        <v>BIEN HOA</v>
      </c>
      <c r="E1737" s="1274" t="s">
        <v>971</v>
      </c>
      <c r="F1737" s="1093" t="s">
        <v>80</v>
      </c>
      <c r="G1737" s="999" t="s">
        <v>310</v>
      </c>
      <c r="H1737" s="932" t="str">
        <f>VLOOKUP($C1737,Table1[#All],3,0)</f>
        <v>Subsidiaries</v>
      </c>
      <c r="I1737" s="932" t="str" cm="1">
        <f t="array" ref="I1737">_xlfn.XLOOKUP(Acc_Char!$E1737,Table4[[#All],[Branch]],Table4[[#All],[Bank]],"recheck",0)</f>
        <v>OTHERS</v>
      </c>
    </row>
    <row r="1738" spans="1:9">
      <c r="A1738" s="998">
        <f t="shared" si="27"/>
        <v>1734</v>
      </c>
      <c r="B1738" s="1286" t="s">
        <v>5396</v>
      </c>
      <c r="C1738" s="1003" t="s">
        <v>2980</v>
      </c>
      <c r="D1738" s="932" t="str">
        <f>VLOOKUP($C1738,Table1[#All],2,0)</f>
        <v>BWID THOI HOA</v>
      </c>
      <c r="E1738" s="999" t="s">
        <v>91</v>
      </c>
      <c r="F1738" s="1093" t="s">
        <v>80</v>
      </c>
      <c r="G1738" s="999" t="s">
        <v>310</v>
      </c>
      <c r="H1738" s="932" t="str">
        <f>VLOOKUP($C1738,Table1[#All],3,0)</f>
        <v>Subsidiaries</v>
      </c>
      <c r="I1738" s="932" t="str" cm="1">
        <f t="array" ref="I1738">_xlfn.XLOOKUP(Acc_Char!$E1738,Table4[[#All],[Branch]],Table4[[#All],[Bank]],"recheck",0)</f>
        <v>VIETCOMBANK - HCM</v>
      </c>
    </row>
    <row r="1739" spans="1:9">
      <c r="A1739" s="998">
        <f t="shared" si="27"/>
        <v>1735</v>
      </c>
      <c r="B1739" s="1286" t="s">
        <v>5397</v>
      </c>
      <c r="C1739" s="1287" t="s">
        <v>3047</v>
      </c>
      <c r="D1739" s="932" t="str">
        <f>VLOOKUP($C1739,Table1[#All],2,0)</f>
        <v>BW SAIGON LOGISTICS</v>
      </c>
      <c r="E1739" s="999" t="s">
        <v>91</v>
      </c>
      <c r="F1739" s="1093" t="s">
        <v>80</v>
      </c>
      <c r="G1739" s="999" t="s">
        <v>310</v>
      </c>
      <c r="H1739" s="932" t="str">
        <f>VLOOKUP($C1739,Table1[#All],3,0)</f>
        <v>Subsidiaries</v>
      </c>
      <c r="I1739" s="932" t="str" cm="1">
        <f t="array" ref="I1739">_xlfn.XLOOKUP(Acc_Char!$E1739,Table4[[#All],[Branch]],Table4[[#All],[Bank]],"recheck",0)</f>
        <v>VIETCOMBANK - HCM</v>
      </c>
    </row>
    <row r="1740" spans="1:9">
      <c r="A1740" s="998">
        <f t="shared" si="27"/>
        <v>1736</v>
      </c>
      <c r="B1740" s="1286" t="s">
        <v>5398</v>
      </c>
      <c r="C1740" s="1003" t="s">
        <v>67</v>
      </c>
      <c r="D1740" s="932" t="str">
        <f>VLOOKUP($C1740,Table1[#All],2,0)</f>
        <v>SAO HOA</v>
      </c>
      <c r="E1740" s="999" t="s">
        <v>91</v>
      </c>
      <c r="F1740" s="1093" t="s">
        <v>80</v>
      </c>
      <c r="G1740" s="999" t="s">
        <v>310</v>
      </c>
      <c r="H1740" s="932" t="str">
        <f>VLOOKUP($C1740,Table1[#All],3,0)</f>
        <v>VC3</v>
      </c>
      <c r="I1740" s="932" t="str" cm="1">
        <f t="array" ref="I1740">_xlfn.XLOOKUP(Acc_Char!$E1740,Table4[[#All],[Branch]],Table4[[#All],[Bank]],"recheck",0)</f>
        <v>VIETCOMBANK - HCM</v>
      </c>
    </row>
    <row r="1741" spans="1:9">
      <c r="A1741" s="998">
        <f t="shared" si="27"/>
        <v>1737</v>
      </c>
      <c r="B1741" s="1286" t="s">
        <v>5399</v>
      </c>
      <c r="C1741" s="1003" t="s">
        <v>3237</v>
      </c>
      <c r="D1741" s="932" t="str">
        <f>VLOOKUP($C1741,Table1[#All],2,0)</f>
        <v>LONG BINH</v>
      </c>
      <c r="E1741" s="999" t="s">
        <v>91</v>
      </c>
      <c r="F1741" s="1093" t="s">
        <v>80</v>
      </c>
      <c r="G1741" s="999" t="s">
        <v>310</v>
      </c>
      <c r="H1741" s="932" t="str">
        <f>VLOOKUP($C1741,Table1[#All],3,0)</f>
        <v>Subsidiaries</v>
      </c>
      <c r="I1741" s="932" t="str" cm="1">
        <f t="array" ref="I1741">_xlfn.XLOOKUP(Acc_Char!$E1741,Table4[[#All],[Branch]],Table4[[#All],[Bank]],"recheck",0)</f>
        <v>VIETCOMBANK - HCM</v>
      </c>
    </row>
    <row r="1742" spans="1:9">
      <c r="A1742" s="998">
        <f t="shared" si="27"/>
        <v>1738</v>
      </c>
      <c r="B1742" s="1286" t="s">
        <v>5400</v>
      </c>
      <c r="C1742" s="1003" t="s">
        <v>3237</v>
      </c>
      <c r="D1742" s="932" t="str">
        <f>VLOOKUP($C1742,Table1[#All],2,0)</f>
        <v>LONG BINH</v>
      </c>
      <c r="E1742" s="999" t="s">
        <v>91</v>
      </c>
      <c r="F1742" s="1093" t="s">
        <v>80</v>
      </c>
      <c r="G1742" s="999" t="s">
        <v>310</v>
      </c>
      <c r="H1742" s="932" t="str">
        <f>VLOOKUP($C1742,Table1[#All],3,0)</f>
        <v>Subsidiaries</v>
      </c>
      <c r="I1742" s="932" t="str" cm="1">
        <f t="array" ref="I1742">_xlfn.XLOOKUP(Acc_Char!$E1742,Table4[[#All],[Branch]],Table4[[#All],[Bank]],"recheck",0)</f>
        <v>VIETCOMBANK - HCM</v>
      </c>
    </row>
    <row r="1743" spans="1:9">
      <c r="A1743" s="998">
        <f t="shared" si="27"/>
        <v>1739</v>
      </c>
      <c r="B1743" s="1213" t="s">
        <v>1505</v>
      </c>
      <c r="C1743" s="1003" t="s">
        <v>3519</v>
      </c>
      <c r="D1743" s="932" t="str">
        <f>VLOOKUP($C1743,Table1[#All],2,0)</f>
        <v>NSHL LLC</v>
      </c>
      <c r="E1743" s="999" t="s">
        <v>92</v>
      </c>
      <c r="F1743" s="1093" t="s">
        <v>80</v>
      </c>
      <c r="G1743" s="999" t="s">
        <v>310</v>
      </c>
      <c r="H1743" s="932" t="str">
        <f>VLOOKUP($C1743,Table1[#All],3,0)</f>
        <v>Subsidiaries</v>
      </c>
      <c r="I1743" s="932" t="str" cm="1">
        <f t="array" ref="I1743">_xlfn.XLOOKUP(Acc_Char!$E1743,Table4[[#All],[Branch]],Table4[[#All],[Bank]],"recheck",0)</f>
        <v>BIDV - THANH XUAN</v>
      </c>
    </row>
    <row r="1744" spans="1:9">
      <c r="A1744" s="998">
        <f t="shared" si="27"/>
        <v>1740</v>
      </c>
      <c r="B1744" s="1212" t="s">
        <v>1506</v>
      </c>
      <c r="C1744" s="1003" t="s">
        <v>459</v>
      </c>
      <c r="D1744" s="932" t="str">
        <f>VLOOKUP($C1744,Table1[#All],2,0)</f>
        <v>YEN PHONG PROJECT CO</v>
      </c>
      <c r="E1744" s="999" t="s">
        <v>92</v>
      </c>
      <c r="F1744" s="1093" t="s">
        <v>80</v>
      </c>
      <c r="G1744" s="999" t="s">
        <v>310</v>
      </c>
      <c r="H1744" s="932" t="str">
        <f>VLOOKUP($C1744,Table1[#All],3,0)</f>
        <v>Subsidiaries</v>
      </c>
      <c r="I1744" s="932" t="str" cm="1">
        <f t="array" ref="I1744">_xlfn.XLOOKUP(Acc_Char!$E1744,Table4[[#All],[Branch]],Table4[[#All],[Bank]],"recheck",0)</f>
        <v>BIDV - THANH XUAN</v>
      </c>
    </row>
    <row r="1745" spans="1:10">
      <c r="A1745" s="998">
        <f t="shared" si="27"/>
        <v>1741</v>
      </c>
      <c r="B1745" s="1212" t="s">
        <v>1507</v>
      </c>
      <c r="C1745" s="1003" t="s">
        <v>3026</v>
      </c>
      <c r="D1745" s="932" t="str">
        <f>VLOOKUP($C1745,Table1[#All],2,0)</f>
        <v>BW SAI GON</v>
      </c>
      <c r="E1745" s="999" t="s">
        <v>98</v>
      </c>
      <c r="F1745" s="1093" t="s">
        <v>80</v>
      </c>
      <c r="G1745" s="999" t="s">
        <v>310</v>
      </c>
      <c r="H1745" s="932" t="str">
        <f>VLOOKUP($C1745,Table1[#All],3,0)</f>
        <v>Subsidiaries</v>
      </c>
      <c r="I1745" s="932" t="str" cm="1">
        <f t="array" ref="I1745">_xlfn.XLOOKUP(Acc_Char!$E1745,Table4[[#All],[Branch]],Table4[[#All],[Bank]],"recheck",0)</f>
        <v>SINOPAC</v>
      </c>
    </row>
    <row r="1746" spans="1:10">
      <c r="A1746" s="998">
        <f t="shared" si="27"/>
        <v>1742</v>
      </c>
      <c r="B1746" s="1212" t="s">
        <v>1508</v>
      </c>
      <c r="C1746" s="1003" t="s">
        <v>67</v>
      </c>
      <c r="D1746" s="932" t="str">
        <f>VLOOKUP($C1746,Table1[#All],2,0)</f>
        <v>SAO HOA</v>
      </c>
      <c r="E1746" s="999" t="s">
        <v>98</v>
      </c>
      <c r="F1746" s="1093" t="s">
        <v>80</v>
      </c>
      <c r="G1746" s="999" t="s">
        <v>310</v>
      </c>
      <c r="H1746" s="932" t="str">
        <f>VLOOKUP($C1746,Table1[#All],3,0)</f>
        <v>VC3</v>
      </c>
      <c r="I1746" s="932" t="str" cm="1">
        <f t="array" ref="I1746">_xlfn.XLOOKUP(Acc_Char!$E1746,Table4[[#All],[Branch]],Table4[[#All],[Bank]],"recheck",0)</f>
        <v>SINOPAC</v>
      </c>
    </row>
    <row r="1747" spans="1:10">
      <c r="A1747" s="998">
        <f t="shared" si="27"/>
        <v>1743</v>
      </c>
      <c r="B1747" s="1212" t="s">
        <v>1510</v>
      </c>
      <c r="C1747" s="1003" t="s">
        <v>3250</v>
      </c>
      <c r="D1747" s="932" t="str">
        <f>VLOOKUP($C1747,Table1[#All],2,0)</f>
        <v>BW MY PHUOC 3</v>
      </c>
      <c r="E1747" s="999" t="s">
        <v>293</v>
      </c>
      <c r="F1747" s="1093" t="s">
        <v>80</v>
      </c>
      <c r="G1747" s="999" t="s">
        <v>310</v>
      </c>
      <c r="H1747" s="932" t="str">
        <f>VLOOKUP($C1747,Table1[#All],3,0)</f>
        <v>Subsidiaries</v>
      </c>
      <c r="I1747" s="932" t="str" cm="1">
        <f t="array" ref="I1747">_xlfn.XLOOKUP(Acc_Char!$E1747,Table4[[#All],[Branch]],Table4[[#All],[Bank]],"recheck",0)</f>
        <v>OTHERS</v>
      </c>
    </row>
    <row r="1748" spans="1:10">
      <c r="A1748" s="998">
        <f t="shared" si="27"/>
        <v>1744</v>
      </c>
      <c r="B1748" s="1212" t="s">
        <v>1511</v>
      </c>
      <c r="C1748" s="1003" t="s">
        <v>3250</v>
      </c>
      <c r="D1748" s="932" t="str">
        <f>VLOOKUP($C1748,Table1[#All],2,0)</f>
        <v>BW MY PHUOC 3</v>
      </c>
      <c r="E1748" s="999" t="s">
        <v>293</v>
      </c>
      <c r="F1748" s="1093" t="s">
        <v>80</v>
      </c>
      <c r="G1748" s="999" t="s">
        <v>310</v>
      </c>
      <c r="H1748" s="932" t="str">
        <f>VLOOKUP($C1748,Table1[#All],3,0)</f>
        <v>Subsidiaries</v>
      </c>
      <c r="I1748" s="932" t="str" cm="1">
        <f t="array" ref="I1748">_xlfn.XLOOKUP(Acc_Char!$E1748,Table4[[#All],[Branch]],Table4[[#All],[Bank]],"recheck",0)</f>
        <v>OTHERS</v>
      </c>
    </row>
    <row r="1749" spans="1:10">
      <c r="A1749" s="998">
        <f t="shared" si="27"/>
        <v>1745</v>
      </c>
      <c r="B1749" s="1213" t="s">
        <v>1514</v>
      </c>
      <c r="C1749" s="1273" t="s">
        <v>3505</v>
      </c>
      <c r="D1749" s="932" t="str">
        <f>VLOOKUP($C1749,Table1[#All],2,0)</f>
        <v>BIEN HOA</v>
      </c>
      <c r="E1749" s="1274" t="s">
        <v>971</v>
      </c>
      <c r="F1749" s="1093" t="s">
        <v>80</v>
      </c>
      <c r="G1749" s="999" t="s">
        <v>310</v>
      </c>
      <c r="H1749" s="932" t="str">
        <f>VLOOKUP($C1749,Table1[#All],3,0)</f>
        <v>Subsidiaries</v>
      </c>
      <c r="I1749" s="932" t="str" cm="1">
        <f t="array" ref="I1749">_xlfn.XLOOKUP(Acc_Char!$E1749,Table4[[#All],[Branch]],Table4[[#All],[Bank]],"recheck",0)</f>
        <v>OTHERS</v>
      </c>
    </row>
    <row r="1750" spans="1:10">
      <c r="A1750" s="998">
        <f t="shared" si="27"/>
        <v>1746</v>
      </c>
      <c r="B1750" s="1212" t="s">
        <v>1524</v>
      </c>
      <c r="C1750" s="1003" t="s">
        <v>67</v>
      </c>
      <c r="D1750" s="999" t="str">
        <f>VLOOKUP($C1750,Table1[#All],2,0)</f>
        <v>SAO HOA</v>
      </c>
      <c r="E1750" s="999" t="s">
        <v>85</v>
      </c>
      <c r="F1750" s="1093" t="s">
        <v>80</v>
      </c>
      <c r="G1750" s="999" t="s">
        <v>310</v>
      </c>
      <c r="H1750" s="999" t="str">
        <f>VLOOKUP($C1750,Table1[#All],3,0)</f>
        <v>VC3</v>
      </c>
      <c r="I1750" s="932" t="str" cm="1">
        <f t="array" ref="I1750">_xlfn.XLOOKUP(Acc_Char!$E1750,Table4[[#All],[Branch]],Table4[[#All],[Bank]],"recheck",0)</f>
        <v>VIETINBANK - TIEN SON</v>
      </c>
    </row>
    <row r="1751" spans="1:10">
      <c r="A1751" s="998">
        <f t="shared" si="27"/>
        <v>1747</v>
      </c>
      <c r="B1751" s="1212" t="s">
        <v>1522</v>
      </c>
      <c r="C1751" s="1003" t="s">
        <v>67</v>
      </c>
      <c r="D1751" s="999" t="str">
        <f>VLOOKUP($C1751,Table1[#All],2,0)</f>
        <v>SAO HOA</v>
      </c>
      <c r="E1751" s="999" t="s">
        <v>91</v>
      </c>
      <c r="F1751" s="1093" t="s">
        <v>80</v>
      </c>
      <c r="G1751" s="999" t="s">
        <v>310</v>
      </c>
      <c r="H1751" s="999" t="str">
        <f>VLOOKUP($C1751,Table1[#All],3,0)</f>
        <v>VC3</v>
      </c>
      <c r="I1751" s="932" t="str" cm="1">
        <f t="array" ref="I1751">_xlfn.XLOOKUP(Acc_Char!$E1751,Table4[[#All],[Branch]],Table4[[#All],[Bank]],"recheck",0)</f>
        <v>VIETCOMBANK - HCM</v>
      </c>
    </row>
    <row r="1752" spans="1:10">
      <c r="A1752" s="998">
        <f t="shared" si="27"/>
        <v>1748</v>
      </c>
      <c r="B1752" s="1212" t="s">
        <v>1523</v>
      </c>
      <c r="C1752" s="1003" t="s">
        <v>389</v>
      </c>
      <c r="D1752" s="999" t="str">
        <f>VLOOKUP($C1752,Table1[#All],2,0)</f>
        <v>BWID BINH DUONG</v>
      </c>
      <c r="E1752" s="999" t="s">
        <v>98</v>
      </c>
      <c r="F1752" s="1093" t="s">
        <v>80</v>
      </c>
      <c r="G1752" s="999" t="s">
        <v>310</v>
      </c>
      <c r="H1752" s="999" t="str">
        <f>VLOOKUP($C1752,Table1[#All],3,0)</f>
        <v>BWID JSC</v>
      </c>
      <c r="I1752" s="932" t="str" cm="1">
        <f t="array" ref="I1752">_xlfn.XLOOKUP(Acc_Char!$E1752,Table4[[#All],[Branch]],Table4[[#All],[Bank]],"recheck",0)</f>
        <v>SINOPAC</v>
      </c>
    </row>
    <row r="1753" spans="1:10">
      <c r="A1753" s="998">
        <f t="shared" si="27"/>
        <v>1749</v>
      </c>
      <c r="B1753" s="1212" t="s">
        <v>5381</v>
      </c>
      <c r="C1753" s="1003" t="s">
        <v>3175</v>
      </c>
      <c r="D1753" s="999" t="str">
        <f>VLOOKUP($C1753,Table1[#All],2,0)</f>
        <v>BW HAI AN</v>
      </c>
      <c r="E1753" s="999" t="s">
        <v>339</v>
      </c>
      <c r="F1753" s="1093" t="s">
        <v>80</v>
      </c>
      <c r="G1753" s="999" t="s">
        <v>308</v>
      </c>
      <c r="H1753" s="999" t="str">
        <f>VLOOKUP($C1753,Table1[#All],3,0)</f>
        <v>Subsidiaries</v>
      </c>
      <c r="I1753" s="932" t="str" cm="1">
        <f t="array" ref="I1753">_xlfn.XLOOKUP(Acc_Char!$E1753,Table4[[#All],[Branch]],Table4[[#All],[Bank]],"recheck",0)</f>
        <v>ACB - HCM</v>
      </c>
    </row>
    <row r="1754" spans="1:10">
      <c r="A1754" s="998">
        <f>A1752+1</f>
        <v>1749</v>
      </c>
      <c r="B1754" s="1212" t="s">
        <v>1513</v>
      </c>
      <c r="C1754" s="1003" t="s">
        <v>3072</v>
      </c>
      <c r="D1754" s="999" t="str">
        <f>VLOOKUP($C1754,Table1[#All],2,0)</f>
        <v>BWID TAN DONG HIEP</v>
      </c>
      <c r="E1754" s="999" t="s">
        <v>98</v>
      </c>
      <c r="F1754" s="1093" t="s">
        <v>80</v>
      </c>
      <c r="G1754" s="999" t="s">
        <v>310</v>
      </c>
      <c r="H1754" s="999" t="str">
        <f>VLOOKUP($C1754,Table1[#All],3,0)</f>
        <v>Subsidiaries</v>
      </c>
      <c r="I1754" s="932" t="str" cm="1">
        <f t="array" ref="I1754">_xlfn.XLOOKUP(Acc_Char!$E1754,Table4[[#All],[Branch]],Table4[[#All],[Bank]],"recheck",0)</f>
        <v>SINOPAC</v>
      </c>
      <c r="J1754" s="1409" t="s">
        <v>1521</v>
      </c>
    </row>
    <row r="1755" spans="1:10">
      <c r="A1755" s="998"/>
      <c r="B1755" s="1212"/>
      <c r="C1755" s="1003"/>
      <c r="D1755" s="999" t="e">
        <f>VLOOKUP($C1755,Table1[#All],2,0)</f>
        <v>#N/A</v>
      </c>
      <c r="E1755" s="999"/>
      <c r="F1755" s="1093" t="s">
        <v>80</v>
      </c>
      <c r="G1755" s="999"/>
      <c r="H1755" s="999" t="e">
        <f>VLOOKUP($C1755,Table1[#All],3,0)</f>
        <v>#N/A</v>
      </c>
      <c r="I1755" s="932" t="str" cm="1">
        <f t="array" ref="I1755">_xlfn.XLOOKUP(Acc_Char!$E1755,Table4[[#All],[Branch]],Table4[[#All],[Bank]],"recheck",0)</f>
        <v>recheck</v>
      </c>
    </row>
    <row r="1756" spans="1:10">
      <c r="A1756" s="998"/>
      <c r="B1756" s="1212"/>
      <c r="C1756" s="1003"/>
      <c r="D1756" s="999" t="e">
        <f>VLOOKUP($C1756,Table1[#All],2,0)</f>
        <v>#N/A</v>
      </c>
      <c r="E1756" s="999"/>
      <c r="F1756" s="1093" t="s">
        <v>80</v>
      </c>
      <c r="G1756" s="999"/>
      <c r="H1756" s="999" t="e">
        <f>VLOOKUP($C1756,Table1[#All],3,0)</f>
        <v>#N/A</v>
      </c>
      <c r="I1756" s="932" t="str" cm="1">
        <f t="array" ref="I1756">_xlfn.XLOOKUP(Acc_Char!$E1756,Table4[[#All],[Branch]],Table4[[#All],[Bank]],"recheck",0)</f>
        <v>recheck</v>
      </c>
    </row>
    <row r="1757" spans="1:10" s="1241" customFormat="1">
      <c r="A1757" s="998"/>
      <c r="B1757" s="1213"/>
      <c r="C1757" s="1273"/>
      <c r="D1757" s="932" t="e">
        <f>VLOOKUP($C1757,Table1[#All],2,0)</f>
        <v>#N/A</v>
      </c>
      <c r="E1757" s="1274"/>
      <c r="F1757" s="1093" t="s">
        <v>80</v>
      </c>
      <c r="G1757" s="999"/>
      <c r="H1757" s="932" t="e">
        <f>VLOOKUP($C1757,Table1[#All],3,0)</f>
        <v>#N/A</v>
      </c>
      <c r="I1757" s="932" t="str" cm="1">
        <f t="array" ref="I1757">_xlfn.XLOOKUP(Acc_Char!$E1757,Table4[[#All],[Branch]],Table4[[#All],[Bank]],"recheck",0)</f>
        <v>recheck</v>
      </c>
    </row>
    <row r="1758" spans="1:10">
      <c r="B1758" s="1240" t="s">
        <v>466</v>
      </c>
      <c r="C1758" s="1240" t="s">
        <v>466</v>
      </c>
      <c r="D1758" s="1240" t="s">
        <v>466</v>
      </c>
      <c r="E1758" s="1240" t="s">
        <v>466</v>
      </c>
      <c r="F1758" s="1240" t="s">
        <v>466</v>
      </c>
      <c r="G1758" s="1240" t="s">
        <v>466</v>
      </c>
      <c r="H1758" s="1240" t="s">
        <v>466</v>
      </c>
      <c r="I1758" s="1240" t="s">
        <v>466</v>
      </c>
    </row>
    <row r="1759" spans="1:10">
      <c r="B1759" s="34"/>
      <c r="C1759" s="34"/>
      <c r="D1759" s="34"/>
      <c r="E1759" s="34"/>
      <c r="F1759" s="34"/>
      <c r="G1759" s="34"/>
      <c r="I1759" s="34"/>
    </row>
    <row r="1760" spans="1:10">
      <c r="D1760" s="1101"/>
    </row>
  </sheetData>
  <conditionalFormatting sqref="B2:B1757">
    <cfRule type="duplicateValues" dxfId="6" priority="3636"/>
  </conditionalFormatting>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608D4-A159-4799-B1D4-1549B2242221}">
  <sheetPr codeName="Sheet17">
    <tabColor theme="0" tint="-0.14999847407452621"/>
  </sheetPr>
  <dimension ref="A1:AK279"/>
  <sheetViews>
    <sheetView showGridLines="0" zoomScale="70" zoomScaleNormal="70" workbookViewId="0">
      <selection activeCell="H3" sqref="H3"/>
    </sheetView>
  </sheetViews>
  <sheetFormatPr defaultColWidth="8.5546875" defaultRowHeight="14.4"/>
  <cols>
    <col min="1" max="1" width="8.5546875" customWidth="1"/>
    <col min="2" max="2" width="31.5546875" bestFit="1" customWidth="1"/>
    <col min="3" max="3" width="13.5546875" customWidth="1"/>
    <col min="4" max="6" width="8.5546875" style="24"/>
    <col min="7" max="7" width="13" style="24" customWidth="1"/>
    <col min="8" max="8" width="10.5546875" style="24" customWidth="1"/>
    <col min="9" max="11" width="8.5546875" style="24"/>
    <col min="12" max="12" width="27.5546875" style="24" bestFit="1" customWidth="1"/>
    <col min="13" max="13" width="32.44140625" style="24" bestFit="1" customWidth="1"/>
    <col min="14" max="16" width="8.5546875" style="24"/>
    <col min="17" max="17" width="32" style="24" bestFit="1" customWidth="1"/>
    <col min="18" max="18" width="35.21875" style="24" bestFit="1" customWidth="1"/>
    <col min="19" max="19" width="11.5546875" style="24" customWidth="1"/>
    <col min="20" max="22" width="8.5546875" style="24"/>
    <col min="23" max="23" width="14.5546875" style="24" customWidth="1"/>
    <col min="24" max="24" width="96.44140625" style="24" bestFit="1" customWidth="1"/>
    <col min="25" max="25" width="12.44140625" style="24" customWidth="1"/>
    <col min="26" max="26" width="9" style="24" customWidth="1"/>
    <col min="27" max="27" width="28.5546875" style="24" customWidth="1"/>
    <col min="28" max="30" width="8.5546875" style="24"/>
    <col min="31" max="31" width="12.5546875" style="24" customWidth="1"/>
    <col min="32" max="32" width="13.5546875" style="24" customWidth="1"/>
    <col min="33" max="35" width="8.5546875" style="24"/>
    <col min="36" max="36" width="15" style="24" bestFit="1" customWidth="1"/>
    <col min="37" max="37" width="8.44140625" style="24" bestFit="1" customWidth="1"/>
    <col min="38" max="16384" width="8.5546875" style="24"/>
  </cols>
  <sheetData>
    <row r="1" spans="1:37">
      <c r="A1" s="1" t="s">
        <v>3850</v>
      </c>
      <c r="D1" s="24" t="s">
        <v>3850</v>
      </c>
      <c r="G1" s="179" t="s">
        <v>3851</v>
      </c>
      <c r="L1" s="179" t="s">
        <v>3852</v>
      </c>
      <c r="Q1" s="179" t="s">
        <v>3853</v>
      </c>
      <c r="W1" s="179" t="s">
        <v>3854</v>
      </c>
      <c r="AE1" s="179" t="s">
        <v>3855</v>
      </c>
    </row>
    <row r="2" spans="1:37">
      <c r="R2" s="24" t="s">
        <v>3856</v>
      </c>
      <c r="U2"/>
    </row>
    <row r="3" spans="1:37" s="36" customFormat="1">
      <c r="A3" s="33" t="s">
        <v>3857</v>
      </c>
      <c r="B3" s="33" t="s">
        <v>3858</v>
      </c>
      <c r="C3" s="33" t="s">
        <v>3859</v>
      </c>
      <c r="D3" s="36" t="s">
        <v>3857</v>
      </c>
      <c r="G3" s="35" t="s">
        <v>69</v>
      </c>
      <c r="H3" s="35" t="s">
        <v>3857</v>
      </c>
      <c r="L3" s="35" t="s">
        <v>3860</v>
      </c>
      <c r="M3" s="35" t="s">
        <v>69</v>
      </c>
      <c r="Q3" s="35" t="s">
        <v>3853</v>
      </c>
      <c r="R3" s="35" t="s">
        <v>3861</v>
      </c>
      <c r="S3" s="35" t="s">
        <v>370</v>
      </c>
      <c r="T3" s="35"/>
      <c r="U3"/>
      <c r="W3" s="323" t="s">
        <v>3862</v>
      </c>
      <c r="X3" s="323" t="s">
        <v>3863</v>
      </c>
      <c r="Y3" s="323" t="s">
        <v>3864</v>
      </c>
      <c r="Z3" s="323" t="s">
        <v>3857</v>
      </c>
      <c r="AA3" s="323" t="s">
        <v>3858</v>
      </c>
      <c r="AE3" s="35" t="s">
        <v>3865</v>
      </c>
      <c r="AF3" s="35" t="s">
        <v>370</v>
      </c>
      <c r="AG3" s="35" t="s">
        <v>3866</v>
      </c>
      <c r="AK3" s="326"/>
    </row>
    <row r="4" spans="1:37">
      <c r="A4" t="s">
        <v>389</v>
      </c>
      <c r="B4" t="s">
        <v>469</v>
      </c>
      <c r="C4" t="s">
        <v>8</v>
      </c>
      <c r="D4" s="24" t="s">
        <v>389</v>
      </c>
      <c r="G4" s="24" t="s">
        <v>193</v>
      </c>
      <c r="H4" s="24" t="s">
        <v>112</v>
      </c>
      <c r="L4" s="24" t="s">
        <v>2886</v>
      </c>
      <c r="M4" s="24" t="s">
        <v>99</v>
      </c>
      <c r="Q4" s="297" t="s">
        <v>3867</v>
      </c>
      <c r="R4" s="298" t="s">
        <v>53</v>
      </c>
      <c r="S4" s="24" t="s">
        <v>3868</v>
      </c>
      <c r="T4"/>
      <c r="U4"/>
      <c r="W4" s="24" t="s">
        <v>3869</v>
      </c>
      <c r="X4" s="24" t="s">
        <v>3870</v>
      </c>
      <c r="Y4" s="24" t="s">
        <v>3871</v>
      </c>
      <c r="Z4" s="24" t="s">
        <v>389</v>
      </c>
      <c r="AA4" s="24" t="str">
        <f>VLOOKUP(Table6[[#This Row],[Abb.]],Table1[],2,0)</f>
        <v>BWID BINH DUONG</v>
      </c>
      <c r="AE4" s="324">
        <v>360</v>
      </c>
      <c r="AF4" s="324" t="str">
        <f>"Over "&amp;Table7[[#This Row],[Overdue]]&amp;" days"</f>
        <v>Over 360 days</v>
      </c>
      <c r="AG4" s="325">
        <v>1</v>
      </c>
      <c r="AI4" s="325"/>
    </row>
    <row r="5" spans="1:37">
      <c r="A5" t="s">
        <v>2888</v>
      </c>
      <c r="B5" t="s">
        <v>499</v>
      </c>
      <c r="C5" t="s">
        <v>10</v>
      </c>
      <c r="D5" s="24" t="s">
        <v>2888</v>
      </c>
      <c r="G5" s="24" t="s">
        <v>189</v>
      </c>
      <c r="H5" s="24" t="s">
        <v>110</v>
      </c>
      <c r="L5" s="24" t="s">
        <v>92</v>
      </c>
      <c r="M5" s="24" t="str">
        <f>Table4[[#This Row],[Branch]]</f>
        <v>BIDV - THANH XUAN</v>
      </c>
      <c r="Q5" s="299" t="s">
        <v>22</v>
      </c>
      <c r="R5" s="300" t="s">
        <v>22</v>
      </c>
      <c r="S5" s="24" t="s">
        <v>3868</v>
      </c>
      <c r="T5"/>
      <c r="U5"/>
      <c r="W5" s="24" t="s">
        <v>3872</v>
      </c>
      <c r="X5" s="24" t="s">
        <v>3873</v>
      </c>
      <c r="Y5" s="24" t="s">
        <v>3874</v>
      </c>
      <c r="Z5" s="24" t="s">
        <v>389</v>
      </c>
      <c r="AA5" s="24" t="str">
        <f>VLOOKUP(Table6[[#This Row],[Abb.]],Table1[],2,0)</f>
        <v>BWID BINH DUONG</v>
      </c>
      <c r="AE5" s="324">
        <v>270</v>
      </c>
      <c r="AF5" s="324" t="str">
        <f>AE5&amp;" - "&amp;AE4&amp;" days"</f>
        <v>270 - 360 days</v>
      </c>
      <c r="AG5" s="325">
        <v>0.7</v>
      </c>
    </row>
    <row r="6" spans="1:37">
      <c r="A6" t="s">
        <v>432</v>
      </c>
      <c r="B6" t="s">
        <v>503</v>
      </c>
      <c r="C6" t="s">
        <v>10</v>
      </c>
      <c r="D6" s="24" t="s">
        <v>432</v>
      </c>
      <c r="G6" s="24" t="s">
        <v>114</v>
      </c>
      <c r="H6" s="24" t="s">
        <v>114</v>
      </c>
      <c r="L6" s="24" t="s">
        <v>94</v>
      </c>
      <c r="M6" s="24" t="str">
        <f>Table4[[#This Row],[Branch]]</f>
        <v>BIDV - LONG BIEN</v>
      </c>
      <c r="Q6" s="297" t="s">
        <v>3875</v>
      </c>
      <c r="R6" s="298" t="s">
        <v>53</v>
      </c>
      <c r="S6" s="24" t="s">
        <v>3868</v>
      </c>
      <c r="T6"/>
      <c r="U6"/>
      <c r="W6" s="24" t="s">
        <v>3876</v>
      </c>
      <c r="X6" s="24" t="s">
        <v>3877</v>
      </c>
      <c r="Y6" s="24" t="s">
        <v>3871</v>
      </c>
      <c r="Z6" s="24" t="s">
        <v>389</v>
      </c>
      <c r="AA6" s="24" t="str">
        <f>VLOOKUP(Table6[[#This Row],[Abb.]],Table1[],2,0)</f>
        <v>BWID BINH DUONG</v>
      </c>
      <c r="AE6" s="324">
        <v>180</v>
      </c>
      <c r="AF6" s="324" t="str">
        <f t="shared" ref="AF6:AF11" si="0">AE6&amp;" - "&amp;AE5&amp;" days"</f>
        <v>180 - 270 days</v>
      </c>
      <c r="AG6" s="325">
        <v>0.5</v>
      </c>
    </row>
    <row r="7" spans="1:37">
      <c r="A7" t="s">
        <v>2895</v>
      </c>
      <c r="B7" t="s">
        <v>506</v>
      </c>
      <c r="C7" t="s">
        <v>10</v>
      </c>
      <c r="D7" s="24" t="s">
        <v>2895</v>
      </c>
      <c r="G7" s="24" t="s">
        <v>116</v>
      </c>
      <c r="H7" s="24" t="s">
        <v>116</v>
      </c>
      <c r="L7" s="24" t="s">
        <v>89</v>
      </c>
      <c r="M7" s="24" t="str">
        <f>Table4[[#This Row],[Branch]]</f>
        <v>VIETCOMBANK - BA DINH</v>
      </c>
      <c r="Q7" s="299" t="s">
        <v>408</v>
      </c>
      <c r="R7" s="300" t="s">
        <v>53</v>
      </c>
      <c r="S7" s="24" t="s">
        <v>3868</v>
      </c>
      <c r="T7"/>
      <c r="U7"/>
      <c r="W7" s="24" t="s">
        <v>3878</v>
      </c>
      <c r="X7" s="24" t="s">
        <v>3879</v>
      </c>
      <c r="Y7" s="24" t="s">
        <v>3880</v>
      </c>
      <c r="Z7" s="24" t="s">
        <v>389</v>
      </c>
      <c r="AA7" s="24" t="str">
        <f>VLOOKUP(Table6[[#This Row],[Abb.]],Table1[],2,0)</f>
        <v>BWID BINH DUONG</v>
      </c>
      <c r="AE7" s="324">
        <v>90</v>
      </c>
      <c r="AF7" s="324" t="str">
        <f t="shared" si="0"/>
        <v>90 - 180 days</v>
      </c>
      <c r="AG7" s="325">
        <v>0.3</v>
      </c>
    </row>
    <row r="8" spans="1:37">
      <c r="A8" t="s">
        <v>434</v>
      </c>
      <c r="B8" t="s">
        <v>510</v>
      </c>
      <c r="C8" t="s">
        <v>10</v>
      </c>
      <c r="D8" s="24" t="s">
        <v>434</v>
      </c>
      <c r="G8" s="24" t="s">
        <v>118</v>
      </c>
      <c r="H8" s="24" t="s">
        <v>118</v>
      </c>
      <c r="L8" s="24" t="s">
        <v>527</v>
      </c>
      <c r="M8" s="24" t="s">
        <v>99</v>
      </c>
      <c r="Q8" s="297" t="s">
        <v>3881</v>
      </c>
      <c r="R8" s="298" t="s">
        <v>52</v>
      </c>
      <c r="S8" s="24" t="s">
        <v>3868</v>
      </c>
      <c r="T8"/>
      <c r="U8"/>
      <c r="W8" s="24" t="s">
        <v>3882</v>
      </c>
      <c r="X8" s="24" t="s">
        <v>3883</v>
      </c>
      <c r="Y8" s="24" t="s">
        <v>3884</v>
      </c>
      <c r="Z8" s="24" t="s">
        <v>432</v>
      </c>
      <c r="AA8" s="24" t="str">
        <f>VLOOKUP(Table6[[#This Row],[Abb.]],Table1[],2,0)</f>
        <v>BWID BAC NINH</v>
      </c>
      <c r="AE8" s="324">
        <v>60</v>
      </c>
      <c r="AF8" s="324" t="str">
        <f t="shared" si="0"/>
        <v>60 - 90 days</v>
      </c>
      <c r="AG8" s="325">
        <v>0.2</v>
      </c>
    </row>
    <row r="9" spans="1:37">
      <c r="A9" t="s">
        <v>2969</v>
      </c>
      <c r="B9" t="s">
        <v>513</v>
      </c>
      <c r="C9" t="s">
        <v>10</v>
      </c>
      <c r="D9" s="24" t="s">
        <v>2969</v>
      </c>
      <c r="G9" s="24" t="s">
        <v>3885</v>
      </c>
      <c r="H9" s="24" t="s">
        <v>119</v>
      </c>
      <c r="L9" s="24" t="s">
        <v>91</v>
      </c>
      <c r="M9" s="24" t="str">
        <f>Table4[[#This Row],[Branch]]</f>
        <v>VIETCOMBANK - HCM</v>
      </c>
      <c r="Q9" s="299" t="s">
        <v>20</v>
      </c>
      <c r="R9" s="300" t="s">
        <v>52</v>
      </c>
      <c r="S9" s="24" t="s">
        <v>3868</v>
      </c>
      <c r="T9"/>
      <c r="U9"/>
      <c r="W9" s="24" t="s">
        <v>3886</v>
      </c>
      <c r="X9" s="24" t="s">
        <v>3887</v>
      </c>
      <c r="Y9" s="24" t="s">
        <v>3888</v>
      </c>
      <c r="Z9" s="24" t="s">
        <v>389</v>
      </c>
      <c r="AA9" s="24" t="str">
        <f>VLOOKUP(Table6[[#This Row],[Abb.]],Table1[],2,0)</f>
        <v>BWID BINH DUONG</v>
      </c>
      <c r="AE9" s="324">
        <v>30</v>
      </c>
      <c r="AF9" s="324" t="str">
        <f t="shared" si="0"/>
        <v>30 - 60 days</v>
      </c>
      <c r="AG9" s="325">
        <v>0.1</v>
      </c>
    </row>
    <row r="10" spans="1:37">
      <c r="A10" t="s">
        <v>2974</v>
      </c>
      <c r="B10" t="s">
        <v>516</v>
      </c>
      <c r="C10" t="s">
        <v>10</v>
      </c>
      <c r="D10" s="24" t="s">
        <v>2974</v>
      </c>
      <c r="G10" s="24" t="s">
        <v>200</v>
      </c>
      <c r="H10" s="24" t="s">
        <v>200</v>
      </c>
      <c r="L10" s="24" t="s">
        <v>85</v>
      </c>
      <c r="M10" s="24" t="str">
        <f>Table4[[#This Row],[Branch]]</f>
        <v>VIETINBANK - TIEN SON</v>
      </c>
      <c r="Q10" s="297" t="s">
        <v>21</v>
      </c>
      <c r="R10" s="298" t="s">
        <v>21</v>
      </c>
      <c r="S10" s="24" t="s">
        <v>3868</v>
      </c>
      <c r="T10"/>
      <c r="U10"/>
      <c r="W10" s="24" t="s">
        <v>3889</v>
      </c>
      <c r="X10" s="24" t="s">
        <v>3890</v>
      </c>
      <c r="Y10" s="24" t="s">
        <v>3880</v>
      </c>
      <c r="Z10" s="24" t="s">
        <v>389</v>
      </c>
      <c r="AA10" s="24" t="str">
        <f>VLOOKUP(Table6[[#This Row],[Abb.]],Table1[],2,0)</f>
        <v>BWID BINH DUONG</v>
      </c>
      <c r="AE10" s="324">
        <v>10</v>
      </c>
      <c r="AF10" s="324" t="str">
        <f t="shared" si="0"/>
        <v>10 - 30 days</v>
      </c>
      <c r="AG10" s="325">
        <v>0</v>
      </c>
    </row>
    <row r="11" spans="1:37">
      <c r="A11" t="s">
        <v>2980</v>
      </c>
      <c r="B11" t="s">
        <v>518</v>
      </c>
      <c r="C11" t="s">
        <v>10</v>
      </c>
      <c r="D11" s="24" t="s">
        <v>2980</v>
      </c>
      <c r="G11" s="24" t="s">
        <v>259</v>
      </c>
      <c r="H11" s="24" t="s">
        <v>259</v>
      </c>
      <c r="L11" s="24" t="s">
        <v>153</v>
      </c>
      <c r="M11" s="24" t="s">
        <v>87</v>
      </c>
      <c r="Q11" s="299" t="s">
        <v>3891</v>
      </c>
      <c r="R11" s="300" t="s">
        <v>22</v>
      </c>
      <c r="S11" s="24" t="s">
        <v>3868</v>
      </c>
      <c r="T11"/>
      <c r="U11"/>
      <c r="W11" s="24" t="s">
        <v>3892</v>
      </c>
      <c r="X11" s="24" t="s">
        <v>3893</v>
      </c>
      <c r="Y11" s="24" t="s">
        <v>3894</v>
      </c>
      <c r="Z11" s="24" t="s">
        <v>2888</v>
      </c>
      <c r="AA11" s="24" t="str">
        <f>VLOOKUP(Table6[[#This Row],[Abb.]],Table1[],2,0)</f>
        <v>BWID HAI DUONG</v>
      </c>
      <c r="AE11" s="324">
        <v>0</v>
      </c>
      <c r="AF11" s="324" t="str">
        <f t="shared" si="0"/>
        <v>0 - 10 days</v>
      </c>
      <c r="AG11" s="325">
        <v>0</v>
      </c>
    </row>
    <row r="12" spans="1:37">
      <c r="A12" t="s">
        <v>2996</v>
      </c>
      <c r="B12" t="s">
        <v>520</v>
      </c>
      <c r="C12" t="s">
        <v>10</v>
      </c>
      <c r="D12" s="24" t="s">
        <v>2996</v>
      </c>
      <c r="G12" s="24" t="s">
        <v>98</v>
      </c>
      <c r="H12" s="24" t="s">
        <v>198</v>
      </c>
      <c r="L12" s="24" t="s">
        <v>155</v>
      </c>
      <c r="M12" s="24" t="s">
        <v>87</v>
      </c>
      <c r="Q12" s="297" t="s">
        <v>411</v>
      </c>
      <c r="R12" s="298" t="s">
        <v>53</v>
      </c>
      <c r="S12" s="24" t="s">
        <v>3868</v>
      </c>
      <c r="T12"/>
      <c r="U12"/>
      <c r="W12" s="24" t="s">
        <v>3895</v>
      </c>
      <c r="X12" s="24" t="s">
        <v>3896</v>
      </c>
      <c r="Y12" s="24" t="s">
        <v>3897</v>
      </c>
      <c r="Z12" s="24" t="s">
        <v>389</v>
      </c>
      <c r="AA12" s="24" t="str">
        <f>VLOOKUP(Table6[[#This Row],[Abb.]],Table1[],2,0)</f>
        <v>BWID BINH DUONG</v>
      </c>
    </row>
    <row r="13" spans="1:37">
      <c r="A13" t="s">
        <v>2998</v>
      </c>
      <c r="B13" t="s">
        <v>522</v>
      </c>
      <c r="C13" t="s">
        <v>10</v>
      </c>
      <c r="D13" s="24" t="s">
        <v>2998</v>
      </c>
      <c r="G13" s="24" t="s">
        <v>338</v>
      </c>
      <c r="H13" s="24" t="s">
        <v>199</v>
      </c>
      <c r="L13" s="24" t="s">
        <v>88</v>
      </c>
      <c r="M13" s="24" t="str">
        <f>Table4[[#This Row],[Branch]]</f>
        <v>VIETINBANK - DONG SAI GON</v>
      </c>
      <c r="Q13" s="299" t="s">
        <v>3898</v>
      </c>
      <c r="R13" s="300" t="s">
        <v>53</v>
      </c>
      <c r="S13" s="24" t="s">
        <v>3868</v>
      </c>
      <c r="T13"/>
      <c r="U13"/>
      <c r="W13" s="24" t="s">
        <v>3899</v>
      </c>
      <c r="X13" s="24" t="s">
        <v>3900</v>
      </c>
      <c r="Y13" s="24" t="s">
        <v>3884</v>
      </c>
      <c r="Z13" s="24" t="s">
        <v>432</v>
      </c>
      <c r="AA13" s="24" t="str">
        <f>VLOOKUP(Table6[[#This Row],[Abb.]],Table1[],2,0)</f>
        <v>BWID BAC NINH</v>
      </c>
    </row>
    <row r="14" spans="1:37">
      <c r="A14" t="s">
        <v>3009</v>
      </c>
      <c r="B14" t="s">
        <v>524</v>
      </c>
      <c r="C14" t="s">
        <v>10</v>
      </c>
      <c r="D14" s="24" t="s">
        <v>3009</v>
      </c>
      <c r="G14" s="24" t="s">
        <v>202</v>
      </c>
      <c r="H14" s="24" t="s">
        <v>202</v>
      </c>
      <c r="L14" s="24" t="s">
        <v>86</v>
      </c>
      <c r="M14" s="24" t="str">
        <f>Table4[[#This Row],[Branch]]</f>
        <v>VIETINBANK - CN1</v>
      </c>
      <c r="Q14" s="297" t="s">
        <v>401</v>
      </c>
      <c r="R14" s="298" t="s">
        <v>53</v>
      </c>
      <c r="S14" s="24" t="s">
        <v>3868</v>
      </c>
      <c r="T14"/>
      <c r="U14"/>
      <c r="W14" s="24" t="s">
        <v>3901</v>
      </c>
      <c r="X14" s="24" t="s">
        <v>3902</v>
      </c>
      <c r="Y14" s="24" t="s">
        <v>3884</v>
      </c>
      <c r="Z14" s="24" t="s">
        <v>432</v>
      </c>
      <c r="AA14" s="24" t="str">
        <f>VLOOKUP(Table6[[#This Row],[Abb.]],Table1[],2,0)</f>
        <v>BWID BAC NINH</v>
      </c>
    </row>
    <row r="15" spans="1:37">
      <c r="A15" t="s">
        <v>3010</v>
      </c>
      <c r="B15" t="s">
        <v>526</v>
      </c>
      <c r="C15" t="s">
        <v>10</v>
      </c>
      <c r="D15" s="24" t="s">
        <v>3010</v>
      </c>
      <c r="G15" s="24" t="s">
        <v>201</v>
      </c>
      <c r="H15" s="24" t="s">
        <v>258</v>
      </c>
      <c r="L15" s="24" t="s">
        <v>487</v>
      </c>
      <c r="M15" s="24" t="s">
        <v>99</v>
      </c>
      <c r="Q15" s="299" t="s">
        <v>3903</v>
      </c>
      <c r="R15" s="300" t="s">
        <v>64</v>
      </c>
      <c r="S15" s="24" t="s">
        <v>3868</v>
      </c>
      <c r="T15"/>
      <c r="U15"/>
      <c r="W15" s="24" t="s">
        <v>3904</v>
      </c>
      <c r="X15" s="24" t="s">
        <v>3905</v>
      </c>
      <c r="Y15" s="24" t="s">
        <v>3894</v>
      </c>
      <c r="Z15" s="24" t="s">
        <v>2888</v>
      </c>
      <c r="AA15" s="24" t="str">
        <f>VLOOKUP(Table6[[#This Row],[Abb.]],Table1[],2,0)</f>
        <v>BWID HAI DUONG</v>
      </c>
    </row>
    <row r="16" spans="1:37">
      <c r="A16" t="s">
        <v>3026</v>
      </c>
      <c r="B16" t="s">
        <v>532</v>
      </c>
      <c r="C16" t="s">
        <v>10</v>
      </c>
      <c r="D16" s="24" t="s">
        <v>3026</v>
      </c>
      <c r="G16" s="24" t="s">
        <v>203</v>
      </c>
      <c r="H16" s="24" t="s">
        <v>203</v>
      </c>
      <c r="L16" s="24" t="s">
        <v>97</v>
      </c>
      <c r="M16" s="24" t="str">
        <f>Table4[[#This Row],[Branch]]</f>
        <v>MB - BAC SAI GON</v>
      </c>
      <c r="Q16" s="297" t="s">
        <v>3906</v>
      </c>
      <c r="R16" s="298" t="s">
        <v>53</v>
      </c>
      <c r="S16" s="24" t="s">
        <v>3868</v>
      </c>
      <c r="T16"/>
      <c r="U16"/>
      <c r="W16" s="24" t="s">
        <v>3907</v>
      </c>
      <c r="X16" s="24" t="s">
        <v>3908</v>
      </c>
      <c r="Y16" s="24" t="s">
        <v>3894</v>
      </c>
      <c r="Z16" s="24" t="s">
        <v>2888</v>
      </c>
      <c r="AA16" s="24" t="str">
        <f>VLOOKUP(Table6[[#This Row],[Abb.]],Table1[],2,0)</f>
        <v>BWID HAI DUONG</v>
      </c>
    </row>
    <row r="17" spans="1:27">
      <c r="A17" t="s">
        <v>3042</v>
      </c>
      <c r="B17" t="s">
        <v>537</v>
      </c>
      <c r="C17" t="s">
        <v>10</v>
      </c>
      <c r="D17" s="24" t="s">
        <v>3042</v>
      </c>
      <c r="G17" s="24" t="s">
        <v>3603</v>
      </c>
      <c r="H17" s="24" t="s">
        <v>3603</v>
      </c>
      <c r="L17" s="24" t="s">
        <v>201</v>
      </c>
      <c r="M17" s="24" t="s">
        <v>201</v>
      </c>
      <c r="Q17" s="299" t="s">
        <v>3909</v>
      </c>
      <c r="R17" s="300" t="s">
        <v>53</v>
      </c>
      <c r="S17" s="24" t="s">
        <v>3868</v>
      </c>
      <c r="T17"/>
      <c r="U17"/>
      <c r="W17" s="24" t="s">
        <v>3910</v>
      </c>
      <c r="X17" s="24" t="s">
        <v>3911</v>
      </c>
      <c r="Y17" s="24" t="s">
        <v>3894</v>
      </c>
      <c r="Z17" s="24" t="s">
        <v>2888</v>
      </c>
      <c r="AA17" s="24" t="str">
        <f>VLOOKUP(Table6[[#This Row],[Abb.]],Table1[],2,0)</f>
        <v>BWID HAI DUONG</v>
      </c>
    </row>
    <row r="18" spans="1:27">
      <c r="A18" t="s">
        <v>3047</v>
      </c>
      <c r="B18" t="s">
        <v>808</v>
      </c>
      <c r="C18" t="s">
        <v>10</v>
      </c>
      <c r="D18" s="24" t="s">
        <v>3047</v>
      </c>
      <c r="G18" s="24" t="s">
        <v>292</v>
      </c>
      <c r="H18" s="24" t="s">
        <v>292</v>
      </c>
      <c r="L18" s="24" t="s">
        <v>96</v>
      </c>
      <c r="M18" s="24" t="str">
        <f>Table4[[#This Row],[Branch]]</f>
        <v>VIB - HOI SO</v>
      </c>
      <c r="Q18" s="297" t="s">
        <v>3912</v>
      </c>
      <c r="R18" s="298" t="s">
        <v>3913</v>
      </c>
      <c r="S18" s="24" t="s">
        <v>3868</v>
      </c>
      <c r="T18"/>
      <c r="U18"/>
      <c r="W18" s="24" t="s">
        <v>3914</v>
      </c>
      <c r="X18" s="24" t="s">
        <v>3915</v>
      </c>
      <c r="Y18" s="24" t="s">
        <v>3916</v>
      </c>
      <c r="Z18" s="24" t="s">
        <v>3026</v>
      </c>
      <c r="AA18" s="24" t="str">
        <f>VLOOKUP(Table6[[#This Row],[Abb.]],Table1[],2,0)</f>
        <v>BW SAI GON</v>
      </c>
    </row>
    <row r="19" spans="1:27">
      <c r="A19" t="s">
        <v>3052</v>
      </c>
      <c r="B19" t="s">
        <v>541</v>
      </c>
      <c r="C19" t="s">
        <v>10</v>
      </c>
      <c r="D19" s="24" t="s">
        <v>3052</v>
      </c>
      <c r="G19" s="24" t="s">
        <v>3917</v>
      </c>
      <c r="H19" s="24" t="s">
        <v>3917</v>
      </c>
      <c r="L19" s="24" t="s">
        <v>338</v>
      </c>
      <c r="M19" s="24" t="s">
        <v>338</v>
      </c>
      <c r="Q19" s="299" t="s">
        <v>17</v>
      </c>
      <c r="R19" s="300" t="s">
        <v>64</v>
      </c>
      <c r="S19" s="24" t="s">
        <v>3868</v>
      </c>
      <c r="T19"/>
      <c r="U19"/>
      <c r="W19" s="24" t="s">
        <v>3918</v>
      </c>
      <c r="X19" s="24" t="s">
        <v>3919</v>
      </c>
      <c r="Y19" s="24" t="s">
        <v>3920</v>
      </c>
      <c r="Z19" s="24" t="s">
        <v>389</v>
      </c>
      <c r="AA19" s="24" t="str">
        <f>VLOOKUP(Table6[[#This Row],[Abb.]],Table1[],2,0)</f>
        <v>BWID BINH DUONG</v>
      </c>
    </row>
    <row r="20" spans="1:27">
      <c r="A20" t="s">
        <v>3053</v>
      </c>
      <c r="B20" t="s">
        <v>544</v>
      </c>
      <c r="C20" t="s">
        <v>10</v>
      </c>
      <c r="D20" s="24" t="s">
        <v>3053</v>
      </c>
      <c r="G20" s="24" t="s">
        <v>3921</v>
      </c>
      <c r="H20" s="24" t="s">
        <v>3921</v>
      </c>
      <c r="L20" s="24" t="s">
        <v>95</v>
      </c>
      <c r="M20" s="24" t="str">
        <f>Table4[[#This Row],[Branch]]</f>
        <v>OCB - BINH DUONG</v>
      </c>
      <c r="Q20" s="297" t="s">
        <v>405</v>
      </c>
      <c r="R20" s="298" t="s">
        <v>54</v>
      </c>
      <c r="S20" s="24" t="s">
        <v>3868</v>
      </c>
      <c r="T20"/>
      <c r="U20"/>
      <c r="W20" s="24" t="s">
        <v>3922</v>
      </c>
      <c r="X20" s="24" t="s">
        <v>3923</v>
      </c>
      <c r="Y20" s="24" t="s">
        <v>3920</v>
      </c>
      <c r="Z20" s="24" t="s">
        <v>389</v>
      </c>
      <c r="AA20" s="24" t="str">
        <f>VLOOKUP(Table6[[#This Row],[Abb.]],Table1[],2,0)</f>
        <v>BWID BINH DUONG</v>
      </c>
    </row>
    <row r="21" spans="1:27">
      <c r="A21" t="s">
        <v>445</v>
      </c>
      <c r="B21" t="s">
        <v>546</v>
      </c>
      <c r="C21" t="s">
        <v>10</v>
      </c>
      <c r="D21" s="24" t="s">
        <v>445</v>
      </c>
      <c r="G21" s="24" t="s">
        <v>293</v>
      </c>
      <c r="H21" s="24" t="s">
        <v>293</v>
      </c>
      <c r="L21" s="24" t="s">
        <v>339</v>
      </c>
      <c r="M21" s="24" t="str">
        <f>Table4[[#This Row],[Branch]]</f>
        <v>ACB - HCM</v>
      </c>
      <c r="Q21" s="299" t="s">
        <v>55</v>
      </c>
      <c r="R21" s="300" t="s">
        <v>55</v>
      </c>
      <c r="S21" s="24" t="s">
        <v>3868</v>
      </c>
      <c r="T21"/>
      <c r="U21"/>
      <c r="W21" s="24" t="s">
        <v>3924</v>
      </c>
      <c r="X21" s="24" t="s">
        <v>3925</v>
      </c>
      <c r="Y21" s="24" t="s">
        <v>3920</v>
      </c>
      <c r="Z21" s="24" t="s">
        <v>389</v>
      </c>
      <c r="AA21" s="24" t="str">
        <f>VLOOKUP(Table6[[#This Row],[Abb.]],Table1[],2,0)</f>
        <v>BWID BINH DUONG</v>
      </c>
    </row>
    <row r="22" spans="1:27">
      <c r="A22" t="s">
        <v>2915</v>
      </c>
      <c r="B22" t="s">
        <v>548</v>
      </c>
      <c r="C22" t="s">
        <v>10</v>
      </c>
      <c r="D22" s="24" t="s">
        <v>2915</v>
      </c>
      <c r="L22" s="24" t="s">
        <v>2948</v>
      </c>
      <c r="M22" s="24" t="s">
        <v>99</v>
      </c>
      <c r="Q22" s="297" t="s">
        <v>397</v>
      </c>
      <c r="R22" s="298" t="s">
        <v>53</v>
      </c>
      <c r="S22" s="24" t="s">
        <v>3868</v>
      </c>
      <c r="T22"/>
      <c r="U22"/>
      <c r="W22" s="24" t="s">
        <v>3926</v>
      </c>
      <c r="X22" s="24" t="s">
        <v>3927</v>
      </c>
      <c r="Y22" s="24" t="s">
        <v>3920</v>
      </c>
      <c r="Z22" s="24" t="s">
        <v>389</v>
      </c>
      <c r="AA22" s="24" t="str">
        <f>VLOOKUP(Table6[[#This Row],[Abb.]],Table1[],2,0)</f>
        <v>BWID BINH DUONG</v>
      </c>
    </row>
    <row r="23" spans="1:27">
      <c r="A23" t="s">
        <v>440</v>
      </c>
      <c r="B23" t="s">
        <v>335</v>
      </c>
      <c r="C23" t="s">
        <v>10</v>
      </c>
      <c r="D23" s="24" t="s">
        <v>440</v>
      </c>
      <c r="L23" s="24" t="s">
        <v>2952</v>
      </c>
      <c r="M23" s="24" t="s">
        <v>99</v>
      </c>
      <c r="Q23" s="299" t="s">
        <v>58</v>
      </c>
      <c r="R23" s="300" t="s">
        <v>58</v>
      </c>
      <c r="S23" s="24" t="s">
        <v>3868</v>
      </c>
      <c r="T23"/>
      <c r="U23"/>
      <c r="W23" s="24" t="s">
        <v>3928</v>
      </c>
      <c r="X23" s="24" t="s">
        <v>3929</v>
      </c>
      <c r="Y23" s="24" t="s">
        <v>3920</v>
      </c>
      <c r="Z23" s="24" t="s">
        <v>389</v>
      </c>
      <c r="AA23" s="24" t="str">
        <f>VLOOKUP(Table6[[#This Row],[Abb.]],Table1[],2,0)</f>
        <v>BWID BINH DUONG</v>
      </c>
    </row>
    <row r="24" spans="1:27">
      <c r="A24" t="s">
        <v>3072</v>
      </c>
      <c r="B24" t="s">
        <v>552</v>
      </c>
      <c r="C24" t="s">
        <v>10</v>
      </c>
      <c r="D24" s="24" t="s">
        <v>3072</v>
      </c>
      <c r="L24" s="24" t="s">
        <v>190</v>
      </c>
      <c r="M24" s="24" t="s">
        <v>190</v>
      </c>
      <c r="Q24" s="297" t="s">
        <v>395</v>
      </c>
      <c r="R24" s="298" t="s">
        <v>53</v>
      </c>
      <c r="S24" s="24" t="s">
        <v>3868</v>
      </c>
      <c r="T24"/>
      <c r="U24"/>
      <c r="W24" s="24" t="s">
        <v>3930</v>
      </c>
      <c r="X24" s="24" t="s">
        <v>3931</v>
      </c>
      <c r="Y24" s="24" t="s">
        <v>3920</v>
      </c>
      <c r="Z24" s="24" t="s">
        <v>389</v>
      </c>
      <c r="AA24" s="24" t="str">
        <f>VLOOKUP(Table6[[#This Row],[Abb.]],Table1[],2,0)</f>
        <v>BWID BINH DUONG</v>
      </c>
    </row>
    <row r="25" spans="1:27">
      <c r="A25" t="s">
        <v>402</v>
      </c>
      <c r="B25" t="s">
        <v>554</v>
      </c>
      <c r="C25" t="s">
        <v>10</v>
      </c>
      <c r="D25" s="24" t="s">
        <v>402</v>
      </c>
      <c r="L25" s="24" t="s">
        <v>93</v>
      </c>
      <c r="M25" s="24" t="str">
        <f>L25</f>
        <v>BIDV - NAM SAI GON</v>
      </c>
      <c r="Q25" s="299" t="s">
        <v>57</v>
      </c>
      <c r="R25" s="300" t="s">
        <v>57</v>
      </c>
      <c r="S25" s="24" t="s">
        <v>3868</v>
      </c>
      <c r="T25"/>
      <c r="U25"/>
      <c r="W25" s="24" t="s">
        <v>3932</v>
      </c>
      <c r="X25" s="24" t="s">
        <v>3933</v>
      </c>
      <c r="Y25" s="24" t="s">
        <v>3920</v>
      </c>
      <c r="Z25" s="24" t="s">
        <v>389</v>
      </c>
      <c r="AA25" s="24" t="str">
        <f>VLOOKUP(Table6[[#This Row],[Abb.]],Table1[],2,0)</f>
        <v>BWID BINH DUONG</v>
      </c>
    </row>
    <row r="26" spans="1:27">
      <c r="A26" t="s">
        <v>3078</v>
      </c>
      <c r="B26" t="s">
        <v>557</v>
      </c>
      <c r="C26" t="s">
        <v>10</v>
      </c>
      <c r="D26" s="24" t="s">
        <v>3078</v>
      </c>
      <c r="L26" s="24" t="s">
        <v>571</v>
      </c>
      <c r="M26" s="24" t="s">
        <v>99</v>
      </c>
      <c r="Q26" s="297" t="s">
        <v>3934</v>
      </c>
      <c r="R26" s="298" t="s">
        <v>40</v>
      </c>
      <c r="S26" s="24" t="s">
        <v>3935</v>
      </c>
      <c r="T26"/>
      <c r="U26"/>
      <c r="W26" s="24" t="s">
        <v>3936</v>
      </c>
      <c r="X26" s="24" t="s">
        <v>3937</v>
      </c>
      <c r="Y26" s="24" t="s">
        <v>3871</v>
      </c>
      <c r="Z26" s="24" t="s">
        <v>389</v>
      </c>
      <c r="AA26" s="24" t="str">
        <f>VLOOKUP(Table6[[#This Row],[Abb.]],Table1[],2,0)</f>
        <v>BWID BINH DUONG</v>
      </c>
    </row>
    <row r="27" spans="1:27">
      <c r="A27" t="s">
        <v>3079</v>
      </c>
      <c r="B27" t="s">
        <v>559</v>
      </c>
      <c r="C27" t="s">
        <v>10</v>
      </c>
      <c r="D27" s="24" t="s">
        <v>3079</v>
      </c>
      <c r="L27" s="24" t="s">
        <v>197</v>
      </c>
      <c r="M27" s="24" t="s">
        <v>99</v>
      </c>
      <c r="Q27" s="299" t="s">
        <v>3938</v>
      </c>
      <c r="R27" s="300" t="s">
        <v>40</v>
      </c>
      <c r="S27" s="24" t="s">
        <v>3935</v>
      </c>
      <c r="T27"/>
      <c r="U27"/>
      <c r="W27" s="24" t="s">
        <v>3939</v>
      </c>
      <c r="X27" s="24" t="s">
        <v>3940</v>
      </c>
      <c r="Y27" s="24" t="s">
        <v>3941</v>
      </c>
      <c r="Z27" s="24" t="s">
        <v>389</v>
      </c>
      <c r="AA27" s="24" t="str">
        <f>VLOOKUP(Table6[[#This Row],[Abb.]],Table1[],2,0)</f>
        <v>BWID BINH DUONG</v>
      </c>
    </row>
    <row r="28" spans="1:27">
      <c r="A28" t="s">
        <v>3084</v>
      </c>
      <c r="B28" t="s">
        <v>561</v>
      </c>
      <c r="C28" t="s">
        <v>10</v>
      </c>
      <c r="D28" s="24" t="s">
        <v>3084</v>
      </c>
      <c r="L28" s="24" t="s">
        <v>98</v>
      </c>
      <c r="M28" s="24" t="s">
        <v>98</v>
      </c>
      <c r="Q28" s="297" t="s">
        <v>3942</v>
      </c>
      <c r="R28" s="298" t="s">
        <v>3943</v>
      </c>
      <c r="S28" s="24" t="s">
        <v>3935</v>
      </c>
      <c r="T28"/>
      <c r="U28"/>
      <c r="W28" s="24" t="s">
        <v>3944</v>
      </c>
      <c r="X28" s="24" t="s">
        <v>3945</v>
      </c>
      <c r="Y28" s="24" t="s">
        <v>3941</v>
      </c>
      <c r="Z28" s="24" t="s">
        <v>389</v>
      </c>
      <c r="AA28" s="24" t="str">
        <f>VLOOKUP(Table6[[#This Row],[Abb.]],Table1[],2,0)</f>
        <v>BWID BINH DUONG</v>
      </c>
    </row>
    <row r="29" spans="1:27">
      <c r="A29" t="s">
        <v>3085</v>
      </c>
      <c r="B29" t="s">
        <v>563</v>
      </c>
      <c r="C29" t="s">
        <v>10</v>
      </c>
      <c r="D29" s="24" t="s">
        <v>3085</v>
      </c>
      <c r="L29" s="24" t="s">
        <v>3197</v>
      </c>
      <c r="M29" s="24" t="s">
        <v>99</v>
      </c>
      <c r="Q29" s="299" t="s">
        <v>17</v>
      </c>
      <c r="R29" s="300" t="s">
        <v>64</v>
      </c>
      <c r="S29" s="24" t="s">
        <v>3935</v>
      </c>
      <c r="T29"/>
      <c r="U29"/>
      <c r="W29" s="24" t="s">
        <v>3946</v>
      </c>
      <c r="X29" s="24" t="s">
        <v>3947</v>
      </c>
      <c r="Y29" s="24" t="s">
        <v>3941</v>
      </c>
      <c r="Z29" s="24" t="s">
        <v>389</v>
      </c>
      <c r="AA29" s="24" t="str">
        <f>VLOOKUP(Table6[[#This Row],[Abb.]],Table1[],2,0)</f>
        <v>BWID BINH DUONG</v>
      </c>
    </row>
    <row r="30" spans="1:27">
      <c r="A30" t="s">
        <v>3086</v>
      </c>
      <c r="B30" t="s">
        <v>565</v>
      </c>
      <c r="C30" t="s">
        <v>10</v>
      </c>
      <c r="D30" s="24" t="s">
        <v>3086</v>
      </c>
      <c r="L30" s="24" t="s">
        <v>3208</v>
      </c>
      <c r="M30" s="24" t="s">
        <v>99</v>
      </c>
      <c r="Q30" s="297" t="s">
        <v>3912</v>
      </c>
      <c r="R30" s="298" t="s">
        <v>3913</v>
      </c>
      <c r="S30" s="24" t="s">
        <v>3935</v>
      </c>
      <c r="T30"/>
      <c r="U30"/>
      <c r="W30" s="24" t="s">
        <v>3948</v>
      </c>
      <c r="X30" s="24" t="s">
        <v>3949</v>
      </c>
      <c r="Y30" s="24" t="s">
        <v>3941</v>
      </c>
      <c r="Z30" s="24" t="s">
        <v>389</v>
      </c>
      <c r="AA30" s="24" t="str">
        <f>VLOOKUP(Table6[[#This Row],[Abb.]],Table1[],2,0)</f>
        <v>BWID BINH DUONG</v>
      </c>
    </row>
    <row r="31" spans="1:27">
      <c r="A31" t="s">
        <v>430</v>
      </c>
      <c r="B31" t="s">
        <v>567</v>
      </c>
      <c r="C31" t="s">
        <v>10</v>
      </c>
      <c r="D31" s="24" t="s">
        <v>430</v>
      </c>
      <c r="L31" s="24" t="s">
        <v>340</v>
      </c>
      <c r="M31" s="24" t="str">
        <f>Table4[[#This Row],[Branch]]</f>
        <v>ACB - SAI GON</v>
      </c>
      <c r="Q31" s="299" t="s">
        <v>140</v>
      </c>
      <c r="R31" s="300" t="s">
        <v>39</v>
      </c>
      <c r="S31" s="24" t="s">
        <v>3935</v>
      </c>
      <c r="T31"/>
      <c r="U31"/>
      <c r="W31" s="24" t="s">
        <v>3950</v>
      </c>
      <c r="X31" s="24" t="s">
        <v>3951</v>
      </c>
      <c r="Y31" s="24" t="s">
        <v>3941</v>
      </c>
      <c r="Z31" s="24" t="s">
        <v>389</v>
      </c>
      <c r="AA31" s="24" t="str">
        <f>VLOOKUP(Table6[[#This Row],[Abb.]],Table1[],2,0)</f>
        <v>BWID BINH DUONG</v>
      </c>
    </row>
    <row r="32" spans="1:27">
      <c r="A32" t="s">
        <v>403</v>
      </c>
      <c r="B32" t="s">
        <v>570</v>
      </c>
      <c r="C32" t="s">
        <v>10</v>
      </c>
      <c r="D32" s="24" t="s">
        <v>403</v>
      </c>
      <c r="L32" s="24" t="s">
        <v>726</v>
      </c>
      <c r="M32" s="24" t="s">
        <v>99</v>
      </c>
      <c r="Q32" s="297" t="s">
        <v>3952</v>
      </c>
      <c r="R32" s="298" t="s">
        <v>39</v>
      </c>
      <c r="S32" s="24" t="s">
        <v>3935</v>
      </c>
      <c r="T32"/>
      <c r="U32"/>
      <c r="W32" s="24" t="s">
        <v>3953</v>
      </c>
      <c r="X32" s="24" t="s">
        <v>3954</v>
      </c>
      <c r="Y32" s="24" t="s">
        <v>3941</v>
      </c>
      <c r="Z32" s="24" t="s">
        <v>389</v>
      </c>
      <c r="AA32" s="24" t="str">
        <f>VLOOKUP(Table6[[#This Row],[Abb.]],Table1[],2,0)</f>
        <v>BWID BINH DUONG</v>
      </c>
    </row>
    <row r="33" spans="1:27">
      <c r="A33" t="s">
        <v>3111</v>
      </c>
      <c r="B33" t="s">
        <v>576</v>
      </c>
      <c r="C33" t="s">
        <v>10</v>
      </c>
      <c r="D33" s="24" t="s">
        <v>3111</v>
      </c>
      <c r="L33" s="24" t="s">
        <v>2950</v>
      </c>
      <c r="M33" s="24" t="s">
        <v>99</v>
      </c>
      <c r="Q33" s="299" t="s">
        <v>3955</v>
      </c>
      <c r="R33" s="300" t="s">
        <v>39</v>
      </c>
      <c r="S33" s="24" t="s">
        <v>3935</v>
      </c>
      <c r="T33"/>
      <c r="U33"/>
      <c r="W33" s="24" t="s">
        <v>3956</v>
      </c>
      <c r="X33" s="24" t="s">
        <v>3957</v>
      </c>
      <c r="Y33" s="24" t="s">
        <v>3941</v>
      </c>
      <c r="Z33" s="24" t="s">
        <v>389</v>
      </c>
      <c r="AA33" s="24" t="str">
        <f>VLOOKUP(Table6[[#This Row],[Abb.]],Table1[],2,0)</f>
        <v>BWID BINH DUONG</v>
      </c>
    </row>
    <row r="34" spans="1:27">
      <c r="A34" t="s">
        <v>3112</v>
      </c>
      <c r="B34" t="s">
        <v>579</v>
      </c>
      <c r="C34" t="s">
        <v>10</v>
      </c>
      <c r="D34" s="24" t="s">
        <v>3112</v>
      </c>
      <c r="L34" s="24" t="s">
        <v>3958</v>
      </c>
      <c r="M34" s="24" t="s">
        <v>3959</v>
      </c>
      <c r="Q34" s="297" t="s">
        <v>3960</v>
      </c>
      <c r="R34" s="298" t="s">
        <v>44</v>
      </c>
      <c r="S34" s="24" t="s">
        <v>3935</v>
      </c>
      <c r="T34"/>
      <c r="U34"/>
      <c r="W34" s="24" t="s">
        <v>3961</v>
      </c>
      <c r="X34" s="24" t="s">
        <v>3962</v>
      </c>
      <c r="Y34" s="24" t="s">
        <v>3941</v>
      </c>
      <c r="Z34" s="24" t="s">
        <v>389</v>
      </c>
      <c r="AA34" s="24" t="str">
        <f>VLOOKUP(Table6[[#This Row],[Abb.]],Table1[],2,0)</f>
        <v>BWID BINH DUONG</v>
      </c>
    </row>
    <row r="35" spans="1:27">
      <c r="A35" t="s">
        <v>67</v>
      </c>
      <c r="B35" t="s">
        <v>582</v>
      </c>
      <c r="C35" t="s">
        <v>67</v>
      </c>
      <c r="D35" s="24" t="s">
        <v>67</v>
      </c>
      <c r="L35" s="24" t="s">
        <v>3963</v>
      </c>
      <c r="M35" s="24" t="s">
        <v>3964</v>
      </c>
      <c r="Q35" s="299" t="s">
        <v>3965</v>
      </c>
      <c r="R35" s="300" t="s">
        <v>39</v>
      </c>
      <c r="S35" s="24" t="s">
        <v>3935</v>
      </c>
      <c r="T35"/>
      <c r="U35"/>
      <c r="W35" s="24" t="s">
        <v>3966</v>
      </c>
      <c r="X35" s="24" t="s">
        <v>3967</v>
      </c>
      <c r="Y35" s="24" t="s">
        <v>3941</v>
      </c>
      <c r="Z35" s="24" t="s">
        <v>389</v>
      </c>
      <c r="AA35" s="24" t="str">
        <f>VLOOKUP(Table6[[#This Row],[Abb.]],Table1[],2,0)</f>
        <v>BWID BINH DUONG</v>
      </c>
    </row>
    <row r="36" spans="1:27">
      <c r="A36" t="s">
        <v>3145</v>
      </c>
      <c r="B36" t="s">
        <v>606</v>
      </c>
      <c r="C36" t="s">
        <v>10</v>
      </c>
      <c r="D36" s="24" t="s">
        <v>3145</v>
      </c>
      <c r="L36" s="24" t="s">
        <v>3431</v>
      </c>
      <c r="M36" s="24" t="s">
        <v>3431</v>
      </c>
      <c r="Q36" s="297" t="s">
        <v>3903</v>
      </c>
      <c r="R36" s="298" t="s">
        <v>64</v>
      </c>
      <c r="S36" s="24" t="s">
        <v>3935</v>
      </c>
      <c r="T36"/>
      <c r="U36"/>
      <c r="W36" s="24" t="s">
        <v>3968</v>
      </c>
      <c r="X36" s="24" t="s">
        <v>3969</v>
      </c>
      <c r="Y36" s="24" t="s">
        <v>3970</v>
      </c>
      <c r="Z36" s="24" t="s">
        <v>389</v>
      </c>
      <c r="AA36" s="24" t="str">
        <f>VLOOKUP(Table6[[#This Row],[Abb.]],Table1[],2,0)</f>
        <v>BWID BINH DUONG</v>
      </c>
    </row>
    <row r="37" spans="1:27">
      <c r="A37" t="s">
        <v>3160</v>
      </c>
      <c r="B37" t="s">
        <v>609</v>
      </c>
      <c r="C37" t="s">
        <v>10</v>
      </c>
      <c r="D37" s="24" t="s">
        <v>3160</v>
      </c>
      <c r="L37" s="24" t="s">
        <v>3433</v>
      </c>
      <c r="M37" s="24" t="s">
        <v>3433</v>
      </c>
      <c r="Q37" s="299" t="s">
        <v>3971</v>
      </c>
      <c r="R37" s="300" t="s">
        <v>47</v>
      </c>
      <c r="S37" s="24" t="s">
        <v>3935</v>
      </c>
      <c r="T37"/>
      <c r="U37"/>
      <c r="W37" s="24" t="s">
        <v>3972</v>
      </c>
      <c r="X37" s="24" t="s">
        <v>3973</v>
      </c>
      <c r="Y37" s="24" t="s">
        <v>3970</v>
      </c>
      <c r="Z37" s="24" t="s">
        <v>389</v>
      </c>
      <c r="AA37" s="24" t="str">
        <f>VLOOKUP(Table6[[#This Row],[Abb.]],Table1[],2,0)</f>
        <v>BWID BINH DUONG</v>
      </c>
    </row>
    <row r="38" spans="1:27">
      <c r="A38" t="s">
        <v>3149</v>
      </c>
      <c r="B38" t="s">
        <v>611</v>
      </c>
      <c r="C38" t="s">
        <v>10</v>
      </c>
      <c r="D38" s="24" t="s">
        <v>3149</v>
      </c>
      <c r="L38" s="24" t="s">
        <v>192</v>
      </c>
      <c r="M38" s="24" t="str">
        <f>Table4[[#This Row],[Branch]]</f>
        <v>VIETINBANK - CN6</v>
      </c>
      <c r="Q38" s="297" t="s">
        <v>3974</v>
      </c>
      <c r="R38" s="298" t="s">
        <v>47</v>
      </c>
      <c r="S38" s="24" t="s">
        <v>3935</v>
      </c>
      <c r="T38"/>
      <c r="U38"/>
      <c r="W38" s="24" t="s">
        <v>3975</v>
      </c>
      <c r="X38" s="24" t="s">
        <v>3976</v>
      </c>
      <c r="Y38" s="24" t="s">
        <v>3970</v>
      </c>
      <c r="Z38" s="24" t="s">
        <v>389</v>
      </c>
      <c r="AA38" s="24" t="str">
        <f>VLOOKUP(Table6[[#This Row],[Abb.]],Table1[],2,0)</f>
        <v>BWID BINH DUONG</v>
      </c>
    </row>
    <row r="39" spans="1:27">
      <c r="A39" t="s">
        <v>3093</v>
      </c>
      <c r="B39" t="s">
        <v>614</v>
      </c>
      <c r="C39" t="s">
        <v>10</v>
      </c>
      <c r="D39" s="24" t="s">
        <v>3093</v>
      </c>
      <c r="L39" s="24" t="s">
        <v>803</v>
      </c>
      <c r="M39" s="24" t="s">
        <v>202</v>
      </c>
      <c r="Q39" s="299" t="s">
        <v>3977</v>
      </c>
      <c r="R39" s="300" t="s">
        <v>47</v>
      </c>
      <c r="S39" s="24" t="s">
        <v>3935</v>
      </c>
      <c r="T39"/>
      <c r="U39"/>
      <c r="W39" s="24" t="s">
        <v>3978</v>
      </c>
      <c r="X39" s="24" t="s">
        <v>3979</v>
      </c>
      <c r="Y39" s="24" t="s">
        <v>3897</v>
      </c>
      <c r="Z39" s="24" t="s">
        <v>389</v>
      </c>
      <c r="AA39" s="24" t="str">
        <f>VLOOKUP(Table6[[#This Row],[Abb.]],Table1[],2,0)</f>
        <v>BWID BINH DUONG</v>
      </c>
    </row>
    <row r="40" spans="1:27">
      <c r="A40" t="s">
        <v>3175</v>
      </c>
      <c r="B40" t="s">
        <v>617</v>
      </c>
      <c r="C40" t="s">
        <v>10</v>
      </c>
      <c r="D40" s="24" t="s">
        <v>3175</v>
      </c>
      <c r="L40" s="24" t="s">
        <v>341</v>
      </c>
      <c r="M40" s="24" t="s">
        <v>341</v>
      </c>
      <c r="Q40" s="297" t="s">
        <v>49</v>
      </c>
      <c r="R40" s="298" t="s">
        <v>49</v>
      </c>
      <c r="S40" s="24" t="s">
        <v>3935</v>
      </c>
      <c r="T40"/>
      <c r="U40"/>
      <c r="W40" s="24" t="s">
        <v>3980</v>
      </c>
      <c r="X40" s="24" t="s">
        <v>3981</v>
      </c>
      <c r="Y40" s="24" t="s">
        <v>3982</v>
      </c>
      <c r="Z40" s="24" t="s">
        <v>389</v>
      </c>
      <c r="AA40" s="24" t="str">
        <f>VLOOKUP(Table6[[#This Row],[Abb.]],Table1[],2,0)</f>
        <v>BWID BINH DUONG</v>
      </c>
    </row>
    <row r="41" spans="1:27">
      <c r="A41" t="s">
        <v>620</v>
      </c>
      <c r="B41" t="s">
        <v>620</v>
      </c>
      <c r="C41" t="s">
        <v>10</v>
      </c>
      <c r="D41" s="24" t="s">
        <v>620</v>
      </c>
      <c r="L41" s="24" t="s">
        <v>191</v>
      </c>
      <c r="M41" s="24" t="s">
        <v>191</v>
      </c>
      <c r="Q41" s="299" t="s">
        <v>50</v>
      </c>
      <c r="R41" s="300" t="s">
        <v>50</v>
      </c>
      <c r="S41" s="24" t="s">
        <v>3935</v>
      </c>
      <c r="T41"/>
      <c r="U41"/>
      <c r="W41" s="24" t="s">
        <v>3983</v>
      </c>
      <c r="X41" s="24" t="s">
        <v>3984</v>
      </c>
      <c r="Y41" s="24" t="s">
        <v>3982</v>
      </c>
      <c r="Z41" s="24" t="s">
        <v>389</v>
      </c>
      <c r="AA41" s="24" t="str">
        <f>VLOOKUP(Table6[[#This Row],[Abb.]],Table1[],2,0)</f>
        <v>BWID BINH DUONG</v>
      </c>
    </row>
    <row r="42" spans="1:27">
      <c r="A42" t="s">
        <v>624</v>
      </c>
      <c r="B42" t="s">
        <v>624</v>
      </c>
      <c r="C42" t="s">
        <v>10</v>
      </c>
      <c r="D42" s="24" t="s">
        <v>624</v>
      </c>
      <c r="L42" s="24" t="s">
        <v>196</v>
      </c>
      <c r="M42" s="24" t="s">
        <v>196</v>
      </c>
      <c r="Q42" s="297" t="s">
        <v>43</v>
      </c>
      <c r="R42" s="298" t="s">
        <v>43</v>
      </c>
      <c r="S42" s="24" t="s">
        <v>3935</v>
      </c>
      <c r="T42"/>
      <c r="U42"/>
      <c r="W42" s="24" t="s">
        <v>3985</v>
      </c>
      <c r="X42" s="24" t="s">
        <v>3986</v>
      </c>
      <c r="Y42" s="24" t="s">
        <v>3982</v>
      </c>
      <c r="Z42" s="24" t="s">
        <v>389</v>
      </c>
      <c r="AA42" s="24" t="str">
        <f>VLOOKUP(Table6[[#This Row],[Abb.]],Table1[],2,0)</f>
        <v>BWID BINH DUONG</v>
      </c>
    </row>
    <row r="43" spans="1:27">
      <c r="A43" t="s">
        <v>626</v>
      </c>
      <c r="B43" t="s">
        <v>626</v>
      </c>
      <c r="C43" t="s">
        <v>10</v>
      </c>
      <c r="D43" s="24" t="s">
        <v>626</v>
      </c>
      <c r="L43" s="24" t="s">
        <v>194</v>
      </c>
      <c r="M43" s="24" t="s">
        <v>194</v>
      </c>
      <c r="Q43" s="299" t="s">
        <v>42</v>
      </c>
      <c r="R43" s="300" t="s">
        <v>42</v>
      </c>
      <c r="S43" s="24" t="s">
        <v>3935</v>
      </c>
      <c r="T43"/>
      <c r="U43"/>
      <c r="W43" s="24" t="s">
        <v>3987</v>
      </c>
      <c r="X43" s="24" t="s">
        <v>3988</v>
      </c>
      <c r="Y43" s="24" t="s">
        <v>3982</v>
      </c>
      <c r="Z43" s="24" t="s">
        <v>389</v>
      </c>
      <c r="AA43" s="24" t="str">
        <f>VLOOKUP(Table6[[#This Row],[Abb.]],Table1[],2,0)</f>
        <v>BWID BINH DUONG</v>
      </c>
    </row>
    <row r="44" spans="1:27">
      <c r="A44" t="s">
        <v>630</v>
      </c>
      <c r="B44" t="s">
        <v>630</v>
      </c>
      <c r="C44" t="s">
        <v>10</v>
      </c>
      <c r="D44" s="24" t="s">
        <v>630</v>
      </c>
      <c r="L44" s="24" t="s">
        <v>195</v>
      </c>
      <c r="M44" s="24" t="s">
        <v>195</v>
      </c>
      <c r="Q44" s="297" t="s">
        <v>48</v>
      </c>
      <c r="R44" s="298" t="s">
        <v>48</v>
      </c>
      <c r="S44" s="24" t="s">
        <v>3935</v>
      </c>
      <c r="T44"/>
      <c r="U44"/>
      <c r="W44" s="24" t="s">
        <v>3989</v>
      </c>
      <c r="X44" s="24" t="s">
        <v>3990</v>
      </c>
      <c r="Y44" s="24" t="s">
        <v>3982</v>
      </c>
      <c r="Z44" s="24" t="s">
        <v>389</v>
      </c>
      <c r="AA44" s="24" t="str">
        <f>VLOOKUP(Table6[[#This Row],[Abb.]],Table1[],2,0)</f>
        <v>BWID BINH DUONG</v>
      </c>
    </row>
    <row r="45" spans="1:27">
      <c r="A45" t="s">
        <v>634</v>
      </c>
      <c r="B45" t="s">
        <v>634</v>
      </c>
      <c r="C45" t="s">
        <v>10</v>
      </c>
      <c r="D45" s="24" t="s">
        <v>634</v>
      </c>
      <c r="L45" s="24" t="s">
        <v>971</v>
      </c>
      <c r="M45" s="24" t="s">
        <v>99</v>
      </c>
      <c r="Q45" s="299" t="s">
        <v>3991</v>
      </c>
      <c r="R45" s="300" t="s">
        <v>3992</v>
      </c>
      <c r="S45" s="24" t="s">
        <v>3935</v>
      </c>
      <c r="T45"/>
      <c r="U45"/>
      <c r="W45" s="24" t="s">
        <v>3993</v>
      </c>
      <c r="X45" s="24" t="s">
        <v>3994</v>
      </c>
      <c r="Y45" s="24" t="s">
        <v>3982</v>
      </c>
      <c r="Z45" s="24" t="s">
        <v>389</v>
      </c>
      <c r="AA45" s="24" t="str">
        <f>VLOOKUP(Table6[[#This Row],[Abb.]],Table1[],2,0)</f>
        <v>BWID BINH DUONG</v>
      </c>
    </row>
    <row r="46" spans="1:27">
      <c r="A46" t="s">
        <v>638</v>
      </c>
      <c r="B46" t="s">
        <v>638</v>
      </c>
      <c r="C46" t="s">
        <v>10</v>
      </c>
      <c r="D46" s="24" t="s">
        <v>638</v>
      </c>
      <c r="L46" s="24" t="s">
        <v>3603</v>
      </c>
      <c r="M46" s="24" t="s">
        <v>99</v>
      </c>
      <c r="Q46" s="297" t="s">
        <v>44</v>
      </c>
      <c r="R46" s="298" t="s">
        <v>44</v>
      </c>
      <c r="S46" s="24" t="s">
        <v>3935</v>
      </c>
      <c r="T46"/>
      <c r="U46"/>
      <c r="W46" s="24" t="s">
        <v>3995</v>
      </c>
      <c r="X46" s="24" t="s">
        <v>3996</v>
      </c>
      <c r="Y46" s="24" t="s">
        <v>3997</v>
      </c>
      <c r="Z46" s="24" t="s">
        <v>389</v>
      </c>
      <c r="AA46" s="24" t="str">
        <f>VLOOKUP(Table6[[#This Row],[Abb.]],Table1[],2,0)</f>
        <v>BWID BINH DUONG</v>
      </c>
    </row>
    <row r="47" spans="1:27">
      <c r="A47" t="s">
        <v>641</v>
      </c>
      <c r="B47" t="s">
        <v>641</v>
      </c>
      <c r="C47" t="s">
        <v>10</v>
      </c>
      <c r="D47" s="24" t="s">
        <v>641</v>
      </c>
      <c r="L47" s="24" t="s">
        <v>3664</v>
      </c>
      <c r="M47" s="24" t="s">
        <v>99</v>
      </c>
      <c r="Q47" s="299" t="s">
        <v>18</v>
      </c>
      <c r="R47" s="300" t="s">
        <v>18</v>
      </c>
      <c r="S47" s="24" t="s">
        <v>3935</v>
      </c>
      <c r="T47"/>
      <c r="U47"/>
      <c r="W47" s="24" t="s">
        <v>3998</v>
      </c>
      <c r="X47" s="24" t="s">
        <v>3999</v>
      </c>
      <c r="Y47" s="24" t="s">
        <v>3997</v>
      </c>
      <c r="Z47" s="24" t="s">
        <v>389</v>
      </c>
      <c r="AA47" s="24" t="str">
        <f>VLOOKUP(Table6[[#This Row],[Abb.]],Table1[],2,0)</f>
        <v>BWID BINH DUONG</v>
      </c>
    </row>
    <row r="48" spans="1:27">
      <c r="A48" t="s">
        <v>645</v>
      </c>
      <c r="B48" t="s">
        <v>645</v>
      </c>
      <c r="C48" t="s">
        <v>10</v>
      </c>
      <c r="D48" s="24" t="s">
        <v>645</v>
      </c>
      <c r="L48" s="24" t="s">
        <v>1044</v>
      </c>
      <c r="M48" s="24" t="s">
        <v>99</v>
      </c>
      <c r="Q48" s="297" t="s">
        <v>46</v>
      </c>
      <c r="R48" s="298" t="s">
        <v>46</v>
      </c>
      <c r="S48" s="24" t="s">
        <v>3935</v>
      </c>
      <c r="T48"/>
      <c r="U48"/>
      <c r="W48" s="24" t="s">
        <v>4000</v>
      </c>
      <c r="X48" s="24" t="s">
        <v>4001</v>
      </c>
      <c r="Y48" s="24" t="s">
        <v>3997</v>
      </c>
      <c r="Z48" s="24" t="s">
        <v>389</v>
      </c>
      <c r="AA48" s="24" t="str">
        <f>VLOOKUP(Table6[[#This Row],[Abb.]],Table1[],2,0)</f>
        <v>BWID BINH DUONG</v>
      </c>
    </row>
    <row r="49" spans="1:27">
      <c r="A49" t="s">
        <v>653</v>
      </c>
      <c r="B49" t="s">
        <v>653</v>
      </c>
      <c r="C49" t="s">
        <v>10</v>
      </c>
      <c r="D49" s="24" t="s">
        <v>653</v>
      </c>
      <c r="L49" s="24" t="s">
        <v>1051</v>
      </c>
      <c r="M49" s="24" t="s">
        <v>99</v>
      </c>
      <c r="Q49" s="299" t="s">
        <v>66</v>
      </c>
      <c r="R49" s="300" t="s">
        <v>66</v>
      </c>
      <c r="S49" s="24" t="s">
        <v>3935</v>
      </c>
      <c r="T49"/>
      <c r="U49"/>
      <c r="W49" s="24" t="s">
        <v>4002</v>
      </c>
      <c r="X49" s="24" t="s">
        <v>4003</v>
      </c>
      <c r="Y49" s="24" t="s">
        <v>3884</v>
      </c>
      <c r="Z49" s="24" t="s">
        <v>432</v>
      </c>
      <c r="AA49" s="24" t="str">
        <f>VLOOKUP(Table6[[#This Row],[Abb.]],Table1[],2,0)</f>
        <v>BWID BAC NINH</v>
      </c>
    </row>
    <row r="50" spans="1:27">
      <c r="A50" t="s">
        <v>656</v>
      </c>
      <c r="B50" t="s">
        <v>656</v>
      </c>
      <c r="C50" t="s">
        <v>10</v>
      </c>
      <c r="D50" s="24" t="s">
        <v>656</v>
      </c>
      <c r="L50" s="24" t="s">
        <v>1130</v>
      </c>
      <c r="M50" s="24" t="s">
        <v>202</v>
      </c>
      <c r="T50"/>
      <c r="U50"/>
      <c r="W50" s="24" t="s">
        <v>4004</v>
      </c>
      <c r="X50" s="24" t="s">
        <v>4005</v>
      </c>
      <c r="Y50" s="24" t="s">
        <v>3884</v>
      </c>
      <c r="Z50" s="24" t="s">
        <v>432</v>
      </c>
      <c r="AA50" s="24" t="str">
        <f>VLOOKUP(Table6[[#This Row],[Abb.]],Table1[],2,0)</f>
        <v>BWID BAC NINH</v>
      </c>
    </row>
    <row r="51" spans="1:27">
      <c r="A51" t="s">
        <v>3182</v>
      </c>
      <c r="B51" t="s">
        <v>659</v>
      </c>
      <c r="C51" t="s">
        <v>10</v>
      </c>
      <c r="D51" s="24" t="s">
        <v>3182</v>
      </c>
      <c r="L51" s="24" t="s">
        <v>293</v>
      </c>
      <c r="M51" s="24" t="s">
        <v>99</v>
      </c>
      <c r="T51"/>
      <c r="U51"/>
      <c r="W51" s="24" t="s">
        <v>4006</v>
      </c>
      <c r="X51" s="24" t="s">
        <v>4007</v>
      </c>
      <c r="Y51" s="24" t="s">
        <v>3884</v>
      </c>
      <c r="Z51" s="24" t="s">
        <v>432</v>
      </c>
      <c r="AA51" s="24" t="str">
        <f>VLOOKUP(Table6[[#This Row],[Abb.]],Table1[],2,0)</f>
        <v>BWID BAC NINH</v>
      </c>
    </row>
    <row r="52" spans="1:27">
      <c r="A52" t="s">
        <v>2964</v>
      </c>
      <c r="B52" t="s">
        <v>662</v>
      </c>
      <c r="C52" t="s">
        <v>10</v>
      </c>
      <c r="D52" s="24" t="s">
        <v>2964</v>
      </c>
      <c r="W52" s="24" t="s">
        <v>4008</v>
      </c>
      <c r="X52" s="24" t="s">
        <v>4009</v>
      </c>
      <c r="Y52" s="24" t="s">
        <v>3884</v>
      </c>
      <c r="Z52" s="24" t="s">
        <v>432</v>
      </c>
      <c r="AA52" s="24" t="str">
        <f>VLOOKUP(Table6[[#This Row],[Abb.]],Table1[],2,0)</f>
        <v>BWID BAC NINH</v>
      </c>
    </row>
    <row r="53" spans="1:27">
      <c r="A53" t="s">
        <v>2968</v>
      </c>
      <c r="B53" t="s">
        <v>665</v>
      </c>
      <c r="C53" t="s">
        <v>10</v>
      </c>
      <c r="D53" s="24" t="s">
        <v>2968</v>
      </c>
      <c r="W53" s="24" t="s">
        <v>4010</v>
      </c>
      <c r="X53" s="24" t="s">
        <v>4011</v>
      </c>
      <c r="Y53" s="24" t="s">
        <v>3884</v>
      </c>
      <c r="Z53" s="24" t="s">
        <v>432</v>
      </c>
      <c r="AA53" s="24" t="str">
        <f>VLOOKUP(Table6[[#This Row],[Abb.]],Table1[],2,0)</f>
        <v>BWID BAC NINH</v>
      </c>
    </row>
    <row r="54" spans="1:27">
      <c r="A54" t="s">
        <v>3199</v>
      </c>
      <c r="B54" t="s">
        <v>668</v>
      </c>
      <c r="C54" t="s">
        <v>10</v>
      </c>
      <c r="D54" s="24" t="s">
        <v>3199</v>
      </c>
      <c r="W54" s="24" t="s">
        <v>4012</v>
      </c>
      <c r="X54" s="24" t="s">
        <v>4013</v>
      </c>
      <c r="Y54" s="24" t="s">
        <v>3884</v>
      </c>
      <c r="Z54" s="24" t="s">
        <v>432</v>
      </c>
      <c r="AA54" s="24" t="str">
        <f>VLOOKUP(Table6[[#This Row],[Abb.]],Table1[],2,0)</f>
        <v>BWID BAC NINH</v>
      </c>
    </row>
    <row r="55" spans="1:27">
      <c r="A55" t="s">
        <v>3209</v>
      </c>
      <c r="B55" t="s">
        <v>671</v>
      </c>
      <c r="C55" t="s">
        <v>10</v>
      </c>
      <c r="D55" s="24" t="s">
        <v>3209</v>
      </c>
      <c r="W55" s="24" t="s">
        <v>4014</v>
      </c>
      <c r="X55" s="24" t="s">
        <v>4015</v>
      </c>
      <c r="Y55" s="24" t="s">
        <v>3884</v>
      </c>
      <c r="Z55" s="24" t="s">
        <v>432</v>
      </c>
      <c r="AA55" s="24" t="str">
        <f>VLOOKUP(Table6[[#This Row],[Abb.]],Table1[],2,0)</f>
        <v>BWID BAC NINH</v>
      </c>
    </row>
    <row r="56" spans="1:27">
      <c r="A56" t="s">
        <v>3211</v>
      </c>
      <c r="B56" t="s">
        <v>673</v>
      </c>
      <c r="C56" t="s">
        <v>10</v>
      </c>
      <c r="D56" s="24" t="s">
        <v>3211</v>
      </c>
      <c r="W56" s="24" t="s">
        <v>4016</v>
      </c>
      <c r="X56" s="24" t="s">
        <v>4017</v>
      </c>
      <c r="Y56" s="24" t="s">
        <v>3884</v>
      </c>
      <c r="Z56" s="24" t="s">
        <v>432</v>
      </c>
      <c r="AA56" s="24" t="str">
        <f>VLOOKUP(Table6[[#This Row],[Abb.]],Table1[],2,0)</f>
        <v>BWID BAC NINH</v>
      </c>
    </row>
    <row r="57" spans="1:27">
      <c r="A57" t="s">
        <v>3212</v>
      </c>
      <c r="B57" t="s">
        <v>676</v>
      </c>
      <c r="C57" t="s">
        <v>10</v>
      </c>
      <c r="D57" s="24" t="s">
        <v>3212</v>
      </c>
      <c r="W57" s="24" t="s">
        <v>4018</v>
      </c>
      <c r="X57" s="24" t="s">
        <v>4019</v>
      </c>
      <c r="Y57" s="24" t="s">
        <v>3884</v>
      </c>
      <c r="Z57" s="24" t="s">
        <v>432</v>
      </c>
      <c r="AA57" s="24" t="str">
        <f>VLOOKUP(Table6[[#This Row],[Abb.]],Table1[],2,0)</f>
        <v>BWID BAC NINH</v>
      </c>
    </row>
    <row r="58" spans="1:27">
      <c r="A58" t="s">
        <v>3213</v>
      </c>
      <c r="B58" t="s">
        <v>678</v>
      </c>
      <c r="C58" t="s">
        <v>10</v>
      </c>
      <c r="D58" s="24" t="s">
        <v>3213</v>
      </c>
      <c r="W58" s="24" t="s">
        <v>4020</v>
      </c>
      <c r="X58" s="24" t="s">
        <v>4021</v>
      </c>
      <c r="Y58" s="24" t="s">
        <v>3884</v>
      </c>
      <c r="Z58" s="24" t="s">
        <v>432</v>
      </c>
      <c r="AA58" s="24" t="str">
        <f>VLOOKUP(Table6[[#This Row],[Abb.]],Table1[],2,0)</f>
        <v>BWID BAC NINH</v>
      </c>
    </row>
    <row r="59" spans="1:27">
      <c r="A59" t="s">
        <v>3214</v>
      </c>
      <c r="B59" t="s">
        <v>680</v>
      </c>
      <c r="C59" t="s">
        <v>10</v>
      </c>
      <c r="D59" s="24" t="s">
        <v>3214</v>
      </c>
      <c r="W59" s="24" t="s">
        <v>4022</v>
      </c>
      <c r="X59" s="24" t="s">
        <v>4023</v>
      </c>
      <c r="Y59" s="24" t="s">
        <v>3997</v>
      </c>
      <c r="Z59" s="24" t="s">
        <v>389</v>
      </c>
      <c r="AA59" s="24" t="str">
        <f>VLOOKUP(Table6[[#This Row],[Abb.]],Table1[],2,0)</f>
        <v>BWID BINH DUONG</v>
      </c>
    </row>
    <row r="60" spans="1:27">
      <c r="A60" t="s">
        <v>2971</v>
      </c>
      <c r="B60" t="s">
        <v>683</v>
      </c>
      <c r="C60" t="s">
        <v>10</v>
      </c>
      <c r="D60" s="24" t="s">
        <v>2971</v>
      </c>
      <c r="W60" s="24" t="s">
        <v>4024</v>
      </c>
      <c r="X60" s="24" t="s">
        <v>4025</v>
      </c>
      <c r="Y60" s="24" t="s">
        <v>4026</v>
      </c>
      <c r="Z60" s="24" t="s">
        <v>402</v>
      </c>
      <c r="AA60" s="24" t="str">
        <f>VLOOKUP(Table6[[#This Row],[Abb.]],Table1[],2,0)</f>
        <v>BWID DONG AN LID</v>
      </c>
    </row>
    <row r="61" spans="1:27">
      <c r="A61" t="s">
        <v>3215</v>
      </c>
      <c r="B61" t="s">
        <v>686</v>
      </c>
      <c r="C61" t="s">
        <v>10</v>
      </c>
      <c r="D61" s="24" t="s">
        <v>3215</v>
      </c>
      <c r="W61" s="24" t="s">
        <v>4027</v>
      </c>
      <c r="X61" s="24" t="s">
        <v>4028</v>
      </c>
      <c r="Y61" s="24" t="s">
        <v>4026</v>
      </c>
      <c r="Z61" s="24" t="s">
        <v>402</v>
      </c>
      <c r="AA61" s="24" t="str">
        <f>VLOOKUP(Table6[[#This Row],[Abb.]],Table1[],2,0)</f>
        <v>BWID DONG AN LID</v>
      </c>
    </row>
    <row r="62" spans="1:27">
      <c r="A62" t="s">
        <v>3011</v>
      </c>
      <c r="B62" t="s">
        <v>688</v>
      </c>
      <c r="C62" t="s">
        <v>10</v>
      </c>
      <c r="D62" s="24" t="s">
        <v>3011</v>
      </c>
      <c r="W62" s="24" t="s">
        <v>4029</v>
      </c>
      <c r="X62" s="24" t="s">
        <v>4030</v>
      </c>
      <c r="Y62" s="24" t="s">
        <v>3916</v>
      </c>
      <c r="Z62" s="24" t="s">
        <v>3026</v>
      </c>
      <c r="AA62" s="24" t="str">
        <f>VLOOKUP(Table6[[#This Row],[Abb.]],Table1[],2,0)</f>
        <v>BW SAI GON</v>
      </c>
    </row>
    <row r="63" spans="1:27">
      <c r="A63" t="s">
        <v>3217</v>
      </c>
      <c r="B63" t="s">
        <v>691</v>
      </c>
      <c r="C63" t="s">
        <v>10</v>
      </c>
      <c r="D63" s="24" t="s">
        <v>3217</v>
      </c>
      <c r="W63" s="24" t="s">
        <v>4031</v>
      </c>
      <c r="X63" s="24" t="s">
        <v>4032</v>
      </c>
      <c r="Y63" s="24" t="s">
        <v>3916</v>
      </c>
      <c r="Z63" s="24" t="s">
        <v>3026</v>
      </c>
      <c r="AA63" s="24" t="str">
        <f>VLOOKUP(Table6[[#This Row],[Abb.]],Table1[],2,0)</f>
        <v>BW SAI GON</v>
      </c>
    </row>
    <row r="64" spans="1:27">
      <c r="A64" t="s">
        <v>3218</v>
      </c>
      <c r="B64" t="s">
        <v>693</v>
      </c>
      <c r="C64" t="s">
        <v>10</v>
      </c>
      <c r="D64" s="24" t="s">
        <v>3218</v>
      </c>
      <c r="W64" s="24" t="s">
        <v>4033</v>
      </c>
      <c r="X64" s="24" t="s">
        <v>4034</v>
      </c>
      <c r="Y64" s="24" t="s">
        <v>4035</v>
      </c>
      <c r="Z64" s="24" t="s">
        <v>3093</v>
      </c>
      <c r="AA64" s="24" t="str">
        <f>VLOOKUP(Table6[[#This Row],[Abb.]],Table1[],2,0)</f>
        <v>SONGTHAN LID</v>
      </c>
    </row>
    <row r="65" spans="1:27">
      <c r="A65" t="s">
        <v>412</v>
      </c>
      <c r="B65" t="s">
        <v>695</v>
      </c>
      <c r="C65" t="s">
        <v>10</v>
      </c>
      <c r="D65" s="24" t="s">
        <v>412</v>
      </c>
      <c r="W65" s="24" t="s">
        <v>4036</v>
      </c>
      <c r="X65" s="24" t="s">
        <v>4037</v>
      </c>
      <c r="Y65" s="24" t="s">
        <v>4038</v>
      </c>
      <c r="Z65" s="24" t="s">
        <v>403</v>
      </c>
      <c r="AA65" s="24" t="str">
        <f>VLOOKUP(Table6[[#This Row],[Abb.]],Table1[],2,0)</f>
        <v>BW SUPLLY CHAIN CITY</v>
      </c>
    </row>
    <row r="66" spans="1:27">
      <c r="A66" t="s">
        <v>3226</v>
      </c>
      <c r="B66" t="s">
        <v>697</v>
      </c>
      <c r="C66" t="s">
        <v>10</v>
      </c>
      <c r="D66" s="24" t="s">
        <v>3226</v>
      </c>
      <c r="W66" s="24" t="s">
        <v>4039</v>
      </c>
      <c r="X66" s="24" t="s">
        <v>4040</v>
      </c>
      <c r="Y66" s="24" t="s">
        <v>4038</v>
      </c>
      <c r="Z66" s="24" t="s">
        <v>403</v>
      </c>
      <c r="AA66" s="24" t="str">
        <f>VLOOKUP(Table6[[#This Row],[Abb.]],Table1[],2,0)</f>
        <v>BW SUPLLY CHAIN CITY</v>
      </c>
    </row>
    <row r="67" spans="1:27">
      <c r="A67" t="s">
        <v>426</v>
      </c>
      <c r="B67" t="s">
        <v>699</v>
      </c>
      <c r="C67" t="s">
        <v>10</v>
      </c>
      <c r="D67" s="24" t="s">
        <v>426</v>
      </c>
      <c r="W67" s="24" t="s">
        <v>4041</v>
      </c>
      <c r="X67" s="24" t="s">
        <v>4042</v>
      </c>
      <c r="Y67" s="24" t="s">
        <v>4043</v>
      </c>
      <c r="Z67" s="24" t="s">
        <v>403</v>
      </c>
      <c r="AA67" s="24" t="str">
        <f>VLOOKUP(Table6[[#This Row],[Abb.]],Table1[],2,0)</f>
        <v>BW SUPLLY CHAIN CITY</v>
      </c>
    </row>
    <row r="68" spans="1:27">
      <c r="A68" t="s">
        <v>3233</v>
      </c>
      <c r="B68" t="s">
        <v>701</v>
      </c>
      <c r="C68" t="s">
        <v>10</v>
      </c>
      <c r="D68" s="24" t="s">
        <v>3233</v>
      </c>
      <c r="W68" s="24" t="s">
        <v>4044</v>
      </c>
      <c r="X68" s="24" t="s">
        <v>4045</v>
      </c>
      <c r="Y68" s="24" t="s">
        <v>4038</v>
      </c>
      <c r="Z68" s="24" t="s">
        <v>403</v>
      </c>
      <c r="AA68" s="24" t="str">
        <f>VLOOKUP(Table6[[#This Row],[Abb.]],Table1[],2,0)</f>
        <v>BW SUPLLY CHAIN CITY</v>
      </c>
    </row>
    <row r="69" spans="1:27">
      <c r="A69" t="s">
        <v>3237</v>
      </c>
      <c r="B69" t="s">
        <v>703</v>
      </c>
      <c r="C69" t="s">
        <v>10</v>
      </c>
      <c r="D69" s="24" t="s">
        <v>3237</v>
      </c>
      <c r="W69" s="24" t="s">
        <v>4046</v>
      </c>
      <c r="X69" s="24" t="s">
        <v>4047</v>
      </c>
      <c r="Y69" s="24" t="s">
        <v>4038</v>
      </c>
      <c r="Z69" s="24" t="s">
        <v>403</v>
      </c>
      <c r="AA69" s="24" t="str">
        <f>VLOOKUP(Table6[[#This Row],[Abb.]],Table1[],2,0)</f>
        <v>BW SUPLLY CHAIN CITY</v>
      </c>
    </row>
    <row r="70" spans="1:27">
      <c r="A70" t="s">
        <v>437</v>
      </c>
      <c r="B70" t="s">
        <v>706</v>
      </c>
      <c r="C70" t="s">
        <v>10</v>
      </c>
      <c r="D70" s="24" t="s">
        <v>437</v>
      </c>
      <c r="W70" s="24" t="s">
        <v>4048</v>
      </c>
      <c r="X70" s="24" t="s">
        <v>4049</v>
      </c>
      <c r="Y70" s="24" t="s">
        <v>4050</v>
      </c>
      <c r="Z70" s="24" t="s">
        <v>403</v>
      </c>
      <c r="AA70" s="24" t="str">
        <f>VLOOKUP(Table6[[#This Row],[Abb.]],Table1[],2,0)</f>
        <v>BW SUPLLY CHAIN CITY</v>
      </c>
    </row>
    <row r="71" spans="1:27">
      <c r="A71" t="s">
        <v>3246</v>
      </c>
      <c r="B71" t="s">
        <v>708</v>
      </c>
      <c r="C71" t="s">
        <v>10</v>
      </c>
      <c r="D71" s="24" t="s">
        <v>3246</v>
      </c>
      <c r="W71" s="24" t="s">
        <v>4051</v>
      </c>
      <c r="X71" s="24" t="s">
        <v>4052</v>
      </c>
      <c r="Y71" s="24" t="s">
        <v>4053</v>
      </c>
      <c r="Z71" s="24" t="s">
        <v>403</v>
      </c>
      <c r="AA71" s="24" t="str">
        <f>VLOOKUP(Table6[[#This Row],[Abb.]],Table1[],2,0)</f>
        <v>BW SUPLLY CHAIN CITY</v>
      </c>
    </row>
    <row r="72" spans="1:27">
      <c r="A72" t="s">
        <v>3248</v>
      </c>
      <c r="B72" t="s">
        <v>710</v>
      </c>
      <c r="C72" t="s">
        <v>10</v>
      </c>
      <c r="D72" s="24" t="s">
        <v>3248</v>
      </c>
      <c r="W72" s="24" t="s">
        <v>4054</v>
      </c>
      <c r="X72" s="24" t="s">
        <v>4055</v>
      </c>
      <c r="Y72" s="24" t="s">
        <v>4038</v>
      </c>
      <c r="Z72" s="24" t="s">
        <v>403</v>
      </c>
      <c r="AA72" s="24" t="str">
        <f>VLOOKUP(Table6[[#This Row],[Abb.]],Table1[],2,0)</f>
        <v>BW SUPLLY CHAIN CITY</v>
      </c>
    </row>
    <row r="73" spans="1:27">
      <c r="A73" t="s">
        <v>3249</v>
      </c>
      <c r="B73" t="s">
        <v>712</v>
      </c>
      <c r="C73" t="s">
        <v>10</v>
      </c>
      <c r="D73" s="24" t="s">
        <v>3249</v>
      </c>
      <c r="W73" s="24" t="s">
        <v>4056</v>
      </c>
      <c r="X73" s="24" t="s">
        <v>4057</v>
      </c>
      <c r="Y73" s="24" t="s">
        <v>4043</v>
      </c>
      <c r="Z73" s="24" t="s">
        <v>403</v>
      </c>
      <c r="AA73" s="24" t="str">
        <f>VLOOKUP(Table6[[#This Row],[Abb.]],Table1[],2,0)</f>
        <v>BW SUPLLY CHAIN CITY</v>
      </c>
    </row>
    <row r="74" spans="1:27">
      <c r="A74" t="s">
        <v>436</v>
      </c>
      <c r="B74" t="s">
        <v>801</v>
      </c>
      <c r="C74" t="s">
        <v>10</v>
      </c>
      <c r="D74" s="24" t="s">
        <v>436</v>
      </c>
      <c r="W74" s="24" t="s">
        <v>4058</v>
      </c>
      <c r="X74" s="24" t="s">
        <v>4059</v>
      </c>
      <c r="Y74" s="24" t="s">
        <v>4060</v>
      </c>
      <c r="Z74" s="24" t="s">
        <v>403</v>
      </c>
      <c r="AA74" s="24" t="str">
        <f>VLOOKUP(Table6[[#This Row],[Abb.]],Table1[],2,0)</f>
        <v>BW SUPLLY CHAIN CITY</v>
      </c>
    </row>
    <row r="75" spans="1:27">
      <c r="A75" t="s">
        <v>3268</v>
      </c>
      <c r="B75" t="s">
        <v>746</v>
      </c>
      <c r="C75" t="s">
        <v>10</v>
      </c>
      <c r="D75" s="24" t="s">
        <v>3268</v>
      </c>
      <c r="W75" s="24" t="s">
        <v>4061</v>
      </c>
      <c r="X75" s="24" t="s">
        <v>4062</v>
      </c>
      <c r="Y75" s="24" t="s">
        <v>4063</v>
      </c>
      <c r="Z75" s="24" t="s">
        <v>403</v>
      </c>
      <c r="AA75" s="24" t="str">
        <f>VLOOKUP(Table6[[#This Row],[Abb.]],Table1[],2,0)</f>
        <v>BW SUPLLY CHAIN CITY</v>
      </c>
    </row>
    <row r="76" spans="1:27">
      <c r="A76" t="s">
        <v>3280</v>
      </c>
      <c r="B76" t="s">
        <v>754</v>
      </c>
      <c r="C76" t="s">
        <v>10</v>
      </c>
      <c r="D76" s="24" t="s">
        <v>3280</v>
      </c>
      <c r="W76" s="24" t="s">
        <v>4064</v>
      </c>
      <c r="X76" s="24" t="s">
        <v>4065</v>
      </c>
      <c r="Y76" s="24" t="s">
        <v>4066</v>
      </c>
      <c r="Z76" s="24" t="s">
        <v>403</v>
      </c>
      <c r="AA76" s="24" t="str">
        <f>VLOOKUP(Table6[[#This Row],[Abb.]],Table1[],2,0)</f>
        <v>BW SUPLLY CHAIN CITY</v>
      </c>
    </row>
    <row r="77" spans="1:27">
      <c r="A77" t="s">
        <v>3250</v>
      </c>
      <c r="B77" t="s">
        <v>714</v>
      </c>
      <c r="C77" t="s">
        <v>10</v>
      </c>
      <c r="D77" s="24" t="s">
        <v>3250</v>
      </c>
      <c r="W77" s="24" t="s">
        <v>4067</v>
      </c>
      <c r="X77" s="24" t="s">
        <v>4068</v>
      </c>
      <c r="Y77" s="24" t="s">
        <v>4066</v>
      </c>
      <c r="Z77" s="24" t="s">
        <v>403</v>
      </c>
      <c r="AA77" s="24" t="str">
        <f>VLOOKUP(Table6[[#This Row],[Abb.]],Table1[],2,0)</f>
        <v>BW SUPLLY CHAIN CITY</v>
      </c>
    </row>
    <row r="78" spans="1:27">
      <c r="A78" t="s">
        <v>3251</v>
      </c>
      <c r="B78" t="s">
        <v>716</v>
      </c>
      <c r="C78" t="s">
        <v>10</v>
      </c>
      <c r="D78" s="24" t="s">
        <v>3251</v>
      </c>
      <c r="W78" s="24" t="s">
        <v>4069</v>
      </c>
      <c r="X78" s="24" t="s">
        <v>4070</v>
      </c>
      <c r="Y78" s="24" t="s">
        <v>4066</v>
      </c>
      <c r="Z78" s="24" t="s">
        <v>403</v>
      </c>
      <c r="AA78" s="24" t="str">
        <f>VLOOKUP(Table6[[#This Row],[Abb.]],Table1[],2,0)</f>
        <v>BW SUPLLY CHAIN CITY</v>
      </c>
    </row>
    <row r="79" spans="1:27">
      <c r="A79" t="s">
        <v>3252</v>
      </c>
      <c r="B79" t="s">
        <v>718</v>
      </c>
      <c r="C79" t="s">
        <v>10</v>
      </c>
      <c r="D79" s="24" t="s">
        <v>3252</v>
      </c>
      <c r="W79" s="24" t="s">
        <v>4071</v>
      </c>
      <c r="X79" s="24" t="s">
        <v>4072</v>
      </c>
      <c r="Y79" s="24" t="s">
        <v>4066</v>
      </c>
      <c r="Z79" s="24" t="s">
        <v>403</v>
      </c>
      <c r="AA79" s="24" t="str">
        <f>VLOOKUP(Table6[[#This Row],[Abb.]],Table1[],2,0)</f>
        <v>BW SUPLLY CHAIN CITY</v>
      </c>
    </row>
    <row r="80" spans="1:27">
      <c r="A80" t="s">
        <v>3253</v>
      </c>
      <c r="B80" t="s">
        <v>720</v>
      </c>
      <c r="C80" t="s">
        <v>10</v>
      </c>
      <c r="D80" s="24" t="s">
        <v>3253</v>
      </c>
      <c r="W80" s="24" t="s">
        <v>4073</v>
      </c>
      <c r="X80" s="24" t="s">
        <v>4074</v>
      </c>
      <c r="Y80" s="24" t="s">
        <v>4066</v>
      </c>
      <c r="Z80" s="24" t="s">
        <v>403</v>
      </c>
      <c r="AA80" s="24" t="str">
        <f>VLOOKUP(Table6[[#This Row],[Abb.]],Table1[],2,0)</f>
        <v>BW SUPLLY CHAIN CITY</v>
      </c>
    </row>
    <row r="81" spans="1:27">
      <c r="A81" t="s">
        <v>3254</v>
      </c>
      <c r="B81" t="s">
        <v>723</v>
      </c>
      <c r="C81" t="s">
        <v>10</v>
      </c>
      <c r="D81" s="24" t="s">
        <v>3254</v>
      </c>
      <c r="W81" s="24" t="s">
        <v>4075</v>
      </c>
      <c r="X81" s="24" t="s">
        <v>4076</v>
      </c>
      <c r="Y81" s="24" t="s">
        <v>4066</v>
      </c>
      <c r="Z81" s="24" t="s">
        <v>403</v>
      </c>
      <c r="AA81" s="24" t="str">
        <f>VLOOKUP(Table6[[#This Row],[Abb.]],Table1[],2,0)</f>
        <v>BW SUPLLY CHAIN CITY</v>
      </c>
    </row>
    <row r="82" spans="1:27">
      <c r="A82" t="s">
        <v>3255</v>
      </c>
      <c r="B82" t="s">
        <v>725</v>
      </c>
      <c r="C82" t="s">
        <v>10</v>
      </c>
      <c r="D82" s="24" t="s">
        <v>3255</v>
      </c>
      <c r="W82" s="24" t="s">
        <v>4077</v>
      </c>
      <c r="X82" s="24" t="s">
        <v>4078</v>
      </c>
      <c r="Y82" s="24" t="s">
        <v>4038</v>
      </c>
      <c r="Z82" s="24" t="s">
        <v>403</v>
      </c>
      <c r="AA82" s="24" t="str">
        <f>VLOOKUP(Table6[[#This Row],[Abb.]],Table1[],2,0)</f>
        <v>BW SUPLLY CHAIN CITY</v>
      </c>
    </row>
    <row r="83" spans="1:27">
      <c r="A83" t="s">
        <v>3256</v>
      </c>
      <c r="B83" t="s">
        <v>728</v>
      </c>
      <c r="C83" t="s">
        <v>10</v>
      </c>
      <c r="D83" s="24" t="s">
        <v>3256</v>
      </c>
      <c r="W83" s="24" t="s">
        <v>4079</v>
      </c>
      <c r="X83" s="24" t="s">
        <v>4080</v>
      </c>
      <c r="Y83" s="24" t="s">
        <v>4038</v>
      </c>
      <c r="Z83" s="24" t="s">
        <v>403</v>
      </c>
      <c r="AA83" s="24" t="str">
        <f>VLOOKUP(Table6[[#This Row],[Abb.]],Table1[],2,0)</f>
        <v>BW SUPLLY CHAIN CITY</v>
      </c>
    </row>
    <row r="84" spans="1:27">
      <c r="A84" t="s">
        <v>3257</v>
      </c>
      <c r="B84" t="s">
        <v>730</v>
      </c>
      <c r="C84" t="s">
        <v>10</v>
      </c>
      <c r="D84" s="24" t="s">
        <v>3257</v>
      </c>
      <c r="W84" s="24" t="s">
        <v>4081</v>
      </c>
      <c r="X84" s="24" t="s">
        <v>4082</v>
      </c>
      <c r="Y84" s="24" t="s">
        <v>4038</v>
      </c>
      <c r="Z84" s="24" t="s">
        <v>403</v>
      </c>
      <c r="AA84" s="24" t="str">
        <f>VLOOKUP(Table6[[#This Row],[Abb.]],Table1[],2,0)</f>
        <v>BW SUPLLY CHAIN CITY</v>
      </c>
    </row>
    <row r="85" spans="1:27">
      <c r="A85" t="s">
        <v>3258</v>
      </c>
      <c r="B85" t="s">
        <v>732</v>
      </c>
      <c r="C85" t="s">
        <v>10</v>
      </c>
      <c r="D85" s="24" t="s">
        <v>3258</v>
      </c>
      <c r="W85" s="24" t="s">
        <v>4083</v>
      </c>
      <c r="X85" s="24" t="s">
        <v>4084</v>
      </c>
      <c r="Y85" s="24" t="s">
        <v>4038</v>
      </c>
      <c r="Z85" s="24" t="s">
        <v>403</v>
      </c>
      <c r="AA85" s="24" t="str">
        <f>VLOOKUP(Table6[[#This Row],[Abb.]],Table1[],2,0)</f>
        <v>BW SUPLLY CHAIN CITY</v>
      </c>
    </row>
    <row r="86" spans="1:27">
      <c r="A86" t="s">
        <v>3259</v>
      </c>
      <c r="B86" t="s">
        <v>734</v>
      </c>
      <c r="C86" t="s">
        <v>10</v>
      </c>
      <c r="D86" s="24" t="s">
        <v>3259</v>
      </c>
      <c r="W86" s="24" t="s">
        <v>4085</v>
      </c>
      <c r="X86" s="24" t="s">
        <v>4086</v>
      </c>
      <c r="Y86" s="24" t="s">
        <v>4038</v>
      </c>
      <c r="Z86" s="24" t="s">
        <v>403</v>
      </c>
      <c r="AA86" s="24" t="str">
        <f>VLOOKUP(Table6[[#This Row],[Abb.]],Table1[],2,0)</f>
        <v>BW SUPLLY CHAIN CITY</v>
      </c>
    </row>
    <row r="87" spans="1:27">
      <c r="A87" t="s">
        <v>3260</v>
      </c>
      <c r="B87" t="s">
        <v>737</v>
      </c>
      <c r="C87" t="s">
        <v>10</v>
      </c>
      <c r="D87" s="24" t="s">
        <v>3260</v>
      </c>
      <c r="W87" s="24" t="s">
        <v>4087</v>
      </c>
      <c r="X87" s="24" t="s">
        <v>4088</v>
      </c>
      <c r="Y87" s="24" t="s">
        <v>4038</v>
      </c>
      <c r="Z87" s="24" t="s">
        <v>403</v>
      </c>
      <c r="AA87" s="24" t="str">
        <f>VLOOKUP(Table6[[#This Row],[Abb.]],Table1[],2,0)</f>
        <v>BW SUPLLY CHAIN CITY</v>
      </c>
    </row>
    <row r="88" spans="1:27">
      <c r="A88" t="s">
        <v>3261</v>
      </c>
      <c r="B88" t="s">
        <v>739</v>
      </c>
      <c r="C88" t="s">
        <v>10</v>
      </c>
      <c r="D88" s="24" t="s">
        <v>3261</v>
      </c>
      <c r="W88" s="24" t="s">
        <v>4089</v>
      </c>
      <c r="X88" s="24" t="s">
        <v>4090</v>
      </c>
      <c r="Y88" s="24" t="s">
        <v>4060</v>
      </c>
      <c r="Z88" s="24" t="s">
        <v>403</v>
      </c>
      <c r="AA88" s="24" t="str">
        <f>VLOOKUP(Table6[[#This Row],[Abb.]],Table1[],2,0)</f>
        <v>BW SUPLLY CHAIN CITY</v>
      </c>
    </row>
    <row r="89" spans="1:27">
      <c r="A89" t="s">
        <v>3262</v>
      </c>
      <c r="B89" t="s">
        <v>742</v>
      </c>
      <c r="C89" t="s">
        <v>10</v>
      </c>
      <c r="D89" s="24" t="s">
        <v>3262</v>
      </c>
      <c r="W89" s="24" t="s">
        <v>4091</v>
      </c>
      <c r="X89" s="24" t="s">
        <v>4092</v>
      </c>
      <c r="Y89" s="24" t="s">
        <v>4060</v>
      </c>
      <c r="Z89" s="24" t="s">
        <v>403</v>
      </c>
      <c r="AA89" s="24" t="str">
        <f>VLOOKUP(Table6[[#This Row],[Abb.]],Table1[],2,0)</f>
        <v>BW SUPLLY CHAIN CITY</v>
      </c>
    </row>
    <row r="90" spans="1:27">
      <c r="A90" t="s">
        <v>3264</v>
      </c>
      <c r="B90" t="s">
        <v>744</v>
      </c>
      <c r="C90" t="s">
        <v>10</v>
      </c>
      <c r="D90" s="24" t="s">
        <v>3264</v>
      </c>
      <c r="W90" s="24" t="s">
        <v>4093</v>
      </c>
      <c r="X90" s="24" t="s">
        <v>4094</v>
      </c>
      <c r="Y90" s="24" t="s">
        <v>4060</v>
      </c>
      <c r="Z90" s="24" t="s">
        <v>403</v>
      </c>
      <c r="AA90" s="24" t="str">
        <f>VLOOKUP(Table6[[#This Row],[Abb.]],Table1[],2,0)</f>
        <v>BW SUPLLY CHAIN CITY</v>
      </c>
    </row>
    <row r="91" spans="1:27">
      <c r="A91" t="s">
        <v>3277</v>
      </c>
      <c r="B91" t="s">
        <v>761</v>
      </c>
      <c r="C91" t="s">
        <v>10</v>
      </c>
      <c r="D91" s="24" t="s">
        <v>3277</v>
      </c>
      <c r="W91" s="24" t="s">
        <v>4095</v>
      </c>
      <c r="X91" s="24" t="s">
        <v>4096</v>
      </c>
      <c r="Y91" s="24" t="s">
        <v>4060</v>
      </c>
      <c r="Z91" s="24" t="s">
        <v>403</v>
      </c>
      <c r="AA91" s="24" t="str">
        <f>VLOOKUP(Table6[[#This Row],[Abb.]],Table1[],2,0)</f>
        <v>BW SUPLLY CHAIN CITY</v>
      </c>
    </row>
    <row r="92" spans="1:27">
      <c r="A92" t="s">
        <v>3270</v>
      </c>
      <c r="B92" t="s">
        <v>748</v>
      </c>
      <c r="C92" t="s">
        <v>10</v>
      </c>
      <c r="D92" s="24" t="s">
        <v>3270</v>
      </c>
      <c r="W92" s="24" t="s">
        <v>4097</v>
      </c>
      <c r="X92" s="24" t="s">
        <v>4098</v>
      </c>
      <c r="Y92" s="24" t="s">
        <v>4060</v>
      </c>
      <c r="Z92" s="24" t="s">
        <v>403</v>
      </c>
      <c r="AA92" s="24" t="str">
        <f>VLOOKUP(Table6[[#This Row],[Abb.]],Table1[],2,0)</f>
        <v>BW SUPLLY CHAIN CITY</v>
      </c>
    </row>
    <row r="93" spans="1:27">
      <c r="A93" t="s">
        <v>3271</v>
      </c>
      <c r="B93" t="s">
        <v>750</v>
      </c>
      <c r="C93" t="s">
        <v>10</v>
      </c>
      <c r="D93" s="24" t="s">
        <v>3271</v>
      </c>
      <c r="W93" s="24" t="s">
        <v>4099</v>
      </c>
      <c r="X93" s="24" t="s">
        <v>4100</v>
      </c>
      <c r="Y93" s="24" t="s">
        <v>4060</v>
      </c>
      <c r="Z93" s="24" t="s">
        <v>403</v>
      </c>
      <c r="AA93" s="24" t="str">
        <f>VLOOKUP(Table6[[#This Row],[Abb.]],Table1[],2,0)</f>
        <v>BW SUPLLY CHAIN CITY</v>
      </c>
    </row>
    <row r="94" spans="1:27">
      <c r="A94" t="s">
        <v>3272</v>
      </c>
      <c r="B94" t="s">
        <v>752</v>
      </c>
      <c r="C94" t="s">
        <v>10</v>
      </c>
      <c r="D94" s="24" t="s">
        <v>3272</v>
      </c>
      <c r="W94" s="24" t="s">
        <v>4101</v>
      </c>
      <c r="X94" s="24" t="s">
        <v>4102</v>
      </c>
      <c r="Y94" s="24" t="s">
        <v>4060</v>
      </c>
      <c r="Z94" s="24" t="s">
        <v>403</v>
      </c>
      <c r="AA94" s="24" t="str">
        <f>VLOOKUP(Table6[[#This Row],[Abb.]],Table1[],2,0)</f>
        <v>BW SUPLLY CHAIN CITY</v>
      </c>
    </row>
    <row r="95" spans="1:27">
      <c r="A95" t="s">
        <v>3390</v>
      </c>
      <c r="B95" t="s">
        <v>768</v>
      </c>
      <c r="C95" t="s">
        <v>10</v>
      </c>
      <c r="D95" s="24" t="s">
        <v>3390</v>
      </c>
      <c r="W95" s="24" t="s">
        <v>4103</v>
      </c>
      <c r="X95" s="24" t="s">
        <v>4104</v>
      </c>
      <c r="Y95" s="24" t="s">
        <v>4053</v>
      </c>
      <c r="Z95" s="24" t="s">
        <v>403</v>
      </c>
      <c r="AA95" s="24" t="str">
        <f>VLOOKUP(Table6[[#This Row],[Abb.]],Table1[],2,0)</f>
        <v>BW SUPLLY CHAIN CITY</v>
      </c>
    </row>
    <row r="96" spans="1:27">
      <c r="A96" t="s">
        <v>3391</v>
      </c>
      <c r="B96" t="s">
        <v>770</v>
      </c>
      <c r="C96" t="s">
        <v>10</v>
      </c>
      <c r="D96" s="24" t="s">
        <v>3391</v>
      </c>
      <c r="W96" s="24" t="s">
        <v>4105</v>
      </c>
      <c r="X96" s="24" t="s">
        <v>4106</v>
      </c>
      <c r="Y96" s="24" t="s">
        <v>4053</v>
      </c>
      <c r="Z96" s="24" t="s">
        <v>403</v>
      </c>
      <c r="AA96" s="24" t="str">
        <f>VLOOKUP(Table6[[#This Row],[Abb.]],Table1[],2,0)</f>
        <v>BW SUPLLY CHAIN CITY</v>
      </c>
    </row>
    <row r="97" spans="1:27">
      <c r="A97" t="s">
        <v>3392</v>
      </c>
      <c r="B97" t="s">
        <v>772</v>
      </c>
      <c r="C97" t="s">
        <v>10</v>
      </c>
      <c r="D97" s="24" t="s">
        <v>3392</v>
      </c>
      <c r="W97" s="24" t="s">
        <v>4107</v>
      </c>
      <c r="X97" s="24" t="s">
        <v>4108</v>
      </c>
      <c r="Y97" s="24" t="s">
        <v>4053</v>
      </c>
      <c r="Z97" s="24" t="s">
        <v>403</v>
      </c>
      <c r="AA97" s="24" t="str">
        <f>VLOOKUP(Table6[[#This Row],[Abb.]],Table1[],2,0)</f>
        <v>BW SUPLLY CHAIN CITY</v>
      </c>
    </row>
    <row r="98" spans="1:27">
      <c r="A98" t="s">
        <v>3393</v>
      </c>
      <c r="B98" t="s">
        <v>774</v>
      </c>
      <c r="C98" t="s">
        <v>10</v>
      </c>
      <c r="D98" s="24" t="s">
        <v>3393</v>
      </c>
      <c r="W98" s="24" t="s">
        <v>4109</v>
      </c>
      <c r="X98" s="24" t="s">
        <v>4110</v>
      </c>
      <c r="Y98" s="24" t="s">
        <v>4053</v>
      </c>
      <c r="Z98" s="24" t="s">
        <v>403</v>
      </c>
      <c r="AA98" s="24" t="str">
        <f>VLOOKUP(Table6[[#This Row],[Abb.]],Table1[],2,0)</f>
        <v>BW SUPLLY CHAIN CITY</v>
      </c>
    </row>
    <row r="99" spans="1:27">
      <c r="A99" t="s">
        <v>3394</v>
      </c>
      <c r="B99" t="s">
        <v>776</v>
      </c>
      <c r="C99" t="s">
        <v>10</v>
      </c>
      <c r="D99" s="24" t="s">
        <v>3394</v>
      </c>
      <c r="W99" s="24" t="s">
        <v>4111</v>
      </c>
      <c r="X99" s="24" t="s">
        <v>4112</v>
      </c>
      <c r="Y99" s="24" t="s">
        <v>4053</v>
      </c>
      <c r="Z99" s="24" t="s">
        <v>403</v>
      </c>
      <c r="AA99" s="24" t="str">
        <f>VLOOKUP(Table6[[#This Row],[Abb.]],Table1[],2,0)</f>
        <v>BW SUPLLY CHAIN CITY</v>
      </c>
    </row>
    <row r="100" spans="1:27">
      <c r="A100" t="s">
        <v>3395</v>
      </c>
      <c r="B100" t="s">
        <v>778</v>
      </c>
      <c r="C100" t="s">
        <v>10</v>
      </c>
      <c r="D100" s="24" t="s">
        <v>3395</v>
      </c>
      <c r="W100" s="24" t="s">
        <v>4113</v>
      </c>
      <c r="X100" s="24" t="s">
        <v>4114</v>
      </c>
      <c r="Y100" s="24" t="s">
        <v>4053</v>
      </c>
      <c r="Z100" s="24" t="s">
        <v>403</v>
      </c>
      <c r="AA100" s="24" t="str">
        <f>VLOOKUP(Table6[[#This Row],[Abb.]],Table1[],2,0)</f>
        <v>BW SUPLLY CHAIN CITY</v>
      </c>
    </row>
    <row r="101" spans="1:27">
      <c r="A101" t="s">
        <v>3398</v>
      </c>
      <c r="B101" t="s">
        <v>784</v>
      </c>
      <c r="C101" t="s">
        <v>10</v>
      </c>
      <c r="D101" s="24" t="s">
        <v>3398</v>
      </c>
      <c r="W101" s="24" t="s">
        <v>4115</v>
      </c>
      <c r="X101" s="24" t="s">
        <v>4116</v>
      </c>
      <c r="Y101" s="24" t="s">
        <v>3884</v>
      </c>
      <c r="Z101" s="24" t="s">
        <v>432</v>
      </c>
      <c r="AA101" s="24" t="str">
        <f>VLOOKUP(Table6[[#This Row],[Abb.]],Table1[],2,0)</f>
        <v>BWID BAC NINH</v>
      </c>
    </row>
    <row r="102" spans="1:27">
      <c r="A102" t="s">
        <v>3399</v>
      </c>
      <c r="B102" t="s">
        <v>786</v>
      </c>
      <c r="C102" t="s">
        <v>10</v>
      </c>
      <c r="D102" s="24" t="s">
        <v>3399</v>
      </c>
      <c r="W102" s="24" t="s">
        <v>4117</v>
      </c>
      <c r="X102" s="24" t="s">
        <v>4118</v>
      </c>
      <c r="Y102" s="24" t="s">
        <v>3871</v>
      </c>
      <c r="Z102" s="24" t="s">
        <v>389</v>
      </c>
      <c r="AA102" s="24" t="str">
        <f>VLOOKUP(Table6[[#This Row],[Abb.]],Table1[],2,0)</f>
        <v>BWID BINH DUONG</v>
      </c>
    </row>
    <row r="103" spans="1:27">
      <c r="A103" t="s">
        <v>3396</v>
      </c>
      <c r="B103" t="s">
        <v>780</v>
      </c>
      <c r="C103" t="s">
        <v>10</v>
      </c>
      <c r="D103" s="24" t="s">
        <v>3396</v>
      </c>
      <c r="W103" s="24" t="s">
        <v>4119</v>
      </c>
      <c r="X103" s="24" t="s">
        <v>4120</v>
      </c>
      <c r="Y103" s="24" t="s">
        <v>3880</v>
      </c>
      <c r="Z103" s="24" t="s">
        <v>389</v>
      </c>
      <c r="AA103" s="24" t="str">
        <f>VLOOKUP(Table6[[#This Row],[Abb.]],Table1[],2,0)</f>
        <v>BWID BINH DUONG</v>
      </c>
    </row>
    <row r="104" spans="1:27">
      <c r="A104" t="s">
        <v>3397</v>
      </c>
      <c r="B104" t="s">
        <v>782</v>
      </c>
      <c r="C104" t="s">
        <v>10</v>
      </c>
      <c r="D104" s="24" t="s">
        <v>3397</v>
      </c>
      <c r="W104" s="24" t="s">
        <v>4121</v>
      </c>
      <c r="X104" s="24" t="s">
        <v>4122</v>
      </c>
      <c r="Y104" s="24" t="s">
        <v>3880</v>
      </c>
      <c r="Z104" s="24" t="s">
        <v>389</v>
      </c>
      <c r="AA104" s="24" t="str">
        <f>VLOOKUP(Table6[[#This Row],[Abb.]],Table1[],2,0)</f>
        <v>BWID BINH DUONG</v>
      </c>
    </row>
    <row r="105" spans="1:27">
      <c r="A105" t="s">
        <v>3400</v>
      </c>
      <c r="B105" t="s">
        <v>788</v>
      </c>
      <c r="C105" t="s">
        <v>10</v>
      </c>
      <c r="D105" s="24" t="s">
        <v>3400</v>
      </c>
      <c r="W105" s="24" t="s">
        <v>4123</v>
      </c>
      <c r="X105" s="24" t="s">
        <v>4124</v>
      </c>
      <c r="Y105" s="24" t="s">
        <v>3894</v>
      </c>
      <c r="Z105" s="24" t="s">
        <v>2888</v>
      </c>
      <c r="AA105" s="24" t="str">
        <f>VLOOKUP(Table6[[#This Row],[Abb.]],Table1[],2,0)</f>
        <v>BWID HAI DUONG</v>
      </c>
    </row>
    <row r="106" spans="1:27">
      <c r="A106" t="s">
        <v>3401</v>
      </c>
      <c r="B106" t="s">
        <v>790</v>
      </c>
      <c r="C106" t="s">
        <v>10</v>
      </c>
      <c r="D106" s="24" t="s">
        <v>3401</v>
      </c>
      <c r="W106" s="24" t="s">
        <v>4125</v>
      </c>
      <c r="X106" s="24" t="s">
        <v>4126</v>
      </c>
      <c r="Y106" s="24" t="s">
        <v>4038</v>
      </c>
      <c r="Z106" s="24" t="s">
        <v>403</v>
      </c>
      <c r="AA106" s="24" t="str">
        <f>VLOOKUP(Table6[[#This Row],[Abb.]],Table1[],2,0)</f>
        <v>BW SUPLLY CHAIN CITY</v>
      </c>
    </row>
    <row r="107" spans="1:27">
      <c r="A107" t="s">
        <v>3402</v>
      </c>
      <c r="B107" t="s">
        <v>792</v>
      </c>
      <c r="C107" t="s">
        <v>10</v>
      </c>
      <c r="D107" s="24" t="s">
        <v>3402</v>
      </c>
      <c r="W107" s="24" t="s">
        <v>4127</v>
      </c>
      <c r="X107" s="24" t="s">
        <v>4128</v>
      </c>
      <c r="Y107" s="24" t="s">
        <v>3894</v>
      </c>
      <c r="Z107" s="24" t="s">
        <v>2888</v>
      </c>
      <c r="AA107" s="24" t="str">
        <f>VLOOKUP(Table6[[#This Row],[Abb.]],Table1[],2,0)</f>
        <v>BWID HAI DUONG</v>
      </c>
    </row>
    <row r="108" spans="1:27">
      <c r="A108" t="s">
        <v>3403</v>
      </c>
      <c r="B108" t="s">
        <v>794</v>
      </c>
      <c r="C108" t="s">
        <v>10</v>
      </c>
      <c r="D108" s="24" t="s">
        <v>3403</v>
      </c>
      <c r="W108" s="24" t="s">
        <v>4129</v>
      </c>
      <c r="X108" s="24" t="s">
        <v>4130</v>
      </c>
      <c r="Y108" s="24" t="s">
        <v>3897</v>
      </c>
      <c r="Z108" s="24" t="s">
        <v>389</v>
      </c>
      <c r="AA108" s="24" t="str">
        <f>VLOOKUP(Table6[[#This Row],[Abb.]],Table1[],2,0)</f>
        <v>BWID BINH DUONG</v>
      </c>
    </row>
    <row r="109" spans="1:27">
      <c r="A109" t="s">
        <v>3404</v>
      </c>
      <c r="B109" t="s">
        <v>796</v>
      </c>
      <c r="C109" t="s">
        <v>10</v>
      </c>
      <c r="D109" s="24" t="s">
        <v>3404</v>
      </c>
      <c r="W109" s="24" t="s">
        <v>4131</v>
      </c>
      <c r="X109" s="24" t="s">
        <v>4132</v>
      </c>
      <c r="Y109" s="24" t="s">
        <v>3997</v>
      </c>
      <c r="Z109" s="24" t="s">
        <v>389</v>
      </c>
      <c r="AA109" s="24" t="str">
        <f>VLOOKUP(Table6[[#This Row],[Abb.]],Table1[],2,0)</f>
        <v>BWID BINH DUONG</v>
      </c>
    </row>
    <row r="110" spans="1:27">
      <c r="A110" t="s">
        <v>3505</v>
      </c>
      <c r="B110" t="s">
        <v>970</v>
      </c>
      <c r="C110" t="s">
        <v>10</v>
      </c>
      <c r="D110" s="24" t="s">
        <v>3505</v>
      </c>
      <c r="W110" s="24" t="s">
        <v>4133</v>
      </c>
      <c r="X110" s="24" t="s">
        <v>4134</v>
      </c>
      <c r="Y110" s="24" t="s">
        <v>3920</v>
      </c>
      <c r="Z110" s="24" t="s">
        <v>389</v>
      </c>
      <c r="AA110" s="24" t="str">
        <f>VLOOKUP(Table6[[#This Row],[Abb.]],Table1[],2,0)</f>
        <v>BWID BINH DUONG</v>
      </c>
    </row>
    <row r="111" spans="1:27">
      <c r="A111" t="s">
        <v>420</v>
      </c>
      <c r="B111" t="s">
        <v>857</v>
      </c>
      <c r="C111" t="s">
        <v>10</v>
      </c>
      <c r="D111" s="24" t="s">
        <v>420</v>
      </c>
      <c r="W111" s="24" t="s">
        <v>4135</v>
      </c>
      <c r="X111" s="24" t="s">
        <v>4136</v>
      </c>
      <c r="Y111" s="24" t="s">
        <v>4137</v>
      </c>
      <c r="Z111" s="24" t="s">
        <v>3010</v>
      </c>
      <c r="AA111" s="24" t="str">
        <f>VLOOKUP(Table6[[#This Row],[Abb.]],Table1[],2,0)</f>
        <v>BWID LOGISTICS TAN UYEN</v>
      </c>
    </row>
    <row r="112" spans="1:27">
      <c r="A112" t="s">
        <v>3506</v>
      </c>
      <c r="B112" t="s">
        <v>859</v>
      </c>
      <c r="C112" t="s">
        <v>10</v>
      </c>
      <c r="D112" s="24" t="s">
        <v>3506</v>
      </c>
      <c r="W112" s="24" t="s">
        <v>4138</v>
      </c>
      <c r="X112" s="24" t="s">
        <v>4139</v>
      </c>
      <c r="Y112" s="24" t="s">
        <v>3897</v>
      </c>
      <c r="Z112" s="24" t="s">
        <v>389</v>
      </c>
      <c r="AA112" s="24" t="str">
        <f>VLOOKUP(Table6[[#This Row],[Abb.]],Table1[],2,0)</f>
        <v>BWID BINH DUONG</v>
      </c>
    </row>
    <row r="113" spans="1:27">
      <c r="A113" t="s">
        <v>3507</v>
      </c>
      <c r="B113" t="s">
        <v>862</v>
      </c>
      <c r="C113" t="s">
        <v>10</v>
      </c>
      <c r="D113" s="24" t="s">
        <v>3507</v>
      </c>
      <c r="W113" s="24" t="s">
        <v>4140</v>
      </c>
      <c r="X113" s="24" t="s">
        <v>4141</v>
      </c>
      <c r="Y113" s="24" t="s">
        <v>3884</v>
      </c>
      <c r="Z113" s="24" t="s">
        <v>432</v>
      </c>
      <c r="AA113" s="24" t="str">
        <f>VLOOKUP(Table6[[#This Row],[Abb.]],Table1[],2,0)</f>
        <v>BWID BAC NINH</v>
      </c>
    </row>
    <row r="114" spans="1:27">
      <c r="A114" t="s">
        <v>3512</v>
      </c>
      <c r="B114" t="s">
        <v>875</v>
      </c>
      <c r="C114" t="s">
        <v>10</v>
      </c>
      <c r="D114" s="24" t="s">
        <v>3512</v>
      </c>
      <c r="W114" s="24" t="s">
        <v>4142</v>
      </c>
      <c r="X114" s="24" t="s">
        <v>4143</v>
      </c>
      <c r="Y114" s="24" t="s">
        <v>4043</v>
      </c>
      <c r="Z114" s="24" t="s">
        <v>403</v>
      </c>
      <c r="AA114" s="24" t="str">
        <f>VLOOKUP(Table6[[#This Row],[Abb.]],Table1[],2,0)</f>
        <v>BW SUPLLY CHAIN CITY</v>
      </c>
    </row>
    <row r="115" spans="1:27">
      <c r="A115" t="s">
        <v>3513</v>
      </c>
      <c r="B115" t="s">
        <v>877</v>
      </c>
      <c r="C115" t="s">
        <v>10</v>
      </c>
      <c r="D115" s="24" t="s">
        <v>3513</v>
      </c>
      <c r="W115" s="24" t="s">
        <v>4144</v>
      </c>
      <c r="X115" s="24" t="s">
        <v>4145</v>
      </c>
      <c r="Y115" s="24" t="s">
        <v>3920</v>
      </c>
      <c r="Z115" s="24" t="s">
        <v>389</v>
      </c>
      <c r="AA115" s="24" t="str">
        <f>VLOOKUP(Table6[[#This Row],[Abb.]],Table1[],2,0)</f>
        <v>BWID BINH DUONG</v>
      </c>
    </row>
    <row r="116" spans="1:27">
      <c r="A116" t="s">
        <v>3514</v>
      </c>
      <c r="B116" t="s">
        <v>879</v>
      </c>
      <c r="C116" t="s">
        <v>10</v>
      </c>
      <c r="D116" s="24" t="s">
        <v>3514</v>
      </c>
      <c r="W116" s="24" t="s">
        <v>4146</v>
      </c>
      <c r="X116" s="24" t="s">
        <v>4147</v>
      </c>
      <c r="Y116" s="24" t="s">
        <v>3920</v>
      </c>
      <c r="Z116" s="24" t="s">
        <v>389</v>
      </c>
      <c r="AA116" s="24" t="str">
        <f>VLOOKUP(Table6[[#This Row],[Abb.]],Table1[],2,0)</f>
        <v>BWID BINH DUONG</v>
      </c>
    </row>
    <row r="117" spans="1:27">
      <c r="A117" t="s">
        <v>3516</v>
      </c>
      <c r="B117" t="s">
        <v>884</v>
      </c>
      <c r="C117" t="s">
        <v>10</v>
      </c>
      <c r="D117" s="24" t="s">
        <v>3516</v>
      </c>
      <c r="W117" s="24" t="s">
        <v>4148</v>
      </c>
      <c r="X117" s="24" t="s">
        <v>4149</v>
      </c>
      <c r="Y117" s="24" t="s">
        <v>4137</v>
      </c>
      <c r="Z117" s="24" t="s">
        <v>3010</v>
      </c>
      <c r="AA117" s="24" t="str">
        <f>VLOOKUP(Table6[[#This Row],[Abb.]],Table1[],2,0)</f>
        <v>BWID LOGISTICS TAN UYEN</v>
      </c>
    </row>
    <row r="118" spans="1:27">
      <c r="A118" t="s">
        <v>428</v>
      </c>
      <c r="B118" t="s">
        <v>886</v>
      </c>
      <c r="C118" t="s">
        <v>10</v>
      </c>
      <c r="D118" s="24" t="s">
        <v>428</v>
      </c>
      <c r="W118" s="24" t="s">
        <v>4150</v>
      </c>
      <c r="X118" s="24" t="s">
        <v>4151</v>
      </c>
      <c r="Y118" s="24" t="s">
        <v>3894</v>
      </c>
      <c r="Z118" s="24" t="s">
        <v>2888</v>
      </c>
      <c r="AA118" s="24" t="str">
        <f>VLOOKUP(Table6[[#This Row],[Abb.]],Table1[],2,0)</f>
        <v>BWID HAI DUONG</v>
      </c>
    </row>
    <row r="119" spans="1:27">
      <c r="A119" t="s">
        <v>3518</v>
      </c>
      <c r="B119" t="s">
        <v>888</v>
      </c>
      <c r="C119" t="s">
        <v>10</v>
      </c>
      <c r="D119" s="24" t="s">
        <v>3518</v>
      </c>
      <c r="W119" s="24" t="s">
        <v>4152</v>
      </c>
      <c r="X119" s="24" t="s">
        <v>4153</v>
      </c>
      <c r="Y119" s="24" t="s">
        <v>3894</v>
      </c>
      <c r="Z119" s="24" t="s">
        <v>2888</v>
      </c>
      <c r="AA119" s="24" t="str">
        <f>VLOOKUP(Table6[[#This Row],[Abb.]],Table1[],2,0)</f>
        <v>BWID HAI DUONG</v>
      </c>
    </row>
    <row r="120" spans="1:27">
      <c r="A120" t="s">
        <v>3519</v>
      </c>
      <c r="B120" t="s">
        <v>891</v>
      </c>
      <c r="C120" t="s">
        <v>10</v>
      </c>
      <c r="D120" s="24" t="s">
        <v>3519</v>
      </c>
      <c r="W120" s="24" t="s">
        <v>4154</v>
      </c>
      <c r="X120" s="24" t="s">
        <v>4155</v>
      </c>
      <c r="Y120" s="24" t="s">
        <v>4137</v>
      </c>
      <c r="Z120" s="24" t="s">
        <v>3010</v>
      </c>
      <c r="AA120" s="24" t="str">
        <f>VLOOKUP(Table6[[#This Row],[Abb.]],Table1[],2,0)</f>
        <v>BWID LOGISTICS TAN UYEN</v>
      </c>
    </row>
    <row r="121" spans="1:27">
      <c r="A121" t="s">
        <v>459</v>
      </c>
      <c r="B121" t="s">
        <v>897</v>
      </c>
      <c r="C121" t="s">
        <v>10</v>
      </c>
      <c r="D121" s="24" t="s">
        <v>459</v>
      </c>
      <c r="W121" s="24" t="s">
        <v>4156</v>
      </c>
      <c r="X121" s="24" t="s">
        <v>4157</v>
      </c>
      <c r="Y121" s="24" t="s">
        <v>3920</v>
      </c>
      <c r="Z121" s="24" t="s">
        <v>389</v>
      </c>
      <c r="AA121" s="24" t="str">
        <f>VLOOKUP(Table6[[#This Row],[Abb.]],Table1[],2,0)</f>
        <v>BWID BINH DUONG</v>
      </c>
    </row>
    <row r="122" spans="1:27">
      <c r="A122" t="s">
        <v>3190</v>
      </c>
      <c r="B122" t="s">
        <v>905</v>
      </c>
      <c r="C122" t="s">
        <v>10</v>
      </c>
      <c r="D122" s="24" t="s">
        <v>3190</v>
      </c>
      <c r="W122" s="24" t="s">
        <v>4158</v>
      </c>
      <c r="X122" s="24" t="s">
        <v>4159</v>
      </c>
      <c r="Y122" s="24" t="s">
        <v>3884</v>
      </c>
      <c r="Z122" s="24" t="s">
        <v>432</v>
      </c>
      <c r="AA122" s="24" t="str">
        <f>VLOOKUP(Table6[[#This Row],[Abb.]],Table1[],2,0)</f>
        <v>BWID BAC NINH</v>
      </c>
    </row>
    <row r="123" spans="1:27">
      <c r="A123" t="s">
        <v>456</v>
      </c>
      <c r="B123" t="s">
        <v>912</v>
      </c>
      <c r="C123" t="s">
        <v>10</v>
      </c>
      <c r="D123" s="24" t="s">
        <v>456</v>
      </c>
      <c r="W123" s="24" t="s">
        <v>4160</v>
      </c>
      <c r="X123" s="24" t="s">
        <v>4161</v>
      </c>
      <c r="Y123" s="24" t="s">
        <v>4162</v>
      </c>
      <c r="Z123" s="24" t="s">
        <v>2915</v>
      </c>
      <c r="AA123" s="24" t="str">
        <f>VLOOKUP(Table6[[#This Row],[Abb.]],Table1[],2,0)</f>
        <v>BW DINH VU</v>
      </c>
    </row>
    <row r="124" spans="1:27">
      <c r="A124" t="s">
        <v>3540</v>
      </c>
      <c r="B124" t="s">
        <v>919</v>
      </c>
      <c r="C124" t="s">
        <v>10</v>
      </c>
      <c r="D124" s="24" t="s">
        <v>3540</v>
      </c>
      <c r="W124" s="24" t="s">
        <v>4163</v>
      </c>
      <c r="X124" s="24" t="s">
        <v>4164</v>
      </c>
      <c r="Y124" s="24" t="s">
        <v>4053</v>
      </c>
      <c r="Z124" s="24" t="s">
        <v>403</v>
      </c>
      <c r="AA124" s="24" t="str">
        <f>VLOOKUP(Table6[[#This Row],[Abb.]],Table1[],2,0)</f>
        <v>BW SUPLLY CHAIN CITY</v>
      </c>
    </row>
    <row r="125" spans="1:27">
      <c r="A125" t="s">
        <v>416</v>
      </c>
      <c r="B125" t="s">
        <v>921</v>
      </c>
      <c r="C125" t="s">
        <v>10</v>
      </c>
      <c r="D125" s="24" t="s">
        <v>416</v>
      </c>
      <c r="W125" s="24" t="s">
        <v>4165</v>
      </c>
      <c r="X125" s="24" t="s">
        <v>4166</v>
      </c>
      <c r="Y125" s="24" t="s">
        <v>4038</v>
      </c>
      <c r="Z125" s="24" t="s">
        <v>403</v>
      </c>
      <c r="AA125" s="24" t="str">
        <f>VLOOKUP(Table6[[#This Row],[Abb.]],Table1[],2,0)</f>
        <v>BW SUPLLY CHAIN CITY</v>
      </c>
    </row>
    <row r="126" spans="1:27">
      <c r="A126" t="s">
        <v>3547</v>
      </c>
      <c r="B126" t="s">
        <v>924</v>
      </c>
      <c r="C126" t="s">
        <v>10</v>
      </c>
      <c r="D126" s="24" t="s">
        <v>3547</v>
      </c>
      <c r="W126" s="24" t="s">
        <v>4167</v>
      </c>
      <c r="X126" s="24" t="s">
        <v>4168</v>
      </c>
      <c r="Y126" s="24" t="s">
        <v>3897</v>
      </c>
      <c r="Z126" s="24" t="s">
        <v>389</v>
      </c>
      <c r="AA126" s="24" t="str">
        <f>VLOOKUP(Table6[[#This Row],[Abb.]],Table1[],2,0)</f>
        <v>BWID BINH DUONG</v>
      </c>
    </row>
    <row r="127" spans="1:27">
      <c r="A127" t="s">
        <v>422</v>
      </c>
      <c r="B127" t="s">
        <v>926</v>
      </c>
      <c r="C127" t="s">
        <v>10</v>
      </c>
      <c r="D127" s="24" t="s">
        <v>422</v>
      </c>
      <c r="W127" s="24" t="s">
        <v>4169</v>
      </c>
      <c r="X127" s="24" t="s">
        <v>4170</v>
      </c>
      <c r="Y127" s="24" t="s">
        <v>3888</v>
      </c>
      <c r="Z127" s="24" t="s">
        <v>389</v>
      </c>
      <c r="AA127" s="24" t="str">
        <f>VLOOKUP(Table6[[#This Row],[Abb.]],Table1[],2,0)</f>
        <v>BWID BINH DUONG</v>
      </c>
    </row>
    <row r="128" spans="1:27">
      <c r="A128" t="s">
        <v>3556</v>
      </c>
      <c r="B128" t="s">
        <v>943</v>
      </c>
      <c r="C128" t="s">
        <v>10</v>
      </c>
      <c r="D128" s="24" t="s">
        <v>3556</v>
      </c>
      <c r="W128" s="24" t="s">
        <v>4171</v>
      </c>
      <c r="X128" s="24" t="s">
        <v>4172</v>
      </c>
      <c r="Y128" s="24" t="s">
        <v>4043</v>
      </c>
      <c r="Z128" s="24" t="s">
        <v>403</v>
      </c>
      <c r="AA128" s="24" t="str">
        <f>VLOOKUP(Table6[[#This Row],[Abb.]],Table1[],2,0)</f>
        <v>BW SUPLLY CHAIN CITY</v>
      </c>
    </row>
    <row r="129" spans="1:27">
      <c r="A129" t="s">
        <v>3557</v>
      </c>
      <c r="B129" t="s">
        <v>945</v>
      </c>
      <c r="C129" t="s">
        <v>10</v>
      </c>
      <c r="D129" s="24" t="s">
        <v>3557</v>
      </c>
      <c r="W129" s="24" t="s">
        <v>4173</v>
      </c>
      <c r="X129" s="24" t="s">
        <v>4174</v>
      </c>
      <c r="Y129" s="24" t="s">
        <v>4175</v>
      </c>
      <c r="Z129" s="24" t="s">
        <v>2895</v>
      </c>
      <c r="AA129" s="24" t="str">
        <f>VLOOKUP(Table6[[#This Row],[Abb.]],Table1[],2,0)</f>
        <v>BWID HAI DUONG 2</v>
      </c>
    </row>
    <row r="130" spans="1:27">
      <c r="A130" t="s">
        <v>3558</v>
      </c>
      <c r="B130" t="s">
        <v>947</v>
      </c>
      <c r="C130" t="s">
        <v>10</v>
      </c>
      <c r="D130" s="24" t="s">
        <v>3558</v>
      </c>
      <c r="W130" s="24" t="s">
        <v>4176</v>
      </c>
      <c r="X130" s="24" t="s">
        <v>4177</v>
      </c>
      <c r="Y130" s="24" t="s">
        <v>4178</v>
      </c>
      <c r="Z130" s="24" t="s">
        <v>2980</v>
      </c>
      <c r="AA130" s="24" t="str">
        <f>VLOOKUP(Table6[[#This Row],[Abb.]],Table1[],2,0)</f>
        <v>BWID THOI HOA</v>
      </c>
    </row>
    <row r="131" spans="1:27">
      <c r="A131" t="s">
        <v>3559</v>
      </c>
      <c r="B131" t="s">
        <v>949</v>
      </c>
      <c r="C131" t="s">
        <v>10</v>
      </c>
      <c r="D131" s="24" t="s">
        <v>3559</v>
      </c>
      <c r="W131" s="24" t="s">
        <v>4179</v>
      </c>
      <c r="X131" s="24" t="s">
        <v>4180</v>
      </c>
      <c r="Y131" s="24" t="s">
        <v>4178</v>
      </c>
      <c r="Z131" s="24" t="s">
        <v>2980</v>
      </c>
      <c r="AA131" s="24" t="str">
        <f>VLOOKUP(Table6[[#This Row],[Abb.]],Table1[],2,0)</f>
        <v>BWID THOI HOA</v>
      </c>
    </row>
    <row r="132" spans="1:27">
      <c r="A132" t="s">
        <v>3560</v>
      </c>
      <c r="B132" t="s">
        <v>951</v>
      </c>
      <c r="C132" t="s">
        <v>10</v>
      </c>
      <c r="D132" s="24" t="s">
        <v>3560</v>
      </c>
      <c r="W132" s="24" t="s">
        <v>4181</v>
      </c>
      <c r="X132" s="24" t="s">
        <v>4182</v>
      </c>
      <c r="Y132" s="24" t="s">
        <v>4162</v>
      </c>
      <c r="Z132" s="24" t="s">
        <v>2915</v>
      </c>
      <c r="AA132" s="24" t="str">
        <f>VLOOKUP(Table6[[#This Row],[Abb.]],Table1[],2,0)</f>
        <v>BW DINH VU</v>
      </c>
    </row>
    <row r="133" spans="1:27">
      <c r="A133" t="s">
        <v>3564</v>
      </c>
      <c r="B133" t="s">
        <v>953</v>
      </c>
      <c r="C133" t="s">
        <v>10</v>
      </c>
      <c r="D133" s="24" t="s">
        <v>3564</v>
      </c>
      <c r="W133" s="24" t="s">
        <v>1553</v>
      </c>
      <c r="X133" s="24" t="s">
        <v>4183</v>
      </c>
      <c r="Y133" s="24" t="s">
        <v>3894</v>
      </c>
      <c r="Z133" s="24" t="s">
        <v>2888</v>
      </c>
      <c r="AA133" s="24" t="str">
        <f>VLOOKUP(Table6[[#This Row],[Abb.]],Table1[],2,0)</f>
        <v>BWID HAI DUONG</v>
      </c>
    </row>
    <row r="134" spans="1:27">
      <c r="A134" t="s">
        <v>3565</v>
      </c>
      <c r="B134" t="s">
        <v>955</v>
      </c>
      <c r="C134" t="s">
        <v>10</v>
      </c>
      <c r="D134" s="24" t="s">
        <v>3565</v>
      </c>
      <c r="W134" s="24" t="s">
        <v>4184</v>
      </c>
      <c r="X134" s="24" t="s">
        <v>4185</v>
      </c>
      <c r="Y134" s="24" t="s">
        <v>4186</v>
      </c>
      <c r="Z134" s="24" t="s">
        <v>434</v>
      </c>
      <c r="AA134" s="24" t="str">
        <f>VLOOKUP(Table6[[#This Row],[Abb.]],Table1[],2,0)</f>
        <v>BWID HAI PHONG</v>
      </c>
    </row>
    <row r="135" spans="1:27">
      <c r="A135" t="s">
        <v>3566</v>
      </c>
      <c r="B135" t="s">
        <v>957</v>
      </c>
      <c r="C135" t="s">
        <v>10</v>
      </c>
      <c r="D135" s="24" t="s">
        <v>3566</v>
      </c>
      <c r="W135" s="24" t="s">
        <v>4187</v>
      </c>
      <c r="X135" s="24" t="s">
        <v>4188</v>
      </c>
      <c r="Y135" s="24" t="s">
        <v>4162</v>
      </c>
      <c r="Z135" s="24" t="s">
        <v>2915</v>
      </c>
      <c r="AA135" s="24" t="str">
        <f>VLOOKUP(Table6[[#This Row],[Abb.]],Table1[],2,0)</f>
        <v>BW DINH VU</v>
      </c>
    </row>
    <row r="136" spans="1:27">
      <c r="A136" t="s">
        <v>463</v>
      </c>
      <c r="B136" t="s">
        <v>959</v>
      </c>
      <c r="C136" t="s">
        <v>10</v>
      </c>
      <c r="D136" s="24" t="s">
        <v>463</v>
      </c>
      <c r="W136" s="24" t="s">
        <v>4189</v>
      </c>
      <c r="X136" s="24" t="s">
        <v>4143</v>
      </c>
      <c r="Y136" s="24" t="s">
        <v>4043</v>
      </c>
      <c r="Z136" s="24" t="s">
        <v>403</v>
      </c>
      <c r="AA136" s="24" t="str">
        <f>VLOOKUP(Table6[[#This Row],[Abb.]],Table1[],2,0)</f>
        <v>BW SUPLLY CHAIN CITY</v>
      </c>
    </row>
    <row r="137" spans="1:27">
      <c r="A137" t="s">
        <v>3571</v>
      </c>
      <c r="B137" t="s">
        <v>964</v>
      </c>
      <c r="C137" t="s">
        <v>10</v>
      </c>
      <c r="D137" s="24" t="s">
        <v>3571</v>
      </c>
      <c r="W137" s="24" t="s">
        <v>4190</v>
      </c>
      <c r="X137" s="24" t="s">
        <v>4191</v>
      </c>
      <c r="Y137" s="24" t="s">
        <v>4192</v>
      </c>
      <c r="Z137" s="24" t="s">
        <v>2998</v>
      </c>
      <c r="AA137" s="24" t="str">
        <f>VLOOKUP(Table6[[#This Row],[Abb.]],Table1[],2,0)</f>
        <v>BWID THOI HOA 2</v>
      </c>
    </row>
    <row r="138" spans="1:27">
      <c r="A138" t="s">
        <v>3572</v>
      </c>
      <c r="B138" t="s">
        <v>966</v>
      </c>
      <c r="C138" t="s">
        <v>10</v>
      </c>
      <c r="D138" s="24" t="s">
        <v>3572</v>
      </c>
      <c r="W138" s="24" t="s">
        <v>4193</v>
      </c>
      <c r="X138" s="24" t="s">
        <v>4194</v>
      </c>
      <c r="Y138" s="24" t="s">
        <v>3970</v>
      </c>
      <c r="Z138" s="24" t="s">
        <v>389</v>
      </c>
      <c r="AA138" s="24" t="str">
        <f>VLOOKUP(Table6[[#This Row],[Abb.]],Table1[],2,0)</f>
        <v>BWID BINH DUONG</v>
      </c>
    </row>
    <row r="139" spans="1:27">
      <c r="A139" t="s">
        <v>3625</v>
      </c>
      <c r="B139" t="s">
        <v>979</v>
      </c>
      <c r="C139" t="s">
        <v>10</v>
      </c>
      <c r="D139" s="24" t="s">
        <v>3625</v>
      </c>
      <c r="W139" s="24" t="s">
        <v>4195</v>
      </c>
      <c r="X139" s="24" t="s">
        <v>4196</v>
      </c>
      <c r="Y139" s="24" t="s">
        <v>3997</v>
      </c>
      <c r="Z139" s="24" t="s">
        <v>389</v>
      </c>
      <c r="AA139" s="24" t="str">
        <f>VLOOKUP(Table6[[#This Row],[Abb.]],Table1[],2,0)</f>
        <v>BWID BINH DUONG</v>
      </c>
    </row>
    <row r="140" spans="1:27">
      <c r="A140" t="s">
        <v>3626</v>
      </c>
      <c r="B140" t="s">
        <v>981</v>
      </c>
      <c r="C140" t="s">
        <v>10</v>
      </c>
      <c r="D140" s="24" t="s">
        <v>3626</v>
      </c>
      <c r="W140" s="24" t="s">
        <v>4197</v>
      </c>
      <c r="X140" s="24" t="s">
        <v>4198</v>
      </c>
      <c r="Y140" s="24" t="s">
        <v>4178</v>
      </c>
      <c r="Z140" s="24" t="s">
        <v>2980</v>
      </c>
      <c r="AA140" s="24" t="str">
        <f>VLOOKUP(Table6[[#This Row],[Abb.]],Table1[],2,0)</f>
        <v>BWID THOI HOA</v>
      </c>
    </row>
    <row r="141" spans="1:27">
      <c r="A141" t="s">
        <v>424</v>
      </c>
      <c r="B141" t="s">
        <v>983</v>
      </c>
      <c r="C141" t="s">
        <v>10</v>
      </c>
      <c r="D141" s="24" t="s">
        <v>424</v>
      </c>
      <c r="W141" s="24" t="s">
        <v>4199</v>
      </c>
      <c r="X141" s="24" t="s">
        <v>4200</v>
      </c>
      <c r="Y141" s="24" t="s">
        <v>4201</v>
      </c>
      <c r="Z141" s="24" t="s">
        <v>3047</v>
      </c>
      <c r="AA141" s="24" t="str">
        <f>VLOOKUP(Table6[[#This Row],[Abb.]],Table1[],2,0)</f>
        <v>BW SAIGON LOGISTICS</v>
      </c>
    </row>
    <row r="142" spans="1:27">
      <c r="A142" t="s">
        <v>3627</v>
      </c>
      <c r="B142" t="s">
        <v>985</v>
      </c>
      <c r="C142" t="s">
        <v>10</v>
      </c>
      <c r="D142" s="24" t="s">
        <v>3627</v>
      </c>
      <c r="W142" s="24" t="s">
        <v>4202</v>
      </c>
      <c r="X142" s="24" t="s">
        <v>4203</v>
      </c>
      <c r="Y142" s="24" t="s">
        <v>4178</v>
      </c>
      <c r="Z142" s="24" t="s">
        <v>2980</v>
      </c>
      <c r="AA142" s="24" t="str">
        <f>VLOOKUP(Table6[[#This Row],[Abb.]],Table1[],2,0)</f>
        <v>BWID THOI HOA</v>
      </c>
    </row>
    <row r="143" spans="1:27">
      <c r="A143" t="s">
        <v>3628</v>
      </c>
      <c r="B143" t="s">
        <v>987</v>
      </c>
      <c r="C143" t="s">
        <v>10</v>
      </c>
      <c r="D143" s="24" t="s">
        <v>3628</v>
      </c>
      <c r="W143" s="24" t="s">
        <v>4204</v>
      </c>
      <c r="X143" s="24" t="s">
        <v>4205</v>
      </c>
      <c r="Y143" s="24" t="s">
        <v>4192</v>
      </c>
      <c r="Z143" s="24" t="s">
        <v>2998</v>
      </c>
      <c r="AA143" s="24" t="str">
        <f>VLOOKUP(Table6[[#This Row],[Abb.]],Table1[],2,0)</f>
        <v>BWID THOI HOA 2</v>
      </c>
    </row>
    <row r="144" spans="1:27">
      <c r="A144" t="s">
        <v>3309</v>
      </c>
      <c r="B144" t="s">
        <v>993</v>
      </c>
      <c r="C144" t="s">
        <v>10</v>
      </c>
      <c r="D144" s="24" t="s">
        <v>3309</v>
      </c>
      <c r="W144" s="24" t="s">
        <v>4206</v>
      </c>
      <c r="X144" s="24" t="s">
        <v>4207</v>
      </c>
      <c r="Y144" s="24" t="s">
        <v>3997</v>
      </c>
      <c r="Z144" s="24" t="s">
        <v>389</v>
      </c>
      <c r="AA144" s="24" t="str">
        <f>VLOOKUP(Table6[[#This Row],[Abb.]],Table1[],2,0)</f>
        <v>BWID BINH DUONG</v>
      </c>
    </row>
    <row r="145" spans="1:27">
      <c r="A145" t="s">
        <v>414</v>
      </c>
      <c r="B145" t="s">
        <v>1010</v>
      </c>
      <c r="C145" t="s">
        <v>10</v>
      </c>
      <c r="D145" s="24" t="s">
        <v>414</v>
      </c>
      <c r="W145" s="24" t="s">
        <v>4208</v>
      </c>
      <c r="X145" s="24" t="s">
        <v>4209</v>
      </c>
      <c r="Y145" s="24" t="s">
        <v>4186</v>
      </c>
      <c r="Z145" s="24" t="s">
        <v>434</v>
      </c>
      <c r="AA145" s="24" t="str">
        <f>VLOOKUP(Table6[[#This Row],[Abb.]],Table1[],2,0)</f>
        <v>BWID HAI PHONG</v>
      </c>
    </row>
    <row r="146" spans="1:27">
      <c r="A146" t="s">
        <v>3216</v>
      </c>
      <c r="B146" t="s">
        <v>1015</v>
      </c>
      <c r="C146" t="s">
        <v>10</v>
      </c>
      <c r="D146" s="24" t="s">
        <v>3216</v>
      </c>
      <c r="W146" s="24" t="s">
        <v>4210</v>
      </c>
      <c r="X146" s="24" t="s">
        <v>4211</v>
      </c>
      <c r="Y146" s="24" t="s">
        <v>4038</v>
      </c>
      <c r="Z146" s="24" t="s">
        <v>403</v>
      </c>
      <c r="AA146" s="24" t="str">
        <f>VLOOKUP(Table6[[#This Row],[Abb.]],Table1[],2,0)</f>
        <v>BW SUPLLY CHAIN CITY</v>
      </c>
    </row>
    <row r="147" spans="1:27">
      <c r="A147" t="s">
        <v>3300</v>
      </c>
      <c r="B147" t="s">
        <v>1020</v>
      </c>
      <c r="C147" t="s">
        <v>10</v>
      </c>
      <c r="D147" s="24" t="s">
        <v>3300</v>
      </c>
      <c r="W147" s="24" t="s">
        <v>4212</v>
      </c>
      <c r="X147" s="24" t="s">
        <v>4213</v>
      </c>
      <c r="Y147" s="24" t="s">
        <v>4201</v>
      </c>
      <c r="Z147" s="24" t="s">
        <v>3047</v>
      </c>
      <c r="AA147" s="24" t="str">
        <f>VLOOKUP(Table6[[#This Row],[Abb.]],Table1[],2,0)</f>
        <v>BW SAIGON LOGISTICS</v>
      </c>
    </row>
    <row r="148" spans="1:27">
      <c r="A148" t="s">
        <v>3323</v>
      </c>
      <c r="B148" t="s">
        <v>1028</v>
      </c>
      <c r="C148" t="s">
        <v>10</v>
      </c>
      <c r="D148" s="24" t="s">
        <v>3323</v>
      </c>
      <c r="W148" s="24" t="s">
        <v>4214</v>
      </c>
      <c r="X148" s="24" t="s">
        <v>4215</v>
      </c>
      <c r="Y148" s="24" t="s">
        <v>4216</v>
      </c>
      <c r="Z148" s="24" t="s">
        <v>3160</v>
      </c>
      <c r="AA148" s="24" t="str">
        <f>VLOOKUP(Table6[[#This Row],[Abb.]],Table1[],2,0)</f>
        <v>BWID Tan Phu Trung</v>
      </c>
    </row>
    <row r="149" spans="1:27">
      <c r="A149" t="s">
        <v>3692</v>
      </c>
      <c r="B149" t="s">
        <v>1058</v>
      </c>
      <c r="C149" t="s">
        <v>10</v>
      </c>
      <c r="D149" s="24" t="s">
        <v>3692</v>
      </c>
      <c r="W149" s="24" t="s">
        <v>4217</v>
      </c>
      <c r="X149" s="24" t="s">
        <v>4218</v>
      </c>
      <c r="Y149" s="24" t="s">
        <v>3894</v>
      </c>
      <c r="Z149" s="24" t="s">
        <v>2888</v>
      </c>
      <c r="AA149" s="24" t="str">
        <f>VLOOKUP(Table6[[#This Row],[Abb.]],Table1[],2,0)</f>
        <v>BWID HAI DUONG</v>
      </c>
    </row>
    <row r="150" spans="1:27">
      <c r="A150" t="s">
        <v>3835</v>
      </c>
      <c r="B150" t="s">
        <v>1226</v>
      </c>
      <c r="C150" t="s">
        <v>10</v>
      </c>
      <c r="D150" s="24" t="s">
        <v>3835</v>
      </c>
      <c r="W150" s="24" t="s">
        <v>4219</v>
      </c>
      <c r="X150" s="24" t="s">
        <v>4220</v>
      </c>
      <c r="Y150" s="24" t="s">
        <v>3997</v>
      </c>
      <c r="Z150" s="24" t="s">
        <v>389</v>
      </c>
      <c r="AA150" s="24" t="str">
        <f>VLOOKUP(Table6[[#This Row],[Abb.]],Table1[],2,0)</f>
        <v>BWID BINH DUONG</v>
      </c>
    </row>
    <row r="151" spans="1:27">
      <c r="A151" t="s">
        <v>4221</v>
      </c>
      <c r="B151" t="s">
        <v>4222</v>
      </c>
      <c r="C151" t="s">
        <v>10</v>
      </c>
      <c r="D151" s="24" t="s">
        <v>4221</v>
      </c>
      <c r="W151" s="24" t="s">
        <v>4223</v>
      </c>
      <c r="X151" s="24" t="s">
        <v>4224</v>
      </c>
      <c r="Y151" s="24" t="s">
        <v>4043</v>
      </c>
      <c r="Z151" s="24" t="s">
        <v>403</v>
      </c>
      <c r="AA151" s="24" t="str">
        <f>VLOOKUP(Table6[[#This Row],[Abb.]],Table1[],2,0)</f>
        <v>BW SUPLLY CHAIN CITY</v>
      </c>
    </row>
    <row r="152" spans="1:27">
      <c r="W152" s="24" t="s">
        <v>4225</v>
      </c>
      <c r="X152" s="24" t="s">
        <v>4194</v>
      </c>
      <c r="Y152" s="24" t="s">
        <v>3970</v>
      </c>
      <c r="Z152" s="24" t="s">
        <v>389</v>
      </c>
      <c r="AA152" s="24" t="str">
        <f>VLOOKUP(Table6[[#This Row],[Abb.]],Table1[],2,0)</f>
        <v>BWID BINH DUONG</v>
      </c>
    </row>
    <row r="153" spans="1:27">
      <c r="W153" s="24" t="s">
        <v>4226</v>
      </c>
      <c r="X153" s="24" t="s">
        <v>4227</v>
      </c>
      <c r="Y153" s="24" t="s">
        <v>4201</v>
      </c>
      <c r="Z153" s="24" t="s">
        <v>3047</v>
      </c>
      <c r="AA153" s="24" t="str">
        <f>VLOOKUP(Table6[[#This Row],[Abb.]],Table1[],2,0)</f>
        <v>BW SAIGON LOGISTICS</v>
      </c>
    </row>
    <row r="154" spans="1:27">
      <c r="W154" s="24" t="s">
        <v>4228</v>
      </c>
      <c r="X154" s="24" t="s">
        <v>4229</v>
      </c>
      <c r="Y154" s="24" t="s">
        <v>4201</v>
      </c>
      <c r="Z154" s="24" t="s">
        <v>3047</v>
      </c>
      <c r="AA154" s="24" t="str">
        <f>VLOOKUP(Table6[[#This Row],[Abb.]],Table1[],2,0)</f>
        <v>BW SAIGON LOGISTICS</v>
      </c>
    </row>
    <row r="155" spans="1:27">
      <c r="W155" s="24" t="s">
        <v>4230</v>
      </c>
      <c r="X155" s="24" t="s">
        <v>4231</v>
      </c>
      <c r="Y155" s="24" t="s">
        <v>4201</v>
      </c>
      <c r="Z155" s="24" t="s">
        <v>3047</v>
      </c>
      <c r="AA155" s="24" t="str">
        <f>VLOOKUP(Table6[[#This Row],[Abb.]],Table1[],2,0)</f>
        <v>BW SAIGON LOGISTICS</v>
      </c>
    </row>
    <row r="156" spans="1:27">
      <c r="W156" s="24" t="s">
        <v>4232</v>
      </c>
      <c r="X156" s="24" t="s">
        <v>4233</v>
      </c>
      <c r="Y156" s="24" t="s">
        <v>4234</v>
      </c>
      <c r="Z156" s="24" t="s">
        <v>3237</v>
      </c>
      <c r="AA156" s="24" t="str">
        <f>VLOOKUP(Table6[[#This Row],[Abb.]],Table1[],2,0)</f>
        <v>LONG BINH</v>
      </c>
    </row>
    <row r="157" spans="1:27">
      <c r="W157" s="24" t="s">
        <v>4235</v>
      </c>
      <c r="X157" s="24" t="s">
        <v>4236</v>
      </c>
      <c r="Y157" s="24" t="s">
        <v>4234</v>
      </c>
      <c r="Z157" s="24" t="s">
        <v>3237</v>
      </c>
      <c r="AA157" s="24" t="str">
        <f>VLOOKUP(Table6[[#This Row],[Abb.]],Table1[],2,0)</f>
        <v>LONG BINH</v>
      </c>
    </row>
    <row r="158" spans="1:27">
      <c r="W158" s="24" t="s">
        <v>4237</v>
      </c>
      <c r="X158" s="24" t="s">
        <v>4238</v>
      </c>
      <c r="Y158" s="24" t="s">
        <v>4234</v>
      </c>
      <c r="Z158" s="24" t="s">
        <v>3237</v>
      </c>
      <c r="AA158" s="24" t="str">
        <f>VLOOKUP(Table6[[#This Row],[Abb.]],Table1[],2,0)</f>
        <v>LONG BINH</v>
      </c>
    </row>
    <row r="159" spans="1:27">
      <c r="W159" s="24" t="s">
        <v>4239</v>
      </c>
      <c r="X159" s="24" t="s">
        <v>4240</v>
      </c>
      <c r="Y159" s="24" t="s">
        <v>4234</v>
      </c>
      <c r="Z159" s="24" t="s">
        <v>3237</v>
      </c>
      <c r="AA159" s="24" t="str">
        <f>VLOOKUP(Table6[[#This Row],[Abb.]],Table1[],2,0)</f>
        <v>LONG BINH</v>
      </c>
    </row>
    <row r="160" spans="1:27">
      <c r="W160" s="24" t="s">
        <v>4241</v>
      </c>
      <c r="X160" s="24" t="s">
        <v>4242</v>
      </c>
      <c r="Y160" s="24" t="s">
        <v>4234</v>
      </c>
      <c r="Z160" s="24" t="s">
        <v>3237</v>
      </c>
      <c r="AA160" s="24" t="str">
        <f>VLOOKUP(Table6[[#This Row],[Abb.]],Table1[],2,0)</f>
        <v>LONG BINH</v>
      </c>
    </row>
    <row r="161" spans="23:27">
      <c r="W161" s="24" t="s">
        <v>4243</v>
      </c>
      <c r="X161" s="24" t="s">
        <v>4244</v>
      </c>
      <c r="Y161" s="24" t="s">
        <v>4234</v>
      </c>
      <c r="Z161" s="24" t="s">
        <v>3237</v>
      </c>
      <c r="AA161" s="24" t="str">
        <f>VLOOKUP(Table6[[#This Row],[Abb.]],Table1[],2,0)</f>
        <v>LONG BINH</v>
      </c>
    </row>
    <row r="162" spans="23:27">
      <c r="W162" s="24" t="s">
        <v>4245</v>
      </c>
      <c r="X162" s="24" t="s">
        <v>4246</v>
      </c>
      <c r="Y162" s="24" t="s">
        <v>4234</v>
      </c>
      <c r="Z162" s="24" t="s">
        <v>3237</v>
      </c>
      <c r="AA162" s="24" t="str">
        <f>VLOOKUP(Table6[[#This Row],[Abb.]],Table1[],2,0)</f>
        <v>LONG BINH</v>
      </c>
    </row>
    <row r="163" spans="23:27">
      <c r="W163" s="24" t="s">
        <v>4247</v>
      </c>
      <c r="X163" s="24" t="s">
        <v>4248</v>
      </c>
      <c r="Y163" s="24" t="s">
        <v>4234</v>
      </c>
      <c r="Z163" s="24" t="s">
        <v>3237</v>
      </c>
      <c r="AA163" s="24" t="str">
        <f>VLOOKUP(Table6[[#This Row],[Abb.]],Table1[],2,0)</f>
        <v>LONG BINH</v>
      </c>
    </row>
    <row r="164" spans="23:27">
      <c r="W164" s="24" t="s">
        <v>4249</v>
      </c>
      <c r="X164" s="24" t="s">
        <v>4250</v>
      </c>
      <c r="Y164" s="24" t="s">
        <v>3894</v>
      </c>
      <c r="Z164" s="24" t="s">
        <v>2888</v>
      </c>
      <c r="AA164" s="24" t="str">
        <f>VLOOKUP(Table6[[#This Row],[Abb.]],Table1[],2,0)</f>
        <v>BWID HAI DUONG</v>
      </c>
    </row>
    <row r="165" spans="23:27">
      <c r="W165" s="24" t="s">
        <v>4251</v>
      </c>
      <c r="X165" s="24" t="s">
        <v>4227</v>
      </c>
      <c r="Y165" s="24" t="s">
        <v>4201</v>
      </c>
      <c r="Z165" s="24" t="s">
        <v>3047</v>
      </c>
      <c r="AA165" s="24" t="str">
        <f>VLOOKUP(Table6[[#This Row],[Abb.]],Table1[],2,0)</f>
        <v>BW SAIGON LOGISTICS</v>
      </c>
    </row>
    <row r="166" spans="23:27">
      <c r="W166" s="24" t="s">
        <v>4252</v>
      </c>
      <c r="X166" s="24" t="s">
        <v>4253</v>
      </c>
      <c r="Y166" s="24" t="s">
        <v>4201</v>
      </c>
      <c r="Z166" s="24" t="s">
        <v>3047</v>
      </c>
      <c r="AA166" s="24" t="str">
        <f>VLOOKUP(Table6[[#This Row],[Abb.]],Table1[],2,0)</f>
        <v>BW SAIGON LOGISTICS</v>
      </c>
    </row>
    <row r="167" spans="23:27">
      <c r="W167" s="24" t="s">
        <v>4254</v>
      </c>
      <c r="X167" s="24" t="s">
        <v>4255</v>
      </c>
      <c r="Y167" s="24" t="s">
        <v>4256</v>
      </c>
      <c r="Z167" s="24" t="s">
        <v>440</v>
      </c>
      <c r="AA167" s="24" t="str">
        <f>VLOOKUP(Table6[[#This Row],[Abb.]],Table1[],2,0)</f>
        <v>BW NAM DINH VU</v>
      </c>
    </row>
    <row r="168" spans="23:27">
      <c r="W168" s="24" t="s">
        <v>4257</v>
      </c>
      <c r="X168" s="24" t="s">
        <v>4258</v>
      </c>
      <c r="Y168" s="24" t="s">
        <v>3920</v>
      </c>
      <c r="Z168" s="24" t="s">
        <v>389</v>
      </c>
      <c r="AA168" s="24" t="str">
        <f>VLOOKUP(Table6[[#This Row],[Abb.]],Table1[],2,0)</f>
        <v>BWID BINH DUONG</v>
      </c>
    </row>
    <row r="169" spans="23:27">
      <c r="W169" s="24" t="s">
        <v>4259</v>
      </c>
      <c r="X169" s="24" t="s">
        <v>4260</v>
      </c>
      <c r="Y169" s="24" t="s">
        <v>3894</v>
      </c>
      <c r="Z169" s="24" t="s">
        <v>2888</v>
      </c>
      <c r="AA169" s="24" t="str">
        <f>VLOOKUP(Table6[[#This Row],[Abb.]],Table1[],2,0)</f>
        <v>BWID HAI DUONG</v>
      </c>
    </row>
    <row r="170" spans="23:27">
      <c r="W170" s="24" t="s">
        <v>4261</v>
      </c>
      <c r="X170" s="24" t="s">
        <v>4262</v>
      </c>
      <c r="Y170" s="24" t="s">
        <v>4234</v>
      </c>
      <c r="Z170" s="24" t="s">
        <v>3237</v>
      </c>
      <c r="AA170" s="24" t="str">
        <f>VLOOKUP(Table6[[#This Row],[Abb.]],Table1[],2,0)</f>
        <v>LONG BINH</v>
      </c>
    </row>
    <row r="171" spans="23:27">
      <c r="W171" s="24" t="s">
        <v>4263</v>
      </c>
      <c r="X171" s="24" t="s">
        <v>4264</v>
      </c>
      <c r="Y171" s="24" t="s">
        <v>4234</v>
      </c>
      <c r="Z171" s="24" t="s">
        <v>3237</v>
      </c>
      <c r="AA171" s="24" t="str">
        <f>VLOOKUP(Table6[[#This Row],[Abb.]],Table1[],2,0)</f>
        <v>LONG BINH</v>
      </c>
    </row>
    <row r="172" spans="23:27">
      <c r="W172" s="24" t="s">
        <v>4265</v>
      </c>
      <c r="X172" s="24" t="s">
        <v>4266</v>
      </c>
      <c r="Y172" s="24" t="s">
        <v>4234</v>
      </c>
      <c r="Z172" s="24" t="s">
        <v>3237</v>
      </c>
      <c r="AA172" s="24" t="str">
        <f>VLOOKUP(Table6[[#This Row],[Abb.]],Table1[],2,0)</f>
        <v>LONG BINH</v>
      </c>
    </row>
    <row r="173" spans="23:27">
      <c r="W173" s="24" t="s">
        <v>4267</v>
      </c>
      <c r="X173" s="24" t="s">
        <v>4268</v>
      </c>
      <c r="Y173" s="24" t="s">
        <v>4234</v>
      </c>
      <c r="Z173" s="24" t="s">
        <v>3237</v>
      </c>
      <c r="AA173" s="24" t="str">
        <f>VLOOKUP(Table6[[#This Row],[Abb.]],Table1[],2,0)</f>
        <v>LONG BINH</v>
      </c>
    </row>
    <row r="174" spans="23:27">
      <c r="W174" s="24" t="s">
        <v>4269</v>
      </c>
      <c r="X174" s="24" t="s">
        <v>4270</v>
      </c>
      <c r="Y174" s="24" t="s">
        <v>4234</v>
      </c>
      <c r="Z174" s="24" t="s">
        <v>3237</v>
      </c>
      <c r="AA174" s="24" t="str">
        <f>VLOOKUP(Table6[[#This Row],[Abb.]],Table1[],2,0)</f>
        <v>LONG BINH</v>
      </c>
    </row>
    <row r="175" spans="23:27">
      <c r="W175" s="24" t="s">
        <v>4271</v>
      </c>
      <c r="X175" s="24" t="s">
        <v>4272</v>
      </c>
      <c r="Y175" s="24" t="s">
        <v>4234</v>
      </c>
      <c r="Z175" s="24" t="s">
        <v>3237</v>
      </c>
      <c r="AA175" s="24" t="str">
        <f>VLOOKUP(Table6[[#This Row],[Abb.]],Table1[],2,0)</f>
        <v>LONG BINH</v>
      </c>
    </row>
    <row r="176" spans="23:27">
      <c r="W176" s="24" t="s">
        <v>4273</v>
      </c>
      <c r="X176" s="24" t="s">
        <v>4274</v>
      </c>
      <c r="Y176" s="24" t="s">
        <v>4234</v>
      </c>
      <c r="Z176" s="24" t="s">
        <v>3237</v>
      </c>
      <c r="AA176" s="24" t="str">
        <f>VLOOKUP(Table6[[#This Row],[Abb.]],Table1[],2,0)</f>
        <v>LONG BINH</v>
      </c>
    </row>
    <row r="177" spans="23:27">
      <c r="W177" s="24" t="s">
        <v>4275</v>
      </c>
      <c r="X177" s="24" t="s">
        <v>4276</v>
      </c>
      <c r="Y177" s="24" t="s">
        <v>4234</v>
      </c>
      <c r="Z177" s="24" t="s">
        <v>3237</v>
      </c>
      <c r="AA177" s="24" t="str">
        <f>VLOOKUP(Table6[[#This Row],[Abb.]],Table1[],2,0)</f>
        <v>LONG BINH</v>
      </c>
    </row>
    <row r="178" spans="23:27">
      <c r="W178" s="24" t="s">
        <v>4277</v>
      </c>
      <c r="X178" s="24" t="s">
        <v>4278</v>
      </c>
      <c r="Y178" s="24" t="s">
        <v>4234</v>
      </c>
      <c r="Z178" s="24" t="s">
        <v>3237</v>
      </c>
      <c r="AA178" s="24" t="str">
        <f>VLOOKUP(Table6[[#This Row],[Abb.]],Table1[],2,0)</f>
        <v>LONG BINH</v>
      </c>
    </row>
    <row r="179" spans="23:27">
      <c r="W179" s="24" t="s">
        <v>4279</v>
      </c>
      <c r="X179" s="24" t="s">
        <v>4280</v>
      </c>
      <c r="Y179" s="24" t="s">
        <v>4234</v>
      </c>
      <c r="Z179" s="24" t="s">
        <v>3237</v>
      </c>
      <c r="AA179" s="24" t="str">
        <f>VLOOKUP(Table6[[#This Row],[Abb.]],Table1[],2,0)</f>
        <v>LONG BINH</v>
      </c>
    </row>
    <row r="180" spans="23:27">
      <c r="W180" s="24" t="s">
        <v>4281</v>
      </c>
      <c r="X180" s="24" t="s">
        <v>4282</v>
      </c>
      <c r="Y180" s="24" t="s">
        <v>4043</v>
      </c>
      <c r="Z180" s="24" t="s">
        <v>403</v>
      </c>
      <c r="AA180" s="24" t="str">
        <f>VLOOKUP(Table6[[#This Row],[Abb.]],Table1[],2,0)</f>
        <v>BW SUPLLY CHAIN CITY</v>
      </c>
    </row>
    <row r="181" spans="23:27">
      <c r="W181" s="24" t="s">
        <v>4283</v>
      </c>
      <c r="X181" s="24" t="s">
        <v>4284</v>
      </c>
      <c r="Y181" s="24" t="s">
        <v>4043</v>
      </c>
      <c r="Z181" s="24" t="s">
        <v>403</v>
      </c>
      <c r="AA181" s="24" t="str">
        <f>VLOOKUP(Table6[[#This Row],[Abb.]],Table1[],2,0)</f>
        <v>BW SUPLLY CHAIN CITY</v>
      </c>
    </row>
    <row r="182" spans="23:27">
      <c r="W182" s="24" t="s">
        <v>4285</v>
      </c>
      <c r="X182" s="24" t="s">
        <v>4286</v>
      </c>
      <c r="Y182" s="24" t="s">
        <v>4043</v>
      </c>
      <c r="Z182" s="24" t="s">
        <v>403</v>
      </c>
      <c r="AA182" s="24" t="str">
        <f>VLOOKUP(Table6[[#This Row],[Abb.]],Table1[],2,0)</f>
        <v>BW SUPLLY CHAIN CITY</v>
      </c>
    </row>
    <row r="183" spans="23:27">
      <c r="W183" s="24" t="s">
        <v>4287</v>
      </c>
      <c r="X183" s="24" t="s">
        <v>4288</v>
      </c>
      <c r="Y183" s="24" t="s">
        <v>4043</v>
      </c>
      <c r="Z183" s="24" t="s">
        <v>403</v>
      </c>
      <c r="AA183" s="24" t="str">
        <f>VLOOKUP(Table6[[#This Row],[Abb.]],Table1[],2,0)</f>
        <v>BW SUPLLY CHAIN CITY</v>
      </c>
    </row>
    <row r="184" spans="23:27">
      <c r="W184" s="24" t="s">
        <v>4289</v>
      </c>
      <c r="X184" s="24" t="s">
        <v>4290</v>
      </c>
      <c r="Y184" s="24" t="s">
        <v>4162</v>
      </c>
      <c r="Z184" s="24" t="s">
        <v>2915</v>
      </c>
      <c r="AA184" s="24" t="str">
        <f>VLOOKUP(Table6[[#This Row],[Abb.]],Table1[],2,0)</f>
        <v>BW DINH VU</v>
      </c>
    </row>
    <row r="185" spans="23:27">
      <c r="W185" s="24" t="s">
        <v>4291</v>
      </c>
      <c r="X185" s="24" t="s">
        <v>4231</v>
      </c>
      <c r="Y185" s="24" t="s">
        <v>4201</v>
      </c>
      <c r="Z185" s="24" t="s">
        <v>3047</v>
      </c>
      <c r="AA185" s="24" t="str">
        <f>VLOOKUP(Table6[[#This Row],[Abb.]],Table1[],2,0)</f>
        <v>BW SAIGON LOGISTICS</v>
      </c>
    </row>
    <row r="186" spans="23:27">
      <c r="W186" s="24" t="s">
        <v>4292</v>
      </c>
      <c r="X186" s="24" t="s">
        <v>4293</v>
      </c>
      <c r="Y186" s="24" t="s">
        <v>3894</v>
      </c>
      <c r="Z186" s="24" t="s">
        <v>2888</v>
      </c>
      <c r="AA186" s="24" t="str">
        <f>VLOOKUP(Table6[[#This Row],[Abb.]],Table1[],2,0)</f>
        <v>BWID HAI DUONG</v>
      </c>
    </row>
    <row r="187" spans="23:27">
      <c r="W187" s="24" t="s">
        <v>4294</v>
      </c>
      <c r="X187" s="24" t="s">
        <v>4295</v>
      </c>
      <c r="Y187" s="24" t="s">
        <v>3894</v>
      </c>
      <c r="Z187" s="24" t="s">
        <v>2888</v>
      </c>
      <c r="AA187" s="24" t="str">
        <f>VLOOKUP(Table6[[#This Row],[Abb.]],Table1[],2,0)</f>
        <v>BWID HAI DUONG</v>
      </c>
    </row>
    <row r="188" spans="23:27">
      <c r="W188" s="24" t="s">
        <v>4296</v>
      </c>
      <c r="X188" s="24" t="s">
        <v>4297</v>
      </c>
      <c r="Y188" s="24" t="s">
        <v>4178</v>
      </c>
      <c r="Z188" s="24" t="s">
        <v>2980</v>
      </c>
      <c r="AA188" s="24" t="str">
        <f>VLOOKUP(Table6[[#This Row],[Abb.]],Table1[],2,0)</f>
        <v>BWID THOI HOA</v>
      </c>
    </row>
    <row r="189" spans="23:27">
      <c r="W189" s="24" t="s">
        <v>4298</v>
      </c>
      <c r="X189" s="24" t="s">
        <v>4299</v>
      </c>
      <c r="Y189" s="24" t="s">
        <v>4256</v>
      </c>
      <c r="Z189" s="24" t="s">
        <v>440</v>
      </c>
      <c r="AA189" s="24" t="str">
        <f>VLOOKUP(Table6[[#This Row],[Abb.]],Table1[],2,0)</f>
        <v>BW NAM DINH VU</v>
      </c>
    </row>
    <row r="190" spans="23:27">
      <c r="W190" s="24" t="s">
        <v>4300</v>
      </c>
      <c r="X190" s="24" t="s">
        <v>4301</v>
      </c>
      <c r="Y190" s="24" t="s">
        <v>3874</v>
      </c>
      <c r="Z190" s="24" t="s">
        <v>389</v>
      </c>
      <c r="AA190" s="24" t="str">
        <f>VLOOKUP(Table6[[#This Row],[Abb.]],Table1[],2,0)</f>
        <v>BWID BINH DUONG</v>
      </c>
    </row>
    <row r="191" spans="23:27">
      <c r="W191" s="24" t="s">
        <v>4302</v>
      </c>
      <c r="X191" s="24" t="s">
        <v>4303</v>
      </c>
      <c r="Y191" s="24" t="s">
        <v>4216</v>
      </c>
      <c r="Z191" s="24" t="s">
        <v>3160</v>
      </c>
      <c r="AA191" s="24" t="str">
        <f>VLOOKUP(Table6[[#This Row],[Abb.]],Table1[],2,0)</f>
        <v>BWID Tan Phu Trung</v>
      </c>
    </row>
    <row r="192" spans="23:27">
      <c r="W192" s="24" t="s">
        <v>4304</v>
      </c>
      <c r="X192" s="24" t="s">
        <v>4305</v>
      </c>
      <c r="Y192" s="24" t="s">
        <v>4306</v>
      </c>
      <c r="Z192" s="24" t="s">
        <v>434</v>
      </c>
      <c r="AA192" s="24" t="str">
        <f>VLOOKUP(Table6[[#This Row],[Abb.]],Table1[],2,0)</f>
        <v>BWID HAI PHONG</v>
      </c>
    </row>
    <row r="193" spans="23:27">
      <c r="W193" s="24" t="s">
        <v>4307</v>
      </c>
      <c r="X193" s="24" t="s">
        <v>4308</v>
      </c>
      <c r="Y193" s="24" t="s">
        <v>4186</v>
      </c>
      <c r="Z193" s="24" t="s">
        <v>434</v>
      </c>
      <c r="AA193" s="24" t="str">
        <f>VLOOKUP(Table6[[#This Row],[Abb.]],Table1[],2,0)</f>
        <v>BWID HAI PHONG</v>
      </c>
    </row>
    <row r="194" spans="23:27">
      <c r="W194" s="24" t="s">
        <v>4309</v>
      </c>
      <c r="X194" s="24" t="s">
        <v>4310</v>
      </c>
      <c r="Y194" s="24" t="s">
        <v>4306</v>
      </c>
      <c r="Z194" s="24" t="s">
        <v>434</v>
      </c>
      <c r="AA194" s="24" t="str">
        <f>VLOOKUP(Table6[[#This Row],[Abb.]],Table1[],2,0)</f>
        <v>BWID HAI PHONG</v>
      </c>
    </row>
    <row r="195" spans="23:27">
      <c r="W195" s="24" t="s">
        <v>4311</v>
      </c>
      <c r="X195" s="24" t="s">
        <v>4312</v>
      </c>
      <c r="Y195" s="24" t="s">
        <v>4186</v>
      </c>
      <c r="Z195" s="24" t="s">
        <v>434</v>
      </c>
      <c r="AA195" s="24" t="str">
        <f>VLOOKUP(Table6[[#This Row],[Abb.]],Table1[],2,0)</f>
        <v>BWID HAI PHONG</v>
      </c>
    </row>
    <row r="196" spans="23:27">
      <c r="W196" s="24" t="s">
        <v>4313</v>
      </c>
      <c r="X196" s="24" t="s">
        <v>4314</v>
      </c>
      <c r="Y196" s="24" t="s">
        <v>4186</v>
      </c>
      <c r="Z196" s="24" t="s">
        <v>434</v>
      </c>
      <c r="AA196" s="24" t="str">
        <f>VLOOKUP(Table6[[#This Row],[Abb.]],Table1[],2,0)</f>
        <v>BWID HAI PHONG</v>
      </c>
    </row>
    <row r="197" spans="23:27">
      <c r="W197" s="24" t="s">
        <v>4315</v>
      </c>
      <c r="X197" s="24" t="s">
        <v>4316</v>
      </c>
      <c r="Y197" s="24" t="s">
        <v>3997</v>
      </c>
      <c r="Z197" s="24" t="s">
        <v>389</v>
      </c>
      <c r="AA197" s="24" t="str">
        <f>VLOOKUP(Table6[[#This Row],[Abb.]],Table1[],2,0)</f>
        <v>BWID BINH DUONG</v>
      </c>
    </row>
    <row r="198" spans="23:27">
      <c r="W198" s="24" t="s">
        <v>4317</v>
      </c>
      <c r="X198" s="24" t="s">
        <v>4318</v>
      </c>
      <c r="Y198" s="24" t="s">
        <v>3920</v>
      </c>
      <c r="Z198" s="24" t="s">
        <v>389</v>
      </c>
      <c r="AA198" s="24" t="str">
        <f>VLOOKUP(Table6[[#This Row],[Abb.]],Table1[],2,0)</f>
        <v>BWID BINH DUONG</v>
      </c>
    </row>
    <row r="199" spans="23:27">
      <c r="W199" s="24" t="s">
        <v>4319</v>
      </c>
      <c r="X199" s="24" t="s">
        <v>4320</v>
      </c>
      <c r="Y199" s="24" t="s">
        <v>3920</v>
      </c>
      <c r="Z199" s="24" t="s">
        <v>389</v>
      </c>
      <c r="AA199" s="24" t="str">
        <f>VLOOKUP(Table6[[#This Row],[Abb.]],Table1[],2,0)</f>
        <v>BWID BINH DUONG</v>
      </c>
    </row>
    <row r="200" spans="23:27">
      <c r="W200" s="24" t="s">
        <v>4321</v>
      </c>
      <c r="X200" s="24" t="s">
        <v>4322</v>
      </c>
      <c r="Y200" s="24" t="s">
        <v>3894</v>
      </c>
      <c r="Z200" s="24" t="s">
        <v>2888</v>
      </c>
      <c r="AA200" s="24" t="str">
        <f>VLOOKUP(Table6[[#This Row],[Abb.]],Table1[],2,0)</f>
        <v>BWID HAI DUONG</v>
      </c>
    </row>
    <row r="201" spans="23:27">
      <c r="W201" s="24" t="s">
        <v>4323</v>
      </c>
      <c r="X201" s="24" t="s">
        <v>4324</v>
      </c>
      <c r="Y201" s="24" t="s">
        <v>4325</v>
      </c>
      <c r="Z201" s="24" t="s">
        <v>389</v>
      </c>
      <c r="AA201" s="24" t="str">
        <f>VLOOKUP(Table6[[#This Row],[Abb.]],Table1[],2,0)</f>
        <v>BWID BINH DUONG</v>
      </c>
    </row>
    <row r="202" spans="23:27">
      <c r="W202" s="24" t="s">
        <v>4326</v>
      </c>
      <c r="X202" s="24" t="s">
        <v>4327</v>
      </c>
      <c r="Y202" s="24" t="s">
        <v>3941</v>
      </c>
      <c r="Z202" s="24" t="s">
        <v>389</v>
      </c>
      <c r="AA202" s="24" t="str">
        <f>VLOOKUP(Table6[[#This Row],[Abb.]],Table1[],2,0)</f>
        <v>BWID BINH DUONG</v>
      </c>
    </row>
    <row r="203" spans="23:27">
      <c r="W203" s="24" t="s">
        <v>4328</v>
      </c>
      <c r="X203" s="24" t="s">
        <v>4329</v>
      </c>
      <c r="Y203" s="24" t="s">
        <v>3874</v>
      </c>
      <c r="Z203" s="24" t="s">
        <v>389</v>
      </c>
      <c r="AA203" s="24" t="str">
        <f>VLOOKUP(Table6[[#This Row],[Abb.]],Table1[],2,0)</f>
        <v>BWID BINH DUONG</v>
      </c>
    </row>
    <row r="204" spans="23:27">
      <c r="W204" s="24" t="s">
        <v>4330</v>
      </c>
      <c r="X204" s="24" t="s">
        <v>4211</v>
      </c>
      <c r="Y204" s="24" t="s">
        <v>4038</v>
      </c>
      <c r="Z204" s="24" t="s">
        <v>403</v>
      </c>
      <c r="AA204" s="24" t="str">
        <f>VLOOKUP(Table6[[#This Row],[Abb.]],Table1[],2,0)</f>
        <v>BW SUPLLY CHAIN CITY</v>
      </c>
    </row>
    <row r="205" spans="23:27">
      <c r="W205" s="24" t="s">
        <v>4331</v>
      </c>
      <c r="X205" s="24" t="s">
        <v>4332</v>
      </c>
      <c r="Y205" s="24" t="s">
        <v>4201</v>
      </c>
      <c r="Z205" s="24" t="s">
        <v>3047</v>
      </c>
      <c r="AA205" s="24" t="str">
        <f>VLOOKUP(Table6[[#This Row],[Abb.]],Table1[],2,0)</f>
        <v>BW SAIGON LOGISTICS</v>
      </c>
    </row>
    <row r="206" spans="23:27">
      <c r="W206" s="24" t="s">
        <v>4333</v>
      </c>
      <c r="X206" s="24" t="s">
        <v>4334</v>
      </c>
      <c r="Y206" s="24" t="s">
        <v>4043</v>
      </c>
      <c r="Z206" s="24" t="s">
        <v>403</v>
      </c>
      <c r="AA206" s="24" t="str">
        <f>VLOOKUP(Table6[[#This Row],[Abb.]],Table1[],2,0)</f>
        <v>BW SUPLLY CHAIN CITY</v>
      </c>
    </row>
    <row r="207" spans="23:27">
      <c r="W207" s="24" t="s">
        <v>4335</v>
      </c>
      <c r="X207" s="24" t="s">
        <v>4336</v>
      </c>
      <c r="Y207" s="24" t="s">
        <v>4060</v>
      </c>
      <c r="Z207" s="24" t="s">
        <v>403</v>
      </c>
      <c r="AA207" s="24" t="str">
        <f>VLOOKUP(Table6[[#This Row],[Abb.]],Table1[],2,0)</f>
        <v>BW SUPLLY CHAIN CITY</v>
      </c>
    </row>
    <row r="208" spans="23:27">
      <c r="W208" s="24" t="s">
        <v>4337</v>
      </c>
      <c r="X208" s="24" t="s">
        <v>4338</v>
      </c>
      <c r="Y208" s="24" t="s">
        <v>4234</v>
      </c>
      <c r="Z208" s="24" t="s">
        <v>3237</v>
      </c>
      <c r="AA208" s="24" t="str">
        <f>VLOOKUP(Table6[[#This Row],[Abb.]],Table1[],2,0)</f>
        <v>LONG BINH</v>
      </c>
    </row>
    <row r="209" spans="23:27">
      <c r="W209" s="24" t="s">
        <v>4339</v>
      </c>
      <c r="X209" s="24" t="s">
        <v>4340</v>
      </c>
      <c r="Y209" s="24" t="s">
        <v>4234</v>
      </c>
      <c r="Z209" s="24" t="s">
        <v>3237</v>
      </c>
      <c r="AA209" s="24" t="str">
        <f>VLOOKUP(Table6[[#This Row],[Abb.]],Table1[],2,0)</f>
        <v>LONG BINH</v>
      </c>
    </row>
    <row r="210" spans="23:27">
      <c r="W210" s="24" t="s">
        <v>4341</v>
      </c>
      <c r="X210" s="24" t="s">
        <v>4342</v>
      </c>
      <c r="Y210" s="24" t="s">
        <v>4234</v>
      </c>
      <c r="Z210" s="24" t="s">
        <v>3237</v>
      </c>
      <c r="AA210" s="24" t="str">
        <f>VLOOKUP(Table6[[#This Row],[Abb.]],Table1[],2,0)</f>
        <v>LONG BINH</v>
      </c>
    </row>
    <row r="211" spans="23:27">
      <c r="W211" s="24" t="s">
        <v>4343</v>
      </c>
      <c r="X211" s="24" t="s">
        <v>4344</v>
      </c>
      <c r="Y211" s="24" t="s">
        <v>4234</v>
      </c>
      <c r="Z211" s="24" t="s">
        <v>3237</v>
      </c>
      <c r="AA211" s="24" t="str">
        <f>VLOOKUP(Table6[[#This Row],[Abb.]],Table1[],2,0)</f>
        <v>LONG BINH</v>
      </c>
    </row>
    <row r="212" spans="23:27">
      <c r="W212" s="24" t="s">
        <v>4345</v>
      </c>
      <c r="X212" s="24" t="s">
        <v>4346</v>
      </c>
      <c r="Y212" s="24" t="s">
        <v>4234</v>
      </c>
      <c r="Z212" s="24" t="s">
        <v>3237</v>
      </c>
      <c r="AA212" s="24" t="str">
        <f>VLOOKUP(Table6[[#This Row],[Abb.]],Table1[],2,0)</f>
        <v>LONG BINH</v>
      </c>
    </row>
    <row r="213" spans="23:27">
      <c r="W213" s="24" t="s">
        <v>4347</v>
      </c>
      <c r="X213" s="24" t="s">
        <v>4348</v>
      </c>
      <c r="Y213" s="24" t="s">
        <v>4234</v>
      </c>
      <c r="Z213" s="24" t="s">
        <v>3237</v>
      </c>
      <c r="AA213" s="24" t="str">
        <f>VLOOKUP(Table6[[#This Row],[Abb.]],Table1[],2,0)</f>
        <v>LONG BINH</v>
      </c>
    </row>
    <row r="214" spans="23:27">
      <c r="W214" s="24" t="s">
        <v>4349</v>
      </c>
      <c r="X214" s="24" t="s">
        <v>4350</v>
      </c>
      <c r="Y214" s="24" t="s">
        <v>4234</v>
      </c>
      <c r="Z214" s="24" t="s">
        <v>3237</v>
      </c>
      <c r="AA214" s="24" t="str">
        <f>VLOOKUP(Table6[[#This Row],[Abb.]],Table1[],2,0)</f>
        <v>LONG BINH</v>
      </c>
    </row>
    <row r="215" spans="23:27">
      <c r="W215" s="24" t="s">
        <v>4351</v>
      </c>
      <c r="X215" s="24" t="s">
        <v>4352</v>
      </c>
      <c r="Y215" s="24" t="s">
        <v>4234</v>
      </c>
      <c r="Z215" s="24" t="s">
        <v>3237</v>
      </c>
      <c r="AA215" s="24" t="str">
        <f>VLOOKUP(Table6[[#This Row],[Abb.]],Table1[],2,0)</f>
        <v>LONG BINH</v>
      </c>
    </row>
    <row r="216" spans="23:27">
      <c r="W216" s="24" t="s">
        <v>4353</v>
      </c>
      <c r="X216" s="24" t="s">
        <v>4354</v>
      </c>
      <c r="Y216" s="24" t="s">
        <v>4178</v>
      </c>
      <c r="Z216" s="24" t="s">
        <v>2980</v>
      </c>
      <c r="AA216" s="24" t="str">
        <f>VLOOKUP(Table6[[#This Row],[Abb.]],Table1[],2,0)</f>
        <v>BWID THOI HOA</v>
      </c>
    </row>
    <row r="217" spans="23:27">
      <c r="W217" s="24" t="s">
        <v>4355</v>
      </c>
      <c r="X217" s="24" t="s">
        <v>4356</v>
      </c>
      <c r="Y217" s="24" t="s">
        <v>4186</v>
      </c>
      <c r="Z217" s="24" t="s">
        <v>434</v>
      </c>
      <c r="AA217" s="24" t="str">
        <f>VLOOKUP(Table6[[#This Row],[Abb.]],Table1[],2,0)</f>
        <v>BWID HAI PHONG</v>
      </c>
    </row>
    <row r="218" spans="23:27">
      <c r="W218" s="24" t="s">
        <v>4357</v>
      </c>
      <c r="X218" s="24" t="s">
        <v>4358</v>
      </c>
      <c r="Y218" s="24" t="s">
        <v>4186</v>
      </c>
      <c r="Z218" s="24" t="s">
        <v>434</v>
      </c>
      <c r="AA218" s="24" t="str">
        <f>VLOOKUP(Table6[[#This Row],[Abb.]],Table1[],2,0)</f>
        <v>BWID HAI PHONG</v>
      </c>
    </row>
    <row r="219" spans="23:27">
      <c r="W219" s="24" t="s">
        <v>4359</v>
      </c>
      <c r="X219" s="24" t="s">
        <v>4360</v>
      </c>
      <c r="Y219" s="24" t="s">
        <v>3920</v>
      </c>
      <c r="Z219" s="24" t="s">
        <v>389</v>
      </c>
      <c r="AA219" s="24" t="str">
        <f>VLOOKUP(Table6[[#This Row],[Abb.]],Table1[],2,0)</f>
        <v>BWID BINH DUONG</v>
      </c>
    </row>
    <row r="220" spans="23:27">
      <c r="W220" s="24" t="s">
        <v>4361</v>
      </c>
      <c r="X220" s="24" t="s">
        <v>4362</v>
      </c>
      <c r="Y220" s="24" t="s">
        <v>4060</v>
      </c>
      <c r="Z220" s="24" t="s">
        <v>403</v>
      </c>
      <c r="AA220" s="24" t="str">
        <f>VLOOKUP(Table6[[#This Row],[Abb.]],Table1[],2,0)</f>
        <v>BW SUPLLY CHAIN CITY</v>
      </c>
    </row>
    <row r="221" spans="23:27">
      <c r="W221" s="24" t="s">
        <v>4363</v>
      </c>
      <c r="X221" s="24" t="s">
        <v>4364</v>
      </c>
      <c r="Y221" s="24" t="s">
        <v>4038</v>
      </c>
      <c r="Z221" s="24" t="s">
        <v>403</v>
      </c>
      <c r="AA221" s="24" t="str">
        <f>VLOOKUP(Table6[[#This Row],[Abb.]],Table1[],2,0)</f>
        <v>BW SUPLLY CHAIN CITY</v>
      </c>
    </row>
    <row r="222" spans="23:27">
      <c r="W222" s="24" t="s">
        <v>4365</v>
      </c>
      <c r="X222" s="24" t="s">
        <v>4366</v>
      </c>
      <c r="Y222" s="24" t="s">
        <v>4137</v>
      </c>
      <c r="Z222" s="24" t="s">
        <v>3010</v>
      </c>
      <c r="AA222" s="24" t="str">
        <f>VLOOKUP(Table6[[#This Row],[Abb.]],Table1[],2,0)</f>
        <v>BWID LOGISTICS TAN UYEN</v>
      </c>
    </row>
    <row r="223" spans="23:27">
      <c r="W223" s="24" t="s">
        <v>4367</v>
      </c>
      <c r="X223" s="24" t="s">
        <v>4368</v>
      </c>
      <c r="Y223" s="24" t="s">
        <v>4137</v>
      </c>
      <c r="Z223" s="24" t="s">
        <v>3010</v>
      </c>
      <c r="AA223" s="24" t="str">
        <f>VLOOKUP(Table6[[#This Row],[Abb.]],Table1[],2,0)</f>
        <v>BWID LOGISTICS TAN UYEN</v>
      </c>
    </row>
    <row r="224" spans="23:27">
      <c r="W224" s="24" t="s">
        <v>4369</v>
      </c>
      <c r="X224" s="24" t="s">
        <v>4370</v>
      </c>
      <c r="Y224" s="24" t="s">
        <v>4060</v>
      </c>
      <c r="Z224" s="24" t="s">
        <v>403</v>
      </c>
      <c r="AA224" s="24" t="str">
        <f>VLOOKUP(Table6[[#This Row],[Abb.]],Table1[],2,0)</f>
        <v>BW SUPLLY CHAIN CITY</v>
      </c>
    </row>
    <row r="225" spans="23:27">
      <c r="W225" s="24" t="s">
        <v>4371</v>
      </c>
      <c r="X225" s="24" t="s">
        <v>4372</v>
      </c>
      <c r="Y225" s="24" t="s">
        <v>3888</v>
      </c>
      <c r="Z225" s="24" t="s">
        <v>389</v>
      </c>
      <c r="AA225" s="24" t="str">
        <f>VLOOKUP(Table6[[#This Row],[Abb.]],Table1[],2,0)</f>
        <v>BWID BINH DUONG</v>
      </c>
    </row>
    <row r="226" spans="23:27">
      <c r="W226" s="24" t="s">
        <v>4373</v>
      </c>
      <c r="X226" s="24" t="s">
        <v>4374</v>
      </c>
      <c r="Y226" s="24" t="s">
        <v>3888</v>
      </c>
      <c r="Z226" s="24" t="s">
        <v>389</v>
      </c>
      <c r="AA226" s="24" t="str">
        <f>VLOOKUP(Table6[[#This Row],[Abb.]],Table1[],2,0)</f>
        <v>BWID BINH DUONG</v>
      </c>
    </row>
    <row r="227" spans="23:27">
      <c r="W227" s="24" t="s">
        <v>4375</v>
      </c>
      <c r="X227" s="24" t="s">
        <v>4376</v>
      </c>
      <c r="Y227" s="24" t="s">
        <v>4178</v>
      </c>
      <c r="Z227" s="24" t="s">
        <v>2980</v>
      </c>
      <c r="AA227" s="24" t="str">
        <f>VLOOKUP(Table6[[#This Row],[Abb.]],Table1[],2,0)</f>
        <v>BWID THOI HOA</v>
      </c>
    </row>
    <row r="228" spans="23:27">
      <c r="W228" s="24" t="s">
        <v>4377</v>
      </c>
      <c r="X228" s="24" t="s">
        <v>4378</v>
      </c>
      <c r="Y228" s="24" t="s">
        <v>3894</v>
      </c>
      <c r="Z228" s="24" t="s">
        <v>2888</v>
      </c>
      <c r="AA228" s="24" t="str">
        <f>VLOOKUP(Table6[[#This Row],[Abb.]],Table1[],2,0)</f>
        <v>BWID HAI DUONG</v>
      </c>
    </row>
    <row r="229" spans="23:27">
      <c r="W229" s="24" t="s">
        <v>4379</v>
      </c>
      <c r="X229" s="24" t="s">
        <v>4380</v>
      </c>
      <c r="Y229" s="24" t="s">
        <v>3894</v>
      </c>
      <c r="Z229" s="24" t="s">
        <v>2888</v>
      </c>
      <c r="AA229" s="24" t="str">
        <f>VLOOKUP(Table6[[#This Row],[Abb.]],Table1[],2,0)</f>
        <v>BWID HAI DUONG</v>
      </c>
    </row>
    <row r="230" spans="23:27">
      <c r="W230" s="24" t="s">
        <v>4381</v>
      </c>
      <c r="X230" s="24" t="s">
        <v>4382</v>
      </c>
      <c r="Y230" s="24" t="s">
        <v>4383</v>
      </c>
      <c r="Z230" s="24" t="s">
        <v>2974</v>
      </c>
      <c r="AA230" s="24" t="str">
        <f>VLOOKUP(Table6[[#This Row],[Abb.]],Table1[],2,0)</f>
        <v>BWID HAI DUONG 3</v>
      </c>
    </row>
    <row r="231" spans="23:27">
      <c r="W231" s="24" t="s">
        <v>4384</v>
      </c>
      <c r="X231" s="24" t="s">
        <v>4385</v>
      </c>
      <c r="Y231" s="24" t="s">
        <v>4060</v>
      </c>
      <c r="Z231" s="24" t="s">
        <v>403</v>
      </c>
      <c r="AA231" s="24" t="str">
        <f>VLOOKUP(Table6[[#This Row],[Abb.]],Table1[],2,0)</f>
        <v>BW SUPLLY CHAIN CITY</v>
      </c>
    </row>
    <row r="232" spans="23:27">
      <c r="W232" s="24" t="s">
        <v>4386</v>
      </c>
      <c r="X232" s="24" t="s">
        <v>4387</v>
      </c>
      <c r="Y232" s="24" t="s">
        <v>4060</v>
      </c>
      <c r="Z232" s="24" t="s">
        <v>403</v>
      </c>
      <c r="AA232" s="24" t="str">
        <f>VLOOKUP(Table6[[#This Row],[Abb.]],Table1[],2,0)</f>
        <v>BW SUPLLY CHAIN CITY</v>
      </c>
    </row>
    <row r="233" spans="23:27">
      <c r="W233" s="24" t="s">
        <v>4388</v>
      </c>
      <c r="X233" s="24" t="s">
        <v>4389</v>
      </c>
      <c r="Y233" s="24" t="s">
        <v>4390</v>
      </c>
      <c r="Z233" s="24" t="s">
        <v>3072</v>
      </c>
      <c r="AA233" s="24" t="str">
        <f>VLOOKUP(Table6[[#This Row],[Abb.]],Table1[],2,0)</f>
        <v>BWID TAN DONG HIEP</v>
      </c>
    </row>
    <row r="234" spans="23:27">
      <c r="W234" s="24" t="s">
        <v>4391</v>
      </c>
      <c r="X234" s="24" t="s">
        <v>4392</v>
      </c>
      <c r="Y234" s="24" t="s">
        <v>3894</v>
      </c>
      <c r="Z234" s="24" t="s">
        <v>2888</v>
      </c>
      <c r="AA234" s="24" t="str">
        <f>VLOOKUP(Table6[[#This Row],[Abb.]],Table1[],2,0)</f>
        <v>BWID HAI DUONG</v>
      </c>
    </row>
    <row r="235" spans="23:27">
      <c r="W235" s="24" t="s">
        <v>4393</v>
      </c>
      <c r="X235" s="24" t="s">
        <v>4394</v>
      </c>
      <c r="Y235" s="24" t="s">
        <v>3894</v>
      </c>
      <c r="Z235" s="24" t="s">
        <v>2888</v>
      </c>
      <c r="AA235" s="24" t="str">
        <f>VLOOKUP(Table6[[#This Row],[Abb.]],Table1[],2,0)</f>
        <v>BWID HAI DUONG</v>
      </c>
    </row>
    <row r="236" spans="23:27">
      <c r="W236" s="24" t="s">
        <v>4395</v>
      </c>
      <c r="X236" s="24" t="s">
        <v>4396</v>
      </c>
      <c r="Y236" s="24" t="s">
        <v>3894</v>
      </c>
      <c r="Z236" s="24" t="s">
        <v>2888</v>
      </c>
      <c r="AA236" s="24" t="str">
        <f>VLOOKUP(Table6[[#This Row],[Abb.]],Table1[],2,0)</f>
        <v>BWID HAI DUONG</v>
      </c>
    </row>
    <row r="237" spans="23:27">
      <c r="W237" s="24" t="s">
        <v>4397</v>
      </c>
      <c r="X237" s="24" t="s">
        <v>4398</v>
      </c>
      <c r="Y237" s="24" t="s">
        <v>3894</v>
      </c>
      <c r="Z237" s="24" t="s">
        <v>2888</v>
      </c>
      <c r="AA237" s="24" t="str">
        <f>VLOOKUP(Table6[[#This Row],[Abb.]],Table1[],2,0)</f>
        <v>BWID HAI DUONG</v>
      </c>
    </row>
    <row r="238" spans="23:27">
      <c r="W238" s="24" t="s">
        <v>4399</v>
      </c>
      <c r="X238" s="24" t="s">
        <v>4400</v>
      </c>
      <c r="Y238" s="24" t="s">
        <v>4192</v>
      </c>
      <c r="Z238" s="24" t="s">
        <v>2998</v>
      </c>
      <c r="AA238" s="24" t="str">
        <f>VLOOKUP(Table6[[#This Row],[Abb.]],Table1[],2,0)</f>
        <v>BWID THOI HOA 2</v>
      </c>
    </row>
    <row r="239" spans="23:27">
      <c r="W239" s="24" t="s">
        <v>4401</v>
      </c>
      <c r="X239" s="24" t="s">
        <v>4402</v>
      </c>
      <c r="Y239" s="24" t="s">
        <v>4201</v>
      </c>
      <c r="Z239" s="24" t="s">
        <v>3047</v>
      </c>
      <c r="AA239" s="24" t="str">
        <f>VLOOKUP(Table6[[#This Row],[Abb.]],Table1[],2,0)</f>
        <v>BW SAIGON LOGISTICS</v>
      </c>
    </row>
    <row r="240" spans="23:27">
      <c r="W240" s="24" t="s">
        <v>4403</v>
      </c>
      <c r="X240" s="24" t="s">
        <v>4404</v>
      </c>
      <c r="Y240" s="24" t="s">
        <v>4175</v>
      </c>
      <c r="Z240" s="24" t="s">
        <v>2895</v>
      </c>
      <c r="AA240" s="24" t="str">
        <f>VLOOKUP(Table6[[#This Row],[Abb.]],Table1[],2,0)</f>
        <v>BWID HAI DUONG 2</v>
      </c>
    </row>
    <row r="241" spans="23:27">
      <c r="W241" s="24" t="s">
        <v>4405</v>
      </c>
      <c r="X241" s="24" t="s">
        <v>4406</v>
      </c>
      <c r="Y241" s="24" t="s">
        <v>4175</v>
      </c>
      <c r="Z241" s="24" t="s">
        <v>2895</v>
      </c>
      <c r="AA241" s="24" t="str">
        <f>VLOOKUP(Table6[[#This Row],[Abb.]],Table1[],2,0)</f>
        <v>BWID HAI DUONG 2</v>
      </c>
    </row>
    <row r="242" spans="23:27">
      <c r="W242" s="24" t="s">
        <v>4407</v>
      </c>
      <c r="X242" s="24" t="s">
        <v>4408</v>
      </c>
      <c r="Y242" s="24" t="s">
        <v>4390</v>
      </c>
      <c r="Z242" s="24" t="s">
        <v>3072</v>
      </c>
      <c r="AA242" s="24" t="str">
        <f>VLOOKUP(Table6[[#This Row],[Abb.]],Table1[],2,0)</f>
        <v>BWID TAN DONG HIEP</v>
      </c>
    </row>
    <row r="243" spans="23:27">
      <c r="W243" s="24" t="s">
        <v>4409</v>
      </c>
      <c r="X243" s="24" t="s">
        <v>4410</v>
      </c>
      <c r="Y243" s="24" t="s">
        <v>4411</v>
      </c>
      <c r="Z243" s="24" t="s">
        <v>440</v>
      </c>
      <c r="AA243" s="24" t="str">
        <f>VLOOKUP(Table6[[#This Row],[Abb.]],Table1[],2,0)</f>
        <v>BW NAM DINH VU</v>
      </c>
    </row>
    <row r="244" spans="23:27">
      <c r="W244" s="24" t="s">
        <v>4412</v>
      </c>
      <c r="X244" s="24" t="s">
        <v>4413</v>
      </c>
      <c r="Y244" s="24" t="s">
        <v>4411</v>
      </c>
      <c r="Z244" s="24" t="s">
        <v>440</v>
      </c>
      <c r="AA244" s="24" t="str">
        <f>VLOOKUP(Table6[[#This Row],[Abb.]],Table1[],2,0)</f>
        <v>BW NAM DINH VU</v>
      </c>
    </row>
    <row r="245" spans="23:27">
      <c r="W245" s="24" t="s">
        <v>4414</v>
      </c>
      <c r="X245" s="24" t="s">
        <v>4324</v>
      </c>
      <c r="Y245" s="24" t="s">
        <v>4325</v>
      </c>
      <c r="Z245" s="24" t="s">
        <v>389</v>
      </c>
      <c r="AA245" s="24" t="str">
        <f>VLOOKUP(Table6[[#This Row],[Abb.]],Table1[],2,0)</f>
        <v>BWID BINH DUONG</v>
      </c>
    </row>
    <row r="246" spans="23:27">
      <c r="W246" s="24" t="s">
        <v>4415</v>
      </c>
      <c r="X246" s="24" t="s">
        <v>4416</v>
      </c>
      <c r="Y246" s="24" t="s">
        <v>4390</v>
      </c>
      <c r="Z246" s="24" t="s">
        <v>3072</v>
      </c>
      <c r="AA246" s="24" t="str">
        <f>VLOOKUP(Table6[[#This Row],[Abb.]],Table1[],2,0)</f>
        <v>BWID TAN DONG HIEP</v>
      </c>
    </row>
    <row r="247" spans="23:27">
      <c r="W247" s="24" t="s">
        <v>4417</v>
      </c>
      <c r="X247" s="24" t="s">
        <v>4418</v>
      </c>
      <c r="Y247" s="24" t="s">
        <v>4390</v>
      </c>
      <c r="Z247" s="24" t="s">
        <v>3072</v>
      </c>
      <c r="AA247" s="24" t="str">
        <f>VLOOKUP(Table6[[#This Row],[Abb.]],Table1[],2,0)</f>
        <v>BWID TAN DONG HIEP</v>
      </c>
    </row>
    <row r="248" spans="23:27">
      <c r="W248" s="24" t="s">
        <v>4419</v>
      </c>
      <c r="X248" s="24" t="s">
        <v>4420</v>
      </c>
      <c r="Y248" s="24" t="s">
        <v>4234</v>
      </c>
      <c r="Z248" s="24" t="s">
        <v>3237</v>
      </c>
      <c r="AA248" s="24" t="str">
        <f>VLOOKUP(Table6[[#This Row],[Abb.]],Table1[],2,0)</f>
        <v>LONG BINH</v>
      </c>
    </row>
    <row r="249" spans="23:27">
      <c r="W249" s="24" t="s">
        <v>4421</v>
      </c>
      <c r="X249" s="24" t="s">
        <v>4422</v>
      </c>
      <c r="Y249" s="24" t="s">
        <v>4234</v>
      </c>
      <c r="Z249" s="24" t="s">
        <v>3237</v>
      </c>
      <c r="AA249" s="24" t="str">
        <f>VLOOKUP(Table6[[#This Row],[Abb.]],Table1[],2,0)</f>
        <v>LONG BINH</v>
      </c>
    </row>
    <row r="250" spans="23:27">
      <c r="W250" s="24" t="s">
        <v>4423</v>
      </c>
      <c r="X250" s="24" t="s">
        <v>4424</v>
      </c>
      <c r="Y250" s="24" t="s">
        <v>4234</v>
      </c>
      <c r="Z250" s="24" t="s">
        <v>3237</v>
      </c>
      <c r="AA250" s="24" t="str">
        <f>VLOOKUP(Table6[[#This Row],[Abb.]],Table1[],2,0)</f>
        <v>LONG BINH</v>
      </c>
    </row>
    <row r="251" spans="23:27">
      <c r="W251" s="24" t="s">
        <v>4425</v>
      </c>
      <c r="X251" s="24" t="s">
        <v>4426</v>
      </c>
      <c r="Y251" s="24" t="s">
        <v>4234</v>
      </c>
      <c r="Z251" s="24" t="s">
        <v>3237</v>
      </c>
      <c r="AA251" s="24" t="str">
        <f>VLOOKUP(Table6[[#This Row],[Abb.]],Table1[],2,0)</f>
        <v>LONG BINH</v>
      </c>
    </row>
    <row r="252" spans="23:27">
      <c r="W252" s="24" t="s">
        <v>4427</v>
      </c>
      <c r="X252" s="24" t="s">
        <v>4428</v>
      </c>
      <c r="Y252" s="24" t="s">
        <v>4234</v>
      </c>
      <c r="Z252" s="24" t="s">
        <v>3237</v>
      </c>
      <c r="AA252" s="24" t="str">
        <f>VLOOKUP(Table6[[#This Row],[Abb.]],Table1[],2,0)</f>
        <v>LONG BINH</v>
      </c>
    </row>
    <row r="253" spans="23:27">
      <c r="W253" s="24" t="s">
        <v>4429</v>
      </c>
      <c r="X253" s="24" t="s">
        <v>4430</v>
      </c>
      <c r="Y253" s="24" t="s">
        <v>4234</v>
      </c>
      <c r="Z253" s="24" t="s">
        <v>3237</v>
      </c>
      <c r="AA253" s="24" t="str">
        <f>VLOOKUP(Table6[[#This Row],[Abb.]],Table1[],2,0)</f>
        <v>LONG BINH</v>
      </c>
    </row>
    <row r="254" spans="23:27">
      <c r="W254" s="24" t="s">
        <v>4431</v>
      </c>
      <c r="X254" s="24" t="s">
        <v>4432</v>
      </c>
      <c r="Y254" s="24" t="s">
        <v>4234</v>
      </c>
      <c r="Z254" s="24" t="s">
        <v>3237</v>
      </c>
      <c r="AA254" s="24" t="str">
        <f>VLOOKUP(Table6[[#This Row],[Abb.]],Table1[],2,0)</f>
        <v>LONG BINH</v>
      </c>
    </row>
    <row r="255" spans="23:27">
      <c r="W255" s="24" t="s">
        <v>4433</v>
      </c>
      <c r="X255" s="24" t="s">
        <v>4434</v>
      </c>
      <c r="Y255" s="24" t="s">
        <v>4234</v>
      </c>
      <c r="Z255" s="24" t="s">
        <v>3237</v>
      </c>
      <c r="AA255" s="24" t="str">
        <f>VLOOKUP(Table6[[#This Row],[Abb.]],Table1[],2,0)</f>
        <v>LONG BINH</v>
      </c>
    </row>
    <row r="256" spans="23:27">
      <c r="W256" s="24" t="s">
        <v>4435</v>
      </c>
      <c r="X256" s="24" t="s">
        <v>4436</v>
      </c>
      <c r="Y256" s="24" t="s">
        <v>4234</v>
      </c>
      <c r="Z256" s="24" t="s">
        <v>3237</v>
      </c>
      <c r="AA256" s="24" t="str">
        <f>VLOOKUP(Table6[[#This Row],[Abb.]],Table1[],2,0)</f>
        <v>LONG BINH</v>
      </c>
    </row>
    <row r="257" spans="23:27">
      <c r="W257" s="24" t="s">
        <v>4437</v>
      </c>
      <c r="X257" s="24" t="s">
        <v>4438</v>
      </c>
      <c r="Y257" s="24" t="s">
        <v>4178</v>
      </c>
      <c r="Z257" s="24" t="s">
        <v>2980</v>
      </c>
      <c r="AA257" s="24" t="str">
        <f>VLOOKUP(Table6[[#This Row],[Abb.]],Table1[],2,0)</f>
        <v>BWID THOI HOA</v>
      </c>
    </row>
    <row r="258" spans="23:27">
      <c r="W258" s="24" t="s">
        <v>4439</v>
      </c>
      <c r="X258" s="24" t="s">
        <v>4440</v>
      </c>
      <c r="Y258" s="24" t="s">
        <v>4411</v>
      </c>
      <c r="Z258" s="24" t="s">
        <v>440</v>
      </c>
      <c r="AA258" s="24" t="str">
        <f>VLOOKUP(Table6[[#This Row],[Abb.]],Table1[],2,0)</f>
        <v>BW NAM DINH VU</v>
      </c>
    </row>
    <row r="259" spans="23:27">
      <c r="W259" s="24" t="s">
        <v>4441</v>
      </c>
      <c r="X259" s="24" t="s">
        <v>4442</v>
      </c>
      <c r="Y259" s="24" t="s">
        <v>3874</v>
      </c>
      <c r="Z259" s="24" t="s">
        <v>389</v>
      </c>
      <c r="AA259" s="24" t="str">
        <f>VLOOKUP(Table6[[#This Row],[Abb.]],Table1[],2,0)</f>
        <v>BWID BINH DUONG</v>
      </c>
    </row>
    <row r="260" spans="23:27">
      <c r="W260" s="24" t="s">
        <v>4443</v>
      </c>
      <c r="X260" s="24" t="s">
        <v>4444</v>
      </c>
      <c r="Y260" s="24" t="s">
        <v>4445</v>
      </c>
      <c r="Z260" s="24" t="s">
        <v>389</v>
      </c>
      <c r="AA260" s="24" t="str">
        <f>VLOOKUP(Table6[[#This Row],[Abb.]],Table1[],2,0)</f>
        <v>BWID BINH DUONG</v>
      </c>
    </row>
    <row r="261" spans="23:27">
      <c r="W261" s="24" t="s">
        <v>4446</v>
      </c>
      <c r="X261" s="24" t="s">
        <v>4447</v>
      </c>
      <c r="Y261" s="24" t="s">
        <v>4306</v>
      </c>
      <c r="Z261" s="24" t="s">
        <v>434</v>
      </c>
      <c r="AA261" s="24" t="str">
        <f>VLOOKUP(Table6[[#This Row],[Abb.]],Table1[],2,0)</f>
        <v>BWID HAI PHONG</v>
      </c>
    </row>
    <row r="262" spans="23:27">
      <c r="W262" s="24" t="s">
        <v>4448</v>
      </c>
      <c r="X262" s="24" t="s">
        <v>4449</v>
      </c>
      <c r="Y262" s="24" t="s">
        <v>4186</v>
      </c>
      <c r="Z262" s="24" t="s">
        <v>434</v>
      </c>
      <c r="AA262" s="24" t="str">
        <f>VLOOKUP(Table6[[#This Row],[Abb.]],Table1[],2,0)</f>
        <v>BWID HAI PHONG</v>
      </c>
    </row>
    <row r="263" spans="23:27">
      <c r="W263" s="24" t="s">
        <v>4450</v>
      </c>
      <c r="X263" s="24" t="s">
        <v>4451</v>
      </c>
      <c r="Y263" s="24" t="s">
        <v>4175</v>
      </c>
      <c r="Z263" s="24" t="s">
        <v>2895</v>
      </c>
      <c r="AA263" s="24" t="str">
        <f>VLOOKUP(Table6[[#This Row],[Abb.]],Table1[],2,0)</f>
        <v>BWID HAI DUONG 2</v>
      </c>
    </row>
    <row r="264" spans="23:27">
      <c r="W264" s="24" t="s">
        <v>4452</v>
      </c>
      <c r="X264" s="24" t="s">
        <v>4453</v>
      </c>
      <c r="Y264" s="24" t="s">
        <v>4192</v>
      </c>
      <c r="Z264" s="24" t="s">
        <v>2998</v>
      </c>
      <c r="AA264" s="24" t="str">
        <f>VLOOKUP(Table6[[#This Row],[Abb.]],Table1[],2,0)</f>
        <v>BWID THOI HOA 2</v>
      </c>
    </row>
    <row r="265" spans="23:27">
      <c r="W265" s="24" t="s">
        <v>4454</v>
      </c>
      <c r="X265" s="24" t="s">
        <v>4455</v>
      </c>
      <c r="Y265" s="24" t="s">
        <v>4192</v>
      </c>
      <c r="Z265" s="24" t="s">
        <v>2998</v>
      </c>
      <c r="AA265" s="24" t="str">
        <f>VLOOKUP(Table6[[#This Row],[Abb.]],Table1[],2,0)</f>
        <v>BWID THOI HOA 2</v>
      </c>
    </row>
    <row r="266" spans="23:27">
      <c r="W266" s="24" t="s">
        <v>4456</v>
      </c>
      <c r="X266" s="24" t="s">
        <v>4457</v>
      </c>
      <c r="Y266" s="24" t="s">
        <v>3941</v>
      </c>
      <c r="Z266" s="24" t="s">
        <v>389</v>
      </c>
      <c r="AA266" s="24" t="str">
        <f>VLOOKUP(Table6[[#This Row],[Abb.]],Table1[],2,0)</f>
        <v>BWID BINH DUONG</v>
      </c>
    </row>
    <row r="267" spans="23:27">
      <c r="W267" s="24" t="s">
        <v>4458</v>
      </c>
      <c r="X267" s="24" t="s">
        <v>4459</v>
      </c>
      <c r="Y267" s="24" t="s">
        <v>3874</v>
      </c>
      <c r="Z267" s="24" t="s">
        <v>389</v>
      </c>
      <c r="AA267" s="24" t="str">
        <f>VLOOKUP(Table6[[#This Row],[Abb.]],Table1[],2,0)</f>
        <v>BWID BINH DUONG</v>
      </c>
    </row>
    <row r="268" spans="23:27">
      <c r="W268" s="24" t="s">
        <v>4460</v>
      </c>
      <c r="X268" s="24" t="s">
        <v>4461</v>
      </c>
      <c r="Y268" s="24" t="s">
        <v>3874</v>
      </c>
      <c r="Z268" s="24" t="s">
        <v>389</v>
      </c>
      <c r="AA268" s="24" t="str">
        <f>VLOOKUP(Table6[[#This Row],[Abb.]],Table1[],2,0)</f>
        <v>BWID BINH DUONG</v>
      </c>
    </row>
    <row r="269" spans="23:27">
      <c r="W269" s="24" t="s">
        <v>4462</v>
      </c>
      <c r="X269" s="24" t="s">
        <v>4463</v>
      </c>
      <c r="Y269" s="24" t="s">
        <v>3874</v>
      </c>
      <c r="Z269" s="24" t="s">
        <v>389</v>
      </c>
      <c r="AA269" s="24" t="str">
        <f>VLOOKUP(Table6[[#This Row],[Abb.]],Table1[],2,0)</f>
        <v>BWID BINH DUONG</v>
      </c>
    </row>
    <row r="270" spans="23:27">
      <c r="W270" s="24" t="s">
        <v>4464</v>
      </c>
      <c r="X270" s="24" t="s">
        <v>4465</v>
      </c>
      <c r="Y270" s="24" t="s">
        <v>3888</v>
      </c>
      <c r="Z270" s="24" t="s">
        <v>389</v>
      </c>
      <c r="AA270" s="24" t="str">
        <f>VLOOKUP(Table6[[#This Row],[Abb.]],Table1[],2,0)</f>
        <v>BWID BINH DUONG</v>
      </c>
    </row>
    <row r="271" spans="23:27">
      <c r="W271" s="24" t="s">
        <v>4466</v>
      </c>
      <c r="X271" s="24" t="s">
        <v>4467</v>
      </c>
      <c r="Y271" s="24" t="s">
        <v>4175</v>
      </c>
      <c r="Z271" s="24" t="s">
        <v>2895</v>
      </c>
      <c r="AA271" s="24" t="str">
        <f>VLOOKUP(Table6[[#This Row],[Abb.]],Table1[],2,0)</f>
        <v>BWID HAI DUONG 2</v>
      </c>
    </row>
    <row r="272" spans="23:27">
      <c r="W272" s="24" t="s">
        <v>4468</v>
      </c>
      <c r="X272" s="24" t="s">
        <v>4469</v>
      </c>
      <c r="Y272" s="24" t="s">
        <v>4175</v>
      </c>
      <c r="Z272" s="24" t="s">
        <v>2895</v>
      </c>
      <c r="AA272" s="24" t="str">
        <f>VLOOKUP(Table6[[#This Row],[Abb.]],Table1[],2,0)</f>
        <v>BWID HAI DUONG 2</v>
      </c>
    </row>
    <row r="273" spans="23:27">
      <c r="W273" s="24" t="s">
        <v>4470</v>
      </c>
      <c r="X273" s="24" t="s">
        <v>4471</v>
      </c>
      <c r="Y273" s="24" t="s">
        <v>4175</v>
      </c>
      <c r="Z273" s="24" t="s">
        <v>2895</v>
      </c>
      <c r="AA273" s="24" t="str">
        <f>VLOOKUP(Table6[[#This Row],[Abb.]],Table1[],2,0)</f>
        <v>BWID HAI DUONG 2</v>
      </c>
    </row>
    <row r="274" spans="23:27">
      <c r="W274" s="24" t="s">
        <v>4472</v>
      </c>
      <c r="X274" s="24" t="s">
        <v>4473</v>
      </c>
      <c r="Y274" s="24" t="s">
        <v>4162</v>
      </c>
      <c r="Z274" s="24" t="s">
        <v>2915</v>
      </c>
      <c r="AA274" s="24" t="str">
        <f>VLOOKUP(Table6[[#This Row],[Abb.]],Table1[],2,0)</f>
        <v>BW DINH VU</v>
      </c>
    </row>
    <row r="275" spans="23:27">
      <c r="W275" s="24" t="s">
        <v>4474</v>
      </c>
      <c r="X275" s="24" t="s">
        <v>4475</v>
      </c>
      <c r="Y275" s="24" t="s">
        <v>3894</v>
      </c>
      <c r="Z275" s="24" t="s">
        <v>2888</v>
      </c>
      <c r="AA275" s="24" t="str">
        <f>VLOOKUP(Table6[[#This Row],[Abb.]],Table1[],2,0)</f>
        <v>BWID HAI DUONG</v>
      </c>
    </row>
    <row r="276" spans="23:27">
      <c r="W276" s="392">
        <v>0</v>
      </c>
      <c r="X276" s="24" t="s">
        <v>4476</v>
      </c>
      <c r="Y276" s="24" t="s">
        <v>4192</v>
      </c>
      <c r="Z276" s="24" t="s">
        <v>2998</v>
      </c>
      <c r="AA276" s="24" t="str">
        <f>VLOOKUP(Table6[[#This Row],[Abb.]],Table1[],2,0)</f>
        <v>BWID THOI HOA 2</v>
      </c>
    </row>
    <row r="277" spans="23:27">
      <c r="W277" s="24" t="s">
        <v>4477</v>
      </c>
      <c r="X277" s="24" t="s">
        <v>4478</v>
      </c>
      <c r="Y277" s="24" t="s">
        <v>4479</v>
      </c>
      <c r="Z277" s="24" t="s">
        <v>3175</v>
      </c>
      <c r="AA277" s="24" t="str">
        <f>VLOOKUP(Table6[[#This Row],[Abb.]],Table1[],2,0)</f>
        <v>BW HAI AN</v>
      </c>
    </row>
    <row r="278" spans="23:27">
      <c r="W278" s="24" t="s">
        <v>4480</v>
      </c>
      <c r="X278" s="24" t="s">
        <v>4481</v>
      </c>
      <c r="Y278" s="24" t="s">
        <v>4482</v>
      </c>
      <c r="Z278" s="24" t="s">
        <v>445</v>
      </c>
      <c r="AA278" s="24" t="str">
        <f>VLOOKUP(Table6[[#This Row],[Abb.]],Table1[],2,0)</f>
        <v>BW PHU NGHIA</v>
      </c>
    </row>
    <row r="279" spans="23:27">
      <c r="W279" s="24" t="s">
        <v>4483</v>
      </c>
      <c r="X279" s="24" t="s">
        <v>4484</v>
      </c>
      <c r="Y279" s="24" t="s">
        <v>4175</v>
      </c>
      <c r="Z279" s="24" t="s">
        <v>2895</v>
      </c>
      <c r="AA279" s="24" t="str">
        <f>VLOOKUP(Table6[[#This Row],[Abb.]],Table1[],2,0)</f>
        <v>BWID HAI DUONG 2</v>
      </c>
    </row>
  </sheetData>
  <pageMargins left="0.7" right="0.7" top="0.75" bottom="0.75" header="0.3" footer="0.3"/>
  <pageSetup orientation="portrait" r:id="rId1"/>
  <tableParts count="6">
    <tablePart r:id="rId2"/>
    <tablePart r:id="rId3"/>
    <tablePart r:id="rId4"/>
    <tablePart r:id="rId5"/>
    <tablePart r:id="rId6"/>
    <tablePart r:id="rId7"/>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002B7-4A36-49C3-8C76-B547336245A9}">
  <sheetPr codeName="Sheet1"/>
  <dimension ref="A1:O658"/>
  <sheetViews>
    <sheetView topLeftCell="A500" zoomScale="85" zoomScaleNormal="85" workbookViewId="0">
      <selection activeCell="A522" sqref="A522"/>
    </sheetView>
  </sheetViews>
  <sheetFormatPr defaultColWidth="7.21875" defaultRowHeight="10.199999999999999" customHeight="1"/>
  <cols>
    <col min="1" max="1" width="18.21875" style="915" bestFit="1" customWidth="1"/>
    <col min="2" max="2" width="65.77734375" style="915" customWidth="1"/>
    <col min="3" max="3" width="20.77734375" style="915" bestFit="1" customWidth="1"/>
    <col min="4" max="4" width="7.77734375" style="915" bestFit="1" customWidth="1"/>
    <col min="5" max="5" width="16.44140625" style="915" bestFit="1" customWidth="1"/>
    <col min="6" max="6" width="4.44140625" style="915" customWidth="1"/>
    <col min="7" max="7" width="11.21875" style="915" bestFit="1" customWidth="1"/>
    <col min="8" max="8" width="14.5546875" style="915" bestFit="1" customWidth="1"/>
    <col min="9" max="9" width="16.44140625" style="915" bestFit="1" customWidth="1"/>
    <col min="10" max="10" width="28.5546875" style="915" bestFit="1" customWidth="1"/>
    <col min="11" max="11" width="16.5546875" style="915" hidden="1" customWidth="1"/>
    <col min="12" max="12" width="16.5546875" style="915" customWidth="1"/>
    <col min="13" max="13" width="17.44140625" style="915" bestFit="1" customWidth="1"/>
    <col min="14" max="14" width="23.44140625" style="915" bestFit="1" customWidth="1"/>
    <col min="15" max="16384" width="7.21875" style="915"/>
  </cols>
  <sheetData>
    <row r="1" spans="1:15" ht="14.4">
      <c r="A1"/>
      <c r="B1"/>
      <c r="C1"/>
      <c r="D1"/>
      <c r="E1"/>
      <c r="F1"/>
      <c r="G1"/>
      <c r="H1"/>
      <c r="I1"/>
      <c r="J1"/>
      <c r="K1"/>
      <c r="L1"/>
      <c r="M1"/>
      <c r="N1"/>
      <c r="O1"/>
    </row>
    <row r="2" spans="1:15" ht="14.4">
      <c r="A2" s="1078" t="s">
        <v>4485</v>
      </c>
      <c r="B2" s="1078" t="s">
        <v>4486</v>
      </c>
      <c r="C2" s="1078" t="s">
        <v>4487</v>
      </c>
      <c r="D2" s="1078" t="s">
        <v>316</v>
      </c>
      <c r="E2" s="1078" t="s">
        <v>4488</v>
      </c>
      <c r="F2" s="1078" t="s">
        <v>4489</v>
      </c>
      <c r="G2" s="1078" t="s">
        <v>4490</v>
      </c>
      <c r="H2" s="1078" t="s">
        <v>4491</v>
      </c>
      <c r="I2" s="1078" t="s">
        <v>4492</v>
      </c>
      <c r="J2" s="1078" t="s">
        <v>4493</v>
      </c>
      <c r="K2"/>
      <c r="L2"/>
      <c r="M2"/>
      <c r="N2"/>
      <c r="O2"/>
    </row>
    <row r="3" spans="1:15" ht="14.4">
      <c r="A3" s="1001" t="s">
        <v>715</v>
      </c>
      <c r="B3" s="932" t="s">
        <v>4494</v>
      </c>
      <c r="C3" s="932" t="s">
        <v>4495</v>
      </c>
      <c r="D3" s="932" t="s">
        <v>80</v>
      </c>
      <c r="E3" s="1079">
        <v>68541797054</v>
      </c>
      <c r="F3" s="932" t="s">
        <v>1553</v>
      </c>
      <c r="G3" s="932" t="s">
        <v>110</v>
      </c>
      <c r="H3" s="1080">
        <v>45846.689421296294</v>
      </c>
      <c r="I3" s="1079">
        <v>80757699702</v>
      </c>
      <c r="J3" s="932" t="s">
        <v>4496</v>
      </c>
      <c r="K3"/>
      <c r="L3"/>
      <c r="M3"/>
      <c r="N3"/>
      <c r="O3"/>
    </row>
    <row r="4" spans="1:15" ht="14.4">
      <c r="A4" s="1001" t="s">
        <v>481</v>
      </c>
      <c r="B4" s="932" t="s">
        <v>4494</v>
      </c>
      <c r="C4" s="932" t="s">
        <v>4497</v>
      </c>
      <c r="D4" s="932" t="s">
        <v>80</v>
      </c>
      <c r="E4" s="1079">
        <v>68541797054</v>
      </c>
      <c r="F4" s="932" t="s">
        <v>1554</v>
      </c>
      <c r="G4" s="932" t="s">
        <v>110</v>
      </c>
      <c r="H4" s="1080">
        <v>45846.689421296294</v>
      </c>
      <c r="I4" s="1079">
        <v>1364645222</v>
      </c>
      <c r="J4" s="932" t="s">
        <v>4496</v>
      </c>
      <c r="K4"/>
      <c r="L4"/>
      <c r="M4"/>
      <c r="N4"/>
      <c r="O4"/>
    </row>
    <row r="5" spans="1:15" ht="14.4">
      <c r="A5" s="1001" t="s">
        <v>586</v>
      </c>
      <c r="B5" s="932" t="s">
        <v>4498</v>
      </c>
      <c r="C5" s="932" t="s">
        <v>4495</v>
      </c>
      <c r="D5" s="932" t="s">
        <v>80</v>
      </c>
      <c r="E5" s="1079">
        <v>50000000000</v>
      </c>
      <c r="F5" s="932" t="s">
        <v>1553</v>
      </c>
      <c r="G5" s="932" t="s">
        <v>110</v>
      </c>
      <c r="H5" s="1080">
        <v>45849.659363425926</v>
      </c>
      <c r="I5" s="1079">
        <v>50126245077</v>
      </c>
      <c r="J5" s="932" t="s">
        <v>4499</v>
      </c>
      <c r="K5"/>
      <c r="L5"/>
      <c r="M5"/>
      <c r="N5"/>
      <c r="O5"/>
    </row>
    <row r="6" spans="1:15" ht="14.4">
      <c r="A6" s="1001" t="s">
        <v>715</v>
      </c>
      <c r="B6" s="932" t="s">
        <v>4500</v>
      </c>
      <c r="C6" s="932" t="s">
        <v>4497</v>
      </c>
      <c r="D6" s="932" t="s">
        <v>80</v>
      </c>
      <c r="E6" s="1079">
        <v>50000000000</v>
      </c>
      <c r="F6" s="932" t="s">
        <v>1554</v>
      </c>
      <c r="G6" s="932" t="s">
        <v>110</v>
      </c>
      <c r="H6" s="1080">
        <v>45846.786319444444</v>
      </c>
      <c r="I6" s="1079">
        <v>5757699702</v>
      </c>
      <c r="J6" s="932" t="s">
        <v>4501</v>
      </c>
      <c r="K6"/>
      <c r="L6"/>
      <c r="M6"/>
      <c r="N6"/>
      <c r="O6"/>
    </row>
    <row r="7" spans="1:15" ht="14.4">
      <c r="A7" s="1001" t="s">
        <v>568</v>
      </c>
      <c r="B7" s="932" t="s">
        <v>4502</v>
      </c>
      <c r="C7" s="932" t="s">
        <v>55</v>
      </c>
      <c r="D7" s="932" t="s">
        <v>80</v>
      </c>
      <c r="E7" s="1079">
        <v>22191781</v>
      </c>
      <c r="F7" s="932" t="s">
        <v>1553</v>
      </c>
      <c r="G7" s="932" t="s">
        <v>114</v>
      </c>
      <c r="H7" s="1080">
        <v>45844.086076388892</v>
      </c>
      <c r="I7" s="1079">
        <v>7628479634</v>
      </c>
      <c r="J7" s="932" t="s">
        <v>4503</v>
      </c>
      <c r="K7"/>
      <c r="L7"/>
      <c r="M7"/>
      <c r="N7"/>
      <c r="O7"/>
    </row>
    <row r="8" spans="1:15" ht="14.4">
      <c r="A8" s="1001" t="s">
        <v>568</v>
      </c>
      <c r="B8" s="932" t="s">
        <v>4504</v>
      </c>
      <c r="C8" s="932" t="s">
        <v>55</v>
      </c>
      <c r="D8" s="932" t="s">
        <v>80</v>
      </c>
      <c r="E8" s="1079">
        <v>4100000000</v>
      </c>
      <c r="F8" s="932" t="s">
        <v>1554</v>
      </c>
      <c r="G8" s="932" t="s">
        <v>114</v>
      </c>
      <c r="H8" s="1080">
        <v>45840.636273148149</v>
      </c>
      <c r="I8" s="1079">
        <v>7520935240</v>
      </c>
      <c r="J8" s="932" t="s">
        <v>4505</v>
      </c>
      <c r="K8"/>
      <c r="L8"/>
      <c r="M8"/>
      <c r="N8"/>
      <c r="O8"/>
    </row>
    <row r="9" spans="1:15" ht="14.4">
      <c r="A9" s="1001" t="s">
        <v>587</v>
      </c>
      <c r="B9" s="932" t="s">
        <v>4506</v>
      </c>
      <c r="C9" s="932" t="s">
        <v>4497</v>
      </c>
      <c r="D9" s="932" t="s">
        <v>80</v>
      </c>
      <c r="E9" s="1079">
        <v>18100000000</v>
      </c>
      <c r="F9" s="932" t="s">
        <v>1554</v>
      </c>
      <c r="G9" s="932" t="s">
        <v>110</v>
      </c>
      <c r="H9" s="1080">
        <v>45842.471412037034</v>
      </c>
      <c r="I9" s="1079">
        <v>86143766512</v>
      </c>
      <c r="J9" s="932" t="s">
        <v>4496</v>
      </c>
      <c r="K9"/>
      <c r="L9"/>
      <c r="M9"/>
      <c r="N9"/>
      <c r="O9"/>
    </row>
    <row r="10" spans="1:15" ht="14.4">
      <c r="A10" s="1001" t="s">
        <v>568</v>
      </c>
      <c r="B10" s="932" t="s">
        <v>4507</v>
      </c>
      <c r="C10" s="932" t="s">
        <v>53</v>
      </c>
      <c r="D10" s="932" t="s">
        <v>80</v>
      </c>
      <c r="E10" s="1079">
        <v>232807933</v>
      </c>
      <c r="F10" s="932" t="s">
        <v>1554</v>
      </c>
      <c r="G10" s="932" t="s">
        <v>114</v>
      </c>
      <c r="H10" s="1080">
        <v>45849.451388888891</v>
      </c>
      <c r="I10" s="1079">
        <v>7487003701</v>
      </c>
      <c r="J10" s="932" t="s">
        <v>4508</v>
      </c>
      <c r="K10"/>
      <c r="L10"/>
      <c r="M10"/>
      <c r="N10"/>
      <c r="O10"/>
    </row>
    <row r="11" spans="1:15" ht="14.4">
      <c r="A11" s="1001" t="s">
        <v>568</v>
      </c>
      <c r="B11" s="932" t="s">
        <v>4509</v>
      </c>
      <c r="C11" s="932" t="s">
        <v>39</v>
      </c>
      <c r="D11" s="932" t="s">
        <v>80</v>
      </c>
      <c r="E11" s="1079">
        <v>16081125</v>
      </c>
      <c r="F11" s="932" t="s">
        <v>1553</v>
      </c>
      <c r="G11" s="932" t="s">
        <v>114</v>
      </c>
      <c r="H11" s="1080">
        <v>45841.390555555554</v>
      </c>
      <c r="I11" s="1079">
        <v>7537016365</v>
      </c>
      <c r="J11" s="932" t="s">
        <v>4496</v>
      </c>
      <c r="K11"/>
      <c r="L11"/>
      <c r="M11"/>
      <c r="N11"/>
      <c r="O11"/>
    </row>
    <row r="12" spans="1:15" ht="14.4">
      <c r="A12" s="1001" t="s">
        <v>568</v>
      </c>
      <c r="B12" s="932" t="s">
        <v>4510</v>
      </c>
      <c r="C12" s="932" t="s">
        <v>39</v>
      </c>
      <c r="D12" s="932" t="s">
        <v>80</v>
      </c>
      <c r="E12" s="1079">
        <v>69271488</v>
      </c>
      <c r="F12" s="932" t="s">
        <v>1553</v>
      </c>
      <c r="G12" s="932" t="s">
        <v>114</v>
      </c>
      <c r="H12" s="1080">
        <v>45841.471180555556</v>
      </c>
      <c r="I12" s="1079">
        <v>7606287853</v>
      </c>
      <c r="J12" s="932" t="s">
        <v>4511</v>
      </c>
      <c r="K12"/>
      <c r="L12"/>
      <c r="M12"/>
      <c r="N12"/>
      <c r="O12"/>
    </row>
    <row r="13" spans="1:15" ht="14.4">
      <c r="A13" s="1001" t="s">
        <v>858</v>
      </c>
      <c r="B13" s="932" t="s">
        <v>4506</v>
      </c>
      <c r="C13" s="932" t="s">
        <v>4495</v>
      </c>
      <c r="D13" s="932" t="s">
        <v>80</v>
      </c>
      <c r="E13" s="1079">
        <v>18100000000</v>
      </c>
      <c r="F13" s="932" t="s">
        <v>1553</v>
      </c>
      <c r="G13" s="932" t="s">
        <v>110</v>
      </c>
      <c r="H13" s="1080">
        <v>45842.471412037034</v>
      </c>
      <c r="I13" s="1079">
        <v>18128413783</v>
      </c>
      <c r="J13" s="932" t="s">
        <v>4496</v>
      </c>
      <c r="K13"/>
      <c r="L13"/>
      <c r="M13"/>
      <c r="N13"/>
      <c r="O13"/>
    </row>
    <row r="14" spans="1:15" ht="14.4">
      <c r="A14" s="1001" t="s">
        <v>568</v>
      </c>
      <c r="B14" s="932" t="s">
        <v>4512</v>
      </c>
      <c r="C14" s="932" t="s">
        <v>53</v>
      </c>
      <c r="D14" s="932" t="s">
        <v>80</v>
      </c>
      <c r="E14" s="1079">
        <v>359907600</v>
      </c>
      <c r="F14" s="932" t="s">
        <v>1554</v>
      </c>
      <c r="G14" s="932" t="s">
        <v>114</v>
      </c>
      <c r="H14" s="1080">
        <v>45849.451388888891</v>
      </c>
      <c r="I14" s="1079">
        <v>7127096101</v>
      </c>
      <c r="J14" s="932" t="s">
        <v>4511</v>
      </c>
      <c r="K14"/>
      <c r="L14"/>
      <c r="M14"/>
      <c r="N14"/>
      <c r="O14"/>
    </row>
    <row r="15" spans="1:15" ht="14.4">
      <c r="A15" s="1001" t="s">
        <v>677</v>
      </c>
      <c r="B15" s="932" t="s">
        <v>4513</v>
      </c>
      <c r="C15" s="932" t="s">
        <v>4497</v>
      </c>
      <c r="D15" s="932" t="s">
        <v>80</v>
      </c>
      <c r="E15" s="1079">
        <v>4000000000</v>
      </c>
      <c r="F15" s="932" t="s">
        <v>1554</v>
      </c>
      <c r="G15" s="932" t="s">
        <v>110</v>
      </c>
      <c r="H15" s="1080">
        <v>45853.628796296296</v>
      </c>
      <c r="I15" s="1079">
        <v>36745096</v>
      </c>
      <c r="J15" s="932" t="s">
        <v>4514</v>
      </c>
      <c r="K15"/>
      <c r="L15"/>
      <c r="M15"/>
      <c r="N15"/>
      <c r="O15"/>
    </row>
    <row r="16" spans="1:15" ht="14.4">
      <c r="A16" s="1001" t="s">
        <v>336</v>
      </c>
      <c r="B16" s="932" t="s">
        <v>4515</v>
      </c>
      <c r="C16" s="932" t="s">
        <v>53</v>
      </c>
      <c r="D16" s="932" t="s">
        <v>80</v>
      </c>
      <c r="E16" s="1079">
        <v>22849358</v>
      </c>
      <c r="F16" s="932" t="s">
        <v>1554</v>
      </c>
      <c r="G16" s="932" t="s">
        <v>114</v>
      </c>
      <c r="H16" s="1080">
        <v>45852.589930555558</v>
      </c>
      <c r="I16" s="1079">
        <v>13482141737</v>
      </c>
      <c r="J16" s="932" t="s">
        <v>4496</v>
      </c>
      <c r="K16"/>
      <c r="L16"/>
      <c r="M16"/>
      <c r="N16"/>
      <c r="O16"/>
    </row>
    <row r="17" spans="1:15" ht="14.4">
      <c r="A17" s="1001" t="s">
        <v>336</v>
      </c>
      <c r="B17" s="932" t="s">
        <v>4516</v>
      </c>
      <c r="C17" s="932" t="s">
        <v>53</v>
      </c>
      <c r="D17" s="932" t="s">
        <v>80</v>
      </c>
      <c r="E17" s="1079">
        <v>924000000</v>
      </c>
      <c r="F17" s="932" t="s">
        <v>1554</v>
      </c>
      <c r="G17" s="932" t="s">
        <v>114</v>
      </c>
      <c r="H17" s="1080">
        <v>45852.589930555558</v>
      </c>
      <c r="I17" s="1079">
        <v>12554793737</v>
      </c>
      <c r="J17" s="932" t="s">
        <v>4517</v>
      </c>
      <c r="K17"/>
      <c r="L17"/>
      <c r="M17"/>
      <c r="N17"/>
      <c r="O17"/>
    </row>
    <row r="18" spans="1:15" ht="14.4">
      <c r="A18" s="1001" t="s">
        <v>336</v>
      </c>
      <c r="B18" s="932" t="s">
        <v>4518</v>
      </c>
      <c r="C18" s="932" t="s">
        <v>39</v>
      </c>
      <c r="D18" s="932" t="s">
        <v>80</v>
      </c>
      <c r="E18" s="1079">
        <v>51292</v>
      </c>
      <c r="F18" s="932" t="s">
        <v>1553</v>
      </c>
      <c r="G18" s="932" t="s">
        <v>114</v>
      </c>
      <c r="H18" s="1080">
        <v>45841.394837962966</v>
      </c>
      <c r="I18" s="1079">
        <v>1171138642</v>
      </c>
      <c r="J18" s="932" t="s">
        <v>4511</v>
      </c>
      <c r="K18"/>
      <c r="L18"/>
      <c r="M18"/>
      <c r="N18"/>
      <c r="O18"/>
    </row>
    <row r="19" spans="1:15" ht="14.4">
      <c r="A19" s="1001" t="s">
        <v>336</v>
      </c>
      <c r="B19" s="932" t="s">
        <v>4519</v>
      </c>
      <c r="C19" s="932" t="s">
        <v>39</v>
      </c>
      <c r="D19" s="932" t="s">
        <v>80</v>
      </c>
      <c r="E19" s="1079">
        <v>103840</v>
      </c>
      <c r="F19" s="932" t="s">
        <v>1553</v>
      </c>
      <c r="G19" s="932" t="s">
        <v>114</v>
      </c>
      <c r="H19" s="1080">
        <v>45841.39471064815</v>
      </c>
      <c r="I19" s="1079">
        <v>1171087350</v>
      </c>
      <c r="J19" s="932" t="s">
        <v>4520</v>
      </c>
      <c r="K19"/>
      <c r="L19"/>
      <c r="M19"/>
      <c r="N19"/>
      <c r="O19"/>
    </row>
    <row r="20" spans="1:15" ht="14.4">
      <c r="A20" s="1001" t="s">
        <v>336</v>
      </c>
      <c r="B20" s="932" t="s">
        <v>4521</v>
      </c>
      <c r="C20" s="932" t="s">
        <v>39</v>
      </c>
      <c r="D20" s="932" t="s">
        <v>80</v>
      </c>
      <c r="E20" s="1079">
        <v>2888645019</v>
      </c>
      <c r="F20" s="932" t="s">
        <v>1553</v>
      </c>
      <c r="G20" s="932" t="s">
        <v>114</v>
      </c>
      <c r="H20" s="1080">
        <v>45852.580439814818</v>
      </c>
      <c r="I20" s="1079">
        <v>13504991095</v>
      </c>
      <c r="J20" s="932" t="s">
        <v>4496</v>
      </c>
      <c r="K20"/>
      <c r="L20"/>
      <c r="M20"/>
      <c r="N20"/>
      <c r="O20"/>
    </row>
    <row r="21" spans="1:15" ht="14.4">
      <c r="A21" s="1001" t="s">
        <v>336</v>
      </c>
      <c r="B21" s="932" t="s">
        <v>4522</v>
      </c>
      <c r="C21" s="932" t="s">
        <v>39</v>
      </c>
      <c r="D21" s="932" t="s">
        <v>80</v>
      </c>
      <c r="E21" s="1079">
        <v>522946191</v>
      </c>
      <c r="F21" s="932" t="s">
        <v>1553</v>
      </c>
      <c r="G21" s="932" t="s">
        <v>114</v>
      </c>
      <c r="H21" s="1080">
        <v>45841.395856481482</v>
      </c>
      <c r="I21" s="1079">
        <v>1694084833</v>
      </c>
      <c r="J21" s="932" t="s">
        <v>4523</v>
      </c>
      <c r="K21"/>
      <c r="L21"/>
      <c r="M21"/>
      <c r="N21"/>
      <c r="O21"/>
    </row>
    <row r="22" spans="1:15" ht="14.4">
      <c r="A22" s="1001" t="s">
        <v>336</v>
      </c>
      <c r="B22" s="932" t="s">
        <v>4524</v>
      </c>
      <c r="C22" s="932" t="s">
        <v>39</v>
      </c>
      <c r="D22" s="932" t="s">
        <v>80</v>
      </c>
      <c r="E22" s="1079">
        <v>5622124109</v>
      </c>
      <c r="F22" s="932" t="s">
        <v>1553</v>
      </c>
      <c r="G22" s="932" t="s">
        <v>114</v>
      </c>
      <c r="H22" s="1080">
        <v>45848.566516203704</v>
      </c>
      <c r="I22" s="1079">
        <v>8698057619</v>
      </c>
      <c r="J22" s="932" t="s">
        <v>4496</v>
      </c>
      <c r="K22"/>
      <c r="L22"/>
      <c r="M22"/>
      <c r="N22"/>
      <c r="O22"/>
    </row>
    <row r="23" spans="1:15" ht="14.4">
      <c r="A23" s="1001" t="s">
        <v>336</v>
      </c>
      <c r="B23" s="932" t="s">
        <v>4525</v>
      </c>
      <c r="C23" s="932" t="s">
        <v>39</v>
      </c>
      <c r="D23" s="932" t="s">
        <v>80</v>
      </c>
      <c r="E23" s="1079">
        <v>1203483897</v>
      </c>
      <c r="F23" s="932" t="s">
        <v>1553</v>
      </c>
      <c r="G23" s="932" t="s">
        <v>114</v>
      </c>
      <c r="H23" s="1080">
        <v>45842.473576388889</v>
      </c>
      <c r="I23" s="1079">
        <v>3075988510</v>
      </c>
      <c r="J23" s="932" t="s">
        <v>4526</v>
      </c>
      <c r="K23"/>
      <c r="L23"/>
      <c r="M23"/>
      <c r="N23"/>
      <c r="O23"/>
    </row>
    <row r="24" spans="1:15" ht="14.4">
      <c r="A24" s="1001" t="s">
        <v>336</v>
      </c>
      <c r="B24" s="932" t="s">
        <v>4527</v>
      </c>
      <c r="C24" s="932" t="s">
        <v>39</v>
      </c>
      <c r="D24" s="932" t="s">
        <v>80</v>
      </c>
      <c r="E24" s="1079">
        <v>989170194</v>
      </c>
      <c r="F24" s="932" t="s">
        <v>1553</v>
      </c>
      <c r="G24" s="932" t="s">
        <v>114</v>
      </c>
      <c r="H24" s="1080">
        <v>45841.388831018521</v>
      </c>
      <c r="I24" s="1079">
        <v>1170983510</v>
      </c>
      <c r="J24" s="932" t="s">
        <v>4496</v>
      </c>
      <c r="K24"/>
      <c r="L24"/>
      <c r="M24"/>
      <c r="N24"/>
      <c r="O24"/>
    </row>
    <row r="25" spans="1:15" ht="14.4">
      <c r="A25" s="1001" t="s">
        <v>336</v>
      </c>
      <c r="B25" s="932" t="s">
        <v>4528</v>
      </c>
      <c r="C25" s="932" t="s">
        <v>53</v>
      </c>
      <c r="D25" s="932" t="s">
        <v>80</v>
      </c>
      <c r="E25" s="1079">
        <v>3348000</v>
      </c>
      <c r="F25" s="932" t="s">
        <v>1554</v>
      </c>
      <c r="G25" s="932" t="s">
        <v>114</v>
      </c>
      <c r="H25" s="1080">
        <v>45852.589930555558</v>
      </c>
      <c r="I25" s="1079">
        <v>13478793737</v>
      </c>
      <c r="J25" s="932" t="s">
        <v>4511</v>
      </c>
      <c r="K25"/>
      <c r="L25"/>
      <c r="M25"/>
      <c r="N25"/>
      <c r="O25"/>
    </row>
    <row r="26" spans="1:15" ht="14.4">
      <c r="A26" s="1001" t="s">
        <v>677</v>
      </c>
      <c r="B26" s="932" t="s">
        <v>4529</v>
      </c>
      <c r="C26" s="932" t="s">
        <v>4495</v>
      </c>
      <c r="D26" s="932" t="s">
        <v>80</v>
      </c>
      <c r="E26" s="1079">
        <v>4000000000</v>
      </c>
      <c r="F26" s="932" t="s">
        <v>1553</v>
      </c>
      <c r="G26" s="932" t="s">
        <v>110</v>
      </c>
      <c r="H26" s="1080">
        <v>45853.594861111109</v>
      </c>
      <c r="I26" s="1079">
        <v>4036745096</v>
      </c>
      <c r="J26" s="932" t="s">
        <v>4514</v>
      </c>
      <c r="K26"/>
      <c r="L26"/>
      <c r="M26"/>
      <c r="N26"/>
      <c r="O26"/>
    </row>
    <row r="27" spans="1:15" ht="14.4">
      <c r="A27" s="1001" t="s">
        <v>618</v>
      </c>
      <c r="B27" s="932" t="s">
        <v>4530</v>
      </c>
      <c r="C27" s="932" t="s">
        <v>53</v>
      </c>
      <c r="D27" s="932" t="s">
        <v>80</v>
      </c>
      <c r="E27" s="1079">
        <v>94602000</v>
      </c>
      <c r="F27" s="932" t="s">
        <v>1554</v>
      </c>
      <c r="G27" s="932" t="s">
        <v>114</v>
      </c>
      <c r="H27" s="1080">
        <v>45839.75277777778</v>
      </c>
      <c r="I27" s="1079">
        <v>4811863430</v>
      </c>
      <c r="J27" s="932" t="s">
        <v>4496</v>
      </c>
      <c r="K27"/>
      <c r="L27"/>
      <c r="M27"/>
      <c r="N27"/>
      <c r="O27"/>
    </row>
    <row r="28" spans="1:15" ht="14.4">
      <c r="A28" s="1001" t="s">
        <v>618</v>
      </c>
      <c r="B28" s="932" t="s">
        <v>4531</v>
      </c>
      <c r="C28" s="932" t="s">
        <v>53</v>
      </c>
      <c r="D28" s="932" t="s">
        <v>80</v>
      </c>
      <c r="E28" s="1079">
        <v>14364000</v>
      </c>
      <c r="F28" s="932" t="s">
        <v>1554</v>
      </c>
      <c r="G28" s="932" t="s">
        <v>114</v>
      </c>
      <c r="H28" s="1080">
        <v>45842.435983796298</v>
      </c>
      <c r="I28" s="1079">
        <v>5100475235</v>
      </c>
      <c r="J28" s="932" t="s">
        <v>4511</v>
      </c>
      <c r="K28"/>
      <c r="L28"/>
      <c r="M28"/>
      <c r="N28"/>
      <c r="O28"/>
    </row>
    <row r="29" spans="1:15" ht="14.4">
      <c r="A29" s="1001" t="s">
        <v>618</v>
      </c>
      <c r="B29" s="932" t="s">
        <v>4532</v>
      </c>
      <c r="C29" s="932" t="s">
        <v>53</v>
      </c>
      <c r="D29" s="932" t="s">
        <v>80</v>
      </c>
      <c r="E29" s="1079">
        <v>91264131</v>
      </c>
      <c r="F29" s="932" t="s">
        <v>1554</v>
      </c>
      <c r="G29" s="932" t="s">
        <v>114</v>
      </c>
      <c r="H29" s="1080">
        <v>45848.441678240742</v>
      </c>
      <c r="I29" s="1079">
        <v>5009156104</v>
      </c>
      <c r="J29" s="932" t="s">
        <v>4533</v>
      </c>
      <c r="K29"/>
      <c r="L29"/>
      <c r="M29"/>
      <c r="N29"/>
      <c r="O29"/>
    </row>
    <row r="30" spans="1:15" ht="14.4">
      <c r="A30" s="1001" t="s">
        <v>618</v>
      </c>
      <c r="B30" s="932" t="s">
        <v>4534</v>
      </c>
      <c r="C30" s="932" t="s">
        <v>53</v>
      </c>
      <c r="D30" s="932" t="s">
        <v>80</v>
      </c>
      <c r="E30" s="1079">
        <v>4745059</v>
      </c>
      <c r="F30" s="932" t="s">
        <v>1554</v>
      </c>
      <c r="G30" s="932" t="s">
        <v>114</v>
      </c>
      <c r="H30" s="1080">
        <v>45848.441678240742</v>
      </c>
      <c r="I30" s="1079">
        <v>5004411045</v>
      </c>
      <c r="J30" s="932" t="s">
        <v>4535</v>
      </c>
      <c r="K30"/>
      <c r="L30"/>
      <c r="M30"/>
      <c r="N30"/>
      <c r="O30"/>
    </row>
    <row r="31" spans="1:15" ht="14.4">
      <c r="A31" s="1001" t="s">
        <v>618</v>
      </c>
      <c r="B31" s="932" t="s">
        <v>4536</v>
      </c>
      <c r="C31" s="932" t="s">
        <v>53</v>
      </c>
      <c r="D31" s="932" t="s">
        <v>80</v>
      </c>
      <c r="E31" s="1079">
        <v>1862680</v>
      </c>
      <c r="F31" s="932" t="s">
        <v>1554</v>
      </c>
      <c r="G31" s="932" t="s">
        <v>114</v>
      </c>
      <c r="H31" s="1080">
        <v>45852.589942129627</v>
      </c>
      <c r="I31" s="1079">
        <v>5002548365</v>
      </c>
      <c r="J31" s="932" t="s">
        <v>4537</v>
      </c>
      <c r="K31"/>
      <c r="L31"/>
      <c r="M31"/>
      <c r="N31"/>
      <c r="O31"/>
    </row>
    <row r="32" spans="1:15" ht="14.4">
      <c r="A32" s="1001" t="s">
        <v>627</v>
      </c>
      <c r="B32" s="932" t="s">
        <v>4538</v>
      </c>
      <c r="C32" s="932" t="s">
        <v>4495</v>
      </c>
      <c r="D32" s="932" t="s">
        <v>80</v>
      </c>
      <c r="E32" s="1079">
        <v>2000000000</v>
      </c>
      <c r="F32" s="932" t="s">
        <v>1553</v>
      </c>
      <c r="G32" s="932" t="s">
        <v>110</v>
      </c>
      <c r="H32" s="1080">
        <v>45839.613599537035</v>
      </c>
      <c r="I32" s="1079">
        <v>2030138379</v>
      </c>
      <c r="J32" s="932" t="s">
        <v>4496</v>
      </c>
      <c r="K32"/>
      <c r="L32"/>
      <c r="M32"/>
      <c r="N32"/>
      <c r="O32"/>
    </row>
    <row r="33" spans="1:15" ht="14.4">
      <c r="A33" s="1001" t="s">
        <v>549</v>
      </c>
      <c r="B33" s="932" t="s">
        <v>4539</v>
      </c>
      <c r="C33" s="932" t="s">
        <v>53</v>
      </c>
      <c r="D33" s="932" t="s">
        <v>80</v>
      </c>
      <c r="E33" s="1079">
        <v>1309875</v>
      </c>
      <c r="F33" s="932" t="s">
        <v>1554</v>
      </c>
      <c r="G33" s="932" t="s">
        <v>114</v>
      </c>
      <c r="H33" s="1080">
        <v>45841.423796296294</v>
      </c>
      <c r="I33" s="1079">
        <v>1318431376</v>
      </c>
      <c r="J33" s="932" t="s">
        <v>4537</v>
      </c>
      <c r="K33"/>
      <c r="L33"/>
      <c r="M33"/>
      <c r="N33"/>
      <c r="O33"/>
    </row>
    <row r="34" spans="1:15" ht="14.4">
      <c r="A34" s="1001" t="s">
        <v>549</v>
      </c>
      <c r="B34" s="932" t="s">
        <v>4540</v>
      </c>
      <c r="C34" s="932" t="s">
        <v>53</v>
      </c>
      <c r="D34" s="932" t="s">
        <v>80</v>
      </c>
      <c r="E34" s="1079">
        <v>31964068</v>
      </c>
      <c r="F34" s="932" t="s">
        <v>1554</v>
      </c>
      <c r="G34" s="932" t="s">
        <v>114</v>
      </c>
      <c r="H34" s="1080">
        <v>45842.435902777775</v>
      </c>
      <c r="I34" s="1079">
        <v>1286467308</v>
      </c>
      <c r="J34" s="932" t="s">
        <v>4533</v>
      </c>
      <c r="K34"/>
      <c r="L34"/>
      <c r="M34"/>
      <c r="N34"/>
      <c r="O34"/>
    </row>
    <row r="35" spans="1:15" ht="14.4">
      <c r="A35" s="1001" t="s">
        <v>549</v>
      </c>
      <c r="B35" s="932" t="s">
        <v>4541</v>
      </c>
      <c r="C35" s="932" t="s">
        <v>53</v>
      </c>
      <c r="D35" s="932" t="s">
        <v>80</v>
      </c>
      <c r="E35" s="1079">
        <v>177423321</v>
      </c>
      <c r="F35" s="932" t="s">
        <v>1554</v>
      </c>
      <c r="G35" s="932" t="s">
        <v>114</v>
      </c>
      <c r="H35" s="1080">
        <v>45852.589930555558</v>
      </c>
      <c r="I35" s="1079">
        <v>1108988987</v>
      </c>
      <c r="J35" s="932" t="s">
        <v>4517</v>
      </c>
      <c r="K35"/>
      <c r="L35"/>
      <c r="M35"/>
      <c r="N35"/>
      <c r="O35"/>
    </row>
    <row r="36" spans="1:15" ht="14.4">
      <c r="A36" s="1001" t="s">
        <v>549</v>
      </c>
      <c r="B36" s="932" t="s">
        <v>4542</v>
      </c>
      <c r="C36" s="932" t="s">
        <v>53</v>
      </c>
      <c r="D36" s="932" t="s">
        <v>80</v>
      </c>
      <c r="E36" s="1079">
        <v>8149896</v>
      </c>
      <c r="F36" s="932" t="s">
        <v>1554</v>
      </c>
      <c r="G36" s="932" t="s">
        <v>114</v>
      </c>
      <c r="H36" s="1080">
        <v>45852.589930555558</v>
      </c>
      <c r="I36" s="1079">
        <v>1100839091</v>
      </c>
      <c r="J36" s="932" t="s">
        <v>4496</v>
      </c>
      <c r="K36"/>
      <c r="L36"/>
      <c r="M36"/>
      <c r="N36"/>
      <c r="O36"/>
    </row>
    <row r="37" spans="1:15" ht="14.4">
      <c r="A37" s="1001" t="s">
        <v>549</v>
      </c>
      <c r="B37" s="932" t="s">
        <v>4543</v>
      </c>
      <c r="C37" s="932" t="s">
        <v>53</v>
      </c>
      <c r="D37" s="932" t="s">
        <v>80</v>
      </c>
      <c r="E37" s="1079">
        <v>8964000</v>
      </c>
      <c r="F37" s="932" t="s">
        <v>1554</v>
      </c>
      <c r="G37" s="932" t="s">
        <v>114</v>
      </c>
      <c r="H37" s="1080">
        <v>45852.589930555558</v>
      </c>
      <c r="I37" s="1079">
        <v>1091875091</v>
      </c>
      <c r="J37" s="932" t="s">
        <v>4511</v>
      </c>
      <c r="K37"/>
      <c r="L37"/>
      <c r="M37"/>
      <c r="N37"/>
      <c r="O37"/>
    </row>
    <row r="38" spans="1:15" ht="14.4">
      <c r="A38" s="1001" t="s">
        <v>627</v>
      </c>
      <c r="B38" s="932" t="s">
        <v>4544</v>
      </c>
      <c r="C38" s="932" t="s">
        <v>4497</v>
      </c>
      <c r="D38" s="932" t="s">
        <v>80</v>
      </c>
      <c r="E38" s="1079">
        <v>2000000000</v>
      </c>
      <c r="F38" s="932" t="s">
        <v>1554</v>
      </c>
      <c r="G38" s="932" t="s">
        <v>110</v>
      </c>
      <c r="H38" s="1080">
        <v>45839.616261574076</v>
      </c>
      <c r="I38" s="1079">
        <v>30138379</v>
      </c>
      <c r="J38" s="932" t="s">
        <v>4496</v>
      </c>
      <c r="K38"/>
      <c r="L38"/>
      <c r="M38"/>
      <c r="N38"/>
      <c r="O38"/>
    </row>
    <row r="39" spans="1:15" ht="14.4">
      <c r="A39" s="1001" t="s">
        <v>755</v>
      </c>
      <c r="B39" s="932" t="s">
        <v>4545</v>
      </c>
      <c r="C39" s="932" t="s">
        <v>55</v>
      </c>
      <c r="D39" s="932" t="s">
        <v>80</v>
      </c>
      <c r="E39" s="1079">
        <v>28273973</v>
      </c>
      <c r="F39" s="932" t="s">
        <v>1553</v>
      </c>
      <c r="G39" s="932" t="s">
        <v>114</v>
      </c>
      <c r="H39" s="1080">
        <v>45852.079363425924</v>
      </c>
      <c r="I39" s="1079">
        <v>1229702835</v>
      </c>
      <c r="J39" s="932" t="s">
        <v>4503</v>
      </c>
      <c r="K39"/>
      <c r="L39"/>
      <c r="M39"/>
      <c r="N39"/>
      <c r="O39"/>
    </row>
    <row r="40" spans="1:15" ht="14.4">
      <c r="A40" s="1001" t="s">
        <v>755</v>
      </c>
      <c r="B40" s="932" t="s">
        <v>4546</v>
      </c>
      <c r="C40" s="932" t="s">
        <v>55</v>
      </c>
      <c r="D40" s="932" t="s">
        <v>80</v>
      </c>
      <c r="E40" s="1079">
        <v>45945205</v>
      </c>
      <c r="F40" s="932" t="s">
        <v>1553</v>
      </c>
      <c r="G40" s="932" t="s">
        <v>114</v>
      </c>
      <c r="H40" s="1080">
        <v>45847.071851851855</v>
      </c>
      <c r="I40" s="1079">
        <v>1201428862</v>
      </c>
      <c r="J40" s="932" t="s">
        <v>4503</v>
      </c>
      <c r="K40"/>
      <c r="L40"/>
      <c r="M40"/>
      <c r="N40"/>
      <c r="O40"/>
    </row>
    <row r="41" spans="1:15" ht="14.4">
      <c r="A41" s="1001" t="s">
        <v>587</v>
      </c>
      <c r="B41" s="932" t="s">
        <v>4538</v>
      </c>
      <c r="C41" s="932" t="s">
        <v>4497</v>
      </c>
      <c r="D41" s="932" t="s">
        <v>80</v>
      </c>
      <c r="E41" s="1079">
        <v>2000000000</v>
      </c>
      <c r="F41" s="932" t="s">
        <v>1554</v>
      </c>
      <c r="G41" s="932" t="s">
        <v>110</v>
      </c>
      <c r="H41" s="1080">
        <v>45839.613599537035</v>
      </c>
      <c r="I41" s="1079">
        <v>104803166079</v>
      </c>
      <c r="J41" s="932" t="s">
        <v>4496</v>
      </c>
      <c r="K41"/>
      <c r="L41"/>
      <c r="M41"/>
      <c r="N41"/>
      <c r="O41"/>
    </row>
    <row r="42" spans="1:15" ht="14.4">
      <c r="A42" s="1001" t="s">
        <v>755</v>
      </c>
      <c r="B42" s="932" t="s">
        <v>4547</v>
      </c>
      <c r="C42" s="932" t="s">
        <v>53</v>
      </c>
      <c r="D42" s="932" t="s">
        <v>80</v>
      </c>
      <c r="E42" s="1079">
        <v>83844098</v>
      </c>
      <c r="F42" s="932" t="s">
        <v>1554</v>
      </c>
      <c r="G42" s="932" t="s">
        <v>114</v>
      </c>
      <c r="H42" s="1080">
        <v>45839.75277777778</v>
      </c>
      <c r="I42" s="1079">
        <v>1188325995</v>
      </c>
      <c r="J42" s="932" t="s">
        <v>4548</v>
      </c>
      <c r="K42"/>
      <c r="L42"/>
      <c r="M42"/>
      <c r="N42"/>
      <c r="O42"/>
    </row>
    <row r="43" spans="1:15" ht="14.4">
      <c r="A43" s="1001" t="s">
        <v>755</v>
      </c>
      <c r="B43" s="932" t="s">
        <v>4549</v>
      </c>
      <c r="C43" s="932" t="s">
        <v>53</v>
      </c>
      <c r="D43" s="932" t="s">
        <v>80</v>
      </c>
      <c r="E43" s="1079">
        <v>29041052</v>
      </c>
      <c r="F43" s="932" t="s">
        <v>1554</v>
      </c>
      <c r="G43" s="932" t="s">
        <v>114</v>
      </c>
      <c r="H43" s="1080">
        <v>45841.423854166664</v>
      </c>
      <c r="I43" s="1079">
        <v>1159284943</v>
      </c>
      <c r="J43" s="932" t="s">
        <v>4533</v>
      </c>
      <c r="K43"/>
      <c r="L43"/>
      <c r="M43"/>
      <c r="N43"/>
      <c r="O43"/>
    </row>
    <row r="44" spans="1:15" ht="14.4">
      <c r="A44" s="1001" t="s">
        <v>755</v>
      </c>
      <c r="B44" s="932" t="s">
        <v>4550</v>
      </c>
      <c r="C44" s="932" t="s">
        <v>53</v>
      </c>
      <c r="D44" s="932" t="s">
        <v>80</v>
      </c>
      <c r="E44" s="1079">
        <v>3871000</v>
      </c>
      <c r="F44" s="932" t="s">
        <v>1554</v>
      </c>
      <c r="G44" s="932" t="s">
        <v>114</v>
      </c>
      <c r="H44" s="1080">
        <v>45842.435856481483</v>
      </c>
      <c r="I44" s="1079">
        <v>1155413943</v>
      </c>
      <c r="J44" s="932" t="s">
        <v>4496</v>
      </c>
      <c r="K44"/>
      <c r="L44"/>
      <c r="M44"/>
      <c r="N44"/>
      <c r="O44"/>
    </row>
    <row r="45" spans="1:15" ht="14.4">
      <c r="A45" s="1001" t="s">
        <v>755</v>
      </c>
      <c r="B45" s="932" t="s">
        <v>4551</v>
      </c>
      <c r="C45" s="932" t="s">
        <v>53</v>
      </c>
      <c r="D45" s="932" t="s">
        <v>80</v>
      </c>
      <c r="E45" s="1079">
        <v>19548000</v>
      </c>
      <c r="F45" s="932" t="s">
        <v>1554</v>
      </c>
      <c r="G45" s="932" t="s">
        <v>114</v>
      </c>
      <c r="H45" s="1080">
        <v>45852.589930555558</v>
      </c>
      <c r="I45" s="1079">
        <v>2239165743</v>
      </c>
      <c r="J45" s="932" t="s">
        <v>4511</v>
      </c>
      <c r="K45"/>
      <c r="L45"/>
      <c r="M45"/>
      <c r="N45"/>
      <c r="O45"/>
    </row>
    <row r="46" spans="1:15" ht="14.4">
      <c r="A46" s="1001" t="s">
        <v>775</v>
      </c>
      <c r="B46" s="932" t="s">
        <v>4552</v>
      </c>
      <c r="C46" s="932" t="s">
        <v>4497</v>
      </c>
      <c r="D46" s="932" t="s">
        <v>80</v>
      </c>
      <c r="E46" s="1079">
        <v>2000000000</v>
      </c>
      <c r="F46" s="932" t="s">
        <v>1554</v>
      </c>
      <c r="G46" s="932" t="s">
        <v>110</v>
      </c>
      <c r="H46" s="1080">
        <v>45840.788634259261</v>
      </c>
      <c r="I46" s="1079">
        <v>20822869</v>
      </c>
      <c r="J46" s="932" t="s">
        <v>4514</v>
      </c>
      <c r="K46"/>
      <c r="L46"/>
      <c r="M46"/>
      <c r="N46"/>
      <c r="O46"/>
    </row>
    <row r="47" spans="1:15" ht="14.4">
      <c r="A47" s="1001" t="s">
        <v>775</v>
      </c>
      <c r="B47" s="932" t="s">
        <v>4553</v>
      </c>
      <c r="C47" s="932" t="s">
        <v>4495</v>
      </c>
      <c r="D47" s="932" t="s">
        <v>80</v>
      </c>
      <c r="E47" s="1079">
        <v>2000000000</v>
      </c>
      <c r="F47" s="932" t="s">
        <v>1553</v>
      </c>
      <c r="G47" s="932" t="s">
        <v>110</v>
      </c>
      <c r="H47" s="1080">
        <v>45840.729571759257</v>
      </c>
      <c r="I47" s="1079">
        <v>2020822869</v>
      </c>
      <c r="J47" s="932" t="s">
        <v>4514</v>
      </c>
      <c r="K47"/>
      <c r="L47"/>
      <c r="M47"/>
      <c r="N47"/>
      <c r="O47"/>
    </row>
    <row r="48" spans="1:15" ht="14.4">
      <c r="A48" s="1001" t="s">
        <v>547</v>
      </c>
      <c r="B48" s="932" t="s">
        <v>4554</v>
      </c>
      <c r="C48" s="932" t="s">
        <v>53</v>
      </c>
      <c r="D48" s="932" t="s">
        <v>80</v>
      </c>
      <c r="E48" s="1079">
        <v>500000</v>
      </c>
      <c r="F48" s="932" t="s">
        <v>1554</v>
      </c>
      <c r="G48" s="932" t="s">
        <v>114</v>
      </c>
      <c r="H48" s="1080">
        <v>45848.441689814812</v>
      </c>
      <c r="I48" s="1079">
        <v>1969659485</v>
      </c>
      <c r="J48" s="932" t="s">
        <v>4537</v>
      </c>
      <c r="K48"/>
      <c r="L48"/>
      <c r="M48"/>
      <c r="N48"/>
      <c r="O48"/>
    </row>
    <row r="49" spans="1:15" ht="14.4">
      <c r="A49" s="1001" t="s">
        <v>547</v>
      </c>
      <c r="B49" s="932" t="s">
        <v>4555</v>
      </c>
      <c r="C49" s="932" t="s">
        <v>52</v>
      </c>
      <c r="D49" s="932" t="s">
        <v>80</v>
      </c>
      <c r="E49" s="1079">
        <v>161088243</v>
      </c>
      <c r="F49" s="932" t="s">
        <v>1554</v>
      </c>
      <c r="G49" s="932" t="s">
        <v>114</v>
      </c>
      <c r="H49" s="1080">
        <v>45848.441689814812</v>
      </c>
      <c r="I49" s="1079">
        <v>1808571242</v>
      </c>
      <c r="J49" s="932" t="s">
        <v>4496</v>
      </c>
      <c r="K49"/>
      <c r="L49"/>
      <c r="M49"/>
      <c r="N49"/>
      <c r="O49"/>
    </row>
    <row r="50" spans="1:15" ht="14.4">
      <c r="A50" s="1001" t="s">
        <v>547</v>
      </c>
      <c r="B50" s="932" t="s">
        <v>4556</v>
      </c>
      <c r="C50" s="932" t="s">
        <v>53</v>
      </c>
      <c r="D50" s="932" t="s">
        <v>80</v>
      </c>
      <c r="E50" s="1079">
        <v>212073816</v>
      </c>
      <c r="F50" s="932" t="s">
        <v>1554</v>
      </c>
      <c r="G50" s="932" t="s">
        <v>114</v>
      </c>
      <c r="H50" s="1080">
        <v>45852.589942129627</v>
      </c>
      <c r="I50" s="1079">
        <v>1596497426</v>
      </c>
      <c r="J50" s="932" t="s">
        <v>4517</v>
      </c>
      <c r="K50"/>
      <c r="L50"/>
      <c r="M50"/>
      <c r="N50"/>
      <c r="O50"/>
    </row>
    <row r="51" spans="1:15" ht="14.4">
      <c r="A51" s="1001" t="s">
        <v>547</v>
      </c>
      <c r="B51" s="932" t="s">
        <v>4557</v>
      </c>
      <c r="C51" s="932" t="s">
        <v>53</v>
      </c>
      <c r="D51" s="932" t="s">
        <v>80</v>
      </c>
      <c r="E51" s="1079">
        <v>487200</v>
      </c>
      <c r="F51" s="932" t="s">
        <v>1554</v>
      </c>
      <c r="G51" s="932" t="s">
        <v>114</v>
      </c>
      <c r="H51" s="1080">
        <v>45852.589942129627</v>
      </c>
      <c r="I51" s="1079">
        <v>1596010226</v>
      </c>
      <c r="J51" s="932" t="s">
        <v>4558</v>
      </c>
      <c r="K51"/>
      <c r="L51"/>
      <c r="M51"/>
      <c r="N51"/>
      <c r="O51"/>
    </row>
    <row r="52" spans="1:15" ht="14.4">
      <c r="A52" s="1001" t="s">
        <v>642</v>
      </c>
      <c r="B52" s="932" t="s">
        <v>4544</v>
      </c>
      <c r="C52" s="932" t="s">
        <v>4495</v>
      </c>
      <c r="D52" s="932" t="s">
        <v>80</v>
      </c>
      <c r="E52" s="1079">
        <v>2000000000</v>
      </c>
      <c r="F52" s="932" t="s">
        <v>1553</v>
      </c>
      <c r="G52" s="932" t="s">
        <v>110</v>
      </c>
      <c r="H52" s="1080">
        <v>45839.616261574076</v>
      </c>
      <c r="I52" s="1079">
        <v>2076166133</v>
      </c>
      <c r="J52" s="932" t="s">
        <v>4496</v>
      </c>
      <c r="K52"/>
      <c r="L52"/>
      <c r="M52"/>
      <c r="N52"/>
      <c r="O52"/>
    </row>
    <row r="53" spans="1:15" ht="14.4">
      <c r="A53" s="1001" t="s">
        <v>747</v>
      </c>
      <c r="B53" s="932" t="s">
        <v>4559</v>
      </c>
      <c r="C53" s="932" t="s">
        <v>53</v>
      </c>
      <c r="D53" s="932" t="s">
        <v>80</v>
      </c>
      <c r="E53" s="1079">
        <v>25167169</v>
      </c>
      <c r="F53" s="932" t="s">
        <v>1554</v>
      </c>
      <c r="G53" s="932" t="s">
        <v>114</v>
      </c>
      <c r="H53" s="1080">
        <v>45841.748611111114</v>
      </c>
      <c r="I53" s="1079">
        <v>2571864411</v>
      </c>
      <c r="J53" s="932" t="s">
        <v>4496</v>
      </c>
      <c r="K53"/>
      <c r="L53"/>
      <c r="M53"/>
      <c r="N53"/>
      <c r="O53"/>
    </row>
    <row r="54" spans="1:15" ht="14.4">
      <c r="A54" s="1001" t="s">
        <v>747</v>
      </c>
      <c r="B54" s="932" t="s">
        <v>4560</v>
      </c>
      <c r="C54" s="932" t="s">
        <v>53</v>
      </c>
      <c r="D54" s="932" t="s">
        <v>80</v>
      </c>
      <c r="E54" s="1079">
        <v>1088638320</v>
      </c>
      <c r="F54" s="932" t="s">
        <v>1554</v>
      </c>
      <c r="G54" s="932" t="s">
        <v>114</v>
      </c>
      <c r="H54" s="1080">
        <v>45852.589930555558</v>
      </c>
      <c r="I54" s="1079">
        <v>1392676302</v>
      </c>
      <c r="J54" s="932" t="s">
        <v>4517</v>
      </c>
      <c r="K54"/>
      <c r="L54"/>
      <c r="M54"/>
      <c r="N54"/>
      <c r="O54"/>
    </row>
    <row r="55" spans="1:15" ht="14.4">
      <c r="A55" s="1001" t="s">
        <v>747</v>
      </c>
      <c r="B55" s="932" t="s">
        <v>4561</v>
      </c>
      <c r="C55" s="932" t="s">
        <v>53</v>
      </c>
      <c r="D55" s="932" t="s">
        <v>80</v>
      </c>
      <c r="E55" s="1079">
        <v>28008641</v>
      </c>
      <c r="F55" s="932" t="s">
        <v>1554</v>
      </c>
      <c r="G55" s="932" t="s">
        <v>114</v>
      </c>
      <c r="H55" s="1080">
        <v>45848.441678240742</v>
      </c>
      <c r="I55" s="1079">
        <v>2481314622</v>
      </c>
      <c r="J55" s="932" t="s">
        <v>4496</v>
      </c>
      <c r="K55"/>
      <c r="L55"/>
      <c r="M55"/>
      <c r="N55"/>
      <c r="O55"/>
    </row>
    <row r="56" spans="1:15" ht="14.4">
      <c r="A56" s="1001" t="s">
        <v>747</v>
      </c>
      <c r="B56" s="932" t="s">
        <v>4562</v>
      </c>
      <c r="C56" s="932" t="s">
        <v>39</v>
      </c>
      <c r="D56" s="932" t="s">
        <v>80</v>
      </c>
      <c r="E56" s="1079">
        <v>238568</v>
      </c>
      <c r="F56" s="932" t="s">
        <v>1553</v>
      </c>
      <c r="G56" s="932" t="s">
        <v>114</v>
      </c>
      <c r="H56" s="1080">
        <v>45839.620104166665</v>
      </c>
      <c r="I56" s="1079">
        <v>2596648934</v>
      </c>
      <c r="J56" s="932" t="s">
        <v>4496</v>
      </c>
      <c r="K56"/>
      <c r="L56"/>
      <c r="M56"/>
      <c r="N56"/>
      <c r="O56"/>
    </row>
    <row r="57" spans="1:15" ht="14.4">
      <c r="A57" s="1001" t="s">
        <v>747</v>
      </c>
      <c r="B57" s="932" t="s">
        <v>4563</v>
      </c>
      <c r="C57" s="932" t="s">
        <v>39</v>
      </c>
      <c r="D57" s="932" t="s">
        <v>80</v>
      </c>
      <c r="E57" s="1079">
        <v>382646</v>
      </c>
      <c r="F57" s="932" t="s">
        <v>1553</v>
      </c>
      <c r="G57" s="932" t="s">
        <v>114</v>
      </c>
      <c r="H57" s="1080">
        <v>45841.679027777776</v>
      </c>
      <c r="I57" s="1079">
        <v>2597031580</v>
      </c>
      <c r="J57" s="932" t="s">
        <v>4496</v>
      </c>
      <c r="K57"/>
      <c r="L57"/>
      <c r="M57"/>
      <c r="N57"/>
      <c r="O57"/>
    </row>
    <row r="58" spans="1:15" ht="14.4">
      <c r="A58" s="1001" t="s">
        <v>747</v>
      </c>
      <c r="B58" s="932" t="s">
        <v>4564</v>
      </c>
      <c r="C58" s="932" t="s">
        <v>39</v>
      </c>
      <c r="D58" s="932" t="s">
        <v>80</v>
      </c>
      <c r="E58" s="1079">
        <v>999023815</v>
      </c>
      <c r="F58" s="932" t="s">
        <v>1553</v>
      </c>
      <c r="G58" s="932" t="s">
        <v>114</v>
      </c>
      <c r="H58" s="1080">
        <v>45853.538275462961</v>
      </c>
      <c r="I58" s="1079">
        <v>2389562797</v>
      </c>
      <c r="J58" s="932" t="s">
        <v>4511</v>
      </c>
      <c r="K58"/>
      <c r="L58"/>
      <c r="M58"/>
      <c r="N58"/>
      <c r="O58"/>
    </row>
    <row r="59" spans="1:15" ht="14.4">
      <c r="A59" s="1001" t="s">
        <v>747</v>
      </c>
      <c r="B59" s="932" t="s">
        <v>4565</v>
      </c>
      <c r="C59" s="932" t="s">
        <v>39</v>
      </c>
      <c r="D59" s="932" t="s">
        <v>80</v>
      </c>
      <c r="E59" s="1079">
        <v>1278980703</v>
      </c>
      <c r="F59" s="932" t="s">
        <v>1553</v>
      </c>
      <c r="G59" s="932" t="s">
        <v>114</v>
      </c>
      <c r="H59" s="1080">
        <v>45853.702361111114</v>
      </c>
      <c r="I59" s="1079">
        <v>3668543500</v>
      </c>
      <c r="J59" s="932" t="s">
        <v>4496</v>
      </c>
      <c r="K59"/>
      <c r="L59"/>
      <c r="M59"/>
      <c r="N59"/>
      <c r="O59"/>
    </row>
    <row r="60" spans="1:15" ht="14.4">
      <c r="A60" s="1001" t="s">
        <v>747</v>
      </c>
      <c r="B60" s="932" t="s">
        <v>4566</v>
      </c>
      <c r="C60" s="932" t="s">
        <v>53</v>
      </c>
      <c r="D60" s="932" t="s">
        <v>80</v>
      </c>
      <c r="E60" s="1079">
        <v>726840</v>
      </c>
      <c r="F60" s="932" t="s">
        <v>1554</v>
      </c>
      <c r="G60" s="932" t="s">
        <v>114</v>
      </c>
      <c r="H60" s="1080">
        <v>45848.441678240742</v>
      </c>
      <c r="I60" s="1079">
        <v>2571082571</v>
      </c>
      <c r="J60" s="932" t="s">
        <v>4537</v>
      </c>
      <c r="K60"/>
      <c r="L60"/>
      <c r="M60"/>
      <c r="N60"/>
      <c r="O60"/>
    </row>
    <row r="61" spans="1:15" ht="14.4">
      <c r="A61" s="1001" t="s">
        <v>747</v>
      </c>
      <c r="B61" s="932" t="s">
        <v>4567</v>
      </c>
      <c r="C61" s="932" t="s">
        <v>53</v>
      </c>
      <c r="D61" s="932" t="s">
        <v>80</v>
      </c>
      <c r="E61" s="1079">
        <v>36396000</v>
      </c>
      <c r="F61" s="932" t="s">
        <v>1554</v>
      </c>
      <c r="G61" s="932" t="s">
        <v>114</v>
      </c>
      <c r="H61" s="1080">
        <v>45848.441678240742</v>
      </c>
      <c r="I61" s="1079">
        <v>2534686571</v>
      </c>
      <c r="J61" s="932" t="s">
        <v>4511</v>
      </c>
      <c r="K61"/>
      <c r="L61"/>
      <c r="M61"/>
      <c r="N61"/>
      <c r="O61"/>
    </row>
    <row r="62" spans="1:15" ht="14.4">
      <c r="A62" s="1001" t="s">
        <v>747</v>
      </c>
      <c r="B62" s="932" t="s">
        <v>4568</v>
      </c>
      <c r="C62" s="932" t="s">
        <v>53</v>
      </c>
      <c r="D62" s="932" t="s">
        <v>80</v>
      </c>
      <c r="E62" s="1079">
        <v>4374000</v>
      </c>
      <c r="F62" s="932" t="s">
        <v>1554</v>
      </c>
      <c r="G62" s="932" t="s">
        <v>114</v>
      </c>
      <c r="H62" s="1080">
        <v>45848.441678240742</v>
      </c>
      <c r="I62" s="1079">
        <v>2530312571</v>
      </c>
      <c r="J62" s="932" t="s">
        <v>4496</v>
      </c>
      <c r="K62"/>
      <c r="L62"/>
      <c r="M62"/>
      <c r="N62"/>
      <c r="O62"/>
    </row>
    <row r="63" spans="1:15" ht="14.4">
      <c r="A63" s="1001" t="s">
        <v>747</v>
      </c>
      <c r="B63" s="932" t="s">
        <v>4569</v>
      </c>
      <c r="C63" s="932" t="s">
        <v>53</v>
      </c>
      <c r="D63" s="932" t="s">
        <v>80</v>
      </c>
      <c r="E63" s="1079">
        <v>20989308</v>
      </c>
      <c r="F63" s="932" t="s">
        <v>1554</v>
      </c>
      <c r="G63" s="932" t="s">
        <v>114</v>
      </c>
      <c r="H63" s="1080">
        <v>45848.441678240742</v>
      </c>
      <c r="I63" s="1079">
        <v>2509323263</v>
      </c>
      <c r="J63" s="932" t="s">
        <v>4511</v>
      </c>
      <c r="K63"/>
      <c r="L63"/>
      <c r="M63"/>
      <c r="N63"/>
      <c r="O63"/>
    </row>
    <row r="64" spans="1:15" ht="14.4">
      <c r="A64" s="1001" t="s">
        <v>747</v>
      </c>
      <c r="B64" s="932" t="s">
        <v>4570</v>
      </c>
      <c r="C64" s="932" t="s">
        <v>53</v>
      </c>
      <c r="D64" s="932" t="s">
        <v>80</v>
      </c>
      <c r="E64" s="1079">
        <v>2137320</v>
      </c>
      <c r="F64" s="932" t="s">
        <v>1554</v>
      </c>
      <c r="G64" s="932" t="s">
        <v>114</v>
      </c>
      <c r="H64" s="1080">
        <v>45852.589942129627</v>
      </c>
      <c r="I64" s="1079">
        <v>1390538982</v>
      </c>
      <c r="J64" s="932" t="s">
        <v>4537</v>
      </c>
      <c r="K64"/>
      <c r="L64"/>
      <c r="M64"/>
      <c r="N64"/>
      <c r="O64"/>
    </row>
    <row r="65" spans="1:15" ht="14.4">
      <c r="A65" s="1001" t="s">
        <v>517</v>
      </c>
      <c r="B65" s="932" t="s">
        <v>4571</v>
      </c>
      <c r="C65" s="932" t="s">
        <v>55</v>
      </c>
      <c r="D65" s="932" t="s">
        <v>80</v>
      </c>
      <c r="E65" s="1079">
        <v>32219178</v>
      </c>
      <c r="F65" s="932" t="s">
        <v>1553</v>
      </c>
      <c r="G65" s="932" t="s">
        <v>114</v>
      </c>
      <c r="H65" s="1080">
        <v>45839.099016203705</v>
      </c>
      <c r="I65" s="1079">
        <v>2760827738</v>
      </c>
      <c r="J65" s="932" t="s">
        <v>4503</v>
      </c>
      <c r="K65"/>
      <c r="L65"/>
      <c r="M65"/>
      <c r="N65"/>
      <c r="O65"/>
    </row>
    <row r="66" spans="1:15" ht="14.4">
      <c r="A66" s="1001" t="s">
        <v>517</v>
      </c>
      <c r="B66" s="932" t="s">
        <v>4572</v>
      </c>
      <c r="C66" s="932" t="s">
        <v>53</v>
      </c>
      <c r="D66" s="932" t="s">
        <v>80</v>
      </c>
      <c r="E66" s="1079">
        <v>46754280</v>
      </c>
      <c r="F66" s="932" t="s">
        <v>1554</v>
      </c>
      <c r="G66" s="932" t="s">
        <v>114</v>
      </c>
      <c r="H66" s="1080">
        <v>45839.676319444443</v>
      </c>
      <c r="I66" s="1079">
        <v>2714073458</v>
      </c>
      <c r="J66" s="932" t="s">
        <v>4573</v>
      </c>
      <c r="K66"/>
      <c r="L66"/>
      <c r="M66"/>
      <c r="N66"/>
      <c r="O66"/>
    </row>
    <row r="67" spans="1:15" ht="14.4">
      <c r="A67" s="1001" t="s">
        <v>642</v>
      </c>
      <c r="B67" s="932" t="s">
        <v>4574</v>
      </c>
      <c r="C67" s="932" t="s">
        <v>4497</v>
      </c>
      <c r="D67" s="932" t="s">
        <v>80</v>
      </c>
      <c r="E67" s="1079">
        <v>2000000000</v>
      </c>
      <c r="F67" s="932" t="s">
        <v>1554</v>
      </c>
      <c r="G67" s="932" t="s">
        <v>110</v>
      </c>
      <c r="H67" s="1080">
        <v>45839.617731481485</v>
      </c>
      <c r="I67" s="1079">
        <v>76166133</v>
      </c>
      <c r="J67" s="932" t="s">
        <v>4496</v>
      </c>
      <c r="K67"/>
      <c r="L67"/>
      <c r="M67"/>
      <c r="N67"/>
      <c r="O67"/>
    </row>
    <row r="68" spans="1:15" ht="14.4">
      <c r="A68" s="1001" t="s">
        <v>517</v>
      </c>
      <c r="B68" s="932" t="s">
        <v>4575</v>
      </c>
      <c r="C68" s="932" t="s">
        <v>39</v>
      </c>
      <c r="D68" s="932" t="s">
        <v>80</v>
      </c>
      <c r="E68" s="1079">
        <v>2164735461</v>
      </c>
      <c r="F68" s="932" t="s">
        <v>1553</v>
      </c>
      <c r="G68" s="932" t="s">
        <v>114</v>
      </c>
      <c r="H68" s="1080">
        <v>45853.580671296295</v>
      </c>
      <c r="I68" s="1079">
        <v>14630296531</v>
      </c>
      <c r="J68" s="932" t="s">
        <v>4511</v>
      </c>
      <c r="K68"/>
      <c r="L68"/>
      <c r="M68"/>
      <c r="N68"/>
      <c r="O68"/>
    </row>
    <row r="69" spans="1:15" ht="14.4">
      <c r="A69" s="1001" t="s">
        <v>517</v>
      </c>
      <c r="B69" s="932" t="s">
        <v>4576</v>
      </c>
      <c r="C69" s="932" t="s">
        <v>39</v>
      </c>
      <c r="D69" s="932" t="s">
        <v>80</v>
      </c>
      <c r="E69" s="1079">
        <v>854829473</v>
      </c>
      <c r="F69" s="932" t="s">
        <v>1553</v>
      </c>
      <c r="G69" s="932" t="s">
        <v>114</v>
      </c>
      <c r="H69" s="1080">
        <v>45849.346076388887</v>
      </c>
      <c r="I69" s="1079">
        <v>12506908825</v>
      </c>
      <c r="J69" s="932" t="s">
        <v>4577</v>
      </c>
      <c r="K69"/>
      <c r="L69"/>
      <c r="M69"/>
      <c r="N69"/>
      <c r="O69"/>
    </row>
    <row r="70" spans="1:15" ht="14.4">
      <c r="A70" s="1001" t="s">
        <v>517</v>
      </c>
      <c r="B70" s="932" t="s">
        <v>4578</v>
      </c>
      <c r="C70" s="932" t="s">
        <v>39</v>
      </c>
      <c r="D70" s="932" t="s">
        <v>80</v>
      </c>
      <c r="E70" s="1079">
        <v>11518605</v>
      </c>
      <c r="F70" s="932" t="s">
        <v>1553</v>
      </c>
      <c r="G70" s="932" t="s">
        <v>114</v>
      </c>
      <c r="H70" s="1080">
        <v>45853.662106481483</v>
      </c>
      <c r="I70" s="1079">
        <v>19158539321</v>
      </c>
      <c r="J70" s="932" t="s">
        <v>4496</v>
      </c>
      <c r="K70"/>
      <c r="L70"/>
      <c r="M70"/>
      <c r="N70"/>
      <c r="O70"/>
    </row>
    <row r="71" spans="1:15" ht="14.4">
      <c r="A71" s="1001" t="s">
        <v>517</v>
      </c>
      <c r="B71" s="932" t="s">
        <v>4579</v>
      </c>
      <c r="C71" s="932" t="s">
        <v>39</v>
      </c>
      <c r="D71" s="932" t="s">
        <v>80</v>
      </c>
      <c r="E71" s="1079">
        <v>1926850686</v>
      </c>
      <c r="F71" s="932" t="s">
        <v>1553</v>
      </c>
      <c r="G71" s="932" t="s">
        <v>114</v>
      </c>
      <c r="H71" s="1080">
        <v>45853.580671296295</v>
      </c>
      <c r="I71" s="1079">
        <v>16557147217</v>
      </c>
      <c r="J71" s="932" t="s">
        <v>4511</v>
      </c>
      <c r="K71"/>
      <c r="L71"/>
      <c r="M71"/>
      <c r="N71"/>
      <c r="O71"/>
    </row>
    <row r="72" spans="1:15" ht="14.4">
      <c r="A72" s="1001" t="s">
        <v>517</v>
      </c>
      <c r="B72" s="932" t="s">
        <v>4580</v>
      </c>
      <c r="C72" s="932" t="s">
        <v>39</v>
      </c>
      <c r="D72" s="932" t="s">
        <v>80</v>
      </c>
      <c r="E72" s="1079">
        <v>869256403</v>
      </c>
      <c r="F72" s="932" t="s">
        <v>1553</v>
      </c>
      <c r="G72" s="932" t="s">
        <v>114</v>
      </c>
      <c r="H72" s="1080">
        <v>45847.66778935185</v>
      </c>
      <c r="I72" s="1079">
        <v>8178754385</v>
      </c>
      <c r="J72" s="932" t="s">
        <v>4496</v>
      </c>
      <c r="K72"/>
      <c r="L72"/>
      <c r="M72"/>
      <c r="N72"/>
      <c r="O72"/>
    </row>
    <row r="73" spans="1:15" ht="14.4">
      <c r="A73" s="1001" t="s">
        <v>517</v>
      </c>
      <c r="B73" s="932" t="s">
        <v>4581</v>
      </c>
      <c r="C73" s="932" t="s">
        <v>39</v>
      </c>
      <c r="D73" s="932" t="s">
        <v>80</v>
      </c>
      <c r="E73" s="1079">
        <v>3179587</v>
      </c>
      <c r="F73" s="932" t="s">
        <v>1553</v>
      </c>
      <c r="G73" s="932" t="s">
        <v>114</v>
      </c>
      <c r="H73" s="1080">
        <v>45853.622731481482</v>
      </c>
      <c r="I73" s="1079">
        <v>16599054877</v>
      </c>
      <c r="J73" s="932" t="s">
        <v>4535</v>
      </c>
      <c r="K73"/>
      <c r="L73"/>
      <c r="M73"/>
      <c r="N73"/>
      <c r="O73"/>
    </row>
    <row r="74" spans="1:15" ht="14.4">
      <c r="A74" s="1001" t="s">
        <v>517</v>
      </c>
      <c r="B74" s="932" t="s">
        <v>4582</v>
      </c>
      <c r="C74" s="932" t="s">
        <v>39</v>
      </c>
      <c r="D74" s="932" t="s">
        <v>80</v>
      </c>
      <c r="E74" s="1079">
        <v>38728073</v>
      </c>
      <c r="F74" s="932" t="s">
        <v>1553</v>
      </c>
      <c r="G74" s="932" t="s">
        <v>114</v>
      </c>
      <c r="H74" s="1080">
        <v>45853.585347222222</v>
      </c>
      <c r="I74" s="1079">
        <v>16595875290</v>
      </c>
      <c r="J74" s="932" t="s">
        <v>4583</v>
      </c>
      <c r="K74"/>
      <c r="L74"/>
      <c r="M74"/>
      <c r="N74"/>
      <c r="O74"/>
    </row>
    <row r="75" spans="1:15" ht="14.4">
      <c r="A75" s="1001" t="s">
        <v>517</v>
      </c>
      <c r="B75" s="932" t="s">
        <v>4584</v>
      </c>
      <c r="C75" s="932" t="s">
        <v>39</v>
      </c>
      <c r="D75" s="932" t="s">
        <v>80</v>
      </c>
      <c r="E75" s="1079">
        <v>1638952736</v>
      </c>
      <c r="F75" s="932" t="s">
        <v>1553</v>
      </c>
      <c r="G75" s="932" t="s">
        <v>114</v>
      </c>
      <c r="H75" s="1080">
        <v>45847.571817129632</v>
      </c>
      <c r="I75" s="1079">
        <v>7309497982</v>
      </c>
      <c r="J75" s="932" t="s">
        <v>4585</v>
      </c>
      <c r="K75"/>
      <c r="L75"/>
      <c r="M75"/>
      <c r="N75"/>
      <c r="O75"/>
    </row>
    <row r="76" spans="1:15" ht="14.4">
      <c r="A76" s="1001" t="s">
        <v>517</v>
      </c>
      <c r="B76" s="932" t="s">
        <v>4586</v>
      </c>
      <c r="C76" s="932" t="s">
        <v>39</v>
      </c>
      <c r="D76" s="932" t="s">
        <v>80</v>
      </c>
      <c r="E76" s="1079">
        <v>1405697542</v>
      </c>
      <c r="F76" s="932" t="s">
        <v>1553</v>
      </c>
      <c r="G76" s="932" t="s">
        <v>114</v>
      </c>
      <c r="H76" s="1080">
        <v>45848.642465277779</v>
      </c>
      <c r="I76" s="1079">
        <v>11645510964</v>
      </c>
      <c r="J76" s="932" t="s">
        <v>4496</v>
      </c>
      <c r="K76"/>
      <c r="L76"/>
      <c r="M76"/>
      <c r="N76"/>
      <c r="O76"/>
    </row>
    <row r="77" spans="1:15" ht="14.4">
      <c r="A77" s="1001" t="s">
        <v>517</v>
      </c>
      <c r="B77" s="932" t="s">
        <v>4587</v>
      </c>
      <c r="C77" s="932" t="s">
        <v>39</v>
      </c>
      <c r="D77" s="932" t="s">
        <v>80</v>
      </c>
      <c r="E77" s="1079">
        <v>4956377</v>
      </c>
      <c r="F77" s="932" t="s">
        <v>1553</v>
      </c>
      <c r="G77" s="932" t="s">
        <v>114</v>
      </c>
      <c r="H77" s="1080">
        <v>45841.460925925923</v>
      </c>
      <c r="I77" s="1079">
        <v>2719029835</v>
      </c>
      <c r="J77" s="932" t="s">
        <v>4535</v>
      </c>
      <c r="K77"/>
      <c r="L77"/>
      <c r="M77"/>
      <c r="N77"/>
      <c r="O77"/>
    </row>
    <row r="78" spans="1:15" ht="14.4">
      <c r="A78" s="1001" t="s">
        <v>517</v>
      </c>
      <c r="B78" s="932" t="s">
        <v>4588</v>
      </c>
      <c r="C78" s="932" t="s">
        <v>39</v>
      </c>
      <c r="D78" s="932" t="s">
        <v>80</v>
      </c>
      <c r="E78" s="1079">
        <v>2547965839</v>
      </c>
      <c r="F78" s="932" t="s">
        <v>1553</v>
      </c>
      <c r="G78" s="932" t="s">
        <v>114</v>
      </c>
      <c r="H78" s="1080">
        <v>45853.661238425928</v>
      </c>
      <c r="I78" s="1079">
        <v>19147020716</v>
      </c>
      <c r="J78" s="932" t="s">
        <v>4496</v>
      </c>
      <c r="K78"/>
      <c r="L78"/>
      <c r="M78"/>
      <c r="N78"/>
      <c r="O78"/>
    </row>
    <row r="79" spans="1:15" ht="14.4">
      <c r="A79" s="1001" t="s">
        <v>517</v>
      </c>
      <c r="B79" s="932" t="s">
        <v>4589</v>
      </c>
      <c r="C79" s="932" t="s">
        <v>39</v>
      </c>
      <c r="D79" s="932" t="s">
        <v>80</v>
      </c>
      <c r="E79" s="1079">
        <v>6568388</v>
      </c>
      <c r="F79" s="932" t="s">
        <v>1553</v>
      </c>
      <c r="G79" s="932" t="s">
        <v>114</v>
      </c>
      <c r="H79" s="1080">
        <v>45848.65766203704</v>
      </c>
      <c r="I79" s="1079">
        <v>11652079352</v>
      </c>
      <c r="J79" s="932" t="s">
        <v>4590</v>
      </c>
      <c r="K79"/>
      <c r="L79"/>
      <c r="M79"/>
      <c r="N79"/>
      <c r="O79"/>
    </row>
    <row r="80" spans="1:15" ht="14.4">
      <c r="A80" s="1001" t="s">
        <v>517</v>
      </c>
      <c r="B80" s="932" t="s">
        <v>4591</v>
      </c>
      <c r="C80" s="932" t="s">
        <v>39</v>
      </c>
      <c r="D80" s="932" t="s">
        <v>80</v>
      </c>
      <c r="E80" s="1079">
        <v>2896114461</v>
      </c>
      <c r="F80" s="932" t="s">
        <v>1553</v>
      </c>
      <c r="G80" s="932" t="s">
        <v>114</v>
      </c>
      <c r="H80" s="1080">
        <v>45842.603078703702</v>
      </c>
      <c r="I80" s="1079">
        <v>5654443780</v>
      </c>
      <c r="J80" s="932" t="s">
        <v>4496</v>
      </c>
      <c r="K80"/>
      <c r="L80"/>
      <c r="M80"/>
      <c r="N80"/>
      <c r="O80"/>
    </row>
    <row r="81" spans="1:15" ht="14.4">
      <c r="A81" s="1001" t="s">
        <v>517</v>
      </c>
      <c r="B81" s="932" t="s">
        <v>4592</v>
      </c>
      <c r="C81" s="932" t="s">
        <v>39</v>
      </c>
      <c r="D81" s="932" t="s">
        <v>80</v>
      </c>
      <c r="E81" s="1079">
        <v>4899140</v>
      </c>
      <c r="F81" s="932" t="s">
        <v>1553</v>
      </c>
      <c r="G81" s="932" t="s">
        <v>114</v>
      </c>
      <c r="H81" s="1080">
        <v>45849.347175925926</v>
      </c>
      <c r="I81" s="1079">
        <v>12511807965</v>
      </c>
      <c r="J81" s="932" t="s">
        <v>4520</v>
      </c>
      <c r="K81"/>
      <c r="L81"/>
      <c r="M81"/>
      <c r="N81"/>
      <c r="O81"/>
    </row>
    <row r="82" spans="1:15" ht="14.4">
      <c r="A82" s="1001" t="s">
        <v>517</v>
      </c>
      <c r="B82" s="932" t="s">
        <v>4593</v>
      </c>
      <c r="C82" s="932" t="s">
        <v>39</v>
      </c>
      <c r="D82" s="932" t="s">
        <v>80</v>
      </c>
      <c r="E82" s="1079">
        <v>2840415657</v>
      </c>
      <c r="F82" s="932" t="s">
        <v>1553</v>
      </c>
      <c r="G82" s="932" t="s">
        <v>114</v>
      </c>
      <c r="H82" s="1080">
        <v>45848.37840277778</v>
      </c>
      <c r="I82" s="1079">
        <v>11019170042</v>
      </c>
      <c r="J82" s="932" t="s">
        <v>4496</v>
      </c>
      <c r="K82"/>
      <c r="L82"/>
      <c r="M82"/>
      <c r="N82"/>
      <c r="O82"/>
    </row>
    <row r="83" spans="1:15" ht="14.4">
      <c r="A83" s="1001" t="s">
        <v>517</v>
      </c>
      <c r="B83" s="932" t="s">
        <v>4594</v>
      </c>
      <c r="C83" s="932" t="s">
        <v>39</v>
      </c>
      <c r="D83" s="932" t="s">
        <v>80</v>
      </c>
      <c r="E83" s="1079">
        <v>9613744</v>
      </c>
      <c r="F83" s="932" t="s">
        <v>1553</v>
      </c>
      <c r="G83" s="932" t="s">
        <v>114</v>
      </c>
      <c r="H83" s="1080">
        <v>45842.603564814817</v>
      </c>
      <c r="I83" s="1079">
        <v>5664057524</v>
      </c>
      <c r="J83" s="932" t="s">
        <v>4595</v>
      </c>
      <c r="K83"/>
      <c r="L83"/>
      <c r="M83"/>
      <c r="N83"/>
      <c r="O83"/>
    </row>
    <row r="84" spans="1:15" ht="14.4">
      <c r="A84" s="1001" t="s">
        <v>517</v>
      </c>
      <c r="B84" s="932" t="s">
        <v>4596</v>
      </c>
      <c r="C84" s="932" t="s">
        <v>39</v>
      </c>
      <c r="D84" s="932" t="s">
        <v>80</v>
      </c>
      <c r="E84" s="1079">
        <v>9949424</v>
      </c>
      <c r="F84" s="932" t="s">
        <v>1553</v>
      </c>
      <c r="G84" s="932" t="s">
        <v>114</v>
      </c>
      <c r="H84" s="1080">
        <v>45842.385185185187</v>
      </c>
      <c r="I84" s="1079">
        <v>2758329319</v>
      </c>
      <c r="J84" s="932" t="s">
        <v>4535</v>
      </c>
      <c r="K84"/>
      <c r="L84"/>
      <c r="M84"/>
      <c r="N84"/>
      <c r="O84"/>
    </row>
    <row r="85" spans="1:15" ht="14.4">
      <c r="A85" s="1001" t="s">
        <v>517</v>
      </c>
      <c r="B85" s="932" t="s">
        <v>4597</v>
      </c>
      <c r="C85" s="932" t="s">
        <v>39</v>
      </c>
      <c r="D85" s="932" t="s">
        <v>80</v>
      </c>
      <c r="E85" s="1079">
        <v>6542722</v>
      </c>
      <c r="F85" s="932" t="s">
        <v>1553</v>
      </c>
      <c r="G85" s="932" t="s">
        <v>114</v>
      </c>
      <c r="H85" s="1080">
        <v>45845.5621875</v>
      </c>
      <c r="I85" s="1079">
        <v>5670600246</v>
      </c>
      <c r="J85" s="932" t="s">
        <v>4583</v>
      </c>
      <c r="K85"/>
      <c r="L85"/>
      <c r="M85"/>
      <c r="N85"/>
      <c r="O85"/>
    </row>
    <row r="86" spans="1:15" ht="14.4">
      <c r="A86" s="1001" t="s">
        <v>517</v>
      </c>
      <c r="B86" s="932" t="s">
        <v>4598</v>
      </c>
      <c r="C86" s="932" t="s">
        <v>53</v>
      </c>
      <c r="D86" s="932" t="s">
        <v>80</v>
      </c>
      <c r="E86" s="1079">
        <v>778276620</v>
      </c>
      <c r="F86" s="932" t="s">
        <v>1554</v>
      </c>
      <c r="G86" s="932" t="s">
        <v>114</v>
      </c>
      <c r="H86" s="1080">
        <v>45848.441689814812</v>
      </c>
      <c r="I86" s="1079">
        <v>10239813422</v>
      </c>
      <c r="J86" s="932" t="s">
        <v>4517</v>
      </c>
      <c r="K86"/>
      <c r="L86"/>
      <c r="M86"/>
      <c r="N86"/>
      <c r="O86"/>
    </row>
    <row r="87" spans="1:15" ht="14.4">
      <c r="A87" s="1001" t="s">
        <v>517</v>
      </c>
      <c r="B87" s="932" t="s">
        <v>4599</v>
      </c>
      <c r="C87" s="932" t="s">
        <v>53</v>
      </c>
      <c r="D87" s="932" t="s">
        <v>80</v>
      </c>
      <c r="E87" s="1079">
        <v>46246895</v>
      </c>
      <c r="F87" s="932" t="s">
        <v>1554</v>
      </c>
      <c r="G87" s="932" t="s">
        <v>114</v>
      </c>
      <c r="H87" s="1080">
        <v>45852.589942129627</v>
      </c>
      <c r="I87" s="1079">
        <v>12465561070</v>
      </c>
      <c r="J87" s="932" t="s">
        <v>4535</v>
      </c>
      <c r="K87"/>
      <c r="L87"/>
      <c r="M87"/>
      <c r="N87"/>
      <c r="O87"/>
    </row>
    <row r="88" spans="1:15" ht="14.4">
      <c r="A88" s="1001" t="s">
        <v>543</v>
      </c>
      <c r="B88" s="932" t="s">
        <v>4600</v>
      </c>
      <c r="C88" s="932" t="s">
        <v>53</v>
      </c>
      <c r="D88" s="932" t="s">
        <v>80</v>
      </c>
      <c r="E88" s="1079">
        <v>972000000</v>
      </c>
      <c r="F88" s="932" t="s">
        <v>1554</v>
      </c>
      <c r="G88" s="932" t="s">
        <v>110</v>
      </c>
      <c r="H88" s="1080">
        <v>45851.95171296296</v>
      </c>
      <c r="I88" s="1079">
        <v>9851763620</v>
      </c>
      <c r="J88" s="932" t="s">
        <v>4496</v>
      </c>
      <c r="K88"/>
      <c r="L88"/>
      <c r="M88"/>
      <c r="N88"/>
      <c r="O88"/>
    </row>
    <row r="89" spans="1:15" ht="14.4">
      <c r="A89" s="1001" t="s">
        <v>787</v>
      </c>
      <c r="B89" s="932" t="s">
        <v>4601</v>
      </c>
      <c r="C89" s="932" t="s">
        <v>4497</v>
      </c>
      <c r="D89" s="932" t="s">
        <v>80</v>
      </c>
      <c r="E89" s="1079">
        <v>800000000</v>
      </c>
      <c r="F89" s="932" t="s">
        <v>1554</v>
      </c>
      <c r="G89" s="932" t="s">
        <v>110</v>
      </c>
      <c r="H89" s="1080">
        <v>45839.78833333333</v>
      </c>
      <c r="I89" s="1079">
        <v>84039000</v>
      </c>
      <c r="J89" s="932" t="s">
        <v>4501</v>
      </c>
      <c r="K89"/>
      <c r="L89"/>
      <c r="M89"/>
      <c r="N89"/>
      <c r="O89"/>
    </row>
    <row r="90" spans="1:15" ht="14.4">
      <c r="A90" s="1001" t="s">
        <v>562</v>
      </c>
      <c r="B90" s="932" t="s">
        <v>4602</v>
      </c>
      <c r="C90" s="932" t="s">
        <v>39</v>
      </c>
      <c r="D90" s="932" t="s">
        <v>80</v>
      </c>
      <c r="E90" s="1079">
        <v>5332500</v>
      </c>
      <c r="F90" s="932" t="s">
        <v>1553</v>
      </c>
      <c r="G90" s="932" t="s">
        <v>110</v>
      </c>
      <c r="H90" s="1080">
        <v>45842.59652777778</v>
      </c>
      <c r="I90" s="1079">
        <v>936530430</v>
      </c>
      <c r="J90" s="932" t="s">
        <v>4583</v>
      </c>
      <c r="K90"/>
      <c r="L90"/>
      <c r="M90"/>
      <c r="N90"/>
      <c r="O90"/>
    </row>
    <row r="91" spans="1:15" ht="14.4">
      <c r="A91" s="1001" t="s">
        <v>562</v>
      </c>
      <c r="B91" s="932" t="s">
        <v>4603</v>
      </c>
      <c r="C91" s="932" t="s">
        <v>39</v>
      </c>
      <c r="D91" s="932" t="s">
        <v>80</v>
      </c>
      <c r="E91" s="1079">
        <v>5453283</v>
      </c>
      <c r="F91" s="932" t="s">
        <v>1553</v>
      </c>
      <c r="G91" s="932" t="s">
        <v>110</v>
      </c>
      <c r="H91" s="1080">
        <v>45842.377905092595</v>
      </c>
      <c r="I91" s="1079">
        <v>931197930</v>
      </c>
      <c r="J91" s="932" t="s">
        <v>4496</v>
      </c>
      <c r="K91"/>
      <c r="L91"/>
      <c r="M91"/>
      <c r="N91"/>
      <c r="O91"/>
    </row>
    <row r="92" spans="1:15" ht="14.4">
      <c r="A92" s="1001" t="s">
        <v>562</v>
      </c>
      <c r="B92" s="932" t="s">
        <v>4604</v>
      </c>
      <c r="C92" s="932" t="s">
        <v>39</v>
      </c>
      <c r="D92" s="932" t="s">
        <v>80</v>
      </c>
      <c r="E92" s="1079">
        <v>5620375</v>
      </c>
      <c r="F92" s="932" t="s">
        <v>1553</v>
      </c>
      <c r="G92" s="932" t="s">
        <v>110</v>
      </c>
      <c r="H92" s="1080">
        <v>45842.682164351849</v>
      </c>
      <c r="I92" s="1079">
        <v>942150805</v>
      </c>
      <c r="J92" s="932" t="s">
        <v>4496</v>
      </c>
      <c r="K92"/>
      <c r="L92"/>
      <c r="M92"/>
      <c r="N92"/>
      <c r="O92"/>
    </row>
    <row r="93" spans="1:15" ht="14.4">
      <c r="A93" s="1001" t="s">
        <v>562</v>
      </c>
      <c r="B93" s="932" t="s">
        <v>4605</v>
      </c>
      <c r="C93" s="932" t="s">
        <v>39</v>
      </c>
      <c r="D93" s="932" t="s">
        <v>80</v>
      </c>
      <c r="E93" s="1079">
        <v>3294342</v>
      </c>
      <c r="F93" s="932" t="s">
        <v>1553</v>
      </c>
      <c r="G93" s="932" t="s">
        <v>110</v>
      </c>
      <c r="H93" s="1080">
        <v>45845.384131944447</v>
      </c>
      <c r="I93" s="1079">
        <v>945445147</v>
      </c>
      <c r="J93" s="932" t="s">
        <v>4535</v>
      </c>
      <c r="K93"/>
      <c r="L93"/>
      <c r="M93"/>
      <c r="N93"/>
      <c r="O93"/>
    </row>
    <row r="94" spans="1:15" ht="14.4">
      <c r="A94" s="1001" t="s">
        <v>562</v>
      </c>
      <c r="B94" s="932" t="s">
        <v>4606</v>
      </c>
      <c r="C94" s="932" t="s">
        <v>39</v>
      </c>
      <c r="D94" s="932" t="s">
        <v>80</v>
      </c>
      <c r="E94" s="1079">
        <v>2432882</v>
      </c>
      <c r="F94" s="932" t="s">
        <v>1553</v>
      </c>
      <c r="G94" s="932" t="s">
        <v>110</v>
      </c>
      <c r="H94" s="1080">
        <v>45846.454467592594</v>
      </c>
      <c r="I94" s="1079">
        <v>947878029</v>
      </c>
      <c r="J94" s="932" t="s">
        <v>4595</v>
      </c>
      <c r="K94"/>
      <c r="L94"/>
      <c r="M94"/>
      <c r="N94"/>
      <c r="O94"/>
    </row>
    <row r="95" spans="1:15" ht="14.4">
      <c r="A95" s="1001" t="s">
        <v>562</v>
      </c>
      <c r="B95" s="932" t="s">
        <v>4607</v>
      </c>
      <c r="C95" s="932" t="s">
        <v>39</v>
      </c>
      <c r="D95" s="932" t="s">
        <v>80</v>
      </c>
      <c r="E95" s="1079">
        <v>2670140</v>
      </c>
      <c r="F95" s="932" t="s">
        <v>1553</v>
      </c>
      <c r="G95" s="932" t="s">
        <v>110</v>
      </c>
      <c r="H95" s="1080">
        <v>45847.593425925923</v>
      </c>
      <c r="I95" s="1079">
        <v>950548169</v>
      </c>
      <c r="J95" s="932" t="s">
        <v>4583</v>
      </c>
      <c r="K95"/>
      <c r="L95"/>
      <c r="M95"/>
      <c r="N95"/>
      <c r="O95"/>
    </row>
    <row r="96" spans="1:15" ht="14.4">
      <c r="A96" s="1001" t="s">
        <v>631</v>
      </c>
      <c r="B96" s="932" t="s">
        <v>4608</v>
      </c>
      <c r="C96" s="932" t="s">
        <v>4497</v>
      </c>
      <c r="D96" s="932" t="s">
        <v>80</v>
      </c>
      <c r="E96" s="1079">
        <v>800000000</v>
      </c>
      <c r="F96" s="932" t="s">
        <v>1554</v>
      </c>
      <c r="G96" s="932" t="s">
        <v>110</v>
      </c>
      <c r="H96" s="1080">
        <v>45839.795590277776</v>
      </c>
      <c r="I96" s="1079">
        <v>68533224</v>
      </c>
      <c r="J96" s="932" t="s">
        <v>4501</v>
      </c>
      <c r="K96"/>
      <c r="L96"/>
      <c r="M96"/>
      <c r="N96"/>
      <c r="O96"/>
    </row>
    <row r="97" spans="1:15" ht="14.4">
      <c r="A97" s="1001" t="s">
        <v>717</v>
      </c>
      <c r="B97" s="932" t="s">
        <v>4609</v>
      </c>
      <c r="C97" s="932" t="s">
        <v>53</v>
      </c>
      <c r="D97" s="932" t="s">
        <v>80</v>
      </c>
      <c r="E97" s="1079">
        <v>106056000</v>
      </c>
      <c r="F97" s="932" t="s">
        <v>1554</v>
      </c>
      <c r="G97" s="932" t="s">
        <v>110</v>
      </c>
      <c r="H97" s="1080">
        <v>45851.950543981482</v>
      </c>
      <c r="I97" s="1079">
        <v>4363480480</v>
      </c>
      <c r="J97" s="932" t="s">
        <v>4610</v>
      </c>
      <c r="K97"/>
      <c r="L97"/>
      <c r="M97"/>
      <c r="N97"/>
      <c r="O97"/>
    </row>
    <row r="98" spans="1:15" ht="14.4">
      <c r="A98" s="1001" t="s">
        <v>717</v>
      </c>
      <c r="B98" s="932" t="s">
        <v>4611</v>
      </c>
      <c r="C98" s="932" t="s">
        <v>53</v>
      </c>
      <c r="D98" s="932" t="s">
        <v>80</v>
      </c>
      <c r="E98" s="1079">
        <v>81734400</v>
      </c>
      <c r="F98" s="932" t="s">
        <v>1554</v>
      </c>
      <c r="G98" s="932" t="s">
        <v>110</v>
      </c>
      <c r="H98" s="1080">
        <v>45851.950543981482</v>
      </c>
      <c r="I98" s="1079">
        <v>4281746080</v>
      </c>
      <c r="J98" s="932" t="s">
        <v>4610</v>
      </c>
      <c r="K98"/>
      <c r="L98"/>
      <c r="M98"/>
      <c r="N98"/>
      <c r="O98"/>
    </row>
    <row r="99" spans="1:15" ht="14.4">
      <c r="A99" s="1001" t="s">
        <v>717</v>
      </c>
      <c r="B99" s="932" t="s">
        <v>4612</v>
      </c>
      <c r="C99" s="932" t="s">
        <v>53</v>
      </c>
      <c r="D99" s="932" t="s">
        <v>80</v>
      </c>
      <c r="E99" s="1079">
        <v>4860000</v>
      </c>
      <c r="F99" s="932" t="s">
        <v>1554</v>
      </c>
      <c r="G99" s="932" t="s">
        <v>110</v>
      </c>
      <c r="H99" s="1080">
        <v>45851.950543981482</v>
      </c>
      <c r="I99" s="1079">
        <v>4276886080</v>
      </c>
      <c r="J99" s="932" t="s">
        <v>4496</v>
      </c>
      <c r="K99"/>
      <c r="L99"/>
      <c r="M99"/>
      <c r="N99"/>
      <c r="O99"/>
    </row>
    <row r="100" spans="1:15" ht="14.4">
      <c r="A100" s="1001" t="s">
        <v>717</v>
      </c>
      <c r="B100" s="932" t="s">
        <v>4613</v>
      </c>
      <c r="C100" s="932" t="s">
        <v>53</v>
      </c>
      <c r="D100" s="932" t="s">
        <v>80</v>
      </c>
      <c r="E100" s="1079">
        <v>53676000</v>
      </c>
      <c r="F100" s="932" t="s">
        <v>1554</v>
      </c>
      <c r="G100" s="932" t="s">
        <v>110</v>
      </c>
      <c r="H100" s="1080">
        <v>45851.951724537037</v>
      </c>
      <c r="I100" s="1079">
        <v>4223210080</v>
      </c>
      <c r="J100" s="932" t="s">
        <v>4496</v>
      </c>
      <c r="K100"/>
      <c r="L100"/>
      <c r="M100"/>
      <c r="N100"/>
      <c r="O100"/>
    </row>
    <row r="101" spans="1:15" ht="14.4">
      <c r="A101" s="1001" t="s">
        <v>715</v>
      </c>
      <c r="B101" s="932" t="s">
        <v>4614</v>
      </c>
      <c r="C101" s="932" t="s">
        <v>39</v>
      </c>
      <c r="D101" s="932" t="s">
        <v>80</v>
      </c>
      <c r="E101" s="1079">
        <v>450000000</v>
      </c>
      <c r="F101" s="932" t="s">
        <v>1553</v>
      </c>
      <c r="G101" s="932" t="s">
        <v>110</v>
      </c>
      <c r="H101" s="1080">
        <v>45847.37777777778</v>
      </c>
      <c r="I101" s="1079">
        <v>6207699702</v>
      </c>
      <c r="J101" s="932" t="s">
        <v>4577</v>
      </c>
      <c r="K101"/>
      <c r="L101"/>
      <c r="M101"/>
      <c r="N101"/>
      <c r="O101"/>
    </row>
    <row r="102" spans="1:15" ht="14.4">
      <c r="A102" s="1001" t="s">
        <v>586</v>
      </c>
      <c r="B102" s="932" t="s">
        <v>4615</v>
      </c>
      <c r="C102" s="932" t="s">
        <v>4495</v>
      </c>
      <c r="D102" s="932" t="s">
        <v>80</v>
      </c>
      <c r="E102" s="1079">
        <v>200000000000</v>
      </c>
      <c r="F102" s="932" t="s">
        <v>1553</v>
      </c>
      <c r="G102" s="932" t="s">
        <v>110</v>
      </c>
      <c r="H102" s="1080">
        <v>45852.709479166668</v>
      </c>
      <c r="I102" s="1079">
        <v>250126245077</v>
      </c>
      <c r="J102" s="932" t="s">
        <v>4499</v>
      </c>
      <c r="K102"/>
      <c r="L102"/>
      <c r="M102"/>
      <c r="N102"/>
      <c r="O102"/>
    </row>
    <row r="103" spans="1:15" ht="14.4">
      <c r="A103" s="1001" t="s">
        <v>543</v>
      </c>
      <c r="B103" s="932" t="s">
        <v>4616</v>
      </c>
      <c r="C103" s="932" t="s">
        <v>53</v>
      </c>
      <c r="D103" s="932" t="s">
        <v>80</v>
      </c>
      <c r="E103" s="1079">
        <v>366767775</v>
      </c>
      <c r="F103" s="932" t="s">
        <v>1554</v>
      </c>
      <c r="G103" s="932" t="s">
        <v>110</v>
      </c>
      <c r="H103" s="1080">
        <v>45841.744537037041</v>
      </c>
      <c r="I103" s="1079">
        <v>4476207853</v>
      </c>
      <c r="J103" s="932" t="s">
        <v>4517</v>
      </c>
      <c r="K103"/>
      <c r="L103"/>
      <c r="M103"/>
      <c r="N103"/>
      <c r="O103"/>
    </row>
    <row r="104" spans="1:15" ht="14.4">
      <c r="A104" s="1001" t="s">
        <v>543</v>
      </c>
      <c r="B104" s="932" t="s">
        <v>4617</v>
      </c>
      <c r="C104" s="932" t="s">
        <v>53</v>
      </c>
      <c r="D104" s="932" t="s">
        <v>80</v>
      </c>
      <c r="E104" s="1079">
        <v>168882375</v>
      </c>
      <c r="F104" s="932" t="s">
        <v>1554</v>
      </c>
      <c r="G104" s="932" t="s">
        <v>110</v>
      </c>
      <c r="H104" s="1080">
        <v>45841.744571759256</v>
      </c>
      <c r="I104" s="1079">
        <v>4307325478</v>
      </c>
      <c r="J104" s="932" t="s">
        <v>4535</v>
      </c>
      <c r="K104"/>
      <c r="L104"/>
      <c r="M104"/>
      <c r="N104"/>
      <c r="O104"/>
    </row>
    <row r="105" spans="1:15" ht="14.4">
      <c r="A105" s="1001" t="s">
        <v>543</v>
      </c>
      <c r="B105" s="932" t="s">
        <v>4618</v>
      </c>
      <c r="C105" s="932" t="s">
        <v>53</v>
      </c>
      <c r="D105" s="932" t="s">
        <v>80</v>
      </c>
      <c r="E105" s="1079">
        <v>46440854</v>
      </c>
      <c r="F105" s="932" t="s">
        <v>1554</v>
      </c>
      <c r="G105" s="932" t="s">
        <v>110</v>
      </c>
      <c r="H105" s="1080">
        <v>45841.744583333333</v>
      </c>
      <c r="I105" s="1079">
        <v>4260884624</v>
      </c>
      <c r="J105" s="932" t="s">
        <v>4508</v>
      </c>
      <c r="K105"/>
      <c r="L105"/>
      <c r="M105"/>
      <c r="N105"/>
      <c r="O105"/>
    </row>
    <row r="106" spans="1:15" ht="14.4">
      <c r="A106" s="1001" t="s">
        <v>543</v>
      </c>
      <c r="B106" s="932" t="s">
        <v>4619</v>
      </c>
      <c r="C106" s="932" t="s">
        <v>39</v>
      </c>
      <c r="D106" s="932" t="s">
        <v>80</v>
      </c>
      <c r="E106" s="1079">
        <v>623753</v>
      </c>
      <c r="F106" s="932" t="s">
        <v>1553</v>
      </c>
      <c r="G106" s="932" t="s">
        <v>110</v>
      </c>
      <c r="H106" s="1080">
        <v>45842.639733796299</v>
      </c>
      <c r="I106" s="1079">
        <v>4261508377</v>
      </c>
      <c r="J106" s="932" t="s">
        <v>4583</v>
      </c>
      <c r="K106"/>
      <c r="L106"/>
      <c r="M106"/>
      <c r="N106"/>
      <c r="O106"/>
    </row>
    <row r="107" spans="1:15" ht="14.4">
      <c r="A107" s="1001" t="s">
        <v>543</v>
      </c>
      <c r="B107" s="932" t="s">
        <v>4620</v>
      </c>
      <c r="C107" s="932" t="s">
        <v>39</v>
      </c>
      <c r="D107" s="932" t="s">
        <v>80</v>
      </c>
      <c r="E107" s="1079">
        <v>1073590011</v>
      </c>
      <c r="F107" s="932" t="s">
        <v>1553</v>
      </c>
      <c r="G107" s="932" t="s">
        <v>110</v>
      </c>
      <c r="H107" s="1080">
        <v>45848.408090277779</v>
      </c>
      <c r="I107" s="1079">
        <v>5335098388</v>
      </c>
      <c r="J107" s="932" t="s">
        <v>4585</v>
      </c>
      <c r="K107"/>
      <c r="L107"/>
      <c r="M107"/>
      <c r="N107"/>
      <c r="O107"/>
    </row>
    <row r="108" spans="1:15" ht="14.4">
      <c r="A108" s="1001" t="s">
        <v>543</v>
      </c>
      <c r="B108" s="932" t="s">
        <v>4621</v>
      </c>
      <c r="C108" s="932" t="s">
        <v>39</v>
      </c>
      <c r="D108" s="932" t="s">
        <v>80</v>
      </c>
      <c r="E108" s="1079">
        <v>3557729832</v>
      </c>
      <c r="F108" s="932" t="s">
        <v>1553</v>
      </c>
      <c r="G108" s="932" t="s">
        <v>110</v>
      </c>
      <c r="H108" s="1080">
        <v>45848.570243055554</v>
      </c>
      <c r="I108" s="1079">
        <v>8901418949</v>
      </c>
      <c r="J108" s="932" t="s">
        <v>4577</v>
      </c>
      <c r="K108"/>
      <c r="L108"/>
      <c r="M108"/>
      <c r="N108"/>
      <c r="O108"/>
    </row>
    <row r="109" spans="1:15" ht="14.4">
      <c r="A109" s="1001" t="s">
        <v>543</v>
      </c>
      <c r="B109" s="932" t="s">
        <v>4622</v>
      </c>
      <c r="C109" s="932" t="s">
        <v>39</v>
      </c>
      <c r="D109" s="932" t="s">
        <v>80</v>
      </c>
      <c r="E109" s="1079">
        <v>8590729</v>
      </c>
      <c r="F109" s="932" t="s">
        <v>1553</v>
      </c>
      <c r="G109" s="932" t="s">
        <v>110</v>
      </c>
      <c r="H109" s="1080">
        <v>45848.569016203706</v>
      </c>
      <c r="I109" s="1079">
        <v>5343689117</v>
      </c>
      <c r="J109" s="932" t="s">
        <v>4583</v>
      </c>
      <c r="K109"/>
      <c r="L109"/>
      <c r="M109"/>
      <c r="N109"/>
      <c r="O109"/>
    </row>
    <row r="110" spans="1:15" ht="14.4">
      <c r="A110" s="1001" t="s">
        <v>543</v>
      </c>
      <c r="B110" s="932" t="s">
        <v>4623</v>
      </c>
      <c r="C110" s="932" t="s">
        <v>39</v>
      </c>
      <c r="D110" s="932" t="s">
        <v>80</v>
      </c>
      <c r="E110" s="1079">
        <v>1525247</v>
      </c>
      <c r="F110" s="932" t="s">
        <v>1553</v>
      </c>
      <c r="G110" s="932" t="s">
        <v>110</v>
      </c>
      <c r="H110" s="1080">
        <v>45849.606874999998</v>
      </c>
      <c r="I110" s="1079">
        <v>10890696620</v>
      </c>
      <c r="J110" s="932" t="s">
        <v>4595</v>
      </c>
      <c r="K110"/>
      <c r="L110"/>
      <c r="M110"/>
      <c r="N110"/>
      <c r="O110"/>
    </row>
    <row r="111" spans="1:15" ht="14.4">
      <c r="A111" s="1001" t="s">
        <v>715</v>
      </c>
      <c r="B111" s="932" t="s">
        <v>4624</v>
      </c>
      <c r="C111" s="932" t="s">
        <v>39</v>
      </c>
      <c r="D111" s="932" t="s">
        <v>80</v>
      </c>
      <c r="E111" s="1079">
        <v>450000000</v>
      </c>
      <c r="F111" s="932" t="s">
        <v>1553</v>
      </c>
      <c r="G111" s="932" t="s">
        <v>110</v>
      </c>
      <c r="H111" s="1080">
        <v>45847.37777777778</v>
      </c>
      <c r="I111" s="1079">
        <v>6845724114</v>
      </c>
      <c r="J111" s="932" t="s">
        <v>4577</v>
      </c>
      <c r="K111"/>
      <c r="L111"/>
      <c r="M111"/>
      <c r="N111"/>
      <c r="O111"/>
    </row>
    <row r="112" spans="1:15" ht="14.4">
      <c r="A112" s="1001" t="s">
        <v>666</v>
      </c>
      <c r="B112" s="932" t="s">
        <v>4625</v>
      </c>
      <c r="C112" s="932" t="s">
        <v>39</v>
      </c>
      <c r="D112" s="932" t="s">
        <v>80</v>
      </c>
      <c r="E112" s="1079">
        <v>450000000</v>
      </c>
      <c r="F112" s="932" t="s">
        <v>1553</v>
      </c>
      <c r="G112" s="932" t="s">
        <v>110</v>
      </c>
      <c r="H112" s="1080">
        <v>45849.554895833331</v>
      </c>
      <c r="I112" s="1079">
        <v>3367717202</v>
      </c>
      <c r="J112" s="932" t="s">
        <v>4535</v>
      </c>
      <c r="K112"/>
      <c r="L112"/>
      <c r="M112"/>
      <c r="N112"/>
      <c r="O112"/>
    </row>
    <row r="113" spans="1:15" ht="14.4">
      <c r="A113" s="1001" t="s">
        <v>543</v>
      </c>
      <c r="B113" s="932" t="s">
        <v>4626</v>
      </c>
      <c r="C113" s="932" t="s">
        <v>39</v>
      </c>
      <c r="D113" s="932" t="s">
        <v>80</v>
      </c>
      <c r="E113" s="1079">
        <v>291592</v>
      </c>
      <c r="F113" s="932" t="s">
        <v>1553</v>
      </c>
      <c r="G113" s="932" t="s">
        <v>110</v>
      </c>
      <c r="H113" s="1080">
        <v>45849.125185185185</v>
      </c>
      <c r="I113" s="1079">
        <v>9701710541</v>
      </c>
      <c r="J113" s="932" t="s">
        <v>4535</v>
      </c>
      <c r="K113"/>
      <c r="L113"/>
      <c r="M113"/>
      <c r="N113"/>
      <c r="O113"/>
    </row>
    <row r="114" spans="1:15" ht="14.4">
      <c r="A114" s="1001" t="s">
        <v>543</v>
      </c>
      <c r="B114" s="932" t="s">
        <v>4627</v>
      </c>
      <c r="C114" s="932" t="s">
        <v>39</v>
      </c>
      <c r="D114" s="932" t="s">
        <v>80</v>
      </c>
      <c r="E114" s="1079">
        <v>387460832</v>
      </c>
      <c r="F114" s="932" t="s">
        <v>1553</v>
      </c>
      <c r="G114" s="932" t="s">
        <v>110</v>
      </c>
      <c r="H114" s="1080">
        <v>45849.125219907408</v>
      </c>
      <c r="I114" s="1079">
        <v>10089171373</v>
      </c>
      <c r="J114" s="932" t="s">
        <v>4496</v>
      </c>
      <c r="K114"/>
      <c r="L114"/>
      <c r="M114"/>
      <c r="N114"/>
      <c r="O114"/>
    </row>
    <row r="115" spans="1:15" ht="14.4">
      <c r="A115" s="1001" t="s">
        <v>666</v>
      </c>
      <c r="B115" s="932" t="s">
        <v>4628</v>
      </c>
      <c r="C115" s="932" t="s">
        <v>39</v>
      </c>
      <c r="D115" s="932" t="s">
        <v>80</v>
      </c>
      <c r="E115" s="1079">
        <v>450000000</v>
      </c>
      <c r="F115" s="932" t="s">
        <v>1553</v>
      </c>
      <c r="G115" s="932" t="s">
        <v>110</v>
      </c>
      <c r="H115" s="1080">
        <v>45849.554918981485</v>
      </c>
      <c r="I115" s="1079">
        <v>3817717202</v>
      </c>
      <c r="J115" s="932" t="s">
        <v>4535</v>
      </c>
      <c r="K115"/>
      <c r="L115"/>
      <c r="M115"/>
      <c r="N115"/>
      <c r="O115"/>
    </row>
    <row r="116" spans="1:15" ht="14.4">
      <c r="A116" s="1001" t="s">
        <v>543</v>
      </c>
      <c r="B116" s="932" t="s">
        <v>4629</v>
      </c>
      <c r="C116" s="932" t="s">
        <v>39</v>
      </c>
      <c r="D116" s="932" t="s">
        <v>80</v>
      </c>
      <c r="E116" s="1079">
        <v>400000000</v>
      </c>
      <c r="F116" s="932" t="s">
        <v>1553</v>
      </c>
      <c r="G116" s="932" t="s">
        <v>110</v>
      </c>
      <c r="H116" s="1080">
        <v>45849.125115740739</v>
      </c>
      <c r="I116" s="1079">
        <v>9301418949</v>
      </c>
      <c r="J116" s="932" t="s">
        <v>4496</v>
      </c>
      <c r="K116"/>
      <c r="L116"/>
      <c r="M116"/>
      <c r="N116"/>
      <c r="O116"/>
    </row>
    <row r="117" spans="1:15" ht="14.4">
      <c r="A117" s="1001" t="s">
        <v>543</v>
      </c>
      <c r="B117" s="932" t="s">
        <v>4630</v>
      </c>
      <c r="C117" s="932" t="s">
        <v>53</v>
      </c>
      <c r="D117" s="932" t="s">
        <v>80</v>
      </c>
      <c r="E117" s="1079">
        <v>58320000</v>
      </c>
      <c r="F117" s="932" t="s">
        <v>1554</v>
      </c>
      <c r="G117" s="932" t="s">
        <v>110</v>
      </c>
      <c r="H117" s="1080">
        <v>45851.950543981482</v>
      </c>
      <c r="I117" s="1079">
        <v>10832376620</v>
      </c>
      <c r="J117" s="932" t="s">
        <v>4535</v>
      </c>
      <c r="K117"/>
      <c r="L117"/>
      <c r="M117"/>
      <c r="N117"/>
      <c r="O117"/>
    </row>
    <row r="118" spans="1:15" ht="14.4">
      <c r="A118" s="1001" t="s">
        <v>543</v>
      </c>
      <c r="B118" s="932" t="s">
        <v>4631</v>
      </c>
      <c r="C118" s="932" t="s">
        <v>39</v>
      </c>
      <c r="D118" s="932" t="s">
        <v>80</v>
      </c>
      <c r="E118" s="1079">
        <v>400000000</v>
      </c>
      <c r="F118" s="932" t="s">
        <v>1553</v>
      </c>
      <c r="G118" s="932" t="s">
        <v>110</v>
      </c>
      <c r="H118" s="1080">
        <v>45849.125162037039</v>
      </c>
      <c r="I118" s="1079">
        <v>9701418949</v>
      </c>
      <c r="J118" s="932" t="s">
        <v>4496</v>
      </c>
      <c r="K118"/>
      <c r="L118"/>
      <c r="M118"/>
      <c r="N118"/>
      <c r="O118"/>
    </row>
    <row r="119" spans="1:15" ht="14.4">
      <c r="A119" s="1001" t="s">
        <v>543</v>
      </c>
      <c r="B119" s="932" t="s">
        <v>4632</v>
      </c>
      <c r="C119" s="932" t="s">
        <v>39</v>
      </c>
      <c r="D119" s="932" t="s">
        <v>80</v>
      </c>
      <c r="E119" s="1079">
        <v>400000000</v>
      </c>
      <c r="F119" s="932" t="s">
        <v>1553</v>
      </c>
      <c r="G119" s="932" t="s">
        <v>110</v>
      </c>
      <c r="H119" s="1080">
        <v>45849.125393518516</v>
      </c>
      <c r="I119" s="1079">
        <v>10489171373</v>
      </c>
      <c r="J119" s="932" t="s">
        <v>4496</v>
      </c>
      <c r="K119"/>
      <c r="L119"/>
      <c r="M119"/>
      <c r="N119"/>
      <c r="O119"/>
    </row>
    <row r="120" spans="1:15" ht="14.4">
      <c r="A120" s="1001" t="s">
        <v>543</v>
      </c>
      <c r="B120" s="932" t="s">
        <v>4633</v>
      </c>
      <c r="C120" s="932" t="s">
        <v>39</v>
      </c>
      <c r="D120" s="932" t="s">
        <v>80</v>
      </c>
      <c r="E120" s="1079">
        <v>400000000</v>
      </c>
      <c r="F120" s="932" t="s">
        <v>1553</v>
      </c>
      <c r="G120" s="932" t="s">
        <v>110</v>
      </c>
      <c r="H120" s="1080">
        <v>45849.125405092593</v>
      </c>
      <c r="I120" s="1079">
        <v>10889171373</v>
      </c>
      <c r="J120" s="932" t="s">
        <v>4496</v>
      </c>
      <c r="K120"/>
      <c r="L120"/>
      <c r="M120"/>
      <c r="N120"/>
      <c r="O120"/>
    </row>
    <row r="121" spans="1:15" ht="14.4">
      <c r="A121" s="1001" t="s">
        <v>543</v>
      </c>
      <c r="B121" s="932" t="s">
        <v>4634</v>
      </c>
      <c r="C121" s="932" t="s">
        <v>53</v>
      </c>
      <c r="D121" s="932" t="s">
        <v>80</v>
      </c>
      <c r="E121" s="1079">
        <v>27000000</v>
      </c>
      <c r="F121" s="932" t="s">
        <v>1554</v>
      </c>
      <c r="G121" s="932" t="s">
        <v>110</v>
      </c>
      <c r="H121" s="1080">
        <v>45851.951724537037</v>
      </c>
      <c r="I121" s="1079">
        <v>9824763620</v>
      </c>
      <c r="J121" s="932" t="s">
        <v>4496</v>
      </c>
      <c r="K121"/>
      <c r="L121"/>
      <c r="M121"/>
      <c r="N121"/>
      <c r="O121"/>
    </row>
    <row r="122" spans="1:15" ht="14.4">
      <c r="A122" s="1001" t="s">
        <v>543</v>
      </c>
      <c r="B122" s="932" t="s">
        <v>4635</v>
      </c>
      <c r="C122" s="932" t="s">
        <v>39</v>
      </c>
      <c r="D122" s="932" t="s">
        <v>80</v>
      </c>
      <c r="E122" s="1079">
        <v>335080884</v>
      </c>
      <c r="F122" s="932" t="s">
        <v>1553</v>
      </c>
      <c r="G122" s="932" t="s">
        <v>110</v>
      </c>
      <c r="H122" s="1080">
        <v>45852.524965277778</v>
      </c>
      <c r="I122" s="1079">
        <v>10159844504</v>
      </c>
      <c r="J122" s="932" t="s">
        <v>4496</v>
      </c>
      <c r="K122"/>
      <c r="L122"/>
      <c r="M122"/>
      <c r="N122"/>
      <c r="O122"/>
    </row>
    <row r="123" spans="1:15" ht="14.4">
      <c r="A123" s="1001" t="s">
        <v>543</v>
      </c>
      <c r="B123" s="932" t="s">
        <v>4636</v>
      </c>
      <c r="C123" s="932" t="s">
        <v>39</v>
      </c>
      <c r="D123" s="932" t="s">
        <v>80</v>
      </c>
      <c r="E123" s="1079">
        <v>335080884</v>
      </c>
      <c r="F123" s="932" t="s">
        <v>1553</v>
      </c>
      <c r="G123" s="932" t="s">
        <v>110</v>
      </c>
      <c r="H123" s="1080">
        <v>45852.524976851855</v>
      </c>
      <c r="I123" s="1079">
        <v>10494925388</v>
      </c>
      <c r="J123" s="932" t="s">
        <v>4496</v>
      </c>
      <c r="K123"/>
      <c r="L123"/>
      <c r="M123"/>
      <c r="N123"/>
      <c r="O123"/>
    </row>
    <row r="124" spans="1:15" ht="14.4">
      <c r="A124" s="1001" t="s">
        <v>543</v>
      </c>
      <c r="B124" s="932" t="s">
        <v>4637</v>
      </c>
      <c r="C124" s="932" t="s">
        <v>39</v>
      </c>
      <c r="D124" s="932" t="s">
        <v>80</v>
      </c>
      <c r="E124" s="1079">
        <v>335080884</v>
      </c>
      <c r="F124" s="932" t="s">
        <v>1553</v>
      </c>
      <c r="G124" s="932" t="s">
        <v>110</v>
      </c>
      <c r="H124" s="1080">
        <v>45852.525000000001</v>
      </c>
      <c r="I124" s="1079">
        <v>10830006272</v>
      </c>
      <c r="J124" s="932" t="s">
        <v>4496</v>
      </c>
      <c r="K124"/>
      <c r="L124"/>
      <c r="M124"/>
      <c r="N124"/>
      <c r="O124"/>
    </row>
    <row r="125" spans="1:15" ht="14.4">
      <c r="A125" s="1001" t="s">
        <v>610</v>
      </c>
      <c r="B125" s="932" t="s">
        <v>4638</v>
      </c>
      <c r="C125" s="932" t="s">
        <v>53</v>
      </c>
      <c r="D125" s="932" t="s">
        <v>80</v>
      </c>
      <c r="E125" s="1079">
        <v>362621528</v>
      </c>
      <c r="F125" s="932" t="s">
        <v>1554</v>
      </c>
      <c r="G125" s="932" t="s">
        <v>110</v>
      </c>
      <c r="H125" s="1080">
        <v>45840.677222222221</v>
      </c>
      <c r="I125" s="1079">
        <v>2186509361</v>
      </c>
      <c r="J125" s="932" t="s">
        <v>4573</v>
      </c>
      <c r="K125"/>
      <c r="L125"/>
      <c r="M125"/>
      <c r="N125"/>
      <c r="O125"/>
    </row>
    <row r="126" spans="1:15" ht="14.4">
      <c r="A126" s="1001" t="s">
        <v>610</v>
      </c>
      <c r="B126" s="932" t="s">
        <v>4639</v>
      </c>
      <c r="C126" s="932" t="s">
        <v>39</v>
      </c>
      <c r="D126" s="932" t="s">
        <v>80</v>
      </c>
      <c r="E126" s="1079">
        <v>6641288</v>
      </c>
      <c r="F126" s="932" t="s">
        <v>1553</v>
      </c>
      <c r="G126" s="932" t="s">
        <v>110</v>
      </c>
      <c r="H126" s="1080">
        <v>45847.335023148145</v>
      </c>
      <c r="I126" s="1079">
        <v>7041306159</v>
      </c>
      <c r="J126" s="932" t="s">
        <v>4496</v>
      </c>
      <c r="K126"/>
      <c r="L126"/>
      <c r="M126"/>
      <c r="N126"/>
      <c r="O126"/>
    </row>
    <row r="127" spans="1:15" ht="14.4">
      <c r="A127" s="1001" t="s">
        <v>610</v>
      </c>
      <c r="B127" s="932" t="s">
        <v>4640</v>
      </c>
      <c r="C127" s="932" t="s">
        <v>39</v>
      </c>
      <c r="D127" s="932" t="s">
        <v>80</v>
      </c>
      <c r="E127" s="1079">
        <v>6019818750</v>
      </c>
      <c r="F127" s="932" t="s">
        <v>1553</v>
      </c>
      <c r="G127" s="932" t="s">
        <v>110</v>
      </c>
      <c r="H127" s="1080">
        <v>45847.418043981481</v>
      </c>
      <c r="I127" s="1079">
        <v>13061124909</v>
      </c>
      <c r="J127" s="932" t="s">
        <v>4523</v>
      </c>
      <c r="K127"/>
      <c r="L127"/>
      <c r="M127"/>
      <c r="N127"/>
      <c r="O127"/>
    </row>
    <row r="128" spans="1:15" ht="14.4">
      <c r="A128" s="1001" t="s">
        <v>610</v>
      </c>
      <c r="B128" s="932" t="s">
        <v>4641</v>
      </c>
      <c r="C128" s="932" t="s">
        <v>39</v>
      </c>
      <c r="D128" s="932" t="s">
        <v>80</v>
      </c>
      <c r="E128" s="1079">
        <v>4848155510</v>
      </c>
      <c r="F128" s="932" t="s">
        <v>1553</v>
      </c>
      <c r="G128" s="932" t="s">
        <v>110</v>
      </c>
      <c r="H128" s="1080">
        <v>45847.334953703707</v>
      </c>
      <c r="I128" s="1079">
        <v>7034664871</v>
      </c>
      <c r="J128" s="932" t="s">
        <v>4523</v>
      </c>
      <c r="K128"/>
      <c r="L128"/>
      <c r="M128"/>
      <c r="N128"/>
      <c r="O128"/>
    </row>
    <row r="129" spans="1:15" ht="14.4">
      <c r="A129" s="1001" t="s">
        <v>610</v>
      </c>
      <c r="B129" s="932" t="s">
        <v>4642</v>
      </c>
      <c r="C129" s="932" t="s">
        <v>39</v>
      </c>
      <c r="D129" s="932" t="s">
        <v>80</v>
      </c>
      <c r="E129" s="1079">
        <v>1146214783</v>
      </c>
      <c r="F129" s="932" t="s">
        <v>1553</v>
      </c>
      <c r="G129" s="932" t="s">
        <v>110</v>
      </c>
      <c r="H129" s="1080">
        <v>45849.588761574072</v>
      </c>
      <c r="I129" s="1079">
        <v>14207339692</v>
      </c>
      <c r="J129" s="932" t="s">
        <v>4496</v>
      </c>
      <c r="K129"/>
      <c r="L129"/>
      <c r="M129"/>
      <c r="N129"/>
      <c r="O129"/>
    </row>
    <row r="130" spans="1:15" ht="14.4">
      <c r="A130" s="1001" t="s">
        <v>610</v>
      </c>
      <c r="B130" s="932" t="s">
        <v>4643</v>
      </c>
      <c r="C130" s="932" t="s">
        <v>4497</v>
      </c>
      <c r="D130" s="932" t="s">
        <v>80</v>
      </c>
      <c r="E130" s="1079">
        <v>3461352961</v>
      </c>
      <c r="F130" s="932" t="s">
        <v>1554</v>
      </c>
      <c r="G130" s="932" t="s">
        <v>110</v>
      </c>
      <c r="H130" s="1080">
        <v>45849.650567129633</v>
      </c>
      <c r="I130" s="1079">
        <v>10745986731</v>
      </c>
      <c r="J130" s="932" t="s">
        <v>4644</v>
      </c>
      <c r="K130"/>
      <c r="L130"/>
      <c r="M130"/>
      <c r="N130"/>
      <c r="O130"/>
    </row>
    <row r="131" spans="1:15" ht="14.4">
      <c r="A131" s="1001" t="s">
        <v>610</v>
      </c>
      <c r="B131" s="932" t="s">
        <v>4645</v>
      </c>
      <c r="C131" s="932" t="s">
        <v>53</v>
      </c>
      <c r="D131" s="932" t="s">
        <v>80</v>
      </c>
      <c r="E131" s="1079">
        <v>376088402</v>
      </c>
      <c r="F131" s="932" t="s">
        <v>1554</v>
      </c>
      <c r="G131" s="932" t="s">
        <v>110</v>
      </c>
      <c r="H131" s="1080">
        <v>45850.546388888892</v>
      </c>
      <c r="I131" s="1079">
        <v>10369898329</v>
      </c>
      <c r="J131" s="932" t="s">
        <v>4573</v>
      </c>
      <c r="K131"/>
      <c r="L131"/>
      <c r="M131"/>
      <c r="N131"/>
      <c r="O131"/>
    </row>
    <row r="132" spans="1:15" ht="14.4">
      <c r="A132" s="1001" t="s">
        <v>610</v>
      </c>
      <c r="B132" s="932" t="s">
        <v>4646</v>
      </c>
      <c r="C132" s="932" t="s">
        <v>53</v>
      </c>
      <c r="D132" s="932" t="s">
        <v>80</v>
      </c>
      <c r="E132" s="1079">
        <v>75080076</v>
      </c>
      <c r="F132" s="932" t="s">
        <v>1554</v>
      </c>
      <c r="G132" s="932" t="s">
        <v>110</v>
      </c>
      <c r="H132" s="1080">
        <v>45851.950543981482</v>
      </c>
      <c r="I132" s="1079">
        <v>10294818253</v>
      </c>
      <c r="J132" s="932" t="s">
        <v>4535</v>
      </c>
      <c r="K132"/>
      <c r="L132"/>
      <c r="M132"/>
      <c r="N132"/>
      <c r="O132"/>
    </row>
    <row r="133" spans="1:15" ht="14.4">
      <c r="A133" s="1001" t="s">
        <v>740</v>
      </c>
      <c r="B133" s="932" t="s">
        <v>4647</v>
      </c>
      <c r="C133" s="932" t="s">
        <v>4497</v>
      </c>
      <c r="D133" s="932" t="s">
        <v>80</v>
      </c>
      <c r="E133" s="1079">
        <v>300000000</v>
      </c>
      <c r="F133" s="932" t="s">
        <v>1554</v>
      </c>
      <c r="G133" s="932" t="s">
        <v>110</v>
      </c>
      <c r="H133" s="1080">
        <v>45839.80704861111</v>
      </c>
      <c r="I133" s="1079">
        <v>115450963</v>
      </c>
      <c r="J133" s="932" t="s">
        <v>4648</v>
      </c>
      <c r="K133"/>
      <c r="L133"/>
      <c r="M133"/>
      <c r="N133"/>
      <c r="O133"/>
    </row>
    <row r="134" spans="1:15" ht="14.4">
      <c r="A134" s="1001" t="s">
        <v>610</v>
      </c>
      <c r="B134" s="932" t="s">
        <v>4649</v>
      </c>
      <c r="C134" s="932" t="s">
        <v>53</v>
      </c>
      <c r="D134" s="932" t="s">
        <v>80</v>
      </c>
      <c r="E134" s="1079">
        <v>10843200</v>
      </c>
      <c r="F134" s="932" t="s">
        <v>1554</v>
      </c>
      <c r="G134" s="932" t="s">
        <v>110</v>
      </c>
      <c r="H134" s="1080">
        <v>45851.950543981482</v>
      </c>
      <c r="I134" s="1079">
        <v>10269620053</v>
      </c>
      <c r="J134" s="932" t="s">
        <v>4650</v>
      </c>
      <c r="K134"/>
      <c r="L134"/>
      <c r="M134"/>
      <c r="N134"/>
      <c r="O134"/>
    </row>
    <row r="135" spans="1:15" ht="14.4">
      <c r="A135" s="1001" t="s">
        <v>610</v>
      </c>
      <c r="B135" s="932" t="s">
        <v>4651</v>
      </c>
      <c r="C135" s="932" t="s">
        <v>53</v>
      </c>
      <c r="D135" s="932" t="s">
        <v>80</v>
      </c>
      <c r="E135" s="1079">
        <v>6220800</v>
      </c>
      <c r="F135" s="932" t="s">
        <v>1554</v>
      </c>
      <c r="G135" s="932" t="s">
        <v>110</v>
      </c>
      <c r="H135" s="1080">
        <v>45851.950543981482</v>
      </c>
      <c r="I135" s="1079">
        <v>10263399253</v>
      </c>
      <c r="J135" s="932" t="s">
        <v>4535</v>
      </c>
      <c r="K135"/>
      <c r="L135"/>
      <c r="M135"/>
      <c r="N135"/>
      <c r="O135"/>
    </row>
    <row r="136" spans="1:15" ht="14.4">
      <c r="A136" s="1001" t="s">
        <v>715</v>
      </c>
      <c r="B136" s="932" t="s">
        <v>4652</v>
      </c>
      <c r="C136" s="932" t="s">
        <v>39</v>
      </c>
      <c r="D136" s="932" t="s">
        <v>80</v>
      </c>
      <c r="E136" s="1079">
        <v>300000000</v>
      </c>
      <c r="F136" s="932" t="s">
        <v>1553</v>
      </c>
      <c r="G136" s="932" t="s">
        <v>110</v>
      </c>
      <c r="H136" s="1080">
        <v>45853.646261574075</v>
      </c>
      <c r="I136" s="1079">
        <v>25979234437</v>
      </c>
      <c r="J136" s="932" t="s">
        <v>4585</v>
      </c>
      <c r="K136"/>
      <c r="L136"/>
      <c r="M136"/>
      <c r="N136"/>
      <c r="O136"/>
    </row>
    <row r="137" spans="1:15" ht="14.4">
      <c r="A137" s="1001" t="s">
        <v>791</v>
      </c>
      <c r="B137" s="932" t="s">
        <v>4653</v>
      </c>
      <c r="C137" s="932" t="s">
        <v>4497</v>
      </c>
      <c r="D137" s="932" t="s">
        <v>80</v>
      </c>
      <c r="E137" s="1079">
        <v>300000000</v>
      </c>
      <c r="F137" s="932" t="s">
        <v>1554</v>
      </c>
      <c r="G137" s="932" t="s">
        <v>110</v>
      </c>
      <c r="H137" s="1080">
        <v>45839.801458333335</v>
      </c>
      <c r="I137" s="1079">
        <v>50912066</v>
      </c>
      <c r="J137" s="932" t="s">
        <v>4501</v>
      </c>
      <c r="K137"/>
      <c r="L137"/>
      <c r="M137"/>
      <c r="N137"/>
      <c r="O137"/>
    </row>
    <row r="138" spans="1:15" ht="14.4">
      <c r="A138" s="1001" t="s">
        <v>507</v>
      </c>
      <c r="B138" s="932" t="s">
        <v>4654</v>
      </c>
      <c r="C138" s="932" t="s">
        <v>39</v>
      </c>
      <c r="D138" s="932" t="s">
        <v>80</v>
      </c>
      <c r="E138" s="1079">
        <v>300000000</v>
      </c>
      <c r="F138" s="932" t="s">
        <v>1553</v>
      </c>
      <c r="G138" s="932" t="s">
        <v>110</v>
      </c>
      <c r="H138" s="1080">
        <v>45843.665439814817</v>
      </c>
      <c r="I138" s="1079">
        <v>2909246665</v>
      </c>
      <c r="J138" s="932" t="s">
        <v>4496</v>
      </c>
      <c r="K138"/>
      <c r="L138"/>
      <c r="M138"/>
      <c r="N138"/>
      <c r="O138"/>
    </row>
    <row r="139" spans="1:15" ht="14.4">
      <c r="A139" s="1001" t="s">
        <v>507</v>
      </c>
      <c r="B139" s="932" t="s">
        <v>4655</v>
      </c>
      <c r="C139" s="932" t="s">
        <v>39</v>
      </c>
      <c r="D139" s="932" t="s">
        <v>80</v>
      </c>
      <c r="E139" s="1079">
        <v>300000000</v>
      </c>
      <c r="F139" s="932" t="s">
        <v>1553</v>
      </c>
      <c r="G139" s="932" t="s">
        <v>110</v>
      </c>
      <c r="H139" s="1080">
        <v>45843.665451388886</v>
      </c>
      <c r="I139" s="1079">
        <v>3589152606</v>
      </c>
      <c r="J139" s="932" t="s">
        <v>4496</v>
      </c>
      <c r="K139"/>
      <c r="L139"/>
      <c r="M139"/>
      <c r="N139"/>
      <c r="O139"/>
    </row>
    <row r="140" spans="1:15" ht="14.4">
      <c r="A140" s="1001" t="s">
        <v>669</v>
      </c>
      <c r="B140" s="932" t="s">
        <v>4656</v>
      </c>
      <c r="C140" s="932" t="s">
        <v>53</v>
      </c>
      <c r="D140" s="932" t="s">
        <v>80</v>
      </c>
      <c r="E140" s="1079">
        <v>15063953</v>
      </c>
      <c r="F140" s="932" t="s">
        <v>1554</v>
      </c>
      <c r="G140" s="932" t="s">
        <v>110</v>
      </c>
      <c r="H140" s="1080">
        <v>45840.501064814816</v>
      </c>
      <c r="I140" s="1079">
        <v>7521433028</v>
      </c>
      <c r="J140" s="932" t="s">
        <v>4573</v>
      </c>
      <c r="K140"/>
      <c r="L140"/>
      <c r="M140"/>
      <c r="N140"/>
      <c r="O140"/>
    </row>
    <row r="141" spans="1:15" ht="14.4">
      <c r="A141" s="1001" t="s">
        <v>669</v>
      </c>
      <c r="B141" s="932" t="s">
        <v>4657</v>
      </c>
      <c r="C141" s="932" t="s">
        <v>53</v>
      </c>
      <c r="D141" s="932" t="s">
        <v>80</v>
      </c>
      <c r="E141" s="1079">
        <v>700474</v>
      </c>
      <c r="F141" s="932" t="s">
        <v>1554</v>
      </c>
      <c r="G141" s="932" t="s">
        <v>110</v>
      </c>
      <c r="H141" s="1080">
        <v>45840.501064814816</v>
      </c>
      <c r="I141" s="1079">
        <v>7520732554</v>
      </c>
      <c r="J141" s="932" t="s">
        <v>4573</v>
      </c>
      <c r="K141"/>
      <c r="L141"/>
      <c r="M141"/>
      <c r="N141"/>
      <c r="O141"/>
    </row>
    <row r="142" spans="1:15" ht="14.4">
      <c r="A142" s="1001" t="s">
        <v>669</v>
      </c>
      <c r="B142" s="932" t="s">
        <v>4658</v>
      </c>
      <c r="C142" s="932" t="s">
        <v>53</v>
      </c>
      <c r="D142" s="932" t="s">
        <v>80</v>
      </c>
      <c r="E142" s="1079">
        <v>1578986</v>
      </c>
      <c r="F142" s="932" t="s">
        <v>1554</v>
      </c>
      <c r="G142" s="932" t="s">
        <v>110</v>
      </c>
      <c r="H142" s="1080">
        <v>45840.501111111109</v>
      </c>
      <c r="I142" s="1079">
        <v>7519153568</v>
      </c>
      <c r="J142" s="932" t="s">
        <v>4573</v>
      </c>
      <c r="K142"/>
      <c r="L142"/>
      <c r="M142"/>
      <c r="N142"/>
      <c r="O142"/>
    </row>
    <row r="143" spans="1:15" ht="14.4">
      <c r="A143" s="1001" t="s">
        <v>669</v>
      </c>
      <c r="B143" s="932" t="s">
        <v>4659</v>
      </c>
      <c r="C143" s="932" t="s">
        <v>53</v>
      </c>
      <c r="D143" s="932" t="s">
        <v>80</v>
      </c>
      <c r="E143" s="1079">
        <v>294458284</v>
      </c>
      <c r="F143" s="932" t="s">
        <v>1554</v>
      </c>
      <c r="G143" s="932" t="s">
        <v>110</v>
      </c>
      <c r="H143" s="1080">
        <v>45840.501157407409</v>
      </c>
      <c r="I143" s="1079">
        <v>7224695284</v>
      </c>
      <c r="J143" s="932" t="s">
        <v>4573</v>
      </c>
      <c r="K143"/>
      <c r="L143"/>
      <c r="M143"/>
      <c r="N143"/>
      <c r="O143"/>
    </row>
    <row r="144" spans="1:15" ht="14.4">
      <c r="A144" s="1001" t="s">
        <v>669</v>
      </c>
      <c r="B144" s="932" t="s">
        <v>4660</v>
      </c>
      <c r="C144" s="932" t="s">
        <v>53</v>
      </c>
      <c r="D144" s="932" t="s">
        <v>80</v>
      </c>
      <c r="E144" s="1079">
        <v>2891093</v>
      </c>
      <c r="F144" s="932" t="s">
        <v>1554</v>
      </c>
      <c r="G144" s="932" t="s">
        <v>110</v>
      </c>
      <c r="H144" s="1080">
        <v>45841.447222222225</v>
      </c>
      <c r="I144" s="1079">
        <v>7221804191</v>
      </c>
      <c r="J144" s="932" t="s">
        <v>4573</v>
      </c>
      <c r="K144"/>
      <c r="L144"/>
      <c r="M144"/>
      <c r="N144"/>
      <c r="O144"/>
    </row>
    <row r="145" spans="1:15" ht="14.4">
      <c r="A145" s="1001" t="s">
        <v>669</v>
      </c>
      <c r="B145" s="932" t="s">
        <v>4661</v>
      </c>
      <c r="C145" s="932" t="s">
        <v>39</v>
      </c>
      <c r="D145" s="932" t="s">
        <v>80</v>
      </c>
      <c r="E145" s="1079">
        <v>294458284</v>
      </c>
      <c r="F145" s="932" t="s">
        <v>1553</v>
      </c>
      <c r="G145" s="932" t="s">
        <v>110</v>
      </c>
      <c r="H145" s="1080">
        <v>45846.411562499998</v>
      </c>
      <c r="I145" s="1079">
        <v>7516262475</v>
      </c>
      <c r="J145" s="932" t="s">
        <v>4573</v>
      </c>
      <c r="K145"/>
      <c r="L145"/>
      <c r="M145"/>
      <c r="N145"/>
      <c r="O145"/>
    </row>
    <row r="146" spans="1:15" ht="14.4">
      <c r="A146" s="1001" t="s">
        <v>669</v>
      </c>
      <c r="B146" s="932" t="s">
        <v>4662</v>
      </c>
      <c r="C146" s="932" t="s">
        <v>39</v>
      </c>
      <c r="D146" s="932" t="s">
        <v>80</v>
      </c>
      <c r="E146" s="1079">
        <v>26408798</v>
      </c>
      <c r="F146" s="932" t="s">
        <v>1553</v>
      </c>
      <c r="G146" s="932" t="s">
        <v>110</v>
      </c>
      <c r="H146" s="1080">
        <v>45846.584618055553</v>
      </c>
      <c r="I146" s="1079">
        <v>7542671273</v>
      </c>
      <c r="J146" s="932" t="s">
        <v>4595</v>
      </c>
      <c r="K146"/>
      <c r="L146"/>
      <c r="M146"/>
      <c r="N146"/>
      <c r="O146"/>
    </row>
    <row r="147" spans="1:15" ht="14.4">
      <c r="A147" s="1001" t="s">
        <v>669</v>
      </c>
      <c r="B147" s="932" t="s">
        <v>4663</v>
      </c>
      <c r="C147" s="932" t="s">
        <v>39</v>
      </c>
      <c r="D147" s="932" t="s">
        <v>80</v>
      </c>
      <c r="E147" s="1079">
        <v>3272589600</v>
      </c>
      <c r="F147" s="932" t="s">
        <v>1553</v>
      </c>
      <c r="G147" s="932" t="s">
        <v>110</v>
      </c>
      <c r="H147" s="1080">
        <v>45848.713495370372</v>
      </c>
      <c r="I147" s="1079">
        <v>10815260873</v>
      </c>
      <c r="J147" s="932" t="s">
        <v>4496</v>
      </c>
      <c r="K147"/>
      <c r="L147"/>
      <c r="M147"/>
      <c r="N147"/>
      <c r="O147"/>
    </row>
    <row r="148" spans="1:15" ht="14.4">
      <c r="A148" s="1001" t="s">
        <v>715</v>
      </c>
      <c r="B148" s="932" t="s">
        <v>4664</v>
      </c>
      <c r="C148" s="932" t="s">
        <v>53</v>
      </c>
      <c r="D148" s="932" t="s">
        <v>80</v>
      </c>
      <c r="E148" s="1079">
        <v>129600000</v>
      </c>
      <c r="F148" s="932" t="s">
        <v>1554</v>
      </c>
      <c r="G148" s="932" t="s">
        <v>110</v>
      </c>
      <c r="H148" s="1080">
        <v>45851.950543981482</v>
      </c>
      <c r="I148" s="1079">
        <v>22999839921</v>
      </c>
      <c r="J148" s="932" t="s">
        <v>4496</v>
      </c>
      <c r="K148"/>
      <c r="L148"/>
      <c r="M148"/>
      <c r="N148"/>
      <c r="O148"/>
    </row>
    <row r="149" spans="1:15" ht="14.4">
      <c r="A149" s="1001" t="s">
        <v>669</v>
      </c>
      <c r="B149" s="932" t="s">
        <v>4665</v>
      </c>
      <c r="C149" s="932" t="s">
        <v>53</v>
      </c>
      <c r="D149" s="932" t="s">
        <v>80</v>
      </c>
      <c r="E149" s="1079">
        <v>67851</v>
      </c>
      <c r="F149" s="932" t="s">
        <v>1554</v>
      </c>
      <c r="G149" s="932" t="s">
        <v>110</v>
      </c>
      <c r="H149" s="1080">
        <v>45850.489444444444</v>
      </c>
      <c r="I149" s="1079">
        <v>10915193022</v>
      </c>
      <c r="J149" s="932" t="s">
        <v>4573</v>
      </c>
      <c r="K149"/>
      <c r="L149"/>
      <c r="M149"/>
      <c r="N149"/>
      <c r="O149"/>
    </row>
    <row r="150" spans="1:15" ht="14.4">
      <c r="A150" s="1001" t="s">
        <v>669</v>
      </c>
      <c r="B150" s="932" t="s">
        <v>4666</v>
      </c>
      <c r="C150" s="932" t="s">
        <v>53</v>
      </c>
      <c r="D150" s="932" t="s">
        <v>80</v>
      </c>
      <c r="E150" s="1079">
        <v>2812510</v>
      </c>
      <c r="F150" s="932" t="s">
        <v>1554</v>
      </c>
      <c r="G150" s="932" t="s">
        <v>110</v>
      </c>
      <c r="H150" s="1080">
        <v>45850.489502314813</v>
      </c>
      <c r="I150" s="1079">
        <v>10912380512</v>
      </c>
      <c r="J150" s="932" t="s">
        <v>4573</v>
      </c>
      <c r="K150"/>
      <c r="L150"/>
      <c r="M150"/>
      <c r="N150"/>
      <c r="O150"/>
    </row>
    <row r="151" spans="1:15" ht="14.4">
      <c r="A151" s="1001" t="s">
        <v>669</v>
      </c>
      <c r="B151" s="932" t="s">
        <v>4667</v>
      </c>
      <c r="C151" s="932" t="s">
        <v>53</v>
      </c>
      <c r="D151" s="932" t="s">
        <v>80</v>
      </c>
      <c r="E151" s="1079">
        <v>183600000</v>
      </c>
      <c r="F151" s="932" t="s">
        <v>1554</v>
      </c>
      <c r="G151" s="932" t="s">
        <v>110</v>
      </c>
      <c r="H151" s="1080">
        <v>45851.950532407405</v>
      </c>
      <c r="I151" s="1079">
        <v>10728780512</v>
      </c>
      <c r="J151" s="932" t="s">
        <v>4496</v>
      </c>
      <c r="K151"/>
      <c r="L151"/>
      <c r="M151"/>
      <c r="N151"/>
      <c r="O151"/>
    </row>
    <row r="152" spans="1:15" ht="14.4">
      <c r="A152" s="1001" t="s">
        <v>669</v>
      </c>
      <c r="B152" s="932" t="s">
        <v>4668</v>
      </c>
      <c r="C152" s="932" t="s">
        <v>53</v>
      </c>
      <c r="D152" s="932" t="s">
        <v>80</v>
      </c>
      <c r="E152" s="1079">
        <v>25404074</v>
      </c>
      <c r="F152" s="932" t="s">
        <v>1554</v>
      </c>
      <c r="G152" s="932" t="s">
        <v>110</v>
      </c>
      <c r="H152" s="1080">
        <v>45851.950543981482</v>
      </c>
      <c r="I152" s="1079">
        <v>10703376438</v>
      </c>
      <c r="J152" s="932" t="s">
        <v>4535</v>
      </c>
      <c r="K152"/>
      <c r="L152"/>
      <c r="M152"/>
      <c r="N152"/>
      <c r="O152"/>
    </row>
    <row r="153" spans="1:15" ht="14.4">
      <c r="A153" s="1001" t="s">
        <v>705</v>
      </c>
      <c r="B153" s="932" t="s">
        <v>4669</v>
      </c>
      <c r="C153" s="932" t="s">
        <v>53</v>
      </c>
      <c r="D153" s="932" t="s">
        <v>80</v>
      </c>
      <c r="E153" s="1079">
        <v>4992246</v>
      </c>
      <c r="F153" s="932" t="s">
        <v>1554</v>
      </c>
      <c r="G153" s="932" t="s">
        <v>110</v>
      </c>
      <c r="H153" s="1080">
        <v>45841.744641203702</v>
      </c>
      <c r="I153" s="1079">
        <v>4235502567</v>
      </c>
      <c r="J153" s="932" t="s">
        <v>4535</v>
      </c>
      <c r="K153"/>
      <c r="L153"/>
      <c r="M153"/>
      <c r="N153"/>
      <c r="O153"/>
    </row>
    <row r="154" spans="1:15" ht="14.4">
      <c r="A154" s="1001" t="s">
        <v>705</v>
      </c>
      <c r="B154" s="932" t="s">
        <v>4670</v>
      </c>
      <c r="C154" s="932" t="s">
        <v>39</v>
      </c>
      <c r="D154" s="932" t="s">
        <v>80</v>
      </c>
      <c r="E154" s="1079">
        <v>4452800</v>
      </c>
      <c r="F154" s="932" t="s">
        <v>1553</v>
      </c>
      <c r="G154" s="932" t="s">
        <v>110</v>
      </c>
      <c r="H154" s="1080">
        <v>45841.62395833333</v>
      </c>
      <c r="I154" s="1079">
        <v>4240494813</v>
      </c>
      <c r="J154" s="932" t="s">
        <v>4496</v>
      </c>
      <c r="K154"/>
      <c r="L154"/>
      <c r="M154"/>
      <c r="N154"/>
      <c r="O154"/>
    </row>
    <row r="155" spans="1:15" ht="14.4">
      <c r="A155" s="1001" t="s">
        <v>705</v>
      </c>
      <c r="B155" s="932" t="s">
        <v>4671</v>
      </c>
      <c r="C155" s="932" t="s">
        <v>52</v>
      </c>
      <c r="D155" s="932" t="s">
        <v>80</v>
      </c>
      <c r="E155" s="1079">
        <v>3473929050</v>
      </c>
      <c r="F155" s="932" t="s">
        <v>1554</v>
      </c>
      <c r="G155" s="932" t="s">
        <v>110</v>
      </c>
      <c r="H155" s="1080">
        <v>45842.388182870367</v>
      </c>
      <c r="I155" s="1079">
        <v>761573517</v>
      </c>
      <c r="J155" s="932" t="s">
        <v>4672</v>
      </c>
      <c r="K155"/>
      <c r="L155"/>
      <c r="M155"/>
      <c r="N155"/>
      <c r="O155"/>
    </row>
    <row r="156" spans="1:15" ht="14.4">
      <c r="A156" s="1001" t="s">
        <v>705</v>
      </c>
      <c r="B156" s="932" t="s">
        <v>4673</v>
      </c>
      <c r="C156" s="932" t="s">
        <v>39</v>
      </c>
      <c r="D156" s="932" t="s">
        <v>80</v>
      </c>
      <c r="E156" s="1079">
        <v>989248698</v>
      </c>
      <c r="F156" s="932" t="s">
        <v>1553</v>
      </c>
      <c r="G156" s="932" t="s">
        <v>110</v>
      </c>
      <c r="H156" s="1080">
        <v>45842.556469907409</v>
      </c>
      <c r="I156" s="1079">
        <v>1750822215</v>
      </c>
      <c r="J156" s="932" t="s">
        <v>4496</v>
      </c>
      <c r="K156"/>
      <c r="L156"/>
      <c r="M156"/>
      <c r="N156"/>
      <c r="O156"/>
    </row>
    <row r="157" spans="1:15" ht="14.4">
      <c r="A157" s="1001" t="s">
        <v>705</v>
      </c>
      <c r="B157" s="932" t="s">
        <v>4674</v>
      </c>
      <c r="C157" s="932" t="s">
        <v>39</v>
      </c>
      <c r="D157" s="932" t="s">
        <v>80</v>
      </c>
      <c r="E157" s="1079">
        <v>3614465</v>
      </c>
      <c r="F157" s="932" t="s">
        <v>1553</v>
      </c>
      <c r="G157" s="932" t="s">
        <v>110</v>
      </c>
      <c r="H157" s="1080">
        <v>45842.572129629632</v>
      </c>
      <c r="I157" s="1079">
        <v>1754436680</v>
      </c>
      <c r="J157" s="932" t="s">
        <v>4535</v>
      </c>
      <c r="K157"/>
      <c r="L157"/>
      <c r="M157"/>
      <c r="N157"/>
      <c r="O157"/>
    </row>
    <row r="158" spans="1:15" ht="14.4">
      <c r="A158" s="1001" t="s">
        <v>705</v>
      </c>
      <c r="B158" s="932" t="s">
        <v>4675</v>
      </c>
      <c r="C158" s="932" t="s">
        <v>39</v>
      </c>
      <c r="D158" s="932" t="s">
        <v>80</v>
      </c>
      <c r="E158" s="1079">
        <v>6640867</v>
      </c>
      <c r="F158" s="932" t="s">
        <v>1553</v>
      </c>
      <c r="G158" s="932" t="s">
        <v>110</v>
      </c>
      <c r="H158" s="1080">
        <v>45845.713159722225</v>
      </c>
      <c r="I158" s="1079">
        <v>1761077547</v>
      </c>
      <c r="J158" s="932" t="s">
        <v>4595</v>
      </c>
      <c r="K158"/>
      <c r="L158"/>
      <c r="M158"/>
      <c r="N158"/>
      <c r="O158"/>
    </row>
    <row r="159" spans="1:15" ht="14.4">
      <c r="A159" s="1001" t="s">
        <v>705</v>
      </c>
      <c r="B159" s="932" t="s">
        <v>4676</v>
      </c>
      <c r="C159" s="932" t="s">
        <v>39</v>
      </c>
      <c r="D159" s="932" t="s">
        <v>80</v>
      </c>
      <c r="E159" s="1079">
        <v>7681661</v>
      </c>
      <c r="F159" s="932" t="s">
        <v>1553</v>
      </c>
      <c r="G159" s="932" t="s">
        <v>110</v>
      </c>
      <c r="H159" s="1080">
        <v>45846.674537037034</v>
      </c>
      <c r="I159" s="1079">
        <v>1768759208</v>
      </c>
      <c r="J159" s="932" t="s">
        <v>4496</v>
      </c>
      <c r="K159"/>
      <c r="L159"/>
      <c r="M159"/>
      <c r="N159"/>
      <c r="O159"/>
    </row>
    <row r="160" spans="1:15" ht="14.4">
      <c r="A160" s="1001" t="s">
        <v>705</v>
      </c>
      <c r="B160" s="932" t="s">
        <v>4677</v>
      </c>
      <c r="C160" s="932" t="s">
        <v>39</v>
      </c>
      <c r="D160" s="932" t="s">
        <v>80</v>
      </c>
      <c r="E160" s="1079">
        <v>213663226</v>
      </c>
      <c r="F160" s="932" t="s">
        <v>1553</v>
      </c>
      <c r="G160" s="932" t="s">
        <v>110</v>
      </c>
      <c r="H160" s="1080">
        <v>45847.662187499998</v>
      </c>
      <c r="I160" s="1079">
        <v>2929362972</v>
      </c>
      <c r="J160" s="932" t="s">
        <v>4585</v>
      </c>
      <c r="K160"/>
      <c r="L160"/>
      <c r="M160"/>
      <c r="N160"/>
      <c r="O160"/>
    </row>
    <row r="161" spans="1:15" ht="14.4">
      <c r="A161" s="1001" t="s">
        <v>705</v>
      </c>
      <c r="B161" s="932" t="s">
        <v>4678</v>
      </c>
      <c r="C161" s="932" t="s">
        <v>39</v>
      </c>
      <c r="D161" s="932" t="s">
        <v>80</v>
      </c>
      <c r="E161" s="1079">
        <v>946940538</v>
      </c>
      <c r="F161" s="932" t="s">
        <v>1553</v>
      </c>
      <c r="G161" s="932" t="s">
        <v>110</v>
      </c>
      <c r="H161" s="1080">
        <v>45847.418275462966</v>
      </c>
      <c r="I161" s="1079">
        <v>2715699746</v>
      </c>
      <c r="J161" s="932" t="s">
        <v>4496</v>
      </c>
      <c r="K161"/>
      <c r="L161"/>
      <c r="M161"/>
      <c r="N161"/>
      <c r="O161"/>
    </row>
    <row r="162" spans="1:15" ht="14.4">
      <c r="A162" s="1001" t="s">
        <v>705</v>
      </c>
      <c r="B162" s="932" t="s">
        <v>4679</v>
      </c>
      <c r="C162" s="932" t="s">
        <v>39</v>
      </c>
      <c r="D162" s="932" t="s">
        <v>80</v>
      </c>
      <c r="E162" s="1079">
        <v>18951504</v>
      </c>
      <c r="F162" s="932" t="s">
        <v>1553</v>
      </c>
      <c r="G162" s="932" t="s">
        <v>110</v>
      </c>
      <c r="H162" s="1080">
        <v>45848.580636574072</v>
      </c>
      <c r="I162" s="1079">
        <v>2948314476</v>
      </c>
      <c r="J162" s="932" t="s">
        <v>4595</v>
      </c>
      <c r="K162"/>
      <c r="L162"/>
      <c r="M162"/>
      <c r="N162"/>
      <c r="O162"/>
    </row>
    <row r="163" spans="1:15" ht="14.4">
      <c r="A163" s="1001" t="s">
        <v>705</v>
      </c>
      <c r="B163" s="932" t="s">
        <v>4680</v>
      </c>
      <c r="C163" s="932" t="s">
        <v>39</v>
      </c>
      <c r="D163" s="932" t="s">
        <v>80</v>
      </c>
      <c r="E163" s="1079">
        <v>1669955111</v>
      </c>
      <c r="F163" s="932" t="s">
        <v>1553</v>
      </c>
      <c r="G163" s="932" t="s">
        <v>110</v>
      </c>
      <c r="H163" s="1080">
        <v>45848.653807870367</v>
      </c>
      <c r="I163" s="1079">
        <v>4618269587</v>
      </c>
      <c r="J163" s="932" t="s">
        <v>4496</v>
      </c>
      <c r="K163"/>
      <c r="L163"/>
      <c r="M163"/>
      <c r="N163"/>
      <c r="O163"/>
    </row>
    <row r="164" spans="1:15" ht="14.4">
      <c r="A164" s="1001" t="s">
        <v>705</v>
      </c>
      <c r="B164" s="932" t="s">
        <v>4681</v>
      </c>
      <c r="C164" s="932" t="s">
        <v>44</v>
      </c>
      <c r="D164" s="932" t="s">
        <v>80</v>
      </c>
      <c r="E164" s="1079">
        <v>72996000</v>
      </c>
      <c r="F164" s="932" t="s">
        <v>1553</v>
      </c>
      <c r="G164" s="932" t="s">
        <v>110</v>
      </c>
      <c r="H164" s="1080">
        <v>45849.125833333332</v>
      </c>
      <c r="I164" s="1079">
        <v>4691265587</v>
      </c>
      <c r="J164" s="932" t="s">
        <v>4648</v>
      </c>
      <c r="K164"/>
      <c r="L164"/>
      <c r="M164"/>
      <c r="N164"/>
      <c r="O164"/>
    </row>
    <row r="165" spans="1:15" ht="14.4">
      <c r="A165" s="1001" t="s">
        <v>705</v>
      </c>
      <c r="B165" s="932" t="s">
        <v>4682</v>
      </c>
      <c r="C165" s="932" t="s">
        <v>39</v>
      </c>
      <c r="D165" s="932" t="s">
        <v>80</v>
      </c>
      <c r="E165" s="1079">
        <v>336158944</v>
      </c>
      <c r="F165" s="932" t="s">
        <v>1553</v>
      </c>
      <c r="G165" s="932" t="s">
        <v>110</v>
      </c>
      <c r="H165" s="1080">
        <v>45849.601469907408</v>
      </c>
      <c r="I165" s="1079">
        <v>5099168441</v>
      </c>
      <c r="J165" s="932" t="s">
        <v>4585</v>
      </c>
      <c r="K165"/>
      <c r="L165"/>
      <c r="M165"/>
      <c r="N165"/>
      <c r="O165"/>
    </row>
    <row r="166" spans="1:15" ht="14.4">
      <c r="A166" s="1001" t="s">
        <v>705</v>
      </c>
      <c r="B166" s="932" t="s">
        <v>4683</v>
      </c>
      <c r="C166" s="932" t="s">
        <v>39</v>
      </c>
      <c r="D166" s="932" t="s">
        <v>80</v>
      </c>
      <c r="E166" s="1079">
        <v>7744000</v>
      </c>
      <c r="F166" s="932" t="s">
        <v>1553</v>
      </c>
      <c r="G166" s="932" t="s">
        <v>110</v>
      </c>
      <c r="H166" s="1080">
        <v>45849.369930555556</v>
      </c>
      <c r="I166" s="1079">
        <v>4699009587</v>
      </c>
      <c r="J166" s="932" t="s">
        <v>4496</v>
      </c>
      <c r="K166"/>
      <c r="L166"/>
      <c r="M166"/>
      <c r="N166"/>
      <c r="O166"/>
    </row>
    <row r="167" spans="1:15" ht="14.4">
      <c r="A167" s="1001" t="s">
        <v>705</v>
      </c>
      <c r="B167" s="932" t="s">
        <v>4684</v>
      </c>
      <c r="C167" s="932" t="s">
        <v>53</v>
      </c>
      <c r="D167" s="932" t="s">
        <v>80</v>
      </c>
      <c r="E167" s="1079">
        <v>187690320</v>
      </c>
      <c r="F167" s="932" t="s">
        <v>1554</v>
      </c>
      <c r="G167" s="932" t="s">
        <v>110</v>
      </c>
      <c r="H167" s="1080">
        <v>45849.447442129633</v>
      </c>
      <c r="I167" s="1079">
        <v>4511319267</v>
      </c>
      <c r="J167" s="932" t="s">
        <v>4496</v>
      </c>
      <c r="K167"/>
      <c r="L167"/>
      <c r="M167"/>
      <c r="N167"/>
      <c r="O167"/>
    </row>
    <row r="168" spans="1:15" ht="14.4">
      <c r="A168" s="1001" t="s">
        <v>705</v>
      </c>
      <c r="B168" s="932" t="s">
        <v>4685</v>
      </c>
      <c r="C168" s="932" t="s">
        <v>53</v>
      </c>
      <c r="D168" s="932" t="s">
        <v>80</v>
      </c>
      <c r="E168" s="1079">
        <v>314405280</v>
      </c>
      <c r="F168" s="932" t="s">
        <v>1554</v>
      </c>
      <c r="G168" s="932" t="s">
        <v>110</v>
      </c>
      <c r="H168" s="1080">
        <v>45849.633750000001</v>
      </c>
      <c r="I168" s="1079">
        <v>4784763161</v>
      </c>
      <c r="J168" s="932" t="s">
        <v>4496</v>
      </c>
      <c r="K168"/>
      <c r="L168"/>
      <c r="M168"/>
      <c r="N168"/>
      <c r="O168"/>
    </row>
    <row r="169" spans="1:15" ht="14.4">
      <c r="A169" s="1001" t="s">
        <v>705</v>
      </c>
      <c r="B169" s="932" t="s">
        <v>4686</v>
      </c>
      <c r="C169" s="932" t="s">
        <v>53</v>
      </c>
      <c r="D169" s="932" t="s">
        <v>80</v>
      </c>
      <c r="E169" s="1079">
        <v>104652000</v>
      </c>
      <c r="F169" s="932" t="s">
        <v>1554</v>
      </c>
      <c r="G169" s="932" t="s">
        <v>110</v>
      </c>
      <c r="H169" s="1080">
        <v>45849.633750000001</v>
      </c>
      <c r="I169" s="1079">
        <v>4680111161</v>
      </c>
      <c r="J169" s="932" t="s">
        <v>4610</v>
      </c>
      <c r="K169"/>
      <c r="L169"/>
      <c r="M169"/>
      <c r="N169"/>
      <c r="O169"/>
    </row>
    <row r="170" spans="1:15" ht="14.4">
      <c r="A170" s="1001" t="s">
        <v>705</v>
      </c>
      <c r="B170" s="932" t="s">
        <v>4687</v>
      </c>
      <c r="C170" s="932" t="s">
        <v>53</v>
      </c>
      <c r="D170" s="932" t="s">
        <v>80</v>
      </c>
      <c r="E170" s="1079">
        <v>22760589</v>
      </c>
      <c r="F170" s="932" t="s">
        <v>1554</v>
      </c>
      <c r="G170" s="932" t="s">
        <v>110</v>
      </c>
      <c r="H170" s="1080">
        <v>45849.633750000001</v>
      </c>
      <c r="I170" s="1079">
        <v>4657350572</v>
      </c>
      <c r="J170" s="932" t="s">
        <v>4508</v>
      </c>
      <c r="K170"/>
      <c r="L170"/>
      <c r="M170"/>
      <c r="N170"/>
      <c r="O170"/>
    </row>
    <row r="171" spans="1:15" ht="14.4">
      <c r="A171" s="1001" t="s">
        <v>705</v>
      </c>
      <c r="B171" s="932" t="s">
        <v>4688</v>
      </c>
      <c r="C171" s="932" t="s">
        <v>53</v>
      </c>
      <c r="D171" s="932" t="s">
        <v>80</v>
      </c>
      <c r="E171" s="1079">
        <v>16740000</v>
      </c>
      <c r="F171" s="932" t="s">
        <v>1554</v>
      </c>
      <c r="G171" s="932" t="s">
        <v>110</v>
      </c>
      <c r="H171" s="1080">
        <v>45849.633750000001</v>
      </c>
      <c r="I171" s="1079">
        <v>4640610572</v>
      </c>
      <c r="J171" s="932" t="s">
        <v>4535</v>
      </c>
      <c r="K171"/>
      <c r="L171"/>
      <c r="M171"/>
      <c r="N171"/>
      <c r="O171"/>
    </row>
    <row r="172" spans="1:15" ht="14.4">
      <c r="A172" s="1001" t="s">
        <v>702</v>
      </c>
      <c r="B172" s="932" t="s">
        <v>4689</v>
      </c>
      <c r="C172" s="932" t="s">
        <v>53</v>
      </c>
      <c r="D172" s="932" t="s">
        <v>80</v>
      </c>
      <c r="E172" s="1079">
        <v>129600000</v>
      </c>
      <c r="F172" s="932" t="s">
        <v>1554</v>
      </c>
      <c r="G172" s="932" t="s">
        <v>110</v>
      </c>
      <c r="H172" s="1080">
        <v>45851.950532407405</v>
      </c>
      <c r="I172" s="1079">
        <v>15746520143</v>
      </c>
      <c r="J172" s="932" t="s">
        <v>4496</v>
      </c>
      <c r="K172"/>
      <c r="L172"/>
      <c r="M172"/>
      <c r="N172"/>
      <c r="O172"/>
    </row>
    <row r="173" spans="1:15" ht="14.4">
      <c r="A173" s="1001" t="s">
        <v>705</v>
      </c>
      <c r="B173" s="932" t="s">
        <v>4690</v>
      </c>
      <c r="C173" s="932" t="s">
        <v>53</v>
      </c>
      <c r="D173" s="932" t="s">
        <v>80</v>
      </c>
      <c r="E173" s="1079">
        <v>7792334</v>
      </c>
      <c r="F173" s="932" t="s">
        <v>1554</v>
      </c>
      <c r="G173" s="932" t="s">
        <v>110</v>
      </c>
      <c r="H173" s="1080">
        <v>45849.633750000001</v>
      </c>
      <c r="I173" s="1079">
        <v>4618463238</v>
      </c>
      <c r="J173" s="932" t="s">
        <v>4496</v>
      </c>
      <c r="K173"/>
      <c r="L173"/>
      <c r="M173"/>
      <c r="N173"/>
      <c r="O173"/>
    </row>
    <row r="174" spans="1:15" ht="14.4">
      <c r="A174" s="1001" t="s">
        <v>705</v>
      </c>
      <c r="B174" s="932" t="s">
        <v>4691</v>
      </c>
      <c r="C174" s="932" t="s">
        <v>53</v>
      </c>
      <c r="D174" s="932" t="s">
        <v>80</v>
      </c>
      <c r="E174" s="1079">
        <v>5965600</v>
      </c>
      <c r="F174" s="932" t="s">
        <v>1554</v>
      </c>
      <c r="G174" s="932" t="s">
        <v>110</v>
      </c>
      <c r="H174" s="1080">
        <v>45849.633750000001</v>
      </c>
      <c r="I174" s="1079">
        <v>4612497638</v>
      </c>
      <c r="J174" s="932" t="s">
        <v>4496</v>
      </c>
      <c r="K174"/>
      <c r="L174"/>
      <c r="M174"/>
      <c r="N174"/>
      <c r="O174"/>
    </row>
    <row r="175" spans="1:15" ht="14.4">
      <c r="A175" s="1001" t="s">
        <v>705</v>
      </c>
      <c r="B175" s="932" t="s">
        <v>4692</v>
      </c>
      <c r="C175" s="932" t="s">
        <v>53</v>
      </c>
      <c r="D175" s="932" t="s">
        <v>80</v>
      </c>
      <c r="E175" s="1079">
        <v>948000</v>
      </c>
      <c r="F175" s="932" t="s">
        <v>1554</v>
      </c>
      <c r="G175" s="932" t="s">
        <v>110</v>
      </c>
      <c r="H175" s="1080">
        <v>45849.633750000001</v>
      </c>
      <c r="I175" s="1079">
        <v>4611549638</v>
      </c>
      <c r="J175" s="932" t="s">
        <v>4537</v>
      </c>
      <c r="K175"/>
      <c r="L175"/>
      <c r="M175"/>
      <c r="N175"/>
      <c r="O175"/>
    </row>
    <row r="176" spans="1:15" ht="14.4">
      <c r="A176" s="1001" t="s">
        <v>705</v>
      </c>
      <c r="B176" s="932" t="s">
        <v>4693</v>
      </c>
      <c r="C176" s="932" t="s">
        <v>39</v>
      </c>
      <c r="D176" s="932" t="s">
        <v>80</v>
      </c>
      <c r="E176" s="1079">
        <v>251690230</v>
      </c>
      <c r="F176" s="932" t="s">
        <v>1553</v>
      </c>
      <c r="G176" s="932" t="s">
        <v>110</v>
      </c>
      <c r="H176" s="1080">
        <v>45849.57068287037</v>
      </c>
      <c r="I176" s="1079">
        <v>4763009497</v>
      </c>
      <c r="J176" s="932" t="s">
        <v>4496</v>
      </c>
      <c r="K176"/>
      <c r="L176"/>
      <c r="M176"/>
      <c r="N176"/>
      <c r="O176"/>
    </row>
    <row r="177" spans="1:15" ht="14.4">
      <c r="A177" s="1001" t="s">
        <v>705</v>
      </c>
      <c r="B177" s="932" t="s">
        <v>4694</v>
      </c>
      <c r="C177" s="932" t="s">
        <v>44</v>
      </c>
      <c r="D177" s="932" t="s">
        <v>80</v>
      </c>
      <c r="E177" s="1079">
        <v>14136986</v>
      </c>
      <c r="F177" s="932" t="s">
        <v>1553</v>
      </c>
      <c r="G177" s="932" t="s">
        <v>110</v>
      </c>
      <c r="H177" s="1080">
        <v>45851.125127314815</v>
      </c>
      <c r="I177" s="1079">
        <v>4625686624</v>
      </c>
      <c r="J177" s="932" t="s">
        <v>4648</v>
      </c>
      <c r="K177"/>
      <c r="L177"/>
      <c r="M177"/>
      <c r="N177"/>
      <c r="O177"/>
    </row>
    <row r="178" spans="1:15" ht="14.4">
      <c r="A178" s="1001" t="s">
        <v>705</v>
      </c>
      <c r="B178" s="932" t="s">
        <v>4695</v>
      </c>
      <c r="C178" s="932" t="s">
        <v>39</v>
      </c>
      <c r="D178" s="932" t="s">
        <v>80</v>
      </c>
      <c r="E178" s="1079">
        <v>1737902187</v>
      </c>
      <c r="F178" s="932" t="s">
        <v>1553</v>
      </c>
      <c r="G178" s="932" t="s">
        <v>110</v>
      </c>
      <c r="H178" s="1080">
        <v>45852.601481481484</v>
      </c>
      <c r="I178" s="1079">
        <v>6363588811</v>
      </c>
      <c r="J178" s="932" t="s">
        <v>4585</v>
      </c>
      <c r="K178"/>
      <c r="L178"/>
      <c r="M178"/>
      <c r="N178"/>
      <c r="O178"/>
    </row>
    <row r="179" spans="1:15" ht="14.4">
      <c r="A179" s="1001" t="s">
        <v>705</v>
      </c>
      <c r="B179" s="932" t="s">
        <v>4696</v>
      </c>
      <c r="C179" s="932" t="s">
        <v>39</v>
      </c>
      <c r="D179" s="932" t="s">
        <v>80</v>
      </c>
      <c r="E179" s="1079">
        <v>206459352</v>
      </c>
      <c r="F179" s="932" t="s">
        <v>1553</v>
      </c>
      <c r="G179" s="932" t="s">
        <v>110</v>
      </c>
      <c r="H179" s="1080">
        <v>45852.654606481483</v>
      </c>
      <c r="I179" s="1079">
        <v>6570048163</v>
      </c>
      <c r="J179" s="932" t="s">
        <v>4496</v>
      </c>
      <c r="K179"/>
      <c r="L179"/>
      <c r="M179"/>
      <c r="N179"/>
      <c r="O179"/>
    </row>
    <row r="180" spans="1:15" ht="14.4">
      <c r="A180" s="1001" t="s">
        <v>705</v>
      </c>
      <c r="B180" s="932" t="s">
        <v>4697</v>
      </c>
      <c r="C180" s="932" t="s">
        <v>39</v>
      </c>
      <c r="D180" s="932" t="s">
        <v>80</v>
      </c>
      <c r="E180" s="1079">
        <v>67276472</v>
      </c>
      <c r="F180" s="932" t="s">
        <v>1553</v>
      </c>
      <c r="G180" s="932" t="s">
        <v>110</v>
      </c>
      <c r="H180" s="1080">
        <v>45852.654675925929</v>
      </c>
      <c r="I180" s="1079">
        <v>6637324635</v>
      </c>
      <c r="J180" s="932" t="s">
        <v>4496</v>
      </c>
      <c r="K180"/>
      <c r="L180"/>
      <c r="M180"/>
      <c r="N180"/>
      <c r="O180"/>
    </row>
    <row r="181" spans="1:15" ht="14.4">
      <c r="A181" s="1001" t="s">
        <v>705</v>
      </c>
      <c r="B181" s="932" t="s">
        <v>4698</v>
      </c>
      <c r="C181" s="932" t="s">
        <v>39</v>
      </c>
      <c r="D181" s="932" t="s">
        <v>80</v>
      </c>
      <c r="E181" s="1079">
        <v>9520280</v>
      </c>
      <c r="F181" s="932" t="s">
        <v>1553</v>
      </c>
      <c r="G181" s="932" t="s">
        <v>110</v>
      </c>
      <c r="H181" s="1080">
        <v>45853.37777777778</v>
      </c>
      <c r="I181" s="1079">
        <v>6646844915</v>
      </c>
      <c r="J181" s="932" t="s">
        <v>4496</v>
      </c>
      <c r="K181"/>
      <c r="L181"/>
      <c r="M181"/>
      <c r="N181"/>
      <c r="O181"/>
    </row>
    <row r="182" spans="1:15" ht="14.4">
      <c r="A182" s="1001" t="s">
        <v>705</v>
      </c>
      <c r="B182" s="932" t="s">
        <v>4699</v>
      </c>
      <c r="C182" s="932" t="s">
        <v>39</v>
      </c>
      <c r="D182" s="932" t="s">
        <v>80</v>
      </c>
      <c r="E182" s="1079">
        <v>1458099069</v>
      </c>
      <c r="F182" s="932" t="s">
        <v>1553</v>
      </c>
      <c r="G182" s="932" t="s">
        <v>110</v>
      </c>
      <c r="H182" s="1080">
        <v>45853.503807870373</v>
      </c>
      <c r="I182" s="1079">
        <v>8104943984</v>
      </c>
      <c r="J182" s="932" t="s">
        <v>4496</v>
      </c>
      <c r="K182"/>
      <c r="L182"/>
      <c r="M182"/>
      <c r="N182"/>
      <c r="O182"/>
    </row>
    <row r="183" spans="1:15" ht="14.4">
      <c r="A183" s="1001" t="s">
        <v>705</v>
      </c>
      <c r="B183" s="932" t="s">
        <v>4700</v>
      </c>
      <c r="C183" s="932" t="s">
        <v>39</v>
      </c>
      <c r="D183" s="932" t="s">
        <v>80</v>
      </c>
      <c r="E183" s="1079">
        <v>473703426</v>
      </c>
      <c r="F183" s="932" t="s">
        <v>1553</v>
      </c>
      <c r="G183" s="932" t="s">
        <v>110</v>
      </c>
      <c r="H183" s="1080">
        <v>45853.559618055559</v>
      </c>
      <c r="I183" s="1079">
        <v>8578647410</v>
      </c>
      <c r="J183" s="932" t="s">
        <v>4496</v>
      </c>
      <c r="K183"/>
      <c r="L183"/>
      <c r="M183"/>
      <c r="N183"/>
      <c r="O183"/>
    </row>
    <row r="184" spans="1:15" ht="14.4">
      <c r="A184" s="1001" t="s">
        <v>715</v>
      </c>
      <c r="B184" s="932" t="s">
        <v>4701</v>
      </c>
      <c r="C184" s="932" t="s">
        <v>39</v>
      </c>
      <c r="D184" s="932" t="s">
        <v>80</v>
      </c>
      <c r="E184" s="1079">
        <v>32708263</v>
      </c>
      <c r="F184" s="932" t="s">
        <v>1553</v>
      </c>
      <c r="G184" s="932" t="s">
        <v>110</v>
      </c>
      <c r="H184" s="1080">
        <v>45842.722303240742</v>
      </c>
      <c r="I184" s="1079">
        <v>12215902648</v>
      </c>
      <c r="J184" s="932" t="s">
        <v>4511</v>
      </c>
      <c r="K184"/>
      <c r="L184"/>
      <c r="M184"/>
      <c r="N184"/>
      <c r="O184"/>
    </row>
    <row r="185" spans="1:15" ht="14.4">
      <c r="A185" s="1001" t="s">
        <v>715</v>
      </c>
      <c r="B185" s="932" t="s">
        <v>4702</v>
      </c>
      <c r="C185" s="932" t="s">
        <v>53</v>
      </c>
      <c r="D185" s="932" t="s">
        <v>80</v>
      </c>
      <c r="E185" s="1079">
        <v>99840419</v>
      </c>
      <c r="F185" s="932" t="s">
        <v>1554</v>
      </c>
      <c r="G185" s="932" t="s">
        <v>110</v>
      </c>
      <c r="H185" s="1080">
        <v>45842.379895833335</v>
      </c>
      <c r="I185" s="1079">
        <v>12397853845</v>
      </c>
      <c r="J185" s="932" t="s">
        <v>4573</v>
      </c>
      <c r="K185"/>
      <c r="L185"/>
      <c r="M185"/>
      <c r="N185"/>
      <c r="O185"/>
    </row>
    <row r="186" spans="1:15" ht="14.4">
      <c r="A186" s="1001" t="s">
        <v>715</v>
      </c>
      <c r="B186" s="932" t="s">
        <v>4703</v>
      </c>
      <c r="C186" s="932" t="s">
        <v>53</v>
      </c>
      <c r="D186" s="932" t="s">
        <v>80</v>
      </c>
      <c r="E186" s="1079">
        <v>9066745</v>
      </c>
      <c r="F186" s="932" t="s">
        <v>1554</v>
      </c>
      <c r="G186" s="932" t="s">
        <v>110</v>
      </c>
      <c r="H186" s="1080">
        <v>45842.379895833335</v>
      </c>
      <c r="I186" s="1079">
        <v>12388787100</v>
      </c>
      <c r="J186" s="932" t="s">
        <v>4573</v>
      </c>
      <c r="K186"/>
      <c r="L186"/>
      <c r="M186"/>
      <c r="N186"/>
      <c r="O186"/>
    </row>
    <row r="187" spans="1:15" ht="14.4">
      <c r="A187" s="1001" t="s">
        <v>715</v>
      </c>
      <c r="B187" s="932" t="s">
        <v>4704</v>
      </c>
      <c r="C187" s="932" t="s">
        <v>53</v>
      </c>
      <c r="D187" s="932" t="s">
        <v>80</v>
      </c>
      <c r="E187" s="1079">
        <v>9252993</v>
      </c>
      <c r="F187" s="932" t="s">
        <v>1554</v>
      </c>
      <c r="G187" s="932" t="s">
        <v>110</v>
      </c>
      <c r="H187" s="1080">
        <v>45842.379895833335</v>
      </c>
      <c r="I187" s="1079">
        <v>12379534107</v>
      </c>
      <c r="J187" s="932" t="s">
        <v>4573</v>
      </c>
      <c r="K187"/>
      <c r="L187"/>
      <c r="M187"/>
      <c r="N187"/>
      <c r="O187"/>
    </row>
    <row r="188" spans="1:15" ht="14.4">
      <c r="A188" s="1001" t="s">
        <v>715</v>
      </c>
      <c r="B188" s="932" t="s">
        <v>4705</v>
      </c>
      <c r="C188" s="932" t="s">
        <v>53</v>
      </c>
      <c r="D188" s="932" t="s">
        <v>80</v>
      </c>
      <c r="E188" s="1079">
        <v>107854111</v>
      </c>
      <c r="F188" s="932" t="s">
        <v>1554</v>
      </c>
      <c r="G188" s="932" t="s">
        <v>110</v>
      </c>
      <c r="H188" s="1080">
        <v>45842.379930555559</v>
      </c>
      <c r="I188" s="1079">
        <v>12271679996</v>
      </c>
      <c r="J188" s="932" t="s">
        <v>4573</v>
      </c>
      <c r="K188"/>
      <c r="L188"/>
      <c r="M188"/>
      <c r="N188"/>
      <c r="O188"/>
    </row>
    <row r="189" spans="1:15" ht="14.4">
      <c r="A189" s="1001" t="s">
        <v>715</v>
      </c>
      <c r="B189" s="932" t="s">
        <v>4706</v>
      </c>
      <c r="C189" s="932" t="s">
        <v>53</v>
      </c>
      <c r="D189" s="932" t="s">
        <v>80</v>
      </c>
      <c r="E189" s="1079">
        <v>75973669</v>
      </c>
      <c r="F189" s="932" t="s">
        <v>1554</v>
      </c>
      <c r="G189" s="932" t="s">
        <v>110</v>
      </c>
      <c r="H189" s="1080">
        <v>45842.379930555559</v>
      </c>
      <c r="I189" s="1079">
        <v>12195706327</v>
      </c>
      <c r="J189" s="932" t="s">
        <v>4573</v>
      </c>
      <c r="K189"/>
      <c r="L189"/>
      <c r="M189"/>
      <c r="N189"/>
      <c r="O189"/>
    </row>
    <row r="190" spans="1:15" ht="14.4">
      <c r="A190" s="1001" t="s">
        <v>715</v>
      </c>
      <c r="B190" s="932" t="s">
        <v>4707</v>
      </c>
      <c r="C190" s="932" t="s">
        <v>53</v>
      </c>
      <c r="D190" s="932" t="s">
        <v>80</v>
      </c>
      <c r="E190" s="1079">
        <v>316280</v>
      </c>
      <c r="F190" s="932" t="s">
        <v>1554</v>
      </c>
      <c r="G190" s="932" t="s">
        <v>110</v>
      </c>
      <c r="H190" s="1080">
        <v>45842.381076388891</v>
      </c>
      <c r="I190" s="1079">
        <v>12195390047</v>
      </c>
      <c r="J190" s="932" t="s">
        <v>4573</v>
      </c>
      <c r="K190"/>
      <c r="L190"/>
      <c r="M190"/>
      <c r="N190"/>
      <c r="O190"/>
    </row>
    <row r="191" spans="1:15" ht="14.4">
      <c r="A191" s="1001" t="s">
        <v>715</v>
      </c>
      <c r="B191" s="932" t="s">
        <v>4708</v>
      </c>
      <c r="C191" s="932" t="s">
        <v>53</v>
      </c>
      <c r="D191" s="932" t="s">
        <v>80</v>
      </c>
      <c r="E191" s="1079">
        <v>12195662</v>
      </c>
      <c r="F191" s="932" t="s">
        <v>1554</v>
      </c>
      <c r="G191" s="932" t="s">
        <v>110</v>
      </c>
      <c r="H191" s="1080">
        <v>45842.381076388891</v>
      </c>
      <c r="I191" s="1079">
        <v>12183194385</v>
      </c>
      <c r="J191" s="932" t="s">
        <v>4573</v>
      </c>
      <c r="K191"/>
      <c r="L191"/>
      <c r="M191"/>
      <c r="N191"/>
      <c r="O191"/>
    </row>
    <row r="192" spans="1:15" ht="14.4">
      <c r="A192" s="1001" t="s">
        <v>481</v>
      </c>
      <c r="B192" s="932" t="s">
        <v>4709</v>
      </c>
      <c r="C192" s="932" t="s">
        <v>53</v>
      </c>
      <c r="D192" s="932" t="s">
        <v>80</v>
      </c>
      <c r="E192" s="1079">
        <v>129600000</v>
      </c>
      <c r="F192" s="932" t="s">
        <v>1554</v>
      </c>
      <c r="G192" s="932" t="s">
        <v>110</v>
      </c>
      <c r="H192" s="1080">
        <v>45851.950543981482</v>
      </c>
      <c r="I192" s="1079">
        <v>15398098065</v>
      </c>
      <c r="J192" s="932" t="s">
        <v>4496</v>
      </c>
      <c r="K192"/>
      <c r="L192"/>
      <c r="M192"/>
      <c r="N192"/>
      <c r="O192"/>
    </row>
    <row r="193" spans="1:15" ht="14.4">
      <c r="A193" s="1001" t="s">
        <v>715</v>
      </c>
      <c r="B193" s="932" t="s">
        <v>4710</v>
      </c>
      <c r="C193" s="932" t="s">
        <v>4497</v>
      </c>
      <c r="D193" s="932" t="s">
        <v>80</v>
      </c>
      <c r="E193" s="1079">
        <v>25000000000</v>
      </c>
      <c r="F193" s="932" t="s">
        <v>1554</v>
      </c>
      <c r="G193" s="932" t="s">
        <v>110</v>
      </c>
      <c r="H193" s="1080">
        <v>45846.777928240743</v>
      </c>
      <c r="I193" s="1079">
        <v>55757699702</v>
      </c>
      <c r="J193" s="932" t="s">
        <v>4501</v>
      </c>
      <c r="K193"/>
      <c r="L193"/>
      <c r="M193"/>
      <c r="N193"/>
      <c r="O193"/>
    </row>
    <row r="194" spans="1:15" ht="14.4">
      <c r="A194" s="1001" t="s">
        <v>669</v>
      </c>
      <c r="B194" s="932" t="s">
        <v>4711</v>
      </c>
      <c r="C194" s="932" t="s">
        <v>39</v>
      </c>
      <c r="D194" s="932" t="s">
        <v>80</v>
      </c>
      <c r="E194" s="1079">
        <v>100000000</v>
      </c>
      <c r="F194" s="932" t="s">
        <v>1553</v>
      </c>
      <c r="G194" s="932" t="s">
        <v>110</v>
      </c>
      <c r="H194" s="1080">
        <v>45849.606874999998</v>
      </c>
      <c r="I194" s="1079">
        <v>10915260873</v>
      </c>
      <c r="J194" s="932" t="s">
        <v>4496</v>
      </c>
      <c r="K194"/>
      <c r="L194"/>
      <c r="M194"/>
      <c r="N194"/>
      <c r="O194"/>
    </row>
    <row r="195" spans="1:15" ht="14.4">
      <c r="A195" s="1001" t="s">
        <v>639</v>
      </c>
      <c r="B195" s="932" t="s">
        <v>4712</v>
      </c>
      <c r="C195" s="932" t="s">
        <v>4497</v>
      </c>
      <c r="D195" s="932" t="s">
        <v>80</v>
      </c>
      <c r="E195" s="1079">
        <v>100000000</v>
      </c>
      <c r="F195" s="932" t="s">
        <v>1554</v>
      </c>
      <c r="G195" s="932" t="s">
        <v>110</v>
      </c>
      <c r="H195" s="1080">
        <v>45839.799745370372</v>
      </c>
      <c r="I195" s="1079">
        <v>43630480</v>
      </c>
      <c r="J195" s="932" t="s">
        <v>4648</v>
      </c>
      <c r="K195"/>
      <c r="L195"/>
      <c r="M195"/>
      <c r="N195"/>
      <c r="O195"/>
    </row>
    <row r="196" spans="1:15" ht="14.4">
      <c r="A196" s="1001" t="s">
        <v>715</v>
      </c>
      <c r="B196" s="932" t="s">
        <v>4713</v>
      </c>
      <c r="C196" s="932" t="s">
        <v>39</v>
      </c>
      <c r="D196" s="932" t="s">
        <v>80</v>
      </c>
      <c r="E196" s="1079">
        <v>188024412</v>
      </c>
      <c r="F196" s="932" t="s">
        <v>1553</v>
      </c>
      <c r="G196" s="932" t="s">
        <v>110</v>
      </c>
      <c r="H196" s="1080">
        <v>45847.37777777778</v>
      </c>
      <c r="I196" s="1079">
        <v>6395724114</v>
      </c>
      <c r="J196" s="932" t="s">
        <v>4577</v>
      </c>
      <c r="K196"/>
      <c r="L196"/>
      <c r="M196"/>
      <c r="N196"/>
      <c r="O196"/>
    </row>
    <row r="197" spans="1:15" ht="14.4">
      <c r="A197" s="1001" t="s">
        <v>566</v>
      </c>
      <c r="B197" s="932" t="s">
        <v>4714</v>
      </c>
      <c r="C197" s="932" t="s">
        <v>4497</v>
      </c>
      <c r="D197" s="932" t="s">
        <v>80</v>
      </c>
      <c r="E197" s="1079">
        <v>100000000</v>
      </c>
      <c r="F197" s="932" t="s">
        <v>1554</v>
      </c>
      <c r="G197" s="932" t="s">
        <v>110</v>
      </c>
      <c r="H197" s="1080">
        <v>45839.7971412037</v>
      </c>
      <c r="I197" s="1079">
        <v>29139824</v>
      </c>
      <c r="J197" s="932" t="s">
        <v>4501</v>
      </c>
      <c r="K197"/>
      <c r="L197"/>
      <c r="M197"/>
      <c r="N197"/>
      <c r="O197"/>
    </row>
    <row r="198" spans="1:15" ht="14.4">
      <c r="A198" s="1001" t="s">
        <v>715</v>
      </c>
      <c r="B198" s="932" t="s">
        <v>4715</v>
      </c>
      <c r="C198" s="932" t="s">
        <v>39</v>
      </c>
      <c r="D198" s="932" t="s">
        <v>80</v>
      </c>
      <c r="E198" s="1079">
        <v>341312885</v>
      </c>
      <c r="F198" s="932" t="s">
        <v>1553</v>
      </c>
      <c r="G198" s="932" t="s">
        <v>110</v>
      </c>
      <c r="H198" s="1080">
        <v>45848.639409722222</v>
      </c>
      <c r="I198" s="1079">
        <v>9142119458</v>
      </c>
      <c r="J198" s="932" t="s">
        <v>4496</v>
      </c>
      <c r="K198"/>
      <c r="L198"/>
      <c r="M198"/>
      <c r="N198"/>
      <c r="O198"/>
    </row>
    <row r="199" spans="1:15" ht="14.4">
      <c r="A199" s="1001" t="s">
        <v>715</v>
      </c>
      <c r="B199" s="932" t="s">
        <v>4716</v>
      </c>
      <c r="C199" s="932" t="s">
        <v>39</v>
      </c>
      <c r="D199" s="932" t="s">
        <v>80</v>
      </c>
      <c r="E199" s="1079">
        <v>590027598</v>
      </c>
      <c r="F199" s="932" t="s">
        <v>1553</v>
      </c>
      <c r="G199" s="932" t="s">
        <v>110</v>
      </c>
      <c r="H199" s="1080">
        <v>45848.735821759263</v>
      </c>
      <c r="I199" s="1079">
        <v>9732147056</v>
      </c>
      <c r="J199" s="932" t="s">
        <v>4496</v>
      </c>
      <c r="K199"/>
      <c r="L199"/>
      <c r="M199"/>
      <c r="N199"/>
      <c r="O199"/>
    </row>
    <row r="200" spans="1:15" ht="14.4">
      <c r="A200" s="1001" t="s">
        <v>715</v>
      </c>
      <c r="B200" s="932" t="s">
        <v>4717</v>
      </c>
      <c r="C200" s="932" t="s">
        <v>39</v>
      </c>
      <c r="D200" s="932" t="s">
        <v>80</v>
      </c>
      <c r="E200" s="1079">
        <v>804461792</v>
      </c>
      <c r="F200" s="932" t="s">
        <v>1553</v>
      </c>
      <c r="G200" s="932" t="s">
        <v>110</v>
      </c>
      <c r="H200" s="1080">
        <v>45848.604270833333</v>
      </c>
      <c r="I200" s="1079">
        <v>8232941265</v>
      </c>
      <c r="J200" s="932" t="s">
        <v>4585</v>
      </c>
      <c r="K200"/>
      <c r="L200"/>
      <c r="M200"/>
      <c r="N200"/>
      <c r="O200"/>
    </row>
    <row r="201" spans="1:15" ht="14.4">
      <c r="A201" s="1001" t="s">
        <v>715</v>
      </c>
      <c r="B201" s="932" t="s">
        <v>4718</v>
      </c>
      <c r="C201" s="932" t="s">
        <v>39</v>
      </c>
      <c r="D201" s="932" t="s">
        <v>80</v>
      </c>
      <c r="E201" s="1079">
        <v>567865308</v>
      </c>
      <c r="F201" s="932" t="s">
        <v>1553</v>
      </c>
      <c r="G201" s="932" t="s">
        <v>110</v>
      </c>
      <c r="H201" s="1080">
        <v>45848.609768518516</v>
      </c>
      <c r="I201" s="1079">
        <v>8800806573</v>
      </c>
      <c r="J201" s="932" t="s">
        <v>4496</v>
      </c>
      <c r="K201"/>
      <c r="L201"/>
      <c r="M201"/>
      <c r="N201"/>
      <c r="O201"/>
    </row>
    <row r="202" spans="1:15" ht="14.4">
      <c r="A202" s="1001" t="s">
        <v>715</v>
      </c>
      <c r="B202" s="932" t="s">
        <v>4719</v>
      </c>
      <c r="C202" s="932" t="s">
        <v>39</v>
      </c>
      <c r="D202" s="932" t="s">
        <v>80</v>
      </c>
      <c r="E202" s="1079">
        <v>582755359</v>
      </c>
      <c r="F202" s="932" t="s">
        <v>1553</v>
      </c>
      <c r="G202" s="932" t="s">
        <v>110</v>
      </c>
      <c r="H202" s="1080">
        <v>45848.554942129631</v>
      </c>
      <c r="I202" s="1079">
        <v>7428479473</v>
      </c>
      <c r="J202" s="932" t="s">
        <v>4496</v>
      </c>
      <c r="K202"/>
      <c r="L202"/>
      <c r="M202"/>
      <c r="N202"/>
      <c r="O202"/>
    </row>
    <row r="203" spans="1:15" ht="14.4">
      <c r="A203" s="1001" t="s">
        <v>715</v>
      </c>
      <c r="B203" s="932" t="s">
        <v>4720</v>
      </c>
      <c r="C203" s="932" t="s">
        <v>39</v>
      </c>
      <c r="D203" s="932" t="s">
        <v>80</v>
      </c>
      <c r="E203" s="1079">
        <v>612584758</v>
      </c>
      <c r="F203" s="932" t="s">
        <v>1553</v>
      </c>
      <c r="G203" s="932" t="s">
        <v>110</v>
      </c>
      <c r="H203" s="1080">
        <v>45849.547974537039</v>
      </c>
      <c r="I203" s="1079">
        <v>10344731814</v>
      </c>
      <c r="J203" s="932" t="s">
        <v>4585</v>
      </c>
      <c r="K203"/>
      <c r="L203"/>
      <c r="M203"/>
      <c r="N203"/>
      <c r="O203"/>
    </row>
    <row r="204" spans="1:15" ht="14.4">
      <c r="A204" s="1001" t="s">
        <v>715</v>
      </c>
      <c r="B204" s="932" t="s">
        <v>4721</v>
      </c>
      <c r="C204" s="932" t="s">
        <v>39</v>
      </c>
      <c r="D204" s="932" t="s">
        <v>80</v>
      </c>
      <c r="E204" s="1079">
        <v>12786409107</v>
      </c>
      <c r="F204" s="932" t="s">
        <v>1553</v>
      </c>
      <c r="G204" s="932" t="s">
        <v>110</v>
      </c>
      <c r="H204" s="1080">
        <v>45849.592465277776</v>
      </c>
      <c r="I204" s="1079">
        <v>23131140921</v>
      </c>
      <c r="J204" s="932" t="s">
        <v>4577</v>
      </c>
      <c r="K204"/>
      <c r="L204"/>
      <c r="M204"/>
      <c r="N204"/>
      <c r="O204"/>
    </row>
    <row r="205" spans="1:15" ht="14.4">
      <c r="A205" s="1001" t="s">
        <v>715</v>
      </c>
      <c r="B205" s="932" t="s">
        <v>4722</v>
      </c>
      <c r="C205" s="932" t="s">
        <v>53</v>
      </c>
      <c r="D205" s="932" t="s">
        <v>80</v>
      </c>
      <c r="E205" s="1079">
        <v>1701000</v>
      </c>
      <c r="F205" s="932" t="s">
        <v>1554</v>
      </c>
      <c r="G205" s="932" t="s">
        <v>110</v>
      </c>
      <c r="H205" s="1080">
        <v>45851.950509259259</v>
      </c>
      <c r="I205" s="1079">
        <v>23129439921</v>
      </c>
      <c r="J205" s="932" t="s">
        <v>4537</v>
      </c>
      <c r="K205"/>
      <c r="L205"/>
      <c r="M205"/>
      <c r="N205"/>
      <c r="O205"/>
    </row>
    <row r="206" spans="1:15" ht="14.4">
      <c r="A206" s="1001" t="s">
        <v>692</v>
      </c>
      <c r="B206" s="932" t="s">
        <v>4723</v>
      </c>
      <c r="C206" s="932" t="s">
        <v>4497</v>
      </c>
      <c r="D206" s="932" t="s">
        <v>80</v>
      </c>
      <c r="E206" s="1079">
        <v>100000000</v>
      </c>
      <c r="F206" s="932" t="s">
        <v>1554</v>
      </c>
      <c r="G206" s="932" t="s">
        <v>110</v>
      </c>
      <c r="H206" s="1080">
        <v>45839.797708333332</v>
      </c>
      <c r="I206" s="1079">
        <v>40279670</v>
      </c>
      <c r="J206" s="932" t="s">
        <v>4501</v>
      </c>
      <c r="K206"/>
      <c r="L206"/>
      <c r="M206"/>
      <c r="N206"/>
      <c r="O206"/>
    </row>
    <row r="207" spans="1:15" ht="14.4">
      <c r="A207" s="1001" t="s">
        <v>715</v>
      </c>
      <c r="B207" s="932" t="s">
        <v>4724</v>
      </c>
      <c r="C207" s="932" t="s">
        <v>53</v>
      </c>
      <c r="D207" s="932" t="s">
        <v>80</v>
      </c>
      <c r="E207" s="1079">
        <v>98547300</v>
      </c>
      <c r="F207" s="932" t="s">
        <v>1554</v>
      </c>
      <c r="G207" s="932" t="s">
        <v>110</v>
      </c>
      <c r="H207" s="1080">
        <v>45851.950543981482</v>
      </c>
      <c r="I207" s="1079">
        <v>22901292621</v>
      </c>
      <c r="J207" s="932" t="s">
        <v>4610</v>
      </c>
      <c r="K207"/>
      <c r="L207"/>
      <c r="M207"/>
      <c r="N207"/>
      <c r="O207"/>
    </row>
    <row r="208" spans="1:15" ht="14.4">
      <c r="A208" s="1001" t="s">
        <v>715</v>
      </c>
      <c r="B208" s="932" t="s">
        <v>4725</v>
      </c>
      <c r="C208" s="932" t="s">
        <v>53</v>
      </c>
      <c r="D208" s="932" t="s">
        <v>80</v>
      </c>
      <c r="E208" s="1079">
        <v>35000000</v>
      </c>
      <c r="F208" s="932" t="s">
        <v>1554</v>
      </c>
      <c r="G208" s="932" t="s">
        <v>110</v>
      </c>
      <c r="H208" s="1080">
        <v>45851.950543981482</v>
      </c>
      <c r="I208" s="1079">
        <v>22866292621</v>
      </c>
      <c r="J208" s="932" t="s">
        <v>4496</v>
      </c>
      <c r="K208"/>
      <c r="L208"/>
      <c r="M208"/>
      <c r="N208"/>
      <c r="O208"/>
    </row>
    <row r="209" spans="1:15" ht="14.4">
      <c r="A209" s="1001" t="s">
        <v>715</v>
      </c>
      <c r="B209" s="932" t="s">
        <v>4726</v>
      </c>
      <c r="C209" s="932" t="s">
        <v>53</v>
      </c>
      <c r="D209" s="932" t="s">
        <v>80</v>
      </c>
      <c r="E209" s="1079">
        <v>14472000</v>
      </c>
      <c r="F209" s="932" t="s">
        <v>1554</v>
      </c>
      <c r="G209" s="932" t="s">
        <v>110</v>
      </c>
      <c r="H209" s="1080">
        <v>45851.950543981482</v>
      </c>
      <c r="I209" s="1079">
        <v>22851820621</v>
      </c>
      <c r="J209" s="932" t="s">
        <v>4496</v>
      </c>
      <c r="K209"/>
      <c r="L209"/>
      <c r="M209"/>
      <c r="N209"/>
      <c r="O209"/>
    </row>
    <row r="210" spans="1:15" ht="14.4">
      <c r="A210" s="1001" t="s">
        <v>715</v>
      </c>
      <c r="B210" s="932" t="s">
        <v>4727</v>
      </c>
      <c r="C210" s="932" t="s">
        <v>39</v>
      </c>
      <c r="D210" s="932" t="s">
        <v>80</v>
      </c>
      <c r="E210" s="1079">
        <v>1429860954</v>
      </c>
      <c r="F210" s="932" t="s">
        <v>1553</v>
      </c>
      <c r="G210" s="932" t="s">
        <v>110</v>
      </c>
      <c r="H210" s="1080">
        <v>45852.44394675926</v>
      </c>
      <c r="I210" s="1079">
        <v>24281681575</v>
      </c>
      <c r="J210" s="932" t="s">
        <v>4585</v>
      </c>
      <c r="K210"/>
      <c r="L210"/>
      <c r="M210"/>
      <c r="N210"/>
      <c r="O210"/>
    </row>
    <row r="211" spans="1:15" ht="14.4">
      <c r="A211" s="1001" t="s">
        <v>715</v>
      </c>
      <c r="B211" s="932" t="s">
        <v>4728</v>
      </c>
      <c r="C211" s="932" t="s">
        <v>39</v>
      </c>
      <c r="D211" s="932" t="s">
        <v>80</v>
      </c>
      <c r="E211" s="1079">
        <v>896112510</v>
      </c>
      <c r="F211" s="932" t="s">
        <v>1553</v>
      </c>
      <c r="G211" s="932" t="s">
        <v>110</v>
      </c>
      <c r="H211" s="1080">
        <v>45853.402673611112</v>
      </c>
      <c r="I211" s="1079">
        <v>25177794085</v>
      </c>
      <c r="J211" s="932" t="s">
        <v>4585</v>
      </c>
      <c r="K211"/>
      <c r="L211"/>
      <c r="M211"/>
      <c r="N211"/>
      <c r="O211"/>
    </row>
    <row r="212" spans="1:15" ht="14.4">
      <c r="A212" s="1001" t="s">
        <v>715</v>
      </c>
      <c r="B212" s="932" t="s">
        <v>4729</v>
      </c>
      <c r="C212" s="932" t="s">
        <v>39</v>
      </c>
      <c r="D212" s="932" t="s">
        <v>80</v>
      </c>
      <c r="E212" s="1079">
        <v>501440352</v>
      </c>
      <c r="F212" s="932" t="s">
        <v>1553</v>
      </c>
      <c r="G212" s="932" t="s">
        <v>110</v>
      </c>
      <c r="H212" s="1080">
        <v>45853.403078703705</v>
      </c>
      <c r="I212" s="1079">
        <v>25679234437</v>
      </c>
      <c r="J212" s="932" t="s">
        <v>4585</v>
      </c>
      <c r="K212"/>
      <c r="L212"/>
      <c r="M212"/>
      <c r="N212"/>
      <c r="O212"/>
    </row>
    <row r="213" spans="1:15" ht="14.4">
      <c r="A213" s="1001" t="s">
        <v>797</v>
      </c>
      <c r="B213" s="932" t="s">
        <v>4730</v>
      </c>
      <c r="C213" s="932" t="s">
        <v>4497</v>
      </c>
      <c r="D213" s="932" t="s">
        <v>80</v>
      </c>
      <c r="E213" s="1079">
        <v>100000000</v>
      </c>
      <c r="F213" s="932" t="s">
        <v>1554</v>
      </c>
      <c r="G213" s="932" t="s">
        <v>110</v>
      </c>
      <c r="H213" s="1080">
        <v>45839.801446759258</v>
      </c>
      <c r="I213" s="1079">
        <v>38267920</v>
      </c>
      <c r="J213" s="932" t="s">
        <v>4648</v>
      </c>
      <c r="K213"/>
      <c r="L213"/>
      <c r="M213"/>
      <c r="N213"/>
      <c r="O213"/>
    </row>
    <row r="214" spans="1:15" ht="14.4">
      <c r="A214" s="1001" t="s">
        <v>500</v>
      </c>
      <c r="B214" s="932" t="s">
        <v>4731</v>
      </c>
      <c r="C214" s="932" t="s">
        <v>53</v>
      </c>
      <c r="D214" s="932" t="s">
        <v>80</v>
      </c>
      <c r="E214" s="1079">
        <v>66319944</v>
      </c>
      <c r="F214" s="932" t="s">
        <v>1554</v>
      </c>
      <c r="G214" s="932" t="s">
        <v>110</v>
      </c>
      <c r="H214" s="1080">
        <v>45839.619166666664</v>
      </c>
      <c r="I214" s="1079">
        <v>589434856</v>
      </c>
      <c r="J214" s="932" t="s">
        <v>4573</v>
      </c>
      <c r="K214"/>
      <c r="L214"/>
      <c r="M214"/>
      <c r="N214"/>
      <c r="O214"/>
    </row>
    <row r="215" spans="1:15" ht="14.4">
      <c r="A215" s="1001" t="s">
        <v>500</v>
      </c>
      <c r="B215" s="932" t="s">
        <v>4732</v>
      </c>
      <c r="C215" s="932" t="s">
        <v>39</v>
      </c>
      <c r="D215" s="932" t="s">
        <v>80</v>
      </c>
      <c r="E215" s="1079">
        <v>1262383914</v>
      </c>
      <c r="F215" s="932" t="s">
        <v>1553</v>
      </c>
      <c r="G215" s="932" t="s">
        <v>110</v>
      </c>
      <c r="H215" s="1080">
        <v>45840.467268518521</v>
      </c>
      <c r="I215" s="1079">
        <v>1851818770</v>
      </c>
      <c r="J215" s="932" t="s">
        <v>4496</v>
      </c>
      <c r="K215"/>
      <c r="L215"/>
      <c r="M215"/>
      <c r="N215"/>
      <c r="O215"/>
    </row>
    <row r="216" spans="1:15" ht="14.4">
      <c r="A216" s="1001" t="s">
        <v>500</v>
      </c>
      <c r="B216" s="932" t="s">
        <v>4733</v>
      </c>
      <c r="C216" s="932" t="s">
        <v>53</v>
      </c>
      <c r="D216" s="932" t="s">
        <v>80</v>
      </c>
      <c r="E216" s="1079">
        <v>14582000</v>
      </c>
      <c r="F216" s="932" t="s">
        <v>1554</v>
      </c>
      <c r="G216" s="932" t="s">
        <v>110</v>
      </c>
      <c r="H216" s="1080">
        <v>45841.744525462964</v>
      </c>
      <c r="I216" s="1079">
        <v>1855539629</v>
      </c>
      <c r="J216" s="932" t="s">
        <v>4734</v>
      </c>
      <c r="K216"/>
      <c r="L216"/>
      <c r="M216"/>
      <c r="N216"/>
      <c r="O216"/>
    </row>
    <row r="217" spans="1:15" ht="14.4">
      <c r="A217" s="1001" t="s">
        <v>500</v>
      </c>
      <c r="B217" s="932" t="s">
        <v>4735</v>
      </c>
      <c r="C217" s="932" t="s">
        <v>39</v>
      </c>
      <c r="D217" s="932" t="s">
        <v>80</v>
      </c>
      <c r="E217" s="1079">
        <v>18302859</v>
      </c>
      <c r="F217" s="932" t="s">
        <v>1553</v>
      </c>
      <c r="G217" s="932" t="s">
        <v>110</v>
      </c>
      <c r="H217" s="1080">
        <v>45841.63721064815</v>
      </c>
      <c r="I217" s="1079">
        <v>1870121629</v>
      </c>
      <c r="J217" s="932" t="s">
        <v>4520</v>
      </c>
      <c r="K217"/>
      <c r="L217"/>
      <c r="M217"/>
      <c r="N217"/>
      <c r="O217"/>
    </row>
    <row r="218" spans="1:15" ht="14.4">
      <c r="A218" s="1001" t="s">
        <v>795</v>
      </c>
      <c r="B218" s="932" t="s">
        <v>4736</v>
      </c>
      <c r="C218" s="932" t="s">
        <v>4497</v>
      </c>
      <c r="D218" s="932" t="s">
        <v>80</v>
      </c>
      <c r="E218" s="1079">
        <v>100000000</v>
      </c>
      <c r="F218" s="932" t="s">
        <v>1554</v>
      </c>
      <c r="G218" s="932" t="s">
        <v>110</v>
      </c>
      <c r="H218" s="1080">
        <v>45839.79383101852</v>
      </c>
      <c r="I218" s="1079">
        <v>44392971</v>
      </c>
      <c r="J218" s="932" t="s">
        <v>4501</v>
      </c>
      <c r="K218"/>
      <c r="L218"/>
      <c r="M218"/>
      <c r="N218"/>
      <c r="O218"/>
    </row>
    <row r="219" spans="1:15" ht="14.4">
      <c r="A219" s="1001" t="s">
        <v>500</v>
      </c>
      <c r="B219" s="932" t="s">
        <v>4737</v>
      </c>
      <c r="C219" s="932" t="s">
        <v>53</v>
      </c>
      <c r="D219" s="932" t="s">
        <v>80</v>
      </c>
      <c r="E219" s="1079">
        <v>28091880</v>
      </c>
      <c r="F219" s="932" t="s">
        <v>1554</v>
      </c>
      <c r="G219" s="932" t="s">
        <v>110</v>
      </c>
      <c r="H219" s="1080">
        <v>45842.499050925922</v>
      </c>
      <c r="I219" s="1079">
        <v>1200864149</v>
      </c>
      <c r="J219" s="932" t="s">
        <v>4496</v>
      </c>
      <c r="K219"/>
      <c r="L219"/>
      <c r="M219"/>
      <c r="N219"/>
      <c r="O219"/>
    </row>
    <row r="220" spans="1:15" ht="14.4">
      <c r="A220" s="1001" t="s">
        <v>500</v>
      </c>
      <c r="B220" s="932" t="s">
        <v>4738</v>
      </c>
      <c r="C220" s="932" t="s">
        <v>53</v>
      </c>
      <c r="D220" s="932" t="s">
        <v>80</v>
      </c>
      <c r="E220" s="1079">
        <v>625503600</v>
      </c>
      <c r="F220" s="932" t="s">
        <v>1554</v>
      </c>
      <c r="G220" s="932" t="s">
        <v>110</v>
      </c>
      <c r="H220" s="1080">
        <v>45842.070347222223</v>
      </c>
      <c r="I220" s="1079">
        <v>1230036029</v>
      </c>
      <c r="J220" s="932" t="s">
        <v>4548</v>
      </c>
      <c r="K220"/>
      <c r="L220"/>
      <c r="M220"/>
      <c r="N220"/>
      <c r="O220"/>
    </row>
    <row r="221" spans="1:15" ht="14.4">
      <c r="A221" s="1001" t="s">
        <v>500</v>
      </c>
      <c r="B221" s="932" t="s">
        <v>4739</v>
      </c>
      <c r="C221" s="932" t="s">
        <v>39</v>
      </c>
      <c r="D221" s="932" t="s">
        <v>80</v>
      </c>
      <c r="E221" s="1079">
        <v>635458580</v>
      </c>
      <c r="F221" s="932" t="s">
        <v>1553</v>
      </c>
      <c r="G221" s="932" t="s">
        <v>110</v>
      </c>
      <c r="H221" s="1080">
        <v>45842.587766203702</v>
      </c>
      <c r="I221" s="1079">
        <v>1836322729</v>
      </c>
      <c r="J221" s="932" t="s">
        <v>4577</v>
      </c>
      <c r="K221"/>
      <c r="L221"/>
      <c r="M221"/>
      <c r="N221"/>
      <c r="O221"/>
    </row>
    <row r="222" spans="1:15" ht="14.4">
      <c r="A222" s="1001" t="s">
        <v>500</v>
      </c>
      <c r="B222" s="932" t="s">
        <v>4740</v>
      </c>
      <c r="C222" s="932" t="s">
        <v>39</v>
      </c>
      <c r="D222" s="932" t="s">
        <v>80</v>
      </c>
      <c r="E222" s="1079">
        <v>5052658</v>
      </c>
      <c r="F222" s="932" t="s">
        <v>1553</v>
      </c>
      <c r="G222" s="932" t="s">
        <v>110</v>
      </c>
      <c r="H222" s="1080">
        <v>45845.72519675926</v>
      </c>
      <c r="I222" s="1079">
        <v>3023839263</v>
      </c>
      <c r="J222" s="932" t="s">
        <v>4535</v>
      </c>
      <c r="K222"/>
      <c r="L222"/>
      <c r="M222"/>
      <c r="N222"/>
      <c r="O222"/>
    </row>
    <row r="223" spans="1:15" ht="14.4">
      <c r="A223" s="1001" t="s">
        <v>500</v>
      </c>
      <c r="B223" s="932" t="s">
        <v>4741</v>
      </c>
      <c r="C223" s="932" t="s">
        <v>39</v>
      </c>
      <c r="D223" s="932" t="s">
        <v>80</v>
      </c>
      <c r="E223" s="1079">
        <v>4842858</v>
      </c>
      <c r="F223" s="932" t="s">
        <v>1553</v>
      </c>
      <c r="G223" s="932" t="s">
        <v>110</v>
      </c>
      <c r="H223" s="1080">
        <v>45845.72556712963</v>
      </c>
      <c r="I223" s="1079">
        <v>3028682121</v>
      </c>
      <c r="J223" s="932" t="s">
        <v>4535</v>
      </c>
      <c r="K223"/>
      <c r="L223"/>
      <c r="M223"/>
      <c r="N223"/>
      <c r="O223"/>
    </row>
    <row r="224" spans="1:15" ht="14.4">
      <c r="A224" s="1001" t="s">
        <v>500</v>
      </c>
      <c r="B224" s="932" t="s">
        <v>4742</v>
      </c>
      <c r="C224" s="932" t="s">
        <v>39</v>
      </c>
      <c r="D224" s="932" t="s">
        <v>80</v>
      </c>
      <c r="E224" s="1079">
        <v>1182463876</v>
      </c>
      <c r="F224" s="932" t="s">
        <v>1553</v>
      </c>
      <c r="G224" s="932" t="s">
        <v>110</v>
      </c>
      <c r="H224" s="1080">
        <v>45845.678113425929</v>
      </c>
      <c r="I224" s="1079">
        <v>3018786605</v>
      </c>
      <c r="J224" s="932" t="s">
        <v>4583</v>
      </c>
      <c r="K224"/>
      <c r="L224"/>
      <c r="M224"/>
      <c r="N224"/>
      <c r="O224"/>
    </row>
    <row r="225" spans="1:15" ht="14.4">
      <c r="A225" s="1001" t="s">
        <v>500</v>
      </c>
      <c r="B225" s="932" t="s">
        <v>4743</v>
      </c>
      <c r="C225" s="932" t="s">
        <v>39</v>
      </c>
      <c r="D225" s="932" t="s">
        <v>80</v>
      </c>
      <c r="E225" s="1079">
        <v>4054576</v>
      </c>
      <c r="F225" s="932" t="s">
        <v>1553</v>
      </c>
      <c r="G225" s="932" t="s">
        <v>110</v>
      </c>
      <c r="H225" s="1080">
        <v>45846.816180555557</v>
      </c>
      <c r="I225" s="1079">
        <v>3032736697</v>
      </c>
      <c r="J225" s="932" t="s">
        <v>4496</v>
      </c>
      <c r="K225"/>
      <c r="L225"/>
      <c r="M225"/>
      <c r="N225"/>
      <c r="O225"/>
    </row>
    <row r="226" spans="1:15" ht="14.4">
      <c r="A226" s="1001" t="s">
        <v>500</v>
      </c>
      <c r="B226" s="932" t="s">
        <v>4744</v>
      </c>
      <c r="C226" s="932" t="s">
        <v>39</v>
      </c>
      <c r="D226" s="932" t="s">
        <v>80</v>
      </c>
      <c r="E226" s="1079">
        <v>318579447</v>
      </c>
      <c r="F226" s="932" t="s">
        <v>1553</v>
      </c>
      <c r="G226" s="932" t="s">
        <v>110</v>
      </c>
      <c r="H226" s="1080">
        <v>45846.81622685185</v>
      </c>
      <c r="I226" s="1079">
        <v>3351316144</v>
      </c>
      <c r="J226" s="932" t="s">
        <v>4496</v>
      </c>
      <c r="K226"/>
      <c r="L226"/>
      <c r="M226"/>
      <c r="N226"/>
      <c r="O226"/>
    </row>
    <row r="227" spans="1:15" ht="14.4">
      <c r="A227" s="1001" t="s">
        <v>500</v>
      </c>
      <c r="B227" s="932" t="s">
        <v>4745</v>
      </c>
      <c r="C227" s="932" t="s">
        <v>39</v>
      </c>
      <c r="D227" s="932" t="s">
        <v>80</v>
      </c>
      <c r="E227" s="1079">
        <v>1190625480</v>
      </c>
      <c r="F227" s="932" t="s">
        <v>1553</v>
      </c>
      <c r="G227" s="932" t="s">
        <v>110</v>
      </c>
      <c r="H227" s="1080">
        <v>45847.402395833335</v>
      </c>
      <c r="I227" s="1079">
        <v>4543974574</v>
      </c>
      <c r="J227" s="932" t="s">
        <v>4577</v>
      </c>
      <c r="K227"/>
      <c r="L227"/>
      <c r="M227"/>
      <c r="N227"/>
      <c r="O227"/>
    </row>
    <row r="228" spans="1:15" ht="14.4">
      <c r="A228" s="1001" t="s">
        <v>500</v>
      </c>
      <c r="B228" s="932" t="s">
        <v>4746</v>
      </c>
      <c r="C228" s="932" t="s">
        <v>39</v>
      </c>
      <c r="D228" s="932" t="s">
        <v>80</v>
      </c>
      <c r="E228" s="1079">
        <v>2032950</v>
      </c>
      <c r="F228" s="932" t="s">
        <v>1553</v>
      </c>
      <c r="G228" s="932" t="s">
        <v>110</v>
      </c>
      <c r="H228" s="1080">
        <v>45847.383101851854</v>
      </c>
      <c r="I228" s="1079">
        <v>3353349094</v>
      </c>
      <c r="J228" s="932" t="s">
        <v>4496</v>
      </c>
      <c r="K228"/>
      <c r="L228"/>
      <c r="M228"/>
      <c r="N228"/>
      <c r="O228"/>
    </row>
    <row r="229" spans="1:15" ht="14.4">
      <c r="A229" s="1001" t="s">
        <v>500</v>
      </c>
      <c r="B229" s="932" t="s">
        <v>4747</v>
      </c>
      <c r="C229" s="932" t="s">
        <v>39</v>
      </c>
      <c r="D229" s="932" t="s">
        <v>80</v>
      </c>
      <c r="E229" s="1079">
        <v>383269310</v>
      </c>
      <c r="F229" s="932" t="s">
        <v>1553</v>
      </c>
      <c r="G229" s="932" t="s">
        <v>110</v>
      </c>
      <c r="H229" s="1080">
        <v>45847.431250000001</v>
      </c>
      <c r="I229" s="1079">
        <v>4927243884</v>
      </c>
      <c r="J229" s="932" t="s">
        <v>4585</v>
      </c>
      <c r="K229"/>
      <c r="L229"/>
      <c r="M229"/>
      <c r="N229"/>
      <c r="O229"/>
    </row>
    <row r="230" spans="1:15" ht="14.4">
      <c r="A230" s="1001" t="s">
        <v>500</v>
      </c>
      <c r="B230" s="932" t="s">
        <v>4748</v>
      </c>
      <c r="C230" s="932" t="s">
        <v>39</v>
      </c>
      <c r="D230" s="932" t="s">
        <v>80</v>
      </c>
      <c r="E230" s="1079">
        <v>586955160</v>
      </c>
      <c r="F230" s="932" t="s">
        <v>1553</v>
      </c>
      <c r="G230" s="932" t="s">
        <v>110</v>
      </c>
      <c r="H230" s="1080">
        <v>45847.681250000001</v>
      </c>
      <c r="I230" s="1079">
        <v>7017359793</v>
      </c>
      <c r="J230" s="932" t="s">
        <v>4496</v>
      </c>
      <c r="K230"/>
      <c r="L230"/>
      <c r="M230"/>
      <c r="N230"/>
      <c r="O230"/>
    </row>
    <row r="231" spans="1:15" ht="14.4">
      <c r="A231" s="1001" t="s">
        <v>500</v>
      </c>
      <c r="B231" s="932" t="s">
        <v>4749</v>
      </c>
      <c r="C231" s="932" t="s">
        <v>39</v>
      </c>
      <c r="D231" s="932" t="s">
        <v>80</v>
      </c>
      <c r="E231" s="1079">
        <v>1500643161</v>
      </c>
      <c r="F231" s="932" t="s">
        <v>1553</v>
      </c>
      <c r="G231" s="932" t="s">
        <v>110</v>
      </c>
      <c r="H231" s="1080">
        <v>45847.636331018519</v>
      </c>
      <c r="I231" s="1079">
        <v>6430404633</v>
      </c>
      <c r="J231" s="932" t="s">
        <v>4585</v>
      </c>
      <c r="K231"/>
      <c r="L231"/>
      <c r="M231"/>
      <c r="N231"/>
      <c r="O231"/>
    </row>
    <row r="232" spans="1:15" ht="14.4">
      <c r="A232" s="1001" t="s">
        <v>500</v>
      </c>
      <c r="B232" s="932" t="s">
        <v>4750</v>
      </c>
      <c r="C232" s="932" t="s">
        <v>39</v>
      </c>
      <c r="D232" s="932" t="s">
        <v>80</v>
      </c>
      <c r="E232" s="1079">
        <v>2517588</v>
      </c>
      <c r="F232" s="932" t="s">
        <v>1553</v>
      </c>
      <c r="G232" s="932" t="s">
        <v>110</v>
      </c>
      <c r="H232" s="1080">
        <v>45847.467129629629</v>
      </c>
      <c r="I232" s="1079">
        <v>4929761472</v>
      </c>
      <c r="J232" s="932" t="s">
        <v>4583</v>
      </c>
      <c r="K232"/>
      <c r="L232"/>
      <c r="M232"/>
      <c r="N232"/>
      <c r="O232"/>
    </row>
    <row r="233" spans="1:15" ht="14.4">
      <c r="A233" s="1001" t="s">
        <v>500</v>
      </c>
      <c r="B233" s="932" t="s">
        <v>4751</v>
      </c>
      <c r="C233" s="932" t="s">
        <v>39</v>
      </c>
      <c r="D233" s="932" t="s">
        <v>80</v>
      </c>
      <c r="E233" s="1079">
        <v>3325318</v>
      </c>
      <c r="F233" s="932" t="s">
        <v>1553</v>
      </c>
      <c r="G233" s="932" t="s">
        <v>110</v>
      </c>
      <c r="H233" s="1080">
        <v>45848.683171296296</v>
      </c>
      <c r="I233" s="1079">
        <v>20777378435</v>
      </c>
      <c r="J233" s="932" t="s">
        <v>4496</v>
      </c>
      <c r="K233"/>
      <c r="L233"/>
      <c r="M233"/>
      <c r="N233"/>
      <c r="O233"/>
    </row>
    <row r="234" spans="1:15" ht="14.4">
      <c r="A234" s="1001" t="s">
        <v>500</v>
      </c>
      <c r="B234" s="932" t="s">
        <v>4752</v>
      </c>
      <c r="C234" s="932" t="s">
        <v>39</v>
      </c>
      <c r="D234" s="932" t="s">
        <v>80</v>
      </c>
      <c r="E234" s="1079">
        <v>3292707</v>
      </c>
      <c r="F234" s="932" t="s">
        <v>1553</v>
      </c>
      <c r="G234" s="932" t="s">
        <v>110</v>
      </c>
      <c r="H234" s="1080">
        <v>45848.650208333333</v>
      </c>
      <c r="I234" s="1079">
        <v>15634566487</v>
      </c>
      <c r="J234" s="932" t="s">
        <v>4520</v>
      </c>
      <c r="K234"/>
      <c r="L234"/>
      <c r="M234"/>
      <c r="N234"/>
      <c r="O234"/>
    </row>
    <row r="235" spans="1:15" ht="14.4">
      <c r="A235" s="1001" t="s">
        <v>500</v>
      </c>
      <c r="B235" s="932" t="s">
        <v>4753</v>
      </c>
      <c r="C235" s="932" t="s">
        <v>39</v>
      </c>
      <c r="D235" s="932" t="s">
        <v>80</v>
      </c>
      <c r="E235" s="1079">
        <v>6844308321</v>
      </c>
      <c r="F235" s="932" t="s">
        <v>1553</v>
      </c>
      <c r="G235" s="932" t="s">
        <v>110</v>
      </c>
      <c r="H235" s="1080">
        <v>45848.399108796293</v>
      </c>
      <c r="I235" s="1079">
        <v>14456117383</v>
      </c>
      <c r="J235" s="932" t="s">
        <v>4585</v>
      </c>
      <c r="K235"/>
      <c r="L235"/>
      <c r="M235"/>
      <c r="N235"/>
      <c r="O235"/>
    </row>
    <row r="236" spans="1:15" ht="14.4">
      <c r="A236" s="1001" t="s">
        <v>500</v>
      </c>
      <c r="B236" s="932" t="s">
        <v>4754</v>
      </c>
      <c r="C236" s="932" t="s">
        <v>39</v>
      </c>
      <c r="D236" s="932" t="s">
        <v>80</v>
      </c>
      <c r="E236" s="1079">
        <v>2909914</v>
      </c>
      <c r="F236" s="932" t="s">
        <v>1553</v>
      </c>
      <c r="G236" s="932" t="s">
        <v>110</v>
      </c>
      <c r="H236" s="1080">
        <v>45848.376608796294</v>
      </c>
      <c r="I236" s="1079">
        <v>7020269707</v>
      </c>
      <c r="J236" s="932" t="s">
        <v>4520</v>
      </c>
      <c r="K236"/>
      <c r="L236"/>
      <c r="M236"/>
      <c r="N236"/>
      <c r="O236"/>
    </row>
    <row r="237" spans="1:15" ht="14.4">
      <c r="A237" s="1001" t="s">
        <v>500</v>
      </c>
      <c r="B237" s="932" t="s">
        <v>4755</v>
      </c>
      <c r="C237" s="932" t="s">
        <v>39</v>
      </c>
      <c r="D237" s="932" t="s">
        <v>80</v>
      </c>
      <c r="E237" s="1079">
        <v>598286697</v>
      </c>
      <c r="F237" s="932" t="s">
        <v>1553</v>
      </c>
      <c r="G237" s="932" t="s">
        <v>110</v>
      </c>
      <c r="H237" s="1080">
        <v>45848.415868055556</v>
      </c>
      <c r="I237" s="1079">
        <v>15056137016</v>
      </c>
      <c r="J237" s="932" t="s">
        <v>4496</v>
      </c>
      <c r="K237"/>
      <c r="L237"/>
      <c r="M237"/>
      <c r="N237"/>
      <c r="O237"/>
    </row>
    <row r="238" spans="1:15" ht="14.4">
      <c r="A238" s="1001" t="s">
        <v>500</v>
      </c>
      <c r="B238" s="932" t="s">
        <v>4756</v>
      </c>
      <c r="C238" s="932" t="s">
        <v>39</v>
      </c>
      <c r="D238" s="932" t="s">
        <v>80</v>
      </c>
      <c r="E238" s="1079">
        <v>1732936</v>
      </c>
      <c r="F238" s="932" t="s">
        <v>1553</v>
      </c>
      <c r="G238" s="932" t="s">
        <v>110</v>
      </c>
      <c r="H238" s="1080">
        <v>45848.415856481479</v>
      </c>
      <c r="I238" s="1079">
        <v>14457850319</v>
      </c>
      <c r="J238" s="932" t="s">
        <v>4535</v>
      </c>
      <c r="K238"/>
      <c r="L238"/>
      <c r="M238"/>
      <c r="N238"/>
      <c r="O238"/>
    </row>
    <row r="239" spans="1:15" ht="14.4">
      <c r="A239" s="1001" t="s">
        <v>500</v>
      </c>
      <c r="B239" s="932" t="s">
        <v>4757</v>
      </c>
      <c r="C239" s="932" t="s">
        <v>39</v>
      </c>
      <c r="D239" s="932" t="s">
        <v>80</v>
      </c>
      <c r="E239" s="1079">
        <v>5139486630</v>
      </c>
      <c r="F239" s="932" t="s">
        <v>1553</v>
      </c>
      <c r="G239" s="932" t="s">
        <v>110</v>
      </c>
      <c r="H239" s="1080">
        <v>45848.674745370372</v>
      </c>
      <c r="I239" s="1079">
        <v>20774053117</v>
      </c>
      <c r="J239" s="932" t="s">
        <v>4585</v>
      </c>
      <c r="K239"/>
      <c r="L239"/>
      <c r="M239"/>
      <c r="N239"/>
      <c r="O239"/>
    </row>
    <row r="240" spans="1:15" ht="14.4">
      <c r="A240" s="1001" t="s">
        <v>500</v>
      </c>
      <c r="B240" s="932" t="s">
        <v>4758</v>
      </c>
      <c r="C240" s="932" t="s">
        <v>39</v>
      </c>
      <c r="D240" s="932" t="s">
        <v>80</v>
      </c>
      <c r="E240" s="1079">
        <v>591539355</v>
      </c>
      <c r="F240" s="932" t="s">
        <v>1553</v>
      </c>
      <c r="G240" s="932" t="s">
        <v>110</v>
      </c>
      <c r="H240" s="1080">
        <v>45848.376886574071</v>
      </c>
      <c r="I240" s="1079">
        <v>7611809062</v>
      </c>
      <c r="J240" s="932" t="s">
        <v>4577</v>
      </c>
      <c r="K240"/>
      <c r="L240"/>
      <c r="M240"/>
      <c r="N240"/>
      <c r="O240"/>
    </row>
    <row r="241" spans="1:15" ht="14.4">
      <c r="A241" s="1001" t="s">
        <v>500</v>
      </c>
      <c r="B241" s="932" t="s">
        <v>4759</v>
      </c>
      <c r="C241" s="932" t="s">
        <v>39</v>
      </c>
      <c r="D241" s="932" t="s">
        <v>80</v>
      </c>
      <c r="E241" s="1079">
        <v>573551829</v>
      </c>
      <c r="F241" s="932" t="s">
        <v>1553</v>
      </c>
      <c r="G241" s="932" t="s">
        <v>110</v>
      </c>
      <c r="H241" s="1080">
        <v>45848.462442129632</v>
      </c>
      <c r="I241" s="1079">
        <v>15629688845</v>
      </c>
      <c r="J241" s="932" t="s">
        <v>4526</v>
      </c>
      <c r="K241"/>
      <c r="L241"/>
      <c r="M241"/>
      <c r="N241"/>
      <c r="O241"/>
    </row>
    <row r="242" spans="1:15" ht="14.4">
      <c r="A242" s="1001" t="s">
        <v>500</v>
      </c>
      <c r="B242" s="932" t="s">
        <v>4760</v>
      </c>
      <c r="C242" s="932" t="s">
        <v>39</v>
      </c>
      <c r="D242" s="932" t="s">
        <v>80</v>
      </c>
      <c r="E242" s="1079">
        <v>1584935</v>
      </c>
      <c r="F242" s="932" t="s">
        <v>1553</v>
      </c>
      <c r="G242" s="932" t="s">
        <v>110</v>
      </c>
      <c r="H242" s="1080">
        <v>45848.46298611111</v>
      </c>
      <c r="I242" s="1079">
        <v>15631273780</v>
      </c>
      <c r="J242" s="932" t="s">
        <v>4496</v>
      </c>
      <c r="K242"/>
      <c r="L242"/>
      <c r="M242"/>
      <c r="N242"/>
      <c r="O242"/>
    </row>
    <row r="243" spans="1:15" ht="14.4">
      <c r="A243" s="1001" t="s">
        <v>500</v>
      </c>
      <c r="B243" s="932" t="s">
        <v>4761</v>
      </c>
      <c r="C243" s="932" t="s">
        <v>39</v>
      </c>
      <c r="D243" s="932" t="s">
        <v>80</v>
      </c>
      <c r="E243" s="1079">
        <v>3094538</v>
      </c>
      <c r="F243" s="932" t="s">
        <v>1553</v>
      </c>
      <c r="G243" s="932" t="s">
        <v>110</v>
      </c>
      <c r="H243" s="1080">
        <v>45849.698541666665</v>
      </c>
      <c r="I243" s="1079">
        <v>20787478523</v>
      </c>
      <c r="J243" s="932" t="s">
        <v>4496</v>
      </c>
      <c r="K243"/>
      <c r="L243"/>
      <c r="M243"/>
      <c r="N243"/>
      <c r="O243"/>
    </row>
    <row r="244" spans="1:15" ht="14.4">
      <c r="A244" s="1001" t="s">
        <v>500</v>
      </c>
      <c r="B244" s="932" t="s">
        <v>4762</v>
      </c>
      <c r="C244" s="932" t="s">
        <v>39</v>
      </c>
      <c r="D244" s="932" t="s">
        <v>80</v>
      </c>
      <c r="E244" s="1079">
        <v>7005550</v>
      </c>
      <c r="F244" s="932" t="s">
        <v>1553</v>
      </c>
      <c r="G244" s="932" t="s">
        <v>110</v>
      </c>
      <c r="H244" s="1080">
        <v>45849.674224537041</v>
      </c>
      <c r="I244" s="1079">
        <v>20784383985</v>
      </c>
      <c r="J244" s="932" t="s">
        <v>4734</v>
      </c>
      <c r="K244"/>
      <c r="L244"/>
      <c r="M244"/>
      <c r="N244"/>
      <c r="O244"/>
    </row>
    <row r="245" spans="1:15" ht="14.4">
      <c r="A245" s="1001" t="s">
        <v>500</v>
      </c>
      <c r="B245" s="932" t="s">
        <v>4763</v>
      </c>
      <c r="C245" s="932" t="s">
        <v>39</v>
      </c>
      <c r="D245" s="932" t="s">
        <v>80</v>
      </c>
      <c r="E245" s="1079">
        <v>405273784</v>
      </c>
      <c r="F245" s="932" t="s">
        <v>1553</v>
      </c>
      <c r="G245" s="932" t="s">
        <v>110</v>
      </c>
      <c r="H245" s="1080">
        <v>45852.339826388888</v>
      </c>
      <c r="I245" s="1079">
        <v>21192752307</v>
      </c>
      <c r="J245" s="932" t="s">
        <v>4577</v>
      </c>
      <c r="K245"/>
      <c r="L245"/>
      <c r="M245"/>
      <c r="N245"/>
      <c r="O245"/>
    </row>
    <row r="246" spans="1:15" ht="14.4">
      <c r="A246" s="1001" t="s">
        <v>500</v>
      </c>
      <c r="B246" s="932" t="s">
        <v>4764</v>
      </c>
      <c r="C246" s="932" t="s">
        <v>39</v>
      </c>
      <c r="D246" s="932" t="s">
        <v>80</v>
      </c>
      <c r="E246" s="1079">
        <v>603545580</v>
      </c>
      <c r="F246" s="932" t="s">
        <v>1553</v>
      </c>
      <c r="G246" s="932" t="s">
        <v>110</v>
      </c>
      <c r="H246" s="1080">
        <v>45852.560173611113</v>
      </c>
      <c r="I246" s="1079">
        <v>21796297887</v>
      </c>
      <c r="J246" s="932" t="s">
        <v>4496</v>
      </c>
      <c r="K246"/>
      <c r="L246"/>
      <c r="M246"/>
      <c r="N246"/>
      <c r="O246"/>
    </row>
    <row r="247" spans="1:15" ht="14.4">
      <c r="A247" s="1001" t="s">
        <v>500</v>
      </c>
      <c r="B247" s="932" t="s">
        <v>2612</v>
      </c>
      <c r="C247" s="932" t="s">
        <v>44</v>
      </c>
      <c r="D247" s="932" t="s">
        <v>80</v>
      </c>
      <c r="E247" s="1079">
        <v>56547945</v>
      </c>
      <c r="F247" s="932" t="s">
        <v>1553</v>
      </c>
      <c r="G247" s="932" t="s">
        <v>110</v>
      </c>
      <c r="H247" s="1080">
        <v>45853.118518518517</v>
      </c>
      <c r="I247" s="1079">
        <v>21852845832</v>
      </c>
      <c r="J247" s="932" t="s">
        <v>4648</v>
      </c>
      <c r="K247"/>
      <c r="L247"/>
      <c r="M247"/>
      <c r="N247"/>
      <c r="O247"/>
    </row>
    <row r="248" spans="1:15" ht="14.4">
      <c r="A248" s="1001" t="s">
        <v>500</v>
      </c>
      <c r="B248" s="932" t="s">
        <v>4765</v>
      </c>
      <c r="C248" s="932" t="s">
        <v>39</v>
      </c>
      <c r="D248" s="932" t="s">
        <v>80</v>
      </c>
      <c r="E248" s="1079">
        <v>48658913</v>
      </c>
      <c r="F248" s="932" t="s">
        <v>1553</v>
      </c>
      <c r="G248" s="932" t="s">
        <v>110</v>
      </c>
      <c r="H248" s="1080">
        <v>45853.430833333332</v>
      </c>
      <c r="I248" s="1079">
        <v>21901504745</v>
      </c>
      <c r="J248" s="932" t="s">
        <v>4583</v>
      </c>
      <c r="K248"/>
      <c r="L248"/>
      <c r="M248"/>
      <c r="N248"/>
      <c r="O248"/>
    </row>
    <row r="249" spans="1:15" ht="14.4">
      <c r="A249" s="1001" t="s">
        <v>785</v>
      </c>
      <c r="B249" s="932" t="s">
        <v>4766</v>
      </c>
      <c r="C249" s="932" t="s">
        <v>4497</v>
      </c>
      <c r="D249" s="932" t="s">
        <v>80</v>
      </c>
      <c r="E249" s="1079">
        <v>100000000</v>
      </c>
      <c r="F249" s="932" t="s">
        <v>1554</v>
      </c>
      <c r="G249" s="932" t="s">
        <v>110</v>
      </c>
      <c r="H249" s="1080">
        <v>45839.778136574074</v>
      </c>
      <c r="I249" s="1079">
        <v>19634919</v>
      </c>
      <c r="J249" s="932" t="s">
        <v>4501</v>
      </c>
      <c r="K249"/>
      <c r="L249"/>
      <c r="M249"/>
      <c r="N249"/>
      <c r="O249"/>
    </row>
    <row r="250" spans="1:15" ht="14.4">
      <c r="A250" s="1001" t="s">
        <v>687</v>
      </c>
      <c r="B250" s="932" t="s">
        <v>4767</v>
      </c>
      <c r="C250" s="932" t="s">
        <v>4497</v>
      </c>
      <c r="D250" s="932" t="s">
        <v>80</v>
      </c>
      <c r="E250" s="1079">
        <v>100000000</v>
      </c>
      <c r="F250" s="932" t="s">
        <v>1554</v>
      </c>
      <c r="G250" s="932" t="s">
        <v>110</v>
      </c>
      <c r="H250" s="1080">
        <v>45839.792847222219</v>
      </c>
      <c r="I250" s="1079">
        <v>42897143</v>
      </c>
      <c r="J250" s="932" t="s">
        <v>4501</v>
      </c>
      <c r="K250"/>
      <c r="L250"/>
      <c r="M250"/>
      <c r="N250"/>
      <c r="O250"/>
    </row>
    <row r="251" spans="1:15" ht="14.4">
      <c r="A251" s="1001" t="s">
        <v>615</v>
      </c>
      <c r="B251" s="932" t="s">
        <v>4768</v>
      </c>
      <c r="C251" s="932" t="s">
        <v>53</v>
      </c>
      <c r="D251" s="932" t="s">
        <v>80</v>
      </c>
      <c r="E251" s="1079">
        <v>7585380</v>
      </c>
      <c r="F251" s="932" t="s">
        <v>1554</v>
      </c>
      <c r="G251" s="932" t="s">
        <v>110</v>
      </c>
      <c r="H251" s="1080">
        <v>45842.498993055553</v>
      </c>
      <c r="I251" s="1079">
        <v>2477215697</v>
      </c>
      <c r="J251" s="932" t="s">
        <v>4650</v>
      </c>
      <c r="K251"/>
      <c r="L251"/>
      <c r="M251"/>
      <c r="N251"/>
      <c r="O251"/>
    </row>
    <row r="252" spans="1:15" ht="14.4">
      <c r="A252" s="1001" t="s">
        <v>615</v>
      </c>
      <c r="B252" s="932" t="s">
        <v>4769</v>
      </c>
      <c r="C252" s="932" t="s">
        <v>53</v>
      </c>
      <c r="D252" s="932" t="s">
        <v>80</v>
      </c>
      <c r="E252" s="1079">
        <v>10368000</v>
      </c>
      <c r="F252" s="932" t="s">
        <v>1554</v>
      </c>
      <c r="G252" s="932" t="s">
        <v>110</v>
      </c>
      <c r="H252" s="1080">
        <v>45853.595219907409</v>
      </c>
      <c r="I252" s="1079">
        <v>2466847697</v>
      </c>
      <c r="J252" s="932" t="s">
        <v>4535</v>
      </c>
      <c r="K252"/>
      <c r="L252"/>
      <c r="M252"/>
      <c r="N252"/>
      <c r="O252"/>
    </row>
    <row r="253" spans="1:15" ht="14.4">
      <c r="A253" s="1001" t="s">
        <v>615</v>
      </c>
      <c r="B253" s="932" t="s">
        <v>4770</v>
      </c>
      <c r="C253" s="932" t="s">
        <v>53</v>
      </c>
      <c r="D253" s="932" t="s">
        <v>80</v>
      </c>
      <c r="E253" s="1079">
        <v>4881276</v>
      </c>
      <c r="F253" s="932" t="s">
        <v>1554</v>
      </c>
      <c r="G253" s="932" t="s">
        <v>110</v>
      </c>
      <c r="H253" s="1080">
        <v>45853.595219907409</v>
      </c>
      <c r="I253" s="1079">
        <v>2461966421</v>
      </c>
      <c r="J253" s="932" t="s">
        <v>4537</v>
      </c>
      <c r="K253"/>
      <c r="L253"/>
      <c r="M253"/>
      <c r="N253"/>
      <c r="O253"/>
    </row>
    <row r="254" spans="1:15" ht="14.4">
      <c r="A254" s="1001" t="s">
        <v>743</v>
      </c>
      <c r="B254" s="932" t="s">
        <v>4771</v>
      </c>
      <c r="C254" s="932" t="s">
        <v>4497</v>
      </c>
      <c r="D254" s="932" t="s">
        <v>80</v>
      </c>
      <c r="E254" s="1079">
        <v>100000000</v>
      </c>
      <c r="F254" s="932" t="s">
        <v>1554</v>
      </c>
      <c r="G254" s="932" t="s">
        <v>110</v>
      </c>
      <c r="H254" s="1080">
        <v>45839.791238425925</v>
      </c>
      <c r="I254" s="1079">
        <v>101408326</v>
      </c>
      <c r="J254" s="932" t="s">
        <v>4501</v>
      </c>
      <c r="K254"/>
      <c r="L254"/>
      <c r="M254"/>
      <c r="N254"/>
      <c r="O254"/>
    </row>
    <row r="255" spans="1:15" ht="14.4">
      <c r="A255" s="1001" t="s">
        <v>950</v>
      </c>
      <c r="B255" s="932" t="s">
        <v>4772</v>
      </c>
      <c r="C255" s="932" t="s">
        <v>4497</v>
      </c>
      <c r="D255" s="932" t="s">
        <v>80</v>
      </c>
      <c r="E255" s="1079">
        <v>850000000</v>
      </c>
      <c r="F255" s="932" t="s">
        <v>1554</v>
      </c>
      <c r="G255" s="932" t="s">
        <v>110</v>
      </c>
      <c r="H255" s="1080">
        <v>45839.782812500001</v>
      </c>
      <c r="I255" s="1079">
        <v>51635262</v>
      </c>
      <c r="J255" s="932" t="s">
        <v>4501</v>
      </c>
      <c r="K255"/>
      <c r="L255"/>
      <c r="M255"/>
      <c r="N255"/>
      <c r="O255"/>
    </row>
    <row r="256" spans="1:15" ht="14.4">
      <c r="A256" s="1001" t="s">
        <v>564</v>
      </c>
      <c r="B256" s="932" t="s">
        <v>4773</v>
      </c>
      <c r="C256" s="932" t="s">
        <v>4497</v>
      </c>
      <c r="D256" s="932" t="s">
        <v>80</v>
      </c>
      <c r="E256" s="1079">
        <v>1500000000</v>
      </c>
      <c r="F256" s="932" t="s">
        <v>1554</v>
      </c>
      <c r="G256" s="932" t="s">
        <v>110</v>
      </c>
      <c r="H256" s="1080">
        <v>45839.792326388888</v>
      </c>
      <c r="I256" s="1079">
        <v>34541572</v>
      </c>
      <c r="J256" s="932" t="s">
        <v>4501</v>
      </c>
      <c r="K256"/>
      <c r="L256"/>
      <c r="M256"/>
      <c r="N256"/>
      <c r="O256"/>
    </row>
    <row r="257" spans="1:15" ht="14.4">
      <c r="A257" s="1001" t="s">
        <v>751</v>
      </c>
      <c r="B257" s="932" t="s">
        <v>4774</v>
      </c>
      <c r="C257" s="932" t="s">
        <v>39</v>
      </c>
      <c r="D257" s="932" t="s">
        <v>80</v>
      </c>
      <c r="E257" s="1079">
        <v>3153600000</v>
      </c>
      <c r="F257" s="932" t="s">
        <v>1553</v>
      </c>
      <c r="G257" s="932" t="s">
        <v>110</v>
      </c>
      <c r="H257" s="1080">
        <v>45846.677997685183</v>
      </c>
      <c r="I257" s="1079">
        <v>4089566306</v>
      </c>
      <c r="J257" s="932" t="s">
        <v>4496</v>
      </c>
      <c r="K257"/>
      <c r="L257"/>
      <c r="M257"/>
      <c r="N257"/>
      <c r="O257"/>
    </row>
    <row r="258" spans="1:15" ht="14.4">
      <c r="A258" s="1001" t="s">
        <v>745</v>
      </c>
      <c r="B258" s="932" t="s">
        <v>4775</v>
      </c>
      <c r="C258" s="932" t="s">
        <v>53</v>
      </c>
      <c r="D258" s="932" t="s">
        <v>80</v>
      </c>
      <c r="E258" s="1079">
        <v>952000</v>
      </c>
      <c r="F258" s="932" t="s">
        <v>1554</v>
      </c>
      <c r="G258" s="932" t="s">
        <v>110</v>
      </c>
      <c r="H258" s="1080">
        <v>45853.595219907409</v>
      </c>
      <c r="I258" s="1079">
        <v>34287436</v>
      </c>
      <c r="J258" s="932" t="s">
        <v>4496</v>
      </c>
      <c r="K258"/>
      <c r="L258"/>
      <c r="M258"/>
      <c r="N258"/>
      <c r="O258"/>
    </row>
    <row r="259" spans="1:15" ht="14.4">
      <c r="A259" s="1001" t="s">
        <v>587</v>
      </c>
      <c r="B259" s="932" t="s">
        <v>4776</v>
      </c>
      <c r="C259" s="932" t="s">
        <v>53</v>
      </c>
      <c r="D259" s="932" t="s">
        <v>80</v>
      </c>
      <c r="E259" s="1079">
        <v>80000000</v>
      </c>
      <c r="F259" s="932" t="s">
        <v>1554</v>
      </c>
      <c r="G259" s="932" t="s">
        <v>110</v>
      </c>
      <c r="H259" s="1080">
        <v>45842.258784722224</v>
      </c>
      <c r="I259" s="1079">
        <v>104258766512</v>
      </c>
      <c r="J259" s="932" t="s">
        <v>4496</v>
      </c>
      <c r="K259"/>
      <c r="L259"/>
      <c r="M259"/>
      <c r="N259"/>
      <c r="O259"/>
    </row>
    <row r="260" spans="1:15" ht="14.4">
      <c r="A260" s="1001" t="s">
        <v>507</v>
      </c>
      <c r="B260" s="932" t="s">
        <v>4777</v>
      </c>
      <c r="C260" s="932" t="s">
        <v>53</v>
      </c>
      <c r="D260" s="932" t="s">
        <v>80</v>
      </c>
      <c r="E260" s="1079">
        <v>65000000</v>
      </c>
      <c r="F260" s="932" t="s">
        <v>1554</v>
      </c>
      <c r="G260" s="932" t="s">
        <v>110</v>
      </c>
      <c r="H260" s="1080">
        <v>45853.595196759263</v>
      </c>
      <c r="I260" s="1079">
        <v>22356048002</v>
      </c>
      <c r="J260" s="932" t="s">
        <v>4496</v>
      </c>
      <c r="K260"/>
      <c r="L260"/>
      <c r="M260"/>
      <c r="N260"/>
      <c r="O260"/>
    </row>
    <row r="261" spans="1:15" ht="14.4">
      <c r="A261" s="1001" t="s">
        <v>555</v>
      </c>
      <c r="B261" s="932" t="s">
        <v>4778</v>
      </c>
      <c r="C261" s="932" t="s">
        <v>53</v>
      </c>
      <c r="D261" s="932" t="s">
        <v>80</v>
      </c>
      <c r="E261" s="1079">
        <v>2710800</v>
      </c>
      <c r="F261" s="932" t="s">
        <v>1554</v>
      </c>
      <c r="G261" s="932" t="s">
        <v>110</v>
      </c>
      <c r="H261" s="1080">
        <v>45841.744456018518</v>
      </c>
      <c r="I261" s="1079">
        <v>9143875218</v>
      </c>
      <c r="J261" s="932" t="s">
        <v>4535</v>
      </c>
      <c r="K261"/>
      <c r="L261"/>
      <c r="M261"/>
      <c r="N261"/>
      <c r="O261"/>
    </row>
    <row r="262" spans="1:15" ht="14.4">
      <c r="A262" s="1001" t="s">
        <v>555</v>
      </c>
      <c r="B262" s="932" t="s">
        <v>4779</v>
      </c>
      <c r="C262" s="932" t="s">
        <v>53</v>
      </c>
      <c r="D262" s="932" t="s">
        <v>80</v>
      </c>
      <c r="E262" s="1079">
        <v>27115355</v>
      </c>
      <c r="F262" s="932" t="s">
        <v>1554</v>
      </c>
      <c r="G262" s="932" t="s">
        <v>110</v>
      </c>
      <c r="H262" s="1080">
        <v>45843.408009259256</v>
      </c>
      <c r="I262" s="1079">
        <v>9116759863</v>
      </c>
      <c r="J262" s="932" t="s">
        <v>4573</v>
      </c>
      <c r="K262"/>
      <c r="L262"/>
      <c r="M262"/>
      <c r="N262"/>
      <c r="O262"/>
    </row>
    <row r="263" spans="1:15" ht="14.4">
      <c r="A263" s="1001" t="s">
        <v>555</v>
      </c>
      <c r="B263" s="932" t="s">
        <v>4780</v>
      </c>
      <c r="C263" s="932" t="s">
        <v>53</v>
      </c>
      <c r="D263" s="932" t="s">
        <v>80</v>
      </c>
      <c r="E263" s="1079">
        <v>25000</v>
      </c>
      <c r="F263" s="932" t="s">
        <v>1554</v>
      </c>
      <c r="G263" s="932" t="s">
        <v>110</v>
      </c>
      <c r="H263" s="1080">
        <v>45845.17591435185</v>
      </c>
      <c r="I263" s="1079">
        <v>9116734863</v>
      </c>
      <c r="J263" s="932" t="s">
        <v>4781</v>
      </c>
      <c r="K263"/>
      <c r="L263"/>
      <c r="M263"/>
      <c r="N263"/>
      <c r="O263"/>
    </row>
    <row r="264" spans="1:15" ht="14.4">
      <c r="A264" s="1001" t="s">
        <v>555</v>
      </c>
      <c r="B264" s="932" t="s">
        <v>2761</v>
      </c>
      <c r="C264" s="932" t="s">
        <v>53</v>
      </c>
      <c r="D264" s="932" t="s">
        <v>80</v>
      </c>
      <c r="E264" s="1079">
        <v>2500</v>
      </c>
      <c r="F264" s="932" t="s">
        <v>1554</v>
      </c>
      <c r="G264" s="932" t="s">
        <v>110</v>
      </c>
      <c r="H264" s="1080">
        <v>45845.17591435185</v>
      </c>
      <c r="I264" s="1079">
        <v>9116732363</v>
      </c>
      <c r="J264" s="932" t="s">
        <v>4496</v>
      </c>
      <c r="K264"/>
      <c r="L264"/>
      <c r="M264"/>
      <c r="N264"/>
      <c r="O264"/>
    </row>
    <row r="265" spans="1:15" ht="14.4">
      <c r="A265" s="1001" t="s">
        <v>555</v>
      </c>
      <c r="B265" s="932" t="s">
        <v>4782</v>
      </c>
      <c r="C265" s="932" t="s">
        <v>39</v>
      </c>
      <c r="D265" s="932" t="s">
        <v>80</v>
      </c>
      <c r="E265" s="1079">
        <v>2862243450</v>
      </c>
      <c r="F265" s="932" t="s">
        <v>1553</v>
      </c>
      <c r="G265" s="932" t="s">
        <v>110</v>
      </c>
      <c r="H265" s="1080">
        <v>45845.609398148146</v>
      </c>
      <c r="I265" s="1079">
        <v>11978975813</v>
      </c>
      <c r="J265" s="932" t="s">
        <v>4496</v>
      </c>
      <c r="K265"/>
      <c r="L265"/>
      <c r="M265"/>
      <c r="N265"/>
      <c r="O265"/>
    </row>
    <row r="266" spans="1:15" ht="14.4">
      <c r="A266" s="1001" t="s">
        <v>555</v>
      </c>
      <c r="B266" s="932" t="s">
        <v>4783</v>
      </c>
      <c r="C266" s="932" t="s">
        <v>44</v>
      </c>
      <c r="D266" s="932" t="s">
        <v>80</v>
      </c>
      <c r="E266" s="1079">
        <v>24739726</v>
      </c>
      <c r="F266" s="932" t="s">
        <v>1553</v>
      </c>
      <c r="G266" s="932" t="s">
        <v>110</v>
      </c>
      <c r="H266" s="1080">
        <v>45849.125902777778</v>
      </c>
      <c r="I266" s="1079">
        <v>12003715539</v>
      </c>
      <c r="J266" s="932" t="s">
        <v>4648</v>
      </c>
      <c r="K266"/>
      <c r="L266"/>
      <c r="M266"/>
      <c r="N266"/>
      <c r="O266"/>
    </row>
    <row r="267" spans="1:15" ht="14.4">
      <c r="A267" s="1001" t="s">
        <v>555</v>
      </c>
      <c r="B267" s="932" t="s">
        <v>4784</v>
      </c>
      <c r="C267" s="932" t="s">
        <v>4495</v>
      </c>
      <c r="D267" s="932" t="s">
        <v>80</v>
      </c>
      <c r="E267" s="1079">
        <v>7000000000</v>
      </c>
      <c r="F267" s="932" t="s">
        <v>1553</v>
      </c>
      <c r="G267" s="932" t="s">
        <v>110</v>
      </c>
      <c r="H267" s="1080">
        <v>45849.125902777778</v>
      </c>
      <c r="I267" s="1079">
        <v>19003715539</v>
      </c>
      <c r="J267" s="932" t="s">
        <v>4648</v>
      </c>
      <c r="K267"/>
      <c r="L267"/>
      <c r="M267"/>
      <c r="N267"/>
      <c r="O267"/>
    </row>
    <row r="268" spans="1:15" ht="14.4">
      <c r="A268" s="1001" t="s">
        <v>555</v>
      </c>
      <c r="B268" s="932" t="s">
        <v>4785</v>
      </c>
      <c r="C268" s="932" t="s">
        <v>4497</v>
      </c>
      <c r="D268" s="932" t="s">
        <v>80</v>
      </c>
      <c r="E268" s="1079">
        <v>10000000000</v>
      </c>
      <c r="F268" s="932" t="s">
        <v>1554</v>
      </c>
      <c r="G268" s="932" t="s">
        <v>110</v>
      </c>
      <c r="H268" s="1080">
        <v>45849.79315972222</v>
      </c>
      <c r="I268" s="1079">
        <v>9007429050</v>
      </c>
      <c r="J268" s="932" t="s">
        <v>4501</v>
      </c>
      <c r="K268"/>
      <c r="L268"/>
      <c r="M268"/>
      <c r="N268"/>
      <c r="O268"/>
    </row>
    <row r="269" spans="1:15" ht="14.4">
      <c r="A269" s="1001" t="s">
        <v>555</v>
      </c>
      <c r="B269" s="932" t="s">
        <v>4786</v>
      </c>
      <c r="C269" s="932" t="s">
        <v>39</v>
      </c>
      <c r="D269" s="932" t="s">
        <v>80</v>
      </c>
      <c r="E269" s="1079">
        <v>3713511</v>
      </c>
      <c r="F269" s="932" t="s">
        <v>1553</v>
      </c>
      <c r="G269" s="932" t="s">
        <v>110</v>
      </c>
      <c r="H269" s="1080">
        <v>45849.397280092591</v>
      </c>
      <c r="I269" s="1079">
        <v>19007429050</v>
      </c>
      <c r="J269" s="932" t="s">
        <v>4787</v>
      </c>
      <c r="K269"/>
      <c r="L269"/>
      <c r="M269"/>
      <c r="N269"/>
      <c r="O269"/>
    </row>
    <row r="270" spans="1:15" ht="14.4">
      <c r="A270" s="1001" t="s">
        <v>555</v>
      </c>
      <c r="B270" s="932" t="s">
        <v>4788</v>
      </c>
      <c r="C270" s="932" t="s">
        <v>22</v>
      </c>
      <c r="D270" s="932" t="s">
        <v>80</v>
      </c>
      <c r="E270" s="1079">
        <v>210600000</v>
      </c>
      <c r="F270" s="932" t="s">
        <v>1554</v>
      </c>
      <c r="G270" s="932" t="s">
        <v>110</v>
      </c>
      <c r="H270" s="1080">
        <v>45853.595196759263</v>
      </c>
      <c r="I270" s="1079">
        <v>8796829050</v>
      </c>
      <c r="J270" s="932" t="s">
        <v>4789</v>
      </c>
      <c r="K270"/>
      <c r="L270"/>
      <c r="M270"/>
      <c r="N270"/>
      <c r="O270"/>
    </row>
    <row r="271" spans="1:15" ht="14.4">
      <c r="A271" s="1001" t="s">
        <v>555</v>
      </c>
      <c r="B271" s="932" t="s">
        <v>4790</v>
      </c>
      <c r="C271" s="932" t="s">
        <v>53</v>
      </c>
      <c r="D271" s="932" t="s">
        <v>80</v>
      </c>
      <c r="E271" s="1079">
        <v>85379400</v>
      </c>
      <c r="F271" s="932" t="s">
        <v>1554</v>
      </c>
      <c r="G271" s="932" t="s">
        <v>110</v>
      </c>
      <c r="H271" s="1080">
        <v>45853.595219907409</v>
      </c>
      <c r="I271" s="1079">
        <v>8711449650</v>
      </c>
      <c r="J271" s="932" t="s">
        <v>4610</v>
      </c>
      <c r="K271"/>
      <c r="L271"/>
      <c r="M271"/>
      <c r="N271"/>
      <c r="O271"/>
    </row>
    <row r="272" spans="1:15" ht="14.4">
      <c r="A272" s="1001" t="s">
        <v>555</v>
      </c>
      <c r="B272" s="932" t="s">
        <v>4791</v>
      </c>
      <c r="C272" s="932" t="s">
        <v>53</v>
      </c>
      <c r="D272" s="932" t="s">
        <v>80</v>
      </c>
      <c r="E272" s="1079">
        <v>80559035</v>
      </c>
      <c r="F272" s="932" t="s">
        <v>1554</v>
      </c>
      <c r="G272" s="932" t="s">
        <v>110</v>
      </c>
      <c r="H272" s="1080">
        <v>45853.595219907409</v>
      </c>
      <c r="I272" s="1079">
        <v>8630890615</v>
      </c>
      <c r="J272" s="932" t="s">
        <v>4548</v>
      </c>
      <c r="K272"/>
      <c r="L272"/>
      <c r="M272"/>
      <c r="N272"/>
      <c r="O272"/>
    </row>
    <row r="273" spans="1:15" ht="14.4">
      <c r="A273" s="1001" t="s">
        <v>504</v>
      </c>
      <c r="B273" s="932" t="s">
        <v>4792</v>
      </c>
      <c r="C273" s="932" t="s">
        <v>39</v>
      </c>
      <c r="D273" s="932" t="s">
        <v>80</v>
      </c>
      <c r="E273" s="1079">
        <v>65000000</v>
      </c>
      <c r="F273" s="932" t="s">
        <v>1553</v>
      </c>
      <c r="G273" s="932" t="s">
        <v>110</v>
      </c>
      <c r="H273" s="1080">
        <v>45839.570763888885</v>
      </c>
      <c r="I273" s="1079">
        <v>3795632609</v>
      </c>
      <c r="J273" s="932" t="s">
        <v>4496</v>
      </c>
      <c r="K273"/>
      <c r="L273"/>
      <c r="M273"/>
      <c r="N273"/>
      <c r="O273"/>
    </row>
    <row r="274" spans="1:15" ht="14.4">
      <c r="A274" s="1001" t="s">
        <v>587</v>
      </c>
      <c r="B274" s="932" t="s">
        <v>4793</v>
      </c>
      <c r="C274" s="932" t="s">
        <v>53</v>
      </c>
      <c r="D274" s="932" t="s">
        <v>80</v>
      </c>
      <c r="E274" s="1079">
        <v>88857771</v>
      </c>
      <c r="F274" s="932" t="s">
        <v>1554</v>
      </c>
      <c r="G274" s="932" t="s">
        <v>110</v>
      </c>
      <c r="H274" s="1080">
        <v>45841.744467592594</v>
      </c>
      <c r="I274" s="1079">
        <v>104714308308</v>
      </c>
      <c r="J274" s="932" t="s">
        <v>4496</v>
      </c>
      <c r="K274"/>
      <c r="L274"/>
      <c r="M274"/>
      <c r="N274"/>
      <c r="O274"/>
    </row>
    <row r="275" spans="1:15" ht="14.4">
      <c r="A275" s="1001" t="s">
        <v>587</v>
      </c>
      <c r="B275" s="932" t="s">
        <v>4794</v>
      </c>
      <c r="C275" s="932" t="s">
        <v>53</v>
      </c>
      <c r="D275" s="932" t="s">
        <v>80</v>
      </c>
      <c r="E275" s="1079">
        <v>375541796</v>
      </c>
      <c r="F275" s="932" t="s">
        <v>1554</v>
      </c>
      <c r="G275" s="932" t="s">
        <v>110</v>
      </c>
      <c r="H275" s="1080">
        <v>45841.744490740741</v>
      </c>
      <c r="I275" s="1079">
        <v>104338766512</v>
      </c>
      <c r="J275" s="932" t="s">
        <v>4548</v>
      </c>
      <c r="K275"/>
      <c r="L275"/>
      <c r="M275"/>
      <c r="N275"/>
      <c r="O275"/>
    </row>
    <row r="276" spans="1:15" ht="14.4">
      <c r="A276" s="1001" t="s">
        <v>555</v>
      </c>
      <c r="B276" s="932" t="s">
        <v>4795</v>
      </c>
      <c r="C276" s="932" t="s">
        <v>53</v>
      </c>
      <c r="D276" s="932" t="s">
        <v>80</v>
      </c>
      <c r="E276" s="1079">
        <v>25740000</v>
      </c>
      <c r="F276" s="932" t="s">
        <v>1554</v>
      </c>
      <c r="G276" s="932" t="s">
        <v>110</v>
      </c>
      <c r="H276" s="1080">
        <v>45840.952210648145</v>
      </c>
      <c r="I276" s="1079">
        <v>9146586018</v>
      </c>
      <c r="J276" s="932" t="s">
        <v>4496</v>
      </c>
      <c r="K276"/>
      <c r="L276"/>
      <c r="M276"/>
      <c r="N276"/>
      <c r="O276"/>
    </row>
    <row r="277" spans="1:15" ht="14.4">
      <c r="A277" s="1001" t="s">
        <v>587</v>
      </c>
      <c r="B277" s="932" t="s">
        <v>4796</v>
      </c>
      <c r="C277" s="932" t="s">
        <v>53</v>
      </c>
      <c r="D277" s="932" t="s">
        <v>80</v>
      </c>
      <c r="E277" s="1079">
        <v>15000000</v>
      </c>
      <c r="F277" s="932" t="s">
        <v>1554</v>
      </c>
      <c r="G277" s="932" t="s">
        <v>110</v>
      </c>
      <c r="H277" s="1080">
        <v>45842.258819444447</v>
      </c>
      <c r="I277" s="1079">
        <v>104243766512</v>
      </c>
      <c r="J277" s="932" t="s">
        <v>4496</v>
      </c>
      <c r="K277"/>
      <c r="L277"/>
      <c r="M277"/>
      <c r="N277"/>
      <c r="O277"/>
    </row>
    <row r="278" spans="1:15" ht="14.4">
      <c r="A278" s="1001" t="s">
        <v>587</v>
      </c>
      <c r="B278" s="932" t="s">
        <v>2640</v>
      </c>
      <c r="C278" s="932" t="s">
        <v>53</v>
      </c>
      <c r="D278" s="932" t="s">
        <v>80</v>
      </c>
      <c r="E278" s="1079">
        <v>5684100</v>
      </c>
      <c r="F278" s="932" t="s">
        <v>1554</v>
      </c>
      <c r="G278" s="932" t="s">
        <v>110</v>
      </c>
      <c r="H278" s="1080">
        <v>45843.215173611112</v>
      </c>
      <c r="I278" s="1079">
        <v>86138082412</v>
      </c>
      <c r="J278" s="932" t="s">
        <v>4496</v>
      </c>
      <c r="K278"/>
      <c r="L278"/>
      <c r="M278"/>
      <c r="N278"/>
      <c r="O278"/>
    </row>
    <row r="279" spans="1:15" ht="14.4">
      <c r="A279" s="1001" t="s">
        <v>587</v>
      </c>
      <c r="B279" s="932" t="s">
        <v>4797</v>
      </c>
      <c r="C279" s="932" t="s">
        <v>53</v>
      </c>
      <c r="D279" s="932" t="s">
        <v>80</v>
      </c>
      <c r="E279" s="1079">
        <v>5216400</v>
      </c>
      <c r="F279" s="932" t="s">
        <v>1554</v>
      </c>
      <c r="G279" s="932" t="s">
        <v>110</v>
      </c>
      <c r="H279" s="1080">
        <v>45843.215798611112</v>
      </c>
      <c r="I279" s="1079">
        <v>86132866012</v>
      </c>
      <c r="J279" s="932" t="s">
        <v>4496</v>
      </c>
      <c r="K279"/>
      <c r="L279"/>
      <c r="M279"/>
      <c r="N279"/>
      <c r="O279"/>
    </row>
    <row r="280" spans="1:15" ht="14.4">
      <c r="A280" s="1001" t="s">
        <v>587</v>
      </c>
      <c r="B280" s="932" t="s">
        <v>4798</v>
      </c>
      <c r="C280" s="932" t="s">
        <v>53</v>
      </c>
      <c r="D280" s="932" t="s">
        <v>80</v>
      </c>
      <c r="E280" s="1079">
        <v>245111625</v>
      </c>
      <c r="F280" s="932" t="s">
        <v>1554</v>
      </c>
      <c r="G280" s="932" t="s">
        <v>110</v>
      </c>
      <c r="H280" s="1080">
        <v>45853.594004629631</v>
      </c>
      <c r="I280" s="1079">
        <v>85863625817</v>
      </c>
      <c r="J280" s="932" t="s">
        <v>4496</v>
      </c>
      <c r="K280"/>
      <c r="L280"/>
      <c r="M280"/>
      <c r="N280"/>
      <c r="O280"/>
    </row>
    <row r="281" spans="1:15" ht="14.4">
      <c r="A281" s="1001" t="s">
        <v>587</v>
      </c>
      <c r="B281" s="932" t="s">
        <v>4799</v>
      </c>
      <c r="C281" s="932" t="s">
        <v>53</v>
      </c>
      <c r="D281" s="932" t="s">
        <v>80</v>
      </c>
      <c r="E281" s="1079">
        <v>63938400</v>
      </c>
      <c r="F281" s="932" t="s">
        <v>1554</v>
      </c>
      <c r="G281" s="932" t="s">
        <v>110</v>
      </c>
      <c r="H281" s="1080">
        <v>45853.594004629631</v>
      </c>
      <c r="I281" s="1079">
        <v>85799687417</v>
      </c>
      <c r="J281" s="932" t="s">
        <v>4496</v>
      </c>
      <c r="K281"/>
      <c r="L281"/>
      <c r="M281"/>
      <c r="N281"/>
      <c r="O281"/>
    </row>
    <row r="282" spans="1:15" ht="14.4">
      <c r="A282" s="1001" t="s">
        <v>587</v>
      </c>
      <c r="B282" s="932" t="s">
        <v>4800</v>
      </c>
      <c r="C282" s="932" t="s">
        <v>53</v>
      </c>
      <c r="D282" s="932" t="s">
        <v>80</v>
      </c>
      <c r="E282" s="1079">
        <v>12172416</v>
      </c>
      <c r="F282" s="932" t="s">
        <v>1554</v>
      </c>
      <c r="G282" s="932" t="s">
        <v>110</v>
      </c>
      <c r="H282" s="1080">
        <v>45853.594004629631</v>
      </c>
      <c r="I282" s="1079">
        <v>85787515001</v>
      </c>
      <c r="J282" s="932" t="s">
        <v>4496</v>
      </c>
      <c r="K282"/>
      <c r="L282"/>
      <c r="M282"/>
      <c r="N282"/>
      <c r="O282"/>
    </row>
    <row r="283" spans="1:15" ht="14.4">
      <c r="A283" s="1001" t="s">
        <v>587</v>
      </c>
      <c r="B283" s="932" t="s">
        <v>4801</v>
      </c>
      <c r="C283" s="932" t="s">
        <v>53</v>
      </c>
      <c r="D283" s="932" t="s">
        <v>80</v>
      </c>
      <c r="E283" s="1079">
        <v>11892009</v>
      </c>
      <c r="F283" s="932" t="s">
        <v>1554</v>
      </c>
      <c r="G283" s="932" t="s">
        <v>110</v>
      </c>
      <c r="H283" s="1080">
        <v>45853.594004629631</v>
      </c>
      <c r="I283" s="1079">
        <v>85775622992</v>
      </c>
      <c r="J283" s="932" t="s">
        <v>4535</v>
      </c>
      <c r="K283"/>
      <c r="L283"/>
      <c r="M283"/>
      <c r="N283"/>
      <c r="O283"/>
    </row>
    <row r="284" spans="1:15" ht="14.4">
      <c r="A284" s="1001" t="s">
        <v>587</v>
      </c>
      <c r="B284" s="932" t="s">
        <v>4802</v>
      </c>
      <c r="C284" s="932" t="s">
        <v>53</v>
      </c>
      <c r="D284" s="932" t="s">
        <v>80</v>
      </c>
      <c r="E284" s="1079">
        <v>8788041</v>
      </c>
      <c r="F284" s="932" t="s">
        <v>1554</v>
      </c>
      <c r="G284" s="932" t="s">
        <v>110</v>
      </c>
      <c r="H284" s="1080">
        <v>45853.594004629631</v>
      </c>
      <c r="I284" s="1079">
        <v>85766834951</v>
      </c>
      <c r="J284" s="932" t="s">
        <v>4496</v>
      </c>
      <c r="K284"/>
      <c r="L284"/>
      <c r="M284"/>
      <c r="N284"/>
      <c r="O284"/>
    </row>
    <row r="285" spans="1:15" ht="14.4">
      <c r="A285" s="1001" t="s">
        <v>587</v>
      </c>
      <c r="B285" s="932" t="s">
        <v>4803</v>
      </c>
      <c r="C285" s="932" t="s">
        <v>53</v>
      </c>
      <c r="D285" s="932" t="s">
        <v>80</v>
      </c>
      <c r="E285" s="1079">
        <v>7200000</v>
      </c>
      <c r="F285" s="932" t="s">
        <v>1554</v>
      </c>
      <c r="G285" s="932" t="s">
        <v>110</v>
      </c>
      <c r="H285" s="1080">
        <v>45853.594004629631</v>
      </c>
      <c r="I285" s="1079">
        <v>85759634951</v>
      </c>
      <c r="J285" s="932" t="s">
        <v>4496</v>
      </c>
      <c r="K285"/>
      <c r="L285"/>
      <c r="M285"/>
      <c r="N285"/>
      <c r="O285"/>
    </row>
    <row r="286" spans="1:15" ht="14.4">
      <c r="A286" s="1001" t="s">
        <v>587</v>
      </c>
      <c r="B286" s="932" t="s">
        <v>4804</v>
      </c>
      <c r="C286" s="932" t="s">
        <v>53</v>
      </c>
      <c r="D286" s="932" t="s">
        <v>80</v>
      </c>
      <c r="E286" s="1079">
        <v>6561600</v>
      </c>
      <c r="F286" s="932" t="s">
        <v>1554</v>
      </c>
      <c r="G286" s="932" t="s">
        <v>110</v>
      </c>
      <c r="H286" s="1080">
        <v>45853.594004629631</v>
      </c>
      <c r="I286" s="1079">
        <v>85753073351</v>
      </c>
      <c r="J286" s="932" t="s">
        <v>4537</v>
      </c>
      <c r="K286"/>
      <c r="L286"/>
      <c r="M286"/>
      <c r="N286"/>
      <c r="O286"/>
    </row>
    <row r="287" spans="1:15" ht="14.4">
      <c r="A287" s="1001" t="s">
        <v>587</v>
      </c>
      <c r="B287" s="932" t="s">
        <v>4805</v>
      </c>
      <c r="C287" s="932" t="s">
        <v>53</v>
      </c>
      <c r="D287" s="932" t="s">
        <v>80</v>
      </c>
      <c r="E287" s="1079">
        <v>5572655</v>
      </c>
      <c r="F287" s="932" t="s">
        <v>1554</v>
      </c>
      <c r="G287" s="932" t="s">
        <v>110</v>
      </c>
      <c r="H287" s="1080">
        <v>45853.594004629631</v>
      </c>
      <c r="I287" s="1079">
        <v>85747500696</v>
      </c>
      <c r="J287" s="932" t="s">
        <v>4496</v>
      </c>
      <c r="K287"/>
      <c r="L287"/>
      <c r="M287"/>
      <c r="N287"/>
      <c r="O287"/>
    </row>
    <row r="288" spans="1:15" ht="14.4">
      <c r="A288" s="1001" t="s">
        <v>587</v>
      </c>
      <c r="B288" s="932" t="s">
        <v>4806</v>
      </c>
      <c r="C288" s="932" t="s">
        <v>53</v>
      </c>
      <c r="D288" s="932" t="s">
        <v>80</v>
      </c>
      <c r="E288" s="1079">
        <v>5232804</v>
      </c>
      <c r="F288" s="932" t="s">
        <v>1554</v>
      </c>
      <c r="G288" s="932" t="s">
        <v>110</v>
      </c>
      <c r="H288" s="1080">
        <v>45853.594004629631</v>
      </c>
      <c r="I288" s="1079">
        <v>85742267892</v>
      </c>
      <c r="J288" s="932" t="s">
        <v>4537</v>
      </c>
      <c r="K288"/>
      <c r="L288"/>
      <c r="M288"/>
      <c r="N288"/>
      <c r="O288"/>
    </row>
    <row r="289" spans="1:15" ht="14.4">
      <c r="A289" s="1001" t="s">
        <v>587</v>
      </c>
      <c r="B289" s="932" t="s">
        <v>4807</v>
      </c>
      <c r="C289" s="932" t="s">
        <v>53</v>
      </c>
      <c r="D289" s="932" t="s">
        <v>80</v>
      </c>
      <c r="E289" s="1079">
        <v>4671480</v>
      </c>
      <c r="F289" s="932" t="s">
        <v>1554</v>
      </c>
      <c r="G289" s="932" t="s">
        <v>110</v>
      </c>
      <c r="H289" s="1080">
        <v>45853.594004629631</v>
      </c>
      <c r="I289" s="1079">
        <v>85737596412</v>
      </c>
      <c r="J289" s="932" t="s">
        <v>4496</v>
      </c>
      <c r="K289"/>
      <c r="L289"/>
      <c r="M289"/>
      <c r="N289"/>
      <c r="O289"/>
    </row>
    <row r="290" spans="1:15" ht="14.4">
      <c r="A290" s="1001" t="s">
        <v>587</v>
      </c>
      <c r="B290" s="932" t="s">
        <v>4808</v>
      </c>
      <c r="C290" s="932" t="s">
        <v>53</v>
      </c>
      <c r="D290" s="932" t="s">
        <v>80</v>
      </c>
      <c r="E290" s="1079">
        <v>3564000</v>
      </c>
      <c r="F290" s="932" t="s">
        <v>1554</v>
      </c>
      <c r="G290" s="932" t="s">
        <v>110</v>
      </c>
      <c r="H290" s="1080">
        <v>45853.5940162037</v>
      </c>
      <c r="I290" s="1079">
        <v>85734032412</v>
      </c>
      <c r="J290" s="932" t="s">
        <v>4496</v>
      </c>
      <c r="K290"/>
      <c r="L290"/>
      <c r="M290"/>
      <c r="N290"/>
      <c r="O290"/>
    </row>
    <row r="291" spans="1:15" ht="14.4">
      <c r="A291" s="1001" t="s">
        <v>587</v>
      </c>
      <c r="B291" s="932" t="s">
        <v>4809</v>
      </c>
      <c r="C291" s="932" t="s">
        <v>53</v>
      </c>
      <c r="D291" s="932" t="s">
        <v>80</v>
      </c>
      <c r="E291" s="1079">
        <v>3509000</v>
      </c>
      <c r="F291" s="932" t="s">
        <v>1554</v>
      </c>
      <c r="G291" s="932" t="s">
        <v>110</v>
      </c>
      <c r="H291" s="1080">
        <v>45853.5940162037</v>
      </c>
      <c r="I291" s="1079">
        <v>85730523412</v>
      </c>
      <c r="J291" s="932" t="s">
        <v>4496</v>
      </c>
      <c r="K291"/>
      <c r="L291"/>
      <c r="M291"/>
      <c r="N291"/>
      <c r="O291"/>
    </row>
    <row r="292" spans="1:15" ht="14.4">
      <c r="A292" s="1001" t="s">
        <v>587</v>
      </c>
      <c r="B292" s="932" t="s">
        <v>4810</v>
      </c>
      <c r="C292" s="932" t="s">
        <v>53</v>
      </c>
      <c r="D292" s="932" t="s">
        <v>80</v>
      </c>
      <c r="E292" s="1079">
        <v>3227927</v>
      </c>
      <c r="F292" s="932" t="s">
        <v>1554</v>
      </c>
      <c r="G292" s="932" t="s">
        <v>110</v>
      </c>
      <c r="H292" s="1080">
        <v>45853.5940162037</v>
      </c>
      <c r="I292" s="1079">
        <v>85727295485</v>
      </c>
      <c r="J292" s="932" t="s">
        <v>4496</v>
      </c>
      <c r="K292"/>
      <c r="L292"/>
      <c r="M292"/>
      <c r="N292"/>
      <c r="O292"/>
    </row>
    <row r="293" spans="1:15" ht="14.4">
      <c r="A293" s="1001" t="s">
        <v>587</v>
      </c>
      <c r="B293" s="932" t="s">
        <v>4811</v>
      </c>
      <c r="C293" s="932" t="s">
        <v>53</v>
      </c>
      <c r="D293" s="932" t="s">
        <v>80</v>
      </c>
      <c r="E293" s="1079">
        <v>3047048</v>
      </c>
      <c r="F293" s="932" t="s">
        <v>1554</v>
      </c>
      <c r="G293" s="932" t="s">
        <v>110</v>
      </c>
      <c r="H293" s="1080">
        <v>45853.5940162037</v>
      </c>
      <c r="I293" s="1079">
        <v>85724248437</v>
      </c>
      <c r="J293" s="932" t="s">
        <v>4496</v>
      </c>
      <c r="K293"/>
      <c r="L293"/>
      <c r="M293"/>
      <c r="N293"/>
      <c r="O293"/>
    </row>
    <row r="294" spans="1:15" ht="14.4">
      <c r="A294" s="1001" t="s">
        <v>587</v>
      </c>
      <c r="B294" s="932" t="s">
        <v>4812</v>
      </c>
      <c r="C294" s="932" t="s">
        <v>53</v>
      </c>
      <c r="D294" s="932" t="s">
        <v>80</v>
      </c>
      <c r="E294" s="1079">
        <v>3030000</v>
      </c>
      <c r="F294" s="932" t="s">
        <v>1554</v>
      </c>
      <c r="G294" s="932" t="s">
        <v>110</v>
      </c>
      <c r="H294" s="1080">
        <v>45853.5940162037</v>
      </c>
      <c r="I294" s="1079">
        <v>85721218437</v>
      </c>
      <c r="J294" s="932" t="s">
        <v>4496</v>
      </c>
      <c r="K294"/>
      <c r="L294"/>
      <c r="M294"/>
      <c r="N294"/>
      <c r="O294"/>
    </row>
    <row r="295" spans="1:15" ht="14.4">
      <c r="A295" s="1001" t="s">
        <v>587</v>
      </c>
      <c r="B295" s="932" t="s">
        <v>4813</v>
      </c>
      <c r="C295" s="932" t="s">
        <v>53</v>
      </c>
      <c r="D295" s="932" t="s">
        <v>80</v>
      </c>
      <c r="E295" s="1079">
        <v>2942104</v>
      </c>
      <c r="F295" s="932" t="s">
        <v>1554</v>
      </c>
      <c r="G295" s="932" t="s">
        <v>110</v>
      </c>
      <c r="H295" s="1080">
        <v>45853.5940162037</v>
      </c>
      <c r="I295" s="1079">
        <v>85718276333</v>
      </c>
      <c r="J295" s="932" t="s">
        <v>4496</v>
      </c>
      <c r="K295"/>
      <c r="L295"/>
      <c r="M295"/>
      <c r="N295"/>
      <c r="O295"/>
    </row>
    <row r="296" spans="1:15" ht="14.4">
      <c r="A296" s="1001" t="s">
        <v>587</v>
      </c>
      <c r="B296" s="932" t="s">
        <v>4814</v>
      </c>
      <c r="C296" s="932" t="s">
        <v>53</v>
      </c>
      <c r="D296" s="932" t="s">
        <v>80</v>
      </c>
      <c r="E296" s="1079">
        <v>2909788</v>
      </c>
      <c r="F296" s="932" t="s">
        <v>1554</v>
      </c>
      <c r="G296" s="932" t="s">
        <v>110</v>
      </c>
      <c r="H296" s="1080">
        <v>45853.5940162037</v>
      </c>
      <c r="I296" s="1079">
        <v>85715366545</v>
      </c>
      <c r="J296" s="932" t="s">
        <v>4496</v>
      </c>
      <c r="K296"/>
      <c r="L296"/>
      <c r="M296"/>
      <c r="N296"/>
      <c r="O296"/>
    </row>
    <row r="297" spans="1:15" ht="14.4">
      <c r="A297" s="1001" t="s">
        <v>587</v>
      </c>
      <c r="B297" s="932" t="s">
        <v>4815</v>
      </c>
      <c r="C297" s="932" t="s">
        <v>53</v>
      </c>
      <c r="D297" s="932" t="s">
        <v>80</v>
      </c>
      <c r="E297" s="1079">
        <v>2748076</v>
      </c>
      <c r="F297" s="932" t="s">
        <v>1554</v>
      </c>
      <c r="G297" s="932" t="s">
        <v>110</v>
      </c>
      <c r="H297" s="1080">
        <v>45853.5940162037</v>
      </c>
      <c r="I297" s="1079">
        <v>85712618469</v>
      </c>
      <c r="J297" s="932" t="s">
        <v>4537</v>
      </c>
      <c r="K297"/>
      <c r="L297"/>
      <c r="M297"/>
      <c r="N297"/>
      <c r="O297"/>
    </row>
    <row r="298" spans="1:15" ht="14.4">
      <c r="A298" s="1001" t="s">
        <v>587</v>
      </c>
      <c r="B298" s="932" t="s">
        <v>4816</v>
      </c>
      <c r="C298" s="932" t="s">
        <v>53</v>
      </c>
      <c r="D298" s="932" t="s">
        <v>80</v>
      </c>
      <c r="E298" s="1079">
        <v>2500002</v>
      </c>
      <c r="F298" s="932" t="s">
        <v>1554</v>
      </c>
      <c r="G298" s="932" t="s">
        <v>110</v>
      </c>
      <c r="H298" s="1080">
        <v>45853.5940162037</v>
      </c>
      <c r="I298" s="1079">
        <v>85710118467</v>
      </c>
      <c r="J298" s="932" t="s">
        <v>4496</v>
      </c>
      <c r="K298"/>
      <c r="L298"/>
      <c r="M298"/>
      <c r="N298"/>
      <c r="O298"/>
    </row>
    <row r="299" spans="1:15" ht="14.4">
      <c r="A299" s="1001" t="s">
        <v>587</v>
      </c>
      <c r="B299" s="932" t="s">
        <v>4817</v>
      </c>
      <c r="C299" s="932" t="s">
        <v>53</v>
      </c>
      <c r="D299" s="932" t="s">
        <v>80</v>
      </c>
      <c r="E299" s="1079">
        <v>2025000</v>
      </c>
      <c r="F299" s="932" t="s">
        <v>1554</v>
      </c>
      <c r="G299" s="932" t="s">
        <v>110</v>
      </c>
      <c r="H299" s="1080">
        <v>45853.5940162037</v>
      </c>
      <c r="I299" s="1079">
        <v>85708093467</v>
      </c>
      <c r="J299" s="932" t="s">
        <v>4537</v>
      </c>
      <c r="K299"/>
      <c r="L299"/>
      <c r="M299"/>
      <c r="N299"/>
      <c r="O299"/>
    </row>
    <row r="300" spans="1:15" ht="14.4">
      <c r="A300" s="1001" t="s">
        <v>587</v>
      </c>
      <c r="B300" s="932" t="s">
        <v>4818</v>
      </c>
      <c r="C300" s="932" t="s">
        <v>53</v>
      </c>
      <c r="D300" s="932" t="s">
        <v>80</v>
      </c>
      <c r="E300" s="1079">
        <v>1849320</v>
      </c>
      <c r="F300" s="932" t="s">
        <v>1554</v>
      </c>
      <c r="G300" s="932" t="s">
        <v>110</v>
      </c>
      <c r="H300" s="1080">
        <v>45853.5940162037</v>
      </c>
      <c r="I300" s="1079">
        <v>85706244147</v>
      </c>
      <c r="J300" s="932" t="s">
        <v>4496</v>
      </c>
      <c r="K300"/>
      <c r="L300"/>
      <c r="M300"/>
      <c r="N300"/>
      <c r="O300"/>
    </row>
    <row r="301" spans="1:15" ht="14.4">
      <c r="A301" s="1001" t="s">
        <v>587</v>
      </c>
      <c r="B301" s="932" t="s">
        <v>4819</v>
      </c>
      <c r="C301" s="932" t="s">
        <v>53</v>
      </c>
      <c r="D301" s="932" t="s">
        <v>80</v>
      </c>
      <c r="E301" s="1079">
        <v>1746987</v>
      </c>
      <c r="F301" s="932" t="s">
        <v>1554</v>
      </c>
      <c r="G301" s="932" t="s">
        <v>110</v>
      </c>
      <c r="H301" s="1080">
        <v>45853.5940162037</v>
      </c>
      <c r="I301" s="1079">
        <v>85704497160</v>
      </c>
      <c r="J301" s="932" t="s">
        <v>4508</v>
      </c>
      <c r="K301"/>
      <c r="L301"/>
      <c r="M301"/>
      <c r="N301"/>
      <c r="O301"/>
    </row>
    <row r="302" spans="1:15" ht="14.4">
      <c r="A302" s="1001" t="s">
        <v>587</v>
      </c>
      <c r="B302" s="932" t="s">
        <v>4820</v>
      </c>
      <c r="C302" s="932" t="s">
        <v>53</v>
      </c>
      <c r="D302" s="932" t="s">
        <v>80</v>
      </c>
      <c r="E302" s="1079">
        <v>1529280</v>
      </c>
      <c r="F302" s="932" t="s">
        <v>1554</v>
      </c>
      <c r="G302" s="932" t="s">
        <v>110</v>
      </c>
      <c r="H302" s="1080">
        <v>45853.5940162037</v>
      </c>
      <c r="I302" s="1079">
        <v>85702967880</v>
      </c>
      <c r="J302" s="932" t="s">
        <v>4537</v>
      </c>
      <c r="K302"/>
      <c r="L302"/>
      <c r="M302"/>
      <c r="N302"/>
      <c r="O302"/>
    </row>
    <row r="303" spans="1:15" ht="14.4">
      <c r="A303" s="1001" t="s">
        <v>587</v>
      </c>
      <c r="B303" s="932" t="s">
        <v>4821</v>
      </c>
      <c r="C303" s="932" t="s">
        <v>53</v>
      </c>
      <c r="D303" s="932" t="s">
        <v>80</v>
      </c>
      <c r="E303" s="1079">
        <v>1097280</v>
      </c>
      <c r="F303" s="932" t="s">
        <v>1554</v>
      </c>
      <c r="G303" s="932" t="s">
        <v>110</v>
      </c>
      <c r="H303" s="1080">
        <v>45853.5940162037</v>
      </c>
      <c r="I303" s="1079">
        <v>85701870600</v>
      </c>
      <c r="J303" s="932" t="s">
        <v>4496</v>
      </c>
      <c r="K303"/>
      <c r="L303"/>
      <c r="M303"/>
      <c r="N303"/>
      <c r="O303"/>
    </row>
    <row r="304" spans="1:15" ht="14.4">
      <c r="A304" s="1001" t="s">
        <v>615</v>
      </c>
      <c r="B304" s="932" t="s">
        <v>4822</v>
      </c>
      <c r="C304" s="932" t="s">
        <v>53</v>
      </c>
      <c r="D304" s="932" t="s">
        <v>80</v>
      </c>
      <c r="E304" s="1079">
        <v>22880000</v>
      </c>
      <c r="F304" s="932" t="s">
        <v>1554</v>
      </c>
      <c r="G304" s="932" t="s">
        <v>110</v>
      </c>
      <c r="H304" s="1080">
        <v>45840.952280092592</v>
      </c>
      <c r="I304" s="1079">
        <v>2484801077</v>
      </c>
      <c r="J304" s="932" t="s">
        <v>4496</v>
      </c>
      <c r="K304"/>
      <c r="L304"/>
      <c r="M304"/>
      <c r="N304"/>
      <c r="O304"/>
    </row>
    <row r="305" spans="1:15" ht="14.4">
      <c r="A305" s="1001" t="s">
        <v>610</v>
      </c>
      <c r="B305" s="932" t="s">
        <v>4823</v>
      </c>
      <c r="C305" s="932" t="s">
        <v>53</v>
      </c>
      <c r="D305" s="932" t="s">
        <v>80</v>
      </c>
      <c r="E305" s="1079">
        <v>14355000</v>
      </c>
      <c r="F305" s="932" t="s">
        <v>1554</v>
      </c>
      <c r="G305" s="932" t="s">
        <v>110</v>
      </c>
      <c r="H305" s="1080">
        <v>45851.950543981482</v>
      </c>
      <c r="I305" s="1079">
        <v>10280463253</v>
      </c>
      <c r="J305" s="932" t="s">
        <v>4496</v>
      </c>
      <c r="K305"/>
      <c r="L305"/>
      <c r="M305"/>
      <c r="N305"/>
      <c r="O305"/>
    </row>
    <row r="306" spans="1:15" ht="14.4">
      <c r="A306" s="1001" t="s">
        <v>587</v>
      </c>
      <c r="B306" s="932" t="s">
        <v>4824</v>
      </c>
      <c r="C306" s="932" t="s">
        <v>53</v>
      </c>
      <c r="D306" s="932" t="s">
        <v>80</v>
      </c>
      <c r="E306" s="1079">
        <v>799470</v>
      </c>
      <c r="F306" s="932" t="s">
        <v>1554</v>
      </c>
      <c r="G306" s="932" t="s">
        <v>110</v>
      </c>
      <c r="H306" s="1080">
        <v>45853.5940162037</v>
      </c>
      <c r="I306" s="1079">
        <v>85699471130</v>
      </c>
      <c r="J306" s="932" t="s">
        <v>4537</v>
      </c>
      <c r="K306"/>
      <c r="L306"/>
      <c r="M306"/>
      <c r="N306"/>
      <c r="O306"/>
    </row>
    <row r="307" spans="1:15" ht="14.4">
      <c r="A307" s="1001" t="s">
        <v>587</v>
      </c>
      <c r="B307" s="932" t="s">
        <v>4825</v>
      </c>
      <c r="C307" s="932" t="s">
        <v>53</v>
      </c>
      <c r="D307" s="932" t="s">
        <v>80</v>
      </c>
      <c r="E307" s="1079">
        <v>400000</v>
      </c>
      <c r="F307" s="932" t="s">
        <v>1554</v>
      </c>
      <c r="G307" s="932" t="s">
        <v>110</v>
      </c>
      <c r="H307" s="1080">
        <v>45853.5940162037</v>
      </c>
      <c r="I307" s="1079">
        <v>85699071130</v>
      </c>
      <c r="J307" s="932" t="s">
        <v>4496</v>
      </c>
      <c r="K307"/>
      <c r="L307"/>
      <c r="M307"/>
      <c r="N307"/>
      <c r="O307"/>
    </row>
    <row r="308" spans="1:15" ht="14.4">
      <c r="A308" s="1001" t="s">
        <v>587</v>
      </c>
      <c r="B308" s="932" t="s">
        <v>4826</v>
      </c>
      <c r="C308" s="932" t="s">
        <v>53</v>
      </c>
      <c r="D308" s="932" t="s">
        <v>80</v>
      </c>
      <c r="E308" s="1079">
        <v>3516403</v>
      </c>
      <c r="F308" s="932" t="s">
        <v>1554</v>
      </c>
      <c r="G308" s="932" t="s">
        <v>110</v>
      </c>
      <c r="H308" s="1080">
        <v>45853.595219907409</v>
      </c>
      <c r="I308" s="1079">
        <v>85695554727</v>
      </c>
      <c r="J308" s="932" t="s">
        <v>4496</v>
      </c>
      <c r="K308"/>
      <c r="L308"/>
      <c r="M308"/>
      <c r="N308"/>
      <c r="O308"/>
    </row>
    <row r="309" spans="1:15" ht="14.4">
      <c r="A309" s="1001" t="s">
        <v>587</v>
      </c>
      <c r="B309" s="932" t="s">
        <v>4827</v>
      </c>
      <c r="C309" s="932" t="s">
        <v>53</v>
      </c>
      <c r="D309" s="932" t="s">
        <v>80</v>
      </c>
      <c r="E309" s="1079">
        <v>22326570</v>
      </c>
      <c r="F309" s="932" t="s">
        <v>1554</v>
      </c>
      <c r="G309" s="932" t="s">
        <v>110</v>
      </c>
      <c r="H309" s="1080">
        <v>45853.593981481485</v>
      </c>
      <c r="I309" s="1079">
        <v>86110539442</v>
      </c>
      <c r="J309" s="932" t="s">
        <v>4496</v>
      </c>
      <c r="K309"/>
      <c r="L309"/>
      <c r="M309"/>
      <c r="N309"/>
      <c r="O309"/>
    </row>
    <row r="310" spans="1:15" ht="14.4">
      <c r="A310" s="1001" t="s">
        <v>587</v>
      </c>
      <c r="B310" s="932" t="s">
        <v>4828</v>
      </c>
      <c r="C310" s="932" t="s">
        <v>53</v>
      </c>
      <c r="D310" s="932" t="s">
        <v>80</v>
      </c>
      <c r="E310" s="1079">
        <v>1802000</v>
      </c>
      <c r="F310" s="932" t="s">
        <v>1554</v>
      </c>
      <c r="G310" s="932" t="s">
        <v>110</v>
      </c>
      <c r="H310" s="1080">
        <v>45853.593981481485</v>
      </c>
      <c r="I310" s="1079">
        <v>86108737442</v>
      </c>
      <c r="J310" s="932" t="s">
        <v>4558</v>
      </c>
      <c r="K310"/>
      <c r="L310"/>
      <c r="M310"/>
      <c r="N310"/>
      <c r="O310"/>
    </row>
    <row r="311" spans="1:15" ht="14.4">
      <c r="A311" s="1001" t="s">
        <v>705</v>
      </c>
      <c r="B311" s="932" t="s">
        <v>4829</v>
      </c>
      <c r="C311" s="932" t="s">
        <v>53</v>
      </c>
      <c r="D311" s="932" t="s">
        <v>80</v>
      </c>
      <c r="E311" s="1079">
        <v>14355000</v>
      </c>
      <c r="F311" s="932" t="s">
        <v>1554</v>
      </c>
      <c r="G311" s="932" t="s">
        <v>110</v>
      </c>
      <c r="H311" s="1080">
        <v>45849.633750000001</v>
      </c>
      <c r="I311" s="1079">
        <v>4626255572</v>
      </c>
      <c r="J311" s="932" t="s">
        <v>4496</v>
      </c>
      <c r="K311"/>
      <c r="L311"/>
      <c r="M311"/>
      <c r="N311"/>
      <c r="O311"/>
    </row>
    <row r="312" spans="1:15" ht="14.4">
      <c r="A312" s="1001" t="s">
        <v>666</v>
      </c>
      <c r="B312" s="932" t="s">
        <v>4830</v>
      </c>
      <c r="C312" s="932" t="s">
        <v>39</v>
      </c>
      <c r="D312" s="932" t="s">
        <v>80</v>
      </c>
      <c r="E312" s="1079">
        <v>412398580</v>
      </c>
      <c r="F312" s="932" t="s">
        <v>1553</v>
      </c>
      <c r="G312" s="932" t="s">
        <v>110</v>
      </c>
      <c r="H312" s="1080">
        <v>45839.600266203706</v>
      </c>
      <c r="I312" s="1079">
        <v>1754516509</v>
      </c>
      <c r="J312" s="932" t="s">
        <v>4523</v>
      </c>
      <c r="K312"/>
      <c r="L312"/>
      <c r="M312"/>
      <c r="N312"/>
      <c r="O312"/>
    </row>
    <row r="313" spans="1:15" ht="14.4">
      <c r="A313" s="1001" t="s">
        <v>666</v>
      </c>
      <c r="B313" s="932" t="s">
        <v>4831</v>
      </c>
      <c r="C313" s="932" t="s">
        <v>39</v>
      </c>
      <c r="D313" s="932" t="s">
        <v>80</v>
      </c>
      <c r="E313" s="1079">
        <v>48815942</v>
      </c>
      <c r="F313" s="932" t="s">
        <v>1553</v>
      </c>
      <c r="G313" s="932" t="s">
        <v>110</v>
      </c>
      <c r="H313" s="1080">
        <v>45842.37296296296</v>
      </c>
      <c r="I313" s="1079">
        <v>1803332451</v>
      </c>
      <c r="J313" s="932" t="s">
        <v>4583</v>
      </c>
      <c r="K313"/>
      <c r="L313"/>
      <c r="M313"/>
      <c r="N313"/>
      <c r="O313"/>
    </row>
    <row r="314" spans="1:15" ht="14.4">
      <c r="A314" s="1001" t="s">
        <v>666</v>
      </c>
      <c r="B314" s="932" t="s">
        <v>4832</v>
      </c>
      <c r="C314" s="932" t="s">
        <v>53</v>
      </c>
      <c r="D314" s="932" t="s">
        <v>80</v>
      </c>
      <c r="E314" s="1079">
        <v>68600513</v>
      </c>
      <c r="F314" s="932" t="s">
        <v>1554</v>
      </c>
      <c r="G314" s="932" t="s">
        <v>110</v>
      </c>
      <c r="H314" s="1080">
        <v>45845.396516203706</v>
      </c>
      <c r="I314" s="1079">
        <v>1734731938</v>
      </c>
      <c r="J314" s="932" t="s">
        <v>4535</v>
      </c>
      <c r="K314"/>
      <c r="L314"/>
      <c r="M314"/>
      <c r="N314"/>
      <c r="O314"/>
    </row>
    <row r="315" spans="1:15" ht="14.4">
      <c r="A315" s="1001" t="s">
        <v>666</v>
      </c>
      <c r="B315" s="932" t="s">
        <v>4833</v>
      </c>
      <c r="C315" s="932" t="s">
        <v>53</v>
      </c>
      <c r="D315" s="932" t="s">
        <v>80</v>
      </c>
      <c r="E315" s="1079">
        <v>12744000</v>
      </c>
      <c r="F315" s="932" t="s">
        <v>1554</v>
      </c>
      <c r="G315" s="932" t="s">
        <v>110</v>
      </c>
      <c r="H315" s="1080">
        <v>45845.396550925929</v>
      </c>
      <c r="I315" s="1079">
        <v>1721987938</v>
      </c>
      <c r="J315" s="932" t="s">
        <v>4496</v>
      </c>
      <c r="K315"/>
      <c r="L315"/>
      <c r="M315"/>
      <c r="N315"/>
      <c r="O315"/>
    </row>
    <row r="316" spans="1:15" ht="14.4">
      <c r="A316" s="1001" t="s">
        <v>666</v>
      </c>
      <c r="B316" s="932" t="s">
        <v>4834</v>
      </c>
      <c r="C316" s="932" t="s">
        <v>53</v>
      </c>
      <c r="D316" s="932" t="s">
        <v>80</v>
      </c>
      <c r="E316" s="1079">
        <v>106440762</v>
      </c>
      <c r="F316" s="932" t="s">
        <v>1554</v>
      </c>
      <c r="G316" s="932" t="s">
        <v>110</v>
      </c>
      <c r="H316" s="1080">
        <v>45845.396574074075</v>
      </c>
      <c r="I316" s="1079">
        <v>1615547176</v>
      </c>
      <c r="J316" s="932" t="s">
        <v>4496</v>
      </c>
      <c r="K316"/>
      <c r="L316"/>
      <c r="M316"/>
      <c r="N316"/>
      <c r="O316"/>
    </row>
    <row r="317" spans="1:15" ht="14.4">
      <c r="A317" s="1001" t="s">
        <v>666</v>
      </c>
      <c r="B317" s="932" t="s">
        <v>4835</v>
      </c>
      <c r="C317" s="932" t="s">
        <v>53</v>
      </c>
      <c r="D317" s="932" t="s">
        <v>80</v>
      </c>
      <c r="E317" s="1079">
        <v>1620000</v>
      </c>
      <c r="F317" s="932" t="s">
        <v>1554</v>
      </c>
      <c r="G317" s="932" t="s">
        <v>110</v>
      </c>
      <c r="H317" s="1080">
        <v>45845.396597222221</v>
      </c>
      <c r="I317" s="1079">
        <v>1613927176</v>
      </c>
      <c r="J317" s="932" t="s">
        <v>4496</v>
      </c>
      <c r="K317"/>
      <c r="L317"/>
      <c r="M317"/>
      <c r="N317"/>
      <c r="O317"/>
    </row>
    <row r="318" spans="1:15" ht="14.4">
      <c r="A318" s="1001" t="s">
        <v>568</v>
      </c>
      <c r="B318" s="932" t="s">
        <v>4836</v>
      </c>
      <c r="C318" s="932" t="s">
        <v>53</v>
      </c>
      <c r="D318" s="932" t="s">
        <v>80</v>
      </c>
      <c r="E318" s="1079">
        <v>8613000</v>
      </c>
      <c r="F318" s="932" t="s">
        <v>1554</v>
      </c>
      <c r="G318" s="932" t="s">
        <v>114</v>
      </c>
      <c r="H318" s="1080">
        <v>45849.451388888891</v>
      </c>
      <c r="I318" s="1079">
        <v>7719811634</v>
      </c>
      <c r="J318" s="932" t="s">
        <v>4496</v>
      </c>
      <c r="K318"/>
      <c r="L318"/>
      <c r="M318"/>
      <c r="N318"/>
      <c r="O318"/>
    </row>
    <row r="319" spans="1:15" ht="14.4">
      <c r="A319" s="1001" t="s">
        <v>666</v>
      </c>
      <c r="B319" s="932" t="s">
        <v>4837</v>
      </c>
      <c r="C319" s="932" t="s">
        <v>39</v>
      </c>
      <c r="D319" s="932" t="s">
        <v>80</v>
      </c>
      <c r="E319" s="1079">
        <v>1595323674</v>
      </c>
      <c r="F319" s="932" t="s">
        <v>1553</v>
      </c>
      <c r="G319" s="932" t="s">
        <v>110</v>
      </c>
      <c r="H319" s="1080">
        <v>45845.657743055555</v>
      </c>
      <c r="I319" s="1079">
        <v>3206508850</v>
      </c>
      <c r="J319" s="932" t="s">
        <v>4585</v>
      </c>
      <c r="K319"/>
      <c r="L319"/>
      <c r="M319"/>
      <c r="N319"/>
      <c r="O319"/>
    </row>
    <row r="320" spans="1:15" ht="14.4">
      <c r="A320" s="1001" t="s">
        <v>666</v>
      </c>
      <c r="B320" s="932" t="s">
        <v>4838</v>
      </c>
      <c r="C320" s="932" t="s">
        <v>39</v>
      </c>
      <c r="D320" s="932" t="s">
        <v>80</v>
      </c>
      <c r="E320" s="1079">
        <v>24268257</v>
      </c>
      <c r="F320" s="932" t="s">
        <v>1553</v>
      </c>
      <c r="G320" s="932" t="s">
        <v>110</v>
      </c>
      <c r="H320" s="1080">
        <v>45847.684583333335</v>
      </c>
      <c r="I320" s="1079">
        <v>3230777107</v>
      </c>
      <c r="J320" s="932" t="s">
        <v>4583</v>
      </c>
      <c r="K320"/>
      <c r="L320"/>
      <c r="M320"/>
      <c r="N320"/>
      <c r="O320"/>
    </row>
    <row r="321" spans="1:15" ht="14.4">
      <c r="A321" s="1001" t="s">
        <v>666</v>
      </c>
      <c r="B321" s="932" t="s">
        <v>1701</v>
      </c>
      <c r="C321" s="932" t="s">
        <v>39</v>
      </c>
      <c r="D321" s="932" t="s">
        <v>80</v>
      </c>
      <c r="E321" s="1079">
        <v>35345804</v>
      </c>
      <c r="F321" s="932" t="s">
        <v>1553</v>
      </c>
      <c r="G321" s="932" t="s">
        <v>110</v>
      </c>
      <c r="H321" s="1080">
        <v>45847.708020833335</v>
      </c>
      <c r="I321" s="1079">
        <v>3266122911</v>
      </c>
      <c r="J321" s="932" t="s">
        <v>4496</v>
      </c>
      <c r="K321"/>
      <c r="L321"/>
      <c r="M321"/>
      <c r="N321"/>
      <c r="O321"/>
    </row>
    <row r="322" spans="1:15" ht="14.4">
      <c r="A322" s="1001" t="s">
        <v>666</v>
      </c>
      <c r="B322" s="932" t="s">
        <v>4839</v>
      </c>
      <c r="C322" s="932" t="s">
        <v>53</v>
      </c>
      <c r="D322" s="932" t="s">
        <v>80</v>
      </c>
      <c r="E322" s="1079">
        <v>334185684</v>
      </c>
      <c r="F322" s="932" t="s">
        <v>1554</v>
      </c>
      <c r="G322" s="932" t="s">
        <v>110</v>
      </c>
      <c r="H322" s="1080">
        <v>45849.447442129633</v>
      </c>
      <c r="I322" s="1079">
        <v>2917717202</v>
      </c>
      <c r="J322" s="932" t="s">
        <v>4496</v>
      </c>
      <c r="K322"/>
      <c r="L322"/>
      <c r="M322"/>
      <c r="N322"/>
      <c r="O322"/>
    </row>
    <row r="323" spans="1:15" ht="14.4">
      <c r="A323" s="1001" t="s">
        <v>543</v>
      </c>
      <c r="B323" s="932" t="s">
        <v>4840</v>
      </c>
      <c r="C323" s="932" t="s">
        <v>53</v>
      </c>
      <c r="D323" s="932" t="s">
        <v>80</v>
      </c>
      <c r="E323" s="1079">
        <v>8613000</v>
      </c>
      <c r="F323" s="932" t="s">
        <v>1554</v>
      </c>
      <c r="G323" s="932" t="s">
        <v>110</v>
      </c>
      <c r="H323" s="1080">
        <v>45851.950543981482</v>
      </c>
      <c r="I323" s="1079">
        <v>10823763620</v>
      </c>
      <c r="J323" s="932" t="s">
        <v>4496</v>
      </c>
      <c r="K323"/>
      <c r="L323"/>
      <c r="M323"/>
      <c r="N323"/>
      <c r="O323"/>
    </row>
    <row r="324" spans="1:15" ht="14.4">
      <c r="A324" s="1001" t="s">
        <v>666</v>
      </c>
      <c r="B324" s="932" t="s">
        <v>4841</v>
      </c>
      <c r="C324" s="932" t="s">
        <v>39</v>
      </c>
      <c r="D324" s="932" t="s">
        <v>80</v>
      </c>
      <c r="E324" s="1079">
        <v>85819550</v>
      </c>
      <c r="F324" s="932" t="s">
        <v>1553</v>
      </c>
      <c r="G324" s="932" t="s">
        <v>110</v>
      </c>
      <c r="H324" s="1080">
        <v>45849.554942129631</v>
      </c>
      <c r="I324" s="1079">
        <v>3903536752</v>
      </c>
      <c r="J324" s="932" t="s">
        <v>4535</v>
      </c>
      <c r="K324"/>
      <c r="L324"/>
      <c r="M324"/>
      <c r="N324"/>
      <c r="O324"/>
    </row>
    <row r="325" spans="1:15" ht="14.4">
      <c r="A325" s="1001" t="s">
        <v>666</v>
      </c>
      <c r="B325" s="932" t="s">
        <v>4842</v>
      </c>
      <c r="C325" s="932" t="s">
        <v>39</v>
      </c>
      <c r="D325" s="932" t="s">
        <v>80</v>
      </c>
      <c r="E325" s="1079">
        <v>4367536707</v>
      </c>
      <c r="F325" s="932" t="s">
        <v>1553</v>
      </c>
      <c r="G325" s="932" t="s">
        <v>110</v>
      </c>
      <c r="H325" s="1080">
        <v>45849.599432870367</v>
      </c>
      <c r="I325" s="1079">
        <v>8271073459</v>
      </c>
      <c r="J325" s="932" t="s">
        <v>4577</v>
      </c>
      <c r="K325"/>
      <c r="L325"/>
      <c r="M325"/>
      <c r="N325"/>
      <c r="O325"/>
    </row>
    <row r="326" spans="1:15" ht="14.4">
      <c r="A326" s="1001" t="s">
        <v>666</v>
      </c>
      <c r="B326" s="932" t="s">
        <v>4843</v>
      </c>
      <c r="C326" s="932" t="s">
        <v>53</v>
      </c>
      <c r="D326" s="932" t="s">
        <v>80</v>
      </c>
      <c r="E326" s="1079">
        <v>14220025</v>
      </c>
      <c r="F326" s="932" t="s">
        <v>1554</v>
      </c>
      <c r="G326" s="932" t="s">
        <v>110</v>
      </c>
      <c r="H326" s="1080">
        <v>45849.438020833331</v>
      </c>
      <c r="I326" s="1079">
        <v>3251902886</v>
      </c>
      <c r="J326" s="932" t="s">
        <v>4573</v>
      </c>
      <c r="K326"/>
      <c r="L326"/>
      <c r="M326"/>
      <c r="N326"/>
      <c r="O326"/>
    </row>
    <row r="327" spans="1:15" ht="14.4">
      <c r="A327" s="1001" t="s">
        <v>666</v>
      </c>
      <c r="B327" s="932" t="s">
        <v>4844</v>
      </c>
      <c r="C327" s="932" t="s">
        <v>39</v>
      </c>
      <c r="D327" s="932" t="s">
        <v>80</v>
      </c>
      <c r="E327" s="1079">
        <v>7115966</v>
      </c>
      <c r="F327" s="932" t="s">
        <v>1553</v>
      </c>
      <c r="G327" s="932" t="s">
        <v>110</v>
      </c>
      <c r="H327" s="1080">
        <v>45852.691377314812</v>
      </c>
      <c r="I327" s="1079">
        <v>9446134203</v>
      </c>
      <c r="J327" s="932" t="s">
        <v>4583</v>
      </c>
      <c r="K327"/>
      <c r="L327"/>
      <c r="M327"/>
      <c r="N327"/>
      <c r="O327"/>
    </row>
    <row r="328" spans="1:15" ht="14.4">
      <c r="A328" s="1001" t="s">
        <v>666</v>
      </c>
      <c r="B328" s="932" t="s">
        <v>4845</v>
      </c>
      <c r="C328" s="932" t="s">
        <v>39</v>
      </c>
      <c r="D328" s="932" t="s">
        <v>80</v>
      </c>
      <c r="E328" s="1079">
        <v>7644721</v>
      </c>
      <c r="F328" s="932" t="s">
        <v>1553</v>
      </c>
      <c r="G328" s="932" t="s">
        <v>110</v>
      </c>
      <c r="H328" s="1080">
        <v>45852.691805555558</v>
      </c>
      <c r="I328" s="1079">
        <v>9453778924</v>
      </c>
      <c r="J328" s="932" t="s">
        <v>4583</v>
      </c>
      <c r="K328"/>
      <c r="L328"/>
      <c r="M328"/>
      <c r="N328"/>
      <c r="O328"/>
    </row>
    <row r="329" spans="1:15" ht="14.4">
      <c r="A329" s="1001" t="s">
        <v>666</v>
      </c>
      <c r="B329" s="932" t="s">
        <v>4846</v>
      </c>
      <c r="C329" s="932" t="s">
        <v>39</v>
      </c>
      <c r="D329" s="932" t="s">
        <v>80</v>
      </c>
      <c r="E329" s="1079">
        <v>1167944778</v>
      </c>
      <c r="F329" s="932" t="s">
        <v>1553</v>
      </c>
      <c r="G329" s="932" t="s">
        <v>110</v>
      </c>
      <c r="H329" s="1080">
        <v>45852.59306712963</v>
      </c>
      <c r="I329" s="1079">
        <v>9439018237</v>
      </c>
      <c r="J329" s="932" t="s">
        <v>4496</v>
      </c>
      <c r="K329"/>
      <c r="L329"/>
      <c r="M329"/>
      <c r="N329"/>
      <c r="O329"/>
    </row>
    <row r="330" spans="1:15" ht="14.4">
      <c r="A330" s="1001" t="s">
        <v>666</v>
      </c>
      <c r="B330" s="932" t="s">
        <v>1701</v>
      </c>
      <c r="C330" s="932" t="s">
        <v>39</v>
      </c>
      <c r="D330" s="932" t="s">
        <v>80</v>
      </c>
      <c r="E330" s="1079">
        <v>7882710338</v>
      </c>
      <c r="F330" s="932" t="s">
        <v>1553</v>
      </c>
      <c r="G330" s="932" t="s">
        <v>110</v>
      </c>
      <c r="H330" s="1080">
        <v>45853.582824074074</v>
      </c>
      <c r="I330" s="1079">
        <v>17336489262</v>
      </c>
      <c r="J330" s="932" t="s">
        <v>4496</v>
      </c>
      <c r="K330"/>
      <c r="L330"/>
      <c r="M330"/>
      <c r="N330"/>
      <c r="O330"/>
    </row>
    <row r="331" spans="1:15" ht="14.4">
      <c r="A331" s="1001" t="s">
        <v>504</v>
      </c>
      <c r="B331" s="932" t="s">
        <v>4847</v>
      </c>
      <c r="C331" s="932" t="s">
        <v>53</v>
      </c>
      <c r="D331" s="932" t="s">
        <v>80</v>
      </c>
      <c r="E331" s="1079">
        <v>8613000</v>
      </c>
      <c r="F331" s="932" t="s">
        <v>1554</v>
      </c>
      <c r="G331" s="932" t="s">
        <v>110</v>
      </c>
      <c r="H331" s="1080">
        <v>45840.955520833333</v>
      </c>
      <c r="I331" s="1079">
        <v>3761161236</v>
      </c>
      <c r="J331" s="932" t="s">
        <v>4496</v>
      </c>
      <c r="K331"/>
      <c r="L331"/>
      <c r="M331"/>
      <c r="N331"/>
      <c r="O331"/>
    </row>
    <row r="332" spans="1:15" ht="14.4">
      <c r="A332" s="1001" t="s">
        <v>711</v>
      </c>
      <c r="B332" s="932" t="s">
        <v>4848</v>
      </c>
      <c r="C332" s="932" t="s">
        <v>53</v>
      </c>
      <c r="D332" s="932" t="s">
        <v>80</v>
      </c>
      <c r="E332" s="1079">
        <v>2376000</v>
      </c>
      <c r="F332" s="932" t="s">
        <v>1554</v>
      </c>
      <c r="G332" s="932" t="s">
        <v>110</v>
      </c>
      <c r="H332" s="1080">
        <v>45851.947997685187</v>
      </c>
      <c r="I332" s="1079">
        <v>2286729051</v>
      </c>
      <c r="J332" s="932" t="s">
        <v>4496</v>
      </c>
      <c r="K332"/>
      <c r="L332"/>
      <c r="M332"/>
      <c r="N332"/>
      <c r="O332"/>
    </row>
    <row r="333" spans="1:15" ht="14.4">
      <c r="A333" s="1001" t="s">
        <v>711</v>
      </c>
      <c r="B333" s="932" t="s">
        <v>4849</v>
      </c>
      <c r="C333" s="932" t="s">
        <v>53</v>
      </c>
      <c r="D333" s="932" t="s">
        <v>80</v>
      </c>
      <c r="E333" s="1079">
        <v>5633282</v>
      </c>
      <c r="F333" s="932" t="s">
        <v>1554</v>
      </c>
      <c r="G333" s="932" t="s">
        <v>110</v>
      </c>
      <c r="H333" s="1080">
        <v>45851.948125000003</v>
      </c>
      <c r="I333" s="1079">
        <v>2281095769</v>
      </c>
      <c r="J333" s="932" t="s">
        <v>4535</v>
      </c>
      <c r="K333"/>
      <c r="L333"/>
      <c r="M333"/>
      <c r="N333"/>
      <c r="O333"/>
    </row>
    <row r="334" spans="1:15" ht="14.4">
      <c r="A334" s="1001" t="s">
        <v>711</v>
      </c>
      <c r="B334" s="932" t="s">
        <v>4850</v>
      </c>
      <c r="C334" s="932" t="s">
        <v>53</v>
      </c>
      <c r="D334" s="932" t="s">
        <v>80</v>
      </c>
      <c r="E334" s="1079">
        <v>7925037</v>
      </c>
      <c r="F334" s="932" t="s">
        <v>1554</v>
      </c>
      <c r="G334" s="932" t="s">
        <v>110</v>
      </c>
      <c r="H334" s="1080">
        <v>45851.948182870372</v>
      </c>
      <c r="I334" s="1079">
        <v>2273170732</v>
      </c>
      <c r="J334" s="932" t="s">
        <v>4511</v>
      </c>
      <c r="K334"/>
      <c r="L334"/>
      <c r="M334"/>
      <c r="N334"/>
      <c r="O334"/>
    </row>
    <row r="335" spans="1:15" ht="14.4">
      <c r="A335" s="1001" t="s">
        <v>711</v>
      </c>
      <c r="B335" s="932" t="s">
        <v>4851</v>
      </c>
      <c r="C335" s="932" t="s">
        <v>39</v>
      </c>
      <c r="D335" s="932" t="s">
        <v>80</v>
      </c>
      <c r="E335" s="1079">
        <v>872816490</v>
      </c>
      <c r="F335" s="932" t="s">
        <v>1553</v>
      </c>
      <c r="G335" s="932" t="s">
        <v>110</v>
      </c>
      <c r="H335" s="1080">
        <v>45852.66547453704</v>
      </c>
      <c r="I335" s="1079">
        <v>3145987222</v>
      </c>
      <c r="J335" s="932" t="s">
        <v>4852</v>
      </c>
      <c r="K335"/>
      <c r="L335"/>
      <c r="M335"/>
      <c r="N335"/>
      <c r="O335"/>
    </row>
    <row r="336" spans="1:15" ht="14.4">
      <c r="A336" s="1001" t="s">
        <v>677</v>
      </c>
      <c r="B336" s="932" t="s">
        <v>4853</v>
      </c>
      <c r="C336" s="932" t="s">
        <v>4497</v>
      </c>
      <c r="D336" s="932" t="s">
        <v>80</v>
      </c>
      <c r="E336" s="1079">
        <v>1900000000</v>
      </c>
      <c r="F336" s="932" t="s">
        <v>1554</v>
      </c>
      <c r="G336" s="932" t="s">
        <v>110</v>
      </c>
      <c r="H336" s="1080">
        <v>45840.807615740741</v>
      </c>
      <c r="I336" s="1079">
        <v>36745096</v>
      </c>
      <c r="J336" s="932" t="s">
        <v>4514</v>
      </c>
      <c r="K336"/>
      <c r="L336"/>
      <c r="M336"/>
      <c r="N336"/>
      <c r="O336"/>
    </row>
    <row r="337" spans="1:15" ht="14.4">
      <c r="A337" s="1001" t="s">
        <v>549</v>
      </c>
      <c r="B337" s="932" t="s">
        <v>4854</v>
      </c>
      <c r="C337" s="932" t="s">
        <v>53</v>
      </c>
      <c r="D337" s="932" t="s">
        <v>80</v>
      </c>
      <c r="E337" s="1079">
        <v>2742000</v>
      </c>
      <c r="F337" s="932" t="s">
        <v>1554</v>
      </c>
      <c r="G337" s="932" t="s">
        <v>114</v>
      </c>
      <c r="H337" s="1080">
        <v>45852.589942129627</v>
      </c>
      <c r="I337" s="1079">
        <v>1089133091</v>
      </c>
      <c r="J337" s="932" t="s">
        <v>4496</v>
      </c>
      <c r="K337"/>
      <c r="L337"/>
      <c r="M337"/>
      <c r="N337"/>
      <c r="O337"/>
    </row>
    <row r="338" spans="1:15" ht="14.4">
      <c r="A338" s="1001" t="s">
        <v>562</v>
      </c>
      <c r="B338" s="932" t="s">
        <v>4855</v>
      </c>
      <c r="C338" s="932" t="s">
        <v>53</v>
      </c>
      <c r="D338" s="932" t="s">
        <v>80</v>
      </c>
      <c r="E338" s="1079">
        <v>2742000</v>
      </c>
      <c r="F338" s="932" t="s">
        <v>1554</v>
      </c>
      <c r="G338" s="932" t="s">
        <v>110</v>
      </c>
      <c r="H338" s="1080">
        <v>45853.5940162037</v>
      </c>
      <c r="I338" s="1079">
        <v>947806169</v>
      </c>
      <c r="J338" s="932" t="s">
        <v>4496</v>
      </c>
      <c r="K338"/>
      <c r="L338"/>
      <c r="M338"/>
      <c r="N338"/>
      <c r="O338"/>
    </row>
    <row r="339" spans="1:15" ht="14.4">
      <c r="A339" s="1001" t="s">
        <v>698</v>
      </c>
      <c r="B339" s="932" t="s">
        <v>4856</v>
      </c>
      <c r="C339" s="932" t="s">
        <v>53</v>
      </c>
      <c r="D339" s="932" t="s">
        <v>80</v>
      </c>
      <c r="E339" s="1079">
        <v>19816924</v>
      </c>
      <c r="F339" s="932" t="s">
        <v>1554</v>
      </c>
      <c r="G339" s="932" t="s">
        <v>110</v>
      </c>
      <c r="H339" s="1080">
        <v>45841.744629629633</v>
      </c>
      <c r="I339" s="1079">
        <v>342697540</v>
      </c>
      <c r="J339" s="932" t="s">
        <v>4511</v>
      </c>
      <c r="K339"/>
      <c r="L339"/>
      <c r="M339"/>
      <c r="N339"/>
      <c r="O339"/>
    </row>
    <row r="340" spans="1:15" ht="14.4">
      <c r="A340" s="1001" t="s">
        <v>698</v>
      </c>
      <c r="B340" s="932" t="s">
        <v>4857</v>
      </c>
      <c r="C340" s="932" t="s">
        <v>53</v>
      </c>
      <c r="D340" s="932" t="s">
        <v>80</v>
      </c>
      <c r="E340" s="1079">
        <v>24844706</v>
      </c>
      <c r="F340" s="932" t="s">
        <v>1554</v>
      </c>
      <c r="G340" s="932" t="s">
        <v>110</v>
      </c>
      <c r="H340" s="1080">
        <v>45853.595196759263</v>
      </c>
      <c r="I340" s="1079">
        <v>317852834</v>
      </c>
      <c r="J340" s="932" t="s">
        <v>4511</v>
      </c>
      <c r="K340"/>
      <c r="L340"/>
      <c r="M340"/>
      <c r="N340"/>
      <c r="O340"/>
    </row>
    <row r="341" spans="1:15" ht="14.4">
      <c r="A341" s="1001" t="s">
        <v>698</v>
      </c>
      <c r="B341" s="932" t="s">
        <v>4858</v>
      </c>
      <c r="C341" s="932" t="s">
        <v>53</v>
      </c>
      <c r="D341" s="932" t="s">
        <v>80</v>
      </c>
      <c r="E341" s="1079">
        <v>17346000</v>
      </c>
      <c r="F341" s="932" t="s">
        <v>1554</v>
      </c>
      <c r="G341" s="932" t="s">
        <v>110</v>
      </c>
      <c r="H341" s="1080">
        <v>45853.595196759263</v>
      </c>
      <c r="I341" s="1079">
        <v>300506834</v>
      </c>
      <c r="J341" s="932" t="s">
        <v>4535</v>
      </c>
      <c r="K341"/>
      <c r="L341"/>
      <c r="M341"/>
      <c r="N341"/>
      <c r="O341"/>
    </row>
    <row r="342" spans="1:15" ht="14.4">
      <c r="A342" s="1001" t="s">
        <v>689</v>
      </c>
      <c r="B342" s="932" t="s">
        <v>4859</v>
      </c>
      <c r="C342" s="932" t="s">
        <v>4497</v>
      </c>
      <c r="D342" s="932" t="s">
        <v>80</v>
      </c>
      <c r="E342" s="1079">
        <v>90000000</v>
      </c>
      <c r="F342" s="932" t="s">
        <v>1554</v>
      </c>
      <c r="G342" s="932" t="s">
        <v>110</v>
      </c>
      <c r="H342" s="1080">
        <v>45839.794629629629</v>
      </c>
      <c r="I342" s="1079">
        <v>28012531</v>
      </c>
      <c r="J342" s="932" t="s">
        <v>4501</v>
      </c>
      <c r="K342"/>
      <c r="L342"/>
      <c r="M342"/>
      <c r="N342"/>
      <c r="O342"/>
    </row>
    <row r="343" spans="1:15" ht="14.4">
      <c r="A343" s="1001" t="s">
        <v>702</v>
      </c>
      <c r="B343" s="932" t="s">
        <v>4860</v>
      </c>
      <c r="C343" s="932" t="s">
        <v>39</v>
      </c>
      <c r="D343" s="932" t="s">
        <v>80</v>
      </c>
      <c r="E343" s="1079">
        <v>336716350</v>
      </c>
      <c r="F343" s="932" t="s">
        <v>1553</v>
      </c>
      <c r="G343" s="932" t="s">
        <v>110</v>
      </c>
      <c r="H343" s="1080">
        <v>45839.486689814818</v>
      </c>
      <c r="I343" s="1079">
        <v>12603337889</v>
      </c>
      <c r="J343" s="932" t="s">
        <v>4577</v>
      </c>
      <c r="K343"/>
      <c r="L343"/>
      <c r="M343"/>
      <c r="N343"/>
      <c r="O343"/>
    </row>
    <row r="344" spans="1:15" ht="14.4">
      <c r="A344" s="1001" t="s">
        <v>702</v>
      </c>
      <c r="B344" s="932" t="s">
        <v>4861</v>
      </c>
      <c r="C344" s="932" t="s">
        <v>53</v>
      </c>
      <c r="D344" s="932" t="s">
        <v>80</v>
      </c>
      <c r="E344" s="1079">
        <v>37800000</v>
      </c>
      <c r="F344" s="932" t="s">
        <v>1554</v>
      </c>
      <c r="G344" s="932" t="s">
        <v>110</v>
      </c>
      <c r="H344" s="1080">
        <v>45841.744513888887</v>
      </c>
      <c r="I344" s="1079">
        <v>12565537889</v>
      </c>
      <c r="J344" s="932" t="s">
        <v>4496</v>
      </c>
      <c r="K344"/>
      <c r="L344"/>
      <c r="M344"/>
      <c r="N344"/>
      <c r="O344"/>
    </row>
    <row r="345" spans="1:15" ht="14.4">
      <c r="A345" s="1001" t="s">
        <v>702</v>
      </c>
      <c r="B345" s="932" t="s">
        <v>4862</v>
      </c>
      <c r="C345" s="932" t="s">
        <v>53</v>
      </c>
      <c r="D345" s="932" t="s">
        <v>80</v>
      </c>
      <c r="E345" s="1079">
        <v>54329736</v>
      </c>
      <c r="F345" s="932" t="s">
        <v>1554</v>
      </c>
      <c r="G345" s="932" t="s">
        <v>110</v>
      </c>
      <c r="H345" s="1080">
        <v>45842.49900462963</v>
      </c>
      <c r="I345" s="1079">
        <v>12511208153</v>
      </c>
      <c r="J345" s="932" t="s">
        <v>4508</v>
      </c>
      <c r="K345"/>
      <c r="L345"/>
      <c r="M345"/>
      <c r="N345"/>
      <c r="O345"/>
    </row>
    <row r="346" spans="1:15" ht="14.4">
      <c r="A346" s="1001" t="s">
        <v>702</v>
      </c>
      <c r="B346" s="932" t="s">
        <v>4863</v>
      </c>
      <c r="C346" s="932" t="s">
        <v>39</v>
      </c>
      <c r="D346" s="932" t="s">
        <v>80</v>
      </c>
      <c r="E346" s="1079">
        <v>2006823377</v>
      </c>
      <c r="F346" s="932" t="s">
        <v>1553</v>
      </c>
      <c r="G346" s="932" t="s">
        <v>110</v>
      </c>
      <c r="H346" s="1080">
        <v>45846.633946759262</v>
      </c>
      <c r="I346" s="1079">
        <v>14518031530</v>
      </c>
      <c r="J346" s="932" t="s">
        <v>4496</v>
      </c>
      <c r="K346"/>
      <c r="L346"/>
      <c r="M346"/>
      <c r="N346"/>
      <c r="O346"/>
    </row>
    <row r="347" spans="1:15" ht="14.4">
      <c r="A347" s="1001" t="s">
        <v>702</v>
      </c>
      <c r="B347" s="932" t="s">
        <v>4864</v>
      </c>
      <c r="C347" s="932" t="s">
        <v>39</v>
      </c>
      <c r="D347" s="932" t="s">
        <v>80</v>
      </c>
      <c r="E347" s="1079">
        <v>2095408920</v>
      </c>
      <c r="F347" s="932" t="s">
        <v>1553</v>
      </c>
      <c r="G347" s="932" t="s">
        <v>110</v>
      </c>
      <c r="H347" s="1080">
        <v>45848.337569444448</v>
      </c>
      <c r="I347" s="1079">
        <v>16613440450</v>
      </c>
      <c r="J347" s="932" t="s">
        <v>4585</v>
      </c>
      <c r="K347"/>
      <c r="L347"/>
      <c r="M347"/>
      <c r="N347"/>
      <c r="O347"/>
    </row>
    <row r="348" spans="1:15" ht="14.4">
      <c r="A348" s="1001" t="s">
        <v>702</v>
      </c>
      <c r="B348" s="932" t="s">
        <v>4865</v>
      </c>
      <c r="C348" s="932" t="s">
        <v>39</v>
      </c>
      <c r="D348" s="932" t="s">
        <v>80</v>
      </c>
      <c r="E348" s="1079">
        <v>634332807</v>
      </c>
      <c r="F348" s="932" t="s">
        <v>1553</v>
      </c>
      <c r="G348" s="932" t="s">
        <v>110</v>
      </c>
      <c r="H348" s="1080">
        <v>45848.40519675926</v>
      </c>
      <c r="I348" s="1079">
        <v>17247773257</v>
      </c>
      <c r="J348" s="932" t="s">
        <v>4496</v>
      </c>
      <c r="K348"/>
      <c r="L348"/>
      <c r="M348"/>
      <c r="N348"/>
      <c r="O348"/>
    </row>
    <row r="349" spans="1:15" ht="14.4">
      <c r="A349" s="1001" t="s">
        <v>702</v>
      </c>
      <c r="B349" s="932" t="s">
        <v>4866</v>
      </c>
      <c r="C349" s="932" t="s">
        <v>39</v>
      </c>
      <c r="D349" s="932" t="s">
        <v>80</v>
      </c>
      <c r="E349" s="1079">
        <v>900494789</v>
      </c>
      <c r="F349" s="932" t="s">
        <v>1553</v>
      </c>
      <c r="G349" s="932" t="s">
        <v>110</v>
      </c>
      <c r="H349" s="1080">
        <v>45849.412314814814</v>
      </c>
      <c r="I349" s="1079">
        <v>18148268046</v>
      </c>
      <c r="J349" s="932" t="s">
        <v>4585</v>
      </c>
      <c r="K349"/>
      <c r="L349"/>
      <c r="M349"/>
      <c r="N349"/>
      <c r="O349"/>
    </row>
    <row r="350" spans="1:15" ht="14.4">
      <c r="A350" s="1001" t="s">
        <v>702</v>
      </c>
      <c r="B350" s="932" t="s">
        <v>4867</v>
      </c>
      <c r="C350" s="932" t="s">
        <v>53</v>
      </c>
      <c r="D350" s="932" t="s">
        <v>80</v>
      </c>
      <c r="E350" s="1079">
        <v>1998000</v>
      </c>
      <c r="F350" s="932" t="s">
        <v>1554</v>
      </c>
      <c r="G350" s="932" t="s">
        <v>110</v>
      </c>
      <c r="H350" s="1080">
        <v>45851.950509259259</v>
      </c>
      <c r="I350" s="1079">
        <v>18146270046</v>
      </c>
      <c r="J350" s="932" t="s">
        <v>4558</v>
      </c>
      <c r="K350"/>
      <c r="L350"/>
      <c r="M350"/>
      <c r="N350"/>
      <c r="O350"/>
    </row>
    <row r="351" spans="1:15" ht="14.4">
      <c r="A351" s="1001" t="s">
        <v>702</v>
      </c>
      <c r="B351" s="932" t="s">
        <v>4868</v>
      </c>
      <c r="C351" s="932" t="s">
        <v>53</v>
      </c>
      <c r="D351" s="932" t="s">
        <v>80</v>
      </c>
      <c r="E351" s="1079">
        <v>675371092</v>
      </c>
      <c r="F351" s="932" t="s">
        <v>1554</v>
      </c>
      <c r="G351" s="932" t="s">
        <v>110</v>
      </c>
      <c r="H351" s="1080">
        <v>45851.950532407405</v>
      </c>
      <c r="I351" s="1079">
        <v>17470898954</v>
      </c>
      <c r="J351" s="932" t="s">
        <v>4496</v>
      </c>
      <c r="K351"/>
      <c r="L351"/>
      <c r="M351"/>
      <c r="N351"/>
      <c r="O351"/>
    </row>
    <row r="352" spans="1:15" ht="14.4">
      <c r="A352" s="1001" t="s">
        <v>702</v>
      </c>
      <c r="B352" s="932" t="s">
        <v>4869</v>
      </c>
      <c r="C352" s="932" t="s">
        <v>53</v>
      </c>
      <c r="D352" s="932" t="s">
        <v>80</v>
      </c>
      <c r="E352" s="1079">
        <v>530304922</v>
      </c>
      <c r="F352" s="932" t="s">
        <v>1554</v>
      </c>
      <c r="G352" s="932" t="s">
        <v>110</v>
      </c>
      <c r="H352" s="1080">
        <v>45851.950532407405</v>
      </c>
      <c r="I352" s="1079">
        <v>16940594032</v>
      </c>
      <c r="J352" s="932" t="s">
        <v>4517</v>
      </c>
      <c r="K352"/>
      <c r="L352"/>
      <c r="M352"/>
      <c r="N352"/>
      <c r="O352"/>
    </row>
    <row r="353" spans="1:15" ht="14.4">
      <c r="A353" s="1001" t="s">
        <v>702</v>
      </c>
      <c r="B353" s="932" t="s">
        <v>4870</v>
      </c>
      <c r="C353" s="932" t="s">
        <v>53</v>
      </c>
      <c r="D353" s="932" t="s">
        <v>80</v>
      </c>
      <c r="E353" s="1079">
        <v>434354400</v>
      </c>
      <c r="F353" s="932" t="s">
        <v>1554</v>
      </c>
      <c r="G353" s="932" t="s">
        <v>110</v>
      </c>
      <c r="H353" s="1080">
        <v>45851.950532407405</v>
      </c>
      <c r="I353" s="1079">
        <v>16506239632</v>
      </c>
      <c r="J353" s="932" t="s">
        <v>4496</v>
      </c>
      <c r="K353"/>
      <c r="L353"/>
      <c r="M353"/>
      <c r="N353"/>
      <c r="O353"/>
    </row>
    <row r="354" spans="1:15" ht="14.4">
      <c r="A354" s="1001" t="s">
        <v>702</v>
      </c>
      <c r="B354" s="932" t="s">
        <v>4871</v>
      </c>
      <c r="C354" s="932" t="s">
        <v>53</v>
      </c>
      <c r="D354" s="932" t="s">
        <v>80</v>
      </c>
      <c r="E354" s="1079">
        <v>259200000</v>
      </c>
      <c r="F354" s="932" t="s">
        <v>1554</v>
      </c>
      <c r="G354" s="932" t="s">
        <v>110</v>
      </c>
      <c r="H354" s="1080">
        <v>45851.950532407405</v>
      </c>
      <c r="I354" s="1079">
        <v>16247039632</v>
      </c>
      <c r="J354" s="932" t="s">
        <v>4496</v>
      </c>
      <c r="K354"/>
      <c r="L354"/>
      <c r="M354"/>
      <c r="N354"/>
      <c r="O354"/>
    </row>
    <row r="355" spans="1:15" ht="14.4">
      <c r="A355" s="1001" t="s">
        <v>702</v>
      </c>
      <c r="B355" s="932" t="s">
        <v>4872</v>
      </c>
      <c r="C355" s="932" t="s">
        <v>53</v>
      </c>
      <c r="D355" s="932" t="s">
        <v>80</v>
      </c>
      <c r="E355" s="1079">
        <v>192765489</v>
      </c>
      <c r="F355" s="932" t="s">
        <v>1554</v>
      </c>
      <c r="G355" s="932" t="s">
        <v>110</v>
      </c>
      <c r="H355" s="1080">
        <v>45851.950532407405</v>
      </c>
      <c r="I355" s="1079">
        <v>16054274143</v>
      </c>
      <c r="J355" s="932" t="s">
        <v>4496</v>
      </c>
      <c r="K355"/>
      <c r="L355"/>
      <c r="M355"/>
      <c r="N355"/>
      <c r="O355"/>
    </row>
    <row r="356" spans="1:15" ht="14.4">
      <c r="A356" s="1001" t="s">
        <v>702</v>
      </c>
      <c r="B356" s="932" t="s">
        <v>4873</v>
      </c>
      <c r="C356" s="932" t="s">
        <v>22</v>
      </c>
      <c r="D356" s="932" t="s">
        <v>80</v>
      </c>
      <c r="E356" s="1079">
        <v>178154000</v>
      </c>
      <c r="F356" s="932" t="s">
        <v>1554</v>
      </c>
      <c r="G356" s="932" t="s">
        <v>110</v>
      </c>
      <c r="H356" s="1080">
        <v>45851.950532407405</v>
      </c>
      <c r="I356" s="1079">
        <v>15876120143</v>
      </c>
      <c r="J356" s="932" t="s">
        <v>4874</v>
      </c>
      <c r="K356"/>
      <c r="L356"/>
      <c r="M356"/>
      <c r="N356"/>
      <c r="O356"/>
    </row>
    <row r="357" spans="1:15" ht="14.4">
      <c r="A357" s="1001" t="s">
        <v>666</v>
      </c>
      <c r="B357" s="932" t="s">
        <v>4875</v>
      </c>
      <c r="C357" s="932" t="s">
        <v>53</v>
      </c>
      <c r="D357" s="932" t="s">
        <v>80</v>
      </c>
      <c r="E357" s="1079">
        <v>2742000</v>
      </c>
      <c r="F357" s="932" t="s">
        <v>1554</v>
      </c>
      <c r="G357" s="932" t="s">
        <v>110</v>
      </c>
      <c r="H357" s="1080">
        <v>45845.396620370368</v>
      </c>
      <c r="I357" s="1079">
        <v>1611185176</v>
      </c>
      <c r="J357" s="932" t="s">
        <v>4496</v>
      </c>
      <c r="K357"/>
      <c r="L357"/>
      <c r="M357"/>
      <c r="N357"/>
      <c r="O357"/>
    </row>
    <row r="358" spans="1:15" ht="14.4">
      <c r="A358" s="1001" t="s">
        <v>702</v>
      </c>
      <c r="B358" s="932" t="s">
        <v>4876</v>
      </c>
      <c r="C358" s="932" t="s">
        <v>53</v>
      </c>
      <c r="D358" s="932" t="s">
        <v>80</v>
      </c>
      <c r="E358" s="1079">
        <v>29160000</v>
      </c>
      <c r="F358" s="932" t="s">
        <v>1554</v>
      </c>
      <c r="G358" s="932" t="s">
        <v>110</v>
      </c>
      <c r="H358" s="1080">
        <v>45851.950543981482</v>
      </c>
      <c r="I358" s="1079">
        <v>15717360143</v>
      </c>
      <c r="J358" s="932" t="s">
        <v>4496</v>
      </c>
      <c r="K358"/>
      <c r="L358"/>
      <c r="M358"/>
      <c r="N358"/>
      <c r="O358"/>
    </row>
    <row r="359" spans="1:15" ht="14.4">
      <c r="A359" s="1001" t="s">
        <v>702</v>
      </c>
      <c r="B359" s="932" t="s">
        <v>4877</v>
      </c>
      <c r="C359" s="932" t="s">
        <v>53</v>
      </c>
      <c r="D359" s="932" t="s">
        <v>80</v>
      </c>
      <c r="E359" s="1079">
        <v>3888000</v>
      </c>
      <c r="F359" s="932" t="s">
        <v>1554</v>
      </c>
      <c r="G359" s="932" t="s">
        <v>110</v>
      </c>
      <c r="H359" s="1080">
        <v>45851.950543981482</v>
      </c>
      <c r="I359" s="1079">
        <v>15713472143</v>
      </c>
      <c r="J359" s="932" t="s">
        <v>4496</v>
      </c>
      <c r="K359"/>
      <c r="L359"/>
      <c r="M359"/>
      <c r="N359"/>
      <c r="O359"/>
    </row>
    <row r="360" spans="1:15" ht="14.4">
      <c r="A360" s="1001" t="s">
        <v>702</v>
      </c>
      <c r="B360" s="932" t="s">
        <v>4878</v>
      </c>
      <c r="C360" s="932" t="s">
        <v>53</v>
      </c>
      <c r="D360" s="932" t="s">
        <v>80</v>
      </c>
      <c r="E360" s="1079">
        <v>3780000</v>
      </c>
      <c r="F360" s="932" t="s">
        <v>1554</v>
      </c>
      <c r="G360" s="932" t="s">
        <v>110</v>
      </c>
      <c r="H360" s="1080">
        <v>45851.950543981482</v>
      </c>
      <c r="I360" s="1079">
        <v>15709692143</v>
      </c>
      <c r="J360" s="932" t="s">
        <v>4496</v>
      </c>
      <c r="K360"/>
      <c r="L360"/>
      <c r="M360"/>
      <c r="N360"/>
      <c r="O360"/>
    </row>
    <row r="361" spans="1:15" ht="14.4">
      <c r="A361" s="1001" t="s">
        <v>702</v>
      </c>
      <c r="B361" s="932" t="s">
        <v>4879</v>
      </c>
      <c r="C361" s="932" t="s">
        <v>53</v>
      </c>
      <c r="D361" s="932" t="s">
        <v>80</v>
      </c>
      <c r="E361" s="1079">
        <v>2214000</v>
      </c>
      <c r="F361" s="932" t="s">
        <v>1554</v>
      </c>
      <c r="G361" s="932" t="s">
        <v>110</v>
      </c>
      <c r="H361" s="1080">
        <v>45851.950543981482</v>
      </c>
      <c r="I361" s="1079">
        <v>15707478143</v>
      </c>
      <c r="J361" s="932" t="s">
        <v>4496</v>
      </c>
      <c r="K361"/>
      <c r="L361"/>
      <c r="M361"/>
      <c r="N361"/>
      <c r="O361"/>
    </row>
    <row r="362" spans="1:15" ht="14.4">
      <c r="A362" s="1001" t="s">
        <v>702</v>
      </c>
      <c r="B362" s="932" t="s">
        <v>4880</v>
      </c>
      <c r="C362" s="932" t="s">
        <v>39</v>
      </c>
      <c r="D362" s="932" t="s">
        <v>80</v>
      </c>
      <c r="E362" s="1079">
        <v>225158059</v>
      </c>
      <c r="F362" s="932" t="s">
        <v>1553</v>
      </c>
      <c r="G362" s="932" t="s">
        <v>110</v>
      </c>
      <c r="H362" s="1080">
        <v>45852.472569444442</v>
      </c>
      <c r="I362" s="1079">
        <v>15932636202</v>
      </c>
      <c r="J362" s="932" t="s">
        <v>4496</v>
      </c>
      <c r="K362"/>
      <c r="L362"/>
      <c r="M362"/>
      <c r="N362"/>
      <c r="O362"/>
    </row>
    <row r="363" spans="1:15" ht="14.4">
      <c r="A363" s="1001" t="s">
        <v>547</v>
      </c>
      <c r="B363" s="932" t="s">
        <v>4881</v>
      </c>
      <c r="C363" s="932" t="s">
        <v>53</v>
      </c>
      <c r="D363" s="932" t="s">
        <v>80</v>
      </c>
      <c r="E363" s="1079">
        <v>1080000</v>
      </c>
      <c r="F363" s="932" t="s">
        <v>1554</v>
      </c>
      <c r="G363" s="932" t="s">
        <v>114</v>
      </c>
      <c r="H363" s="1080">
        <v>45842.435949074075</v>
      </c>
      <c r="I363" s="1079">
        <v>1970214485</v>
      </c>
      <c r="J363" s="932" t="s">
        <v>4511</v>
      </c>
      <c r="K363"/>
      <c r="L363"/>
      <c r="M363"/>
      <c r="N363"/>
      <c r="O363"/>
    </row>
    <row r="364" spans="1:15" ht="14.4">
      <c r="A364" s="1001" t="s">
        <v>517</v>
      </c>
      <c r="B364" s="932" t="s">
        <v>4882</v>
      </c>
      <c r="C364" s="932" t="s">
        <v>53</v>
      </c>
      <c r="D364" s="932" t="s">
        <v>80</v>
      </c>
      <c r="E364" s="1079">
        <v>1080000</v>
      </c>
      <c r="F364" s="932" t="s">
        <v>1554</v>
      </c>
      <c r="G364" s="932" t="s">
        <v>114</v>
      </c>
      <c r="H364" s="1080">
        <v>45848.441689814812</v>
      </c>
      <c r="I364" s="1079">
        <v>11018090042</v>
      </c>
      <c r="J364" s="932" t="s">
        <v>4537</v>
      </c>
      <c r="K364"/>
      <c r="L364"/>
      <c r="M364"/>
      <c r="N364"/>
      <c r="O364"/>
    </row>
    <row r="365" spans="1:15" ht="14.4">
      <c r="A365" s="1001" t="s">
        <v>500</v>
      </c>
      <c r="B365" s="932" t="s">
        <v>4883</v>
      </c>
      <c r="C365" s="932" t="s">
        <v>53</v>
      </c>
      <c r="D365" s="932" t="s">
        <v>80</v>
      </c>
      <c r="E365" s="1079">
        <v>1080000</v>
      </c>
      <c r="F365" s="932" t="s">
        <v>1554</v>
      </c>
      <c r="G365" s="932" t="s">
        <v>110</v>
      </c>
      <c r="H365" s="1080">
        <v>45842.499039351853</v>
      </c>
      <c r="I365" s="1079">
        <v>1228956029</v>
      </c>
      <c r="J365" s="932" t="s">
        <v>4537</v>
      </c>
      <c r="K365"/>
      <c r="L365"/>
      <c r="M365"/>
      <c r="N365"/>
      <c r="O365"/>
    </row>
    <row r="366" spans="1:15" ht="14.4">
      <c r="A366" s="1001" t="s">
        <v>587</v>
      </c>
      <c r="B366" s="932" t="s">
        <v>4884</v>
      </c>
      <c r="C366" s="932" t="s">
        <v>53</v>
      </c>
      <c r="D366" s="932" t="s">
        <v>80</v>
      </c>
      <c r="E366" s="1079">
        <v>800000</v>
      </c>
      <c r="F366" s="932" t="s">
        <v>1554</v>
      </c>
      <c r="G366" s="932" t="s">
        <v>110</v>
      </c>
      <c r="H366" s="1080">
        <v>45853.5940162037</v>
      </c>
      <c r="I366" s="1079">
        <v>85701070600</v>
      </c>
      <c r="J366" s="932" t="s">
        <v>4496</v>
      </c>
      <c r="K366"/>
      <c r="L366"/>
      <c r="M366"/>
      <c r="N366"/>
      <c r="O366"/>
    </row>
    <row r="367" spans="1:15" ht="14.4">
      <c r="A367" s="1001" t="s">
        <v>587</v>
      </c>
      <c r="B367" s="932" t="s">
        <v>4885</v>
      </c>
      <c r="C367" s="932" t="s">
        <v>53</v>
      </c>
      <c r="D367" s="932" t="s">
        <v>80</v>
      </c>
      <c r="E367" s="1079">
        <v>800000</v>
      </c>
      <c r="F367" s="932" t="s">
        <v>1554</v>
      </c>
      <c r="G367" s="932" t="s">
        <v>110</v>
      </c>
      <c r="H367" s="1080">
        <v>45853.5940162037</v>
      </c>
      <c r="I367" s="1079">
        <v>85700270600</v>
      </c>
      <c r="J367" s="932" t="s">
        <v>4496</v>
      </c>
      <c r="K367"/>
      <c r="L367"/>
      <c r="M367"/>
      <c r="N367"/>
      <c r="O367"/>
    </row>
    <row r="368" spans="1:15" ht="14.4">
      <c r="A368" s="1001" t="s">
        <v>511</v>
      </c>
      <c r="B368" s="932" t="s">
        <v>4886</v>
      </c>
      <c r="C368" s="932" t="s">
        <v>39</v>
      </c>
      <c r="D368" s="932" t="s">
        <v>80</v>
      </c>
      <c r="E368" s="1079">
        <v>85360000</v>
      </c>
      <c r="F368" s="932" t="s">
        <v>1553</v>
      </c>
      <c r="G368" s="932" t="s">
        <v>110</v>
      </c>
      <c r="H368" s="1080">
        <v>45845.55908564815</v>
      </c>
      <c r="I368" s="1079">
        <v>5744039336</v>
      </c>
      <c r="J368" s="932" t="s">
        <v>4595</v>
      </c>
      <c r="K368"/>
      <c r="L368"/>
      <c r="M368"/>
      <c r="N368"/>
      <c r="O368"/>
    </row>
    <row r="369" spans="1:15" ht="14.4">
      <c r="A369" s="1001" t="s">
        <v>511</v>
      </c>
      <c r="B369" s="932" t="s">
        <v>4887</v>
      </c>
      <c r="C369" s="932" t="s">
        <v>39</v>
      </c>
      <c r="D369" s="932" t="s">
        <v>80</v>
      </c>
      <c r="E369" s="1079">
        <v>3624558</v>
      </c>
      <c r="F369" s="932" t="s">
        <v>1553</v>
      </c>
      <c r="G369" s="932" t="s">
        <v>110</v>
      </c>
      <c r="H369" s="1080">
        <v>45845.593090277776</v>
      </c>
      <c r="I369" s="1079">
        <v>5764199766</v>
      </c>
      <c r="J369" s="932" t="s">
        <v>4496</v>
      </c>
      <c r="K369"/>
      <c r="L369"/>
      <c r="M369"/>
      <c r="N369"/>
      <c r="O369"/>
    </row>
    <row r="370" spans="1:15" ht="14.4">
      <c r="A370" s="1001" t="s">
        <v>511</v>
      </c>
      <c r="B370" s="932" t="s">
        <v>4888</v>
      </c>
      <c r="C370" s="932" t="s">
        <v>39</v>
      </c>
      <c r="D370" s="932" t="s">
        <v>80</v>
      </c>
      <c r="E370" s="1079">
        <v>16535872</v>
      </c>
      <c r="F370" s="932" t="s">
        <v>1553</v>
      </c>
      <c r="G370" s="932" t="s">
        <v>110</v>
      </c>
      <c r="H370" s="1080">
        <v>45845.564768518518</v>
      </c>
      <c r="I370" s="1079">
        <v>5760575208</v>
      </c>
      <c r="J370" s="932" t="s">
        <v>4583</v>
      </c>
      <c r="K370"/>
      <c r="L370"/>
      <c r="M370"/>
      <c r="N370"/>
      <c r="O370"/>
    </row>
    <row r="371" spans="1:15" ht="14.4">
      <c r="A371" s="1001" t="s">
        <v>511</v>
      </c>
      <c r="B371" s="932" t="s">
        <v>4889</v>
      </c>
      <c r="C371" s="932" t="s">
        <v>39</v>
      </c>
      <c r="D371" s="932" t="s">
        <v>80</v>
      </c>
      <c r="E371" s="1079">
        <v>91205212</v>
      </c>
      <c r="F371" s="932" t="s">
        <v>1553</v>
      </c>
      <c r="G371" s="932" t="s">
        <v>110</v>
      </c>
      <c r="H371" s="1080">
        <v>45847.711550925924</v>
      </c>
      <c r="I371" s="1079">
        <v>5855404978</v>
      </c>
      <c r="J371" s="932" t="s">
        <v>4595</v>
      </c>
      <c r="K371"/>
      <c r="L371"/>
      <c r="M371"/>
      <c r="N371"/>
      <c r="O371"/>
    </row>
    <row r="372" spans="1:15" ht="14.4">
      <c r="A372" s="1001" t="s">
        <v>511</v>
      </c>
      <c r="B372" s="932" t="s">
        <v>4890</v>
      </c>
      <c r="C372" s="932" t="s">
        <v>39</v>
      </c>
      <c r="D372" s="932" t="s">
        <v>80</v>
      </c>
      <c r="E372" s="1079">
        <v>9286654</v>
      </c>
      <c r="F372" s="932" t="s">
        <v>1553</v>
      </c>
      <c r="G372" s="932" t="s">
        <v>110</v>
      </c>
      <c r="H372" s="1080">
        <v>45848.68</v>
      </c>
      <c r="I372" s="1079">
        <v>6240798812</v>
      </c>
      <c r="J372" s="932" t="s">
        <v>4496</v>
      </c>
      <c r="K372"/>
      <c r="L372"/>
      <c r="M372"/>
      <c r="N372"/>
      <c r="O372"/>
    </row>
    <row r="373" spans="1:15" ht="14.4">
      <c r="A373" s="1001" t="s">
        <v>511</v>
      </c>
      <c r="B373" s="932" t="s">
        <v>4891</v>
      </c>
      <c r="C373" s="932" t="s">
        <v>39</v>
      </c>
      <c r="D373" s="932" t="s">
        <v>80</v>
      </c>
      <c r="E373" s="1079">
        <v>376107180</v>
      </c>
      <c r="F373" s="932" t="s">
        <v>1553</v>
      </c>
      <c r="G373" s="932" t="s">
        <v>110</v>
      </c>
      <c r="H373" s="1080">
        <v>45848.677777777775</v>
      </c>
      <c r="I373" s="1079">
        <v>6231512158</v>
      </c>
      <c r="J373" s="932" t="s">
        <v>4496</v>
      </c>
      <c r="K373"/>
      <c r="L373"/>
      <c r="M373"/>
      <c r="N373"/>
      <c r="O373"/>
    </row>
    <row r="374" spans="1:15" ht="14.4">
      <c r="A374" s="1001" t="s">
        <v>511</v>
      </c>
      <c r="B374" s="932" t="s">
        <v>4892</v>
      </c>
      <c r="C374" s="932" t="s">
        <v>39</v>
      </c>
      <c r="D374" s="932" t="s">
        <v>80</v>
      </c>
      <c r="E374" s="1079">
        <v>70449306</v>
      </c>
      <c r="F374" s="932" t="s">
        <v>1553</v>
      </c>
      <c r="G374" s="932" t="s">
        <v>110</v>
      </c>
      <c r="H374" s="1080">
        <v>45849.658055555556</v>
      </c>
      <c r="I374" s="1079">
        <v>6311248118</v>
      </c>
      <c r="J374" s="932" t="s">
        <v>4595</v>
      </c>
      <c r="K374"/>
      <c r="L374"/>
      <c r="M374"/>
      <c r="N374"/>
      <c r="O374"/>
    </row>
    <row r="375" spans="1:15" ht="14.4">
      <c r="A375" s="1001" t="s">
        <v>511</v>
      </c>
      <c r="B375" s="932" t="s">
        <v>4893</v>
      </c>
      <c r="C375" s="932" t="s">
        <v>39</v>
      </c>
      <c r="D375" s="932" t="s">
        <v>80</v>
      </c>
      <c r="E375" s="1079">
        <v>62678359</v>
      </c>
      <c r="F375" s="932" t="s">
        <v>1553</v>
      </c>
      <c r="G375" s="932" t="s">
        <v>110</v>
      </c>
      <c r="H375" s="1080">
        <v>45853.637731481482</v>
      </c>
      <c r="I375" s="1079">
        <v>6373926477</v>
      </c>
      <c r="J375" s="932" t="s">
        <v>4583</v>
      </c>
      <c r="K375"/>
      <c r="L375"/>
      <c r="M375"/>
      <c r="N375"/>
      <c r="O375"/>
    </row>
    <row r="376" spans="1:15" ht="14.4">
      <c r="A376" s="1001" t="s">
        <v>589</v>
      </c>
      <c r="B376" s="932" t="s">
        <v>4894</v>
      </c>
      <c r="C376" s="932" t="s">
        <v>4495</v>
      </c>
      <c r="D376" s="932" t="s">
        <v>80</v>
      </c>
      <c r="E376" s="1079">
        <v>250000000000</v>
      </c>
      <c r="F376" s="932" t="s">
        <v>1553</v>
      </c>
      <c r="G376" s="932" t="s">
        <v>110</v>
      </c>
      <c r="H376" s="1080">
        <v>45849.659363425926</v>
      </c>
      <c r="I376" s="1079">
        <v>250854580589</v>
      </c>
      <c r="J376" s="932" t="s">
        <v>4499</v>
      </c>
      <c r="K376"/>
      <c r="L376"/>
      <c r="M376"/>
      <c r="N376"/>
      <c r="O376"/>
    </row>
    <row r="377" spans="1:15" ht="14.4">
      <c r="A377" s="1001" t="s">
        <v>858</v>
      </c>
      <c r="B377" s="932" t="s">
        <v>4895</v>
      </c>
      <c r="C377" s="932" t="s">
        <v>22</v>
      </c>
      <c r="D377" s="932" t="s">
        <v>80</v>
      </c>
      <c r="E377" s="1079">
        <v>17686121868</v>
      </c>
      <c r="F377" s="932" t="s">
        <v>1554</v>
      </c>
      <c r="G377" s="932" t="s">
        <v>110</v>
      </c>
      <c r="H377" s="1080">
        <v>45842.500474537039</v>
      </c>
      <c r="I377" s="1079">
        <v>442291915</v>
      </c>
      <c r="J377" s="932" t="s">
        <v>4896</v>
      </c>
      <c r="K377"/>
      <c r="L377"/>
      <c r="M377"/>
      <c r="N377"/>
      <c r="O377"/>
    </row>
    <row r="378" spans="1:15" ht="14.4">
      <c r="A378" s="1001" t="s">
        <v>568</v>
      </c>
      <c r="B378" s="932" t="s">
        <v>4897</v>
      </c>
      <c r="C378" s="932" t="s">
        <v>53</v>
      </c>
      <c r="D378" s="932" t="s">
        <v>80</v>
      </c>
      <c r="E378" s="1079">
        <v>55000</v>
      </c>
      <c r="F378" s="932" t="s">
        <v>1554</v>
      </c>
      <c r="G378" s="932" t="s">
        <v>114</v>
      </c>
      <c r="H378" s="1080">
        <v>45846.524293981478</v>
      </c>
      <c r="I378" s="1079">
        <v>7628424634</v>
      </c>
      <c r="J378" s="932" t="s">
        <v>4898</v>
      </c>
      <c r="K378"/>
      <c r="L378"/>
      <c r="M378"/>
      <c r="N378"/>
      <c r="O378"/>
    </row>
    <row r="379" spans="1:15" ht="14.4">
      <c r="A379" s="1001" t="s">
        <v>858</v>
      </c>
      <c r="B379" s="932" t="s">
        <v>4899</v>
      </c>
      <c r="C379" s="932" t="s">
        <v>22</v>
      </c>
      <c r="D379" s="932" t="s">
        <v>80</v>
      </c>
      <c r="E379" s="1079">
        <v>368388000</v>
      </c>
      <c r="F379" s="932" t="s">
        <v>1554</v>
      </c>
      <c r="G379" s="932" t="s">
        <v>110</v>
      </c>
      <c r="H379" s="1080">
        <v>45851.950509259259</v>
      </c>
      <c r="I379" s="1079">
        <v>73903915</v>
      </c>
      <c r="J379" s="932" t="s">
        <v>4900</v>
      </c>
      <c r="K379"/>
      <c r="L379"/>
      <c r="M379"/>
      <c r="N379"/>
      <c r="O379"/>
    </row>
    <row r="380" spans="1:15" ht="14.4">
      <c r="A380" s="1001" t="s">
        <v>858</v>
      </c>
      <c r="B380" s="932" t="s">
        <v>4901</v>
      </c>
      <c r="C380" s="932" t="s">
        <v>53</v>
      </c>
      <c r="D380" s="932" t="s">
        <v>80</v>
      </c>
      <c r="E380" s="1079">
        <v>10766250</v>
      </c>
      <c r="F380" s="932" t="s">
        <v>1554</v>
      </c>
      <c r="G380" s="932" t="s">
        <v>110</v>
      </c>
      <c r="H380" s="1080">
        <v>45851.951724537037</v>
      </c>
      <c r="I380" s="1079">
        <v>63137665</v>
      </c>
      <c r="J380" s="932" t="s">
        <v>4496</v>
      </c>
      <c r="K380"/>
      <c r="L380"/>
      <c r="M380"/>
      <c r="N380"/>
      <c r="O380"/>
    </row>
    <row r="381" spans="1:15" ht="14.4">
      <c r="A381" s="1001" t="s">
        <v>336</v>
      </c>
      <c r="B381" s="932" t="s">
        <v>4902</v>
      </c>
      <c r="C381" s="932" t="s">
        <v>53</v>
      </c>
      <c r="D381" s="932" t="s">
        <v>80</v>
      </c>
      <c r="E381" s="1079">
        <v>55000</v>
      </c>
      <c r="F381" s="932" t="s">
        <v>1554</v>
      </c>
      <c r="G381" s="932" t="s">
        <v>114</v>
      </c>
      <c r="H381" s="1080">
        <v>45846.543923611112</v>
      </c>
      <c r="I381" s="1079">
        <v>3075933510</v>
      </c>
      <c r="J381" s="932" t="s">
        <v>4898</v>
      </c>
      <c r="K381"/>
      <c r="L381"/>
      <c r="M381"/>
      <c r="N381"/>
      <c r="O381"/>
    </row>
    <row r="382" spans="1:15" ht="14.4">
      <c r="A382" s="1001" t="s">
        <v>618</v>
      </c>
      <c r="B382" s="932" t="s">
        <v>4903</v>
      </c>
      <c r="C382" s="932" t="s">
        <v>53</v>
      </c>
      <c r="D382" s="932" t="s">
        <v>80</v>
      </c>
      <c r="E382" s="1079">
        <v>55000</v>
      </c>
      <c r="F382" s="932" t="s">
        <v>1554</v>
      </c>
      <c r="G382" s="932" t="s">
        <v>114</v>
      </c>
      <c r="H382" s="1080">
        <v>45846.537488425929</v>
      </c>
      <c r="I382" s="1079">
        <v>5100420235</v>
      </c>
      <c r="J382" s="932" t="s">
        <v>4898</v>
      </c>
      <c r="K382"/>
      <c r="L382"/>
      <c r="M382"/>
      <c r="N382"/>
      <c r="O382"/>
    </row>
    <row r="383" spans="1:15" ht="14.4">
      <c r="A383" s="1001" t="s">
        <v>707</v>
      </c>
      <c r="B383" s="932" t="s">
        <v>4904</v>
      </c>
      <c r="C383" s="932" t="s">
        <v>53</v>
      </c>
      <c r="D383" s="932" t="s">
        <v>80</v>
      </c>
      <c r="E383" s="1079">
        <v>47068576</v>
      </c>
      <c r="F383" s="932" t="s">
        <v>1554</v>
      </c>
      <c r="G383" s="932" t="s">
        <v>110</v>
      </c>
      <c r="H383" s="1080">
        <v>45840.554305555554</v>
      </c>
      <c r="I383" s="1079">
        <v>5122670378</v>
      </c>
      <c r="J383" s="932" t="s">
        <v>4573</v>
      </c>
      <c r="K383"/>
      <c r="L383"/>
      <c r="M383"/>
      <c r="N383"/>
      <c r="O383"/>
    </row>
    <row r="384" spans="1:15" ht="14.4">
      <c r="A384" s="1001" t="s">
        <v>707</v>
      </c>
      <c r="B384" s="932" t="s">
        <v>4905</v>
      </c>
      <c r="C384" s="932" t="s">
        <v>53</v>
      </c>
      <c r="D384" s="932" t="s">
        <v>80</v>
      </c>
      <c r="E384" s="1079">
        <v>88085939</v>
      </c>
      <c r="F384" s="932" t="s">
        <v>1554</v>
      </c>
      <c r="G384" s="932" t="s">
        <v>110</v>
      </c>
      <c r="H384" s="1080">
        <v>45840.554305555554</v>
      </c>
      <c r="I384" s="1079">
        <v>5034584439</v>
      </c>
      <c r="J384" s="932" t="s">
        <v>4573</v>
      </c>
      <c r="K384"/>
      <c r="L384"/>
      <c r="M384"/>
      <c r="N384"/>
      <c r="O384"/>
    </row>
    <row r="385" spans="1:15" ht="14.4">
      <c r="A385" s="1001" t="s">
        <v>707</v>
      </c>
      <c r="B385" s="932" t="s">
        <v>4906</v>
      </c>
      <c r="C385" s="932" t="s">
        <v>39</v>
      </c>
      <c r="D385" s="932" t="s">
        <v>80</v>
      </c>
      <c r="E385" s="1079">
        <v>23523845</v>
      </c>
      <c r="F385" s="932" t="s">
        <v>1553</v>
      </c>
      <c r="G385" s="932" t="s">
        <v>110</v>
      </c>
      <c r="H385" s="1080">
        <v>45845.659270833334</v>
      </c>
      <c r="I385" s="1079">
        <v>5058108284</v>
      </c>
      <c r="J385" s="932" t="s">
        <v>4496</v>
      </c>
      <c r="K385"/>
      <c r="L385"/>
      <c r="M385"/>
      <c r="N385"/>
      <c r="O385"/>
    </row>
    <row r="386" spans="1:15" ht="14.4">
      <c r="A386" s="1001" t="s">
        <v>707</v>
      </c>
      <c r="B386" s="932" t="s">
        <v>4907</v>
      </c>
      <c r="C386" s="932" t="s">
        <v>39</v>
      </c>
      <c r="D386" s="932" t="s">
        <v>80</v>
      </c>
      <c r="E386" s="1079">
        <v>1365011032</v>
      </c>
      <c r="F386" s="932" t="s">
        <v>1553</v>
      </c>
      <c r="G386" s="932" t="s">
        <v>110</v>
      </c>
      <c r="H386" s="1080">
        <v>45847.379502314812</v>
      </c>
      <c r="I386" s="1079">
        <v>6423119316</v>
      </c>
      <c r="J386" s="932" t="s">
        <v>4577</v>
      </c>
      <c r="K386"/>
      <c r="L386"/>
      <c r="M386"/>
      <c r="N386"/>
      <c r="O386"/>
    </row>
    <row r="387" spans="1:15" ht="14.4">
      <c r="A387" s="1001" t="s">
        <v>707</v>
      </c>
      <c r="B387" s="932" t="s">
        <v>4908</v>
      </c>
      <c r="C387" s="932" t="s">
        <v>22</v>
      </c>
      <c r="D387" s="932" t="s">
        <v>80</v>
      </c>
      <c r="E387" s="1079">
        <v>725760000</v>
      </c>
      <c r="F387" s="932" t="s">
        <v>1554</v>
      </c>
      <c r="G387" s="932" t="s">
        <v>110</v>
      </c>
      <c r="H387" s="1080">
        <v>45851.948009259257</v>
      </c>
      <c r="I387" s="1079">
        <v>5697359316</v>
      </c>
      <c r="J387" s="932" t="s">
        <v>4909</v>
      </c>
      <c r="K387"/>
      <c r="L387"/>
      <c r="M387"/>
      <c r="N387"/>
      <c r="O387"/>
    </row>
    <row r="388" spans="1:15" ht="14.4">
      <c r="A388" s="1001" t="s">
        <v>707</v>
      </c>
      <c r="B388" s="932" t="s">
        <v>4910</v>
      </c>
      <c r="C388" s="932" t="s">
        <v>22</v>
      </c>
      <c r="D388" s="932" t="s">
        <v>80</v>
      </c>
      <c r="E388" s="1079">
        <v>1485000000</v>
      </c>
      <c r="F388" s="932" t="s">
        <v>1554</v>
      </c>
      <c r="G388" s="932" t="s">
        <v>110</v>
      </c>
      <c r="H388" s="1080">
        <v>45851.94804398148</v>
      </c>
      <c r="I388" s="1079">
        <v>4212359316</v>
      </c>
      <c r="J388" s="932" t="s">
        <v>4909</v>
      </c>
      <c r="K388"/>
      <c r="L388"/>
      <c r="M388"/>
      <c r="N388"/>
      <c r="O388"/>
    </row>
    <row r="389" spans="1:15" ht="14.4">
      <c r="A389" s="1001" t="s">
        <v>707</v>
      </c>
      <c r="B389" s="932" t="s">
        <v>4911</v>
      </c>
      <c r="C389" s="932" t="s">
        <v>53</v>
      </c>
      <c r="D389" s="932" t="s">
        <v>80</v>
      </c>
      <c r="E389" s="1079">
        <v>8971875</v>
      </c>
      <c r="F389" s="932" t="s">
        <v>1554</v>
      </c>
      <c r="G389" s="932" t="s">
        <v>110</v>
      </c>
      <c r="H389" s="1080">
        <v>45851.948055555556</v>
      </c>
      <c r="I389" s="1079">
        <v>4203387441</v>
      </c>
      <c r="J389" s="932" t="s">
        <v>4496</v>
      </c>
      <c r="K389"/>
      <c r="L389"/>
      <c r="M389"/>
      <c r="N389"/>
      <c r="O389"/>
    </row>
    <row r="390" spans="1:15" ht="14.4">
      <c r="A390" s="1001" t="s">
        <v>707</v>
      </c>
      <c r="B390" s="932" t="s">
        <v>4912</v>
      </c>
      <c r="C390" s="932" t="s">
        <v>53</v>
      </c>
      <c r="D390" s="932" t="s">
        <v>80</v>
      </c>
      <c r="E390" s="1079">
        <v>21562200</v>
      </c>
      <c r="F390" s="932" t="s">
        <v>1554</v>
      </c>
      <c r="G390" s="932" t="s">
        <v>110</v>
      </c>
      <c r="H390" s="1080">
        <v>45851.948136574072</v>
      </c>
      <c r="I390" s="1079">
        <v>4181825241</v>
      </c>
      <c r="J390" s="932" t="s">
        <v>4610</v>
      </c>
      <c r="K390"/>
      <c r="L390"/>
      <c r="M390"/>
      <c r="N390"/>
      <c r="O390"/>
    </row>
    <row r="391" spans="1:15" ht="14.4">
      <c r="A391" s="1001" t="s">
        <v>707</v>
      </c>
      <c r="B391" s="932" t="s">
        <v>4913</v>
      </c>
      <c r="C391" s="932" t="s">
        <v>53</v>
      </c>
      <c r="D391" s="932" t="s">
        <v>80</v>
      </c>
      <c r="E391" s="1079">
        <v>31528409</v>
      </c>
      <c r="F391" s="932" t="s">
        <v>1554</v>
      </c>
      <c r="G391" s="932" t="s">
        <v>110</v>
      </c>
      <c r="H391" s="1080">
        <v>45851.948148148149</v>
      </c>
      <c r="I391" s="1079">
        <v>4150296832</v>
      </c>
      <c r="J391" s="932" t="s">
        <v>4535</v>
      </c>
      <c r="K391"/>
      <c r="L391"/>
      <c r="M391"/>
      <c r="N391"/>
      <c r="O391"/>
    </row>
    <row r="392" spans="1:15" ht="14.4">
      <c r="A392" s="1001" t="s">
        <v>707</v>
      </c>
      <c r="B392" s="932" t="s">
        <v>4914</v>
      </c>
      <c r="C392" s="932" t="s">
        <v>53</v>
      </c>
      <c r="D392" s="932" t="s">
        <v>80</v>
      </c>
      <c r="E392" s="1079">
        <v>158974289</v>
      </c>
      <c r="F392" s="932" t="s">
        <v>1554</v>
      </c>
      <c r="G392" s="932" t="s">
        <v>110</v>
      </c>
      <c r="H392" s="1080">
        <v>45851.948148148149</v>
      </c>
      <c r="I392" s="1079">
        <v>3991322543</v>
      </c>
      <c r="J392" s="932" t="s">
        <v>4558</v>
      </c>
      <c r="K392"/>
      <c r="L392"/>
      <c r="M392"/>
      <c r="N392"/>
      <c r="O392"/>
    </row>
    <row r="393" spans="1:15" ht="14.4">
      <c r="A393" s="1001" t="s">
        <v>707</v>
      </c>
      <c r="B393" s="932" t="s">
        <v>4915</v>
      </c>
      <c r="C393" s="932" t="s">
        <v>53</v>
      </c>
      <c r="D393" s="932" t="s">
        <v>80</v>
      </c>
      <c r="E393" s="1079">
        <v>20110464</v>
      </c>
      <c r="F393" s="932" t="s">
        <v>1554</v>
      </c>
      <c r="G393" s="932" t="s">
        <v>110</v>
      </c>
      <c r="H393" s="1080">
        <v>45851.948194444441</v>
      </c>
      <c r="I393" s="1079">
        <v>3971212079</v>
      </c>
      <c r="J393" s="932" t="s">
        <v>4558</v>
      </c>
      <c r="K393"/>
      <c r="L393"/>
      <c r="M393"/>
      <c r="N393"/>
      <c r="O393"/>
    </row>
    <row r="394" spans="1:15" ht="14.4">
      <c r="A394" s="1001" t="s">
        <v>707</v>
      </c>
      <c r="B394" s="932" t="s">
        <v>4916</v>
      </c>
      <c r="C394" s="932" t="s">
        <v>53</v>
      </c>
      <c r="D394" s="932" t="s">
        <v>80</v>
      </c>
      <c r="E394" s="1079">
        <v>109304973</v>
      </c>
      <c r="F394" s="932" t="s">
        <v>1554</v>
      </c>
      <c r="G394" s="932" t="s">
        <v>110</v>
      </c>
      <c r="H394" s="1080">
        <v>45852.424062500002</v>
      </c>
      <c r="I394" s="1079">
        <v>3861907106</v>
      </c>
      <c r="J394" s="932" t="s">
        <v>4573</v>
      </c>
      <c r="K394"/>
      <c r="L394"/>
      <c r="M394"/>
      <c r="N394"/>
      <c r="O394"/>
    </row>
    <row r="395" spans="1:15" ht="14.4">
      <c r="A395" s="1001" t="s">
        <v>707</v>
      </c>
      <c r="B395" s="932" t="s">
        <v>4917</v>
      </c>
      <c r="C395" s="932" t="s">
        <v>39</v>
      </c>
      <c r="D395" s="932" t="s">
        <v>80</v>
      </c>
      <c r="E395" s="1079">
        <v>43802196</v>
      </c>
      <c r="F395" s="932" t="s">
        <v>1553</v>
      </c>
      <c r="G395" s="932" t="s">
        <v>110</v>
      </c>
      <c r="H395" s="1080">
        <v>45853.564803240741</v>
      </c>
      <c r="I395" s="1079">
        <v>3905709302</v>
      </c>
      <c r="J395" s="932" t="s">
        <v>4573</v>
      </c>
      <c r="K395"/>
      <c r="L395"/>
      <c r="M395"/>
      <c r="N395"/>
      <c r="O395"/>
    </row>
    <row r="396" spans="1:15" ht="14.4">
      <c r="A396" s="1001" t="s">
        <v>481</v>
      </c>
      <c r="B396" s="932" t="s">
        <v>4918</v>
      </c>
      <c r="C396" s="932" t="s">
        <v>53</v>
      </c>
      <c r="D396" s="932" t="s">
        <v>80</v>
      </c>
      <c r="E396" s="1079">
        <v>371704200</v>
      </c>
      <c r="F396" s="932" t="s">
        <v>1554</v>
      </c>
      <c r="G396" s="932" t="s">
        <v>110</v>
      </c>
      <c r="H396" s="1080">
        <v>45840.718391203707</v>
      </c>
      <c r="I396" s="1079">
        <v>194630484273</v>
      </c>
      <c r="J396" s="932" t="s">
        <v>4496</v>
      </c>
      <c r="K396"/>
      <c r="L396"/>
      <c r="M396"/>
      <c r="N396"/>
      <c r="O396"/>
    </row>
    <row r="397" spans="1:15" ht="14.4">
      <c r="A397" s="1001" t="s">
        <v>481</v>
      </c>
      <c r="B397" s="932" t="s">
        <v>4919</v>
      </c>
      <c r="C397" s="932" t="s">
        <v>53</v>
      </c>
      <c r="D397" s="932" t="s">
        <v>80</v>
      </c>
      <c r="E397" s="1079">
        <v>727346</v>
      </c>
      <c r="F397" s="932" t="s">
        <v>1554</v>
      </c>
      <c r="G397" s="932" t="s">
        <v>110</v>
      </c>
      <c r="H397" s="1080">
        <v>45840.724699074075</v>
      </c>
      <c r="I397" s="1079">
        <v>194629756927</v>
      </c>
      <c r="J397" s="932" t="s">
        <v>4496</v>
      </c>
      <c r="K397"/>
      <c r="L397"/>
      <c r="M397"/>
      <c r="N397"/>
      <c r="O397"/>
    </row>
    <row r="398" spans="1:15" ht="14.4">
      <c r="A398" s="1001" t="s">
        <v>481</v>
      </c>
      <c r="B398" s="932" t="s">
        <v>4920</v>
      </c>
      <c r="C398" s="932" t="s">
        <v>53</v>
      </c>
      <c r="D398" s="932" t="s">
        <v>80</v>
      </c>
      <c r="E398" s="1079">
        <v>1279686</v>
      </c>
      <c r="F398" s="932" t="s">
        <v>1554</v>
      </c>
      <c r="G398" s="932" t="s">
        <v>110</v>
      </c>
      <c r="H398" s="1080">
        <v>45841.744606481479</v>
      </c>
      <c r="I398" s="1079">
        <v>194628477241</v>
      </c>
      <c r="J398" s="932" t="s">
        <v>4573</v>
      </c>
      <c r="K398"/>
      <c r="L398"/>
      <c r="M398"/>
      <c r="N398"/>
      <c r="O398"/>
    </row>
    <row r="399" spans="1:15" ht="14.4">
      <c r="A399" s="1001" t="s">
        <v>481</v>
      </c>
      <c r="B399" s="932" t="s">
        <v>4921</v>
      </c>
      <c r="C399" s="932" t="s">
        <v>4497</v>
      </c>
      <c r="D399" s="932" t="s">
        <v>80</v>
      </c>
      <c r="E399" s="1079">
        <v>40000000000</v>
      </c>
      <c r="F399" s="932" t="s">
        <v>1554</v>
      </c>
      <c r="G399" s="932" t="s">
        <v>110</v>
      </c>
      <c r="H399" s="1080">
        <v>45842.745613425926</v>
      </c>
      <c r="I399" s="1079">
        <v>154543370330</v>
      </c>
      <c r="J399" s="932" t="s">
        <v>4501</v>
      </c>
      <c r="K399"/>
      <c r="L399"/>
      <c r="M399"/>
      <c r="N399"/>
      <c r="O399"/>
    </row>
    <row r="400" spans="1:15" ht="14.4">
      <c r="A400" s="1001" t="s">
        <v>481</v>
      </c>
      <c r="B400" s="932" t="s">
        <v>4922</v>
      </c>
      <c r="C400" s="932" t="s">
        <v>4497</v>
      </c>
      <c r="D400" s="932" t="s">
        <v>80</v>
      </c>
      <c r="E400" s="1079">
        <v>85000000000</v>
      </c>
      <c r="F400" s="932" t="s">
        <v>1554</v>
      </c>
      <c r="G400" s="932" t="s">
        <v>110</v>
      </c>
      <c r="H400" s="1080">
        <v>45842.79315972222</v>
      </c>
      <c r="I400" s="1079">
        <v>69543370330</v>
      </c>
      <c r="J400" s="932" t="s">
        <v>4501</v>
      </c>
      <c r="K400"/>
      <c r="L400"/>
      <c r="M400"/>
      <c r="N400"/>
      <c r="O400"/>
    </row>
    <row r="401" spans="1:15" ht="14.4">
      <c r="A401" s="1001" t="s">
        <v>481</v>
      </c>
      <c r="B401" s="932" t="s">
        <v>4923</v>
      </c>
      <c r="C401" s="932" t="s">
        <v>53</v>
      </c>
      <c r="D401" s="932" t="s">
        <v>80</v>
      </c>
      <c r="E401" s="1079">
        <v>1855950</v>
      </c>
      <c r="F401" s="932" t="s">
        <v>1554</v>
      </c>
      <c r="G401" s="932" t="s">
        <v>110</v>
      </c>
      <c r="H401" s="1080">
        <v>45842.386493055557</v>
      </c>
      <c r="I401" s="1079">
        <v>194626621291</v>
      </c>
      <c r="J401" s="932" t="s">
        <v>4573</v>
      </c>
      <c r="K401"/>
      <c r="L401"/>
      <c r="M401"/>
      <c r="N401"/>
      <c r="O401"/>
    </row>
    <row r="402" spans="1:15" ht="14.4">
      <c r="A402" s="1001" t="s">
        <v>481</v>
      </c>
      <c r="B402" s="932" t="s">
        <v>4924</v>
      </c>
      <c r="C402" s="932" t="s">
        <v>53</v>
      </c>
      <c r="D402" s="932" t="s">
        <v>80</v>
      </c>
      <c r="E402" s="1079">
        <v>47611</v>
      </c>
      <c r="F402" s="932" t="s">
        <v>1554</v>
      </c>
      <c r="G402" s="932" t="s">
        <v>110</v>
      </c>
      <c r="H402" s="1080">
        <v>45842.38652777778</v>
      </c>
      <c r="I402" s="1079">
        <v>194626573680</v>
      </c>
      <c r="J402" s="932" t="s">
        <v>4573</v>
      </c>
      <c r="K402"/>
      <c r="L402"/>
      <c r="M402"/>
      <c r="N402"/>
      <c r="O402"/>
    </row>
    <row r="403" spans="1:15" ht="14.4">
      <c r="A403" s="1001" t="s">
        <v>481</v>
      </c>
      <c r="B403" s="932" t="s">
        <v>4925</v>
      </c>
      <c r="C403" s="932" t="s">
        <v>53</v>
      </c>
      <c r="D403" s="932" t="s">
        <v>80</v>
      </c>
      <c r="E403" s="1079">
        <v>1680549</v>
      </c>
      <c r="F403" s="932" t="s">
        <v>1554</v>
      </c>
      <c r="G403" s="932" t="s">
        <v>110</v>
      </c>
      <c r="H403" s="1080">
        <v>45842.38652777778</v>
      </c>
      <c r="I403" s="1079">
        <v>194624893131</v>
      </c>
      <c r="J403" s="932" t="s">
        <v>4573</v>
      </c>
      <c r="K403"/>
      <c r="L403"/>
      <c r="M403"/>
      <c r="N403"/>
      <c r="O403"/>
    </row>
    <row r="404" spans="1:15" ht="14.4">
      <c r="A404" s="1001" t="s">
        <v>481</v>
      </c>
      <c r="B404" s="932" t="s">
        <v>4926</v>
      </c>
      <c r="C404" s="932" t="s">
        <v>53</v>
      </c>
      <c r="D404" s="932" t="s">
        <v>80</v>
      </c>
      <c r="E404" s="1079">
        <v>6930956</v>
      </c>
      <c r="F404" s="932" t="s">
        <v>1554</v>
      </c>
      <c r="G404" s="932" t="s">
        <v>110</v>
      </c>
      <c r="H404" s="1080">
        <v>45842.38653935185</v>
      </c>
      <c r="I404" s="1079">
        <v>194617962175</v>
      </c>
      <c r="J404" s="932" t="s">
        <v>4573</v>
      </c>
      <c r="K404"/>
      <c r="L404"/>
      <c r="M404"/>
      <c r="N404"/>
      <c r="O404"/>
    </row>
    <row r="405" spans="1:15" ht="14.4">
      <c r="A405" s="1001" t="s">
        <v>481</v>
      </c>
      <c r="B405" s="932" t="s">
        <v>4927</v>
      </c>
      <c r="C405" s="932" t="s">
        <v>53</v>
      </c>
      <c r="D405" s="932" t="s">
        <v>80</v>
      </c>
      <c r="E405" s="1079">
        <v>3212000</v>
      </c>
      <c r="F405" s="932" t="s">
        <v>1554</v>
      </c>
      <c r="G405" s="932" t="s">
        <v>110</v>
      </c>
      <c r="H405" s="1080">
        <v>45842.386562500003</v>
      </c>
      <c r="I405" s="1079">
        <v>194614750175</v>
      </c>
      <c r="J405" s="932" t="s">
        <v>4573</v>
      </c>
      <c r="K405"/>
      <c r="L405"/>
      <c r="M405"/>
      <c r="N405"/>
      <c r="O405"/>
    </row>
    <row r="406" spans="1:15" ht="14.4">
      <c r="A406" s="1001" t="s">
        <v>481</v>
      </c>
      <c r="B406" s="932" t="s">
        <v>4928</v>
      </c>
      <c r="C406" s="932" t="s">
        <v>53</v>
      </c>
      <c r="D406" s="932" t="s">
        <v>80</v>
      </c>
      <c r="E406" s="1079">
        <v>4591058</v>
      </c>
      <c r="F406" s="932" t="s">
        <v>1554</v>
      </c>
      <c r="G406" s="932" t="s">
        <v>110</v>
      </c>
      <c r="H406" s="1080">
        <v>45842.386562500003</v>
      </c>
      <c r="I406" s="1079">
        <v>194610159117</v>
      </c>
      <c r="J406" s="932" t="s">
        <v>4573</v>
      </c>
      <c r="K406"/>
      <c r="L406"/>
      <c r="M406"/>
      <c r="N406"/>
      <c r="O406"/>
    </row>
    <row r="407" spans="1:15" ht="14.4">
      <c r="A407" s="1001" t="s">
        <v>481</v>
      </c>
      <c r="B407" s="932" t="s">
        <v>4929</v>
      </c>
      <c r="C407" s="932" t="s">
        <v>53</v>
      </c>
      <c r="D407" s="932" t="s">
        <v>80</v>
      </c>
      <c r="E407" s="1079">
        <v>5330353</v>
      </c>
      <c r="F407" s="932" t="s">
        <v>1554</v>
      </c>
      <c r="G407" s="932" t="s">
        <v>110</v>
      </c>
      <c r="H407" s="1080">
        <v>45842.386562500003</v>
      </c>
      <c r="I407" s="1079">
        <v>194604828764</v>
      </c>
      <c r="J407" s="932" t="s">
        <v>4573</v>
      </c>
      <c r="K407"/>
      <c r="L407"/>
      <c r="M407"/>
      <c r="N407"/>
      <c r="O407"/>
    </row>
    <row r="408" spans="1:15" ht="14.4">
      <c r="A408" s="1001" t="s">
        <v>481</v>
      </c>
      <c r="B408" s="932" t="s">
        <v>4930</v>
      </c>
      <c r="C408" s="932" t="s">
        <v>53</v>
      </c>
      <c r="D408" s="932" t="s">
        <v>80</v>
      </c>
      <c r="E408" s="1079">
        <v>776719</v>
      </c>
      <c r="F408" s="932" t="s">
        <v>1554</v>
      </c>
      <c r="G408" s="932" t="s">
        <v>110</v>
      </c>
      <c r="H408" s="1080">
        <v>45842.386562500003</v>
      </c>
      <c r="I408" s="1079">
        <v>194604052045</v>
      </c>
      <c r="J408" s="932" t="s">
        <v>4573</v>
      </c>
      <c r="K408"/>
      <c r="L408"/>
      <c r="M408"/>
      <c r="N408"/>
      <c r="O408"/>
    </row>
    <row r="409" spans="1:15" ht="14.4">
      <c r="A409" s="1001" t="s">
        <v>481</v>
      </c>
      <c r="B409" s="932" t="s">
        <v>4931</v>
      </c>
      <c r="C409" s="932" t="s">
        <v>53</v>
      </c>
      <c r="D409" s="932" t="s">
        <v>80</v>
      </c>
      <c r="E409" s="1079">
        <v>14368</v>
      </c>
      <c r="F409" s="932" t="s">
        <v>1554</v>
      </c>
      <c r="G409" s="932" t="s">
        <v>110</v>
      </c>
      <c r="H409" s="1080">
        <v>45842.386874999997</v>
      </c>
      <c r="I409" s="1079">
        <v>194604037677</v>
      </c>
      <c r="J409" s="932" t="s">
        <v>4573</v>
      </c>
      <c r="K409"/>
      <c r="L409"/>
      <c r="M409"/>
      <c r="N409"/>
      <c r="O409"/>
    </row>
    <row r="410" spans="1:15" ht="14.4">
      <c r="A410" s="1001" t="s">
        <v>481</v>
      </c>
      <c r="B410" s="932" t="s">
        <v>4932</v>
      </c>
      <c r="C410" s="932" t="s">
        <v>53</v>
      </c>
      <c r="D410" s="932" t="s">
        <v>80</v>
      </c>
      <c r="E410" s="1079">
        <v>3930327</v>
      </c>
      <c r="F410" s="932" t="s">
        <v>1554</v>
      </c>
      <c r="G410" s="932" t="s">
        <v>110</v>
      </c>
      <c r="H410" s="1080">
        <v>45842.387083333335</v>
      </c>
      <c r="I410" s="1079">
        <v>194600107350</v>
      </c>
      <c r="J410" s="932" t="s">
        <v>4573</v>
      </c>
      <c r="K410"/>
      <c r="L410"/>
      <c r="M410"/>
      <c r="N410"/>
      <c r="O410"/>
    </row>
    <row r="411" spans="1:15" ht="14.4">
      <c r="A411" s="1001" t="s">
        <v>481</v>
      </c>
      <c r="B411" s="932" t="s">
        <v>4933</v>
      </c>
      <c r="C411" s="932" t="s">
        <v>53</v>
      </c>
      <c r="D411" s="932" t="s">
        <v>80</v>
      </c>
      <c r="E411" s="1079">
        <v>6595616</v>
      </c>
      <c r="F411" s="932" t="s">
        <v>1554</v>
      </c>
      <c r="G411" s="932" t="s">
        <v>110</v>
      </c>
      <c r="H411" s="1080">
        <v>45842.387164351851</v>
      </c>
      <c r="I411" s="1079">
        <v>194593511734</v>
      </c>
      <c r="J411" s="932" t="s">
        <v>4573</v>
      </c>
      <c r="K411"/>
      <c r="L411"/>
      <c r="M411"/>
      <c r="N411"/>
      <c r="O411"/>
    </row>
    <row r="412" spans="1:15" ht="14.4">
      <c r="A412" s="1001" t="s">
        <v>481</v>
      </c>
      <c r="B412" s="932" t="s">
        <v>4934</v>
      </c>
      <c r="C412" s="932" t="s">
        <v>53</v>
      </c>
      <c r="D412" s="932" t="s">
        <v>80</v>
      </c>
      <c r="E412" s="1079">
        <v>48967967</v>
      </c>
      <c r="F412" s="932" t="s">
        <v>1554</v>
      </c>
      <c r="G412" s="932" t="s">
        <v>110</v>
      </c>
      <c r="H412" s="1080">
        <v>45842.387187499997</v>
      </c>
      <c r="I412" s="1079">
        <v>194544543767</v>
      </c>
      <c r="J412" s="932" t="s">
        <v>4573</v>
      </c>
      <c r="K412"/>
      <c r="L412"/>
      <c r="M412"/>
      <c r="N412"/>
      <c r="O412"/>
    </row>
    <row r="413" spans="1:15" ht="14.4">
      <c r="A413" s="1001" t="s">
        <v>481</v>
      </c>
      <c r="B413" s="932" t="s">
        <v>4935</v>
      </c>
      <c r="C413" s="932" t="s">
        <v>53</v>
      </c>
      <c r="D413" s="932" t="s">
        <v>80</v>
      </c>
      <c r="E413" s="1079">
        <v>1173437</v>
      </c>
      <c r="F413" s="932" t="s">
        <v>1554</v>
      </c>
      <c r="G413" s="932" t="s">
        <v>110</v>
      </c>
      <c r="H413" s="1080">
        <v>45842.387291666666</v>
      </c>
      <c r="I413" s="1079">
        <v>194543370330</v>
      </c>
      <c r="J413" s="932" t="s">
        <v>4573</v>
      </c>
      <c r="K413"/>
      <c r="L413"/>
      <c r="M413"/>
      <c r="N413"/>
      <c r="O413"/>
    </row>
    <row r="414" spans="1:15" ht="14.4">
      <c r="A414" s="1001" t="s">
        <v>481</v>
      </c>
      <c r="B414" s="932" t="s">
        <v>4931</v>
      </c>
      <c r="C414" s="932" t="s">
        <v>53</v>
      </c>
      <c r="D414" s="932" t="s">
        <v>80</v>
      </c>
      <c r="E414" s="1079">
        <v>103218</v>
      </c>
      <c r="F414" s="932" t="s">
        <v>1554</v>
      </c>
      <c r="G414" s="932" t="s">
        <v>110</v>
      </c>
      <c r="H414" s="1080">
        <v>45843.414236111108</v>
      </c>
      <c r="I414" s="1079">
        <v>69543267112</v>
      </c>
      <c r="J414" s="932" t="s">
        <v>4573</v>
      </c>
      <c r="K414"/>
      <c r="L414"/>
      <c r="M414"/>
      <c r="N414"/>
      <c r="O414"/>
    </row>
    <row r="415" spans="1:15" ht="14.4">
      <c r="A415" s="1001" t="s">
        <v>481</v>
      </c>
      <c r="B415" s="932" t="s">
        <v>4936</v>
      </c>
      <c r="C415" s="932" t="s">
        <v>39</v>
      </c>
      <c r="D415" s="932" t="s">
        <v>80</v>
      </c>
      <c r="E415" s="1079">
        <v>363175164</v>
      </c>
      <c r="F415" s="932" t="s">
        <v>1553</v>
      </c>
      <c r="G415" s="932" t="s">
        <v>110</v>
      </c>
      <c r="H415" s="1080">
        <v>45845.627835648149</v>
      </c>
      <c r="I415" s="1079">
        <v>69906442276</v>
      </c>
      <c r="J415" s="932" t="s">
        <v>4585</v>
      </c>
      <c r="K415"/>
      <c r="L415"/>
      <c r="M415"/>
      <c r="N415"/>
      <c r="O415"/>
    </row>
    <row r="416" spans="1:15" ht="14.4">
      <c r="A416" s="1001" t="s">
        <v>481</v>
      </c>
      <c r="B416" s="932" t="s">
        <v>4937</v>
      </c>
      <c r="C416" s="932" t="s">
        <v>39</v>
      </c>
      <c r="D416" s="932" t="s">
        <v>80</v>
      </c>
      <c r="E416" s="1079">
        <v>647204580</v>
      </c>
      <c r="F416" s="932" t="s">
        <v>1553</v>
      </c>
      <c r="G416" s="932" t="s">
        <v>110</v>
      </c>
      <c r="H416" s="1080">
        <v>45846.697789351849</v>
      </c>
      <c r="I416" s="1079">
        <v>2011849802</v>
      </c>
      <c r="J416" s="932" t="s">
        <v>4496</v>
      </c>
      <c r="K416"/>
      <c r="L416"/>
      <c r="M416"/>
      <c r="N416"/>
      <c r="O416"/>
    </row>
    <row r="417" spans="1:15" ht="14.4">
      <c r="A417" s="1001" t="s">
        <v>549</v>
      </c>
      <c r="B417" s="932" t="s">
        <v>4938</v>
      </c>
      <c r="C417" s="932" t="s">
        <v>53</v>
      </c>
      <c r="D417" s="932" t="s">
        <v>80</v>
      </c>
      <c r="E417" s="1079">
        <v>55000</v>
      </c>
      <c r="F417" s="932" t="s">
        <v>1554</v>
      </c>
      <c r="G417" s="932" t="s">
        <v>114</v>
      </c>
      <c r="H417" s="1080">
        <v>45846.537372685183</v>
      </c>
      <c r="I417" s="1079">
        <v>1286412308</v>
      </c>
      <c r="J417" s="932" t="s">
        <v>4898</v>
      </c>
      <c r="K417"/>
      <c r="L417"/>
      <c r="M417"/>
      <c r="N417"/>
      <c r="O417"/>
    </row>
    <row r="418" spans="1:15" ht="14.4">
      <c r="A418" s="1001" t="s">
        <v>481</v>
      </c>
      <c r="B418" s="932" t="s">
        <v>4939</v>
      </c>
      <c r="C418" s="932" t="s">
        <v>39</v>
      </c>
      <c r="D418" s="932" t="s">
        <v>80</v>
      </c>
      <c r="E418" s="1079">
        <v>4943021787</v>
      </c>
      <c r="F418" s="932" t="s">
        <v>1553</v>
      </c>
      <c r="G418" s="932" t="s">
        <v>110</v>
      </c>
      <c r="H418" s="1080">
        <v>45847.418275462966</v>
      </c>
      <c r="I418" s="1079">
        <v>6954871589</v>
      </c>
      <c r="J418" s="932" t="s">
        <v>4496</v>
      </c>
      <c r="K418"/>
      <c r="L418"/>
      <c r="M418"/>
      <c r="N418"/>
      <c r="O418"/>
    </row>
    <row r="419" spans="1:15" ht="14.4">
      <c r="A419" s="1001" t="s">
        <v>481</v>
      </c>
      <c r="B419" s="932" t="s">
        <v>4940</v>
      </c>
      <c r="C419" s="932" t="s">
        <v>39</v>
      </c>
      <c r="D419" s="932" t="s">
        <v>80</v>
      </c>
      <c r="E419" s="1079">
        <v>681691032</v>
      </c>
      <c r="F419" s="932" t="s">
        <v>1553</v>
      </c>
      <c r="G419" s="932" t="s">
        <v>110</v>
      </c>
      <c r="H419" s="1080">
        <v>45847.418738425928</v>
      </c>
      <c r="I419" s="1079">
        <v>7636562621</v>
      </c>
      <c r="J419" s="932" t="s">
        <v>4496</v>
      </c>
      <c r="K419"/>
      <c r="L419"/>
      <c r="M419"/>
      <c r="N419"/>
      <c r="O419"/>
    </row>
    <row r="420" spans="1:15" ht="14.4">
      <c r="A420" s="1001" t="s">
        <v>481</v>
      </c>
      <c r="B420" s="932" t="s">
        <v>4941</v>
      </c>
      <c r="C420" s="932" t="s">
        <v>39</v>
      </c>
      <c r="D420" s="932" t="s">
        <v>80</v>
      </c>
      <c r="E420" s="1079">
        <v>1032524135</v>
      </c>
      <c r="F420" s="932" t="s">
        <v>1553</v>
      </c>
      <c r="G420" s="932" t="s">
        <v>110</v>
      </c>
      <c r="H420" s="1080">
        <v>45847.616712962961</v>
      </c>
      <c r="I420" s="1079">
        <v>8669086756</v>
      </c>
      <c r="J420" s="932" t="s">
        <v>4496</v>
      </c>
      <c r="K420"/>
      <c r="L420"/>
      <c r="M420"/>
      <c r="N420"/>
      <c r="O420"/>
    </row>
    <row r="421" spans="1:15" ht="14.4">
      <c r="A421" s="1001" t="s">
        <v>481</v>
      </c>
      <c r="B421" s="932" t="s">
        <v>4942</v>
      </c>
      <c r="C421" s="932" t="s">
        <v>39</v>
      </c>
      <c r="D421" s="932" t="s">
        <v>80</v>
      </c>
      <c r="E421" s="1079">
        <v>117586</v>
      </c>
      <c r="F421" s="932" t="s">
        <v>1553</v>
      </c>
      <c r="G421" s="932" t="s">
        <v>110</v>
      </c>
      <c r="H421" s="1080">
        <v>45848.576944444445</v>
      </c>
      <c r="I421" s="1079">
        <v>10522368653</v>
      </c>
      <c r="J421" s="932" t="s">
        <v>4573</v>
      </c>
      <c r="K421"/>
      <c r="L421"/>
      <c r="M421"/>
      <c r="N421"/>
      <c r="O421"/>
    </row>
    <row r="422" spans="1:15" ht="14.4">
      <c r="A422" s="1001" t="s">
        <v>481</v>
      </c>
      <c r="B422" s="932" t="s">
        <v>4943</v>
      </c>
      <c r="C422" s="932" t="s">
        <v>39</v>
      </c>
      <c r="D422" s="932" t="s">
        <v>80</v>
      </c>
      <c r="E422" s="1079">
        <v>215400962</v>
      </c>
      <c r="F422" s="932" t="s">
        <v>1553</v>
      </c>
      <c r="G422" s="932" t="s">
        <v>110</v>
      </c>
      <c r="H422" s="1080">
        <v>45848.567766203705</v>
      </c>
      <c r="I422" s="1079">
        <v>10522251067</v>
      </c>
      <c r="J422" s="932" t="s">
        <v>4496</v>
      </c>
      <c r="K422"/>
      <c r="L422"/>
      <c r="M422"/>
      <c r="N422"/>
      <c r="O422"/>
    </row>
    <row r="423" spans="1:15" ht="14.4">
      <c r="A423" s="1001" t="s">
        <v>481</v>
      </c>
      <c r="B423" s="932" t="s">
        <v>4944</v>
      </c>
      <c r="C423" s="932" t="s">
        <v>39</v>
      </c>
      <c r="D423" s="932" t="s">
        <v>80</v>
      </c>
      <c r="E423" s="1079">
        <v>181471752</v>
      </c>
      <c r="F423" s="932" t="s">
        <v>1553</v>
      </c>
      <c r="G423" s="932" t="s">
        <v>110</v>
      </c>
      <c r="H423" s="1080">
        <v>45848.652280092596</v>
      </c>
      <c r="I423" s="1079">
        <v>11845879853</v>
      </c>
      <c r="J423" s="932" t="s">
        <v>4496</v>
      </c>
      <c r="K423"/>
      <c r="L423"/>
      <c r="M423"/>
      <c r="N423"/>
      <c r="O423"/>
    </row>
    <row r="424" spans="1:15" ht="14.4">
      <c r="A424" s="1001" t="s">
        <v>481</v>
      </c>
      <c r="B424" s="932" t="s">
        <v>4945</v>
      </c>
      <c r="C424" s="932" t="s">
        <v>39</v>
      </c>
      <c r="D424" s="932" t="s">
        <v>80</v>
      </c>
      <c r="E424" s="1079">
        <v>272624880</v>
      </c>
      <c r="F424" s="932" t="s">
        <v>1553</v>
      </c>
      <c r="G424" s="932" t="s">
        <v>110</v>
      </c>
      <c r="H424" s="1080">
        <v>45848.414456018516</v>
      </c>
      <c r="I424" s="1079">
        <v>9019465061</v>
      </c>
      <c r="J424" s="932" t="s">
        <v>4496</v>
      </c>
      <c r="K424"/>
      <c r="L424"/>
      <c r="M424"/>
      <c r="N424"/>
      <c r="O424"/>
    </row>
    <row r="425" spans="1:15" ht="14.4">
      <c r="A425" s="1001" t="s">
        <v>481</v>
      </c>
      <c r="B425" s="932" t="s">
        <v>4946</v>
      </c>
      <c r="C425" s="932" t="s">
        <v>39</v>
      </c>
      <c r="D425" s="932" t="s">
        <v>80</v>
      </c>
      <c r="E425" s="1079">
        <v>373300488</v>
      </c>
      <c r="F425" s="932" t="s">
        <v>1553</v>
      </c>
      <c r="G425" s="932" t="s">
        <v>110</v>
      </c>
      <c r="H425" s="1080">
        <v>45848.615393518521</v>
      </c>
      <c r="I425" s="1079">
        <v>11664408101</v>
      </c>
      <c r="J425" s="932" t="s">
        <v>4585</v>
      </c>
      <c r="K425"/>
      <c r="L425"/>
      <c r="M425"/>
      <c r="N425"/>
      <c r="O425"/>
    </row>
    <row r="426" spans="1:15" ht="14.4">
      <c r="A426" s="1001" t="s">
        <v>481</v>
      </c>
      <c r="B426" s="932" t="s">
        <v>4947</v>
      </c>
      <c r="C426" s="932" t="s">
        <v>44</v>
      </c>
      <c r="D426" s="932" t="s">
        <v>80</v>
      </c>
      <c r="E426" s="1079">
        <v>77753425</v>
      </c>
      <c r="F426" s="932" t="s">
        <v>1553</v>
      </c>
      <c r="G426" s="932" t="s">
        <v>110</v>
      </c>
      <c r="H426" s="1080">
        <v>45848.116643518515</v>
      </c>
      <c r="I426" s="1079">
        <v>8746840181</v>
      </c>
      <c r="J426" s="932" t="s">
        <v>4648</v>
      </c>
      <c r="K426"/>
      <c r="L426"/>
      <c r="M426"/>
      <c r="N426"/>
      <c r="O426"/>
    </row>
    <row r="427" spans="1:15" ht="14.4">
      <c r="A427" s="1001" t="s">
        <v>481</v>
      </c>
      <c r="B427" s="932" t="s">
        <v>4948</v>
      </c>
      <c r="C427" s="932" t="s">
        <v>39</v>
      </c>
      <c r="D427" s="932" t="s">
        <v>80</v>
      </c>
      <c r="E427" s="1079">
        <v>1287385044</v>
      </c>
      <c r="F427" s="932" t="s">
        <v>1553</v>
      </c>
      <c r="G427" s="932" t="s">
        <v>110</v>
      </c>
      <c r="H427" s="1080">
        <v>45848.471875000003</v>
      </c>
      <c r="I427" s="1079">
        <v>10306850105</v>
      </c>
      <c r="J427" s="932" t="s">
        <v>4496</v>
      </c>
      <c r="K427"/>
      <c r="L427"/>
      <c r="M427"/>
      <c r="N427"/>
      <c r="O427"/>
    </row>
    <row r="428" spans="1:15" ht="14.4">
      <c r="A428" s="1001" t="s">
        <v>481</v>
      </c>
      <c r="B428" s="932" t="s">
        <v>4949</v>
      </c>
      <c r="C428" s="932" t="s">
        <v>39</v>
      </c>
      <c r="D428" s="932" t="s">
        <v>80</v>
      </c>
      <c r="E428" s="1079">
        <v>768738960</v>
      </c>
      <c r="F428" s="932" t="s">
        <v>1553</v>
      </c>
      <c r="G428" s="932" t="s">
        <v>110</v>
      </c>
      <c r="H428" s="1080">
        <v>45848.579155092593</v>
      </c>
      <c r="I428" s="1079">
        <v>11291107613</v>
      </c>
      <c r="J428" s="932" t="s">
        <v>4585</v>
      </c>
      <c r="K428"/>
      <c r="L428"/>
      <c r="M428"/>
      <c r="N428"/>
      <c r="O428"/>
    </row>
    <row r="429" spans="1:15" ht="14.4">
      <c r="A429" s="1001" t="s">
        <v>481</v>
      </c>
      <c r="B429" s="932" t="s">
        <v>4950</v>
      </c>
      <c r="C429" s="932" t="s">
        <v>39</v>
      </c>
      <c r="D429" s="932" t="s">
        <v>80</v>
      </c>
      <c r="E429" s="1079">
        <v>343965600</v>
      </c>
      <c r="F429" s="932" t="s">
        <v>1553</v>
      </c>
      <c r="G429" s="932" t="s">
        <v>110</v>
      </c>
      <c r="H429" s="1080">
        <v>45849.359583333331</v>
      </c>
      <c r="I429" s="1079">
        <v>12649351577</v>
      </c>
      <c r="J429" s="932" t="s">
        <v>4496</v>
      </c>
      <c r="K429"/>
      <c r="L429"/>
      <c r="M429"/>
      <c r="N429"/>
      <c r="O429"/>
    </row>
    <row r="430" spans="1:15" ht="14.4">
      <c r="A430" s="1001" t="s">
        <v>481</v>
      </c>
      <c r="B430" s="932" t="s">
        <v>4951</v>
      </c>
      <c r="C430" s="932" t="s">
        <v>39</v>
      </c>
      <c r="D430" s="932" t="s">
        <v>80</v>
      </c>
      <c r="E430" s="1079">
        <v>116708123</v>
      </c>
      <c r="F430" s="932" t="s">
        <v>1553</v>
      </c>
      <c r="G430" s="932" t="s">
        <v>110</v>
      </c>
      <c r="H430" s="1080">
        <v>45849.706388888888</v>
      </c>
      <c r="I430" s="1079">
        <v>14516728900</v>
      </c>
      <c r="J430" s="932" t="s">
        <v>4585</v>
      </c>
      <c r="K430"/>
      <c r="L430"/>
      <c r="M430"/>
      <c r="N430"/>
      <c r="O430"/>
    </row>
    <row r="431" spans="1:15" ht="14.4">
      <c r="A431" s="1001" t="s">
        <v>481</v>
      </c>
      <c r="B431" s="932" t="s">
        <v>4952</v>
      </c>
      <c r="C431" s="932" t="s">
        <v>39</v>
      </c>
      <c r="D431" s="932" t="s">
        <v>80</v>
      </c>
      <c r="E431" s="1079">
        <v>499999998</v>
      </c>
      <c r="F431" s="932" t="s">
        <v>1553</v>
      </c>
      <c r="G431" s="932" t="s">
        <v>110</v>
      </c>
      <c r="H431" s="1080">
        <v>45849.706423611111</v>
      </c>
      <c r="I431" s="1079">
        <v>15016728898</v>
      </c>
      <c r="J431" s="932" t="s">
        <v>4585</v>
      </c>
      <c r="K431"/>
      <c r="L431"/>
      <c r="M431"/>
      <c r="N431"/>
      <c r="O431"/>
    </row>
    <row r="432" spans="1:15" ht="14.4">
      <c r="A432" s="1001" t="s">
        <v>481</v>
      </c>
      <c r="B432" s="932" t="s">
        <v>4953</v>
      </c>
      <c r="C432" s="932" t="s">
        <v>39</v>
      </c>
      <c r="D432" s="932" t="s">
        <v>80</v>
      </c>
      <c r="E432" s="1079">
        <v>499999999</v>
      </c>
      <c r="F432" s="932" t="s">
        <v>1553</v>
      </c>
      <c r="G432" s="932" t="s">
        <v>110</v>
      </c>
      <c r="H432" s="1080">
        <v>45849.706469907411</v>
      </c>
      <c r="I432" s="1079">
        <v>15516728897</v>
      </c>
      <c r="J432" s="932" t="s">
        <v>4585</v>
      </c>
      <c r="K432"/>
      <c r="L432"/>
      <c r="M432"/>
      <c r="N432"/>
      <c r="O432"/>
    </row>
    <row r="433" spans="1:15" ht="14.4">
      <c r="A433" s="1001" t="s">
        <v>481</v>
      </c>
      <c r="B433" s="932" t="s">
        <v>4954</v>
      </c>
      <c r="C433" s="932" t="s">
        <v>39</v>
      </c>
      <c r="D433" s="932" t="s">
        <v>80</v>
      </c>
      <c r="E433" s="1079">
        <v>1750669200</v>
      </c>
      <c r="F433" s="932" t="s">
        <v>1553</v>
      </c>
      <c r="G433" s="932" t="s">
        <v>110</v>
      </c>
      <c r="H433" s="1080">
        <v>45849.582962962966</v>
      </c>
      <c r="I433" s="1079">
        <v>14400020777</v>
      </c>
      <c r="J433" s="932" t="s">
        <v>4585</v>
      </c>
      <c r="K433"/>
      <c r="L433"/>
      <c r="M433"/>
      <c r="N433"/>
      <c r="O433"/>
    </row>
    <row r="434" spans="1:15" ht="14.4">
      <c r="A434" s="1001" t="s">
        <v>481</v>
      </c>
      <c r="B434" s="932" t="s">
        <v>4955</v>
      </c>
      <c r="C434" s="932" t="s">
        <v>39</v>
      </c>
      <c r="D434" s="932" t="s">
        <v>80</v>
      </c>
      <c r="E434" s="1079">
        <v>459506124</v>
      </c>
      <c r="F434" s="932" t="s">
        <v>1553</v>
      </c>
      <c r="G434" s="932" t="s">
        <v>110</v>
      </c>
      <c r="H434" s="1080">
        <v>45849.340532407405</v>
      </c>
      <c r="I434" s="1079">
        <v>12305385977</v>
      </c>
      <c r="J434" s="932" t="s">
        <v>4496</v>
      </c>
      <c r="K434"/>
      <c r="L434"/>
      <c r="M434"/>
      <c r="N434"/>
      <c r="O434"/>
    </row>
    <row r="435" spans="1:15" ht="14.4">
      <c r="A435" s="1001" t="s">
        <v>481</v>
      </c>
      <c r="B435" s="932" t="s">
        <v>4956</v>
      </c>
      <c r="C435" s="932" t="s">
        <v>39</v>
      </c>
      <c r="D435" s="932" t="s">
        <v>80</v>
      </c>
      <c r="E435" s="1079">
        <v>10969168</v>
      </c>
      <c r="F435" s="932" t="s">
        <v>1553</v>
      </c>
      <c r="G435" s="932" t="s">
        <v>110</v>
      </c>
      <c r="H435" s="1080">
        <v>45850.436111111114</v>
      </c>
      <c r="I435" s="1079">
        <v>15527698065</v>
      </c>
      <c r="J435" s="932" t="s">
        <v>4577</v>
      </c>
      <c r="K435"/>
      <c r="L435"/>
      <c r="M435"/>
      <c r="N435"/>
      <c r="O435"/>
    </row>
    <row r="436" spans="1:15" ht="14.4">
      <c r="A436" s="1001" t="s">
        <v>755</v>
      </c>
      <c r="B436" s="932" t="s">
        <v>4938</v>
      </c>
      <c r="C436" s="932" t="s">
        <v>53</v>
      </c>
      <c r="D436" s="932" t="s">
        <v>80</v>
      </c>
      <c r="E436" s="1079">
        <v>55000</v>
      </c>
      <c r="F436" s="932" t="s">
        <v>1554</v>
      </c>
      <c r="G436" s="932" t="s">
        <v>114</v>
      </c>
      <c r="H436" s="1080">
        <v>45846.537465277775</v>
      </c>
      <c r="I436" s="1079">
        <v>1155483657</v>
      </c>
      <c r="J436" s="932" t="s">
        <v>4898</v>
      </c>
      <c r="K436"/>
      <c r="L436"/>
      <c r="M436"/>
      <c r="N436"/>
      <c r="O436"/>
    </row>
    <row r="437" spans="1:15" ht="14.4">
      <c r="A437" s="1001" t="s">
        <v>481</v>
      </c>
      <c r="B437" s="932" t="s">
        <v>4957</v>
      </c>
      <c r="C437" s="932" t="s">
        <v>53</v>
      </c>
      <c r="D437" s="932" t="s">
        <v>80</v>
      </c>
      <c r="E437" s="1079">
        <v>327698011</v>
      </c>
      <c r="F437" s="932" t="s">
        <v>1554</v>
      </c>
      <c r="G437" s="932" t="s">
        <v>110</v>
      </c>
      <c r="H437" s="1080">
        <v>45851.95171296296</v>
      </c>
      <c r="I437" s="1079">
        <v>15070400054</v>
      </c>
      <c r="J437" s="932" t="s">
        <v>4496</v>
      </c>
      <c r="K437"/>
      <c r="L437"/>
      <c r="M437"/>
      <c r="N437"/>
      <c r="O437"/>
    </row>
    <row r="438" spans="1:15" ht="14.4">
      <c r="A438" s="1001" t="s">
        <v>481</v>
      </c>
      <c r="B438" s="932" t="s">
        <v>4958</v>
      </c>
      <c r="C438" s="932" t="s">
        <v>53</v>
      </c>
      <c r="D438" s="932" t="s">
        <v>80</v>
      </c>
      <c r="E438" s="1079">
        <v>2090110</v>
      </c>
      <c r="F438" s="932" t="s">
        <v>1554</v>
      </c>
      <c r="G438" s="932" t="s">
        <v>110</v>
      </c>
      <c r="H438" s="1080">
        <v>45851.951724537037</v>
      </c>
      <c r="I438" s="1079">
        <v>15068309944</v>
      </c>
      <c r="J438" s="932" t="s">
        <v>4537</v>
      </c>
      <c r="K438"/>
      <c r="L438"/>
      <c r="M438"/>
      <c r="N438"/>
      <c r="O438"/>
    </row>
    <row r="439" spans="1:15" ht="14.4">
      <c r="A439" s="1001" t="s">
        <v>481</v>
      </c>
      <c r="B439" s="932" t="s">
        <v>4959</v>
      </c>
      <c r="C439" s="932" t="s">
        <v>39</v>
      </c>
      <c r="D439" s="932" t="s">
        <v>80</v>
      </c>
      <c r="E439" s="1079">
        <v>269089920</v>
      </c>
      <c r="F439" s="932" t="s">
        <v>1553</v>
      </c>
      <c r="G439" s="932" t="s">
        <v>110</v>
      </c>
      <c r="H439" s="1080">
        <v>45852.54619212963</v>
      </c>
      <c r="I439" s="1079">
        <v>16023420265</v>
      </c>
      <c r="J439" s="932" t="s">
        <v>4496</v>
      </c>
      <c r="K439"/>
      <c r="L439"/>
      <c r="M439"/>
      <c r="N439"/>
      <c r="O439"/>
    </row>
    <row r="440" spans="1:15" ht="14.4">
      <c r="A440" s="1001" t="s">
        <v>481</v>
      </c>
      <c r="B440" s="932" t="s">
        <v>4960</v>
      </c>
      <c r="C440" s="932" t="s">
        <v>39</v>
      </c>
      <c r="D440" s="932" t="s">
        <v>80</v>
      </c>
      <c r="E440" s="1079">
        <v>1148571825</v>
      </c>
      <c r="F440" s="932" t="s">
        <v>1553</v>
      </c>
      <c r="G440" s="932" t="s">
        <v>110</v>
      </c>
      <c r="H440" s="1080">
        <v>45852.65415509259</v>
      </c>
      <c r="I440" s="1079">
        <v>18587984814</v>
      </c>
      <c r="J440" s="932" t="s">
        <v>4585</v>
      </c>
      <c r="K440"/>
      <c r="L440"/>
      <c r="M440"/>
      <c r="N440"/>
      <c r="O440"/>
    </row>
    <row r="441" spans="1:15" ht="14.4">
      <c r="A441" s="1001" t="s">
        <v>481</v>
      </c>
      <c r="B441" s="932" t="s">
        <v>4961</v>
      </c>
      <c r="C441" s="932" t="s">
        <v>39</v>
      </c>
      <c r="D441" s="932" t="s">
        <v>80</v>
      </c>
      <c r="E441" s="1079">
        <v>686020401</v>
      </c>
      <c r="F441" s="932" t="s">
        <v>1553</v>
      </c>
      <c r="G441" s="932" t="s">
        <v>110</v>
      </c>
      <c r="H441" s="1080">
        <v>45852.385289351849</v>
      </c>
      <c r="I441" s="1079">
        <v>15754330345</v>
      </c>
      <c r="J441" s="932" t="s">
        <v>4585</v>
      </c>
      <c r="K441"/>
      <c r="L441"/>
      <c r="M441"/>
      <c r="N441"/>
      <c r="O441"/>
    </row>
    <row r="442" spans="1:15" ht="14.4">
      <c r="A442" s="1001" t="s">
        <v>481</v>
      </c>
      <c r="B442" s="932" t="s">
        <v>4962</v>
      </c>
      <c r="C442" s="932" t="s">
        <v>39</v>
      </c>
      <c r="D442" s="932" t="s">
        <v>80</v>
      </c>
      <c r="E442" s="1079">
        <v>1189496247</v>
      </c>
      <c r="F442" s="932" t="s">
        <v>1553</v>
      </c>
      <c r="G442" s="932" t="s">
        <v>110</v>
      </c>
      <c r="H442" s="1080">
        <v>45852.641782407409</v>
      </c>
      <c r="I442" s="1079">
        <v>17439412989</v>
      </c>
      <c r="J442" s="932" t="s">
        <v>4585</v>
      </c>
      <c r="K442"/>
      <c r="L442"/>
      <c r="M442"/>
      <c r="N442"/>
      <c r="O442"/>
    </row>
    <row r="443" spans="1:15" ht="14.4">
      <c r="A443" s="1001" t="s">
        <v>481</v>
      </c>
      <c r="B443" s="932" t="s">
        <v>4963</v>
      </c>
      <c r="C443" s="932" t="s">
        <v>39</v>
      </c>
      <c r="D443" s="932" t="s">
        <v>80</v>
      </c>
      <c r="E443" s="1079">
        <v>226496477</v>
      </c>
      <c r="F443" s="932" t="s">
        <v>1553</v>
      </c>
      <c r="G443" s="932" t="s">
        <v>110</v>
      </c>
      <c r="H443" s="1080">
        <v>45852.634953703702</v>
      </c>
      <c r="I443" s="1079">
        <v>16249916742</v>
      </c>
      <c r="J443" s="932" t="s">
        <v>4585</v>
      </c>
      <c r="K443"/>
      <c r="L443"/>
      <c r="M443"/>
      <c r="N443"/>
      <c r="O443"/>
    </row>
    <row r="444" spans="1:15" ht="14.4">
      <c r="A444" s="1001" t="s">
        <v>481</v>
      </c>
      <c r="B444" s="932" t="s">
        <v>4964</v>
      </c>
      <c r="C444" s="932" t="s">
        <v>39</v>
      </c>
      <c r="D444" s="932" t="s">
        <v>80</v>
      </c>
      <c r="E444" s="1079">
        <v>1174726673</v>
      </c>
      <c r="F444" s="932" t="s">
        <v>1553</v>
      </c>
      <c r="G444" s="932" t="s">
        <v>110</v>
      </c>
      <c r="H444" s="1080">
        <v>45853.432627314818</v>
      </c>
      <c r="I444" s="1079">
        <v>20037230057</v>
      </c>
      <c r="J444" s="932" t="s">
        <v>4734</v>
      </c>
      <c r="K444"/>
      <c r="L444"/>
      <c r="M444"/>
      <c r="N444"/>
      <c r="O444"/>
    </row>
    <row r="445" spans="1:15" ht="14.4">
      <c r="A445" s="1001" t="s">
        <v>481</v>
      </c>
      <c r="B445" s="932" t="s">
        <v>4965</v>
      </c>
      <c r="C445" s="932" t="s">
        <v>39</v>
      </c>
      <c r="D445" s="932" t="s">
        <v>80</v>
      </c>
      <c r="E445" s="1079">
        <v>39373020</v>
      </c>
      <c r="F445" s="932" t="s">
        <v>1553</v>
      </c>
      <c r="G445" s="932" t="s">
        <v>110</v>
      </c>
      <c r="H445" s="1080">
        <v>45853.433368055557</v>
      </c>
      <c r="I445" s="1079">
        <v>20076603077</v>
      </c>
      <c r="J445" s="932" t="s">
        <v>4734</v>
      </c>
      <c r="K445"/>
      <c r="L445"/>
      <c r="M445"/>
      <c r="N445"/>
      <c r="O445"/>
    </row>
    <row r="446" spans="1:15" ht="14.4">
      <c r="A446" s="1001" t="s">
        <v>481</v>
      </c>
      <c r="B446" s="932" t="s">
        <v>4966</v>
      </c>
      <c r="C446" s="932" t="s">
        <v>39</v>
      </c>
      <c r="D446" s="932" t="s">
        <v>80</v>
      </c>
      <c r="E446" s="1079">
        <v>275547360</v>
      </c>
      <c r="F446" s="932" t="s">
        <v>1553</v>
      </c>
      <c r="G446" s="932" t="s">
        <v>110</v>
      </c>
      <c r="H446" s="1080">
        <v>45853.371180555558</v>
      </c>
      <c r="I446" s="1079">
        <v>18863532174</v>
      </c>
      <c r="J446" s="932" t="s">
        <v>4496</v>
      </c>
      <c r="K446"/>
      <c r="L446"/>
      <c r="M446"/>
      <c r="N446"/>
      <c r="O446"/>
    </row>
    <row r="447" spans="1:15" ht="14.4">
      <c r="A447" s="1001" t="s">
        <v>481</v>
      </c>
      <c r="B447" s="932" t="s">
        <v>4967</v>
      </c>
      <c r="C447" s="932" t="s">
        <v>39</v>
      </c>
      <c r="D447" s="932" t="s">
        <v>80</v>
      </c>
      <c r="E447" s="1079">
        <v>4948020000</v>
      </c>
      <c r="F447" s="932" t="s">
        <v>1553</v>
      </c>
      <c r="G447" s="932" t="s">
        <v>110</v>
      </c>
      <c r="H447" s="1080">
        <v>45853.669317129628</v>
      </c>
      <c r="I447" s="1079">
        <v>25024623077</v>
      </c>
      <c r="J447" s="932" t="s">
        <v>4496</v>
      </c>
      <c r="K447"/>
      <c r="L447"/>
      <c r="M447"/>
      <c r="N447"/>
      <c r="O447"/>
    </row>
    <row r="448" spans="1:15" ht="14.4">
      <c r="A448" s="1001" t="s">
        <v>481</v>
      </c>
      <c r="B448" s="932" t="s">
        <v>4968</v>
      </c>
      <c r="C448" s="932" t="s">
        <v>53</v>
      </c>
      <c r="D448" s="932" t="s">
        <v>80</v>
      </c>
      <c r="E448" s="1079">
        <v>1028790</v>
      </c>
      <c r="F448" s="932" t="s">
        <v>1554</v>
      </c>
      <c r="G448" s="932" t="s">
        <v>110</v>
      </c>
      <c r="H448" s="1080">
        <v>45853.385763888888</v>
      </c>
      <c r="I448" s="1079">
        <v>18862503384</v>
      </c>
      <c r="J448" s="932" t="s">
        <v>4583</v>
      </c>
      <c r="K448"/>
      <c r="L448"/>
      <c r="M448"/>
      <c r="N448"/>
      <c r="O448"/>
    </row>
    <row r="449" spans="1:15" ht="14.4">
      <c r="A449" s="1001" t="s">
        <v>851</v>
      </c>
      <c r="B449" s="932" t="s">
        <v>4969</v>
      </c>
      <c r="C449" s="932" t="s">
        <v>44</v>
      </c>
      <c r="D449" s="932" t="s">
        <v>80</v>
      </c>
      <c r="E449" s="1079">
        <v>44876712</v>
      </c>
      <c r="F449" s="932" t="s">
        <v>1553</v>
      </c>
      <c r="G449" s="932" t="s">
        <v>110</v>
      </c>
      <c r="H449" s="1080">
        <v>45840.137083333335</v>
      </c>
      <c r="I449" s="1079">
        <v>862538192</v>
      </c>
      <c r="J449" s="932" t="s">
        <v>4648</v>
      </c>
      <c r="K449"/>
      <c r="L449"/>
      <c r="M449"/>
      <c r="N449"/>
      <c r="O449"/>
    </row>
    <row r="450" spans="1:15" ht="14.4">
      <c r="A450" s="1001" t="s">
        <v>851</v>
      </c>
      <c r="B450" s="932" t="s">
        <v>4970</v>
      </c>
      <c r="C450" s="932" t="s">
        <v>53</v>
      </c>
      <c r="D450" s="932" t="s">
        <v>80</v>
      </c>
      <c r="E450" s="1079">
        <v>305153475</v>
      </c>
      <c r="F450" s="932" t="s">
        <v>1554</v>
      </c>
      <c r="G450" s="932" t="s">
        <v>110</v>
      </c>
      <c r="H450" s="1080">
        <v>45840.68277777778</v>
      </c>
      <c r="I450" s="1079">
        <v>557384717</v>
      </c>
      <c r="J450" s="932" t="s">
        <v>4573</v>
      </c>
      <c r="K450"/>
      <c r="L450"/>
      <c r="M450"/>
      <c r="N450"/>
      <c r="O450"/>
    </row>
    <row r="451" spans="1:15" ht="14.4">
      <c r="A451" s="1001" t="s">
        <v>851</v>
      </c>
      <c r="B451" s="932" t="s">
        <v>4971</v>
      </c>
      <c r="C451" s="932" t="s">
        <v>53</v>
      </c>
      <c r="D451" s="932" t="s">
        <v>80</v>
      </c>
      <c r="E451" s="1079">
        <v>24746202</v>
      </c>
      <c r="F451" s="932" t="s">
        <v>1554</v>
      </c>
      <c r="G451" s="932" t="s">
        <v>110</v>
      </c>
      <c r="H451" s="1080">
        <v>45841.744432870371</v>
      </c>
      <c r="I451" s="1079">
        <v>532638515</v>
      </c>
      <c r="J451" s="932" t="s">
        <v>4535</v>
      </c>
      <c r="K451"/>
      <c r="L451"/>
      <c r="M451"/>
      <c r="N451"/>
      <c r="O451"/>
    </row>
    <row r="452" spans="1:15" ht="14.4">
      <c r="A452" s="1001" t="s">
        <v>851</v>
      </c>
      <c r="B452" s="932" t="s">
        <v>4972</v>
      </c>
      <c r="C452" s="932" t="s">
        <v>39</v>
      </c>
      <c r="D452" s="932" t="s">
        <v>80</v>
      </c>
      <c r="E452" s="1079">
        <v>3663539682</v>
      </c>
      <c r="F452" s="932" t="s">
        <v>1553</v>
      </c>
      <c r="G452" s="932" t="s">
        <v>110</v>
      </c>
      <c r="H452" s="1080">
        <v>45846.636678240742</v>
      </c>
      <c r="I452" s="1079">
        <v>4196178197</v>
      </c>
      <c r="J452" s="932" t="s">
        <v>4523</v>
      </c>
      <c r="K452"/>
      <c r="L452"/>
      <c r="M452"/>
      <c r="N452"/>
      <c r="O452"/>
    </row>
    <row r="453" spans="1:15" ht="14.4">
      <c r="A453" s="1001" t="s">
        <v>851</v>
      </c>
      <c r="B453" s="932" t="s">
        <v>4973</v>
      </c>
      <c r="C453" s="932" t="s">
        <v>39</v>
      </c>
      <c r="D453" s="932" t="s">
        <v>80</v>
      </c>
      <c r="E453" s="1079">
        <v>722756246</v>
      </c>
      <c r="F453" s="932" t="s">
        <v>1553</v>
      </c>
      <c r="G453" s="932" t="s">
        <v>110</v>
      </c>
      <c r="H453" s="1080">
        <v>45846.636678240742</v>
      </c>
      <c r="I453" s="1079">
        <v>4918934443</v>
      </c>
      <c r="J453" s="932" t="s">
        <v>4573</v>
      </c>
      <c r="K453"/>
      <c r="L453"/>
      <c r="M453"/>
      <c r="N453"/>
      <c r="O453"/>
    </row>
    <row r="454" spans="1:15" ht="14.4">
      <c r="A454" s="1001" t="s">
        <v>851</v>
      </c>
      <c r="B454" s="932" t="s">
        <v>4974</v>
      </c>
      <c r="C454" s="932" t="s">
        <v>39</v>
      </c>
      <c r="D454" s="932" t="s">
        <v>80</v>
      </c>
      <c r="E454" s="1079">
        <v>14038323</v>
      </c>
      <c r="F454" s="932" t="s">
        <v>1553</v>
      </c>
      <c r="G454" s="932" t="s">
        <v>110</v>
      </c>
      <c r="H454" s="1080">
        <v>45846.637384259258</v>
      </c>
      <c r="I454" s="1079">
        <v>4932972766</v>
      </c>
      <c r="J454" s="932" t="s">
        <v>4583</v>
      </c>
      <c r="K454"/>
      <c r="L454"/>
      <c r="M454"/>
      <c r="N454"/>
      <c r="O454"/>
    </row>
    <row r="455" spans="1:15" ht="14.4">
      <c r="A455" s="1001" t="s">
        <v>851</v>
      </c>
      <c r="B455" s="932" t="s">
        <v>4975</v>
      </c>
      <c r="C455" s="932" t="s">
        <v>39</v>
      </c>
      <c r="D455" s="932" t="s">
        <v>80</v>
      </c>
      <c r="E455" s="1079">
        <v>182557607</v>
      </c>
      <c r="F455" s="932" t="s">
        <v>1553</v>
      </c>
      <c r="G455" s="932" t="s">
        <v>110</v>
      </c>
      <c r="H455" s="1080">
        <v>45849.541354166664</v>
      </c>
      <c r="I455" s="1079">
        <v>5115530373</v>
      </c>
      <c r="J455" s="932" t="s">
        <v>4496</v>
      </c>
      <c r="K455"/>
      <c r="L455"/>
      <c r="M455"/>
      <c r="N455"/>
      <c r="O455"/>
    </row>
    <row r="456" spans="1:15" ht="14.4">
      <c r="A456" s="1001" t="s">
        <v>851</v>
      </c>
      <c r="B456" s="932" t="s">
        <v>4976</v>
      </c>
      <c r="C456" s="932" t="s">
        <v>53</v>
      </c>
      <c r="D456" s="932" t="s">
        <v>80</v>
      </c>
      <c r="E456" s="1079">
        <v>315814978</v>
      </c>
      <c r="F456" s="932" t="s">
        <v>1554</v>
      </c>
      <c r="G456" s="932" t="s">
        <v>110</v>
      </c>
      <c r="H456" s="1080">
        <v>45850.548125000001</v>
      </c>
      <c r="I456" s="1079">
        <v>4799715395</v>
      </c>
      <c r="J456" s="932" t="s">
        <v>4573</v>
      </c>
      <c r="K456"/>
      <c r="L456"/>
      <c r="M456"/>
      <c r="N456"/>
      <c r="O456"/>
    </row>
    <row r="457" spans="1:15" ht="14.4">
      <c r="A457" s="1001" t="s">
        <v>547</v>
      </c>
      <c r="B457" s="932" t="s">
        <v>4977</v>
      </c>
      <c r="C457" s="932" t="s">
        <v>53</v>
      </c>
      <c r="D457" s="932" t="s">
        <v>80</v>
      </c>
      <c r="E457" s="1079">
        <v>55000</v>
      </c>
      <c r="F457" s="932" t="s">
        <v>1554</v>
      </c>
      <c r="G457" s="932" t="s">
        <v>114</v>
      </c>
      <c r="H457" s="1080">
        <v>45846.537499999999</v>
      </c>
      <c r="I457" s="1079">
        <v>1970159485</v>
      </c>
      <c r="J457" s="932" t="s">
        <v>4898</v>
      </c>
      <c r="K457"/>
      <c r="L457"/>
      <c r="M457"/>
      <c r="N457"/>
      <c r="O457"/>
    </row>
    <row r="458" spans="1:15" ht="14.4">
      <c r="A458" s="1001" t="s">
        <v>1100</v>
      </c>
      <c r="B458" s="932" t="s">
        <v>4978</v>
      </c>
      <c r="C458" s="932" t="s">
        <v>21</v>
      </c>
      <c r="D458" s="932" t="s">
        <v>80</v>
      </c>
      <c r="E458" s="1079">
        <v>20681757742</v>
      </c>
      <c r="F458" s="932" t="s">
        <v>1554</v>
      </c>
      <c r="G458" s="932" t="s">
        <v>110</v>
      </c>
      <c r="H458" s="1080">
        <v>45839.370532407411</v>
      </c>
      <c r="I458" s="1079">
        <v>1248508075</v>
      </c>
      <c r="J458" s="932" t="s">
        <v>4979</v>
      </c>
      <c r="K458"/>
      <c r="L458"/>
      <c r="M458"/>
      <c r="N458"/>
      <c r="O458"/>
    </row>
    <row r="459" spans="1:15" ht="14.4">
      <c r="A459" s="1001" t="s">
        <v>507</v>
      </c>
      <c r="B459" s="932" t="s">
        <v>4980</v>
      </c>
      <c r="C459" s="932" t="s">
        <v>53</v>
      </c>
      <c r="D459" s="932" t="s">
        <v>80</v>
      </c>
      <c r="E459" s="1079">
        <v>61521530</v>
      </c>
      <c r="F459" s="932" t="s">
        <v>1554</v>
      </c>
      <c r="G459" s="932" t="s">
        <v>110</v>
      </c>
      <c r="H459" s="1080">
        <v>45839.619305555556</v>
      </c>
      <c r="I459" s="1079">
        <v>1664008715</v>
      </c>
      <c r="J459" s="932" t="s">
        <v>4573</v>
      </c>
      <c r="K459"/>
      <c r="L459"/>
      <c r="M459"/>
      <c r="N459"/>
      <c r="O459"/>
    </row>
    <row r="460" spans="1:15" ht="14.4">
      <c r="A460" s="1001" t="s">
        <v>507</v>
      </c>
      <c r="B460" s="932" t="s">
        <v>4981</v>
      </c>
      <c r="C460" s="932" t="s">
        <v>39</v>
      </c>
      <c r="D460" s="932" t="s">
        <v>80</v>
      </c>
      <c r="E460" s="1079">
        <v>2844785</v>
      </c>
      <c r="F460" s="932" t="s">
        <v>1553</v>
      </c>
      <c r="G460" s="932" t="s">
        <v>110</v>
      </c>
      <c r="H460" s="1080">
        <v>45840.619247685187</v>
      </c>
      <c r="I460" s="1079">
        <v>1666853500</v>
      </c>
      <c r="J460" s="932" t="s">
        <v>4520</v>
      </c>
      <c r="K460"/>
      <c r="L460"/>
      <c r="M460"/>
      <c r="N460"/>
      <c r="O460"/>
    </row>
    <row r="461" spans="1:15" ht="14.4">
      <c r="A461" s="1001" t="s">
        <v>507</v>
      </c>
      <c r="B461" s="932" t="s">
        <v>4982</v>
      </c>
      <c r="C461" s="932" t="s">
        <v>39</v>
      </c>
      <c r="D461" s="932" t="s">
        <v>80</v>
      </c>
      <c r="E461" s="1079">
        <v>87577215</v>
      </c>
      <c r="F461" s="932" t="s">
        <v>1553</v>
      </c>
      <c r="G461" s="932" t="s">
        <v>110</v>
      </c>
      <c r="H461" s="1080">
        <v>45841.63721064815</v>
      </c>
      <c r="I461" s="1079">
        <v>1754430715</v>
      </c>
      <c r="J461" s="932" t="s">
        <v>4573</v>
      </c>
      <c r="K461"/>
      <c r="L461"/>
      <c r="M461"/>
      <c r="N461"/>
      <c r="O461"/>
    </row>
    <row r="462" spans="1:15" ht="14.4">
      <c r="A462" s="1001" t="s">
        <v>507</v>
      </c>
      <c r="B462" s="932" t="s">
        <v>4983</v>
      </c>
      <c r="C462" s="932" t="s">
        <v>39</v>
      </c>
      <c r="D462" s="932" t="s">
        <v>80</v>
      </c>
      <c r="E462" s="1079">
        <v>3398657</v>
      </c>
      <c r="F462" s="932" t="s">
        <v>1553</v>
      </c>
      <c r="G462" s="932" t="s">
        <v>110</v>
      </c>
      <c r="H462" s="1080">
        <v>45842.633796296293</v>
      </c>
      <c r="I462" s="1079">
        <v>2609246665</v>
      </c>
      <c r="J462" s="932" t="s">
        <v>4496</v>
      </c>
      <c r="K462"/>
      <c r="L462"/>
      <c r="M462"/>
      <c r="N462"/>
      <c r="O462"/>
    </row>
    <row r="463" spans="1:15" ht="14.4">
      <c r="A463" s="1001" t="s">
        <v>507</v>
      </c>
      <c r="B463" s="932" t="s">
        <v>4984</v>
      </c>
      <c r="C463" s="932" t="s">
        <v>39</v>
      </c>
      <c r="D463" s="932" t="s">
        <v>80</v>
      </c>
      <c r="E463" s="1079">
        <v>848054559</v>
      </c>
      <c r="F463" s="932" t="s">
        <v>1553</v>
      </c>
      <c r="G463" s="932" t="s">
        <v>110</v>
      </c>
      <c r="H463" s="1080">
        <v>45842.584687499999</v>
      </c>
      <c r="I463" s="1079">
        <v>2602485274</v>
      </c>
      <c r="J463" s="932" t="s">
        <v>4577</v>
      </c>
      <c r="K463"/>
      <c r="L463"/>
      <c r="M463"/>
      <c r="N463"/>
      <c r="O463"/>
    </row>
    <row r="464" spans="1:15" ht="14.4">
      <c r="A464" s="1001" t="s">
        <v>507</v>
      </c>
      <c r="B464" s="932" t="s">
        <v>4985</v>
      </c>
      <c r="C464" s="932" t="s">
        <v>39</v>
      </c>
      <c r="D464" s="932" t="s">
        <v>80</v>
      </c>
      <c r="E464" s="1079">
        <v>3362734</v>
      </c>
      <c r="F464" s="932" t="s">
        <v>1553</v>
      </c>
      <c r="G464" s="932" t="s">
        <v>110</v>
      </c>
      <c r="H464" s="1080">
        <v>45842.586770833332</v>
      </c>
      <c r="I464" s="1079">
        <v>2605848008</v>
      </c>
      <c r="J464" s="932" t="s">
        <v>4496</v>
      </c>
      <c r="K464"/>
      <c r="L464"/>
      <c r="M464"/>
      <c r="N464"/>
      <c r="O464"/>
    </row>
    <row r="465" spans="1:15" ht="14.4">
      <c r="A465" s="1001" t="s">
        <v>747</v>
      </c>
      <c r="B465" s="932" t="s">
        <v>4986</v>
      </c>
      <c r="C465" s="932" t="s">
        <v>53</v>
      </c>
      <c r="D465" s="932" t="s">
        <v>80</v>
      </c>
      <c r="E465" s="1079">
        <v>55000</v>
      </c>
      <c r="F465" s="932" t="s">
        <v>1554</v>
      </c>
      <c r="G465" s="932" t="s">
        <v>114</v>
      </c>
      <c r="H465" s="1080">
        <v>45846.537499999999</v>
      </c>
      <c r="I465" s="1079">
        <v>2571809411</v>
      </c>
      <c r="J465" s="932" t="s">
        <v>4898</v>
      </c>
      <c r="K465"/>
      <c r="L465"/>
      <c r="M465"/>
      <c r="N465"/>
      <c r="O465"/>
    </row>
    <row r="466" spans="1:15" ht="14.4">
      <c r="A466" s="1001" t="s">
        <v>507</v>
      </c>
      <c r="B466" s="932" t="s">
        <v>4987</v>
      </c>
      <c r="C466" s="932" t="s">
        <v>39</v>
      </c>
      <c r="D466" s="932" t="s">
        <v>80</v>
      </c>
      <c r="E466" s="1079">
        <v>378136257</v>
      </c>
      <c r="F466" s="932" t="s">
        <v>1553</v>
      </c>
      <c r="G466" s="932" t="s">
        <v>110</v>
      </c>
      <c r="H466" s="1080">
        <v>45843.665439814817</v>
      </c>
      <c r="I466" s="1079">
        <v>3287382922</v>
      </c>
      <c r="J466" s="932" t="s">
        <v>4496</v>
      </c>
      <c r="K466"/>
      <c r="L466"/>
      <c r="M466"/>
      <c r="N466"/>
      <c r="O466"/>
    </row>
    <row r="467" spans="1:15" ht="14.4">
      <c r="A467" s="1001" t="s">
        <v>507</v>
      </c>
      <c r="B467" s="932" t="s">
        <v>4988</v>
      </c>
      <c r="C467" s="932" t="s">
        <v>39</v>
      </c>
      <c r="D467" s="932" t="s">
        <v>80</v>
      </c>
      <c r="E467" s="1079">
        <v>1769684</v>
      </c>
      <c r="F467" s="932" t="s">
        <v>1553</v>
      </c>
      <c r="G467" s="932" t="s">
        <v>110</v>
      </c>
      <c r="H467" s="1080">
        <v>45843.665451388886</v>
      </c>
      <c r="I467" s="1079">
        <v>3289152606</v>
      </c>
      <c r="J467" s="932" t="s">
        <v>4583</v>
      </c>
      <c r="K467"/>
      <c r="L467"/>
      <c r="M467"/>
      <c r="N467"/>
      <c r="O467"/>
    </row>
    <row r="468" spans="1:15" ht="14.4">
      <c r="A468" s="1001" t="s">
        <v>517</v>
      </c>
      <c r="B468" s="932" t="s">
        <v>4989</v>
      </c>
      <c r="C468" s="932" t="s">
        <v>53</v>
      </c>
      <c r="D468" s="932" t="s">
        <v>80</v>
      </c>
      <c r="E468" s="1079">
        <v>55000</v>
      </c>
      <c r="F468" s="932" t="s">
        <v>1554</v>
      </c>
      <c r="G468" s="932" t="s">
        <v>114</v>
      </c>
      <c r="H468" s="1080">
        <v>45846.537604166668</v>
      </c>
      <c r="I468" s="1079">
        <v>5670545246</v>
      </c>
      <c r="J468" s="932" t="s">
        <v>4898</v>
      </c>
      <c r="K468"/>
      <c r="L468"/>
      <c r="M468"/>
      <c r="N468"/>
      <c r="O468"/>
    </row>
    <row r="469" spans="1:15" ht="14.4">
      <c r="A469" s="1001" t="s">
        <v>507</v>
      </c>
      <c r="B469" s="932" t="s">
        <v>4990</v>
      </c>
      <c r="C469" s="932" t="s">
        <v>39</v>
      </c>
      <c r="D469" s="932" t="s">
        <v>80</v>
      </c>
      <c r="E469" s="1079">
        <v>2194604280</v>
      </c>
      <c r="F469" s="932" t="s">
        <v>1553</v>
      </c>
      <c r="G469" s="932" t="s">
        <v>110</v>
      </c>
      <c r="H469" s="1080">
        <v>45846.431354166663</v>
      </c>
      <c r="I469" s="1079">
        <v>6619136397</v>
      </c>
      <c r="J469" s="932" t="s">
        <v>4585</v>
      </c>
      <c r="K469"/>
      <c r="L469"/>
      <c r="M469"/>
      <c r="N469"/>
      <c r="O469"/>
    </row>
    <row r="470" spans="1:15" ht="14.4">
      <c r="A470" s="1001" t="s">
        <v>507</v>
      </c>
      <c r="B470" s="932" t="s">
        <v>4991</v>
      </c>
      <c r="C470" s="932" t="s">
        <v>39</v>
      </c>
      <c r="D470" s="932" t="s">
        <v>80</v>
      </c>
      <c r="E470" s="1079">
        <v>831179499</v>
      </c>
      <c r="F470" s="932" t="s">
        <v>1553</v>
      </c>
      <c r="G470" s="932" t="s">
        <v>110</v>
      </c>
      <c r="H470" s="1080">
        <v>45846.373831018522</v>
      </c>
      <c r="I470" s="1079">
        <v>4420332105</v>
      </c>
      <c r="J470" s="932" t="s">
        <v>4585</v>
      </c>
      <c r="K470"/>
      <c r="L470"/>
      <c r="M470"/>
      <c r="N470"/>
      <c r="O470"/>
    </row>
    <row r="471" spans="1:15" ht="14.4">
      <c r="A471" s="1001" t="s">
        <v>507</v>
      </c>
      <c r="B471" s="932" t="s">
        <v>4992</v>
      </c>
      <c r="C471" s="932" t="s">
        <v>39</v>
      </c>
      <c r="D471" s="932" t="s">
        <v>80</v>
      </c>
      <c r="E471" s="1079">
        <v>4200012</v>
      </c>
      <c r="F471" s="932" t="s">
        <v>1553</v>
      </c>
      <c r="G471" s="932" t="s">
        <v>110</v>
      </c>
      <c r="H471" s="1080">
        <v>45846.430381944447</v>
      </c>
      <c r="I471" s="1079">
        <v>4424532117</v>
      </c>
      <c r="J471" s="932" t="s">
        <v>4583</v>
      </c>
      <c r="K471"/>
      <c r="L471"/>
      <c r="M471"/>
      <c r="N471"/>
      <c r="O471"/>
    </row>
    <row r="472" spans="1:15" ht="14.4">
      <c r="A472" s="1001" t="s">
        <v>507</v>
      </c>
      <c r="B472" s="932" t="s">
        <v>4993</v>
      </c>
      <c r="C472" s="932" t="s">
        <v>39</v>
      </c>
      <c r="D472" s="932" t="s">
        <v>80</v>
      </c>
      <c r="E472" s="1079">
        <v>3444813</v>
      </c>
      <c r="F472" s="932" t="s">
        <v>1553</v>
      </c>
      <c r="G472" s="932" t="s">
        <v>110</v>
      </c>
      <c r="H472" s="1080">
        <v>45846.62054398148</v>
      </c>
      <c r="I472" s="1079">
        <v>6622581210</v>
      </c>
      <c r="J472" s="932" t="s">
        <v>4535</v>
      </c>
      <c r="K472"/>
      <c r="L472"/>
      <c r="M472"/>
      <c r="N472"/>
      <c r="O472"/>
    </row>
    <row r="473" spans="1:15" ht="14.4">
      <c r="A473" s="1001" t="s">
        <v>507</v>
      </c>
      <c r="B473" s="932" t="s">
        <v>4994</v>
      </c>
      <c r="C473" s="932" t="s">
        <v>39</v>
      </c>
      <c r="D473" s="932" t="s">
        <v>80</v>
      </c>
      <c r="E473" s="1079">
        <v>3288234342</v>
      </c>
      <c r="F473" s="932" t="s">
        <v>1553</v>
      </c>
      <c r="G473" s="932" t="s">
        <v>110</v>
      </c>
      <c r="H473" s="1080">
        <v>45846.683506944442</v>
      </c>
      <c r="I473" s="1079">
        <v>9910815552</v>
      </c>
      <c r="J473" s="932" t="s">
        <v>4585</v>
      </c>
      <c r="K473"/>
      <c r="L473"/>
      <c r="M473"/>
      <c r="N473"/>
      <c r="O473"/>
    </row>
    <row r="474" spans="1:15" ht="14.4">
      <c r="A474" s="1001" t="s">
        <v>507</v>
      </c>
      <c r="B474" s="932" t="s">
        <v>4995</v>
      </c>
      <c r="C474" s="932" t="s">
        <v>39</v>
      </c>
      <c r="D474" s="932" t="s">
        <v>80</v>
      </c>
      <c r="E474" s="1079">
        <v>9170004</v>
      </c>
      <c r="F474" s="932" t="s">
        <v>1553</v>
      </c>
      <c r="G474" s="932" t="s">
        <v>110</v>
      </c>
      <c r="H474" s="1080">
        <v>45847.338437500002</v>
      </c>
      <c r="I474" s="1079">
        <v>9919985556</v>
      </c>
      <c r="J474" s="932" t="s">
        <v>4496</v>
      </c>
      <c r="K474"/>
      <c r="L474"/>
      <c r="M474"/>
      <c r="N474"/>
      <c r="O474"/>
    </row>
    <row r="475" spans="1:15" ht="14.4">
      <c r="A475" s="1001" t="s">
        <v>507</v>
      </c>
      <c r="B475" s="932" t="s">
        <v>4996</v>
      </c>
      <c r="C475" s="932" t="s">
        <v>39</v>
      </c>
      <c r="D475" s="932" t="s">
        <v>80</v>
      </c>
      <c r="E475" s="1079">
        <v>866821555</v>
      </c>
      <c r="F475" s="932" t="s">
        <v>1553</v>
      </c>
      <c r="G475" s="932" t="s">
        <v>110</v>
      </c>
      <c r="H475" s="1080">
        <v>45848.577800925923</v>
      </c>
      <c r="I475" s="1079">
        <v>11629611436</v>
      </c>
      <c r="J475" s="932" t="s">
        <v>4535</v>
      </c>
      <c r="K475"/>
      <c r="L475"/>
      <c r="M475"/>
      <c r="N475"/>
      <c r="O475"/>
    </row>
    <row r="476" spans="1:15" ht="14.4">
      <c r="A476" s="1001" t="s">
        <v>507</v>
      </c>
      <c r="B476" s="932" t="s">
        <v>4997</v>
      </c>
      <c r="C476" s="932" t="s">
        <v>39</v>
      </c>
      <c r="D476" s="932" t="s">
        <v>80</v>
      </c>
      <c r="E476" s="1079">
        <v>842804325</v>
      </c>
      <c r="F476" s="932" t="s">
        <v>1553</v>
      </c>
      <c r="G476" s="932" t="s">
        <v>110</v>
      </c>
      <c r="H476" s="1080">
        <v>45848.542071759257</v>
      </c>
      <c r="I476" s="1079">
        <v>10762789881</v>
      </c>
      <c r="J476" s="932" t="s">
        <v>4577</v>
      </c>
      <c r="K476"/>
      <c r="L476"/>
      <c r="M476"/>
      <c r="N476"/>
      <c r="O476"/>
    </row>
    <row r="477" spans="1:15" ht="14.4">
      <c r="A477" s="1001" t="s">
        <v>507</v>
      </c>
      <c r="B477" s="932" t="s">
        <v>4998</v>
      </c>
      <c r="C477" s="932" t="s">
        <v>39</v>
      </c>
      <c r="D477" s="932" t="s">
        <v>80</v>
      </c>
      <c r="E477" s="1079">
        <v>5897879568</v>
      </c>
      <c r="F477" s="932" t="s">
        <v>1553</v>
      </c>
      <c r="G477" s="932" t="s">
        <v>110</v>
      </c>
      <c r="H477" s="1080">
        <v>45848.674745370372</v>
      </c>
      <c r="I477" s="1079">
        <v>17527491004</v>
      </c>
      <c r="J477" s="932" t="s">
        <v>4585</v>
      </c>
      <c r="K477"/>
      <c r="L477"/>
      <c r="M477"/>
      <c r="N477"/>
      <c r="O477"/>
    </row>
    <row r="478" spans="1:15" ht="14.4">
      <c r="A478" s="1001" t="s">
        <v>507</v>
      </c>
      <c r="B478" s="932" t="s">
        <v>4999</v>
      </c>
      <c r="C478" s="932" t="s">
        <v>39</v>
      </c>
      <c r="D478" s="932" t="s">
        <v>80</v>
      </c>
      <c r="E478" s="1079">
        <v>2985108228</v>
      </c>
      <c r="F478" s="932" t="s">
        <v>1553</v>
      </c>
      <c r="G478" s="932" t="s">
        <v>110</v>
      </c>
      <c r="H478" s="1080">
        <v>45848.674745370372</v>
      </c>
      <c r="I478" s="1079">
        <v>20512599232</v>
      </c>
      <c r="J478" s="932" t="s">
        <v>4585</v>
      </c>
      <c r="K478"/>
      <c r="L478"/>
      <c r="M478"/>
      <c r="N478"/>
      <c r="O478"/>
    </row>
    <row r="479" spans="1:15" ht="14.4">
      <c r="A479" s="1001" t="s">
        <v>507</v>
      </c>
      <c r="B479" s="932" t="s">
        <v>5000</v>
      </c>
      <c r="C479" s="932" t="s">
        <v>39</v>
      </c>
      <c r="D479" s="932" t="s">
        <v>80</v>
      </c>
      <c r="E479" s="1079">
        <v>11011322</v>
      </c>
      <c r="F479" s="932" t="s">
        <v>1553</v>
      </c>
      <c r="G479" s="932" t="s">
        <v>110</v>
      </c>
      <c r="H479" s="1080">
        <v>45849.48909722222</v>
      </c>
      <c r="I479" s="1079">
        <v>20523610554</v>
      </c>
      <c r="J479" s="932" t="s">
        <v>4583</v>
      </c>
      <c r="K479"/>
      <c r="L479"/>
      <c r="M479"/>
      <c r="N479"/>
      <c r="O479"/>
    </row>
    <row r="480" spans="1:15" ht="14.4">
      <c r="A480" s="1001" t="s">
        <v>507</v>
      </c>
      <c r="B480" s="932" t="s">
        <v>5001</v>
      </c>
      <c r="C480" s="932" t="s">
        <v>39</v>
      </c>
      <c r="D480" s="932" t="s">
        <v>80</v>
      </c>
      <c r="E480" s="1079">
        <v>8954364</v>
      </c>
      <c r="F480" s="932" t="s">
        <v>1553</v>
      </c>
      <c r="G480" s="932" t="s">
        <v>110</v>
      </c>
      <c r="H480" s="1080">
        <v>45852.707939814813</v>
      </c>
      <c r="I480" s="1079">
        <v>20535663561</v>
      </c>
      <c r="J480" s="932" t="s">
        <v>4583</v>
      </c>
      <c r="K480"/>
      <c r="L480"/>
      <c r="M480"/>
      <c r="N480"/>
      <c r="O480"/>
    </row>
    <row r="481" spans="1:15" ht="14.4">
      <c r="A481" s="1001" t="s">
        <v>507</v>
      </c>
      <c r="B481" s="932" t="s">
        <v>5002</v>
      </c>
      <c r="C481" s="932" t="s">
        <v>39</v>
      </c>
      <c r="D481" s="932" t="s">
        <v>80</v>
      </c>
      <c r="E481" s="1079">
        <v>3098643</v>
      </c>
      <c r="F481" s="932" t="s">
        <v>1553</v>
      </c>
      <c r="G481" s="932" t="s">
        <v>110</v>
      </c>
      <c r="H481" s="1080">
        <v>45852.656342592592</v>
      </c>
      <c r="I481" s="1079">
        <v>20526709197</v>
      </c>
      <c r="J481" s="932" t="s">
        <v>4520</v>
      </c>
      <c r="K481"/>
      <c r="L481"/>
      <c r="M481"/>
      <c r="N481"/>
      <c r="O481"/>
    </row>
    <row r="482" spans="1:15" ht="14.4">
      <c r="A482" s="1001" t="s">
        <v>507</v>
      </c>
      <c r="B482" s="932" t="s">
        <v>5003</v>
      </c>
      <c r="C482" s="932" t="s">
        <v>39</v>
      </c>
      <c r="D482" s="932" t="s">
        <v>80</v>
      </c>
      <c r="E482" s="1079">
        <v>2196611343</v>
      </c>
      <c r="F482" s="932" t="s">
        <v>1553</v>
      </c>
      <c r="G482" s="932" t="s">
        <v>110</v>
      </c>
      <c r="H482" s="1080">
        <v>45853.430914351855</v>
      </c>
      <c r="I482" s="1079">
        <v>23455862375</v>
      </c>
      <c r="J482" s="932" t="s">
        <v>4585</v>
      </c>
      <c r="K482"/>
      <c r="L482"/>
      <c r="M482"/>
      <c r="N482"/>
      <c r="O482"/>
    </row>
    <row r="483" spans="1:15" ht="14.4">
      <c r="A483" s="1001" t="s">
        <v>507</v>
      </c>
      <c r="B483" s="932" t="s">
        <v>5004</v>
      </c>
      <c r="C483" s="932" t="s">
        <v>53</v>
      </c>
      <c r="D483" s="932" t="s">
        <v>80</v>
      </c>
      <c r="E483" s="1079">
        <v>72672480</v>
      </c>
      <c r="F483" s="932" t="s">
        <v>1554</v>
      </c>
      <c r="G483" s="932" t="s">
        <v>110</v>
      </c>
      <c r="H483" s="1080">
        <v>45853.594004629631</v>
      </c>
      <c r="I483" s="1079">
        <v>23411509575</v>
      </c>
      <c r="J483" s="932" t="s">
        <v>4496</v>
      </c>
      <c r="K483"/>
      <c r="L483"/>
      <c r="M483"/>
      <c r="N483"/>
      <c r="O483"/>
    </row>
    <row r="484" spans="1:15" ht="14.4">
      <c r="A484" s="1001" t="s">
        <v>507</v>
      </c>
      <c r="B484" s="932" t="s">
        <v>5005</v>
      </c>
      <c r="C484" s="932" t="s">
        <v>53</v>
      </c>
      <c r="D484" s="932" t="s">
        <v>80</v>
      </c>
      <c r="E484" s="1079">
        <v>242772050</v>
      </c>
      <c r="F484" s="932" t="s">
        <v>1554</v>
      </c>
      <c r="G484" s="932" t="s">
        <v>110</v>
      </c>
      <c r="H484" s="1080">
        <v>45853.595219907409</v>
      </c>
      <c r="I484" s="1079">
        <v>22113275952</v>
      </c>
      <c r="J484" s="932" t="s">
        <v>4496</v>
      </c>
      <c r="K484"/>
      <c r="L484"/>
      <c r="M484"/>
      <c r="N484"/>
      <c r="O484"/>
    </row>
    <row r="485" spans="1:15" ht="14.4">
      <c r="A485" s="1001" t="s">
        <v>507</v>
      </c>
      <c r="B485" s="932" t="s">
        <v>5006</v>
      </c>
      <c r="C485" s="932" t="s">
        <v>53</v>
      </c>
      <c r="D485" s="932" t="s">
        <v>80</v>
      </c>
      <c r="E485" s="1079">
        <v>50517000</v>
      </c>
      <c r="F485" s="932" t="s">
        <v>1554</v>
      </c>
      <c r="G485" s="932" t="s">
        <v>110</v>
      </c>
      <c r="H485" s="1080">
        <v>45853.595219907409</v>
      </c>
      <c r="I485" s="1079">
        <v>22062758952</v>
      </c>
      <c r="J485" s="932" t="s">
        <v>4496</v>
      </c>
      <c r="K485"/>
      <c r="L485"/>
      <c r="M485"/>
      <c r="N485"/>
      <c r="O485"/>
    </row>
    <row r="486" spans="1:15" ht="14.4">
      <c r="A486" s="1001" t="s">
        <v>507</v>
      </c>
      <c r="B486" s="932" t="s">
        <v>5007</v>
      </c>
      <c r="C486" s="932" t="s">
        <v>53</v>
      </c>
      <c r="D486" s="932" t="s">
        <v>80</v>
      </c>
      <c r="E486" s="1079">
        <v>21303000</v>
      </c>
      <c r="F486" s="932" t="s">
        <v>1554</v>
      </c>
      <c r="G486" s="932" t="s">
        <v>110</v>
      </c>
      <c r="H486" s="1080">
        <v>45853.595219907409</v>
      </c>
      <c r="I486" s="1079">
        <v>22041455952</v>
      </c>
      <c r="J486" s="932" t="s">
        <v>4496</v>
      </c>
      <c r="K486"/>
      <c r="L486"/>
      <c r="M486"/>
      <c r="N486"/>
      <c r="O486"/>
    </row>
    <row r="487" spans="1:15" ht="14.4">
      <c r="A487" s="1001" t="s">
        <v>507</v>
      </c>
      <c r="B487" s="932" t="s">
        <v>5008</v>
      </c>
      <c r="C487" s="932" t="s">
        <v>39</v>
      </c>
      <c r="D487" s="932" t="s">
        <v>80</v>
      </c>
      <c r="E487" s="1079">
        <v>714569647</v>
      </c>
      <c r="F487" s="932" t="s">
        <v>1553</v>
      </c>
      <c r="G487" s="932" t="s">
        <v>110</v>
      </c>
      <c r="H487" s="1080">
        <v>45853.426099537035</v>
      </c>
      <c r="I487" s="1079">
        <v>21250233208</v>
      </c>
      <c r="J487" s="932" t="s">
        <v>4577</v>
      </c>
      <c r="K487"/>
      <c r="L487"/>
      <c r="M487"/>
      <c r="N487"/>
      <c r="O487"/>
    </row>
    <row r="488" spans="1:15" ht="14.4">
      <c r="A488" s="1001" t="s">
        <v>507</v>
      </c>
      <c r="B488" s="932" t="s">
        <v>5009</v>
      </c>
      <c r="C488" s="932" t="s">
        <v>39</v>
      </c>
      <c r="D488" s="932" t="s">
        <v>80</v>
      </c>
      <c r="E488" s="1079">
        <v>28319680</v>
      </c>
      <c r="F488" s="932" t="s">
        <v>1553</v>
      </c>
      <c r="G488" s="932" t="s">
        <v>110</v>
      </c>
      <c r="H488" s="1080">
        <v>45853.575289351851</v>
      </c>
      <c r="I488" s="1079">
        <v>23484182055</v>
      </c>
      <c r="J488" s="932" t="s">
        <v>4496</v>
      </c>
      <c r="K488"/>
      <c r="L488"/>
      <c r="M488"/>
      <c r="N488"/>
      <c r="O488"/>
    </row>
    <row r="489" spans="1:15" ht="14.4">
      <c r="A489" s="1001" t="s">
        <v>507</v>
      </c>
      <c r="B489" s="932" t="s">
        <v>5010</v>
      </c>
      <c r="C489" s="932" t="s">
        <v>53</v>
      </c>
      <c r="D489" s="932" t="s">
        <v>80</v>
      </c>
      <c r="E489" s="1079">
        <v>990461573</v>
      </c>
      <c r="F489" s="932" t="s">
        <v>1554</v>
      </c>
      <c r="G489" s="932" t="s">
        <v>110</v>
      </c>
      <c r="H489" s="1080">
        <v>45853.595196759263</v>
      </c>
      <c r="I489" s="1079">
        <v>22421048002</v>
      </c>
      <c r="J489" s="932" t="s">
        <v>4517</v>
      </c>
      <c r="K489"/>
      <c r="L489"/>
      <c r="M489"/>
      <c r="N489"/>
      <c r="O489"/>
    </row>
    <row r="490" spans="1:15" ht="14.4">
      <c r="A490" s="1001" t="s">
        <v>470</v>
      </c>
      <c r="B490" s="932" t="s">
        <v>5011</v>
      </c>
      <c r="C490" s="932" t="s">
        <v>53</v>
      </c>
      <c r="D490" s="932" t="s">
        <v>80</v>
      </c>
      <c r="E490" s="1079">
        <v>55000</v>
      </c>
      <c r="F490" s="932" t="s">
        <v>1554</v>
      </c>
      <c r="G490" s="932" t="s">
        <v>114</v>
      </c>
      <c r="H490" s="1080">
        <v>45846.537488425929</v>
      </c>
      <c r="I490" s="1079">
        <v>792955115</v>
      </c>
      <c r="J490" s="932" t="s">
        <v>4898</v>
      </c>
      <c r="K490"/>
      <c r="L490"/>
      <c r="M490"/>
      <c r="N490"/>
      <c r="O490"/>
    </row>
    <row r="491" spans="1:15" ht="14.4">
      <c r="A491" s="1001" t="s">
        <v>507</v>
      </c>
      <c r="B491" s="932" t="s">
        <v>5012</v>
      </c>
      <c r="C491" s="932" t="s">
        <v>39</v>
      </c>
      <c r="D491" s="932" t="s">
        <v>80</v>
      </c>
      <c r="E491" s="1079">
        <v>9017824</v>
      </c>
      <c r="F491" s="932" t="s">
        <v>1553</v>
      </c>
      <c r="G491" s="932" t="s">
        <v>110</v>
      </c>
      <c r="H491" s="1080">
        <v>45853.428912037038</v>
      </c>
      <c r="I491" s="1079">
        <v>21259251032</v>
      </c>
      <c r="J491" s="932" t="s">
        <v>4496</v>
      </c>
      <c r="K491"/>
      <c r="L491"/>
      <c r="M491"/>
      <c r="N491"/>
      <c r="O491"/>
    </row>
    <row r="492" spans="1:15" ht="14.4">
      <c r="A492" s="1001" t="s">
        <v>507</v>
      </c>
      <c r="B492" s="932" t="s">
        <v>5013</v>
      </c>
      <c r="C492" s="932" t="s">
        <v>39</v>
      </c>
      <c r="D492" s="932" t="s">
        <v>80</v>
      </c>
      <c r="E492" s="1079">
        <v>1700624199</v>
      </c>
      <c r="F492" s="932" t="s">
        <v>1553</v>
      </c>
      <c r="G492" s="932" t="s">
        <v>110</v>
      </c>
      <c r="H492" s="1080">
        <v>45853.621527777781</v>
      </c>
      <c r="I492" s="1079">
        <v>24588446487</v>
      </c>
      <c r="J492" s="932" t="s">
        <v>4496</v>
      </c>
      <c r="K492"/>
      <c r="L492"/>
      <c r="M492"/>
      <c r="N492"/>
      <c r="O492"/>
    </row>
    <row r="493" spans="1:15" ht="14.4">
      <c r="A493" s="1001" t="s">
        <v>507</v>
      </c>
      <c r="B493" s="932" t="s">
        <v>5014</v>
      </c>
      <c r="C493" s="932" t="s">
        <v>39</v>
      </c>
      <c r="D493" s="932" t="s">
        <v>80</v>
      </c>
      <c r="E493" s="1079">
        <v>846366336</v>
      </c>
      <c r="F493" s="932" t="s">
        <v>1553</v>
      </c>
      <c r="G493" s="932" t="s">
        <v>110</v>
      </c>
      <c r="H493" s="1080">
        <v>45853.621527777781</v>
      </c>
      <c r="I493" s="1079">
        <v>22887822288</v>
      </c>
      <c r="J493" s="932" t="s">
        <v>4496</v>
      </c>
      <c r="K493"/>
      <c r="L493"/>
      <c r="M493"/>
      <c r="N493"/>
      <c r="O493"/>
    </row>
    <row r="494" spans="1:15" ht="14.4">
      <c r="A494" s="1001" t="s">
        <v>504</v>
      </c>
      <c r="B494" s="932" t="s">
        <v>5015</v>
      </c>
      <c r="C494" s="932" t="s">
        <v>53</v>
      </c>
      <c r="D494" s="932" t="s">
        <v>80</v>
      </c>
      <c r="E494" s="1079">
        <v>20777958</v>
      </c>
      <c r="F494" s="932" t="s">
        <v>1554</v>
      </c>
      <c r="G494" s="932" t="s">
        <v>110</v>
      </c>
      <c r="H494" s="1080">
        <v>45839.449664351851</v>
      </c>
      <c r="I494" s="1079">
        <v>3733656609</v>
      </c>
      <c r="J494" s="932" t="s">
        <v>5016</v>
      </c>
      <c r="K494"/>
      <c r="L494"/>
      <c r="M494"/>
      <c r="N494"/>
      <c r="O494"/>
    </row>
    <row r="495" spans="1:15" ht="14.4">
      <c r="A495" s="1001" t="s">
        <v>504</v>
      </c>
      <c r="B495" s="932" t="s">
        <v>5017</v>
      </c>
      <c r="C495" s="932" t="s">
        <v>53</v>
      </c>
      <c r="D495" s="932" t="s">
        <v>80</v>
      </c>
      <c r="E495" s="1079">
        <v>3024000</v>
      </c>
      <c r="F495" s="932" t="s">
        <v>1554</v>
      </c>
      <c r="G495" s="932" t="s">
        <v>110</v>
      </c>
      <c r="H495" s="1080">
        <v>45839.449687499997</v>
      </c>
      <c r="I495" s="1079">
        <v>3730632609</v>
      </c>
      <c r="J495" s="932" t="s">
        <v>4511</v>
      </c>
      <c r="K495"/>
      <c r="L495"/>
      <c r="M495"/>
      <c r="N495"/>
      <c r="O495"/>
    </row>
    <row r="496" spans="1:15" ht="14.4">
      <c r="A496" s="1001" t="s">
        <v>895</v>
      </c>
      <c r="B496" s="932" t="s">
        <v>5018</v>
      </c>
      <c r="C496" s="932" t="s">
        <v>53</v>
      </c>
      <c r="D496" s="932" t="s">
        <v>80</v>
      </c>
      <c r="E496" s="1079">
        <v>55000</v>
      </c>
      <c r="F496" s="932" t="s">
        <v>1554</v>
      </c>
      <c r="G496" s="932" t="s">
        <v>114</v>
      </c>
      <c r="H496" s="1080">
        <v>45846.537581018521</v>
      </c>
      <c r="I496" s="1079">
        <v>29433734</v>
      </c>
      <c r="J496" s="932" t="s">
        <v>4898</v>
      </c>
      <c r="K496"/>
      <c r="L496"/>
      <c r="M496"/>
      <c r="N496"/>
      <c r="O496"/>
    </row>
    <row r="497" spans="1:15" ht="14.4">
      <c r="A497" s="1001" t="s">
        <v>504</v>
      </c>
      <c r="B497" s="932" t="s">
        <v>5019</v>
      </c>
      <c r="C497" s="932" t="s">
        <v>53</v>
      </c>
      <c r="D497" s="932" t="s">
        <v>80</v>
      </c>
      <c r="E497" s="1079">
        <v>3123418</v>
      </c>
      <c r="F497" s="932" t="s">
        <v>1554</v>
      </c>
      <c r="G497" s="932" t="s">
        <v>110</v>
      </c>
      <c r="H497" s="1080">
        <v>45839.58185185185</v>
      </c>
      <c r="I497" s="1079">
        <v>3792509191</v>
      </c>
      <c r="J497" s="932" t="s">
        <v>4573</v>
      </c>
      <c r="K497"/>
      <c r="L497"/>
      <c r="M497"/>
      <c r="N497"/>
      <c r="O497"/>
    </row>
    <row r="498" spans="1:15" ht="14.4">
      <c r="A498" s="1001" t="s">
        <v>504</v>
      </c>
      <c r="B498" s="932" t="s">
        <v>5020</v>
      </c>
      <c r="C498" s="932" t="s">
        <v>53</v>
      </c>
      <c r="D498" s="932" t="s">
        <v>80</v>
      </c>
      <c r="E498" s="1079">
        <v>22734955</v>
      </c>
      <c r="F498" s="932" t="s">
        <v>1554</v>
      </c>
      <c r="G498" s="932" t="s">
        <v>110</v>
      </c>
      <c r="H498" s="1080">
        <v>45839.581863425927</v>
      </c>
      <c r="I498" s="1079">
        <v>3769774236</v>
      </c>
      <c r="J498" s="932" t="s">
        <v>4573</v>
      </c>
      <c r="K498"/>
      <c r="L498"/>
      <c r="M498"/>
      <c r="N498"/>
      <c r="O498"/>
    </row>
    <row r="499" spans="1:15" ht="14.4">
      <c r="A499" s="1001" t="s">
        <v>337</v>
      </c>
      <c r="B499" s="932" t="s">
        <v>5021</v>
      </c>
      <c r="C499" s="932" t="s">
        <v>53</v>
      </c>
      <c r="D499" s="932" t="s">
        <v>81</v>
      </c>
      <c r="E499" s="1079">
        <v>2.2000000000000002</v>
      </c>
      <c r="F499" s="932" t="s">
        <v>1554</v>
      </c>
      <c r="G499" s="932" t="s">
        <v>114</v>
      </c>
      <c r="H499" s="1080">
        <v>45846.543865740743</v>
      </c>
      <c r="I499" s="1079">
        <v>29664.81</v>
      </c>
      <c r="J499" s="932" t="s">
        <v>4898</v>
      </c>
      <c r="K499"/>
      <c r="L499"/>
      <c r="M499"/>
      <c r="N499"/>
      <c r="O499"/>
    </row>
    <row r="500" spans="1:15" ht="14.4">
      <c r="A500" s="1001" t="s">
        <v>471</v>
      </c>
      <c r="B500" s="932" t="s">
        <v>5011</v>
      </c>
      <c r="C500" s="932" t="s">
        <v>53</v>
      </c>
      <c r="D500" s="932" t="s">
        <v>81</v>
      </c>
      <c r="E500" s="1079">
        <v>2.2000000000000002</v>
      </c>
      <c r="F500" s="932" t="s">
        <v>1554</v>
      </c>
      <c r="G500" s="932" t="s">
        <v>114</v>
      </c>
      <c r="H500" s="1080">
        <v>45846.537523148145</v>
      </c>
      <c r="I500" s="1079">
        <v>78</v>
      </c>
      <c r="J500" s="932" t="s">
        <v>4898</v>
      </c>
      <c r="K500"/>
      <c r="L500"/>
      <c r="M500"/>
      <c r="N500"/>
      <c r="O500"/>
    </row>
    <row r="501" spans="1:15" ht="14.4">
      <c r="A501" s="1001" t="s">
        <v>504</v>
      </c>
      <c r="B501" s="932" t="s">
        <v>5022</v>
      </c>
      <c r="C501" s="932" t="s">
        <v>44</v>
      </c>
      <c r="D501" s="932" t="s">
        <v>80</v>
      </c>
      <c r="E501" s="1079">
        <v>20000000</v>
      </c>
      <c r="F501" s="932" t="s">
        <v>1553</v>
      </c>
      <c r="G501" s="932" t="s">
        <v>110</v>
      </c>
      <c r="H501" s="1080">
        <v>45841.626250000001</v>
      </c>
      <c r="I501" s="1079">
        <v>3781161236</v>
      </c>
      <c r="J501" s="932" t="s">
        <v>4496</v>
      </c>
      <c r="K501"/>
      <c r="L501"/>
      <c r="M501"/>
      <c r="N501"/>
      <c r="O501"/>
    </row>
    <row r="502" spans="1:15" ht="14.4">
      <c r="A502" s="1001" t="s">
        <v>504</v>
      </c>
      <c r="B502" s="932" t="s">
        <v>5023</v>
      </c>
      <c r="C502" s="932" t="s">
        <v>53</v>
      </c>
      <c r="D502" s="932" t="s">
        <v>80</v>
      </c>
      <c r="E502" s="1079">
        <v>10133464</v>
      </c>
      <c r="F502" s="932" t="s">
        <v>1554</v>
      </c>
      <c r="G502" s="932" t="s">
        <v>110</v>
      </c>
      <c r="H502" s="1080">
        <v>45842.498969907407</v>
      </c>
      <c r="I502" s="1079">
        <v>3771027772</v>
      </c>
      <c r="J502" s="932" t="s">
        <v>4508</v>
      </c>
      <c r="K502"/>
      <c r="L502"/>
      <c r="M502"/>
      <c r="N502"/>
      <c r="O502"/>
    </row>
    <row r="503" spans="1:15" ht="14.4">
      <c r="A503" s="1001" t="s">
        <v>504</v>
      </c>
      <c r="B503" s="932" t="s">
        <v>5024</v>
      </c>
      <c r="C503" s="932" t="s">
        <v>39</v>
      </c>
      <c r="D503" s="932" t="s">
        <v>80</v>
      </c>
      <c r="E503" s="1079">
        <v>612778890</v>
      </c>
      <c r="F503" s="932" t="s">
        <v>1553</v>
      </c>
      <c r="G503" s="932" t="s">
        <v>110</v>
      </c>
      <c r="H503" s="1080">
        <v>45842.666643518518</v>
      </c>
      <c r="I503" s="1079">
        <v>4383806662</v>
      </c>
      <c r="J503" s="932" t="s">
        <v>4577</v>
      </c>
      <c r="K503"/>
      <c r="L503"/>
      <c r="M503"/>
      <c r="N503"/>
      <c r="O503"/>
    </row>
    <row r="504" spans="1:15" ht="14.4">
      <c r="A504" s="1001" t="s">
        <v>504</v>
      </c>
      <c r="B504" s="932" t="s">
        <v>5025</v>
      </c>
      <c r="C504" s="932" t="s">
        <v>39</v>
      </c>
      <c r="D504" s="932" t="s">
        <v>80</v>
      </c>
      <c r="E504" s="1079">
        <v>685347691</v>
      </c>
      <c r="F504" s="932" t="s">
        <v>1553</v>
      </c>
      <c r="G504" s="932" t="s">
        <v>110</v>
      </c>
      <c r="H504" s="1080">
        <v>45845.453460648147</v>
      </c>
      <c r="I504" s="1079">
        <v>5069154353</v>
      </c>
      <c r="J504" s="932" t="s">
        <v>4585</v>
      </c>
      <c r="K504"/>
      <c r="L504"/>
      <c r="M504"/>
      <c r="N504"/>
      <c r="O504"/>
    </row>
    <row r="505" spans="1:15" ht="14.4">
      <c r="A505" s="1001" t="s">
        <v>504</v>
      </c>
      <c r="B505" s="932" t="s">
        <v>5026</v>
      </c>
      <c r="C505" s="932" t="s">
        <v>39</v>
      </c>
      <c r="D505" s="932" t="s">
        <v>80</v>
      </c>
      <c r="E505" s="1079">
        <v>698220987</v>
      </c>
      <c r="F505" s="932" t="s">
        <v>1553</v>
      </c>
      <c r="G505" s="932" t="s">
        <v>110</v>
      </c>
      <c r="H505" s="1080">
        <v>45847.595358796294</v>
      </c>
      <c r="I505" s="1079">
        <v>5767375340</v>
      </c>
      <c r="J505" s="932" t="s">
        <v>4585</v>
      </c>
      <c r="K505"/>
      <c r="L505"/>
      <c r="M505"/>
      <c r="N505"/>
      <c r="O505"/>
    </row>
    <row r="506" spans="1:15" ht="14.4">
      <c r="A506" s="1001" t="s">
        <v>504</v>
      </c>
      <c r="B506" s="932" t="s">
        <v>5027</v>
      </c>
      <c r="C506" s="932" t="s">
        <v>39</v>
      </c>
      <c r="D506" s="932" t="s">
        <v>80</v>
      </c>
      <c r="E506" s="1079">
        <v>623147388</v>
      </c>
      <c r="F506" s="932" t="s">
        <v>1553</v>
      </c>
      <c r="G506" s="932" t="s">
        <v>110</v>
      </c>
      <c r="H506" s="1080">
        <v>45852.628298611111</v>
      </c>
      <c r="I506" s="1079">
        <v>6390522728</v>
      </c>
      <c r="J506" s="932" t="s">
        <v>4496</v>
      </c>
      <c r="K506"/>
      <c r="L506"/>
      <c r="M506"/>
      <c r="N506"/>
      <c r="O506"/>
    </row>
    <row r="507" spans="1:15" ht="14.4">
      <c r="A507" s="1001" t="s">
        <v>504</v>
      </c>
      <c r="B507" s="932" t="s">
        <v>5028</v>
      </c>
      <c r="C507" s="932" t="s">
        <v>53</v>
      </c>
      <c r="D507" s="932" t="s">
        <v>80</v>
      </c>
      <c r="E507" s="1079">
        <v>169808874</v>
      </c>
      <c r="F507" s="932" t="s">
        <v>1554</v>
      </c>
      <c r="G507" s="932" t="s">
        <v>110</v>
      </c>
      <c r="H507" s="1080">
        <v>45853.595219907409</v>
      </c>
      <c r="I507" s="1079">
        <v>6736808175</v>
      </c>
      <c r="J507" s="932" t="s">
        <v>4548</v>
      </c>
      <c r="K507"/>
      <c r="L507"/>
      <c r="M507"/>
      <c r="N507"/>
      <c r="O507"/>
    </row>
    <row r="508" spans="1:15" ht="14.4">
      <c r="A508" s="1001" t="s">
        <v>504</v>
      </c>
      <c r="B508" s="932" t="s">
        <v>5029</v>
      </c>
      <c r="C508" s="932" t="s">
        <v>53</v>
      </c>
      <c r="D508" s="932" t="s">
        <v>80</v>
      </c>
      <c r="E508" s="1079">
        <v>12514459</v>
      </c>
      <c r="F508" s="932" t="s">
        <v>1554</v>
      </c>
      <c r="G508" s="932" t="s">
        <v>110</v>
      </c>
      <c r="H508" s="1080">
        <v>45853.595219907409</v>
      </c>
      <c r="I508" s="1079">
        <v>6724293716</v>
      </c>
      <c r="J508" s="932" t="s">
        <v>4496</v>
      </c>
      <c r="K508"/>
      <c r="L508"/>
      <c r="M508"/>
      <c r="N508"/>
      <c r="O508"/>
    </row>
    <row r="509" spans="1:15" ht="14.4">
      <c r="A509" s="1001" t="s">
        <v>504</v>
      </c>
      <c r="B509" s="932" t="s">
        <v>5030</v>
      </c>
      <c r="C509" s="932" t="s">
        <v>53</v>
      </c>
      <c r="D509" s="932" t="s">
        <v>80</v>
      </c>
      <c r="E509" s="1079">
        <v>1000000</v>
      </c>
      <c r="F509" s="932" t="s">
        <v>1554</v>
      </c>
      <c r="G509" s="932" t="s">
        <v>110</v>
      </c>
      <c r="H509" s="1080">
        <v>45853.595219907409</v>
      </c>
      <c r="I509" s="1079">
        <v>6723293716</v>
      </c>
      <c r="J509" s="932" t="s">
        <v>4537</v>
      </c>
      <c r="K509"/>
      <c r="L509"/>
      <c r="M509"/>
      <c r="N509"/>
      <c r="O509"/>
    </row>
    <row r="510" spans="1:15" ht="14.4">
      <c r="A510" s="1001" t="s">
        <v>504</v>
      </c>
      <c r="B510" s="932" t="s">
        <v>5031</v>
      </c>
      <c r="C510" s="932" t="s">
        <v>39</v>
      </c>
      <c r="D510" s="932" t="s">
        <v>80</v>
      </c>
      <c r="E510" s="1079">
        <v>487621633</v>
      </c>
      <c r="F510" s="932" t="s">
        <v>1553</v>
      </c>
      <c r="G510" s="932" t="s">
        <v>110</v>
      </c>
      <c r="H510" s="1080">
        <v>45853.69259259259</v>
      </c>
      <c r="I510" s="1079">
        <v>7210915349</v>
      </c>
      <c r="J510" s="932" t="s">
        <v>4496</v>
      </c>
      <c r="K510"/>
      <c r="L510"/>
      <c r="M510"/>
      <c r="N510"/>
      <c r="O510"/>
    </row>
    <row r="511" spans="1:15" ht="14.4">
      <c r="A511" s="1001" t="s">
        <v>504</v>
      </c>
      <c r="B511" s="932" t="s">
        <v>5032</v>
      </c>
      <c r="C511" s="932" t="s">
        <v>39</v>
      </c>
      <c r="D511" s="932" t="s">
        <v>80</v>
      </c>
      <c r="E511" s="1079">
        <v>768716498</v>
      </c>
      <c r="F511" s="932" t="s">
        <v>1553</v>
      </c>
      <c r="G511" s="932" t="s">
        <v>110</v>
      </c>
      <c r="H511" s="1080">
        <v>45853.433368055557</v>
      </c>
      <c r="I511" s="1079">
        <v>7159239226</v>
      </c>
      <c r="J511" s="932" t="s">
        <v>4577</v>
      </c>
      <c r="K511"/>
      <c r="L511"/>
      <c r="M511"/>
      <c r="N511"/>
      <c r="O511"/>
    </row>
    <row r="512" spans="1:15" ht="14.4">
      <c r="A512" s="1001" t="s">
        <v>504</v>
      </c>
      <c r="B512" s="932" t="s">
        <v>5033</v>
      </c>
      <c r="C512" s="932" t="s">
        <v>53</v>
      </c>
      <c r="D512" s="932" t="s">
        <v>80</v>
      </c>
      <c r="E512" s="1079">
        <v>243204793</v>
      </c>
      <c r="F512" s="932" t="s">
        <v>1554</v>
      </c>
      <c r="G512" s="932" t="s">
        <v>110</v>
      </c>
      <c r="H512" s="1080">
        <v>45853.595196759263</v>
      </c>
      <c r="I512" s="1079">
        <v>6916034433</v>
      </c>
      <c r="J512" s="932" t="s">
        <v>4517</v>
      </c>
      <c r="K512"/>
      <c r="L512"/>
      <c r="M512"/>
      <c r="N512"/>
      <c r="O512"/>
    </row>
    <row r="513" spans="1:15" ht="14.4">
      <c r="A513" s="1001" t="s">
        <v>504</v>
      </c>
      <c r="B513" s="932" t="s">
        <v>5034</v>
      </c>
      <c r="C513" s="932" t="s">
        <v>53</v>
      </c>
      <c r="D513" s="932" t="s">
        <v>80</v>
      </c>
      <c r="E513" s="1079">
        <v>9417384</v>
      </c>
      <c r="F513" s="932" t="s">
        <v>1554</v>
      </c>
      <c r="G513" s="932" t="s">
        <v>110</v>
      </c>
      <c r="H513" s="1080">
        <v>45853.595196759263</v>
      </c>
      <c r="I513" s="1079">
        <v>6906617049</v>
      </c>
      <c r="J513" s="932" t="s">
        <v>4496</v>
      </c>
      <c r="K513"/>
      <c r="L513"/>
      <c r="M513"/>
      <c r="N513"/>
      <c r="O513"/>
    </row>
    <row r="514" spans="1:15" ht="14.4">
      <c r="A514" s="1001" t="s">
        <v>550</v>
      </c>
      <c r="B514" s="932" t="s">
        <v>5035</v>
      </c>
      <c r="C514" s="932" t="s">
        <v>53</v>
      </c>
      <c r="D514" s="932" t="s">
        <v>81</v>
      </c>
      <c r="E514" s="1079">
        <v>2.2000000000000002</v>
      </c>
      <c r="F514" s="932" t="s">
        <v>1554</v>
      </c>
      <c r="G514" s="932" t="s">
        <v>114</v>
      </c>
      <c r="H514" s="1080">
        <v>45846.537465277775</v>
      </c>
      <c r="I514" s="1079">
        <v>142.88999999999999</v>
      </c>
      <c r="J514" s="932" t="s">
        <v>4898</v>
      </c>
      <c r="K514"/>
      <c r="L514"/>
      <c r="M514"/>
      <c r="N514"/>
      <c r="O514"/>
    </row>
    <row r="515" spans="1:15" ht="14.4">
      <c r="A515" s="1001" t="s">
        <v>758</v>
      </c>
      <c r="B515" s="932" t="s">
        <v>5036</v>
      </c>
      <c r="C515" s="932" t="s">
        <v>53</v>
      </c>
      <c r="D515" s="932" t="s">
        <v>81</v>
      </c>
      <c r="E515" s="1079">
        <v>2.2000000000000002</v>
      </c>
      <c r="F515" s="932" t="s">
        <v>1554</v>
      </c>
      <c r="G515" s="932" t="s">
        <v>114</v>
      </c>
      <c r="H515" s="1080">
        <v>45846.537673611114</v>
      </c>
      <c r="I515" s="1079">
        <v>45</v>
      </c>
      <c r="J515" s="932" t="s">
        <v>4898</v>
      </c>
      <c r="K515"/>
      <c r="L515"/>
      <c r="M515"/>
      <c r="N515"/>
      <c r="O515"/>
    </row>
    <row r="516" spans="1:15" ht="14.4">
      <c r="A516" s="1001" t="s">
        <v>709</v>
      </c>
      <c r="B516" s="932" t="s">
        <v>5037</v>
      </c>
      <c r="C516" s="932" t="s">
        <v>53</v>
      </c>
      <c r="D516" s="932" t="s">
        <v>80</v>
      </c>
      <c r="E516" s="1079">
        <v>7127585</v>
      </c>
      <c r="F516" s="932" t="s">
        <v>1554</v>
      </c>
      <c r="G516" s="932" t="s">
        <v>110</v>
      </c>
      <c r="H516" s="1080">
        <v>45840.555798611109</v>
      </c>
      <c r="I516" s="1079">
        <v>2547518927</v>
      </c>
      <c r="J516" s="932" t="s">
        <v>4573</v>
      </c>
      <c r="K516"/>
      <c r="L516"/>
      <c r="M516"/>
      <c r="N516"/>
      <c r="O516"/>
    </row>
    <row r="517" spans="1:15" ht="14.4">
      <c r="A517" s="1001" t="s">
        <v>709</v>
      </c>
      <c r="B517" s="932" t="s">
        <v>5038</v>
      </c>
      <c r="C517" s="932" t="s">
        <v>39</v>
      </c>
      <c r="D517" s="932" t="s">
        <v>80</v>
      </c>
      <c r="E517" s="1079">
        <v>481557006</v>
      </c>
      <c r="F517" s="932" t="s">
        <v>1553</v>
      </c>
      <c r="G517" s="932" t="s">
        <v>110</v>
      </c>
      <c r="H517" s="1080">
        <v>45847.505648148152</v>
      </c>
      <c r="I517" s="1079">
        <v>3029075933</v>
      </c>
      <c r="J517" s="932" t="s">
        <v>4496</v>
      </c>
      <c r="K517"/>
      <c r="L517"/>
      <c r="M517"/>
      <c r="N517"/>
      <c r="O517"/>
    </row>
    <row r="518" spans="1:15" ht="14.4">
      <c r="A518" s="1001" t="s">
        <v>709</v>
      </c>
      <c r="B518" s="932" t="s">
        <v>5039</v>
      </c>
      <c r="C518" s="932" t="s">
        <v>53</v>
      </c>
      <c r="D518" s="932" t="s">
        <v>80</v>
      </c>
      <c r="E518" s="1079">
        <v>1177100</v>
      </c>
      <c r="F518" s="932" t="s">
        <v>1554</v>
      </c>
      <c r="G518" s="932" t="s">
        <v>110</v>
      </c>
      <c r="H518" s="1080">
        <v>45851.948159722226</v>
      </c>
      <c r="I518" s="1079">
        <v>3027898833</v>
      </c>
      <c r="J518" s="932" t="s">
        <v>4535</v>
      </c>
      <c r="K518"/>
      <c r="L518"/>
      <c r="M518"/>
      <c r="N518"/>
      <c r="O518"/>
    </row>
    <row r="519" spans="1:15" ht="14.4">
      <c r="A519" s="1001" t="s">
        <v>709</v>
      </c>
      <c r="B519" s="932" t="s">
        <v>5040</v>
      </c>
      <c r="C519" s="932" t="s">
        <v>53</v>
      </c>
      <c r="D519" s="932" t="s">
        <v>80</v>
      </c>
      <c r="E519" s="1079">
        <v>750816</v>
      </c>
      <c r="F519" s="932" t="s">
        <v>1554</v>
      </c>
      <c r="G519" s="932" t="s">
        <v>110</v>
      </c>
      <c r="H519" s="1080">
        <v>45851.948159722226</v>
      </c>
      <c r="I519" s="1079">
        <v>3027148017</v>
      </c>
      <c r="J519" s="932" t="s">
        <v>4558</v>
      </c>
      <c r="K519"/>
      <c r="L519"/>
      <c r="M519"/>
      <c r="N519"/>
      <c r="O519"/>
    </row>
    <row r="520" spans="1:15" ht="14.4">
      <c r="A520" s="1001" t="s">
        <v>709</v>
      </c>
      <c r="B520" s="932" t="s">
        <v>5041</v>
      </c>
      <c r="C520" s="932" t="s">
        <v>53</v>
      </c>
      <c r="D520" s="932" t="s">
        <v>80</v>
      </c>
      <c r="E520" s="1079">
        <v>44000000</v>
      </c>
      <c r="F520" s="932" t="s">
        <v>1554</v>
      </c>
      <c r="G520" s="932" t="s">
        <v>110</v>
      </c>
      <c r="H520" s="1080">
        <v>45851.948171296295</v>
      </c>
      <c r="I520" s="1079">
        <v>2983148017</v>
      </c>
      <c r="J520" s="932" t="s">
        <v>4496</v>
      </c>
      <c r="K520"/>
      <c r="L520"/>
      <c r="M520"/>
      <c r="N520"/>
      <c r="O520"/>
    </row>
    <row r="521" spans="1:15" ht="14.4">
      <c r="A521" s="1001" t="s">
        <v>709</v>
      </c>
      <c r="B521" s="932" t="s">
        <v>5042</v>
      </c>
      <c r="C521" s="932" t="s">
        <v>53</v>
      </c>
      <c r="D521" s="932" t="s">
        <v>80</v>
      </c>
      <c r="E521" s="1079">
        <v>67980340</v>
      </c>
      <c r="F521" s="932" t="s">
        <v>1554</v>
      </c>
      <c r="G521" s="932" t="s">
        <v>110</v>
      </c>
      <c r="H521" s="1080">
        <v>45851.948182870372</v>
      </c>
      <c r="I521" s="1079">
        <v>2915167677</v>
      </c>
      <c r="J521" s="932" t="s">
        <v>4558</v>
      </c>
      <c r="K521"/>
      <c r="L521"/>
      <c r="M521"/>
      <c r="N521"/>
      <c r="O521"/>
    </row>
    <row r="522" spans="1:15" ht="14.4">
      <c r="A522" s="1001" t="s">
        <v>893</v>
      </c>
      <c r="B522" s="932" t="s">
        <v>5043</v>
      </c>
      <c r="C522" s="932" t="s">
        <v>44</v>
      </c>
      <c r="D522" s="932" t="s">
        <v>80</v>
      </c>
      <c r="E522" s="1079">
        <v>176712329</v>
      </c>
      <c r="F522" s="932" t="s">
        <v>1553</v>
      </c>
      <c r="G522" s="932" t="s">
        <v>110</v>
      </c>
      <c r="H522" s="1080">
        <v>45846.117002314815</v>
      </c>
      <c r="I522" s="1079">
        <v>1292264875</v>
      </c>
      <c r="J522" s="932" t="s">
        <v>4648</v>
      </c>
      <c r="K522"/>
      <c r="L522"/>
      <c r="M522"/>
      <c r="N522"/>
      <c r="O522"/>
    </row>
    <row r="523" spans="1:15" ht="14.4">
      <c r="A523"/>
      <c r="B523"/>
      <c r="C523"/>
      <c r="D523"/>
      <c r="E523"/>
      <c r="F523"/>
      <c r="G523"/>
      <c r="H523"/>
      <c r="I523"/>
      <c r="J523"/>
      <c r="K523"/>
      <c r="L523"/>
      <c r="M523"/>
      <c r="N523"/>
      <c r="O523"/>
    </row>
    <row r="524" spans="1:15" ht="14.4">
      <c r="A524"/>
      <c r="B524"/>
      <c r="C524"/>
      <c r="D524"/>
      <c r="E524"/>
      <c r="F524"/>
      <c r="G524"/>
      <c r="H524"/>
      <c r="I524"/>
      <c r="J524"/>
      <c r="K524"/>
      <c r="L524"/>
      <c r="M524"/>
      <c r="N524"/>
      <c r="O524"/>
    </row>
    <row r="525" spans="1:15" ht="14.4">
      <c r="A525"/>
      <c r="B525"/>
      <c r="C525"/>
      <c r="D525"/>
      <c r="E525"/>
      <c r="F525"/>
      <c r="G525"/>
      <c r="H525"/>
      <c r="I525"/>
      <c r="J525"/>
      <c r="K525"/>
      <c r="L525"/>
      <c r="M525"/>
      <c r="N525"/>
      <c r="O525"/>
    </row>
    <row r="526" spans="1:15" ht="14.4">
      <c r="A526"/>
      <c r="B526"/>
      <c r="C526"/>
      <c r="D526"/>
      <c r="E526"/>
      <c r="F526"/>
      <c r="G526"/>
      <c r="H526"/>
      <c r="I526"/>
      <c r="J526"/>
      <c r="K526"/>
      <c r="L526"/>
      <c r="M526"/>
      <c r="N526"/>
      <c r="O526"/>
    </row>
    <row r="527" spans="1:15" ht="14.4">
      <c r="A527"/>
      <c r="B527"/>
      <c r="C527"/>
      <c r="D527"/>
      <c r="E527"/>
      <c r="F527"/>
      <c r="G527"/>
      <c r="H527"/>
      <c r="I527"/>
      <c r="J527"/>
      <c r="K527"/>
      <c r="L527"/>
      <c r="M527"/>
      <c r="N527"/>
      <c r="O527"/>
    </row>
    <row r="528" spans="1:15" ht="14.4">
      <c r="A528"/>
      <c r="B528"/>
      <c r="C528"/>
      <c r="D528"/>
      <c r="E528"/>
      <c r="F528"/>
      <c r="G528"/>
      <c r="H528"/>
      <c r="I528"/>
      <c r="J528"/>
      <c r="K528"/>
      <c r="L528"/>
      <c r="M528"/>
      <c r="N528"/>
      <c r="O528"/>
    </row>
    <row r="529" spans="1:15" ht="14.4">
      <c r="A529"/>
      <c r="B529"/>
      <c r="C529"/>
      <c r="D529"/>
      <c r="E529"/>
      <c r="F529"/>
      <c r="G529"/>
      <c r="H529"/>
      <c r="I529"/>
      <c r="J529"/>
      <c r="K529"/>
      <c r="L529"/>
      <c r="M529"/>
      <c r="N529"/>
      <c r="O529"/>
    </row>
    <row r="530" spans="1:15" ht="14.4">
      <c r="A530"/>
      <c r="B530"/>
      <c r="C530"/>
      <c r="D530"/>
      <c r="E530"/>
      <c r="F530"/>
      <c r="G530"/>
      <c r="H530"/>
      <c r="I530"/>
      <c r="J530"/>
      <c r="K530"/>
      <c r="L530"/>
      <c r="M530"/>
      <c r="N530"/>
      <c r="O530"/>
    </row>
    <row r="531" spans="1:15" ht="14.4">
      <c r="A531"/>
      <c r="B531"/>
      <c r="C531"/>
      <c r="D531"/>
      <c r="E531"/>
      <c r="F531"/>
      <c r="G531"/>
      <c r="H531"/>
      <c r="I531"/>
      <c r="J531"/>
      <c r="K531"/>
      <c r="L531"/>
      <c r="M531"/>
      <c r="N531"/>
      <c r="O531"/>
    </row>
    <row r="532" spans="1:15" ht="14.4">
      <c r="A532"/>
      <c r="B532"/>
      <c r="C532"/>
      <c r="D532"/>
      <c r="E532"/>
      <c r="F532"/>
      <c r="G532"/>
      <c r="H532"/>
      <c r="I532"/>
      <c r="J532"/>
      <c r="K532"/>
      <c r="L532"/>
      <c r="M532"/>
      <c r="N532"/>
      <c r="O532"/>
    </row>
    <row r="533" spans="1:15" ht="14.4">
      <c r="A533"/>
      <c r="B533"/>
      <c r="C533"/>
      <c r="D533"/>
      <c r="E533"/>
      <c r="F533"/>
      <c r="G533"/>
      <c r="H533"/>
      <c r="I533"/>
      <c r="J533"/>
      <c r="K533"/>
      <c r="L533"/>
      <c r="M533"/>
      <c r="N533"/>
      <c r="O533"/>
    </row>
    <row r="534" spans="1:15" ht="14.4">
      <c r="A534"/>
      <c r="B534"/>
      <c r="C534"/>
      <c r="D534"/>
      <c r="E534"/>
      <c r="F534"/>
      <c r="G534"/>
      <c r="H534"/>
      <c r="I534"/>
      <c r="J534"/>
      <c r="K534"/>
      <c r="L534"/>
      <c r="M534"/>
      <c r="N534"/>
      <c r="O534"/>
    </row>
    <row r="535" spans="1:15" ht="14.4">
      <c r="A535"/>
      <c r="B535"/>
      <c r="C535"/>
      <c r="D535"/>
      <c r="E535"/>
      <c r="F535"/>
      <c r="G535"/>
      <c r="H535"/>
      <c r="I535"/>
      <c r="J535"/>
      <c r="K535"/>
      <c r="L535"/>
      <c r="M535"/>
      <c r="N535"/>
      <c r="O535"/>
    </row>
    <row r="536" spans="1:15" ht="14.4">
      <c r="A536"/>
      <c r="B536"/>
      <c r="C536"/>
      <c r="D536"/>
      <c r="E536"/>
      <c r="F536"/>
      <c r="G536"/>
      <c r="H536"/>
      <c r="I536"/>
      <c r="J536"/>
      <c r="K536"/>
      <c r="L536"/>
      <c r="M536"/>
      <c r="N536"/>
      <c r="O536"/>
    </row>
    <row r="537" spans="1:15" ht="14.4">
      <c r="A537"/>
      <c r="B537"/>
      <c r="C537"/>
      <c r="D537"/>
      <c r="E537"/>
      <c r="F537"/>
      <c r="G537"/>
      <c r="H537"/>
      <c r="I537"/>
      <c r="J537"/>
      <c r="K537"/>
      <c r="L537"/>
      <c r="M537"/>
      <c r="N537"/>
      <c r="O537"/>
    </row>
    <row r="538" spans="1:15" ht="14.4">
      <c r="A538"/>
      <c r="B538"/>
      <c r="C538"/>
      <c r="D538"/>
      <c r="E538"/>
      <c r="F538"/>
      <c r="G538"/>
      <c r="H538"/>
      <c r="I538"/>
      <c r="J538"/>
      <c r="K538"/>
      <c r="L538"/>
      <c r="M538"/>
      <c r="N538"/>
      <c r="O538"/>
    </row>
    <row r="539" spans="1:15" ht="14.4">
      <c r="A539"/>
      <c r="B539"/>
      <c r="C539"/>
      <c r="D539"/>
      <c r="E539"/>
      <c r="F539"/>
      <c r="G539"/>
      <c r="H539"/>
      <c r="I539"/>
      <c r="J539"/>
      <c r="K539"/>
      <c r="L539"/>
      <c r="M539"/>
      <c r="N539"/>
      <c r="O539"/>
    </row>
    <row r="540" spans="1:15" ht="14.4">
      <c r="A540"/>
      <c r="B540"/>
      <c r="C540"/>
      <c r="D540"/>
      <c r="E540"/>
      <c r="F540"/>
      <c r="G540"/>
      <c r="H540"/>
      <c r="I540"/>
      <c r="J540"/>
      <c r="K540"/>
      <c r="L540"/>
      <c r="M540"/>
      <c r="N540"/>
      <c r="O540"/>
    </row>
    <row r="541" spans="1:15" ht="14.4">
      <c r="A541"/>
      <c r="B541"/>
      <c r="C541"/>
      <c r="D541"/>
      <c r="E541"/>
      <c r="F541"/>
      <c r="G541"/>
      <c r="H541"/>
      <c r="I541"/>
      <c r="J541"/>
      <c r="K541"/>
      <c r="L541"/>
      <c r="M541"/>
      <c r="N541"/>
      <c r="O541"/>
    </row>
    <row r="542" spans="1:15" ht="14.4">
      <c r="A542"/>
      <c r="B542"/>
      <c r="C542"/>
      <c r="D542"/>
      <c r="E542"/>
      <c r="F542"/>
      <c r="G542"/>
      <c r="H542"/>
      <c r="I542"/>
      <c r="J542"/>
      <c r="K542"/>
      <c r="L542"/>
      <c r="M542"/>
      <c r="N542"/>
      <c r="O542"/>
    </row>
    <row r="543" spans="1:15" ht="14.4">
      <c r="A543"/>
      <c r="B543"/>
      <c r="C543"/>
      <c r="D543"/>
      <c r="E543"/>
      <c r="F543"/>
      <c r="G543"/>
      <c r="H543"/>
      <c r="I543"/>
      <c r="J543"/>
      <c r="K543"/>
      <c r="L543"/>
      <c r="M543"/>
      <c r="N543"/>
      <c r="O543"/>
    </row>
    <row r="544" spans="1:15" ht="14.4">
      <c r="A544"/>
      <c r="B544"/>
      <c r="C544"/>
      <c r="D544"/>
      <c r="E544"/>
      <c r="F544"/>
      <c r="G544"/>
      <c r="H544"/>
      <c r="I544"/>
      <c r="J544"/>
      <c r="K544"/>
      <c r="L544"/>
      <c r="M544"/>
      <c r="N544"/>
      <c r="O544"/>
    </row>
    <row r="545" spans="1:15" ht="14.4">
      <c r="A545"/>
      <c r="B545"/>
      <c r="C545"/>
      <c r="D545"/>
      <c r="E545"/>
      <c r="F545"/>
      <c r="G545"/>
      <c r="H545"/>
      <c r="I545"/>
      <c r="J545"/>
      <c r="K545"/>
      <c r="L545"/>
      <c r="M545"/>
      <c r="N545"/>
      <c r="O545"/>
    </row>
    <row r="546" spans="1:15" ht="14.4">
      <c r="A546"/>
      <c r="B546"/>
      <c r="C546"/>
      <c r="D546"/>
      <c r="E546"/>
      <c r="F546"/>
      <c r="G546"/>
      <c r="H546"/>
      <c r="I546"/>
      <c r="J546"/>
      <c r="K546"/>
      <c r="L546"/>
      <c r="M546"/>
      <c r="N546"/>
      <c r="O546"/>
    </row>
    <row r="547" spans="1:15" ht="14.4">
      <c r="A547"/>
      <c r="B547"/>
      <c r="C547"/>
      <c r="D547"/>
      <c r="E547"/>
      <c r="F547"/>
      <c r="G547"/>
      <c r="H547"/>
      <c r="I547"/>
      <c r="J547"/>
      <c r="K547"/>
      <c r="L547"/>
      <c r="M547"/>
      <c r="N547"/>
      <c r="O547"/>
    </row>
    <row r="548" spans="1:15" ht="14.4">
      <c r="A548"/>
      <c r="B548"/>
      <c r="C548"/>
      <c r="D548"/>
      <c r="E548"/>
      <c r="F548"/>
      <c r="G548"/>
      <c r="H548"/>
      <c r="I548"/>
      <c r="J548"/>
      <c r="K548"/>
      <c r="L548"/>
      <c r="M548"/>
      <c r="N548"/>
      <c r="O548"/>
    </row>
    <row r="549" spans="1:15" ht="14.4">
      <c r="A549"/>
      <c r="B549"/>
      <c r="C549"/>
      <c r="D549"/>
      <c r="E549"/>
      <c r="F549"/>
      <c r="G549"/>
      <c r="H549"/>
      <c r="I549"/>
      <c r="J549"/>
      <c r="K549"/>
      <c r="L549"/>
      <c r="M549"/>
      <c r="N549"/>
      <c r="O549"/>
    </row>
    <row r="550" spans="1:15" ht="14.4">
      <c r="A550"/>
      <c r="B550"/>
      <c r="C550"/>
      <c r="D550"/>
      <c r="E550"/>
      <c r="F550"/>
      <c r="G550"/>
      <c r="H550"/>
      <c r="I550"/>
      <c r="J550"/>
      <c r="K550"/>
      <c r="L550"/>
      <c r="M550"/>
      <c r="N550"/>
      <c r="O550"/>
    </row>
    <row r="551" spans="1:15" ht="14.4">
      <c r="A551"/>
      <c r="B551"/>
      <c r="C551"/>
      <c r="D551"/>
      <c r="E551"/>
      <c r="F551"/>
      <c r="G551"/>
      <c r="H551"/>
      <c r="I551"/>
      <c r="J551"/>
      <c r="K551"/>
      <c r="L551"/>
      <c r="M551"/>
      <c r="N551"/>
      <c r="O551"/>
    </row>
    <row r="552" spans="1:15" ht="14.4">
      <c r="A552"/>
      <c r="B552"/>
      <c r="C552"/>
      <c r="D552"/>
      <c r="E552"/>
      <c r="F552"/>
      <c r="G552"/>
      <c r="H552"/>
      <c r="I552"/>
      <c r="J552"/>
      <c r="K552"/>
      <c r="L552"/>
      <c r="M552"/>
      <c r="N552"/>
      <c r="O552"/>
    </row>
    <row r="553" spans="1:15" ht="14.4">
      <c r="A553"/>
      <c r="B553"/>
      <c r="C553"/>
      <c r="D553"/>
      <c r="E553"/>
      <c r="F553"/>
      <c r="G553"/>
      <c r="H553"/>
      <c r="I553"/>
      <c r="J553"/>
      <c r="K553"/>
      <c r="L553"/>
      <c r="M553"/>
      <c r="N553"/>
      <c r="O553"/>
    </row>
    <row r="554" spans="1:15" ht="14.4">
      <c r="A554"/>
      <c r="B554"/>
      <c r="C554"/>
      <c r="D554"/>
      <c r="E554"/>
      <c r="F554"/>
      <c r="G554"/>
      <c r="H554"/>
      <c r="I554"/>
      <c r="J554"/>
      <c r="K554"/>
      <c r="L554"/>
      <c r="M554"/>
      <c r="N554"/>
      <c r="O554"/>
    </row>
    <row r="555" spans="1:15" ht="14.4">
      <c r="A555"/>
      <c r="B555"/>
      <c r="C555"/>
      <c r="D555"/>
      <c r="E555"/>
      <c r="F555"/>
      <c r="G555"/>
      <c r="H555"/>
      <c r="I555"/>
      <c r="J555"/>
      <c r="K555"/>
      <c r="L555"/>
      <c r="M555"/>
      <c r="N555"/>
      <c r="O555"/>
    </row>
    <row r="556" spans="1:15" ht="14.4">
      <c r="A556"/>
      <c r="B556"/>
      <c r="C556"/>
      <c r="D556"/>
      <c r="E556"/>
      <c r="F556"/>
      <c r="G556"/>
      <c r="H556"/>
      <c r="I556"/>
      <c r="J556"/>
      <c r="K556"/>
      <c r="L556"/>
      <c r="M556"/>
      <c r="N556"/>
      <c r="O556"/>
    </row>
    <row r="557" spans="1:15" ht="14.4">
      <c r="A557"/>
      <c r="B557"/>
      <c r="C557"/>
      <c r="D557"/>
      <c r="E557"/>
      <c r="F557"/>
      <c r="G557"/>
      <c r="H557"/>
      <c r="I557"/>
      <c r="J557"/>
      <c r="K557"/>
      <c r="L557"/>
      <c r="M557"/>
      <c r="N557"/>
      <c r="O557"/>
    </row>
    <row r="558" spans="1:15" ht="14.4">
      <c r="A558"/>
      <c r="B558"/>
      <c r="C558"/>
      <c r="D558"/>
      <c r="E558"/>
      <c r="F558"/>
      <c r="G558"/>
      <c r="H558"/>
      <c r="I558"/>
      <c r="J558"/>
      <c r="K558"/>
      <c r="L558"/>
      <c r="M558"/>
      <c r="N558"/>
      <c r="O558"/>
    </row>
    <row r="559" spans="1:15" ht="14.4">
      <c r="A559"/>
      <c r="B559"/>
      <c r="C559"/>
      <c r="D559"/>
      <c r="E559"/>
      <c r="F559"/>
      <c r="G559"/>
      <c r="H559"/>
      <c r="I559"/>
      <c r="J559"/>
      <c r="K559"/>
      <c r="L559"/>
      <c r="M559"/>
      <c r="N559"/>
      <c r="O559"/>
    </row>
    <row r="560" spans="1:15" ht="14.4">
      <c r="A560"/>
      <c r="B560"/>
      <c r="C560"/>
      <c r="D560"/>
      <c r="E560"/>
      <c r="F560"/>
      <c r="G560"/>
      <c r="H560"/>
      <c r="I560"/>
      <c r="J560"/>
      <c r="K560"/>
      <c r="L560"/>
      <c r="M560"/>
      <c r="N560"/>
      <c r="O560"/>
    </row>
    <row r="561" spans="1:15" ht="14.4">
      <c r="A561"/>
      <c r="B561"/>
      <c r="C561"/>
      <c r="D561"/>
      <c r="E561"/>
      <c r="F561"/>
      <c r="G561"/>
      <c r="H561"/>
      <c r="I561"/>
      <c r="J561"/>
      <c r="K561"/>
      <c r="L561"/>
      <c r="M561"/>
      <c r="N561"/>
      <c r="O561"/>
    </row>
    <row r="562" spans="1:15" ht="14.4">
      <c r="A562"/>
      <c r="B562"/>
      <c r="C562"/>
      <c r="D562"/>
      <c r="E562"/>
      <c r="F562"/>
      <c r="G562"/>
      <c r="H562"/>
      <c r="I562"/>
      <c r="J562"/>
      <c r="K562"/>
      <c r="L562"/>
      <c r="M562"/>
      <c r="N562"/>
      <c r="O562"/>
    </row>
    <row r="563" spans="1:15" ht="14.4">
      <c r="A563"/>
      <c r="B563"/>
      <c r="C563"/>
      <c r="D563"/>
      <c r="E563"/>
      <c r="F563"/>
      <c r="G563"/>
      <c r="H563"/>
      <c r="I563"/>
      <c r="J563"/>
      <c r="K563"/>
      <c r="L563"/>
      <c r="M563"/>
      <c r="N563"/>
      <c r="O563"/>
    </row>
    <row r="564" spans="1:15" ht="14.4">
      <c r="A564"/>
      <c r="B564"/>
      <c r="C564"/>
      <c r="D564"/>
      <c r="E564"/>
      <c r="F564"/>
      <c r="G564"/>
      <c r="H564"/>
      <c r="I564"/>
      <c r="J564"/>
      <c r="K564"/>
      <c r="L564"/>
      <c r="M564"/>
      <c r="N564"/>
      <c r="O564"/>
    </row>
    <row r="565" spans="1:15" ht="14.4">
      <c r="A565"/>
      <c r="B565"/>
      <c r="C565"/>
      <c r="D565"/>
      <c r="E565"/>
      <c r="F565"/>
      <c r="G565"/>
      <c r="H565"/>
      <c r="I565"/>
      <c r="J565"/>
      <c r="K565"/>
      <c r="L565"/>
      <c r="M565"/>
      <c r="N565"/>
      <c r="O565"/>
    </row>
    <row r="566" spans="1:15" ht="14.4">
      <c r="A566"/>
      <c r="B566"/>
      <c r="C566"/>
      <c r="D566"/>
      <c r="E566"/>
      <c r="F566"/>
      <c r="G566"/>
      <c r="H566"/>
      <c r="I566"/>
      <c r="J566"/>
      <c r="K566"/>
      <c r="L566"/>
      <c r="M566"/>
      <c r="N566"/>
      <c r="O566"/>
    </row>
    <row r="567" spans="1:15" ht="14.4">
      <c r="A567"/>
      <c r="B567"/>
      <c r="C567"/>
      <c r="D567"/>
      <c r="E567"/>
      <c r="F567"/>
      <c r="G567"/>
      <c r="H567"/>
      <c r="I567"/>
      <c r="J567"/>
      <c r="K567"/>
      <c r="L567"/>
      <c r="M567"/>
      <c r="N567"/>
      <c r="O567"/>
    </row>
    <row r="568" spans="1:15" ht="14.4">
      <c r="A568"/>
      <c r="B568"/>
      <c r="C568"/>
      <c r="D568"/>
      <c r="E568"/>
      <c r="F568"/>
      <c r="G568"/>
      <c r="H568"/>
      <c r="I568"/>
      <c r="J568"/>
      <c r="K568"/>
      <c r="L568"/>
      <c r="M568"/>
      <c r="N568"/>
      <c r="O568"/>
    </row>
    <row r="569" spans="1:15" ht="14.4">
      <c r="A569"/>
      <c r="B569"/>
      <c r="C569"/>
      <c r="D569"/>
      <c r="E569"/>
      <c r="F569"/>
      <c r="G569"/>
      <c r="H569"/>
      <c r="I569"/>
      <c r="J569"/>
      <c r="K569"/>
      <c r="L569"/>
      <c r="M569"/>
      <c r="N569"/>
      <c r="O569"/>
    </row>
    <row r="570" spans="1:15" ht="14.4">
      <c r="A570"/>
      <c r="B570"/>
      <c r="C570"/>
      <c r="D570"/>
      <c r="E570"/>
      <c r="F570"/>
      <c r="G570"/>
      <c r="H570"/>
      <c r="I570"/>
      <c r="J570"/>
      <c r="K570"/>
      <c r="L570"/>
      <c r="M570"/>
      <c r="N570"/>
      <c r="O570"/>
    </row>
    <row r="571" spans="1:15" ht="14.4">
      <c r="A571"/>
      <c r="B571"/>
      <c r="C571"/>
      <c r="D571"/>
      <c r="E571"/>
      <c r="F571"/>
      <c r="G571"/>
      <c r="H571"/>
      <c r="I571"/>
      <c r="J571"/>
      <c r="K571"/>
      <c r="L571"/>
      <c r="M571"/>
      <c r="N571"/>
      <c r="O571"/>
    </row>
    <row r="572" spans="1:15" ht="14.4">
      <c r="A572"/>
      <c r="B572"/>
      <c r="C572"/>
      <c r="D572"/>
      <c r="E572"/>
      <c r="F572"/>
      <c r="G572"/>
      <c r="H572"/>
      <c r="I572"/>
      <c r="J572"/>
      <c r="K572"/>
      <c r="L572"/>
      <c r="M572"/>
      <c r="N572"/>
      <c r="O572"/>
    </row>
    <row r="573" spans="1:15" ht="14.4">
      <c r="A573"/>
      <c r="B573"/>
      <c r="C573"/>
      <c r="D573"/>
      <c r="E573"/>
      <c r="F573"/>
      <c r="G573"/>
      <c r="H573"/>
      <c r="I573"/>
      <c r="J573"/>
      <c r="K573"/>
      <c r="L573"/>
      <c r="M573"/>
      <c r="N573"/>
      <c r="O573"/>
    </row>
    <row r="574" spans="1:15" ht="14.4">
      <c r="A574"/>
      <c r="B574"/>
      <c r="C574"/>
      <c r="D574"/>
      <c r="E574"/>
      <c r="F574"/>
      <c r="G574"/>
      <c r="H574"/>
      <c r="I574"/>
      <c r="J574"/>
      <c r="K574"/>
      <c r="L574"/>
      <c r="M574"/>
      <c r="N574"/>
      <c r="O574"/>
    </row>
    <row r="575" spans="1:15" ht="14.4">
      <c r="A575"/>
      <c r="B575"/>
      <c r="C575"/>
      <c r="D575"/>
      <c r="E575"/>
      <c r="F575"/>
      <c r="G575"/>
      <c r="H575"/>
      <c r="I575"/>
      <c r="J575"/>
      <c r="K575"/>
      <c r="L575"/>
      <c r="M575"/>
      <c r="N575"/>
      <c r="O575"/>
    </row>
    <row r="576" spans="1:15" ht="14.4">
      <c r="A576"/>
      <c r="B576"/>
      <c r="C576"/>
      <c r="D576"/>
      <c r="E576"/>
      <c r="F576"/>
      <c r="G576"/>
      <c r="H576"/>
      <c r="I576"/>
      <c r="J576"/>
      <c r="K576"/>
      <c r="L576"/>
      <c r="M576"/>
      <c r="N576"/>
      <c r="O576"/>
    </row>
    <row r="577" spans="1:15" ht="14.4">
      <c r="A577"/>
      <c r="B577"/>
      <c r="C577"/>
      <c r="D577"/>
      <c r="E577"/>
      <c r="F577"/>
      <c r="G577"/>
      <c r="H577"/>
      <c r="I577"/>
      <c r="J577"/>
      <c r="K577"/>
      <c r="L577"/>
      <c r="M577"/>
      <c r="N577"/>
      <c r="O577"/>
    </row>
    <row r="578" spans="1:15" ht="14.4">
      <c r="A578"/>
      <c r="B578"/>
      <c r="C578"/>
      <c r="D578"/>
      <c r="E578"/>
      <c r="F578"/>
      <c r="G578"/>
      <c r="H578"/>
      <c r="I578"/>
      <c r="J578"/>
      <c r="K578"/>
      <c r="L578"/>
      <c r="M578"/>
      <c r="N578"/>
      <c r="O578"/>
    </row>
    <row r="579" spans="1:15" ht="14.4">
      <c r="A579"/>
      <c r="B579"/>
      <c r="C579"/>
      <c r="D579"/>
      <c r="E579"/>
      <c r="F579"/>
      <c r="G579"/>
      <c r="H579"/>
      <c r="I579"/>
      <c r="J579"/>
      <c r="K579"/>
      <c r="L579"/>
      <c r="M579"/>
      <c r="N579"/>
      <c r="O579"/>
    </row>
    <row r="580" spans="1:15" ht="14.4">
      <c r="A580"/>
      <c r="B580"/>
      <c r="C580"/>
      <c r="D580"/>
      <c r="E580"/>
      <c r="F580"/>
      <c r="G580"/>
      <c r="H580"/>
      <c r="I580"/>
      <c r="J580"/>
      <c r="K580"/>
      <c r="L580"/>
      <c r="M580"/>
      <c r="N580"/>
      <c r="O580"/>
    </row>
    <row r="581" spans="1:15" ht="14.4">
      <c r="A581"/>
      <c r="B581"/>
      <c r="C581"/>
      <c r="D581"/>
      <c r="E581"/>
      <c r="F581"/>
      <c r="G581"/>
      <c r="H581"/>
      <c r="I581"/>
      <c r="J581"/>
      <c r="K581"/>
      <c r="L581"/>
      <c r="M581"/>
      <c r="N581"/>
      <c r="O581"/>
    </row>
    <row r="582" spans="1:15" ht="14.4">
      <c r="A582"/>
      <c r="B582"/>
      <c r="C582"/>
      <c r="D582"/>
      <c r="E582"/>
      <c r="F582"/>
      <c r="G582"/>
      <c r="H582"/>
      <c r="I582"/>
      <c r="J582"/>
      <c r="K582"/>
      <c r="L582"/>
      <c r="M582"/>
      <c r="N582"/>
      <c r="O582"/>
    </row>
    <row r="583" spans="1:15" ht="14.4">
      <c r="A583"/>
      <c r="B583"/>
      <c r="C583"/>
      <c r="D583"/>
      <c r="E583"/>
      <c r="F583"/>
      <c r="G583"/>
      <c r="H583"/>
      <c r="I583"/>
      <c r="J583"/>
      <c r="K583"/>
      <c r="L583"/>
      <c r="M583"/>
      <c r="N583"/>
      <c r="O583"/>
    </row>
    <row r="584" spans="1:15" ht="14.4">
      <c r="A584"/>
      <c r="B584"/>
      <c r="C584"/>
      <c r="D584"/>
      <c r="E584"/>
      <c r="F584"/>
      <c r="G584"/>
      <c r="H584"/>
      <c r="I584"/>
      <c r="J584"/>
      <c r="K584"/>
      <c r="L584"/>
      <c r="M584"/>
      <c r="N584"/>
      <c r="O584"/>
    </row>
    <row r="585" spans="1:15" ht="14.4">
      <c r="A585"/>
      <c r="B585"/>
      <c r="C585"/>
      <c r="D585"/>
      <c r="E585"/>
      <c r="F585"/>
      <c r="G585"/>
      <c r="H585"/>
      <c r="I585"/>
      <c r="J585"/>
      <c r="K585"/>
      <c r="L585"/>
      <c r="M585"/>
      <c r="N585"/>
      <c r="O585"/>
    </row>
    <row r="586" spans="1:15" ht="14.4">
      <c r="A586"/>
      <c r="B586"/>
      <c r="C586"/>
      <c r="D586"/>
      <c r="E586"/>
      <c r="F586"/>
      <c r="G586"/>
      <c r="H586"/>
      <c r="I586"/>
      <c r="J586"/>
      <c r="K586"/>
      <c r="L586"/>
      <c r="M586"/>
      <c r="N586"/>
      <c r="O586"/>
    </row>
    <row r="587" spans="1:15" ht="14.4">
      <c r="A587"/>
      <c r="B587"/>
      <c r="C587"/>
      <c r="D587"/>
      <c r="E587"/>
      <c r="F587"/>
      <c r="G587"/>
      <c r="H587"/>
      <c r="I587"/>
      <c r="J587"/>
      <c r="K587"/>
      <c r="L587"/>
      <c r="M587"/>
      <c r="N587"/>
      <c r="O587"/>
    </row>
    <row r="588" spans="1:15" ht="14.4">
      <c r="A588"/>
      <c r="B588"/>
      <c r="C588"/>
      <c r="D588"/>
      <c r="E588"/>
      <c r="F588"/>
      <c r="G588"/>
      <c r="H588"/>
      <c r="I588"/>
      <c r="J588"/>
      <c r="K588"/>
      <c r="L588"/>
      <c r="M588"/>
      <c r="N588"/>
      <c r="O588"/>
    </row>
    <row r="589" spans="1:15" ht="14.4">
      <c r="A589"/>
      <c r="B589"/>
      <c r="C589"/>
      <c r="D589"/>
      <c r="E589"/>
      <c r="F589"/>
      <c r="G589"/>
      <c r="H589"/>
      <c r="I589"/>
      <c r="J589"/>
      <c r="K589"/>
      <c r="L589"/>
      <c r="M589"/>
      <c r="N589"/>
      <c r="O589"/>
    </row>
    <row r="590" spans="1:15" ht="14.4">
      <c r="A590"/>
      <c r="B590"/>
      <c r="C590"/>
      <c r="D590"/>
      <c r="E590"/>
      <c r="F590"/>
      <c r="G590"/>
      <c r="H590"/>
      <c r="I590"/>
      <c r="J590"/>
      <c r="K590"/>
      <c r="L590"/>
      <c r="M590"/>
      <c r="N590"/>
      <c r="O590"/>
    </row>
    <row r="591" spans="1:15" ht="14.4">
      <c r="A591"/>
      <c r="B591"/>
      <c r="C591"/>
      <c r="D591"/>
      <c r="E591"/>
      <c r="F591"/>
      <c r="G591"/>
      <c r="H591"/>
      <c r="I591"/>
      <c r="J591"/>
      <c r="K591"/>
      <c r="L591"/>
      <c r="M591"/>
      <c r="N591"/>
      <c r="O591"/>
    </row>
    <row r="592" spans="1:15" ht="14.4">
      <c r="A592"/>
      <c r="B592"/>
      <c r="C592"/>
      <c r="D592"/>
      <c r="E592"/>
      <c r="F592"/>
      <c r="G592"/>
      <c r="H592"/>
      <c r="I592"/>
      <c r="J592"/>
      <c r="K592"/>
      <c r="L592"/>
      <c r="M592"/>
      <c r="N592"/>
      <c r="O592"/>
    </row>
    <row r="593" spans="1:15" ht="14.4">
      <c r="A593"/>
      <c r="B593"/>
      <c r="C593"/>
      <c r="D593"/>
      <c r="E593"/>
      <c r="F593"/>
      <c r="G593"/>
      <c r="H593"/>
      <c r="I593"/>
      <c r="J593"/>
      <c r="K593"/>
      <c r="L593"/>
      <c r="M593"/>
      <c r="N593"/>
      <c r="O593"/>
    </row>
    <row r="594" spans="1:15" ht="14.4">
      <c r="A594"/>
      <c r="B594"/>
      <c r="C594"/>
      <c r="D594"/>
      <c r="E594"/>
      <c r="F594"/>
      <c r="G594"/>
      <c r="H594"/>
      <c r="I594"/>
      <c r="J594"/>
      <c r="K594"/>
      <c r="L594"/>
      <c r="M594"/>
      <c r="N594"/>
      <c r="O594"/>
    </row>
    <row r="595" spans="1:15" ht="14.4">
      <c r="A595"/>
      <c r="B595"/>
      <c r="C595"/>
      <c r="D595"/>
      <c r="E595"/>
      <c r="F595"/>
      <c r="G595"/>
      <c r="H595"/>
      <c r="I595"/>
      <c r="J595"/>
      <c r="K595"/>
      <c r="L595"/>
      <c r="M595"/>
      <c r="N595"/>
      <c r="O595"/>
    </row>
    <row r="596" spans="1:15" ht="14.4">
      <c r="A596"/>
      <c r="B596"/>
      <c r="C596"/>
      <c r="D596"/>
      <c r="E596"/>
      <c r="F596"/>
      <c r="G596"/>
      <c r="H596"/>
      <c r="I596"/>
      <c r="J596"/>
      <c r="K596"/>
      <c r="L596"/>
      <c r="M596"/>
      <c r="N596"/>
      <c r="O596"/>
    </row>
    <row r="597" spans="1:15" ht="14.4">
      <c r="A597"/>
      <c r="B597"/>
      <c r="C597"/>
      <c r="D597"/>
      <c r="E597"/>
      <c r="F597"/>
      <c r="G597"/>
      <c r="H597"/>
      <c r="I597"/>
      <c r="J597"/>
      <c r="K597"/>
      <c r="L597"/>
      <c r="M597"/>
      <c r="N597"/>
      <c r="O597"/>
    </row>
    <row r="598" spans="1:15" ht="14.4">
      <c r="A598"/>
      <c r="B598"/>
      <c r="C598"/>
      <c r="D598"/>
      <c r="E598"/>
      <c r="F598"/>
      <c r="G598"/>
      <c r="H598"/>
      <c r="I598"/>
      <c r="J598"/>
      <c r="K598"/>
      <c r="L598"/>
      <c r="M598"/>
      <c r="N598"/>
      <c r="O598"/>
    </row>
    <row r="599" spans="1:15" ht="14.4">
      <c r="A599"/>
      <c r="B599"/>
      <c r="C599"/>
      <c r="D599"/>
      <c r="E599"/>
      <c r="F599"/>
      <c r="G599"/>
      <c r="H599"/>
      <c r="I599"/>
      <c r="J599"/>
      <c r="K599"/>
      <c r="L599"/>
      <c r="M599"/>
      <c r="N599"/>
      <c r="O599"/>
    </row>
    <row r="600" spans="1:15" ht="14.4">
      <c r="A600"/>
      <c r="B600"/>
      <c r="C600"/>
      <c r="D600"/>
      <c r="E600"/>
      <c r="F600"/>
      <c r="G600"/>
      <c r="H600"/>
      <c r="I600"/>
      <c r="J600"/>
      <c r="K600"/>
      <c r="L600"/>
      <c r="M600"/>
      <c r="N600"/>
      <c r="O600"/>
    </row>
    <row r="601" spans="1:15" ht="14.4">
      <c r="A601"/>
      <c r="B601"/>
      <c r="C601"/>
      <c r="D601"/>
      <c r="E601"/>
      <c r="F601"/>
      <c r="G601"/>
      <c r="H601"/>
      <c r="I601"/>
      <c r="J601"/>
      <c r="K601"/>
      <c r="L601"/>
      <c r="M601"/>
      <c r="N601"/>
      <c r="O601"/>
    </row>
    <row r="602" spans="1:15" ht="14.4">
      <c r="A602"/>
      <c r="B602"/>
      <c r="C602"/>
      <c r="D602"/>
      <c r="E602"/>
      <c r="F602"/>
      <c r="G602"/>
      <c r="H602"/>
      <c r="I602"/>
      <c r="J602"/>
      <c r="K602"/>
      <c r="L602"/>
      <c r="M602"/>
      <c r="N602"/>
      <c r="O602"/>
    </row>
    <row r="603" spans="1:15" ht="14.4">
      <c r="A603"/>
      <c r="B603"/>
      <c r="C603"/>
      <c r="D603"/>
      <c r="E603"/>
      <c r="F603"/>
      <c r="G603"/>
      <c r="H603"/>
      <c r="I603"/>
      <c r="J603"/>
      <c r="K603"/>
      <c r="L603"/>
      <c r="M603"/>
      <c r="N603"/>
      <c r="O603"/>
    </row>
    <row r="604" spans="1:15" ht="14.4">
      <c r="A604"/>
      <c r="B604"/>
      <c r="C604"/>
      <c r="D604"/>
      <c r="E604"/>
      <c r="F604"/>
      <c r="G604"/>
      <c r="H604"/>
      <c r="I604"/>
      <c r="J604"/>
      <c r="K604"/>
      <c r="L604"/>
      <c r="M604"/>
      <c r="N604"/>
      <c r="O604"/>
    </row>
    <row r="605" spans="1:15" ht="14.4">
      <c r="A605"/>
      <c r="B605"/>
      <c r="C605"/>
      <c r="D605"/>
      <c r="E605"/>
      <c r="F605"/>
      <c r="G605"/>
      <c r="H605"/>
      <c r="I605"/>
      <c r="J605"/>
      <c r="K605"/>
      <c r="L605"/>
      <c r="M605"/>
      <c r="N605"/>
      <c r="O605"/>
    </row>
    <row r="606" spans="1:15" ht="14.4">
      <c r="A606"/>
      <c r="B606"/>
      <c r="C606"/>
      <c r="D606"/>
      <c r="E606"/>
      <c r="F606"/>
      <c r="G606"/>
      <c r="H606"/>
      <c r="I606"/>
      <c r="J606"/>
      <c r="K606"/>
      <c r="L606"/>
      <c r="M606"/>
      <c r="N606"/>
      <c r="O606"/>
    </row>
    <row r="607" spans="1:15" ht="14.4">
      <c r="A607"/>
      <c r="B607"/>
      <c r="C607"/>
      <c r="D607"/>
      <c r="E607"/>
      <c r="F607"/>
      <c r="G607"/>
      <c r="H607"/>
      <c r="I607"/>
      <c r="J607"/>
      <c r="K607"/>
      <c r="L607"/>
      <c r="M607"/>
      <c r="N607"/>
      <c r="O607"/>
    </row>
    <row r="608" spans="1:15" ht="14.4">
      <c r="A608"/>
      <c r="B608"/>
      <c r="C608"/>
      <c r="D608"/>
      <c r="E608"/>
      <c r="F608"/>
      <c r="G608"/>
      <c r="H608"/>
      <c r="I608"/>
      <c r="J608"/>
      <c r="K608"/>
      <c r="L608"/>
      <c r="M608"/>
      <c r="N608"/>
      <c r="O608"/>
    </row>
    <row r="609" spans="1:15" ht="14.4">
      <c r="A609"/>
      <c r="B609"/>
      <c r="C609"/>
      <c r="D609"/>
      <c r="E609"/>
      <c r="F609"/>
      <c r="G609"/>
      <c r="H609"/>
      <c r="I609"/>
      <c r="J609"/>
      <c r="K609"/>
      <c r="L609"/>
      <c r="M609"/>
      <c r="N609"/>
      <c r="O609"/>
    </row>
    <row r="610" spans="1:15" ht="14.4">
      <c r="A610"/>
      <c r="B610"/>
      <c r="C610"/>
      <c r="D610"/>
      <c r="E610"/>
      <c r="F610"/>
      <c r="G610"/>
      <c r="H610"/>
      <c r="I610"/>
      <c r="J610"/>
      <c r="K610"/>
      <c r="L610"/>
      <c r="M610"/>
      <c r="N610"/>
      <c r="O610"/>
    </row>
    <row r="611" spans="1:15" ht="14.4">
      <c r="A611"/>
      <c r="B611"/>
      <c r="C611"/>
      <c r="D611"/>
      <c r="E611"/>
      <c r="F611"/>
      <c r="G611"/>
      <c r="H611"/>
      <c r="I611"/>
      <c r="J611"/>
      <c r="K611"/>
      <c r="L611"/>
      <c r="M611"/>
      <c r="N611"/>
      <c r="O611"/>
    </row>
    <row r="612" spans="1:15" ht="14.4">
      <c r="A612"/>
      <c r="B612"/>
      <c r="C612"/>
      <c r="D612"/>
      <c r="E612"/>
      <c r="F612"/>
      <c r="G612"/>
      <c r="H612"/>
      <c r="I612"/>
      <c r="J612"/>
      <c r="K612"/>
      <c r="L612"/>
      <c r="M612"/>
      <c r="N612"/>
      <c r="O612"/>
    </row>
    <row r="613" spans="1:15" ht="14.4">
      <c r="A613"/>
      <c r="B613"/>
      <c r="C613"/>
      <c r="D613"/>
      <c r="E613"/>
      <c r="F613"/>
      <c r="G613"/>
      <c r="H613"/>
      <c r="I613"/>
      <c r="J613"/>
      <c r="K613"/>
      <c r="L613"/>
      <c r="M613"/>
      <c r="N613"/>
      <c r="O613"/>
    </row>
    <row r="614" spans="1:15" ht="14.4">
      <c r="A614"/>
      <c r="B614"/>
      <c r="C614"/>
      <c r="D614"/>
      <c r="E614"/>
      <c r="F614"/>
      <c r="G614"/>
      <c r="H614"/>
      <c r="I614"/>
      <c r="J614"/>
      <c r="K614"/>
      <c r="L614"/>
      <c r="M614"/>
      <c r="N614"/>
      <c r="O614"/>
    </row>
    <row r="615" spans="1:15" ht="14.4">
      <c r="A615"/>
      <c r="B615"/>
      <c r="C615"/>
      <c r="D615"/>
      <c r="E615"/>
      <c r="F615"/>
      <c r="G615"/>
      <c r="H615"/>
      <c r="I615"/>
      <c r="J615"/>
      <c r="K615"/>
      <c r="L615"/>
      <c r="M615"/>
      <c r="N615"/>
      <c r="O615"/>
    </row>
    <row r="616" spans="1:15" ht="14.4">
      <c r="A616"/>
      <c r="B616"/>
      <c r="C616"/>
      <c r="D616"/>
      <c r="E616"/>
      <c r="F616"/>
      <c r="G616"/>
      <c r="H616"/>
      <c r="I616"/>
      <c r="J616"/>
      <c r="K616"/>
      <c r="L616"/>
      <c r="M616"/>
      <c r="N616"/>
      <c r="O616"/>
    </row>
    <row r="617" spans="1:15" ht="14.4">
      <c r="A617"/>
      <c r="B617"/>
      <c r="C617"/>
      <c r="D617"/>
      <c r="E617"/>
      <c r="F617"/>
      <c r="G617"/>
      <c r="H617"/>
      <c r="I617"/>
      <c r="J617"/>
      <c r="K617"/>
      <c r="L617"/>
      <c r="M617"/>
      <c r="N617"/>
      <c r="O617"/>
    </row>
    <row r="618" spans="1:15" ht="14.4">
      <c r="A618"/>
      <c r="B618"/>
      <c r="C618"/>
      <c r="D618"/>
      <c r="E618"/>
      <c r="F618"/>
      <c r="G618"/>
      <c r="H618"/>
      <c r="I618"/>
      <c r="J618"/>
      <c r="K618"/>
      <c r="L618"/>
      <c r="M618"/>
      <c r="N618"/>
      <c r="O618"/>
    </row>
    <row r="619" spans="1:15" ht="14.4">
      <c r="A619"/>
      <c r="B619"/>
      <c r="C619"/>
      <c r="D619"/>
      <c r="E619"/>
      <c r="F619"/>
      <c r="G619"/>
      <c r="H619"/>
      <c r="I619"/>
      <c r="J619"/>
      <c r="K619"/>
      <c r="L619"/>
      <c r="M619"/>
      <c r="N619"/>
      <c r="O619"/>
    </row>
    <row r="620" spans="1:15" ht="14.4">
      <c r="A620"/>
      <c r="B620"/>
      <c r="C620"/>
      <c r="D620"/>
      <c r="E620"/>
      <c r="F620"/>
      <c r="G620"/>
      <c r="H620"/>
      <c r="I620"/>
      <c r="J620"/>
      <c r="K620"/>
      <c r="L620"/>
      <c r="M620"/>
      <c r="N620"/>
      <c r="O620"/>
    </row>
    <row r="621" spans="1:15" ht="14.4">
      <c r="A621"/>
      <c r="B621"/>
      <c r="C621"/>
      <c r="D621"/>
      <c r="E621"/>
      <c r="F621"/>
      <c r="G621"/>
      <c r="H621"/>
      <c r="I621"/>
      <c r="J621"/>
      <c r="K621"/>
      <c r="L621"/>
      <c r="M621"/>
      <c r="N621"/>
      <c r="O621"/>
    </row>
    <row r="622" spans="1:15" ht="14.4">
      <c r="A622"/>
      <c r="B622"/>
      <c r="C622"/>
      <c r="D622"/>
      <c r="E622"/>
      <c r="F622"/>
      <c r="G622"/>
      <c r="H622"/>
      <c r="I622"/>
      <c r="J622"/>
      <c r="K622"/>
      <c r="L622"/>
      <c r="M622"/>
      <c r="N622"/>
      <c r="O622"/>
    </row>
    <row r="623" spans="1:15" ht="14.4">
      <c r="A623"/>
      <c r="B623"/>
      <c r="C623"/>
      <c r="D623"/>
      <c r="E623"/>
      <c r="F623"/>
      <c r="G623"/>
      <c r="H623"/>
      <c r="I623"/>
      <c r="J623"/>
      <c r="K623"/>
      <c r="L623"/>
      <c r="M623"/>
      <c r="N623"/>
      <c r="O623"/>
    </row>
    <row r="624" spans="1:15" ht="14.4">
      <c r="A624"/>
      <c r="B624"/>
      <c r="C624"/>
      <c r="D624"/>
      <c r="E624"/>
      <c r="F624"/>
      <c r="G624"/>
      <c r="H624"/>
      <c r="I624"/>
      <c r="J624"/>
      <c r="K624"/>
      <c r="L624"/>
      <c r="M624"/>
      <c r="N624"/>
      <c r="O624"/>
    </row>
    <row r="625" spans="1:15" ht="14.4">
      <c r="A625"/>
      <c r="B625"/>
      <c r="C625"/>
      <c r="D625"/>
      <c r="E625"/>
      <c r="F625"/>
      <c r="G625"/>
      <c r="H625"/>
      <c r="I625"/>
      <c r="J625"/>
      <c r="K625"/>
      <c r="L625"/>
      <c r="M625"/>
      <c r="N625"/>
      <c r="O625"/>
    </row>
    <row r="626" spans="1:15" ht="14.4">
      <c r="A626"/>
      <c r="B626"/>
      <c r="C626"/>
      <c r="D626"/>
      <c r="E626"/>
      <c r="F626"/>
      <c r="G626"/>
      <c r="H626"/>
      <c r="I626"/>
      <c r="J626"/>
      <c r="K626"/>
      <c r="L626"/>
      <c r="M626"/>
      <c r="N626"/>
      <c r="O626"/>
    </row>
    <row r="627" spans="1:15" ht="14.4">
      <c r="A627"/>
      <c r="B627"/>
      <c r="C627"/>
      <c r="D627"/>
      <c r="E627"/>
      <c r="F627"/>
      <c r="G627"/>
      <c r="H627"/>
      <c r="I627"/>
      <c r="J627"/>
      <c r="K627"/>
      <c r="L627"/>
      <c r="M627"/>
      <c r="N627"/>
      <c r="O627"/>
    </row>
    <row r="628" spans="1:15" ht="14.4">
      <c r="A628"/>
      <c r="B628"/>
      <c r="C628"/>
      <c r="D628"/>
      <c r="E628"/>
      <c r="F628"/>
      <c r="G628"/>
      <c r="H628"/>
      <c r="I628"/>
      <c r="J628"/>
      <c r="K628"/>
      <c r="L628"/>
      <c r="M628"/>
      <c r="N628"/>
      <c r="O628"/>
    </row>
    <row r="629" spans="1:15" ht="14.4">
      <c r="A629"/>
      <c r="B629"/>
      <c r="C629"/>
      <c r="D629"/>
      <c r="E629"/>
      <c r="F629"/>
      <c r="G629"/>
      <c r="H629"/>
      <c r="I629"/>
      <c r="J629"/>
      <c r="K629"/>
      <c r="L629"/>
      <c r="M629"/>
      <c r="N629"/>
      <c r="O629"/>
    </row>
    <row r="630" spans="1:15" ht="14.4">
      <c r="A630"/>
      <c r="B630"/>
      <c r="C630"/>
      <c r="D630"/>
      <c r="E630"/>
      <c r="F630"/>
      <c r="G630"/>
      <c r="H630"/>
      <c r="I630"/>
      <c r="J630"/>
      <c r="K630"/>
      <c r="L630"/>
      <c r="M630"/>
      <c r="N630"/>
      <c r="O630"/>
    </row>
    <row r="631" spans="1:15" ht="14.4">
      <c r="A631"/>
      <c r="B631"/>
      <c r="C631"/>
      <c r="D631"/>
      <c r="E631"/>
      <c r="F631"/>
      <c r="G631"/>
      <c r="H631"/>
      <c r="I631"/>
      <c r="J631"/>
      <c r="K631"/>
      <c r="L631"/>
      <c r="M631"/>
      <c r="N631"/>
      <c r="O631"/>
    </row>
    <row r="632" spans="1:15" ht="14.4">
      <c r="A632"/>
      <c r="B632"/>
      <c r="C632"/>
      <c r="D632"/>
      <c r="E632"/>
      <c r="F632"/>
      <c r="G632"/>
      <c r="H632"/>
      <c r="I632"/>
      <c r="J632"/>
      <c r="K632"/>
      <c r="L632"/>
      <c r="M632"/>
      <c r="N632"/>
      <c r="O632"/>
    </row>
    <row r="633" spans="1:15" ht="14.4">
      <c r="A633"/>
      <c r="B633"/>
      <c r="C633"/>
      <c r="D633"/>
      <c r="E633"/>
      <c r="F633"/>
      <c r="G633"/>
      <c r="H633"/>
      <c r="I633"/>
      <c r="J633"/>
      <c r="K633"/>
      <c r="L633"/>
      <c r="M633"/>
      <c r="N633"/>
      <c r="O633"/>
    </row>
    <row r="634" spans="1:15" ht="14.4">
      <c r="A634"/>
      <c r="B634"/>
      <c r="C634"/>
      <c r="D634"/>
      <c r="E634"/>
      <c r="F634"/>
      <c r="G634"/>
      <c r="H634"/>
      <c r="I634"/>
      <c r="J634"/>
      <c r="K634"/>
      <c r="L634"/>
      <c r="M634"/>
      <c r="N634"/>
      <c r="O634"/>
    </row>
    <row r="635" spans="1:15" ht="14.4">
      <c r="A635"/>
      <c r="B635"/>
      <c r="C635"/>
      <c r="D635"/>
      <c r="E635"/>
      <c r="F635"/>
      <c r="G635"/>
      <c r="H635"/>
      <c r="I635"/>
      <c r="J635"/>
      <c r="K635"/>
      <c r="L635"/>
      <c r="M635"/>
      <c r="N635"/>
      <c r="O635"/>
    </row>
    <row r="636" spans="1:15" ht="14.4">
      <c r="A636"/>
      <c r="B636"/>
      <c r="C636"/>
      <c r="D636"/>
      <c r="E636"/>
      <c r="F636"/>
      <c r="G636"/>
      <c r="H636"/>
      <c r="I636"/>
      <c r="J636"/>
      <c r="K636"/>
      <c r="L636"/>
      <c r="M636"/>
      <c r="N636"/>
      <c r="O636"/>
    </row>
    <row r="637" spans="1:15" ht="14.4">
      <c r="A637"/>
      <c r="B637"/>
      <c r="C637"/>
      <c r="D637"/>
      <c r="E637"/>
      <c r="F637"/>
      <c r="G637"/>
      <c r="H637"/>
      <c r="I637"/>
      <c r="J637"/>
      <c r="K637"/>
      <c r="L637"/>
      <c r="M637"/>
      <c r="N637"/>
      <c r="O637"/>
    </row>
    <row r="638" spans="1:15" ht="14.4">
      <c r="A638"/>
      <c r="B638"/>
      <c r="C638"/>
      <c r="D638"/>
      <c r="E638"/>
      <c r="F638"/>
      <c r="G638"/>
      <c r="H638"/>
      <c r="I638"/>
      <c r="J638"/>
      <c r="K638"/>
      <c r="L638"/>
      <c r="M638"/>
      <c r="N638"/>
      <c r="O638"/>
    </row>
    <row r="639" spans="1:15" ht="14.4">
      <c r="A639"/>
      <c r="B639"/>
      <c r="C639"/>
      <c r="D639"/>
      <c r="E639"/>
      <c r="F639"/>
      <c r="G639"/>
      <c r="H639"/>
      <c r="I639"/>
      <c r="J639"/>
      <c r="K639"/>
      <c r="L639"/>
      <c r="M639"/>
      <c r="N639"/>
      <c r="O639"/>
    </row>
    <row r="640" spans="1:15" ht="14.4">
      <c r="A640"/>
      <c r="B640"/>
      <c r="C640"/>
      <c r="D640"/>
      <c r="E640"/>
      <c r="F640"/>
      <c r="G640"/>
      <c r="H640"/>
      <c r="I640"/>
      <c r="J640"/>
      <c r="K640"/>
      <c r="L640"/>
      <c r="M640"/>
      <c r="N640"/>
      <c r="O640"/>
    </row>
    <row r="641" spans="1:15" ht="14.4">
      <c r="A641"/>
      <c r="B641"/>
      <c r="C641"/>
      <c r="D641"/>
      <c r="E641"/>
      <c r="F641"/>
      <c r="G641"/>
      <c r="H641"/>
      <c r="I641"/>
      <c r="J641"/>
      <c r="K641"/>
      <c r="L641"/>
      <c r="M641"/>
      <c r="N641"/>
      <c r="O641"/>
    </row>
    <row r="642" spans="1:15" ht="14.4">
      <c r="A642"/>
      <c r="B642"/>
      <c r="C642"/>
      <c r="D642"/>
      <c r="E642"/>
      <c r="F642"/>
      <c r="G642"/>
      <c r="H642"/>
      <c r="I642"/>
      <c r="J642"/>
      <c r="K642"/>
      <c r="L642"/>
      <c r="M642"/>
      <c r="N642"/>
      <c r="O642"/>
    </row>
    <row r="643" spans="1:15" ht="14.4">
      <c r="A643"/>
      <c r="B643"/>
      <c r="C643"/>
      <c r="D643"/>
      <c r="E643"/>
      <c r="F643"/>
      <c r="G643"/>
      <c r="H643"/>
      <c r="I643"/>
      <c r="J643"/>
      <c r="K643"/>
      <c r="L643"/>
      <c r="M643"/>
      <c r="N643"/>
      <c r="O643"/>
    </row>
    <row r="644" spans="1:15" ht="14.4">
      <c r="A644"/>
      <c r="B644"/>
      <c r="C644"/>
      <c r="D644"/>
      <c r="E644"/>
      <c r="F644"/>
      <c r="G644"/>
      <c r="H644"/>
      <c r="I644"/>
      <c r="J644"/>
      <c r="K644"/>
      <c r="L644"/>
      <c r="M644"/>
      <c r="N644"/>
      <c r="O644"/>
    </row>
    <row r="645" spans="1:15" ht="14.4">
      <c r="A645"/>
      <c r="B645"/>
      <c r="C645"/>
      <c r="D645"/>
      <c r="E645"/>
      <c r="F645"/>
      <c r="G645"/>
      <c r="H645"/>
      <c r="I645"/>
      <c r="J645"/>
      <c r="K645"/>
      <c r="L645"/>
      <c r="M645"/>
      <c r="N645"/>
      <c r="O645"/>
    </row>
    <row r="646" spans="1:15" ht="14.4">
      <c r="A646"/>
      <c r="B646"/>
      <c r="C646"/>
      <c r="D646"/>
      <c r="E646"/>
      <c r="F646"/>
      <c r="G646"/>
      <c r="H646"/>
      <c r="I646"/>
      <c r="J646"/>
      <c r="K646"/>
      <c r="L646"/>
      <c r="M646"/>
      <c r="N646"/>
      <c r="O646"/>
    </row>
    <row r="647" spans="1:15" ht="14.4">
      <c r="A647"/>
      <c r="B647"/>
      <c r="C647"/>
      <c r="D647"/>
      <c r="E647"/>
      <c r="F647"/>
      <c r="G647"/>
      <c r="H647"/>
      <c r="I647"/>
      <c r="J647"/>
      <c r="K647"/>
      <c r="L647"/>
      <c r="M647"/>
      <c r="N647"/>
      <c r="O647"/>
    </row>
    <row r="648" spans="1:15" ht="14.4">
      <c r="A648"/>
      <c r="B648"/>
      <c r="C648"/>
      <c r="D648"/>
      <c r="E648"/>
      <c r="F648"/>
      <c r="G648"/>
      <c r="H648"/>
      <c r="I648"/>
      <c r="J648"/>
      <c r="K648"/>
      <c r="L648"/>
      <c r="M648"/>
      <c r="N648"/>
      <c r="O648"/>
    </row>
    <row r="649" spans="1:15" ht="14.4">
      <c r="A649"/>
      <c r="B649"/>
      <c r="C649"/>
      <c r="D649"/>
      <c r="E649"/>
      <c r="F649"/>
      <c r="G649"/>
      <c r="H649"/>
      <c r="I649"/>
      <c r="J649"/>
      <c r="K649"/>
      <c r="L649"/>
      <c r="M649"/>
      <c r="N649"/>
      <c r="O649"/>
    </row>
    <row r="650" spans="1:15" ht="14.4">
      <c r="A650"/>
      <c r="B650"/>
      <c r="C650"/>
      <c r="D650"/>
      <c r="E650"/>
      <c r="F650"/>
      <c r="G650"/>
      <c r="H650"/>
      <c r="I650"/>
      <c r="J650"/>
      <c r="K650"/>
      <c r="L650"/>
      <c r="M650"/>
      <c r="N650"/>
      <c r="O650"/>
    </row>
    <row r="651" spans="1:15" ht="14.4">
      <c r="A651"/>
      <c r="B651"/>
      <c r="C651"/>
      <c r="D651"/>
      <c r="E651"/>
      <c r="F651"/>
      <c r="G651"/>
      <c r="H651"/>
      <c r="I651"/>
      <c r="J651"/>
      <c r="K651"/>
      <c r="L651"/>
      <c r="M651"/>
      <c r="N651"/>
      <c r="O651"/>
    </row>
    <row r="652" spans="1:15" ht="14.4">
      <c r="A652"/>
      <c r="B652"/>
      <c r="C652"/>
      <c r="D652"/>
      <c r="E652"/>
      <c r="F652"/>
      <c r="G652"/>
      <c r="H652"/>
      <c r="I652"/>
      <c r="J652"/>
      <c r="K652"/>
      <c r="L652"/>
      <c r="M652"/>
      <c r="N652"/>
      <c r="O652"/>
    </row>
    <row r="653" spans="1:15" ht="14.4">
      <c r="A653"/>
      <c r="B653"/>
      <c r="C653"/>
      <c r="D653"/>
      <c r="E653"/>
      <c r="F653"/>
      <c r="G653"/>
      <c r="H653"/>
      <c r="I653"/>
      <c r="J653"/>
      <c r="K653"/>
      <c r="L653"/>
      <c r="M653"/>
      <c r="N653"/>
      <c r="O653"/>
    </row>
    <row r="654" spans="1:15" ht="14.4">
      <c r="A654"/>
      <c r="B654"/>
      <c r="C654"/>
      <c r="D654"/>
      <c r="E654"/>
      <c r="F654"/>
      <c r="G654"/>
      <c r="H654"/>
      <c r="I654"/>
      <c r="J654"/>
      <c r="K654"/>
      <c r="L654"/>
      <c r="M654"/>
      <c r="N654"/>
      <c r="O654"/>
    </row>
    <row r="655" spans="1:15" ht="14.4">
      <c r="A655"/>
      <c r="B655"/>
      <c r="C655"/>
      <c r="D655"/>
      <c r="E655"/>
      <c r="F655"/>
      <c r="G655"/>
      <c r="H655"/>
      <c r="I655"/>
      <c r="J655"/>
      <c r="K655"/>
      <c r="L655"/>
      <c r="M655"/>
      <c r="N655"/>
      <c r="O655"/>
    </row>
    <row r="656" spans="1:15" ht="14.4">
      <c r="A656"/>
      <c r="B656"/>
      <c r="C656"/>
      <c r="D656"/>
      <c r="E656"/>
      <c r="F656"/>
      <c r="G656"/>
      <c r="H656"/>
      <c r="I656"/>
      <c r="J656"/>
      <c r="K656"/>
      <c r="L656"/>
      <c r="M656"/>
      <c r="N656"/>
      <c r="O656"/>
    </row>
    <row r="657" spans="1:15" ht="14.4">
      <c r="A657"/>
      <c r="B657"/>
      <c r="C657"/>
      <c r="D657"/>
      <c r="E657"/>
      <c r="F657"/>
      <c r="G657"/>
      <c r="H657"/>
      <c r="I657"/>
      <c r="J657"/>
      <c r="K657"/>
      <c r="L657"/>
      <c r="M657"/>
      <c r="N657"/>
      <c r="O657"/>
    </row>
    <row r="658" spans="1:15" ht="14.4">
      <c r="A658"/>
      <c r="B658"/>
      <c r="C658"/>
      <c r="D658"/>
      <c r="E658"/>
      <c r="F658"/>
      <c r="G658"/>
      <c r="H658"/>
      <c r="I658"/>
      <c r="J658"/>
      <c r="K658"/>
      <c r="L658"/>
      <c r="M658"/>
      <c r="N658"/>
      <c r="O658"/>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7DB5-9E82-42D8-802E-D473320082BF}">
  <dimension ref="A3:C46"/>
  <sheetViews>
    <sheetView zoomScale="115" zoomScaleNormal="115" workbookViewId="0">
      <selection activeCell="B8" sqref="B8"/>
    </sheetView>
  </sheetViews>
  <sheetFormatPr defaultColWidth="8.77734375" defaultRowHeight="10.199999999999999"/>
  <cols>
    <col min="1" max="1" width="23.5546875" style="915" bestFit="1" customWidth="1"/>
    <col min="2" max="2" width="23.21875" style="915" bestFit="1" customWidth="1"/>
    <col min="3" max="3" width="6.44140625" style="915" bestFit="1" customWidth="1"/>
    <col min="4" max="16384" width="8.77734375" style="915"/>
  </cols>
  <sheetData>
    <row r="3" spans="1:3">
      <c r="A3" s="997" t="s">
        <v>3853</v>
      </c>
      <c r="B3" s="997" t="s">
        <v>3861</v>
      </c>
      <c r="C3" s="997" t="s">
        <v>370</v>
      </c>
    </row>
    <row r="4" spans="1:3">
      <c r="A4" s="916" t="s">
        <v>3867</v>
      </c>
      <c r="B4" s="916" t="s">
        <v>53</v>
      </c>
      <c r="C4" s="916" t="s">
        <v>3868</v>
      </c>
    </row>
    <row r="5" spans="1:3">
      <c r="A5" s="916" t="s">
        <v>22</v>
      </c>
      <c r="B5" s="916" t="s">
        <v>22</v>
      </c>
      <c r="C5" s="916" t="s">
        <v>3868</v>
      </c>
    </row>
    <row r="6" spans="1:3">
      <c r="A6" s="916" t="s">
        <v>3875</v>
      </c>
      <c r="B6" s="916" t="s">
        <v>53</v>
      </c>
      <c r="C6" s="916" t="s">
        <v>3868</v>
      </c>
    </row>
    <row r="7" spans="1:3">
      <c r="A7" s="916" t="s">
        <v>408</v>
      </c>
      <c r="B7" s="916" t="s">
        <v>53</v>
      </c>
      <c r="C7" s="916" t="s">
        <v>3868</v>
      </c>
    </row>
    <row r="8" spans="1:3">
      <c r="A8" s="916" t="s">
        <v>3881</v>
      </c>
      <c r="B8" s="916" t="s">
        <v>52</v>
      </c>
      <c r="C8" s="916" t="s">
        <v>3868</v>
      </c>
    </row>
    <row r="9" spans="1:3">
      <c r="A9" s="916" t="s">
        <v>20</v>
      </c>
      <c r="B9" s="916" t="s">
        <v>52</v>
      </c>
      <c r="C9" s="916" t="s">
        <v>3868</v>
      </c>
    </row>
    <row r="10" spans="1:3">
      <c r="A10" s="916" t="s">
        <v>21</v>
      </c>
      <c r="B10" s="916" t="s">
        <v>21</v>
      </c>
      <c r="C10" s="916" t="s">
        <v>3868</v>
      </c>
    </row>
    <row r="11" spans="1:3">
      <c r="A11" s="916" t="s">
        <v>3891</v>
      </c>
      <c r="B11" s="916" t="s">
        <v>22</v>
      </c>
      <c r="C11" s="916" t="s">
        <v>3868</v>
      </c>
    </row>
    <row r="12" spans="1:3">
      <c r="A12" s="916" t="s">
        <v>411</v>
      </c>
      <c r="B12" s="916" t="s">
        <v>53</v>
      </c>
      <c r="C12" s="916" t="s">
        <v>3868</v>
      </c>
    </row>
    <row r="13" spans="1:3">
      <c r="A13" s="916" t="s">
        <v>3898</v>
      </c>
      <c r="B13" s="916" t="s">
        <v>53</v>
      </c>
      <c r="C13" s="916" t="s">
        <v>3868</v>
      </c>
    </row>
    <row r="14" spans="1:3">
      <c r="A14" s="916" t="s">
        <v>401</v>
      </c>
      <c r="B14" s="916" t="s">
        <v>53</v>
      </c>
      <c r="C14" s="916" t="s">
        <v>3868</v>
      </c>
    </row>
    <row r="15" spans="1:3">
      <c r="A15" s="916" t="s">
        <v>5044</v>
      </c>
      <c r="B15" s="916" t="s">
        <v>53</v>
      </c>
      <c r="C15" s="916" t="s">
        <v>3868</v>
      </c>
    </row>
    <row r="16" spans="1:3">
      <c r="A16" s="916" t="s">
        <v>3909</v>
      </c>
      <c r="B16" s="916" t="s">
        <v>53</v>
      </c>
      <c r="C16" s="916" t="s">
        <v>3868</v>
      </c>
    </row>
    <row r="17" spans="1:3">
      <c r="A17" s="916" t="s">
        <v>3906</v>
      </c>
      <c r="B17" s="916" t="s">
        <v>53</v>
      </c>
      <c r="C17" s="916" t="s">
        <v>3868</v>
      </c>
    </row>
    <row r="18" spans="1:3">
      <c r="A18" s="916" t="s">
        <v>3912</v>
      </c>
      <c r="B18" s="916" t="s">
        <v>267</v>
      </c>
      <c r="C18" s="916" t="s">
        <v>3868</v>
      </c>
    </row>
    <row r="19" spans="1:3">
      <c r="A19" s="916" t="s">
        <v>17</v>
      </c>
      <c r="B19" s="916" t="s">
        <v>64</v>
      </c>
      <c r="C19" s="916" t="s">
        <v>3868</v>
      </c>
    </row>
    <row r="20" spans="1:3">
      <c r="A20" s="916" t="s">
        <v>405</v>
      </c>
      <c r="B20" s="916" t="s">
        <v>54</v>
      </c>
      <c r="C20" s="916" t="s">
        <v>3868</v>
      </c>
    </row>
    <row r="21" spans="1:3">
      <c r="A21" s="916" t="s">
        <v>55</v>
      </c>
      <c r="B21" s="916" t="s">
        <v>55</v>
      </c>
      <c r="C21" s="916" t="s">
        <v>3868</v>
      </c>
    </row>
    <row r="22" spans="1:3">
      <c r="A22" s="916" t="s">
        <v>397</v>
      </c>
      <c r="B22" s="916" t="s">
        <v>53</v>
      </c>
      <c r="C22" s="916" t="s">
        <v>3868</v>
      </c>
    </row>
    <row r="23" spans="1:3">
      <c r="A23" s="916" t="s">
        <v>58</v>
      </c>
      <c r="B23" s="916" t="s">
        <v>58</v>
      </c>
      <c r="C23" s="916" t="s">
        <v>3868</v>
      </c>
    </row>
    <row r="24" spans="1:3">
      <c r="A24" s="916" t="s">
        <v>5045</v>
      </c>
      <c r="B24" s="916" t="s">
        <v>53</v>
      </c>
      <c r="C24" s="916" t="s">
        <v>3868</v>
      </c>
    </row>
    <row r="25" spans="1:3">
      <c r="A25" s="916" t="s">
        <v>5046</v>
      </c>
      <c r="B25" s="916" t="s">
        <v>5046</v>
      </c>
      <c r="C25" s="916" t="s">
        <v>3868</v>
      </c>
    </row>
    <row r="26" spans="1:3">
      <c r="A26" s="916" t="s">
        <v>3934</v>
      </c>
      <c r="B26" s="916" t="s">
        <v>40</v>
      </c>
      <c r="C26" s="916" t="s">
        <v>3935</v>
      </c>
    </row>
    <row r="27" spans="1:3">
      <c r="A27" s="916" t="s">
        <v>3942</v>
      </c>
      <c r="B27" s="916" t="s">
        <v>3943</v>
      </c>
      <c r="C27" s="916" t="s">
        <v>3935</v>
      </c>
    </row>
    <row r="28" spans="1:3">
      <c r="A28" s="916" t="s">
        <v>3912</v>
      </c>
      <c r="B28" s="916" t="s">
        <v>3913</v>
      </c>
      <c r="C28" s="916" t="s">
        <v>3935</v>
      </c>
    </row>
    <row r="29" spans="1:3">
      <c r="A29" s="916" t="s">
        <v>140</v>
      </c>
      <c r="B29" s="916" t="s">
        <v>39</v>
      </c>
      <c r="C29" s="916" t="s">
        <v>3935</v>
      </c>
    </row>
    <row r="30" spans="1:3">
      <c r="A30" s="916" t="s">
        <v>3955</v>
      </c>
      <c r="B30" s="916" t="s">
        <v>39</v>
      </c>
      <c r="C30" s="916" t="s">
        <v>3935</v>
      </c>
    </row>
    <row r="31" spans="1:3">
      <c r="A31" s="916" t="s">
        <v>3952</v>
      </c>
      <c r="B31" s="916" t="s">
        <v>39</v>
      </c>
      <c r="C31" s="916" t="s">
        <v>3935</v>
      </c>
    </row>
    <row r="32" spans="1:3">
      <c r="A32" s="916" t="s">
        <v>3960</v>
      </c>
      <c r="B32" s="916" t="s">
        <v>44</v>
      </c>
      <c r="C32" s="916" t="s">
        <v>3935</v>
      </c>
    </row>
    <row r="33" spans="1:3">
      <c r="A33" s="916" t="s">
        <v>3965</v>
      </c>
      <c r="B33" s="916" t="s">
        <v>44</v>
      </c>
      <c r="C33" s="916" t="s">
        <v>3935</v>
      </c>
    </row>
    <row r="34" spans="1:3">
      <c r="A34" s="916" t="s">
        <v>3903</v>
      </c>
      <c r="B34" s="916" t="s">
        <v>64</v>
      </c>
      <c r="C34" s="916" t="s">
        <v>3935</v>
      </c>
    </row>
    <row r="35" spans="1:3">
      <c r="A35" s="916" t="s">
        <v>3971</v>
      </c>
      <c r="B35" s="916" t="s">
        <v>47</v>
      </c>
      <c r="C35" s="916" t="s">
        <v>3935</v>
      </c>
    </row>
    <row r="36" spans="1:3">
      <c r="A36" s="916" t="s">
        <v>3974</v>
      </c>
      <c r="B36" s="916" t="s">
        <v>47</v>
      </c>
      <c r="C36" s="916" t="s">
        <v>3935</v>
      </c>
    </row>
    <row r="37" spans="1:3">
      <c r="A37" s="916" t="s">
        <v>5047</v>
      </c>
      <c r="B37" s="916" t="s">
        <v>47</v>
      </c>
      <c r="C37" s="916" t="s">
        <v>3935</v>
      </c>
    </row>
    <row r="38" spans="1:3">
      <c r="A38" s="916" t="s">
        <v>54</v>
      </c>
      <c r="B38" s="916" t="s">
        <v>54</v>
      </c>
      <c r="C38" s="916" t="s">
        <v>3935</v>
      </c>
    </row>
    <row r="39" spans="1:3">
      <c r="A39" s="916" t="s">
        <v>50</v>
      </c>
      <c r="B39" s="916" t="s">
        <v>50</v>
      </c>
      <c r="C39" s="916" t="s">
        <v>3935</v>
      </c>
    </row>
    <row r="40" spans="1:3">
      <c r="A40" s="916" t="s">
        <v>43</v>
      </c>
      <c r="B40" s="916" t="s">
        <v>43</v>
      </c>
      <c r="C40" s="916" t="s">
        <v>3935</v>
      </c>
    </row>
    <row r="41" spans="1:3">
      <c r="A41" s="916" t="s">
        <v>42</v>
      </c>
      <c r="B41" s="916" t="s">
        <v>48</v>
      </c>
      <c r="C41" s="916" t="s">
        <v>3935</v>
      </c>
    </row>
    <row r="42" spans="1:3">
      <c r="A42" s="916" t="s">
        <v>3991</v>
      </c>
      <c r="B42" s="916" t="s">
        <v>5048</v>
      </c>
      <c r="C42" s="916" t="s">
        <v>3935</v>
      </c>
    </row>
    <row r="43" spans="1:3">
      <c r="A43" s="916" t="s">
        <v>44</v>
      </c>
      <c r="B43" s="916" t="s">
        <v>44</v>
      </c>
      <c r="C43" s="916" t="s">
        <v>3935</v>
      </c>
    </row>
    <row r="44" spans="1:3">
      <c r="A44" s="916" t="s">
        <v>18</v>
      </c>
      <c r="B44" s="916" t="s">
        <v>18</v>
      </c>
      <c r="C44" s="916" t="s">
        <v>3935</v>
      </c>
    </row>
    <row r="45" spans="1:3">
      <c r="A45" s="916" t="s">
        <v>46</v>
      </c>
      <c r="B45" s="916" t="s">
        <v>46</v>
      </c>
      <c r="C45" s="916" t="s">
        <v>3935</v>
      </c>
    </row>
    <row r="46" spans="1:3">
      <c r="A46" s="916" t="s">
        <v>66</v>
      </c>
      <c r="B46" s="916" t="s">
        <v>66</v>
      </c>
      <c r="C46" s="916" t="s">
        <v>3935</v>
      </c>
    </row>
  </sheetData>
  <autoFilter ref="A3:C46" xr:uid="{D2C76876-5E6F-498B-9460-4E30D2A8D45E}"/>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7BB59-EC1C-4CAD-9BB2-B0D69C2CB9B5}">
  <dimension ref="A2:E353"/>
  <sheetViews>
    <sheetView workbookViewId="0">
      <selection activeCell="E155" sqref="E155"/>
    </sheetView>
  </sheetViews>
  <sheetFormatPr defaultRowHeight="14.4"/>
  <cols>
    <col min="1" max="1" width="31" bestFit="1" customWidth="1"/>
    <col min="2" max="2" width="29.5546875" bestFit="1" customWidth="1"/>
    <col min="3" max="4" width="24.21875" customWidth="1"/>
    <col min="5" max="5" width="18" bestFit="1" customWidth="1"/>
  </cols>
  <sheetData>
    <row r="2" spans="1:5">
      <c r="A2" s="1010" t="s">
        <v>313</v>
      </c>
      <c r="B2" s="1010" t="s">
        <v>314</v>
      </c>
      <c r="C2" s="1010" t="s">
        <v>315</v>
      </c>
      <c r="D2" s="1042" t="s">
        <v>316</v>
      </c>
      <c r="E2" s="1010" t="s">
        <v>5049</v>
      </c>
    </row>
    <row r="3" spans="1:5">
      <c r="A3" s="1043" t="s">
        <v>469</v>
      </c>
      <c r="B3" s="1044" t="s">
        <v>92</v>
      </c>
      <c r="C3" s="1049" t="s">
        <v>470</v>
      </c>
      <c r="D3" s="1068" t="s">
        <v>80</v>
      </c>
      <c r="E3" s="932"/>
    </row>
    <row r="4" spans="1:5">
      <c r="A4" s="1043" t="s">
        <v>469</v>
      </c>
      <c r="B4" s="1044" t="s">
        <v>92</v>
      </c>
      <c r="C4" s="1049" t="s">
        <v>471</v>
      </c>
      <c r="D4" s="1068" t="s">
        <v>81</v>
      </c>
      <c r="E4" s="932"/>
    </row>
    <row r="5" spans="1:5">
      <c r="A5" s="1043" t="s">
        <v>469</v>
      </c>
      <c r="B5" s="1044" t="s">
        <v>89</v>
      </c>
      <c r="C5" s="1050" t="s">
        <v>472</v>
      </c>
      <c r="D5" s="1068" t="s">
        <v>80</v>
      </c>
      <c r="E5" s="932" t="s">
        <v>466</v>
      </c>
    </row>
    <row r="6" spans="1:5">
      <c r="A6" s="987" t="s">
        <v>469</v>
      </c>
      <c r="B6" s="988" t="s">
        <v>89</v>
      </c>
      <c r="C6" s="1051" t="s">
        <v>473</v>
      </c>
      <c r="D6" s="1069" t="s">
        <v>81</v>
      </c>
      <c r="E6" s="932" t="s">
        <v>466</v>
      </c>
    </row>
    <row r="7" spans="1:5">
      <c r="A7" s="1043" t="s">
        <v>469</v>
      </c>
      <c r="B7" s="1044" t="s">
        <v>91</v>
      </c>
      <c r="C7" s="1050" t="s">
        <v>476</v>
      </c>
      <c r="D7" s="1068" t="s">
        <v>81</v>
      </c>
      <c r="E7" s="932" t="s">
        <v>466</v>
      </c>
    </row>
    <row r="8" spans="1:5">
      <c r="A8" s="987" t="s">
        <v>469</v>
      </c>
      <c r="B8" s="988" t="s">
        <v>91</v>
      </c>
      <c r="C8" s="1051" t="s">
        <v>477</v>
      </c>
      <c r="D8" s="1069" t="s">
        <v>80</v>
      </c>
      <c r="E8" s="932" t="s">
        <v>466</v>
      </c>
    </row>
    <row r="9" spans="1:5">
      <c r="A9" s="1043" t="s">
        <v>469</v>
      </c>
      <c r="B9" s="1044" t="s">
        <v>85</v>
      </c>
      <c r="C9" s="1050" t="s">
        <v>478</v>
      </c>
      <c r="D9" s="1068" t="s">
        <v>80</v>
      </c>
      <c r="E9" s="1067">
        <f>_xlfn.XLOOKUP(C9,'vtb(1)'!$B$18:$B$388,'vtb(1)'!$I$18:$I$388,,0)</f>
        <v>28966427</v>
      </c>
    </row>
    <row r="10" spans="1:5">
      <c r="A10" s="1043" t="s">
        <v>469</v>
      </c>
      <c r="B10" s="1044" t="s">
        <v>85</v>
      </c>
      <c r="C10" s="1050" t="s">
        <v>479</v>
      </c>
      <c r="D10" s="1068" t="s">
        <v>81</v>
      </c>
      <c r="E10" s="1067">
        <f>_xlfn.XLOOKUP(C10,'vtb(1)'!$B$18:$B$388,'vtb(1)'!$I$18:$I$388,,0)</f>
        <v>200</v>
      </c>
    </row>
    <row r="11" spans="1:5">
      <c r="A11" s="1043" t="s">
        <v>469</v>
      </c>
      <c r="B11" s="1044" t="s">
        <v>153</v>
      </c>
      <c r="C11" s="1050" t="s">
        <v>481</v>
      </c>
      <c r="D11" s="1068" t="s">
        <v>80</v>
      </c>
      <c r="E11" s="1067">
        <f>_xlfn.XLOOKUP(C11,'vtb(1)'!$B$18:$B$388,'vtb(1)'!$I$18:$I$388,,0)</f>
        <v>25691514936</v>
      </c>
    </row>
    <row r="12" spans="1:5">
      <c r="A12" s="1043" t="s">
        <v>469</v>
      </c>
      <c r="B12" s="1044" t="s">
        <v>153</v>
      </c>
      <c r="C12" s="1050" t="s">
        <v>482</v>
      </c>
      <c r="D12" s="1068" t="s">
        <v>81</v>
      </c>
      <c r="E12" s="1067">
        <f>_xlfn.XLOOKUP(C12,'vtb(1)'!$B$18:$B$388,'vtb(1)'!$I$18:$I$388,,0)</f>
        <v>1503.92</v>
      </c>
    </row>
    <row r="13" spans="1:5">
      <c r="A13" s="1043" t="s">
        <v>469</v>
      </c>
      <c r="B13" s="1044" t="s">
        <v>155</v>
      </c>
      <c r="C13" s="1050" t="s">
        <v>483</v>
      </c>
      <c r="D13" s="1068" t="s">
        <v>80</v>
      </c>
      <c r="E13" s="1067">
        <f>_xlfn.XLOOKUP(C13,'vtb(1)'!$B$18:$B$388,'vtb(1)'!$I$18:$I$388,,0)</f>
        <v>365837630</v>
      </c>
    </row>
    <row r="14" spans="1:5">
      <c r="A14" s="1043" t="s">
        <v>469</v>
      </c>
      <c r="B14" s="1044" t="s">
        <v>155</v>
      </c>
      <c r="C14" s="1050" t="s">
        <v>484</v>
      </c>
      <c r="D14" s="1068" t="s">
        <v>81</v>
      </c>
      <c r="E14" s="1067">
        <f>_xlfn.XLOOKUP(C14,'vtb(1)'!$B$18:$B$388,'vtb(1)'!$I$18:$I$388,,0)</f>
        <v>200</v>
      </c>
    </row>
    <row r="15" spans="1:5">
      <c r="A15" s="1043" t="s">
        <v>469</v>
      </c>
      <c r="B15" s="1044" t="s">
        <v>88</v>
      </c>
      <c r="C15" s="1050" t="s">
        <v>485</v>
      </c>
      <c r="D15" s="1068" t="s">
        <v>81</v>
      </c>
      <c r="E15" s="1067" t="e">
        <f>_xlfn.XLOOKUP(C15,'VTB(2)'!$B$18:$B$46,'VTB(2)'!$I$18:$I$46,,0)</f>
        <v>#N/A</v>
      </c>
    </row>
    <row r="16" spans="1:5">
      <c r="A16" s="987" t="s">
        <v>469</v>
      </c>
      <c r="B16" s="988" t="s">
        <v>86</v>
      </c>
      <c r="C16" s="1051" t="s">
        <v>486</v>
      </c>
      <c r="D16" s="1069" t="s">
        <v>80</v>
      </c>
      <c r="E16" s="1067">
        <f>_xlfn.XLOOKUP(C16,'vtb(1)'!$B$18:$B$388,'vtb(1)'!$I$18:$I$388,,0)</f>
        <v>90638801</v>
      </c>
    </row>
    <row r="17" spans="1:5">
      <c r="A17" s="1043" t="s">
        <v>469</v>
      </c>
      <c r="B17" s="1044" t="s">
        <v>487</v>
      </c>
      <c r="C17" s="1050" t="s">
        <v>488</v>
      </c>
      <c r="D17" s="1068" t="s">
        <v>80</v>
      </c>
      <c r="E17" s="932" t="s">
        <v>466</v>
      </c>
    </row>
    <row r="18" spans="1:5">
      <c r="A18" s="1043" t="s">
        <v>469</v>
      </c>
      <c r="B18" s="1044" t="s">
        <v>487</v>
      </c>
      <c r="C18" s="1050" t="s">
        <v>489</v>
      </c>
      <c r="D18" s="1068" t="s">
        <v>81</v>
      </c>
      <c r="E18" s="932" t="s">
        <v>466</v>
      </c>
    </row>
    <row r="19" spans="1:5">
      <c r="A19" s="1043" t="s">
        <v>469</v>
      </c>
      <c r="B19" s="1044" t="s">
        <v>96</v>
      </c>
      <c r="C19" s="1050" t="s">
        <v>490</v>
      </c>
      <c r="D19" s="1068" t="s">
        <v>80</v>
      </c>
      <c r="E19" s="932" t="s">
        <v>466</v>
      </c>
    </row>
    <row r="20" spans="1:5">
      <c r="A20" s="1043" t="s">
        <v>469</v>
      </c>
      <c r="B20" s="1044" t="s">
        <v>96</v>
      </c>
      <c r="C20" s="1050" t="s">
        <v>491</v>
      </c>
      <c r="D20" s="1068" t="s">
        <v>81</v>
      </c>
      <c r="E20" s="932" t="s">
        <v>466</v>
      </c>
    </row>
    <row r="21" spans="1:5">
      <c r="A21" s="1043" t="s">
        <v>469</v>
      </c>
      <c r="B21" s="1044" t="s">
        <v>338</v>
      </c>
      <c r="C21" s="1050" t="s">
        <v>492</v>
      </c>
      <c r="D21" s="1068" t="s">
        <v>80</v>
      </c>
      <c r="E21" s="932" t="s">
        <v>5050</v>
      </c>
    </row>
    <row r="22" spans="1:5">
      <c r="A22" s="987" t="s">
        <v>469</v>
      </c>
      <c r="B22" s="988" t="s">
        <v>95</v>
      </c>
      <c r="C22" s="1051" t="s">
        <v>493</v>
      </c>
      <c r="D22" s="1069" t="s">
        <v>80</v>
      </c>
      <c r="E22" s="932" t="s">
        <v>466</v>
      </c>
    </row>
    <row r="23" spans="1:5">
      <c r="A23" s="1043" t="s">
        <v>469</v>
      </c>
      <c r="B23" s="1044" t="s">
        <v>95</v>
      </c>
      <c r="C23" s="1050" t="s">
        <v>494</v>
      </c>
      <c r="D23" s="1068" t="s">
        <v>81</v>
      </c>
      <c r="E23" s="932" t="s">
        <v>466</v>
      </c>
    </row>
    <row r="24" spans="1:5">
      <c r="A24" s="987" t="s">
        <v>469</v>
      </c>
      <c r="B24" s="988" t="s">
        <v>339</v>
      </c>
      <c r="C24" s="1051" t="s">
        <v>495</v>
      </c>
      <c r="D24" s="1069" t="s">
        <v>80</v>
      </c>
      <c r="E24" s="932" t="s">
        <v>466</v>
      </c>
    </row>
    <row r="25" spans="1:5">
      <c r="A25" s="1043" t="s">
        <v>469</v>
      </c>
      <c r="B25" s="1044" t="s">
        <v>339</v>
      </c>
      <c r="C25" s="1050" t="s">
        <v>496</v>
      </c>
      <c r="D25" s="1068" t="s">
        <v>81</v>
      </c>
      <c r="E25" s="932" t="s">
        <v>466</v>
      </c>
    </row>
    <row r="26" spans="1:5">
      <c r="A26" s="1043" t="s">
        <v>469</v>
      </c>
      <c r="B26" s="1044" t="s">
        <v>98</v>
      </c>
      <c r="C26" s="1050" t="s">
        <v>498</v>
      </c>
      <c r="D26" s="1068" t="s">
        <v>81</v>
      </c>
      <c r="E26" s="932" t="s">
        <v>466</v>
      </c>
    </row>
    <row r="27" spans="1:5">
      <c r="A27" s="1043" t="s">
        <v>499</v>
      </c>
      <c r="B27" s="1044" t="s">
        <v>85</v>
      </c>
      <c r="C27" s="1050" t="s">
        <v>500</v>
      </c>
      <c r="D27" s="1068" t="s">
        <v>80</v>
      </c>
      <c r="E27" s="1067">
        <f>_xlfn.XLOOKUP(C27,'vtb(1)'!$B$18:$B$388,'vtb(1)'!$I$18:$I$388,,0)</f>
        <v>21901504745</v>
      </c>
    </row>
    <row r="28" spans="1:5">
      <c r="A28" s="987" t="s">
        <v>499</v>
      </c>
      <c r="B28" s="988" t="s">
        <v>85</v>
      </c>
      <c r="C28" s="1051" t="s">
        <v>501</v>
      </c>
      <c r="D28" s="1069" t="s">
        <v>81</v>
      </c>
      <c r="E28" s="1067">
        <f>_xlfn.XLOOKUP(C28,'vtb(1)'!$B$18:$B$388,'vtb(1)'!$I$18:$I$388,,0)</f>
        <v>276.64</v>
      </c>
    </row>
    <row r="29" spans="1:5">
      <c r="A29" s="1043" t="s">
        <v>503</v>
      </c>
      <c r="B29" s="1044" t="s">
        <v>85</v>
      </c>
      <c r="C29" s="1050" t="s">
        <v>504</v>
      </c>
      <c r="D29" s="1068" t="s">
        <v>80</v>
      </c>
      <c r="E29" s="1067">
        <f>_xlfn.XLOOKUP(C29,'vtb(1)'!$B$18:$B$388,'vtb(1)'!$I$18:$I$388,,0)</f>
        <v>7210915349</v>
      </c>
    </row>
    <row r="30" spans="1:5">
      <c r="A30" s="1043" t="s">
        <v>503</v>
      </c>
      <c r="B30" s="1044" t="s">
        <v>85</v>
      </c>
      <c r="C30" s="1050" t="s">
        <v>505</v>
      </c>
      <c r="D30" s="1068" t="s">
        <v>81</v>
      </c>
      <c r="E30" s="1067">
        <f>_xlfn.XLOOKUP(C30,'vtb(1)'!$B$18:$B$388,'vtb(1)'!$I$18:$I$388,,0)</f>
        <v>0</v>
      </c>
    </row>
    <row r="31" spans="1:5">
      <c r="A31" s="1043" t="s">
        <v>506</v>
      </c>
      <c r="B31" s="1044" t="s">
        <v>85</v>
      </c>
      <c r="C31" s="1050" t="s">
        <v>507</v>
      </c>
      <c r="D31" s="1068" t="s">
        <v>80</v>
      </c>
      <c r="E31" s="1067">
        <f>_xlfn.XLOOKUP(C31,'vtb(1)'!$B$18:$B$388,'vtb(1)'!$I$18:$I$388,,0)</f>
        <v>24588446487</v>
      </c>
    </row>
    <row r="32" spans="1:5">
      <c r="A32" s="987" t="s">
        <v>506</v>
      </c>
      <c r="B32" s="988" t="s">
        <v>85</v>
      </c>
      <c r="C32" s="1051" t="s">
        <v>509</v>
      </c>
      <c r="D32" s="1069" t="s">
        <v>81</v>
      </c>
      <c r="E32" s="1067">
        <f>_xlfn.XLOOKUP(C32,'vtb(1)'!$B$18:$B$388,'vtb(1)'!$I$18:$I$388,,0)</f>
        <v>0</v>
      </c>
    </row>
    <row r="33" spans="1:5">
      <c r="A33" s="1043" t="s">
        <v>510</v>
      </c>
      <c r="B33" s="1044" t="s">
        <v>85</v>
      </c>
      <c r="C33" s="1050" t="s">
        <v>511</v>
      </c>
      <c r="D33" s="1068" t="s">
        <v>80</v>
      </c>
      <c r="E33" s="1067">
        <f>_xlfn.XLOOKUP(C33,'vtb(1)'!$B$18:$B$388,'vtb(1)'!$I$18:$I$388,,0)</f>
        <v>6373926477</v>
      </c>
    </row>
    <row r="34" spans="1:5">
      <c r="A34" s="1043" t="s">
        <v>510</v>
      </c>
      <c r="B34" s="1044" t="s">
        <v>85</v>
      </c>
      <c r="C34" s="1050" t="s">
        <v>512</v>
      </c>
      <c r="D34" s="1068" t="s">
        <v>81</v>
      </c>
      <c r="E34" s="1067">
        <f>_xlfn.XLOOKUP(C34,'vtb(1)'!$B$18:$B$388,'vtb(1)'!$I$18:$I$388,,0)</f>
        <v>0</v>
      </c>
    </row>
    <row r="35" spans="1:5">
      <c r="A35" s="1043" t="s">
        <v>513</v>
      </c>
      <c r="B35" s="1044" t="s">
        <v>91</v>
      </c>
      <c r="C35" s="1050" t="s">
        <v>514</v>
      </c>
      <c r="D35" s="1068" t="s">
        <v>80</v>
      </c>
      <c r="E35" s="932" t="s">
        <v>466</v>
      </c>
    </row>
    <row r="36" spans="1:5">
      <c r="A36" s="1043" t="s">
        <v>513</v>
      </c>
      <c r="B36" s="1044" t="s">
        <v>91</v>
      </c>
      <c r="C36" s="1050" t="s">
        <v>515</v>
      </c>
      <c r="D36" s="1068" t="s">
        <v>81</v>
      </c>
      <c r="E36" s="932" t="s">
        <v>466</v>
      </c>
    </row>
    <row r="37" spans="1:5">
      <c r="A37" s="1043" t="s">
        <v>516</v>
      </c>
      <c r="B37" s="1044" t="s">
        <v>92</v>
      </c>
      <c r="C37" s="1049" t="s">
        <v>517</v>
      </c>
      <c r="D37" s="1068" t="s">
        <v>80</v>
      </c>
      <c r="E37" s="932"/>
    </row>
    <row r="38" spans="1:5">
      <c r="A38" s="987" t="s">
        <v>518</v>
      </c>
      <c r="B38" s="988" t="s">
        <v>95</v>
      </c>
      <c r="C38" s="1051" t="s">
        <v>519</v>
      </c>
      <c r="D38" s="1069" t="s">
        <v>80</v>
      </c>
      <c r="E38" s="932" t="s">
        <v>466</v>
      </c>
    </row>
    <row r="39" spans="1:5">
      <c r="A39" s="1043" t="s">
        <v>520</v>
      </c>
      <c r="B39" s="1044" t="s">
        <v>86</v>
      </c>
      <c r="C39" s="1050" t="s">
        <v>521</v>
      </c>
      <c r="D39" s="1068" t="s">
        <v>80</v>
      </c>
      <c r="E39" s="1067">
        <f>_xlfn.XLOOKUP(C39,'vtb(1)'!$B$18:$B$388,'vtb(1)'!$I$18:$I$388,,0)</f>
        <v>72445039</v>
      </c>
    </row>
    <row r="40" spans="1:5">
      <c r="A40" s="987" t="s">
        <v>522</v>
      </c>
      <c r="B40" s="988" t="s">
        <v>95</v>
      </c>
      <c r="C40" s="1051" t="s">
        <v>523</v>
      </c>
      <c r="D40" s="1069" t="s">
        <v>80</v>
      </c>
      <c r="E40" s="932" t="s">
        <v>466</v>
      </c>
    </row>
    <row r="41" spans="1:5">
      <c r="A41" s="1043" t="s">
        <v>524</v>
      </c>
      <c r="B41" s="1044" t="s">
        <v>86</v>
      </c>
      <c r="C41" s="1050" t="s">
        <v>525</v>
      </c>
      <c r="D41" s="1068" t="s">
        <v>80</v>
      </c>
      <c r="E41" s="1067">
        <f>_xlfn.XLOOKUP(C41,'vtb(1)'!$B$18:$B$388,'vtb(1)'!$I$18:$I$388,,0)</f>
        <v>8501568</v>
      </c>
    </row>
    <row r="42" spans="1:5">
      <c r="A42" s="987" t="s">
        <v>526</v>
      </c>
      <c r="B42" s="988" t="s">
        <v>527</v>
      </c>
      <c r="C42" s="1051" t="s">
        <v>528</v>
      </c>
      <c r="D42" s="1069" t="s">
        <v>80</v>
      </c>
      <c r="E42" s="932" t="s">
        <v>466</v>
      </c>
    </row>
    <row r="43" spans="1:5">
      <c r="A43" s="1043" t="s">
        <v>526</v>
      </c>
      <c r="B43" s="1044" t="s">
        <v>89</v>
      </c>
      <c r="C43" s="1050" t="s">
        <v>529</v>
      </c>
      <c r="D43" s="1068" t="s">
        <v>80</v>
      </c>
      <c r="E43" s="932" t="s">
        <v>466</v>
      </c>
    </row>
    <row r="44" spans="1:5">
      <c r="A44" s="987" t="s">
        <v>526</v>
      </c>
      <c r="B44" s="988" t="s">
        <v>89</v>
      </c>
      <c r="C44" s="1051" t="s">
        <v>530</v>
      </c>
      <c r="D44" s="1069" t="s">
        <v>81</v>
      </c>
      <c r="E44" s="932" t="s">
        <v>466</v>
      </c>
    </row>
    <row r="45" spans="1:5">
      <c r="A45" s="1043" t="s">
        <v>532</v>
      </c>
      <c r="B45" s="1044" t="s">
        <v>98</v>
      </c>
      <c r="C45" s="1050" t="s">
        <v>533</v>
      </c>
      <c r="D45" s="1068" t="s">
        <v>80</v>
      </c>
      <c r="E45" s="932" t="s">
        <v>466</v>
      </c>
    </row>
    <row r="46" spans="1:5">
      <c r="A46" s="1043" t="s">
        <v>532</v>
      </c>
      <c r="B46" s="1044" t="s">
        <v>98</v>
      </c>
      <c r="C46" s="1050" t="s">
        <v>534</v>
      </c>
      <c r="D46" s="1068" t="s">
        <v>80</v>
      </c>
      <c r="E46" s="932" t="s">
        <v>466</v>
      </c>
    </row>
    <row r="47" spans="1:5">
      <c r="A47" s="1043" t="s">
        <v>532</v>
      </c>
      <c r="B47" s="1044" t="s">
        <v>338</v>
      </c>
      <c r="C47" s="1050" t="s">
        <v>535</v>
      </c>
      <c r="D47" s="1068" t="s">
        <v>80</v>
      </c>
      <c r="E47" s="932" t="s">
        <v>5050</v>
      </c>
    </row>
    <row r="48" spans="1:5">
      <c r="A48" s="1043" t="s">
        <v>532</v>
      </c>
      <c r="B48" s="1044" t="s">
        <v>91</v>
      </c>
      <c r="C48" s="1050" t="s">
        <v>536</v>
      </c>
      <c r="D48" s="1068" t="s">
        <v>81</v>
      </c>
      <c r="E48" s="932" t="s">
        <v>466</v>
      </c>
    </row>
    <row r="49" spans="1:5">
      <c r="A49" s="1043" t="s">
        <v>537</v>
      </c>
      <c r="B49" s="1044" t="s">
        <v>91</v>
      </c>
      <c r="C49" s="1050" t="s">
        <v>538</v>
      </c>
      <c r="D49" s="1068" t="s">
        <v>81</v>
      </c>
      <c r="E49" s="932" t="s">
        <v>466</v>
      </c>
    </row>
    <row r="50" spans="1:5">
      <c r="A50" s="987" t="s">
        <v>537</v>
      </c>
      <c r="B50" s="988" t="s">
        <v>91</v>
      </c>
      <c r="C50" s="1051" t="s">
        <v>539</v>
      </c>
      <c r="D50" s="1069" t="s">
        <v>80</v>
      </c>
      <c r="E50" s="932" t="s">
        <v>466</v>
      </c>
    </row>
    <row r="51" spans="1:5">
      <c r="A51" s="989" t="s">
        <v>537</v>
      </c>
      <c r="B51" s="990" t="s">
        <v>92</v>
      </c>
      <c r="C51" s="1052" t="s">
        <v>540</v>
      </c>
      <c r="D51" s="1070" t="s">
        <v>80</v>
      </c>
      <c r="E51" s="932"/>
    </row>
    <row r="52" spans="1:5">
      <c r="A52" s="987" t="s">
        <v>541</v>
      </c>
      <c r="B52" s="988" t="s">
        <v>86</v>
      </c>
      <c r="C52" s="1051" t="s">
        <v>543</v>
      </c>
      <c r="D52" s="1069" t="s">
        <v>80</v>
      </c>
      <c r="E52" s="1067">
        <f>_xlfn.XLOOKUP(C52,'vtb(1)'!$B$18:$B$388,'vtb(1)'!$I$18:$I$388,,0)</f>
        <v>10611499257</v>
      </c>
    </row>
    <row r="53" spans="1:5">
      <c r="A53" s="1043" t="s">
        <v>544</v>
      </c>
      <c r="B53" s="1044" t="s">
        <v>85</v>
      </c>
      <c r="C53" s="1050" t="s">
        <v>545</v>
      </c>
      <c r="D53" s="1068" t="s">
        <v>80</v>
      </c>
      <c r="E53" s="1067">
        <f>_xlfn.XLOOKUP(C53,'vtb(1)'!$B$18:$B$388,'vtb(1)'!$I$18:$I$388,,0)</f>
        <v>46346155</v>
      </c>
    </row>
    <row r="54" spans="1:5">
      <c r="A54" s="1043" t="s">
        <v>546</v>
      </c>
      <c r="B54" s="1044" t="s">
        <v>92</v>
      </c>
      <c r="C54" s="1049" t="s">
        <v>547</v>
      </c>
      <c r="D54" s="1068" t="s">
        <v>80</v>
      </c>
      <c r="E54" s="932"/>
    </row>
    <row r="55" spans="1:5">
      <c r="A55" s="1043" t="s">
        <v>548</v>
      </c>
      <c r="B55" s="1044" t="s">
        <v>92</v>
      </c>
      <c r="C55" s="1053" t="s">
        <v>549</v>
      </c>
      <c r="D55" s="1068" t="s">
        <v>80</v>
      </c>
      <c r="E55" s="932"/>
    </row>
    <row r="56" spans="1:5">
      <c r="A56" s="1043" t="s">
        <v>548</v>
      </c>
      <c r="B56" s="1044" t="s">
        <v>92</v>
      </c>
      <c r="C56" s="1053" t="s">
        <v>550</v>
      </c>
      <c r="D56" s="1068" t="s">
        <v>81</v>
      </c>
      <c r="E56" s="932"/>
    </row>
    <row r="57" spans="1:5">
      <c r="A57" s="1043" t="s">
        <v>335</v>
      </c>
      <c r="B57" s="1044" t="s">
        <v>94</v>
      </c>
      <c r="C57" s="1053" t="s">
        <v>337</v>
      </c>
      <c r="D57" s="1068" t="s">
        <v>81</v>
      </c>
      <c r="E57" s="932"/>
    </row>
    <row r="58" spans="1:5">
      <c r="A58" s="987" t="s">
        <v>335</v>
      </c>
      <c r="B58" s="988" t="s">
        <v>94</v>
      </c>
      <c r="C58" s="1054" t="s">
        <v>336</v>
      </c>
      <c r="D58" s="1069" t="s">
        <v>80</v>
      </c>
      <c r="E58" s="932"/>
    </row>
    <row r="59" spans="1:5">
      <c r="A59" s="1043" t="s">
        <v>552</v>
      </c>
      <c r="B59" s="1044" t="s">
        <v>96</v>
      </c>
      <c r="C59" s="1055" t="s">
        <v>553</v>
      </c>
      <c r="D59" s="1068" t="s">
        <v>80</v>
      </c>
      <c r="E59" s="932" t="s">
        <v>466</v>
      </c>
    </row>
    <row r="60" spans="1:5">
      <c r="A60" s="1043" t="s">
        <v>554</v>
      </c>
      <c r="B60" s="1044" t="s">
        <v>88</v>
      </c>
      <c r="C60" s="1055" t="s">
        <v>555</v>
      </c>
      <c r="D60" s="1068" t="s">
        <v>80</v>
      </c>
      <c r="E60" s="1067">
        <f>_xlfn.XLOOKUP(C60,'vtb(1)'!$B$18:$B$388,'vtb(1)'!$I$18:$I$388,,0)</f>
        <v>8630890615</v>
      </c>
    </row>
    <row r="61" spans="1:5">
      <c r="A61" s="1043" t="s">
        <v>557</v>
      </c>
      <c r="B61" s="1044" t="s">
        <v>95</v>
      </c>
      <c r="C61" s="1055" t="s">
        <v>558</v>
      </c>
      <c r="D61" s="1068" t="s">
        <v>80</v>
      </c>
      <c r="E61" s="932" t="s">
        <v>466</v>
      </c>
    </row>
    <row r="62" spans="1:5">
      <c r="A62" s="987" t="s">
        <v>559</v>
      </c>
      <c r="B62" s="988" t="s">
        <v>85</v>
      </c>
      <c r="C62" s="1056" t="s">
        <v>560</v>
      </c>
      <c r="D62" s="1069" t="s">
        <v>80</v>
      </c>
      <c r="E62" s="1067">
        <f>_xlfn.XLOOKUP(C62,'vtb(1)'!$B$18:$B$388,'vtb(1)'!$I$18:$I$388,,0)</f>
        <v>17239183</v>
      </c>
    </row>
    <row r="63" spans="1:5">
      <c r="A63" s="1043" t="s">
        <v>561</v>
      </c>
      <c r="B63" s="1044" t="s">
        <v>85</v>
      </c>
      <c r="C63" s="1055" t="s">
        <v>562</v>
      </c>
      <c r="D63" s="1068" t="s">
        <v>80</v>
      </c>
      <c r="E63" s="1067">
        <f>_xlfn.XLOOKUP(C63,'vtb(1)'!$B$18:$B$388,'vtb(1)'!$I$18:$I$388,,0)</f>
        <v>947806169</v>
      </c>
    </row>
    <row r="64" spans="1:5">
      <c r="A64" s="987" t="s">
        <v>563</v>
      </c>
      <c r="B64" s="988" t="s">
        <v>85</v>
      </c>
      <c r="C64" s="1056" t="s">
        <v>564</v>
      </c>
      <c r="D64" s="1069" t="s">
        <v>80</v>
      </c>
      <c r="E64" s="1067">
        <f>_xlfn.XLOOKUP(C64,'vtb(1)'!$B$18:$B$388,'vtb(1)'!$I$18:$I$388,,0)</f>
        <v>34541572</v>
      </c>
    </row>
    <row r="65" spans="1:5">
      <c r="A65" s="1043" t="s">
        <v>565</v>
      </c>
      <c r="B65" s="1044" t="s">
        <v>85</v>
      </c>
      <c r="C65" s="1055" t="s">
        <v>566</v>
      </c>
      <c r="D65" s="1068" t="s">
        <v>80</v>
      </c>
      <c r="E65" s="1067">
        <f>_xlfn.XLOOKUP(C65,'vtb(1)'!$B$18:$B$388,'vtb(1)'!$I$18:$I$388,,0)</f>
        <v>29139824</v>
      </c>
    </row>
    <row r="66" spans="1:5">
      <c r="A66" s="987" t="s">
        <v>567</v>
      </c>
      <c r="B66" s="988" t="s">
        <v>93</v>
      </c>
      <c r="C66" s="1054" t="s">
        <v>568</v>
      </c>
      <c r="D66" s="1069" t="s">
        <v>80</v>
      </c>
      <c r="E66" s="932"/>
    </row>
    <row r="67" spans="1:5">
      <c r="A67" s="1043" t="s">
        <v>570</v>
      </c>
      <c r="B67" s="1044" t="s">
        <v>571</v>
      </c>
      <c r="C67" s="1055" t="s">
        <v>5051</v>
      </c>
      <c r="D67" s="1068" t="s">
        <v>80</v>
      </c>
      <c r="E67" s="932" t="s">
        <v>5050</v>
      </c>
    </row>
    <row r="68" spans="1:5">
      <c r="A68" s="1043" t="s">
        <v>570</v>
      </c>
      <c r="B68" s="1044" t="s">
        <v>571</v>
      </c>
      <c r="C68" s="1055" t="s">
        <v>5052</v>
      </c>
      <c r="D68" s="1068" t="s">
        <v>80</v>
      </c>
      <c r="E68" s="932" t="s">
        <v>5050</v>
      </c>
    </row>
    <row r="69" spans="1:5">
      <c r="A69" s="1043" t="s">
        <v>570</v>
      </c>
      <c r="B69" s="1044" t="s">
        <v>91</v>
      </c>
      <c r="C69" s="1055" t="s">
        <v>574</v>
      </c>
      <c r="D69" s="1068" t="s">
        <v>80</v>
      </c>
      <c r="E69" s="932" t="s">
        <v>466</v>
      </c>
    </row>
    <row r="70" spans="1:5">
      <c r="A70" s="1043" t="s">
        <v>570</v>
      </c>
      <c r="B70" s="1044" t="s">
        <v>91</v>
      </c>
      <c r="C70" s="1055" t="s">
        <v>575</v>
      </c>
      <c r="D70" s="1068" t="s">
        <v>81</v>
      </c>
      <c r="E70" s="932" t="s">
        <v>466</v>
      </c>
    </row>
    <row r="71" spans="1:5">
      <c r="A71" s="1043" t="s">
        <v>576</v>
      </c>
      <c r="B71" s="1044" t="s">
        <v>86</v>
      </c>
      <c r="C71" s="1055" t="s">
        <v>577</v>
      </c>
      <c r="D71" s="1068" t="s">
        <v>80</v>
      </c>
      <c r="E71" s="1067">
        <f>_xlfn.XLOOKUP(C71,'vtb(1)'!$B$18:$B$388,'vtb(1)'!$I$18:$I$388,,0)</f>
        <v>3116928</v>
      </c>
    </row>
    <row r="72" spans="1:5">
      <c r="A72" s="987" t="s">
        <v>576</v>
      </c>
      <c r="B72" s="988" t="s">
        <v>86</v>
      </c>
      <c r="C72" s="1056" t="s">
        <v>578</v>
      </c>
      <c r="D72" s="1069" t="s">
        <v>81</v>
      </c>
      <c r="E72" s="1067" t="e">
        <f>_xlfn.XLOOKUP(C72,'VTB(2)'!$B$18:$B$46,'VTB(2)'!$I$18:$I$46,,0)</f>
        <v>#N/A</v>
      </c>
    </row>
    <row r="73" spans="1:5">
      <c r="A73" s="1043" t="s">
        <v>579</v>
      </c>
      <c r="B73" s="1044" t="s">
        <v>86</v>
      </c>
      <c r="C73" s="1055" t="s">
        <v>580</v>
      </c>
      <c r="D73" s="1068" t="s">
        <v>80</v>
      </c>
      <c r="E73" s="1067">
        <f>_xlfn.XLOOKUP(C73,'vtb(1)'!$B$18:$B$388,'vtb(1)'!$I$18:$I$388,,0)</f>
        <v>15428489</v>
      </c>
    </row>
    <row r="74" spans="1:5">
      <c r="A74" s="987" t="s">
        <v>579</v>
      </c>
      <c r="B74" s="988" t="s">
        <v>86</v>
      </c>
      <c r="C74" s="1056" t="s">
        <v>581</v>
      </c>
      <c r="D74" s="1069" t="s">
        <v>81</v>
      </c>
      <c r="E74" s="1067" t="e">
        <f>_xlfn.XLOOKUP(C74,'VTB(2)'!$B$18:$B$46,'VTB(2)'!$I$18:$I$46,,0)</f>
        <v>#N/A</v>
      </c>
    </row>
    <row r="75" spans="1:5">
      <c r="A75" s="1043" t="s">
        <v>582</v>
      </c>
      <c r="B75" s="1044" t="s">
        <v>86</v>
      </c>
      <c r="C75" s="1055" t="s">
        <v>583</v>
      </c>
      <c r="D75" s="1068" t="s">
        <v>80</v>
      </c>
      <c r="E75" s="1067">
        <f>_xlfn.XLOOKUP(C75,'vtb(1)'!$B$18:$B$388,'vtb(1)'!$I$18:$I$388,,0)</f>
        <v>91477418</v>
      </c>
    </row>
    <row r="76" spans="1:5">
      <c r="A76" s="1043" t="s">
        <v>582</v>
      </c>
      <c r="B76" s="1044" t="s">
        <v>86</v>
      </c>
      <c r="C76" s="1055" t="s">
        <v>585</v>
      </c>
      <c r="D76" s="1068" t="s">
        <v>81</v>
      </c>
      <c r="E76" s="1067">
        <f>_xlfn.XLOOKUP(C76,'vtb(1)'!$B$18:$B$388,'vtb(1)'!$I$18:$I$388,,0)</f>
        <v>541.76</v>
      </c>
    </row>
    <row r="77" spans="1:5">
      <c r="A77" s="1043" t="s">
        <v>582</v>
      </c>
      <c r="B77" s="1044" t="s">
        <v>155</v>
      </c>
      <c r="C77" s="1055" t="s">
        <v>586</v>
      </c>
      <c r="D77" s="1068" t="s">
        <v>80</v>
      </c>
      <c r="E77" s="1067">
        <f>_xlfn.XLOOKUP(C77,'vtb(1)'!$B$18:$B$388,'vtb(1)'!$I$18:$I$388,,0)</f>
        <v>250126245077</v>
      </c>
    </row>
    <row r="78" spans="1:5">
      <c r="A78" s="1043" t="s">
        <v>582</v>
      </c>
      <c r="B78" s="1044" t="s">
        <v>85</v>
      </c>
      <c r="C78" s="1055" t="s">
        <v>587</v>
      </c>
      <c r="D78" s="1068" t="s">
        <v>80</v>
      </c>
      <c r="E78" s="1067">
        <f>_xlfn.XLOOKUP(C78,'vtb(1)'!$B$18:$B$388,'vtb(1)'!$I$18:$I$388,,0)</f>
        <v>85771274727</v>
      </c>
    </row>
    <row r="79" spans="1:5">
      <c r="A79" s="1043" t="s">
        <v>582</v>
      </c>
      <c r="B79" s="1044" t="s">
        <v>85</v>
      </c>
      <c r="C79" s="1055" t="s">
        <v>588</v>
      </c>
      <c r="D79" s="1068" t="s">
        <v>81</v>
      </c>
      <c r="E79" s="1067">
        <f>_xlfn.XLOOKUP(C79,'vtb(1)'!$B$18:$B$388,'vtb(1)'!$I$18:$I$388,,0)</f>
        <v>438.53</v>
      </c>
    </row>
    <row r="80" spans="1:5">
      <c r="A80" s="987" t="s">
        <v>582</v>
      </c>
      <c r="B80" s="988" t="s">
        <v>153</v>
      </c>
      <c r="C80" s="1056" t="s">
        <v>589</v>
      </c>
      <c r="D80" s="1069" t="s">
        <v>80</v>
      </c>
      <c r="E80" s="1067">
        <f>_xlfn.XLOOKUP(C80,'vtb(1)'!$B$18:$B$388,'vtb(1)'!$I$18:$I$388,,0)</f>
        <v>250854580589</v>
      </c>
    </row>
    <row r="81" spans="1:5">
      <c r="A81" s="1043" t="s">
        <v>582</v>
      </c>
      <c r="B81" s="1044" t="s">
        <v>153</v>
      </c>
      <c r="C81" s="1055" t="s">
        <v>590</v>
      </c>
      <c r="D81" s="1068" t="s">
        <v>81</v>
      </c>
      <c r="E81" s="1067">
        <f>_xlfn.XLOOKUP(C81,'vtb(1)'!$B$18:$B$388,'vtb(1)'!$I$18:$I$388,,0)</f>
        <v>1812.22</v>
      </c>
    </row>
    <row r="82" spans="1:5">
      <c r="A82" s="987" t="s">
        <v>582</v>
      </c>
      <c r="B82" s="988" t="s">
        <v>91</v>
      </c>
      <c r="C82" s="1056" t="s">
        <v>591</v>
      </c>
      <c r="D82" s="1069" t="s">
        <v>80</v>
      </c>
      <c r="E82" s="932" t="s">
        <v>466</v>
      </c>
    </row>
    <row r="83" spans="1:5">
      <c r="A83" s="1043" t="s">
        <v>582</v>
      </c>
      <c r="B83" s="1044" t="s">
        <v>91</v>
      </c>
      <c r="C83" s="1055" t="s">
        <v>592</v>
      </c>
      <c r="D83" s="1068" t="s">
        <v>81</v>
      </c>
      <c r="E83" s="932" t="s">
        <v>466</v>
      </c>
    </row>
    <row r="84" spans="1:5">
      <c r="A84" s="1043" t="s">
        <v>582</v>
      </c>
      <c r="B84" s="1044" t="s">
        <v>89</v>
      </c>
      <c r="C84" s="1055" t="s">
        <v>593</v>
      </c>
      <c r="D84" s="1068" t="s">
        <v>80</v>
      </c>
      <c r="E84" s="932" t="s">
        <v>466</v>
      </c>
    </row>
    <row r="85" spans="1:5">
      <c r="A85" s="1043" t="s">
        <v>582</v>
      </c>
      <c r="B85" s="1044" t="s">
        <v>89</v>
      </c>
      <c r="C85" s="1055" t="s">
        <v>594</v>
      </c>
      <c r="D85" s="1068" t="s">
        <v>81</v>
      </c>
      <c r="E85" s="932" t="s">
        <v>466</v>
      </c>
    </row>
    <row r="86" spans="1:5">
      <c r="A86" s="1043" t="s">
        <v>582</v>
      </c>
      <c r="B86" s="1044" t="s">
        <v>97</v>
      </c>
      <c r="C86" s="1055" t="s">
        <v>595</v>
      </c>
      <c r="D86" s="1068" t="s">
        <v>80</v>
      </c>
      <c r="E86" s="932" t="s">
        <v>466</v>
      </c>
    </row>
    <row r="87" spans="1:5">
      <c r="A87" s="1043" t="s">
        <v>582</v>
      </c>
      <c r="B87" s="1044" t="s">
        <v>97</v>
      </c>
      <c r="C87" s="1055" t="s">
        <v>596</v>
      </c>
      <c r="D87" s="1068" t="s">
        <v>81</v>
      </c>
      <c r="E87" s="932" t="s">
        <v>466</v>
      </c>
    </row>
    <row r="88" spans="1:5">
      <c r="A88" s="1043" t="s">
        <v>582</v>
      </c>
      <c r="B88" s="1044" t="s">
        <v>95</v>
      </c>
      <c r="C88" s="1055" t="s">
        <v>597</v>
      </c>
      <c r="D88" s="1068" t="s">
        <v>80</v>
      </c>
      <c r="E88" s="932" t="s">
        <v>466</v>
      </c>
    </row>
    <row r="89" spans="1:5">
      <c r="A89" s="1043" t="s">
        <v>582</v>
      </c>
      <c r="B89" s="1044" t="s">
        <v>95</v>
      </c>
      <c r="C89" s="1057" t="s">
        <v>598</v>
      </c>
      <c r="D89" s="1068" t="s">
        <v>81</v>
      </c>
      <c r="E89" s="932" t="s">
        <v>466</v>
      </c>
    </row>
    <row r="90" spans="1:5">
      <c r="A90" s="1043" t="s">
        <v>582</v>
      </c>
      <c r="B90" s="1044" t="s">
        <v>96</v>
      </c>
      <c r="C90" s="1057" t="s">
        <v>599</v>
      </c>
      <c r="D90" s="1068" t="s">
        <v>80</v>
      </c>
      <c r="E90" s="932" t="s">
        <v>466</v>
      </c>
    </row>
    <row r="91" spans="1:5">
      <c r="A91" s="1043" t="s">
        <v>582</v>
      </c>
      <c r="B91" s="1044" t="s">
        <v>96</v>
      </c>
      <c r="C91" s="1058" t="s">
        <v>600</v>
      </c>
      <c r="D91" s="1068" t="s">
        <v>81</v>
      </c>
      <c r="E91" s="932" t="s">
        <v>466</v>
      </c>
    </row>
    <row r="92" spans="1:5">
      <c r="A92" s="989" t="s">
        <v>582</v>
      </c>
      <c r="B92" s="990" t="s">
        <v>92</v>
      </c>
      <c r="C92" s="1059" t="s">
        <v>601</v>
      </c>
      <c r="D92" s="1070" t="s">
        <v>80</v>
      </c>
      <c r="E92" s="932" t="s">
        <v>466</v>
      </c>
    </row>
    <row r="93" spans="1:5">
      <c r="A93" s="1045" t="s">
        <v>582</v>
      </c>
      <c r="B93" s="1046" t="s">
        <v>92</v>
      </c>
      <c r="C93" s="1060" t="s">
        <v>602</v>
      </c>
      <c r="D93" s="1071" t="s">
        <v>81</v>
      </c>
      <c r="E93" s="932"/>
    </row>
    <row r="94" spans="1:5">
      <c r="A94" s="987" t="s">
        <v>582</v>
      </c>
      <c r="B94" s="988" t="s">
        <v>339</v>
      </c>
      <c r="C94" s="1015" t="s">
        <v>604</v>
      </c>
      <c r="D94" s="1069" t="s">
        <v>80</v>
      </c>
      <c r="E94" s="932" t="s">
        <v>466</v>
      </c>
    </row>
    <row r="95" spans="1:5">
      <c r="A95" s="1043" t="s">
        <v>582</v>
      </c>
      <c r="B95" s="1044" t="s">
        <v>339</v>
      </c>
      <c r="C95" s="1057" t="s">
        <v>605</v>
      </c>
      <c r="D95" s="1068" t="s">
        <v>81</v>
      </c>
      <c r="E95" s="932" t="s">
        <v>466</v>
      </c>
    </row>
    <row r="96" spans="1:5">
      <c r="A96" s="1043" t="s">
        <v>606</v>
      </c>
      <c r="B96" s="1044" t="s">
        <v>153</v>
      </c>
      <c r="C96" s="1057" t="s">
        <v>607</v>
      </c>
      <c r="D96" s="1068" t="s">
        <v>80</v>
      </c>
      <c r="E96" s="1067">
        <f>_xlfn.XLOOKUP(C96,'vtb(1)'!$B$18:$B$388,'vtb(1)'!$I$18:$I$388,,0)</f>
        <v>16568478</v>
      </c>
    </row>
    <row r="97" spans="1:5">
      <c r="A97" s="1043" t="s">
        <v>606</v>
      </c>
      <c r="B97" s="1044" t="s">
        <v>153</v>
      </c>
      <c r="C97" s="1057" t="s">
        <v>608</v>
      </c>
      <c r="D97" s="1068" t="s">
        <v>81</v>
      </c>
      <c r="E97" s="1067" t="e">
        <f>_xlfn.XLOOKUP(C97,'VTB(2)'!$B$18:$B$46,'VTB(2)'!$I$18:$I$46,,0)</f>
        <v>#N/A</v>
      </c>
    </row>
    <row r="98" spans="1:5">
      <c r="A98" s="987" t="s">
        <v>609</v>
      </c>
      <c r="B98" s="988" t="s">
        <v>85</v>
      </c>
      <c r="C98" s="1015" t="s">
        <v>610</v>
      </c>
      <c r="D98" s="1069" t="s">
        <v>80</v>
      </c>
      <c r="E98" s="1067">
        <f>_xlfn.XLOOKUP(C98,'vtb(1)'!$B$18:$B$388,'vtb(1)'!$I$18:$I$388,,0)</f>
        <v>10154938976</v>
      </c>
    </row>
    <row r="99" spans="1:5">
      <c r="A99" s="1043" t="s">
        <v>611</v>
      </c>
      <c r="B99" s="1044" t="s">
        <v>153</v>
      </c>
      <c r="C99" s="1057" t="s">
        <v>612</v>
      </c>
      <c r="D99" s="1068" t="s">
        <v>80</v>
      </c>
      <c r="E99" s="1067">
        <f>_xlfn.XLOOKUP(C99,'vtb(1)'!$B$18:$B$388,'vtb(1)'!$I$18:$I$388,,0)</f>
        <v>93457838</v>
      </c>
    </row>
    <row r="100" spans="1:5">
      <c r="A100" s="987" t="s">
        <v>611</v>
      </c>
      <c r="B100" s="988" t="s">
        <v>153</v>
      </c>
      <c r="C100" s="1015" t="s">
        <v>613</v>
      </c>
      <c r="D100" s="1069" t="s">
        <v>81</v>
      </c>
      <c r="E100" s="1067" t="e">
        <f>_xlfn.XLOOKUP(C100,'VTB(2)'!$B$18:$B$46,'VTB(2)'!$I$18:$I$46,,0)</f>
        <v>#N/A</v>
      </c>
    </row>
    <row r="101" spans="1:5">
      <c r="A101" s="1043" t="s">
        <v>614</v>
      </c>
      <c r="B101" s="1044" t="s">
        <v>88</v>
      </c>
      <c r="C101" s="1057" t="s">
        <v>615</v>
      </c>
      <c r="D101" s="1068" t="s">
        <v>80</v>
      </c>
      <c r="E101" s="1067">
        <f>_xlfn.XLOOKUP(C101,'vtb(1)'!$B$18:$B$388,'vtb(1)'!$I$18:$I$388,,0)</f>
        <v>2461966421</v>
      </c>
    </row>
    <row r="102" spans="1:5">
      <c r="A102" s="987" t="s">
        <v>614</v>
      </c>
      <c r="B102" s="988" t="s">
        <v>88</v>
      </c>
      <c r="C102" s="1015" t="s">
        <v>616</v>
      </c>
      <c r="D102" s="1069" t="s">
        <v>81</v>
      </c>
      <c r="E102" s="1067" t="e">
        <f>_xlfn.XLOOKUP(C102,'VTB(2)'!$B$18:$B$46,'VTB(2)'!$I$18:$I$46,,0)</f>
        <v>#N/A</v>
      </c>
    </row>
    <row r="103" spans="1:5">
      <c r="A103" s="1043" t="s">
        <v>617</v>
      </c>
      <c r="B103" s="1044" t="s">
        <v>92</v>
      </c>
      <c r="C103" s="1058" t="s">
        <v>618</v>
      </c>
      <c r="D103" s="1068" t="s">
        <v>80</v>
      </c>
      <c r="E103" s="932"/>
    </row>
    <row r="104" spans="1:5">
      <c r="A104" s="1043" t="s">
        <v>620</v>
      </c>
      <c r="B104" s="1044" t="s">
        <v>85</v>
      </c>
      <c r="C104" s="1057" t="s">
        <v>621</v>
      </c>
      <c r="D104" s="1068" t="s">
        <v>80</v>
      </c>
      <c r="E104" s="1067">
        <f>_xlfn.XLOOKUP(C104,'vtb(1)'!$B$18:$B$388,'vtb(1)'!$I$18:$I$388,,0)</f>
        <v>39023305</v>
      </c>
    </row>
    <row r="105" spans="1:5">
      <c r="A105" s="1043" t="s">
        <v>620</v>
      </c>
      <c r="B105" s="1044" t="s">
        <v>85</v>
      </c>
      <c r="C105" s="1057" t="s">
        <v>622</v>
      </c>
      <c r="D105" s="1068" t="s">
        <v>81</v>
      </c>
      <c r="E105" s="1067">
        <f>_xlfn.XLOOKUP(C105,'vtb(1)'!$B$18:$B$388,'vtb(1)'!$I$18:$I$388,,0)</f>
        <v>0</v>
      </c>
    </row>
    <row r="106" spans="1:5">
      <c r="A106" s="1043" t="s">
        <v>620</v>
      </c>
      <c r="B106" s="1044" t="s">
        <v>95</v>
      </c>
      <c r="C106" s="1057" t="s">
        <v>623</v>
      </c>
      <c r="D106" s="1068" t="s">
        <v>80</v>
      </c>
      <c r="E106" s="932" t="s">
        <v>466</v>
      </c>
    </row>
    <row r="107" spans="1:5">
      <c r="A107" s="1043" t="s">
        <v>624</v>
      </c>
      <c r="B107" s="1044" t="s">
        <v>85</v>
      </c>
      <c r="C107" s="1057" t="s">
        <v>625</v>
      </c>
      <c r="D107" s="1068" t="s">
        <v>80</v>
      </c>
      <c r="E107" s="1067">
        <f>_xlfn.XLOOKUP(C107,'vtb(1)'!$B$18:$B$388,'vtb(1)'!$I$18:$I$388,,0)</f>
        <v>22251000</v>
      </c>
    </row>
    <row r="108" spans="1:5">
      <c r="A108" s="1043" t="s">
        <v>626</v>
      </c>
      <c r="B108" s="1044" t="s">
        <v>85</v>
      </c>
      <c r="C108" s="1057" t="s">
        <v>627</v>
      </c>
      <c r="D108" s="1068" t="s">
        <v>80</v>
      </c>
      <c r="E108" s="1067">
        <f>_xlfn.XLOOKUP(C108,'vtb(1)'!$B$18:$B$388,'vtb(1)'!$I$18:$I$388,,0)</f>
        <v>30138379</v>
      </c>
    </row>
    <row r="109" spans="1:5">
      <c r="A109" s="1043" t="s">
        <v>626</v>
      </c>
      <c r="B109" s="1044" t="s">
        <v>85</v>
      </c>
      <c r="C109" s="1057" t="s">
        <v>628</v>
      </c>
      <c r="D109" s="1068" t="s">
        <v>81</v>
      </c>
      <c r="E109" s="1067">
        <f>_xlfn.XLOOKUP(C109,'vtb(1)'!$B$18:$B$388,'vtb(1)'!$I$18:$I$388,,0)</f>
        <v>0</v>
      </c>
    </row>
    <row r="110" spans="1:5">
      <c r="A110" s="1043" t="s">
        <v>626</v>
      </c>
      <c r="B110" s="1044" t="s">
        <v>95</v>
      </c>
      <c r="C110" s="1057" t="s">
        <v>629</v>
      </c>
      <c r="D110" s="1068" t="s">
        <v>80</v>
      </c>
      <c r="E110" s="932" t="s">
        <v>466</v>
      </c>
    </row>
    <row r="111" spans="1:5">
      <c r="A111" s="1043" t="s">
        <v>630</v>
      </c>
      <c r="B111" s="1044" t="s">
        <v>85</v>
      </c>
      <c r="C111" s="1057" t="s">
        <v>631</v>
      </c>
      <c r="D111" s="1068" t="s">
        <v>80</v>
      </c>
      <c r="E111" s="1067">
        <f>_xlfn.XLOOKUP(C111,'VTB(2)'!$B$18:$B$46,'VTB(2)'!$I$18:$I$46,,0)</f>
        <v>68533224</v>
      </c>
    </row>
    <row r="112" spans="1:5">
      <c r="A112" s="987" t="s">
        <v>630</v>
      </c>
      <c r="B112" s="988" t="s">
        <v>85</v>
      </c>
      <c r="C112" s="1015" t="s">
        <v>632</v>
      </c>
      <c r="D112" s="1069" t="s">
        <v>81</v>
      </c>
      <c r="E112" s="1067">
        <f>_xlfn.XLOOKUP(C112,'VTB(2)'!$B$18:$B$46,'VTB(2)'!$I$18:$I$46,,0)</f>
        <v>179.18</v>
      </c>
    </row>
    <row r="113" spans="1:5">
      <c r="A113" s="1043" t="s">
        <v>634</v>
      </c>
      <c r="B113" s="1044" t="s">
        <v>85</v>
      </c>
      <c r="C113" s="1057" t="s">
        <v>635</v>
      </c>
      <c r="D113" s="1068" t="s">
        <v>80</v>
      </c>
      <c r="E113" s="1067">
        <f>_xlfn.XLOOKUP(C113,'VTB(2)'!$B$18:$B$46,'VTB(2)'!$I$18:$I$46,,0)</f>
        <v>91538196</v>
      </c>
    </row>
    <row r="114" spans="1:5">
      <c r="A114" s="1043" t="s">
        <v>634</v>
      </c>
      <c r="B114" s="1044" t="s">
        <v>85</v>
      </c>
      <c r="C114" s="1057" t="s">
        <v>636</v>
      </c>
      <c r="D114" s="1068" t="s">
        <v>81</v>
      </c>
      <c r="E114" s="1067">
        <f>_xlfn.XLOOKUP(C114,'VTB(2)'!$B$18:$B$46,'VTB(2)'!$I$18:$I$46,,0)</f>
        <v>176.18</v>
      </c>
    </row>
    <row r="115" spans="1:5">
      <c r="A115" s="1043" t="s">
        <v>638</v>
      </c>
      <c r="B115" s="1044" t="s">
        <v>85</v>
      </c>
      <c r="C115" s="1057" t="s">
        <v>639</v>
      </c>
      <c r="D115" s="1068" t="s">
        <v>80</v>
      </c>
      <c r="E115" s="1067">
        <f>_xlfn.XLOOKUP(C115,'vtb(1)'!$B$18:$B$388,'vtb(1)'!$I$18:$I$388,,0)</f>
        <v>43630480</v>
      </c>
    </row>
    <row r="116" spans="1:5">
      <c r="A116" s="987" t="s">
        <v>638</v>
      </c>
      <c r="B116" s="988" t="s">
        <v>85</v>
      </c>
      <c r="C116" s="1015" t="s">
        <v>640</v>
      </c>
      <c r="D116" s="1069" t="s">
        <v>81</v>
      </c>
      <c r="E116" s="1067">
        <f>_xlfn.XLOOKUP(C116,'vtb(1)'!$B$18:$B$388,'vtb(1)'!$I$18:$I$388,,0)</f>
        <v>0</v>
      </c>
    </row>
    <row r="117" spans="1:5">
      <c r="A117" s="1043" t="s">
        <v>641</v>
      </c>
      <c r="B117" s="1044" t="s">
        <v>85</v>
      </c>
      <c r="C117" s="1057" t="s">
        <v>642</v>
      </c>
      <c r="D117" s="1068" t="s">
        <v>80</v>
      </c>
      <c r="E117" s="1067">
        <f>_xlfn.XLOOKUP(C117,'vtb(1)'!$B$18:$B$388,'vtb(1)'!$I$18:$I$388,,0)</f>
        <v>76166133</v>
      </c>
    </row>
    <row r="118" spans="1:5">
      <c r="A118" s="987" t="s">
        <v>641</v>
      </c>
      <c r="B118" s="988" t="s">
        <v>85</v>
      </c>
      <c r="C118" s="1015" t="s">
        <v>643</v>
      </c>
      <c r="D118" s="1069" t="s">
        <v>81</v>
      </c>
      <c r="E118" s="1067">
        <f>_xlfn.XLOOKUP(C118,'vtb(1)'!$B$18:$B$388,'vtb(1)'!$I$18:$I$388,,0)</f>
        <v>0</v>
      </c>
    </row>
    <row r="119" spans="1:5">
      <c r="A119" s="1043" t="s">
        <v>641</v>
      </c>
      <c r="B119" s="1044" t="s">
        <v>95</v>
      </c>
      <c r="C119" s="1057" t="s">
        <v>644</v>
      </c>
      <c r="D119" s="1068" t="s">
        <v>80</v>
      </c>
      <c r="E119" s="932" t="s">
        <v>466</v>
      </c>
    </row>
    <row r="120" spans="1:5">
      <c r="A120" s="987" t="s">
        <v>645</v>
      </c>
      <c r="B120" s="988" t="s">
        <v>85</v>
      </c>
      <c r="C120" s="1015" t="s">
        <v>646</v>
      </c>
      <c r="D120" s="1069" t="s">
        <v>80</v>
      </c>
      <c r="E120" s="1067">
        <f>_xlfn.XLOOKUP(C120,'vtb(1)'!$B$18:$B$388,'vtb(1)'!$I$18:$I$388,,0)</f>
        <v>748070986</v>
      </c>
    </row>
    <row r="121" spans="1:5">
      <c r="A121" s="1043" t="s">
        <v>645</v>
      </c>
      <c r="B121" s="1044" t="s">
        <v>85</v>
      </c>
      <c r="C121" s="1057" t="s">
        <v>647</v>
      </c>
      <c r="D121" s="1068" t="s">
        <v>81</v>
      </c>
      <c r="E121" s="1067">
        <f>_xlfn.XLOOKUP(C121,'vtb(1)'!$B$18:$B$388,'vtb(1)'!$I$18:$I$388,,0)</f>
        <v>338.74</v>
      </c>
    </row>
    <row r="122" spans="1:5">
      <c r="A122" s="987" t="s">
        <v>645</v>
      </c>
      <c r="B122" s="988" t="s">
        <v>98</v>
      </c>
      <c r="C122" s="1015" t="s">
        <v>648</v>
      </c>
      <c r="D122" s="1069" t="s">
        <v>80</v>
      </c>
      <c r="E122" s="932" t="s">
        <v>466</v>
      </c>
    </row>
    <row r="123" spans="1:5">
      <c r="A123" s="1043" t="s">
        <v>645</v>
      </c>
      <c r="B123" s="1044" t="s">
        <v>98</v>
      </c>
      <c r="C123" s="1057" t="s">
        <v>649</v>
      </c>
      <c r="D123" s="1068" t="s">
        <v>81</v>
      </c>
      <c r="E123" s="932" t="s">
        <v>466</v>
      </c>
    </row>
    <row r="124" spans="1:5">
      <c r="A124" s="1043" t="s">
        <v>653</v>
      </c>
      <c r="B124" s="1044" t="s">
        <v>85</v>
      </c>
      <c r="C124" s="1057" t="s">
        <v>654</v>
      </c>
      <c r="D124" s="1068" t="s">
        <v>80</v>
      </c>
      <c r="E124" s="1067">
        <f>_xlfn.XLOOKUP(C124,'VTB(2)'!$B$18:$B$46,'VTB(2)'!$I$18:$I$46,,0)</f>
        <v>5979039</v>
      </c>
    </row>
    <row r="125" spans="1:5">
      <c r="A125" s="1043" t="s">
        <v>653</v>
      </c>
      <c r="B125" s="1044" t="s">
        <v>85</v>
      </c>
      <c r="C125" s="1057" t="s">
        <v>655</v>
      </c>
      <c r="D125" s="1068" t="s">
        <v>81</v>
      </c>
      <c r="E125" s="1067">
        <f>_xlfn.XLOOKUP(C125,'VTB(2)'!$B$18:$B$46,'VTB(2)'!$I$18:$I$46,,0)</f>
        <v>0</v>
      </c>
    </row>
    <row r="126" spans="1:5">
      <c r="A126" s="987" t="s">
        <v>656</v>
      </c>
      <c r="B126" s="988" t="s">
        <v>85</v>
      </c>
      <c r="C126" s="1015" t="s">
        <v>657</v>
      </c>
      <c r="D126" s="1069" t="s">
        <v>80</v>
      </c>
      <c r="E126" s="1067">
        <f>_xlfn.XLOOKUP(C126,'VTB(2)'!$B$18:$B$46,'VTB(2)'!$I$18:$I$46,,0)</f>
        <v>907671</v>
      </c>
    </row>
    <row r="127" spans="1:5">
      <c r="A127" s="1043" t="s">
        <v>656</v>
      </c>
      <c r="B127" s="1044" t="s">
        <v>85</v>
      </c>
      <c r="C127" s="1057" t="s">
        <v>658</v>
      </c>
      <c r="D127" s="1068" t="s">
        <v>81</v>
      </c>
      <c r="E127" s="1067">
        <f>_xlfn.XLOOKUP(C127,'VTB(2)'!$B$18:$B$46,'VTB(2)'!$I$18:$I$46,,0)</f>
        <v>0</v>
      </c>
    </row>
    <row r="128" spans="1:5">
      <c r="A128" s="1043" t="s">
        <v>659</v>
      </c>
      <c r="B128" s="1044" t="s">
        <v>91</v>
      </c>
      <c r="C128" s="1057" t="s">
        <v>660</v>
      </c>
      <c r="D128" s="1068" t="s">
        <v>80</v>
      </c>
      <c r="E128" s="932" t="s">
        <v>466</v>
      </c>
    </row>
    <row r="129" spans="1:5">
      <c r="A129" s="1043" t="s">
        <v>659</v>
      </c>
      <c r="B129" s="1044" t="s">
        <v>91</v>
      </c>
      <c r="C129" s="1057" t="s">
        <v>661</v>
      </c>
      <c r="D129" s="1068" t="s">
        <v>81</v>
      </c>
      <c r="E129" s="932" t="s">
        <v>466</v>
      </c>
    </row>
    <row r="130" spans="1:5">
      <c r="A130" s="987" t="s">
        <v>662</v>
      </c>
      <c r="B130" s="988" t="s">
        <v>85</v>
      </c>
      <c r="C130" s="1015" t="s">
        <v>663</v>
      </c>
      <c r="D130" s="1069" t="s">
        <v>80</v>
      </c>
      <c r="E130" s="1067">
        <f>_xlfn.XLOOKUP(C130,'vtb(1)'!$B$18:$B$388,'vtb(1)'!$I$18:$I$388,,0)</f>
        <v>6523611</v>
      </c>
    </row>
    <row r="131" spans="1:5">
      <c r="A131" s="1043" t="s">
        <v>662</v>
      </c>
      <c r="B131" s="1044" t="s">
        <v>85</v>
      </c>
      <c r="C131" s="1057" t="s">
        <v>664</v>
      </c>
      <c r="D131" s="1068" t="s">
        <v>81</v>
      </c>
      <c r="E131" s="1067" t="e">
        <f>_xlfn.XLOOKUP(C131,'VTB(2)'!$B$18:$B$46,'VTB(2)'!$I$18:$I$46,,0)</f>
        <v>#N/A</v>
      </c>
    </row>
    <row r="132" spans="1:5">
      <c r="A132" s="987" t="s">
        <v>665</v>
      </c>
      <c r="B132" s="988" t="s">
        <v>85</v>
      </c>
      <c r="C132" s="1015" t="s">
        <v>666</v>
      </c>
      <c r="D132" s="1069" t="s">
        <v>80</v>
      </c>
      <c r="E132" s="1067">
        <f>_xlfn.XLOOKUP(C132,'vtb(1)'!$B$18:$B$388,'vtb(1)'!$I$18:$I$388,,0)</f>
        <v>17336489262</v>
      </c>
    </row>
    <row r="133" spans="1:5">
      <c r="A133" s="1043" t="s">
        <v>665</v>
      </c>
      <c r="B133" s="1044" t="s">
        <v>85</v>
      </c>
      <c r="C133" s="1057" t="s">
        <v>667</v>
      </c>
      <c r="D133" s="1068" t="s">
        <v>81</v>
      </c>
      <c r="E133" s="1067">
        <f>_xlfn.XLOOKUP(C133,'vtb(1)'!$B$18:$B$388,'vtb(1)'!$I$18:$I$388,,0)</f>
        <v>192.16</v>
      </c>
    </row>
    <row r="134" spans="1:5">
      <c r="A134" s="987" t="s">
        <v>668</v>
      </c>
      <c r="B134" s="988" t="s">
        <v>86</v>
      </c>
      <c r="C134" s="1015" t="s">
        <v>669</v>
      </c>
      <c r="D134" s="1069" t="s">
        <v>80</v>
      </c>
      <c r="E134" s="1067">
        <f>_xlfn.XLOOKUP(C134,'vtb(1)'!$B$18:$B$388,'vtb(1)'!$I$18:$I$388,,0)</f>
        <v>10703376438</v>
      </c>
    </row>
    <row r="135" spans="1:5">
      <c r="A135" s="1043" t="s">
        <v>671</v>
      </c>
      <c r="B135" s="1044" t="s">
        <v>85</v>
      </c>
      <c r="C135" s="1057" t="s">
        <v>672</v>
      </c>
      <c r="D135" s="1068" t="s">
        <v>80</v>
      </c>
      <c r="E135" s="1067">
        <f>_xlfn.XLOOKUP(C135,'vtb(1)'!$B$18:$B$388,'vtb(1)'!$I$18:$I$388,,0)</f>
        <v>40399367</v>
      </c>
    </row>
    <row r="136" spans="1:5">
      <c r="A136" s="987" t="s">
        <v>673</v>
      </c>
      <c r="B136" s="988" t="s">
        <v>85</v>
      </c>
      <c r="C136" s="1015" t="s">
        <v>674</v>
      </c>
      <c r="D136" s="1069" t="s">
        <v>80</v>
      </c>
      <c r="E136" s="1067">
        <f>_xlfn.XLOOKUP(C136,'vtb(1)'!$B$18:$B$388,'vtb(1)'!$I$18:$I$388,,0)</f>
        <v>36454756</v>
      </c>
    </row>
    <row r="137" spans="1:5">
      <c r="A137" s="1043" t="s">
        <v>673</v>
      </c>
      <c r="B137" s="1044" t="s">
        <v>95</v>
      </c>
      <c r="C137" s="1057" t="s">
        <v>675</v>
      </c>
      <c r="D137" s="1068" t="s">
        <v>80</v>
      </c>
      <c r="E137" s="932" t="s">
        <v>466</v>
      </c>
    </row>
    <row r="138" spans="1:5">
      <c r="A138" s="987" t="s">
        <v>676</v>
      </c>
      <c r="B138" s="988" t="s">
        <v>85</v>
      </c>
      <c r="C138" s="1015" t="s">
        <v>677</v>
      </c>
      <c r="D138" s="1069" t="s">
        <v>80</v>
      </c>
      <c r="E138" s="1067">
        <f>_xlfn.XLOOKUP(C138,'vtb(1)'!$B$18:$B$388,'vtb(1)'!$I$18:$I$388,,0)</f>
        <v>36745096</v>
      </c>
    </row>
    <row r="139" spans="1:5">
      <c r="A139" s="1043" t="s">
        <v>678</v>
      </c>
      <c r="B139" s="1044" t="s">
        <v>85</v>
      </c>
      <c r="C139" s="1057" t="s">
        <v>679</v>
      </c>
      <c r="D139" s="1068" t="s">
        <v>80</v>
      </c>
      <c r="E139" s="1067">
        <f>_xlfn.XLOOKUP(C139,'vtb(1)'!$B$18:$B$388,'vtb(1)'!$I$18:$I$388,,0)</f>
        <v>39440562</v>
      </c>
    </row>
    <row r="140" spans="1:5">
      <c r="A140" s="987" t="s">
        <v>680</v>
      </c>
      <c r="B140" s="988" t="s">
        <v>85</v>
      </c>
      <c r="C140" s="1015" t="s">
        <v>681</v>
      </c>
      <c r="D140" s="1069" t="s">
        <v>80</v>
      </c>
      <c r="E140" s="1067">
        <f>_xlfn.XLOOKUP(C140,'vtb(1)'!$B$18:$B$388,'vtb(1)'!$I$18:$I$388,,0)</f>
        <v>33887036</v>
      </c>
    </row>
    <row r="141" spans="1:5">
      <c r="A141" s="1043" t="s">
        <v>680</v>
      </c>
      <c r="B141" s="1044" t="s">
        <v>95</v>
      </c>
      <c r="C141" s="1057" t="s">
        <v>682</v>
      </c>
      <c r="D141" s="1068" t="s">
        <v>80</v>
      </c>
      <c r="E141" s="932" t="s">
        <v>466</v>
      </c>
    </row>
    <row r="142" spans="1:5">
      <c r="A142" s="987" t="s">
        <v>683</v>
      </c>
      <c r="B142" s="988" t="s">
        <v>85</v>
      </c>
      <c r="C142" s="1015" t="s">
        <v>684</v>
      </c>
      <c r="D142" s="1069" t="s">
        <v>80</v>
      </c>
      <c r="E142" s="1067">
        <f>_xlfn.XLOOKUP(C142,'vtb(1)'!$B$18:$B$388,'vtb(1)'!$I$18:$I$388,,0)</f>
        <v>99764877</v>
      </c>
    </row>
    <row r="143" spans="1:5">
      <c r="A143" s="1043" t="s">
        <v>683</v>
      </c>
      <c r="B143" s="1044" t="s">
        <v>85</v>
      </c>
      <c r="C143" s="1057" t="s">
        <v>685</v>
      </c>
      <c r="D143" s="1068" t="s">
        <v>81</v>
      </c>
      <c r="E143" s="1067">
        <f>_xlfn.XLOOKUP(C143,'vtb(1)'!$B$18:$B$388,'vtb(1)'!$I$18:$I$388,,0)</f>
        <v>0</v>
      </c>
    </row>
    <row r="144" spans="1:5">
      <c r="A144" s="987" t="s">
        <v>686</v>
      </c>
      <c r="B144" s="988" t="s">
        <v>85</v>
      </c>
      <c r="C144" s="1015" t="s">
        <v>687</v>
      </c>
      <c r="D144" s="1069" t="s">
        <v>80</v>
      </c>
      <c r="E144" s="1067">
        <f>_xlfn.XLOOKUP(C144,'vtb(1)'!$B$18:$B$388,'vtb(1)'!$I$18:$I$388,,0)</f>
        <v>42897143</v>
      </c>
    </row>
    <row r="145" spans="1:5">
      <c r="A145" s="1043" t="s">
        <v>688</v>
      </c>
      <c r="B145" s="1044" t="s">
        <v>85</v>
      </c>
      <c r="C145" s="1057" t="s">
        <v>689</v>
      </c>
      <c r="D145" s="1068" t="s">
        <v>80</v>
      </c>
      <c r="E145" s="1067">
        <f>_xlfn.XLOOKUP(C145,'vtb(1)'!$B$18:$B$388,'vtb(1)'!$I$18:$I$388,,0)</f>
        <v>28012531</v>
      </c>
    </row>
    <row r="146" spans="1:5">
      <c r="A146" s="987" t="s">
        <v>688</v>
      </c>
      <c r="B146" s="988" t="s">
        <v>85</v>
      </c>
      <c r="C146" s="1015" t="s">
        <v>690</v>
      </c>
      <c r="D146" s="1069" t="s">
        <v>81</v>
      </c>
      <c r="E146" s="1067">
        <f>_xlfn.XLOOKUP(C146,'vtb(1)'!$B$18:$B$388,'vtb(1)'!$I$18:$I$388,,0)</f>
        <v>0</v>
      </c>
    </row>
    <row r="147" spans="1:5">
      <c r="A147" s="1043" t="s">
        <v>691</v>
      </c>
      <c r="B147" s="1044" t="s">
        <v>85</v>
      </c>
      <c r="C147" s="1057" t="s">
        <v>692</v>
      </c>
      <c r="D147" s="1068" t="s">
        <v>80</v>
      </c>
      <c r="E147" s="1067">
        <f>_xlfn.XLOOKUP(C147,'vtb(1)'!$B$18:$B$388,'vtb(1)'!$I$18:$I$388,,0)</f>
        <v>40279670</v>
      </c>
    </row>
    <row r="148" spans="1:5">
      <c r="A148" s="987" t="s">
        <v>693</v>
      </c>
      <c r="B148" s="988" t="s">
        <v>85</v>
      </c>
      <c r="C148" s="1015" t="s">
        <v>694</v>
      </c>
      <c r="D148" s="1069" t="s">
        <v>80</v>
      </c>
      <c r="E148" s="1067">
        <f>_xlfn.XLOOKUP(C148,'vtb(1)'!$B$18:$B$388,'vtb(1)'!$I$18:$I$388,,0)</f>
        <v>146767311</v>
      </c>
    </row>
    <row r="149" spans="1:5">
      <c r="A149" s="1043" t="s">
        <v>695</v>
      </c>
      <c r="B149" s="1044" t="s">
        <v>340</v>
      </c>
      <c r="C149" s="1057" t="s">
        <v>696</v>
      </c>
      <c r="D149" s="1068" t="s">
        <v>80</v>
      </c>
      <c r="E149" s="932" t="s">
        <v>466</v>
      </c>
    </row>
    <row r="150" spans="1:5">
      <c r="A150" s="987" t="s">
        <v>697</v>
      </c>
      <c r="B150" s="988" t="s">
        <v>85</v>
      </c>
      <c r="C150" s="1015" t="s">
        <v>698</v>
      </c>
      <c r="D150" s="1069" t="s">
        <v>80</v>
      </c>
      <c r="E150" s="1067">
        <f>_xlfn.XLOOKUP(C150,'vtb(1)'!$B$18:$B$388,'vtb(1)'!$I$18:$I$388,,0)</f>
        <v>300506834</v>
      </c>
    </row>
    <row r="151" spans="1:5">
      <c r="A151" s="991" t="s">
        <v>699</v>
      </c>
      <c r="B151" s="992" t="s">
        <v>153</v>
      </c>
      <c r="C151" s="1061" t="s">
        <v>700</v>
      </c>
      <c r="D151" s="1072" t="s">
        <v>80</v>
      </c>
      <c r="E151" s="1067">
        <f>_xlfn.XLOOKUP(C151,'vtb(1)'!$B$18:$B$388,'vtb(1)'!$I$18:$I$388,,0)</f>
        <v>108705685</v>
      </c>
    </row>
    <row r="152" spans="1:5">
      <c r="A152" s="1043" t="s">
        <v>701</v>
      </c>
      <c r="B152" s="1044" t="s">
        <v>153</v>
      </c>
      <c r="C152" s="1057" t="s">
        <v>702</v>
      </c>
      <c r="D152" s="1068" t="s">
        <v>80</v>
      </c>
      <c r="E152" s="1067">
        <f>_xlfn.XLOOKUP(C152,'vtb(1)'!$B$18:$B$388,'vtb(1)'!$I$18:$I$388,,0)</f>
        <v>15932603202</v>
      </c>
    </row>
    <row r="153" spans="1:5">
      <c r="A153" s="1043" t="s">
        <v>703</v>
      </c>
      <c r="B153" s="1044" t="s">
        <v>86</v>
      </c>
      <c r="C153" s="1057" t="s">
        <v>705</v>
      </c>
      <c r="D153" s="1068" t="s">
        <v>80</v>
      </c>
      <c r="E153" s="1067">
        <f>_xlfn.XLOOKUP(C153,'vtb(1)'!$B$18:$B$388,'vtb(1)'!$I$18:$I$388,,0)</f>
        <v>9907905167</v>
      </c>
    </row>
    <row r="154" spans="1:5">
      <c r="A154" s="987" t="s">
        <v>706</v>
      </c>
      <c r="B154" s="988" t="s">
        <v>85</v>
      </c>
      <c r="C154" s="1015" t="s">
        <v>707</v>
      </c>
      <c r="D154" s="1069" t="s">
        <v>80</v>
      </c>
      <c r="E154" s="1067">
        <f>_xlfn.XLOOKUP(C154,'VTB(2)'!$B$18:$B$46,'VTB(2)'!$I$18:$I$46,,0)</f>
        <v>3905709302</v>
      </c>
    </row>
    <row r="155" spans="1:5">
      <c r="A155" s="1043" t="s">
        <v>708</v>
      </c>
      <c r="B155" s="1044" t="s">
        <v>85</v>
      </c>
      <c r="C155" s="1057" t="s">
        <v>709</v>
      </c>
      <c r="D155" s="1068" t="s">
        <v>80</v>
      </c>
      <c r="E155" s="1067">
        <f>_xlfn.XLOOKUP(C155,'VTB(2)'!$B$18:$B$46,'VTB(2)'!$I$18:$I$46,,0)</f>
        <v>2915167677</v>
      </c>
    </row>
    <row r="156" spans="1:5">
      <c r="A156" s="987" t="s">
        <v>710</v>
      </c>
      <c r="B156" s="988" t="s">
        <v>85</v>
      </c>
      <c r="C156" s="1015" t="s">
        <v>711</v>
      </c>
      <c r="D156" s="1069" t="s">
        <v>80</v>
      </c>
      <c r="E156" s="1067">
        <f>_xlfn.XLOOKUP(C156,'VTB(2)'!$B$18:$B$46,'VTB(2)'!$I$18:$I$46,,0)</f>
        <v>3145987222</v>
      </c>
    </row>
    <row r="157" spans="1:5">
      <c r="A157" s="1047" t="s">
        <v>712</v>
      </c>
      <c r="B157" s="1048" t="s">
        <v>85</v>
      </c>
      <c r="C157" s="1062" t="s">
        <v>713</v>
      </c>
      <c r="D157" s="1073" t="s">
        <v>80</v>
      </c>
      <c r="E157" s="1067">
        <f>_xlfn.XLOOKUP(C157,'vtb(1)'!$B$18:$B$388,'vtb(1)'!$I$18:$I$388,,0)</f>
        <v>511503915</v>
      </c>
    </row>
    <row r="158" spans="1:5">
      <c r="A158" s="987" t="s">
        <v>714</v>
      </c>
      <c r="B158" s="988" t="s">
        <v>153</v>
      </c>
      <c r="C158" s="1015" t="s">
        <v>715</v>
      </c>
      <c r="D158" s="1069" t="s">
        <v>80</v>
      </c>
      <c r="E158" s="1067">
        <f>_xlfn.XLOOKUP(C158,'vtb(1)'!$B$18:$B$388,'vtb(1)'!$I$18:$I$388,,0)</f>
        <v>25979234437</v>
      </c>
    </row>
    <row r="159" spans="1:5">
      <c r="A159" s="1043" t="s">
        <v>716</v>
      </c>
      <c r="B159" s="1044" t="s">
        <v>153</v>
      </c>
      <c r="C159" s="1057" t="s">
        <v>717</v>
      </c>
      <c r="D159" s="1068" t="s">
        <v>80</v>
      </c>
      <c r="E159" s="1067">
        <f>_xlfn.XLOOKUP(C159,'vtb(1)'!$B$18:$B$388,'vtb(1)'!$I$18:$I$388,,0)</f>
        <v>4223210080</v>
      </c>
    </row>
    <row r="160" spans="1:5">
      <c r="A160" s="987" t="s">
        <v>718</v>
      </c>
      <c r="B160" s="988" t="s">
        <v>92</v>
      </c>
      <c r="C160" s="1063" t="s">
        <v>719</v>
      </c>
      <c r="D160" s="1069" t="s">
        <v>80</v>
      </c>
      <c r="E160" s="932"/>
    </row>
    <row r="161" spans="1:5">
      <c r="A161" s="1043" t="s">
        <v>720</v>
      </c>
      <c r="B161" s="1044" t="s">
        <v>92</v>
      </c>
      <c r="C161" s="1058" t="s">
        <v>721</v>
      </c>
      <c r="D161" s="1068" t="s">
        <v>80</v>
      </c>
      <c r="E161" s="932"/>
    </row>
    <row r="162" spans="1:5">
      <c r="A162" s="987" t="s">
        <v>720</v>
      </c>
      <c r="B162" s="988" t="s">
        <v>95</v>
      </c>
      <c r="C162" s="1015" t="s">
        <v>722</v>
      </c>
      <c r="D162" s="1069" t="s">
        <v>80</v>
      </c>
      <c r="E162" s="932" t="s">
        <v>466</v>
      </c>
    </row>
    <row r="163" spans="1:5">
      <c r="A163" s="1043" t="s">
        <v>723</v>
      </c>
      <c r="B163" s="1044" t="s">
        <v>92</v>
      </c>
      <c r="C163" s="1058" t="s">
        <v>724</v>
      </c>
      <c r="D163" s="1068" t="s">
        <v>80</v>
      </c>
      <c r="E163" s="932"/>
    </row>
    <row r="164" spans="1:5">
      <c r="A164" s="987" t="s">
        <v>725</v>
      </c>
      <c r="B164" s="988" t="s">
        <v>726</v>
      </c>
      <c r="C164" s="1063" t="s">
        <v>727</v>
      </c>
      <c r="D164" s="1069" t="s">
        <v>80</v>
      </c>
      <c r="E164" s="932"/>
    </row>
    <row r="165" spans="1:5">
      <c r="A165" s="1043" t="s">
        <v>728</v>
      </c>
      <c r="B165" s="1044" t="s">
        <v>726</v>
      </c>
      <c r="C165" s="1058" t="s">
        <v>729</v>
      </c>
      <c r="D165" s="1068" t="s">
        <v>80</v>
      </c>
      <c r="E165" s="932"/>
    </row>
    <row r="166" spans="1:5">
      <c r="A166" s="987" t="s">
        <v>730</v>
      </c>
      <c r="B166" s="988" t="s">
        <v>726</v>
      </c>
      <c r="C166" s="1063" t="s">
        <v>731</v>
      </c>
      <c r="D166" s="1069" t="s">
        <v>80</v>
      </c>
      <c r="E166" s="932" t="s">
        <v>5053</v>
      </c>
    </row>
    <row r="167" spans="1:5">
      <c r="A167" s="1043" t="s">
        <v>732</v>
      </c>
      <c r="B167" s="1044" t="s">
        <v>92</v>
      </c>
      <c r="C167" s="1058" t="s">
        <v>733</v>
      </c>
      <c r="D167" s="1068" t="s">
        <v>80</v>
      </c>
      <c r="E167" s="932" t="s">
        <v>5053</v>
      </c>
    </row>
    <row r="168" spans="1:5">
      <c r="A168" s="987" t="s">
        <v>734</v>
      </c>
      <c r="B168" s="988" t="s">
        <v>92</v>
      </c>
      <c r="C168" s="1063" t="s">
        <v>735</v>
      </c>
      <c r="D168" s="1069" t="s">
        <v>80</v>
      </c>
      <c r="E168" s="932" t="s">
        <v>5053</v>
      </c>
    </row>
    <row r="169" spans="1:5">
      <c r="A169" s="1043" t="s">
        <v>734</v>
      </c>
      <c r="B169" s="1044" t="s">
        <v>95</v>
      </c>
      <c r="C169" s="1057" t="s">
        <v>736</v>
      </c>
      <c r="D169" s="1068" t="s">
        <v>80</v>
      </c>
      <c r="E169" s="932" t="s">
        <v>466</v>
      </c>
    </row>
    <row r="170" spans="1:5">
      <c r="A170" s="987" t="s">
        <v>737</v>
      </c>
      <c r="B170" s="988" t="s">
        <v>92</v>
      </c>
      <c r="C170" s="1063" t="s">
        <v>738</v>
      </c>
      <c r="D170" s="1069" t="s">
        <v>80</v>
      </c>
      <c r="E170" s="932" t="s">
        <v>5053</v>
      </c>
    </row>
    <row r="171" spans="1:5">
      <c r="A171" s="1043" t="s">
        <v>739</v>
      </c>
      <c r="B171" s="1044" t="s">
        <v>85</v>
      </c>
      <c r="C171" s="1057" t="s">
        <v>740</v>
      </c>
      <c r="D171" s="1068" t="s">
        <v>80</v>
      </c>
      <c r="E171" s="1067">
        <f>_xlfn.XLOOKUP(C171,'vtb(1)'!$B$18:$B$388,'vtb(1)'!$I$18:$I$388,,0)</f>
        <v>115450963</v>
      </c>
    </row>
    <row r="172" spans="1:5">
      <c r="A172" s="1043" t="s">
        <v>742</v>
      </c>
      <c r="B172" s="1044" t="s">
        <v>85</v>
      </c>
      <c r="C172" s="1057" t="s">
        <v>743</v>
      </c>
      <c r="D172" s="1068" t="s">
        <v>80</v>
      </c>
      <c r="E172" s="1067">
        <f>_xlfn.XLOOKUP(C172,'vtb(1)'!$B$18:$B$388,'vtb(1)'!$I$18:$I$388,,0)</f>
        <v>101408326</v>
      </c>
    </row>
    <row r="173" spans="1:5">
      <c r="A173" s="1043" t="s">
        <v>744</v>
      </c>
      <c r="B173" s="1044" t="s">
        <v>85</v>
      </c>
      <c r="C173" s="1057" t="s">
        <v>745</v>
      </c>
      <c r="D173" s="1068" t="s">
        <v>80</v>
      </c>
      <c r="E173" s="1067">
        <f>_xlfn.XLOOKUP(C173,'vtb(1)'!$B$18:$B$388,'vtb(1)'!$I$18:$I$388,,0)</f>
        <v>34287436</v>
      </c>
    </row>
    <row r="174" spans="1:5">
      <c r="A174" s="987" t="s">
        <v>746</v>
      </c>
      <c r="B174" s="988" t="s">
        <v>92</v>
      </c>
      <c r="C174" s="1063" t="s">
        <v>747</v>
      </c>
      <c r="D174" s="1069" t="s">
        <v>80</v>
      </c>
      <c r="E174" s="932"/>
    </row>
    <row r="175" spans="1:5">
      <c r="A175" s="1043" t="s">
        <v>748</v>
      </c>
      <c r="B175" s="1044" t="s">
        <v>88</v>
      </c>
      <c r="C175" s="1057" t="s">
        <v>749</v>
      </c>
      <c r="D175" s="385" t="s">
        <v>80</v>
      </c>
      <c r="E175" s="1067">
        <f>_xlfn.XLOOKUP(C175,'vtb(1)'!$B$18:$B$388,'vtb(1)'!$I$18:$I$388,,0)</f>
        <v>643827347</v>
      </c>
    </row>
    <row r="176" spans="1:5">
      <c r="A176" s="987" t="s">
        <v>750</v>
      </c>
      <c r="B176" s="988" t="s">
        <v>88</v>
      </c>
      <c r="C176" s="1015" t="s">
        <v>751</v>
      </c>
      <c r="D176" s="1069" t="s">
        <v>80</v>
      </c>
      <c r="E176" s="1067">
        <f>_xlfn.XLOOKUP(C176,'vtb(1)'!$B$18:$B$388,'vtb(1)'!$I$18:$I$388,,0)</f>
        <v>4089566306</v>
      </c>
    </row>
    <row r="177" spans="1:5">
      <c r="A177" s="1043" t="s">
        <v>752</v>
      </c>
      <c r="B177" s="1044" t="s">
        <v>85</v>
      </c>
      <c r="C177" s="1057" t="s">
        <v>753</v>
      </c>
      <c r="D177" s="385" t="s">
        <v>80</v>
      </c>
      <c r="E177" s="1067">
        <f>_xlfn.XLOOKUP(C177,'vtb(1)'!$B$18:$B$388,'vtb(1)'!$I$18:$I$388,,0)</f>
        <v>791716669</v>
      </c>
    </row>
    <row r="178" spans="1:5">
      <c r="A178" s="987" t="s">
        <v>754</v>
      </c>
      <c r="B178" s="988" t="s">
        <v>92</v>
      </c>
      <c r="C178" s="1063" t="s">
        <v>755</v>
      </c>
      <c r="D178" s="1069" t="s">
        <v>80</v>
      </c>
      <c r="E178" s="932"/>
    </row>
    <row r="179" spans="1:5">
      <c r="A179" s="1043" t="s">
        <v>695</v>
      </c>
      <c r="B179" s="1044" t="s">
        <v>92</v>
      </c>
      <c r="C179" s="1049" t="s">
        <v>756</v>
      </c>
      <c r="D179" s="1068" t="s">
        <v>80</v>
      </c>
      <c r="E179" s="932"/>
    </row>
    <row r="180" spans="1:5">
      <c r="A180" s="987" t="s">
        <v>541</v>
      </c>
      <c r="B180" s="988" t="s">
        <v>86</v>
      </c>
      <c r="C180" s="1063" t="s">
        <v>757</v>
      </c>
      <c r="D180" s="1069" t="s">
        <v>81</v>
      </c>
      <c r="E180" s="1067">
        <f>_xlfn.XLOOKUP(C180,'vtb(1)'!$B$18:$B$388,'vtb(1)'!$I$18:$I$388,,0)</f>
        <v>0</v>
      </c>
    </row>
    <row r="181" spans="1:5">
      <c r="A181" s="1043" t="s">
        <v>516</v>
      </c>
      <c r="B181" s="1044" t="s">
        <v>92</v>
      </c>
      <c r="C181" s="1058" t="s">
        <v>758</v>
      </c>
      <c r="D181" s="1068" t="s">
        <v>81</v>
      </c>
      <c r="E181" s="932"/>
    </row>
    <row r="182" spans="1:5">
      <c r="A182" s="987" t="s">
        <v>518</v>
      </c>
      <c r="B182" s="988" t="s">
        <v>85</v>
      </c>
      <c r="C182" s="1063" t="s">
        <v>759</v>
      </c>
      <c r="D182" s="1069" t="s">
        <v>80</v>
      </c>
      <c r="E182" s="1067">
        <f>_xlfn.XLOOKUP(C182,'vtb(1)'!$B$18:$B$388,'vtb(1)'!$I$18:$I$388,,0)</f>
        <v>14478177</v>
      </c>
    </row>
    <row r="183" spans="1:5">
      <c r="A183" s="1043" t="s">
        <v>522</v>
      </c>
      <c r="B183" s="1044" t="s">
        <v>85</v>
      </c>
      <c r="C183" s="1058" t="s">
        <v>760</v>
      </c>
      <c r="D183" s="1068" t="s">
        <v>80</v>
      </c>
      <c r="E183" s="1067">
        <f>_xlfn.XLOOKUP(C183,'vtb(1)'!$B$18:$B$388,'vtb(1)'!$I$18:$I$388,,0)</f>
        <v>62600608</v>
      </c>
    </row>
    <row r="184" spans="1:5">
      <c r="A184" s="987" t="s">
        <v>761</v>
      </c>
      <c r="B184" s="988" t="s">
        <v>89</v>
      </c>
      <c r="C184" s="1058" t="s">
        <v>762</v>
      </c>
      <c r="D184" s="1069" t="s">
        <v>80</v>
      </c>
      <c r="E184" s="932" t="s">
        <v>466</v>
      </c>
    </row>
    <row r="185" spans="1:5">
      <c r="A185" s="1043" t="s">
        <v>469</v>
      </c>
      <c r="B185" s="1044" t="s">
        <v>86</v>
      </c>
      <c r="C185" s="1058" t="s">
        <v>763</v>
      </c>
      <c r="D185" s="1068" t="s">
        <v>81</v>
      </c>
      <c r="E185" s="1067">
        <f>_xlfn.XLOOKUP(C185,'vtb(1)'!$B$18:$B$388,'vtb(1)'!$I$18:$I$388,,0)</f>
        <v>748.33</v>
      </c>
    </row>
    <row r="186" spans="1:5">
      <c r="A186" s="987" t="s">
        <v>469</v>
      </c>
      <c r="B186" s="988" t="s">
        <v>88</v>
      </c>
      <c r="C186" s="1063" t="s">
        <v>764</v>
      </c>
      <c r="D186" s="1069" t="s">
        <v>81</v>
      </c>
      <c r="E186" s="1067">
        <f>_xlfn.XLOOKUP(C186,'vtb(1)'!$B$18:$B$388,'vtb(1)'!$I$18:$I$388,,0)</f>
        <v>769</v>
      </c>
    </row>
    <row r="187" spans="1:5">
      <c r="A187" s="1043" t="s">
        <v>582</v>
      </c>
      <c r="B187" s="1044" t="s">
        <v>88</v>
      </c>
      <c r="C187" s="1058" t="s">
        <v>765</v>
      </c>
      <c r="D187" s="1068" t="s">
        <v>81</v>
      </c>
      <c r="E187" s="1067">
        <f>_xlfn.XLOOKUP(C187,'vtb(1)'!$B$18:$B$388,'vtb(1)'!$I$18:$I$388,,0)</f>
        <v>0</v>
      </c>
    </row>
    <row r="188" spans="1:5">
      <c r="A188" s="991" t="s">
        <v>609</v>
      </c>
      <c r="B188" s="992" t="s">
        <v>85</v>
      </c>
      <c r="C188" s="1064" t="s">
        <v>766</v>
      </c>
      <c r="D188" s="1072" t="s">
        <v>80</v>
      </c>
      <c r="E188" s="1067">
        <f>_xlfn.XLOOKUP(C188,'vtb(1)'!$B$18:$B$388,'vtb(1)'!$I$18:$I$388,,0)</f>
        <v>2560622</v>
      </c>
    </row>
    <row r="189" spans="1:5">
      <c r="A189" s="1043" t="s">
        <v>565</v>
      </c>
      <c r="B189" s="1044" t="s">
        <v>95</v>
      </c>
      <c r="C189" s="1058" t="s">
        <v>767</v>
      </c>
      <c r="D189" s="1068" t="s">
        <v>80</v>
      </c>
      <c r="E189" s="932" t="s">
        <v>466</v>
      </c>
    </row>
    <row r="190" spans="1:5">
      <c r="A190" s="987" t="s">
        <v>768</v>
      </c>
      <c r="B190" s="988" t="s">
        <v>85</v>
      </c>
      <c r="C190" s="1058" t="s">
        <v>769</v>
      </c>
      <c r="D190" s="1069" t="s">
        <v>80</v>
      </c>
      <c r="E190" s="1067">
        <f>_xlfn.XLOOKUP(C190,'vtb(1)'!$B$18:$B$388,'vtb(1)'!$I$18:$I$388,,0)</f>
        <v>10193140</v>
      </c>
    </row>
    <row r="191" spans="1:5">
      <c r="A191" s="1043" t="s">
        <v>770</v>
      </c>
      <c r="B191" s="1044" t="s">
        <v>85</v>
      </c>
      <c r="C191" s="1058" t="s">
        <v>771</v>
      </c>
      <c r="D191" s="1068" t="s">
        <v>80</v>
      </c>
      <c r="E191" s="1067">
        <f>_xlfn.XLOOKUP(C191,'vtb(1)'!$B$18:$B$388,'vtb(1)'!$I$18:$I$388,,0)</f>
        <v>16413845</v>
      </c>
    </row>
    <row r="192" spans="1:5">
      <c r="A192" s="987" t="s">
        <v>772</v>
      </c>
      <c r="B192" s="988" t="s">
        <v>85</v>
      </c>
      <c r="C192" s="1058" t="s">
        <v>773</v>
      </c>
      <c r="D192" s="1069" t="s">
        <v>80</v>
      </c>
      <c r="E192" s="1067">
        <f>_xlfn.XLOOKUP(C192,'vtb(1)'!$B$18:$B$388,'vtb(1)'!$I$18:$I$388,,0)</f>
        <v>21099058</v>
      </c>
    </row>
    <row r="193" spans="1:5">
      <c r="A193" s="1043" t="s">
        <v>774</v>
      </c>
      <c r="B193" s="1044" t="s">
        <v>85</v>
      </c>
      <c r="C193" s="1058" t="s">
        <v>775</v>
      </c>
      <c r="D193" s="1068" t="s">
        <v>80</v>
      </c>
      <c r="E193" s="1067">
        <f>_xlfn.XLOOKUP(C193,'vtb(1)'!$B$18:$B$388,'vtb(1)'!$I$18:$I$388,,0)</f>
        <v>20822869</v>
      </c>
    </row>
    <row r="194" spans="1:5">
      <c r="A194" s="987" t="s">
        <v>776</v>
      </c>
      <c r="B194" s="988" t="s">
        <v>85</v>
      </c>
      <c r="C194" s="1058" t="s">
        <v>777</v>
      </c>
      <c r="D194" s="1069" t="s">
        <v>80</v>
      </c>
      <c r="E194" s="1067">
        <f>_xlfn.XLOOKUP(C194,'vtb(1)'!$B$18:$B$388,'vtb(1)'!$I$18:$I$388,,0)</f>
        <v>33046001</v>
      </c>
    </row>
    <row r="195" spans="1:5">
      <c r="A195" s="1043" t="s">
        <v>778</v>
      </c>
      <c r="B195" s="1044" t="s">
        <v>85</v>
      </c>
      <c r="C195" s="1058" t="s">
        <v>779</v>
      </c>
      <c r="D195" s="1068" t="s">
        <v>80</v>
      </c>
      <c r="E195" s="1067">
        <f>_xlfn.XLOOKUP(C195,'vtb(1)'!$B$18:$B$388,'vtb(1)'!$I$18:$I$388,,0)</f>
        <v>75129815</v>
      </c>
    </row>
    <row r="196" spans="1:5">
      <c r="A196" s="987" t="s">
        <v>780</v>
      </c>
      <c r="B196" s="988" t="s">
        <v>85</v>
      </c>
      <c r="C196" s="1058" t="s">
        <v>781</v>
      </c>
      <c r="D196" s="1069" t="s">
        <v>80</v>
      </c>
      <c r="E196" s="1067">
        <f>_xlfn.XLOOKUP(C196,'vtb(1)'!$B$18:$B$388,'vtb(1)'!$I$18:$I$388,,0)</f>
        <v>25199502</v>
      </c>
    </row>
    <row r="197" spans="1:5">
      <c r="A197" s="1043" t="s">
        <v>782</v>
      </c>
      <c r="B197" s="1044" t="s">
        <v>85</v>
      </c>
      <c r="C197" s="1058" t="s">
        <v>783</v>
      </c>
      <c r="D197" s="1068" t="s">
        <v>80</v>
      </c>
      <c r="E197" s="1067">
        <f>_xlfn.XLOOKUP(C197,'vtb(1)'!$B$18:$B$388,'vtb(1)'!$I$18:$I$388,,0)</f>
        <v>97663266</v>
      </c>
    </row>
    <row r="198" spans="1:5">
      <c r="A198" s="987" t="s">
        <v>784</v>
      </c>
      <c r="B198" s="988" t="s">
        <v>85</v>
      </c>
      <c r="C198" s="1058" t="s">
        <v>785</v>
      </c>
      <c r="D198" s="1069" t="s">
        <v>80</v>
      </c>
      <c r="E198" s="1067">
        <f>_xlfn.XLOOKUP(C198,'vtb(1)'!$B$18:$B$388,'vtb(1)'!$I$18:$I$388,,0)</f>
        <v>19634919</v>
      </c>
    </row>
    <row r="199" spans="1:5">
      <c r="A199" s="1043" t="s">
        <v>786</v>
      </c>
      <c r="B199" s="1044" t="s">
        <v>85</v>
      </c>
      <c r="C199" s="1058" t="s">
        <v>787</v>
      </c>
      <c r="D199" s="1068" t="s">
        <v>80</v>
      </c>
      <c r="E199" s="1067">
        <f>_xlfn.XLOOKUP(C199,'vtb(1)'!$B$18:$B$388,'vtb(1)'!$I$18:$I$388,,0)</f>
        <v>84039000</v>
      </c>
    </row>
    <row r="200" spans="1:5">
      <c r="A200" s="987" t="s">
        <v>788</v>
      </c>
      <c r="B200" s="988" t="s">
        <v>85</v>
      </c>
      <c r="C200" s="1058" t="s">
        <v>789</v>
      </c>
      <c r="D200" s="1069" t="s">
        <v>80</v>
      </c>
      <c r="E200" s="1067">
        <f>_xlfn.XLOOKUP(C200,'vtb(1)'!$B$18:$B$388,'vtb(1)'!$I$18:$I$388,,0)</f>
        <v>2094006265</v>
      </c>
    </row>
    <row r="201" spans="1:5">
      <c r="A201" s="1043" t="s">
        <v>790</v>
      </c>
      <c r="B201" s="1044" t="s">
        <v>85</v>
      </c>
      <c r="C201" s="1058" t="s">
        <v>791</v>
      </c>
      <c r="D201" s="1068" t="s">
        <v>80</v>
      </c>
      <c r="E201" s="1067">
        <f>_xlfn.XLOOKUP(C201,'vtb(1)'!$B$18:$B$388,'vtb(1)'!$I$18:$I$388,,0)</f>
        <v>50912066</v>
      </c>
    </row>
    <row r="202" spans="1:5">
      <c r="A202" s="987" t="s">
        <v>792</v>
      </c>
      <c r="B202" s="988" t="s">
        <v>85</v>
      </c>
      <c r="C202" s="1058" t="s">
        <v>793</v>
      </c>
      <c r="D202" s="1069" t="s">
        <v>80</v>
      </c>
      <c r="E202" s="1067">
        <f>_xlfn.XLOOKUP(C202,'vtb(1)'!$B$18:$B$388,'vtb(1)'!$I$18:$I$388,,0)</f>
        <v>90729660</v>
      </c>
    </row>
    <row r="203" spans="1:5">
      <c r="A203" s="1043" t="s">
        <v>794</v>
      </c>
      <c r="B203" s="1044" t="s">
        <v>85</v>
      </c>
      <c r="C203" s="1058" t="s">
        <v>795</v>
      </c>
      <c r="D203" s="1068" t="s">
        <v>80</v>
      </c>
      <c r="E203" s="1067">
        <f>_xlfn.XLOOKUP(C203,'vtb(1)'!$B$18:$B$388,'vtb(1)'!$I$18:$I$388,,0)</f>
        <v>44392971</v>
      </c>
    </row>
    <row r="204" spans="1:5">
      <c r="A204" s="987" t="s">
        <v>796</v>
      </c>
      <c r="B204" s="988" t="s">
        <v>85</v>
      </c>
      <c r="C204" s="1058" t="s">
        <v>797</v>
      </c>
      <c r="D204" s="1069" t="s">
        <v>80</v>
      </c>
      <c r="E204" s="1067">
        <f>_xlfn.XLOOKUP(C204,'vtb(1)'!$B$18:$B$388,'vtb(1)'!$I$18:$I$388,,0)</f>
        <v>38267920</v>
      </c>
    </row>
    <row r="205" spans="1:5">
      <c r="A205" s="1043" t="s">
        <v>520</v>
      </c>
      <c r="B205" s="1044" t="s">
        <v>95</v>
      </c>
      <c r="C205" s="1058" t="s">
        <v>798</v>
      </c>
      <c r="D205" s="1068" t="s">
        <v>80</v>
      </c>
      <c r="E205" s="932" t="s">
        <v>466</v>
      </c>
    </row>
    <row r="206" spans="1:5">
      <c r="A206" s="987" t="s">
        <v>524</v>
      </c>
      <c r="B206" s="988" t="s">
        <v>95</v>
      </c>
      <c r="C206" s="1063" t="s">
        <v>799</v>
      </c>
      <c r="D206" s="1069" t="s">
        <v>80</v>
      </c>
      <c r="E206" s="932" t="s">
        <v>466</v>
      </c>
    </row>
    <row r="207" spans="1:5">
      <c r="A207" s="1043" t="s">
        <v>801</v>
      </c>
      <c r="B207" s="1044" t="s">
        <v>89</v>
      </c>
      <c r="C207" s="1058" t="s">
        <v>802</v>
      </c>
      <c r="D207" s="1068" t="s">
        <v>80</v>
      </c>
      <c r="E207" s="932" t="s">
        <v>466</v>
      </c>
    </row>
    <row r="208" spans="1:5">
      <c r="A208" s="987" t="s">
        <v>469</v>
      </c>
      <c r="B208" s="988" t="s">
        <v>803</v>
      </c>
      <c r="C208" s="1058" t="s">
        <v>804</v>
      </c>
      <c r="D208" s="1069" t="s">
        <v>80</v>
      </c>
      <c r="E208" s="932" t="s">
        <v>5050</v>
      </c>
    </row>
    <row r="209" spans="1:5">
      <c r="A209" s="1043" t="s">
        <v>469</v>
      </c>
      <c r="B209" s="1044" t="s">
        <v>341</v>
      </c>
      <c r="C209" s="1058" t="s">
        <v>805</v>
      </c>
      <c r="D209" s="1068" t="s">
        <v>80</v>
      </c>
      <c r="E209" s="932" t="s">
        <v>5050</v>
      </c>
    </row>
    <row r="210" spans="1:5">
      <c r="A210" s="987" t="s">
        <v>469</v>
      </c>
      <c r="B210" s="988" t="s">
        <v>341</v>
      </c>
      <c r="C210" s="1058" t="s">
        <v>806</v>
      </c>
      <c r="D210" s="1069" t="s">
        <v>81</v>
      </c>
      <c r="E210" s="932" t="s">
        <v>5050</v>
      </c>
    </row>
    <row r="211" spans="1:5">
      <c r="A211" s="1043" t="s">
        <v>808</v>
      </c>
      <c r="B211" s="1044" t="s">
        <v>91</v>
      </c>
      <c r="C211" s="1058" t="s">
        <v>809</v>
      </c>
      <c r="D211" s="1068" t="s">
        <v>80</v>
      </c>
      <c r="E211" s="932" t="s">
        <v>466</v>
      </c>
    </row>
    <row r="212" spans="1:5">
      <c r="A212" s="987" t="s">
        <v>808</v>
      </c>
      <c r="B212" s="988" t="s">
        <v>91</v>
      </c>
      <c r="C212" s="1058" t="s">
        <v>810</v>
      </c>
      <c r="D212" s="1069" t="s">
        <v>81</v>
      </c>
      <c r="E212" s="932" t="s">
        <v>466</v>
      </c>
    </row>
    <row r="213" spans="1:5">
      <c r="A213" s="989" t="s">
        <v>609</v>
      </c>
      <c r="B213" s="990" t="s">
        <v>85</v>
      </c>
      <c r="C213" s="1060" t="s">
        <v>850</v>
      </c>
      <c r="D213" s="1070" t="s">
        <v>80</v>
      </c>
      <c r="E213" s="1067">
        <f>_xlfn.XLOOKUP(C213,'vtb(1)'!$B$18:$B$388,'vtb(1)'!$I$18:$I$388,,0)</f>
        <v>3028003</v>
      </c>
    </row>
    <row r="214" spans="1:5">
      <c r="A214" s="987" t="s">
        <v>609</v>
      </c>
      <c r="B214" s="988" t="s">
        <v>85</v>
      </c>
      <c r="C214" s="1063" t="s">
        <v>851</v>
      </c>
      <c r="D214" s="1069" t="s">
        <v>80</v>
      </c>
      <c r="E214" s="1067">
        <f>_xlfn.XLOOKUP(C214,'vtb(1)'!$B$18:$B$388,'vtb(1)'!$I$18:$I$388,,0)</f>
        <v>4783626078</v>
      </c>
    </row>
    <row r="215" spans="1:5">
      <c r="A215" s="1043" t="s">
        <v>752</v>
      </c>
      <c r="B215" s="1044" t="s">
        <v>96</v>
      </c>
      <c r="C215" s="1058" t="s">
        <v>856</v>
      </c>
      <c r="D215" s="1068" t="s">
        <v>80</v>
      </c>
      <c r="E215" s="932" t="s">
        <v>466</v>
      </c>
    </row>
    <row r="216" spans="1:5">
      <c r="A216" s="991" t="s">
        <v>857</v>
      </c>
      <c r="B216" s="992" t="s">
        <v>191</v>
      </c>
      <c r="C216" s="1064" t="s">
        <v>858</v>
      </c>
      <c r="D216" s="1072" t="s">
        <v>80</v>
      </c>
      <c r="E216" s="1067">
        <f>_xlfn.XLOOKUP(C216,'vtb(1)'!$B$18:$B$388,'vtb(1)'!$I$18:$I$388,,0)</f>
        <v>63137665</v>
      </c>
    </row>
    <row r="217" spans="1:5">
      <c r="A217" s="1043" t="s">
        <v>859</v>
      </c>
      <c r="B217" s="1044" t="s">
        <v>191</v>
      </c>
      <c r="C217" s="1058" t="s">
        <v>860</v>
      </c>
      <c r="D217" s="1068" t="s">
        <v>80</v>
      </c>
      <c r="E217" s="1067">
        <f>_xlfn.XLOOKUP(C217,'vtb(1)'!$B$18:$B$388,'vtb(1)'!$I$18:$I$388,,0)</f>
        <v>51112543</v>
      </c>
    </row>
    <row r="218" spans="1:5">
      <c r="A218" s="987" t="s">
        <v>862</v>
      </c>
      <c r="B218" s="988" t="s">
        <v>191</v>
      </c>
      <c r="C218" s="1058" t="s">
        <v>863</v>
      </c>
      <c r="D218" s="1069" t="s">
        <v>80</v>
      </c>
      <c r="E218" s="1067">
        <f>_xlfn.XLOOKUP(C218,'vtb(1)'!$B$18:$B$388,'vtb(1)'!$I$18:$I$388,,0)</f>
        <v>51114074</v>
      </c>
    </row>
    <row r="219" spans="1:5">
      <c r="A219" s="1043" t="s">
        <v>784</v>
      </c>
      <c r="B219" s="1044" t="s">
        <v>201</v>
      </c>
      <c r="C219" s="1058" t="s">
        <v>865</v>
      </c>
      <c r="D219" s="1068" t="s">
        <v>80</v>
      </c>
      <c r="E219" s="932" t="s">
        <v>5050</v>
      </c>
    </row>
    <row r="220" spans="1:5">
      <c r="A220" s="987" t="s">
        <v>786</v>
      </c>
      <c r="B220" s="988" t="s">
        <v>201</v>
      </c>
      <c r="C220" s="1063" t="s">
        <v>866</v>
      </c>
      <c r="D220" s="1069" t="s">
        <v>80</v>
      </c>
      <c r="E220" s="932" t="s">
        <v>5050</v>
      </c>
    </row>
    <row r="221" spans="1:5">
      <c r="A221" s="1043" t="s">
        <v>790</v>
      </c>
      <c r="B221" s="1044" t="s">
        <v>201</v>
      </c>
      <c r="C221" s="1058" t="s">
        <v>867</v>
      </c>
      <c r="D221" s="1068" t="s">
        <v>80</v>
      </c>
      <c r="E221" s="932" t="s">
        <v>5050</v>
      </c>
    </row>
    <row r="222" spans="1:5">
      <c r="A222" s="987" t="s">
        <v>780</v>
      </c>
      <c r="B222" s="988" t="s">
        <v>201</v>
      </c>
      <c r="C222" s="1063" t="s">
        <v>868</v>
      </c>
      <c r="D222" s="1069" t="s">
        <v>80</v>
      </c>
      <c r="E222" s="932" t="s">
        <v>5050</v>
      </c>
    </row>
    <row r="223" spans="1:5">
      <c r="A223" s="1043" t="s">
        <v>788</v>
      </c>
      <c r="B223" s="1044" t="s">
        <v>201</v>
      </c>
      <c r="C223" s="1058" t="s">
        <v>869</v>
      </c>
      <c r="D223" s="1068" t="s">
        <v>80</v>
      </c>
      <c r="E223" s="932" t="s">
        <v>5050</v>
      </c>
    </row>
    <row r="224" spans="1:5">
      <c r="A224" s="987" t="s">
        <v>875</v>
      </c>
      <c r="B224" s="988" t="s">
        <v>92</v>
      </c>
      <c r="C224" s="1058" t="s">
        <v>876</v>
      </c>
      <c r="D224" s="1069" t="s">
        <v>80</v>
      </c>
      <c r="E224" s="932" t="s">
        <v>5053</v>
      </c>
    </row>
    <row r="225" spans="1:5">
      <c r="A225" s="1043" t="s">
        <v>877</v>
      </c>
      <c r="B225" s="1044" t="s">
        <v>92</v>
      </c>
      <c r="C225" s="1058" t="s">
        <v>878</v>
      </c>
      <c r="D225" s="1068" t="s">
        <v>80</v>
      </c>
      <c r="E225" s="932" t="s">
        <v>5053</v>
      </c>
    </row>
    <row r="226" spans="1:5">
      <c r="A226" s="987" t="s">
        <v>879</v>
      </c>
      <c r="B226" s="988" t="s">
        <v>92</v>
      </c>
      <c r="C226" s="1058" t="s">
        <v>880</v>
      </c>
      <c r="D226" s="1069" t="s">
        <v>80</v>
      </c>
      <c r="E226" s="932" t="s">
        <v>5053</v>
      </c>
    </row>
    <row r="227" spans="1:5">
      <c r="A227" s="1043" t="s">
        <v>879</v>
      </c>
      <c r="B227" s="1044" t="s">
        <v>92</v>
      </c>
      <c r="C227" s="1058" t="s">
        <v>882</v>
      </c>
      <c r="D227" s="1068" t="s">
        <v>81</v>
      </c>
      <c r="E227" s="932"/>
    </row>
    <row r="228" spans="1:5">
      <c r="A228" s="987" t="s">
        <v>884</v>
      </c>
      <c r="B228" s="988" t="s">
        <v>92</v>
      </c>
      <c r="C228" s="1058" t="s">
        <v>885</v>
      </c>
      <c r="D228" s="1069" t="s">
        <v>80</v>
      </c>
      <c r="E228" s="932" t="s">
        <v>466</v>
      </c>
    </row>
    <row r="229" spans="1:5">
      <c r="A229" s="989" t="s">
        <v>886</v>
      </c>
      <c r="B229" s="990" t="s">
        <v>92</v>
      </c>
      <c r="C229" s="1059" t="s">
        <v>887</v>
      </c>
      <c r="D229" s="1070" t="s">
        <v>80</v>
      </c>
      <c r="E229" s="932" t="s">
        <v>466</v>
      </c>
    </row>
    <row r="230" spans="1:5">
      <c r="A230" s="989" t="s">
        <v>888</v>
      </c>
      <c r="B230" s="990" t="s">
        <v>92</v>
      </c>
      <c r="C230" s="1060" t="s">
        <v>890</v>
      </c>
      <c r="D230" s="1070" t="s">
        <v>80</v>
      </c>
      <c r="E230" s="932" t="s">
        <v>466</v>
      </c>
    </row>
    <row r="231" spans="1:5">
      <c r="A231" s="989" t="s">
        <v>891</v>
      </c>
      <c r="B231" s="990" t="s">
        <v>92</v>
      </c>
      <c r="C231" s="1059" t="s">
        <v>892</v>
      </c>
      <c r="D231" s="1070" t="s">
        <v>80</v>
      </c>
      <c r="E231" s="932" t="s">
        <v>466</v>
      </c>
    </row>
    <row r="232" spans="1:5">
      <c r="A232" s="987" t="s">
        <v>582</v>
      </c>
      <c r="B232" s="988" t="s">
        <v>191</v>
      </c>
      <c r="C232" s="1063" t="s">
        <v>893</v>
      </c>
      <c r="D232" s="1069" t="s">
        <v>80</v>
      </c>
      <c r="E232" s="1067">
        <f>_xlfn.XLOOKUP(C232,'vtb(1)'!$B$18:$B$388,'vtb(1)'!$I$18:$I$388,,0)</f>
        <v>1292264875</v>
      </c>
    </row>
    <row r="233" spans="1:5">
      <c r="A233" s="993" t="s">
        <v>570</v>
      </c>
      <c r="B233" s="994" t="s">
        <v>196</v>
      </c>
      <c r="C233" s="1065" t="s">
        <v>894</v>
      </c>
      <c r="D233" s="1074" t="s">
        <v>80</v>
      </c>
      <c r="E233" s="932"/>
    </row>
    <row r="234" spans="1:5">
      <c r="A234" s="987" t="s">
        <v>774</v>
      </c>
      <c r="B234" s="988" t="s">
        <v>92</v>
      </c>
      <c r="C234" s="1063" t="s">
        <v>895</v>
      </c>
      <c r="D234" s="1069" t="s">
        <v>80</v>
      </c>
      <c r="E234" s="932" t="s">
        <v>466</v>
      </c>
    </row>
    <row r="235" spans="1:5">
      <c r="A235" s="993" t="s">
        <v>794</v>
      </c>
      <c r="B235" s="994" t="s">
        <v>92</v>
      </c>
      <c r="C235" s="1065" t="s">
        <v>896</v>
      </c>
      <c r="D235" s="1074" t="s">
        <v>80</v>
      </c>
      <c r="E235" s="932"/>
    </row>
    <row r="236" spans="1:5">
      <c r="A236" s="989" t="s">
        <v>897</v>
      </c>
      <c r="B236" s="990" t="s">
        <v>92</v>
      </c>
      <c r="C236" s="1059" t="s">
        <v>898</v>
      </c>
      <c r="D236" s="1070" t="s">
        <v>80</v>
      </c>
      <c r="E236" s="932"/>
    </row>
    <row r="237" spans="1:5">
      <c r="A237" s="1043" t="s">
        <v>897</v>
      </c>
      <c r="B237" s="1044" t="s">
        <v>92</v>
      </c>
      <c r="C237" s="1058" t="s">
        <v>900</v>
      </c>
      <c r="D237" s="1068" t="s">
        <v>81</v>
      </c>
      <c r="E237" s="932"/>
    </row>
    <row r="238" spans="1:5">
      <c r="A238" s="987" t="s">
        <v>897</v>
      </c>
      <c r="B238" s="988" t="s">
        <v>803</v>
      </c>
      <c r="C238" s="1063" t="s">
        <v>901</v>
      </c>
      <c r="D238" s="1069" t="s">
        <v>80</v>
      </c>
      <c r="E238" s="932" t="s">
        <v>5050</v>
      </c>
    </row>
    <row r="239" spans="1:5">
      <c r="A239" s="1043" t="s">
        <v>897</v>
      </c>
      <c r="B239" s="1044" t="s">
        <v>803</v>
      </c>
      <c r="C239" s="1058" t="s">
        <v>903</v>
      </c>
      <c r="D239" s="1068" t="s">
        <v>81</v>
      </c>
      <c r="E239" s="932" t="s">
        <v>5050</v>
      </c>
    </row>
    <row r="240" spans="1:5">
      <c r="A240" s="989" t="s">
        <v>905</v>
      </c>
      <c r="B240" s="990" t="s">
        <v>92</v>
      </c>
      <c r="C240" s="1059" t="s">
        <v>906</v>
      </c>
      <c r="D240" s="1070" t="s">
        <v>80</v>
      </c>
      <c r="E240" s="932"/>
    </row>
    <row r="241" spans="1:5">
      <c r="A241" s="1043" t="s">
        <v>905</v>
      </c>
      <c r="B241" s="1044" t="s">
        <v>92</v>
      </c>
      <c r="C241" s="1058" t="s">
        <v>907</v>
      </c>
      <c r="D241" s="1068" t="s">
        <v>81</v>
      </c>
      <c r="E241" s="932"/>
    </row>
    <row r="242" spans="1:5">
      <c r="A242" s="987" t="s">
        <v>905</v>
      </c>
      <c r="B242" s="988" t="s">
        <v>803</v>
      </c>
      <c r="C242" s="1063" t="s">
        <v>908</v>
      </c>
      <c r="D242" s="1069" t="s">
        <v>80</v>
      </c>
      <c r="E242" s="932" t="s">
        <v>5050</v>
      </c>
    </row>
    <row r="243" spans="1:5">
      <c r="A243" s="1043" t="s">
        <v>905</v>
      </c>
      <c r="B243" s="1044" t="s">
        <v>803</v>
      </c>
      <c r="C243" s="1058" t="s">
        <v>910</v>
      </c>
      <c r="D243" s="1068" t="s">
        <v>81</v>
      </c>
      <c r="E243" s="932" t="s">
        <v>5050</v>
      </c>
    </row>
    <row r="244" spans="1:5">
      <c r="A244" s="991" t="s">
        <v>912</v>
      </c>
      <c r="B244" s="992" t="s">
        <v>155</v>
      </c>
      <c r="C244" s="1064" t="s">
        <v>913</v>
      </c>
      <c r="D244" s="1072" t="s">
        <v>80</v>
      </c>
      <c r="E244" s="1067">
        <f>_xlfn.XLOOKUP(C244,'vtb(1)'!$B$18:$B$388,'vtb(1)'!$I$18:$I$388,,0)</f>
        <v>10447597</v>
      </c>
    </row>
    <row r="245" spans="1:5">
      <c r="A245" s="1043" t="s">
        <v>912</v>
      </c>
      <c r="B245" s="1044" t="s">
        <v>155</v>
      </c>
      <c r="C245" s="1058" t="s">
        <v>914</v>
      </c>
      <c r="D245" s="1068" t="s">
        <v>81</v>
      </c>
      <c r="E245" s="1067">
        <f>_xlfn.XLOOKUP(C245,'vtb(1)'!$B$18:$B$388,'vtb(1)'!$I$18:$I$388,,0)</f>
        <v>0</v>
      </c>
    </row>
    <row r="246" spans="1:5">
      <c r="A246" s="987" t="s">
        <v>884</v>
      </c>
      <c r="B246" s="988" t="s">
        <v>92</v>
      </c>
      <c r="C246" s="1063" t="s">
        <v>915</v>
      </c>
      <c r="D246" s="1069" t="s">
        <v>81</v>
      </c>
      <c r="E246" s="932"/>
    </row>
    <row r="247" spans="1:5">
      <c r="A247" s="1043" t="s">
        <v>582</v>
      </c>
      <c r="B247" s="1044" t="s">
        <v>155</v>
      </c>
      <c r="C247" s="1058" t="s">
        <v>917</v>
      </c>
      <c r="D247" s="1068" t="s">
        <v>81</v>
      </c>
      <c r="E247" s="1067">
        <f>_xlfn.XLOOKUP(C247,'vtb(1)'!$B$18:$B$388,'vtb(1)'!$I$18:$I$388,,0)</f>
        <v>0</v>
      </c>
    </row>
    <row r="248" spans="1:5">
      <c r="A248" s="991" t="s">
        <v>919</v>
      </c>
      <c r="B248" s="992" t="s">
        <v>85</v>
      </c>
      <c r="C248" s="1064" t="s">
        <v>920</v>
      </c>
      <c r="D248" s="1072" t="s">
        <v>80</v>
      </c>
      <c r="E248" s="1067">
        <f>_xlfn.XLOOKUP(C248,'vtb(1)'!$B$18:$B$388,'vtb(1)'!$I$18:$I$388,,0)</f>
        <v>7968666</v>
      </c>
    </row>
    <row r="249" spans="1:5">
      <c r="A249" s="991" t="s">
        <v>921</v>
      </c>
      <c r="B249" s="992" t="s">
        <v>155</v>
      </c>
      <c r="C249" s="1064" t="s">
        <v>922</v>
      </c>
      <c r="D249" s="1072" t="s">
        <v>80</v>
      </c>
      <c r="E249" s="1067">
        <f>_xlfn.XLOOKUP(C249,'vtb(1)'!$B$18:$B$388,'vtb(1)'!$I$18:$I$388,,0)</f>
        <v>6957850</v>
      </c>
    </row>
    <row r="250" spans="1:5">
      <c r="A250" s="987" t="s">
        <v>921</v>
      </c>
      <c r="B250" s="988" t="s">
        <v>155</v>
      </c>
      <c r="C250" s="1063" t="s">
        <v>923</v>
      </c>
      <c r="D250" s="1069" t="s">
        <v>81</v>
      </c>
      <c r="E250" s="1067">
        <f>_xlfn.XLOOKUP(C250,'vtb(1)'!$B$18:$B$388,'vtb(1)'!$I$18:$I$388,,0)</f>
        <v>0</v>
      </c>
    </row>
    <row r="251" spans="1:5">
      <c r="A251" s="991" t="s">
        <v>924</v>
      </c>
      <c r="B251" s="992" t="s">
        <v>85</v>
      </c>
      <c r="C251" s="1064" t="s">
        <v>925</v>
      </c>
      <c r="D251" s="1072" t="s">
        <v>80</v>
      </c>
      <c r="E251" s="1067">
        <f>_xlfn.XLOOKUP(C251,'vtb(1)'!$B$18:$B$388,'vtb(1)'!$I$18:$I$388,,0)</f>
        <v>95560352</v>
      </c>
    </row>
    <row r="252" spans="1:5">
      <c r="A252" s="987" t="s">
        <v>926</v>
      </c>
      <c r="B252" s="988" t="s">
        <v>194</v>
      </c>
      <c r="C252" s="1063" t="s">
        <v>927</v>
      </c>
      <c r="D252" s="1069" t="s">
        <v>80</v>
      </c>
      <c r="E252" s="932" t="s">
        <v>466</v>
      </c>
    </row>
    <row r="253" spans="1:5">
      <c r="A253" s="1043" t="s">
        <v>921</v>
      </c>
      <c r="B253" s="1044" t="s">
        <v>195</v>
      </c>
      <c r="C253" s="1058" t="s">
        <v>928</v>
      </c>
      <c r="D253" s="1068" t="s">
        <v>80</v>
      </c>
      <c r="E253" s="932" t="s">
        <v>466</v>
      </c>
    </row>
    <row r="254" spans="1:5">
      <c r="A254" s="989" t="s">
        <v>926</v>
      </c>
      <c r="B254" s="990" t="s">
        <v>92</v>
      </c>
      <c r="C254" s="1059" t="s">
        <v>929</v>
      </c>
      <c r="D254" s="1070" t="s">
        <v>80</v>
      </c>
      <c r="E254" s="932"/>
    </row>
    <row r="255" spans="1:5">
      <c r="A255" s="1043" t="s">
        <v>891</v>
      </c>
      <c r="B255" s="1044" t="s">
        <v>92</v>
      </c>
      <c r="C255" s="1058" t="s">
        <v>931</v>
      </c>
      <c r="D255" s="1068" t="s">
        <v>81</v>
      </c>
      <c r="E255" s="932"/>
    </row>
    <row r="256" spans="1:5">
      <c r="A256" s="987" t="s">
        <v>888</v>
      </c>
      <c r="B256" s="988" t="s">
        <v>92</v>
      </c>
      <c r="C256" s="1063" t="s">
        <v>932</v>
      </c>
      <c r="D256" s="1069" t="s">
        <v>81</v>
      </c>
      <c r="E256" s="932"/>
    </row>
    <row r="257" spans="1:5">
      <c r="A257" s="1043" t="s">
        <v>688</v>
      </c>
      <c r="B257" s="1044" t="s">
        <v>95</v>
      </c>
      <c r="C257" s="1058" t="s">
        <v>936</v>
      </c>
      <c r="D257" s="1068" t="s">
        <v>80</v>
      </c>
      <c r="E257" s="932" t="s">
        <v>466</v>
      </c>
    </row>
    <row r="258" spans="1:5">
      <c r="A258" s="987" t="s">
        <v>770</v>
      </c>
      <c r="B258" s="988" t="s">
        <v>95</v>
      </c>
      <c r="C258" s="1063" t="s">
        <v>937</v>
      </c>
      <c r="D258" s="1069" t="s">
        <v>80</v>
      </c>
      <c r="E258" s="932" t="s">
        <v>466</v>
      </c>
    </row>
    <row r="259" spans="1:5">
      <c r="A259" s="1043" t="s">
        <v>782</v>
      </c>
      <c r="B259" s="1044" t="s">
        <v>95</v>
      </c>
      <c r="C259" s="1058" t="s">
        <v>938</v>
      </c>
      <c r="D259" s="1068" t="s">
        <v>80</v>
      </c>
      <c r="E259" s="932" t="s">
        <v>466</v>
      </c>
    </row>
    <row r="260" spans="1:5">
      <c r="A260" s="987" t="s">
        <v>768</v>
      </c>
      <c r="B260" s="988" t="s">
        <v>95</v>
      </c>
      <c r="C260" s="1063" t="s">
        <v>939</v>
      </c>
      <c r="D260" s="1069" t="s">
        <v>80</v>
      </c>
      <c r="E260" s="932" t="s">
        <v>466</v>
      </c>
    </row>
    <row r="261" spans="1:5">
      <c r="A261" s="1043" t="s">
        <v>676</v>
      </c>
      <c r="B261" s="1044" t="s">
        <v>95</v>
      </c>
      <c r="C261" s="1058" t="s">
        <v>940</v>
      </c>
      <c r="D261" s="1068" t="s">
        <v>80</v>
      </c>
      <c r="E261" s="932" t="s">
        <v>466</v>
      </c>
    </row>
    <row r="262" spans="1:5">
      <c r="A262" s="987" t="s">
        <v>718</v>
      </c>
      <c r="B262" s="988" t="s">
        <v>95</v>
      </c>
      <c r="C262" s="1063" t="s">
        <v>941</v>
      </c>
      <c r="D262" s="1069" t="s">
        <v>80</v>
      </c>
      <c r="E262" s="932" t="s">
        <v>466</v>
      </c>
    </row>
    <row r="263" spans="1:5">
      <c r="A263" s="1043" t="s">
        <v>732</v>
      </c>
      <c r="B263" s="1044" t="s">
        <v>95</v>
      </c>
      <c r="C263" s="1058" t="s">
        <v>942</v>
      </c>
      <c r="D263" s="1068" t="s">
        <v>80</v>
      </c>
      <c r="E263" s="932" t="s">
        <v>466</v>
      </c>
    </row>
    <row r="264" spans="1:5">
      <c r="A264" s="991" t="s">
        <v>943</v>
      </c>
      <c r="B264" s="992" t="s">
        <v>85</v>
      </c>
      <c r="C264" s="1064" t="s">
        <v>944</v>
      </c>
      <c r="D264" s="1072" t="s">
        <v>80</v>
      </c>
      <c r="E264" s="1067">
        <f>_xlfn.XLOOKUP(C264,'vtb(1)'!$B$18:$B$388,'vtb(1)'!$I$18:$I$388,,0)</f>
        <v>96533467</v>
      </c>
    </row>
    <row r="265" spans="1:5">
      <c r="A265" s="991" t="s">
        <v>945</v>
      </c>
      <c r="B265" s="992" t="s">
        <v>85</v>
      </c>
      <c r="C265" s="1064" t="s">
        <v>946</v>
      </c>
      <c r="D265" s="1072" t="s">
        <v>80</v>
      </c>
      <c r="E265" s="1067">
        <f>_xlfn.XLOOKUP(C265,'vtb(1)'!$B$18:$B$388,'vtb(1)'!$I$18:$I$388,,0)</f>
        <v>101635167</v>
      </c>
    </row>
    <row r="266" spans="1:5">
      <c r="A266" s="991" t="s">
        <v>947</v>
      </c>
      <c r="B266" s="992" t="s">
        <v>85</v>
      </c>
      <c r="C266" s="1064" t="s">
        <v>948</v>
      </c>
      <c r="D266" s="1072" t="s">
        <v>80</v>
      </c>
      <c r="E266" s="1067">
        <f>_xlfn.XLOOKUP(C266,'vtb(1)'!$B$18:$B$388,'vtb(1)'!$I$18:$I$388,,0)</f>
        <v>96533577</v>
      </c>
    </row>
    <row r="267" spans="1:5">
      <c r="A267" s="991" t="s">
        <v>949</v>
      </c>
      <c r="B267" s="992" t="s">
        <v>85</v>
      </c>
      <c r="C267" s="1064" t="s">
        <v>950</v>
      </c>
      <c r="D267" s="1072" t="s">
        <v>80</v>
      </c>
      <c r="E267" s="1067">
        <f>_xlfn.XLOOKUP(C267,'vtb(1)'!$B$18:$B$388,'vtb(1)'!$I$18:$I$388,,0)</f>
        <v>51635262</v>
      </c>
    </row>
    <row r="268" spans="1:5">
      <c r="A268" s="991" t="s">
        <v>951</v>
      </c>
      <c r="B268" s="992" t="s">
        <v>85</v>
      </c>
      <c r="C268" s="1064" t="s">
        <v>952</v>
      </c>
      <c r="D268" s="1072" t="s">
        <v>80</v>
      </c>
      <c r="E268" s="1067">
        <f>_xlfn.XLOOKUP(C268,'vtb(1)'!$B$18:$B$388,'vtb(1)'!$I$18:$I$388,,0)</f>
        <v>102250760</v>
      </c>
    </row>
    <row r="269" spans="1:5">
      <c r="A269" s="989" t="s">
        <v>953</v>
      </c>
      <c r="B269" s="990" t="s">
        <v>92</v>
      </c>
      <c r="C269" s="1059" t="s">
        <v>954</v>
      </c>
      <c r="D269" s="1070" t="s">
        <v>80</v>
      </c>
      <c r="E269" s="932" t="s">
        <v>466</v>
      </c>
    </row>
    <row r="270" spans="1:5">
      <c r="A270" s="991" t="s">
        <v>955</v>
      </c>
      <c r="B270" s="992" t="s">
        <v>85</v>
      </c>
      <c r="C270" s="1064" t="s">
        <v>956</v>
      </c>
      <c r="D270" s="1072" t="s">
        <v>80</v>
      </c>
      <c r="E270" s="1067">
        <f>_xlfn.XLOOKUP(C270,'vtb(1)'!$B$18:$B$388,'vtb(1)'!$I$18:$I$388,,0)</f>
        <v>4606777</v>
      </c>
    </row>
    <row r="271" spans="1:5">
      <c r="A271" s="991" t="s">
        <v>957</v>
      </c>
      <c r="B271" s="992" t="s">
        <v>85</v>
      </c>
      <c r="C271" s="1064" t="s">
        <v>958</v>
      </c>
      <c r="D271" s="1072" t="s">
        <v>80</v>
      </c>
      <c r="E271" s="1067">
        <f>_xlfn.XLOOKUP(C271,'vtb(1)'!$B$18:$B$388,'vtb(1)'!$I$18:$I$388,,0)</f>
        <v>4608843</v>
      </c>
    </row>
    <row r="272" spans="1:5">
      <c r="A272" s="991" t="s">
        <v>959</v>
      </c>
      <c r="B272" s="992" t="s">
        <v>85</v>
      </c>
      <c r="C272" s="1064" t="s">
        <v>960</v>
      </c>
      <c r="D272" s="1072" t="s">
        <v>80</v>
      </c>
      <c r="E272" s="1067">
        <f>_xlfn.XLOOKUP(C272,'vtb(1)'!$B$18:$B$388,'vtb(1)'!$I$18:$I$388,,0)</f>
        <v>993453747</v>
      </c>
    </row>
    <row r="273" spans="1:5">
      <c r="A273" s="1043" t="s">
        <v>959</v>
      </c>
      <c r="B273" s="1044" t="s">
        <v>85</v>
      </c>
      <c r="C273" s="1058" t="s">
        <v>961</v>
      </c>
      <c r="D273" s="1068" t="s">
        <v>81</v>
      </c>
      <c r="E273" s="1067">
        <f>_xlfn.XLOOKUP(C273,'vtb(1)'!$B$18:$B$388,'vtb(1)'!$I$18:$I$388,,0)</f>
        <v>0</v>
      </c>
    </row>
    <row r="274" spans="1:5">
      <c r="A274" s="987" t="s">
        <v>469</v>
      </c>
      <c r="B274" s="988" t="s">
        <v>803</v>
      </c>
      <c r="C274" s="1063" t="s">
        <v>963</v>
      </c>
      <c r="D274" s="1069" t="s">
        <v>81</v>
      </c>
      <c r="E274" s="932" t="s">
        <v>5050</v>
      </c>
    </row>
    <row r="275" spans="1:5">
      <c r="A275" s="989" t="s">
        <v>964</v>
      </c>
      <c r="B275" s="990" t="s">
        <v>92</v>
      </c>
      <c r="C275" s="1059" t="s">
        <v>965</v>
      </c>
      <c r="D275" s="1070" t="s">
        <v>80</v>
      </c>
      <c r="E275" s="932" t="s">
        <v>466</v>
      </c>
    </row>
    <row r="276" spans="1:5">
      <c r="A276" s="991" t="s">
        <v>966</v>
      </c>
      <c r="B276" s="992" t="s">
        <v>85</v>
      </c>
      <c r="C276" s="1064" t="s">
        <v>967</v>
      </c>
      <c r="D276" s="1072" t="s">
        <v>80</v>
      </c>
      <c r="E276" s="1067">
        <f>_xlfn.XLOOKUP(C276,'vtb(1)'!$B$18:$B$388,'vtb(1)'!$I$18:$I$388,,0)</f>
        <v>6530640</v>
      </c>
    </row>
    <row r="277" spans="1:5">
      <c r="A277" s="1043" t="s">
        <v>970</v>
      </c>
      <c r="B277" s="1044" t="s">
        <v>971</v>
      </c>
      <c r="C277" s="1058" t="s">
        <v>972</v>
      </c>
      <c r="D277" s="1068" t="s">
        <v>80</v>
      </c>
      <c r="E277" s="932" t="s">
        <v>466</v>
      </c>
    </row>
    <row r="278" spans="1:5">
      <c r="A278" s="987" t="s">
        <v>582</v>
      </c>
      <c r="B278" s="988" t="s">
        <v>338</v>
      </c>
      <c r="C278" s="1063" t="s">
        <v>973</v>
      </c>
      <c r="D278" s="1069" t="s">
        <v>80</v>
      </c>
      <c r="E278" s="932" t="s">
        <v>5050</v>
      </c>
    </row>
    <row r="279" spans="1:5">
      <c r="A279" s="1043" t="s">
        <v>582</v>
      </c>
      <c r="B279" s="1044" t="s">
        <v>803</v>
      </c>
      <c r="C279" s="1058" t="s">
        <v>974</v>
      </c>
      <c r="D279" s="1068" t="s">
        <v>80</v>
      </c>
      <c r="E279" s="932" t="s">
        <v>5050</v>
      </c>
    </row>
    <row r="280" spans="1:5">
      <c r="A280" s="987" t="s">
        <v>582</v>
      </c>
      <c r="B280" s="988" t="s">
        <v>803</v>
      </c>
      <c r="C280" s="1063" t="s">
        <v>975</v>
      </c>
      <c r="D280" s="1069" t="s">
        <v>81</v>
      </c>
      <c r="E280" s="932" t="s">
        <v>5050</v>
      </c>
    </row>
    <row r="281" spans="1:5">
      <c r="A281" s="1043" t="s">
        <v>582</v>
      </c>
      <c r="B281" s="1044" t="s">
        <v>98</v>
      </c>
      <c r="C281" s="1058" t="s">
        <v>976</v>
      </c>
      <c r="D281" s="1068" t="s">
        <v>80</v>
      </c>
      <c r="E281" s="932" t="s">
        <v>466</v>
      </c>
    </row>
    <row r="282" spans="1:5">
      <c r="A282" s="987" t="s">
        <v>537</v>
      </c>
      <c r="B282" s="988" t="s">
        <v>96</v>
      </c>
      <c r="C282" s="1063" t="s">
        <v>977</v>
      </c>
      <c r="D282" s="1069" t="s">
        <v>80</v>
      </c>
      <c r="E282" s="932" t="s">
        <v>466</v>
      </c>
    </row>
    <row r="283" spans="1:5">
      <c r="A283" s="1043" t="s">
        <v>582</v>
      </c>
      <c r="B283" s="1044" t="s">
        <v>803</v>
      </c>
      <c r="C283" s="1058" t="s">
        <v>978</v>
      </c>
      <c r="D283" s="1068" t="s">
        <v>81</v>
      </c>
      <c r="E283" s="932" t="s">
        <v>5050</v>
      </c>
    </row>
    <row r="284" spans="1:5">
      <c r="A284" s="991" t="s">
        <v>979</v>
      </c>
      <c r="B284" s="992" t="s">
        <v>85</v>
      </c>
      <c r="C284" s="1064" t="s">
        <v>980</v>
      </c>
      <c r="D284" s="1072" t="s">
        <v>80</v>
      </c>
      <c r="E284" s="1067">
        <f>_xlfn.XLOOKUP(C284,'vtb(1)'!$B$18:$B$388,'vtb(1)'!$I$18:$I$388,,0)</f>
        <v>29177498</v>
      </c>
    </row>
    <row r="285" spans="1:5">
      <c r="A285" s="991" t="s">
        <v>981</v>
      </c>
      <c r="B285" s="992" t="s">
        <v>85</v>
      </c>
      <c r="C285" s="1064" t="s">
        <v>982</v>
      </c>
      <c r="D285" s="1072" t="s">
        <v>80</v>
      </c>
      <c r="E285" s="1067">
        <f>_xlfn.XLOOKUP(C285,'vtb(1)'!$B$18:$B$388,'vtb(1)'!$I$18:$I$388,,0)</f>
        <v>30476931</v>
      </c>
    </row>
    <row r="286" spans="1:5">
      <c r="A286" s="989" t="s">
        <v>983</v>
      </c>
      <c r="B286" s="990" t="s">
        <v>85</v>
      </c>
      <c r="C286" s="1059" t="s">
        <v>984</v>
      </c>
      <c r="D286" s="1070" t="s">
        <v>80</v>
      </c>
      <c r="E286" s="1067">
        <f>_xlfn.XLOOKUP(C286,'vtb(1)'!$B$18:$B$388,'vtb(1)'!$I$18:$I$388,,0)</f>
        <v>69491114</v>
      </c>
    </row>
    <row r="287" spans="1:5">
      <c r="A287" s="991" t="s">
        <v>985</v>
      </c>
      <c r="B287" s="992" t="s">
        <v>85</v>
      </c>
      <c r="C287" s="1064" t="s">
        <v>986</v>
      </c>
      <c r="D287" s="1072" t="s">
        <v>80</v>
      </c>
      <c r="E287" s="1067">
        <f>_xlfn.XLOOKUP(C287,'vtb(1)'!$B$18:$B$388,'vtb(1)'!$I$18:$I$388,,0)</f>
        <v>29761470</v>
      </c>
    </row>
    <row r="288" spans="1:5">
      <c r="A288" s="991" t="s">
        <v>987</v>
      </c>
      <c r="B288" s="992" t="s">
        <v>85</v>
      </c>
      <c r="C288" s="1064" t="s">
        <v>988</v>
      </c>
      <c r="D288" s="1072" t="s">
        <v>80</v>
      </c>
      <c r="E288" s="1067">
        <f>_xlfn.XLOOKUP(C288,'vtb(1)'!$B$18:$B$388,'vtb(1)'!$I$18:$I$388,,0)</f>
        <v>29761470</v>
      </c>
    </row>
    <row r="289" spans="1:5">
      <c r="A289" s="991" t="s">
        <v>886</v>
      </c>
      <c r="B289" s="992" t="s">
        <v>155</v>
      </c>
      <c r="C289" s="1064" t="s">
        <v>992</v>
      </c>
      <c r="D289" s="1072" t="s">
        <v>80</v>
      </c>
      <c r="E289" s="1067">
        <f>_xlfn.XLOOKUP(C289,'vtb(1)'!$B$18:$B$388,'vtb(1)'!$I$18:$I$388,,0)</f>
        <v>3104914988</v>
      </c>
    </row>
    <row r="290" spans="1:5">
      <c r="A290" s="987" t="s">
        <v>993</v>
      </c>
      <c r="B290" s="988" t="s">
        <v>201</v>
      </c>
      <c r="C290" s="1063" t="s">
        <v>994</v>
      </c>
      <c r="D290" s="1069" t="s">
        <v>80</v>
      </c>
      <c r="E290" s="932" t="s">
        <v>5050</v>
      </c>
    </row>
    <row r="291" spans="1:5">
      <c r="A291" s="991" t="s">
        <v>718</v>
      </c>
      <c r="B291" s="992" t="s">
        <v>155</v>
      </c>
      <c r="C291" s="1064" t="s">
        <v>998</v>
      </c>
      <c r="D291" s="1072" t="s">
        <v>80</v>
      </c>
      <c r="E291" s="1067">
        <f>_xlfn.XLOOKUP(C291,'vtb(1)'!$B$18:$B$388,'vtb(1)'!$I$18:$I$388,,0)</f>
        <v>38221710</v>
      </c>
    </row>
    <row r="292" spans="1:5">
      <c r="A292" s="991" t="s">
        <v>732</v>
      </c>
      <c r="B292" s="992" t="s">
        <v>155</v>
      </c>
      <c r="C292" s="1064" t="s">
        <v>999</v>
      </c>
      <c r="D292" s="1072" t="s">
        <v>80</v>
      </c>
      <c r="E292" s="1067">
        <f>_xlfn.XLOOKUP(C292,'vtb(1)'!$B$18:$B$388,'vtb(1)'!$I$18:$I$388,,0)</f>
        <v>41496026</v>
      </c>
    </row>
    <row r="293" spans="1:5">
      <c r="A293" s="1043" t="s">
        <v>761</v>
      </c>
      <c r="B293" s="1044" t="s">
        <v>89</v>
      </c>
      <c r="C293" s="1058" t="s">
        <v>1000</v>
      </c>
      <c r="D293" s="1068" t="s">
        <v>80</v>
      </c>
      <c r="E293" s="932" t="s">
        <v>466</v>
      </c>
    </row>
    <row r="294" spans="1:5">
      <c r="A294" s="987" t="s">
        <v>469</v>
      </c>
      <c r="B294" s="988" t="s">
        <v>98</v>
      </c>
      <c r="C294" s="1063" t="s">
        <v>1009</v>
      </c>
      <c r="D294" s="1069" t="s">
        <v>80</v>
      </c>
      <c r="E294" s="932" t="s">
        <v>466</v>
      </c>
    </row>
    <row r="295" spans="1:5">
      <c r="A295" s="1043" t="s">
        <v>1010</v>
      </c>
      <c r="B295" s="1044" t="s">
        <v>201</v>
      </c>
      <c r="C295" s="1058" t="s">
        <v>1013</v>
      </c>
      <c r="D295" s="1068" t="s">
        <v>80</v>
      </c>
      <c r="E295" s="932" t="s">
        <v>5050</v>
      </c>
    </row>
    <row r="296" spans="1:5">
      <c r="A296" s="987" t="s">
        <v>1010</v>
      </c>
      <c r="B296" s="988" t="s">
        <v>201</v>
      </c>
      <c r="C296" s="1063" t="s">
        <v>1014</v>
      </c>
      <c r="D296" s="1069" t="s">
        <v>81</v>
      </c>
      <c r="E296" s="932" t="s">
        <v>5050</v>
      </c>
    </row>
    <row r="297" spans="1:5">
      <c r="A297" s="1043" t="s">
        <v>1015</v>
      </c>
      <c r="B297" s="1044" t="s">
        <v>201</v>
      </c>
      <c r="C297" s="1058" t="s">
        <v>1018</v>
      </c>
      <c r="D297" s="1068" t="s">
        <v>80</v>
      </c>
      <c r="E297" s="932" t="s">
        <v>5050</v>
      </c>
    </row>
    <row r="298" spans="1:5">
      <c r="A298" s="987" t="s">
        <v>1015</v>
      </c>
      <c r="B298" s="988" t="s">
        <v>201</v>
      </c>
      <c r="C298" s="1063" t="s">
        <v>1019</v>
      </c>
      <c r="D298" s="1069" t="s">
        <v>81</v>
      </c>
      <c r="E298" s="932" t="s">
        <v>5050</v>
      </c>
    </row>
    <row r="299" spans="1:5">
      <c r="A299" s="1043" t="s">
        <v>1020</v>
      </c>
      <c r="B299" s="1044" t="s">
        <v>201</v>
      </c>
      <c r="C299" s="1058" t="s">
        <v>1023</v>
      </c>
      <c r="D299" s="1068" t="s">
        <v>80</v>
      </c>
      <c r="E299" s="932" t="s">
        <v>5050</v>
      </c>
    </row>
    <row r="300" spans="1:5">
      <c r="A300" s="987" t="s">
        <v>1020</v>
      </c>
      <c r="B300" s="988" t="s">
        <v>201</v>
      </c>
      <c r="C300" s="1063" t="s">
        <v>1024</v>
      </c>
      <c r="D300" s="1069" t="s">
        <v>81</v>
      </c>
      <c r="E300" s="932" t="s">
        <v>5050</v>
      </c>
    </row>
    <row r="301" spans="1:5">
      <c r="A301" s="1043" t="s">
        <v>993</v>
      </c>
      <c r="B301" s="1044" t="s">
        <v>201</v>
      </c>
      <c r="C301" s="1058" t="s">
        <v>1027</v>
      </c>
      <c r="D301" s="1068" t="s">
        <v>81</v>
      </c>
      <c r="E301" s="932" t="s">
        <v>5050</v>
      </c>
    </row>
    <row r="302" spans="1:5">
      <c r="A302" s="987" t="s">
        <v>1028</v>
      </c>
      <c r="B302" s="988" t="s">
        <v>201</v>
      </c>
      <c r="C302" s="1063" t="s">
        <v>1031</v>
      </c>
      <c r="D302" s="1069" t="s">
        <v>80</v>
      </c>
      <c r="E302" s="932" t="s">
        <v>5050</v>
      </c>
    </row>
    <row r="303" spans="1:5">
      <c r="A303" s="1043" t="s">
        <v>1028</v>
      </c>
      <c r="B303" s="1044" t="s">
        <v>201</v>
      </c>
      <c r="C303" s="1058" t="s">
        <v>1032</v>
      </c>
      <c r="D303" s="1068" t="s">
        <v>81</v>
      </c>
      <c r="E303" s="932" t="s">
        <v>5050</v>
      </c>
    </row>
    <row r="304" spans="1:5">
      <c r="A304" s="991" t="s">
        <v>1015</v>
      </c>
      <c r="B304" s="992" t="s">
        <v>191</v>
      </c>
      <c r="C304" s="1064" t="s">
        <v>1033</v>
      </c>
      <c r="D304" s="1072" t="s">
        <v>80</v>
      </c>
      <c r="E304" s="1067">
        <f>_xlfn.XLOOKUP(C304,'vtb(1)'!$B$18:$B$388,'vtb(1)'!$I$18:$I$388,,0)</f>
        <v>46467874</v>
      </c>
    </row>
    <row r="305" spans="1:5">
      <c r="A305" s="1043" t="s">
        <v>761</v>
      </c>
      <c r="B305" s="1044" t="s">
        <v>89</v>
      </c>
      <c r="C305" s="1058" t="s">
        <v>1034</v>
      </c>
      <c r="D305" s="1068" t="s">
        <v>80</v>
      </c>
      <c r="E305" s="932" t="s">
        <v>466</v>
      </c>
    </row>
    <row r="306" spans="1:5">
      <c r="A306" s="987" t="s">
        <v>614</v>
      </c>
      <c r="B306" s="988" t="s">
        <v>95</v>
      </c>
      <c r="C306" s="1063" t="s">
        <v>1037</v>
      </c>
      <c r="D306" s="1069" t="s">
        <v>80</v>
      </c>
      <c r="E306" s="932" t="s">
        <v>466</v>
      </c>
    </row>
    <row r="307" spans="1:5">
      <c r="A307" s="1043" t="s">
        <v>699</v>
      </c>
      <c r="B307" s="1044" t="s">
        <v>95</v>
      </c>
      <c r="C307" s="1058" t="s">
        <v>1038</v>
      </c>
      <c r="D307" s="1068" t="s">
        <v>80</v>
      </c>
      <c r="E307" s="932" t="s">
        <v>466</v>
      </c>
    </row>
    <row r="308" spans="1:5">
      <c r="A308" s="987" t="s">
        <v>752</v>
      </c>
      <c r="B308" s="988" t="s">
        <v>95</v>
      </c>
      <c r="C308" s="1063" t="s">
        <v>1039</v>
      </c>
      <c r="D308" s="1069" t="s">
        <v>80</v>
      </c>
      <c r="E308" s="932" t="s">
        <v>466</v>
      </c>
    </row>
    <row r="309" spans="1:5">
      <c r="A309" s="1043" t="s">
        <v>695</v>
      </c>
      <c r="B309" s="1044" t="s">
        <v>95</v>
      </c>
      <c r="C309" s="1058" t="s">
        <v>1040</v>
      </c>
      <c r="D309" s="1068" t="s">
        <v>80</v>
      </c>
      <c r="E309" s="932" t="s">
        <v>466</v>
      </c>
    </row>
    <row r="310" spans="1:5">
      <c r="A310" s="987" t="s">
        <v>886</v>
      </c>
      <c r="B310" s="988" t="s">
        <v>95</v>
      </c>
      <c r="C310" s="1063" t="s">
        <v>1041</v>
      </c>
      <c r="D310" s="1069" t="s">
        <v>80</v>
      </c>
      <c r="E310" s="932" t="s">
        <v>466</v>
      </c>
    </row>
    <row r="311" spans="1:5">
      <c r="A311" s="1043" t="s">
        <v>884</v>
      </c>
      <c r="B311" s="1044" t="s">
        <v>95</v>
      </c>
      <c r="C311" s="1058" t="s">
        <v>1042</v>
      </c>
      <c r="D311" s="1068" t="s">
        <v>80</v>
      </c>
      <c r="E311" s="932" t="s">
        <v>466</v>
      </c>
    </row>
    <row r="312" spans="1:5">
      <c r="A312" s="987" t="s">
        <v>537</v>
      </c>
      <c r="B312" s="988" t="s">
        <v>95</v>
      </c>
      <c r="C312" s="1063" t="s">
        <v>1043</v>
      </c>
      <c r="D312" s="1069" t="s">
        <v>80</v>
      </c>
      <c r="E312" s="932" t="s">
        <v>466</v>
      </c>
    </row>
    <row r="313" spans="1:5">
      <c r="A313" s="1043" t="s">
        <v>582</v>
      </c>
      <c r="B313" s="1044" t="s">
        <v>1044</v>
      </c>
      <c r="C313" s="1058" t="s">
        <v>1045</v>
      </c>
      <c r="D313" s="1068" t="s">
        <v>80</v>
      </c>
      <c r="E313" s="932" t="s">
        <v>466</v>
      </c>
    </row>
    <row r="314" spans="1:5">
      <c r="A314" s="989" t="s">
        <v>1020</v>
      </c>
      <c r="B314" s="990" t="s">
        <v>191</v>
      </c>
      <c r="C314" s="1059" t="s">
        <v>1046</v>
      </c>
      <c r="D314" s="1070" t="s">
        <v>80</v>
      </c>
      <c r="E314" s="1067">
        <f>_xlfn.XLOOKUP(C314,'vtb(1)'!$B$18:$B$388,'vtb(1)'!$I$18:$I$388,,0)</f>
        <v>2984784128</v>
      </c>
    </row>
    <row r="315" spans="1:5">
      <c r="A315" s="989" t="s">
        <v>993</v>
      </c>
      <c r="B315" s="990" t="s">
        <v>191</v>
      </c>
      <c r="C315" s="1059" t="s">
        <v>1047</v>
      </c>
      <c r="D315" s="1070" t="s">
        <v>80</v>
      </c>
      <c r="E315" s="1067">
        <f>_xlfn.XLOOKUP(C315,'vtb(1)'!$B$18:$B$388,'vtb(1)'!$I$18:$I$388,,0)</f>
        <v>4923195494</v>
      </c>
    </row>
    <row r="316" spans="1:5">
      <c r="A316" s="989" t="s">
        <v>1028</v>
      </c>
      <c r="B316" s="990" t="s">
        <v>191</v>
      </c>
      <c r="C316" s="1059" t="s">
        <v>1048</v>
      </c>
      <c r="D316" s="1070" t="s">
        <v>80</v>
      </c>
      <c r="E316" s="1067">
        <f>_xlfn.XLOOKUP(C316,'vtb(1)'!$B$18:$B$388,'vtb(1)'!$I$18:$I$388,,0)</f>
        <v>7253695793</v>
      </c>
    </row>
    <row r="317" spans="1:5">
      <c r="A317" s="995" t="s">
        <v>1010</v>
      </c>
      <c r="B317" s="996" t="s">
        <v>191</v>
      </c>
      <c r="C317" s="1066" t="s">
        <v>1049</v>
      </c>
      <c r="D317" s="1075" t="s">
        <v>80</v>
      </c>
      <c r="E317" s="1067">
        <f>_xlfn.XLOOKUP(C317,'vtb(1)'!$B$18:$B$388,'vtb(1)'!$I$18:$I$388,,0)</f>
        <v>758140543</v>
      </c>
    </row>
    <row r="318" spans="1:5">
      <c r="A318" s="987" t="s">
        <v>582</v>
      </c>
      <c r="B318" s="988" t="s">
        <v>971</v>
      </c>
      <c r="C318" s="1063" t="s">
        <v>1050</v>
      </c>
      <c r="D318" s="1069" t="s">
        <v>80</v>
      </c>
      <c r="E318" s="932" t="s">
        <v>466</v>
      </c>
    </row>
    <row r="319" spans="1:5">
      <c r="A319" s="1043" t="s">
        <v>469</v>
      </c>
      <c r="B319" s="1044" t="s">
        <v>1051</v>
      </c>
      <c r="C319" s="1058" t="s">
        <v>1052</v>
      </c>
      <c r="D319" s="1068" t="s">
        <v>80</v>
      </c>
      <c r="E319" s="932" t="s">
        <v>466</v>
      </c>
    </row>
    <row r="320" spans="1:5">
      <c r="A320" s="987" t="s">
        <v>582</v>
      </c>
      <c r="B320" s="988" t="s">
        <v>1051</v>
      </c>
      <c r="C320" s="1063" t="s">
        <v>1053</v>
      </c>
      <c r="D320" s="1069" t="s">
        <v>80</v>
      </c>
      <c r="E320" s="932" t="s">
        <v>466</v>
      </c>
    </row>
    <row r="321" spans="1:5">
      <c r="A321" s="991" t="s">
        <v>582</v>
      </c>
      <c r="B321" s="992" t="s">
        <v>88</v>
      </c>
      <c r="C321" s="1064" t="s">
        <v>1054</v>
      </c>
      <c r="D321" s="1072" t="s">
        <v>80</v>
      </c>
      <c r="E321" s="1067">
        <f>_xlfn.XLOOKUP(C321,'vtb(1)'!$B$18:$B$388,'vtb(1)'!$I$18:$I$388,,0)</f>
        <v>1862623022</v>
      </c>
    </row>
    <row r="322" spans="1:5">
      <c r="A322" s="987" t="s">
        <v>469</v>
      </c>
      <c r="B322" s="988" t="s">
        <v>1044</v>
      </c>
      <c r="C322" s="1063" t="s">
        <v>1057</v>
      </c>
      <c r="D322" s="1069" t="s">
        <v>80</v>
      </c>
      <c r="E322" s="932" t="s">
        <v>466</v>
      </c>
    </row>
    <row r="323" spans="1:5">
      <c r="A323" s="989" t="s">
        <v>1058</v>
      </c>
      <c r="B323" s="990" t="s">
        <v>92</v>
      </c>
      <c r="C323" s="1059" t="s">
        <v>1059</v>
      </c>
      <c r="D323" s="1070" t="s">
        <v>80</v>
      </c>
      <c r="E323" s="932" t="s">
        <v>466</v>
      </c>
    </row>
    <row r="324" spans="1:5">
      <c r="A324" s="987" t="s">
        <v>559</v>
      </c>
      <c r="B324" s="988" t="s">
        <v>803</v>
      </c>
      <c r="C324" s="1063" t="s">
        <v>1064</v>
      </c>
      <c r="D324" s="1068" t="s">
        <v>80</v>
      </c>
      <c r="E324" s="932" t="s">
        <v>5050</v>
      </c>
    </row>
    <row r="325" spans="1:5">
      <c r="A325" s="1043" t="s">
        <v>522</v>
      </c>
      <c r="B325" s="1044" t="s">
        <v>971</v>
      </c>
      <c r="C325" s="1058" t="s">
        <v>1065</v>
      </c>
      <c r="D325" s="1068" t="s">
        <v>80</v>
      </c>
      <c r="E325" s="932" t="s">
        <v>466</v>
      </c>
    </row>
    <row r="326" spans="1:5">
      <c r="A326" s="987" t="s">
        <v>966</v>
      </c>
      <c r="B326" s="988" t="s">
        <v>971</v>
      </c>
      <c r="C326" s="1063" t="s">
        <v>1070</v>
      </c>
      <c r="D326" s="1069" t="s">
        <v>80</v>
      </c>
      <c r="E326" s="932" t="s">
        <v>466</v>
      </c>
    </row>
    <row r="327" spans="1:5">
      <c r="A327" s="1043" t="s">
        <v>964</v>
      </c>
      <c r="B327" s="1044" t="s">
        <v>89</v>
      </c>
      <c r="C327" s="1058" t="s">
        <v>1075</v>
      </c>
      <c r="D327" s="1068" t="s">
        <v>80</v>
      </c>
      <c r="E327" s="932" t="s">
        <v>466</v>
      </c>
    </row>
    <row r="328" spans="1:5">
      <c r="A328" s="987" t="s">
        <v>801</v>
      </c>
      <c r="B328" s="988" t="s">
        <v>89</v>
      </c>
      <c r="C328" s="1063" t="s">
        <v>1076</v>
      </c>
      <c r="D328" s="1069" t="s">
        <v>80</v>
      </c>
      <c r="E328" s="932" t="s">
        <v>466</v>
      </c>
    </row>
    <row r="329" spans="1:5">
      <c r="A329" s="991" t="s">
        <v>659</v>
      </c>
      <c r="B329" s="992" t="s">
        <v>86</v>
      </c>
      <c r="C329" s="1064" t="s">
        <v>1077</v>
      </c>
      <c r="D329" s="1072" t="s">
        <v>80</v>
      </c>
      <c r="E329" s="1067">
        <f>_xlfn.XLOOKUP(C329,'vtb(1)'!$B$18:$B$388,'vtb(1)'!$I$18:$I$388,,0)</f>
        <v>88154863</v>
      </c>
    </row>
    <row r="330" spans="1:5">
      <c r="A330" s="987" t="s">
        <v>552</v>
      </c>
      <c r="B330" s="988" t="s">
        <v>98</v>
      </c>
      <c r="C330" s="1063" t="s">
        <v>1078</v>
      </c>
      <c r="D330" s="1069" t="s">
        <v>80</v>
      </c>
      <c r="E330" s="932" t="s">
        <v>466</v>
      </c>
    </row>
    <row r="331" spans="1:5">
      <c r="A331" s="989" t="s">
        <v>921</v>
      </c>
      <c r="B331" s="990" t="s">
        <v>92</v>
      </c>
      <c r="C331" s="1059" t="s">
        <v>1092</v>
      </c>
      <c r="D331" s="1070" t="s">
        <v>80</v>
      </c>
      <c r="E331" s="932" t="s">
        <v>466</v>
      </c>
    </row>
    <row r="332" spans="1:5">
      <c r="A332" s="987" t="s">
        <v>778</v>
      </c>
      <c r="B332" s="988" t="s">
        <v>803</v>
      </c>
      <c r="C332" s="1063" t="s">
        <v>1093</v>
      </c>
      <c r="D332" s="1069" t="s">
        <v>80</v>
      </c>
      <c r="E332" s="932" t="s">
        <v>5050</v>
      </c>
    </row>
    <row r="333" spans="1:5">
      <c r="A333" s="1043" t="s">
        <v>772</v>
      </c>
      <c r="B333" s="1044" t="s">
        <v>803</v>
      </c>
      <c r="C333" s="1058" t="s">
        <v>1094</v>
      </c>
      <c r="D333" s="1068" t="s">
        <v>80</v>
      </c>
      <c r="E333" s="932" t="s">
        <v>5050</v>
      </c>
    </row>
    <row r="334" spans="1:5">
      <c r="A334" s="987" t="s">
        <v>792</v>
      </c>
      <c r="B334" s="988" t="s">
        <v>803</v>
      </c>
      <c r="C334" s="1063" t="s">
        <v>1095</v>
      </c>
      <c r="D334" s="1069" t="s">
        <v>80</v>
      </c>
      <c r="E334" s="932" t="s">
        <v>5050</v>
      </c>
    </row>
    <row r="335" spans="1:5">
      <c r="A335" s="1043" t="s">
        <v>776</v>
      </c>
      <c r="B335" s="1044" t="s">
        <v>803</v>
      </c>
      <c r="C335" s="1058" t="s">
        <v>1096</v>
      </c>
      <c r="D335" s="1068" t="s">
        <v>80</v>
      </c>
      <c r="E335" s="932" t="s">
        <v>5050</v>
      </c>
    </row>
    <row r="336" spans="1:5">
      <c r="A336" s="987" t="s">
        <v>693</v>
      </c>
      <c r="B336" s="988" t="s">
        <v>803</v>
      </c>
      <c r="C336" s="1063" t="s">
        <v>1097</v>
      </c>
      <c r="D336" s="1069" t="s">
        <v>80</v>
      </c>
      <c r="E336" s="932" t="s">
        <v>5050</v>
      </c>
    </row>
    <row r="337" spans="1:5">
      <c r="A337" s="1043" t="s">
        <v>680</v>
      </c>
      <c r="B337" s="1044" t="s">
        <v>803</v>
      </c>
      <c r="C337" s="1058" t="s">
        <v>1098</v>
      </c>
      <c r="D337" s="1068" t="s">
        <v>80</v>
      </c>
      <c r="E337" s="932" t="s">
        <v>5050</v>
      </c>
    </row>
    <row r="338" spans="1:5">
      <c r="A338" s="987" t="s">
        <v>780</v>
      </c>
      <c r="B338" s="988" t="s">
        <v>803</v>
      </c>
      <c r="C338" s="1063" t="s">
        <v>1099</v>
      </c>
      <c r="D338" s="1069" t="s">
        <v>80</v>
      </c>
      <c r="E338" s="932" t="s">
        <v>5050</v>
      </c>
    </row>
    <row r="339" spans="1:5">
      <c r="A339" s="1043" t="s">
        <v>695</v>
      </c>
      <c r="B339" s="1044" t="s">
        <v>191</v>
      </c>
      <c r="C339" s="1058" t="s">
        <v>1100</v>
      </c>
      <c r="D339" s="1068" t="s">
        <v>80</v>
      </c>
      <c r="E339" s="1067">
        <f>_xlfn.XLOOKUP(C339,'vtb(1)'!$B$18:$B$388,'vtb(1)'!$I$18:$I$388,,0)</f>
        <v>1248508075</v>
      </c>
    </row>
    <row r="340" spans="1:5">
      <c r="A340" s="989" t="s">
        <v>1058</v>
      </c>
      <c r="B340" s="990" t="s">
        <v>85</v>
      </c>
      <c r="C340" s="1059" t="s">
        <v>1105</v>
      </c>
      <c r="D340" s="1070" t="s">
        <v>80</v>
      </c>
      <c r="E340" s="1067">
        <f>_xlfn.XLOOKUP(C340,'vtb(1)'!$B$18:$B$388,'vtb(1)'!$I$18:$I$388,,0)</f>
        <v>3170131</v>
      </c>
    </row>
    <row r="341" spans="1:5">
      <c r="A341" s="1043" t="s">
        <v>676</v>
      </c>
      <c r="B341" s="1044" t="s">
        <v>89</v>
      </c>
      <c r="C341" s="1058" t="s">
        <v>1121</v>
      </c>
      <c r="D341" s="1068" t="s">
        <v>80</v>
      </c>
      <c r="E341" s="932" t="s">
        <v>466</v>
      </c>
    </row>
    <row r="342" spans="1:5">
      <c r="A342" s="991" t="s">
        <v>582</v>
      </c>
      <c r="B342" s="992" t="s">
        <v>85</v>
      </c>
      <c r="C342" s="1064" t="s">
        <v>1122</v>
      </c>
      <c r="D342" s="1072" t="s">
        <v>80</v>
      </c>
      <c r="E342" s="1067">
        <f>_xlfn.XLOOKUP(C342,'vtb(1)'!$B$18:$B$388,'vtb(1)'!$I$18:$I$388,,0)</f>
        <v>321543126</v>
      </c>
    </row>
    <row r="343" spans="1:5">
      <c r="A343" s="1043" t="s">
        <v>774</v>
      </c>
      <c r="B343" s="1044" t="s">
        <v>803</v>
      </c>
      <c r="C343" s="1058" t="s">
        <v>1123</v>
      </c>
      <c r="D343" s="1068" t="s">
        <v>80</v>
      </c>
      <c r="E343" s="932" t="s">
        <v>5050</v>
      </c>
    </row>
    <row r="344" spans="1:5">
      <c r="A344" s="987" t="s">
        <v>912</v>
      </c>
      <c r="B344" s="988" t="s">
        <v>89</v>
      </c>
      <c r="C344" s="1063" t="s">
        <v>1124</v>
      </c>
      <c r="D344" s="1069" t="s">
        <v>80</v>
      </c>
      <c r="E344" s="932" t="s">
        <v>466</v>
      </c>
    </row>
    <row r="345" spans="1:5">
      <c r="A345" s="1043" t="s">
        <v>624</v>
      </c>
      <c r="B345" s="1044" t="s">
        <v>803</v>
      </c>
      <c r="C345" s="1058" t="s">
        <v>1159</v>
      </c>
      <c r="D345" s="1068" t="s">
        <v>80</v>
      </c>
      <c r="E345" s="932" t="s">
        <v>5050</v>
      </c>
    </row>
    <row r="346" spans="1:5">
      <c r="A346" s="987" t="s">
        <v>606</v>
      </c>
      <c r="B346" s="988" t="s">
        <v>803</v>
      </c>
      <c r="C346" s="1063" t="s">
        <v>1170</v>
      </c>
      <c r="D346" s="1069" t="s">
        <v>80</v>
      </c>
      <c r="E346" s="932" t="s">
        <v>5050</v>
      </c>
    </row>
    <row r="347" spans="1:5">
      <c r="A347" s="1043" t="s">
        <v>609</v>
      </c>
      <c r="B347" s="1044" t="s">
        <v>341</v>
      </c>
      <c r="C347" s="1058" t="s">
        <v>1214</v>
      </c>
      <c r="D347" s="1068" t="s">
        <v>80</v>
      </c>
      <c r="E347" s="932" t="s">
        <v>5050</v>
      </c>
    </row>
    <row r="348" spans="1:5">
      <c r="A348" s="989" t="s">
        <v>1226</v>
      </c>
      <c r="B348" s="990" t="s">
        <v>85</v>
      </c>
      <c r="C348" s="1059" t="s">
        <v>1227</v>
      </c>
      <c r="D348" s="1070" t="s">
        <v>80</v>
      </c>
      <c r="E348" s="1067">
        <f>_xlfn.XLOOKUP(C348,'vtb(1)'!$B$18:$B$388,'vtb(1)'!$I$18:$I$388,,0)</f>
        <v>48463408</v>
      </c>
    </row>
    <row r="349" spans="1:5">
      <c r="A349" s="1043" t="s">
        <v>518</v>
      </c>
      <c r="B349" s="1044" t="s">
        <v>91</v>
      </c>
      <c r="C349" s="1058" t="s">
        <v>1252</v>
      </c>
      <c r="D349" s="1068" t="s">
        <v>80</v>
      </c>
      <c r="E349" s="932" t="s">
        <v>466</v>
      </c>
    </row>
    <row r="350" spans="1:5">
      <c r="A350" s="987" t="s">
        <v>609</v>
      </c>
      <c r="B350" s="988" t="s">
        <v>341</v>
      </c>
      <c r="C350" s="1063" t="s">
        <v>1253</v>
      </c>
      <c r="D350" s="1069" t="s">
        <v>80</v>
      </c>
      <c r="E350" s="932" t="s">
        <v>5050</v>
      </c>
    </row>
    <row r="351" spans="1:5">
      <c r="A351" s="1043" t="s">
        <v>609</v>
      </c>
      <c r="B351" s="1044" t="s">
        <v>341</v>
      </c>
      <c r="C351" s="1058" t="s">
        <v>1255</v>
      </c>
      <c r="D351" s="1068" t="s">
        <v>80</v>
      </c>
      <c r="E351" s="932" t="s">
        <v>5050</v>
      </c>
    </row>
    <row r="352" spans="1:5">
      <c r="A352" s="1275" t="s">
        <v>953</v>
      </c>
      <c r="B352" s="1276" t="s">
        <v>96</v>
      </c>
      <c r="C352" s="1277" t="s">
        <v>1281</v>
      </c>
      <c r="D352" s="384" t="s">
        <v>80</v>
      </c>
      <c r="E352" s="1278" t="s">
        <v>466</v>
      </c>
    </row>
    <row r="353" spans="1:5">
      <c r="A353" s="932" t="s">
        <v>888</v>
      </c>
      <c r="B353" s="932" t="s">
        <v>92</v>
      </c>
      <c r="C353" s="998" t="s">
        <v>889</v>
      </c>
      <c r="D353" s="998" t="s">
        <v>80</v>
      </c>
      <c r="E353" s="932" t="s">
        <v>466</v>
      </c>
    </row>
  </sheetData>
  <autoFilter ref="A2:E353" xr:uid="{3CD7BB59-EC1C-4CAD-9BB2-B0D69C2CB9B5}"/>
  <conditionalFormatting sqref="C3:C352">
    <cfRule type="duplicateValues" dxfId="5" priority="2"/>
  </conditionalFormatting>
  <conditionalFormatting sqref="E2 C2:C352">
    <cfRule type="duplicateValues" dxfId="4"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83D6C-C7BE-4822-96CD-51CF894F93CF}">
  <sheetPr>
    <tabColor theme="4" tint="-0.249977111117893"/>
  </sheetPr>
  <dimension ref="A1:E1383"/>
  <sheetViews>
    <sheetView topLeftCell="B1" zoomScale="85" zoomScaleNormal="85" workbookViewId="0">
      <selection activeCell="D1" sqref="D1"/>
    </sheetView>
  </sheetViews>
  <sheetFormatPr defaultRowHeight="14.4"/>
  <cols>
    <col min="1" max="1" width="17" bestFit="1" customWidth="1"/>
    <col min="2" max="2" width="12.5546875" bestFit="1" customWidth="1"/>
    <col min="3" max="3" width="21.44140625" bestFit="1" customWidth="1"/>
    <col min="4" max="4" width="20.21875" bestFit="1" customWidth="1"/>
    <col min="5" max="5" width="14.21875" bestFit="1" customWidth="1"/>
    <col min="6" max="6" width="14.44140625" bestFit="1" customWidth="1"/>
    <col min="7" max="7" width="18.44140625" bestFit="1" customWidth="1"/>
    <col min="8" max="8" width="80.5546875" bestFit="1" customWidth="1"/>
    <col min="9" max="9" width="12.5546875" bestFit="1" customWidth="1"/>
    <col min="10" max="10" width="22.5546875" bestFit="1" customWidth="1"/>
    <col min="11" max="11" width="21.44140625" bestFit="1" customWidth="1"/>
    <col min="12" max="13" width="63.44140625" bestFit="1" customWidth="1"/>
    <col min="14" max="14" width="62.5546875" bestFit="1" customWidth="1"/>
  </cols>
  <sheetData>
    <row r="1" spans="1:5">
      <c r="A1" t="s">
        <v>5054</v>
      </c>
      <c r="B1" t="s">
        <v>316</v>
      </c>
      <c r="C1" t="s">
        <v>5055</v>
      </c>
      <c r="D1" t="s">
        <v>5056</v>
      </c>
      <c r="E1" t="s">
        <v>5057</v>
      </c>
    </row>
    <row r="2" spans="1:5">
      <c r="C2" s="20"/>
      <c r="D2" s="20"/>
    </row>
    <row r="3" spans="1:5">
      <c r="C3" s="20"/>
      <c r="D3" s="20"/>
    </row>
    <row r="4" spans="1:5">
      <c r="C4" s="20"/>
      <c r="D4" s="20"/>
    </row>
    <row r="5" spans="1:5">
      <c r="C5" s="20"/>
      <c r="D5" s="20"/>
    </row>
    <row r="6" spans="1:5">
      <c r="C6" s="20"/>
      <c r="D6" s="20"/>
    </row>
    <row r="7" spans="1:5">
      <c r="C7" s="20"/>
      <c r="D7" s="20"/>
    </row>
    <row r="8" spans="1:5">
      <c r="C8" s="20"/>
      <c r="D8" s="20"/>
    </row>
    <row r="9" spans="1:5">
      <c r="C9" s="20"/>
      <c r="D9" s="20"/>
    </row>
    <row r="10" spans="1:5">
      <c r="C10" s="20"/>
      <c r="D10" s="20"/>
    </row>
    <row r="11" spans="1:5">
      <c r="C11" s="20"/>
      <c r="D11" s="20"/>
    </row>
    <row r="12" spans="1:5">
      <c r="C12" s="20"/>
      <c r="D12" s="20"/>
    </row>
    <row r="13" spans="1:5">
      <c r="C13" s="20"/>
      <c r="D13" s="20"/>
    </row>
    <row r="14" spans="1:5">
      <c r="C14" s="20"/>
      <c r="D14" s="20"/>
    </row>
    <row r="15" spans="1:5">
      <c r="C15" s="20"/>
      <c r="D15" s="20"/>
    </row>
    <row r="16" spans="1:5">
      <c r="C16" s="20"/>
      <c r="D16" s="20"/>
    </row>
    <row r="17" spans="1:4">
      <c r="C17" s="20"/>
      <c r="D17" s="20"/>
    </row>
    <row r="18" spans="1:4">
      <c r="C18" s="20"/>
      <c r="D18" s="20"/>
    </row>
    <row r="19" spans="1:4">
      <c r="C19" s="20"/>
      <c r="D19" s="20"/>
    </row>
    <row r="20" spans="1:4">
      <c r="C20" s="20"/>
      <c r="D20" s="20"/>
    </row>
    <row r="21" spans="1:4">
      <c r="C21" s="20"/>
      <c r="D21" s="20"/>
    </row>
    <row r="22" spans="1:4">
      <c r="C22" s="20"/>
      <c r="D22" s="20"/>
    </row>
    <row r="23" spans="1:4">
      <c r="C23" s="20"/>
      <c r="D23" s="20"/>
    </row>
    <row r="24" spans="1:4">
      <c r="C24" s="20"/>
      <c r="D24" s="20"/>
    </row>
    <row r="25" spans="1:4">
      <c r="C25" s="20"/>
      <c r="D25" s="20"/>
    </row>
    <row r="26" spans="1:4">
      <c r="C26" s="20"/>
      <c r="D26" s="20"/>
    </row>
    <row r="27" spans="1:4">
      <c r="C27" s="20"/>
      <c r="D27" s="20"/>
    </row>
    <row r="28" spans="1:4">
      <c r="C28" s="20"/>
      <c r="D28" s="20"/>
    </row>
    <row r="29" spans="1:4">
      <c r="C29" s="20"/>
      <c r="D29" s="20"/>
    </row>
    <row r="30" spans="1:4">
      <c r="A30" s="880"/>
      <c r="C30" s="20"/>
      <c r="D30" s="20"/>
    </row>
    <row r="31" spans="1:4">
      <c r="C31" s="20"/>
      <c r="D31" s="20"/>
    </row>
    <row r="32" spans="1:4">
      <c r="A32" s="880"/>
      <c r="C32" s="20"/>
      <c r="D32" s="20"/>
    </row>
    <row r="33" spans="1:4">
      <c r="C33" s="20"/>
      <c r="D33" s="20"/>
    </row>
    <row r="34" spans="1:4">
      <c r="C34" s="20"/>
      <c r="D34" s="20"/>
    </row>
    <row r="35" spans="1:4">
      <c r="C35" s="20"/>
      <c r="D35" s="20"/>
    </row>
    <row r="36" spans="1:4">
      <c r="C36" s="20"/>
      <c r="D36" s="20"/>
    </row>
    <row r="37" spans="1:4">
      <c r="A37" s="880"/>
      <c r="C37" s="20"/>
      <c r="D37" s="20"/>
    </row>
    <row r="38" spans="1:4">
      <c r="C38" s="20"/>
      <c r="D38" s="20"/>
    </row>
    <row r="39" spans="1:4">
      <c r="A39" s="880"/>
      <c r="B39" s="755"/>
      <c r="C39" s="20"/>
      <c r="D39" s="20"/>
    </row>
    <row r="40" spans="1:4">
      <c r="A40" s="880"/>
      <c r="B40" s="755"/>
      <c r="C40" s="20"/>
      <c r="D40" s="20"/>
    </row>
    <row r="41" spans="1:4">
      <c r="A41" s="880"/>
      <c r="B41" s="755"/>
      <c r="C41" s="20"/>
      <c r="D41" s="20"/>
    </row>
    <row r="42" spans="1:4">
      <c r="A42" s="880"/>
      <c r="B42" s="755"/>
      <c r="C42" s="20"/>
      <c r="D42" s="20"/>
    </row>
    <row r="43" spans="1:4">
      <c r="A43" s="880"/>
      <c r="B43" s="755"/>
      <c r="C43" s="20"/>
      <c r="D43" s="755"/>
    </row>
    <row r="44" spans="1:4">
      <c r="A44" s="880"/>
      <c r="B44" s="755"/>
      <c r="C44" s="20"/>
      <c r="D44" s="755"/>
    </row>
    <row r="45" spans="1:4">
      <c r="A45" s="880"/>
      <c r="B45" s="755"/>
      <c r="C45" s="755"/>
      <c r="D45" s="755"/>
    </row>
    <row r="46" spans="1:4">
      <c r="A46" s="880"/>
      <c r="B46" s="755"/>
      <c r="C46" s="755"/>
      <c r="D46" s="755"/>
    </row>
    <row r="47" spans="1:4">
      <c r="A47" s="880"/>
      <c r="B47" s="755"/>
      <c r="C47" s="755"/>
      <c r="D47" s="755"/>
    </row>
    <row r="48" spans="1:4">
      <c r="A48" s="880"/>
      <c r="B48" s="755"/>
      <c r="C48" s="755"/>
      <c r="D48" s="755"/>
    </row>
    <row r="49" spans="1:4">
      <c r="A49" s="880"/>
      <c r="B49" s="755"/>
      <c r="C49" s="755"/>
      <c r="D49" s="755"/>
    </row>
    <row r="50" spans="1:4">
      <c r="A50" s="880"/>
      <c r="B50" s="755"/>
      <c r="C50" s="755"/>
      <c r="D50" s="755"/>
    </row>
    <row r="51" spans="1:4">
      <c r="A51" s="880"/>
      <c r="B51" s="755"/>
      <c r="D51" s="755"/>
    </row>
    <row r="52" spans="1:4">
      <c r="A52" s="880"/>
      <c r="B52" s="755"/>
      <c r="C52" s="755"/>
      <c r="D52" s="755"/>
    </row>
    <row r="53" spans="1:4">
      <c r="A53" s="880"/>
      <c r="B53" s="755"/>
      <c r="C53" s="755"/>
      <c r="D53" s="755"/>
    </row>
    <row r="54" spans="1:4">
      <c r="B54" s="755"/>
      <c r="C54" s="755"/>
      <c r="D54" s="755"/>
    </row>
    <row r="55" spans="1:4">
      <c r="B55" s="755"/>
      <c r="C55" s="755"/>
      <c r="D55" s="755"/>
    </row>
    <row r="56" spans="1:4">
      <c r="B56" s="755"/>
      <c r="C56" s="755"/>
      <c r="D56" s="755"/>
    </row>
    <row r="57" spans="1:4">
      <c r="B57" s="755"/>
      <c r="C57" s="755"/>
      <c r="D57" s="755"/>
    </row>
    <row r="58" spans="1:4">
      <c r="B58" s="755"/>
      <c r="C58" s="755"/>
      <c r="D58" s="755"/>
    </row>
    <row r="59" spans="1:4">
      <c r="B59" s="755"/>
      <c r="C59" s="755"/>
      <c r="D59" s="755"/>
    </row>
    <row r="60" spans="1:4">
      <c r="B60" s="755"/>
      <c r="C60" s="755"/>
      <c r="D60" s="755"/>
    </row>
    <row r="61" spans="1:4">
      <c r="B61" s="755"/>
      <c r="C61" s="755"/>
      <c r="D61" s="755"/>
    </row>
    <row r="62" spans="1:4">
      <c r="B62" s="755"/>
      <c r="C62" s="755"/>
      <c r="D62" s="755"/>
    </row>
    <row r="63" spans="1:4">
      <c r="B63" s="755"/>
      <c r="C63" s="755"/>
      <c r="D63" s="755"/>
    </row>
    <row r="64" spans="1:4">
      <c r="B64" s="755"/>
      <c r="C64" s="755"/>
      <c r="D64" s="755"/>
    </row>
    <row r="65" spans="2:4">
      <c r="B65" s="755"/>
      <c r="C65" s="755"/>
      <c r="D65" s="755"/>
    </row>
    <row r="66" spans="2:4">
      <c r="B66" s="755"/>
      <c r="C66" s="755"/>
      <c r="D66" s="755"/>
    </row>
    <row r="67" spans="2:4">
      <c r="B67" s="755"/>
      <c r="C67" s="755"/>
      <c r="D67" s="755"/>
    </row>
    <row r="68" spans="2:4">
      <c r="B68" s="755"/>
      <c r="C68" s="755"/>
      <c r="D68" s="755"/>
    </row>
    <row r="69" spans="2:4">
      <c r="B69" s="755"/>
      <c r="C69" s="755"/>
      <c r="D69" s="755"/>
    </row>
    <row r="70" spans="2:4">
      <c r="B70" s="755"/>
      <c r="C70" s="755"/>
      <c r="D70" s="755"/>
    </row>
    <row r="71" spans="2:4">
      <c r="B71" s="755"/>
      <c r="C71" s="755"/>
      <c r="D71" s="755"/>
    </row>
    <row r="72" spans="2:4">
      <c r="B72" s="755"/>
      <c r="C72" s="755"/>
      <c r="D72" s="755"/>
    </row>
    <row r="73" spans="2:4">
      <c r="B73" s="755"/>
      <c r="C73" s="755"/>
      <c r="D73" s="755"/>
    </row>
    <row r="74" spans="2:4">
      <c r="B74" s="755"/>
      <c r="C74" s="755"/>
      <c r="D74" s="755"/>
    </row>
    <row r="75" spans="2:4">
      <c r="B75" s="755"/>
      <c r="C75" s="755"/>
      <c r="D75" s="755"/>
    </row>
    <row r="76" spans="2:4">
      <c r="B76" s="755"/>
      <c r="C76" s="755"/>
      <c r="D76" s="755"/>
    </row>
    <row r="77" spans="2:4">
      <c r="B77" s="755"/>
      <c r="C77" s="755"/>
      <c r="D77" s="755"/>
    </row>
    <row r="78" spans="2:4">
      <c r="B78" s="755"/>
      <c r="C78" s="755"/>
      <c r="D78" s="755"/>
    </row>
    <row r="79" spans="2:4">
      <c r="B79" s="755"/>
      <c r="C79" s="755"/>
      <c r="D79" s="755"/>
    </row>
    <row r="80" spans="2:4">
      <c r="B80" s="755"/>
      <c r="C80" s="755"/>
      <c r="D80" s="755"/>
    </row>
    <row r="81" spans="1:4">
      <c r="B81" s="755"/>
      <c r="C81" s="755"/>
      <c r="D81" s="755"/>
    </row>
    <row r="82" spans="1:4">
      <c r="B82" s="755"/>
      <c r="C82" s="755"/>
      <c r="D82" s="755"/>
    </row>
    <row r="83" spans="1:4">
      <c r="B83" s="755"/>
      <c r="C83" s="755"/>
      <c r="D83" s="755"/>
    </row>
    <row r="84" spans="1:4">
      <c r="A84" s="880"/>
      <c r="B84" s="755"/>
      <c r="C84" s="755"/>
      <c r="D84" s="755"/>
    </row>
    <row r="85" spans="1:4">
      <c r="A85" s="880"/>
      <c r="B85" s="755"/>
      <c r="C85" s="755"/>
      <c r="D85" s="755"/>
    </row>
    <row r="86" spans="1:4">
      <c r="A86" s="880"/>
      <c r="B86" s="755"/>
      <c r="C86" s="755"/>
      <c r="D86" s="755"/>
    </row>
    <row r="87" spans="1:4">
      <c r="A87" s="880"/>
      <c r="B87" s="755"/>
      <c r="C87" s="755"/>
      <c r="D87" s="755"/>
    </row>
    <row r="88" spans="1:4">
      <c r="A88" s="880"/>
      <c r="B88" s="755"/>
      <c r="C88" s="755"/>
      <c r="D88" s="755"/>
    </row>
    <row r="89" spans="1:4">
      <c r="A89" s="880"/>
      <c r="B89" s="755"/>
      <c r="C89" s="755"/>
      <c r="D89" s="755"/>
    </row>
    <row r="90" spans="1:4">
      <c r="B90" s="755"/>
      <c r="C90" s="755"/>
      <c r="D90" s="755"/>
    </row>
    <row r="91" spans="1:4">
      <c r="B91" s="755"/>
      <c r="C91" s="755"/>
      <c r="D91" s="755"/>
    </row>
    <row r="92" spans="1:4">
      <c r="B92" s="755"/>
      <c r="C92" s="755"/>
      <c r="D92" s="755"/>
    </row>
    <row r="93" spans="1:4">
      <c r="B93" s="755"/>
      <c r="C93" s="755"/>
      <c r="D93" s="755"/>
    </row>
    <row r="94" spans="1:4">
      <c r="B94" s="755"/>
      <c r="C94" s="755"/>
      <c r="D94" s="755"/>
    </row>
    <row r="95" spans="1:4">
      <c r="B95" s="755"/>
      <c r="C95" s="755"/>
      <c r="D95" s="755"/>
    </row>
    <row r="96" spans="1:4">
      <c r="B96" s="755"/>
      <c r="C96" s="755"/>
      <c r="D96" s="755"/>
    </row>
    <row r="97" spans="1:4">
      <c r="B97" s="755"/>
      <c r="C97" s="755"/>
      <c r="D97" s="755"/>
    </row>
    <row r="98" spans="1:4">
      <c r="B98" s="755"/>
      <c r="C98" s="755"/>
      <c r="D98" s="755"/>
    </row>
    <row r="99" spans="1:4">
      <c r="B99" s="755"/>
      <c r="C99" s="755"/>
      <c r="D99" s="755"/>
    </row>
    <row r="100" spans="1:4">
      <c r="B100" s="755"/>
      <c r="C100" s="755"/>
      <c r="D100" s="755"/>
    </row>
    <row r="101" spans="1:4">
      <c r="B101" s="755"/>
      <c r="C101" s="755"/>
      <c r="D101" s="755"/>
    </row>
    <row r="102" spans="1:4">
      <c r="B102" s="755"/>
      <c r="C102" s="755"/>
      <c r="D102" s="755"/>
    </row>
    <row r="103" spans="1:4">
      <c r="A103" s="880"/>
      <c r="B103" s="755"/>
      <c r="C103" s="755"/>
      <c r="D103" s="755"/>
    </row>
    <row r="104" spans="1:4">
      <c r="A104" s="880"/>
      <c r="B104" s="755"/>
      <c r="C104" s="755"/>
      <c r="D104" s="755"/>
    </row>
    <row r="105" spans="1:4">
      <c r="A105" s="880"/>
      <c r="B105" s="755"/>
      <c r="C105" s="755"/>
      <c r="D105" s="755"/>
    </row>
    <row r="106" spans="1:4">
      <c r="A106" s="880"/>
      <c r="B106" s="755"/>
      <c r="C106" s="755"/>
      <c r="D106" s="755"/>
    </row>
    <row r="107" spans="1:4">
      <c r="A107" s="880"/>
      <c r="B107" s="755"/>
      <c r="C107" s="755"/>
      <c r="D107" s="755"/>
    </row>
    <row r="108" spans="1:4">
      <c r="A108" s="880"/>
      <c r="B108" s="755"/>
      <c r="C108" s="755"/>
      <c r="D108" s="755"/>
    </row>
    <row r="109" spans="1:4">
      <c r="B109" s="755"/>
      <c r="C109" s="755"/>
      <c r="D109" s="755"/>
    </row>
    <row r="110" spans="1:4">
      <c r="B110" s="755"/>
      <c r="C110" s="755"/>
      <c r="D110" s="755"/>
    </row>
    <row r="111" spans="1:4">
      <c r="B111" s="755"/>
      <c r="C111" s="755"/>
      <c r="D111" s="755"/>
    </row>
    <row r="112" spans="1:4">
      <c r="B112" s="755"/>
      <c r="C112" s="755"/>
      <c r="D112" s="755"/>
    </row>
    <row r="113" spans="2:4">
      <c r="B113" s="755"/>
      <c r="C113" s="755"/>
      <c r="D113" s="755"/>
    </row>
    <row r="114" spans="2:4">
      <c r="B114" s="755"/>
      <c r="C114" s="755"/>
      <c r="D114" s="755"/>
    </row>
    <row r="115" spans="2:4">
      <c r="B115" s="755"/>
      <c r="C115" s="755"/>
      <c r="D115" s="755"/>
    </row>
    <row r="116" spans="2:4">
      <c r="B116" s="755"/>
      <c r="C116" s="755"/>
      <c r="D116" s="755"/>
    </row>
    <row r="117" spans="2:4">
      <c r="B117" s="755"/>
      <c r="C117" s="755"/>
      <c r="D117" s="755"/>
    </row>
    <row r="118" spans="2:4">
      <c r="B118" s="755"/>
      <c r="C118" s="755"/>
      <c r="D118" s="755"/>
    </row>
    <row r="119" spans="2:4">
      <c r="B119" s="755"/>
      <c r="C119" s="755"/>
      <c r="D119" s="755"/>
    </row>
    <row r="120" spans="2:4">
      <c r="B120" s="755"/>
      <c r="C120" s="755"/>
      <c r="D120" s="755"/>
    </row>
    <row r="121" spans="2:4">
      <c r="B121" s="755"/>
      <c r="C121" s="755"/>
      <c r="D121" s="755"/>
    </row>
    <row r="122" spans="2:4">
      <c r="B122" s="755"/>
      <c r="C122" s="755"/>
      <c r="D122" s="755"/>
    </row>
    <row r="123" spans="2:4">
      <c r="B123" s="755"/>
      <c r="C123" s="755"/>
      <c r="D123" s="755"/>
    </row>
    <row r="124" spans="2:4">
      <c r="B124" s="755"/>
      <c r="C124" s="755"/>
      <c r="D124" s="755"/>
    </row>
    <row r="125" spans="2:4">
      <c r="B125" s="755"/>
      <c r="C125" s="755"/>
      <c r="D125" s="755"/>
    </row>
    <row r="126" spans="2:4">
      <c r="B126" s="755"/>
      <c r="C126" s="755"/>
      <c r="D126" s="755"/>
    </row>
    <row r="127" spans="2:4">
      <c r="B127" s="755"/>
      <c r="C127" s="755"/>
      <c r="D127" s="755"/>
    </row>
    <row r="128" spans="2:4">
      <c r="B128" s="755"/>
      <c r="C128" s="755"/>
      <c r="D128" s="755"/>
    </row>
    <row r="129" spans="2:4">
      <c r="B129" s="755"/>
      <c r="C129" s="755"/>
      <c r="D129" s="755"/>
    </row>
    <row r="130" spans="2:4">
      <c r="B130" s="755"/>
      <c r="C130" s="755"/>
      <c r="D130" s="755"/>
    </row>
    <row r="131" spans="2:4">
      <c r="B131" s="755"/>
      <c r="C131" s="755"/>
      <c r="D131" s="755"/>
    </row>
    <row r="132" spans="2:4">
      <c r="B132" s="755"/>
      <c r="C132" s="755"/>
      <c r="D132" s="755"/>
    </row>
    <row r="133" spans="2:4">
      <c r="B133" s="755"/>
      <c r="C133" s="755"/>
      <c r="D133" s="755"/>
    </row>
    <row r="134" spans="2:4">
      <c r="B134" s="755"/>
      <c r="C134" s="755"/>
      <c r="D134" s="755"/>
    </row>
    <row r="135" spans="2:4">
      <c r="B135" s="755"/>
      <c r="C135" s="755"/>
      <c r="D135" s="755"/>
    </row>
    <row r="136" spans="2:4">
      <c r="B136" s="755"/>
      <c r="C136" s="755"/>
      <c r="D136" s="755"/>
    </row>
    <row r="137" spans="2:4">
      <c r="B137" s="755"/>
      <c r="C137" s="755"/>
      <c r="D137" s="755"/>
    </row>
    <row r="138" spans="2:4">
      <c r="B138" s="755"/>
      <c r="C138" s="755"/>
      <c r="D138" s="755"/>
    </row>
    <row r="139" spans="2:4">
      <c r="B139" s="755"/>
      <c r="C139" s="755"/>
      <c r="D139" s="755"/>
    </row>
    <row r="140" spans="2:4">
      <c r="B140" s="755"/>
      <c r="C140" s="755"/>
      <c r="D140" s="755"/>
    </row>
    <row r="141" spans="2:4">
      <c r="B141" s="755"/>
      <c r="C141" s="755"/>
      <c r="D141" s="755"/>
    </row>
    <row r="142" spans="2:4">
      <c r="B142" s="755"/>
      <c r="C142" s="755"/>
      <c r="D142" s="755"/>
    </row>
    <row r="143" spans="2:4">
      <c r="B143" s="755"/>
      <c r="C143" s="755"/>
      <c r="D143" s="755"/>
    </row>
    <row r="144" spans="2:4">
      <c r="B144" s="755"/>
      <c r="C144" s="755"/>
      <c r="D144" s="755"/>
    </row>
    <row r="145" spans="2:4">
      <c r="B145" s="755"/>
      <c r="C145" s="755"/>
      <c r="D145" s="755"/>
    </row>
    <row r="146" spans="2:4">
      <c r="B146" s="755"/>
      <c r="C146" s="755"/>
      <c r="D146" s="755"/>
    </row>
    <row r="147" spans="2:4">
      <c r="B147" s="755"/>
      <c r="C147" s="755"/>
      <c r="D147" s="755"/>
    </row>
    <row r="148" spans="2:4">
      <c r="B148" s="755"/>
      <c r="C148" s="755"/>
      <c r="D148" s="755"/>
    </row>
    <row r="149" spans="2:4">
      <c r="B149" s="755"/>
      <c r="C149" s="755"/>
      <c r="D149" s="755"/>
    </row>
    <row r="150" spans="2:4">
      <c r="B150" s="755"/>
      <c r="C150" s="755"/>
      <c r="D150" s="755"/>
    </row>
    <row r="151" spans="2:4">
      <c r="B151" s="755"/>
      <c r="C151" s="755"/>
      <c r="D151" s="755"/>
    </row>
    <row r="152" spans="2:4">
      <c r="B152" s="755"/>
      <c r="C152" s="755"/>
      <c r="D152" s="755"/>
    </row>
    <row r="153" spans="2:4">
      <c r="B153" s="755"/>
      <c r="C153" s="755"/>
      <c r="D153" s="755"/>
    </row>
    <row r="154" spans="2:4">
      <c r="B154" s="755"/>
      <c r="C154" s="755"/>
      <c r="D154" s="755"/>
    </row>
    <row r="155" spans="2:4">
      <c r="B155" s="755"/>
      <c r="C155" s="755"/>
      <c r="D155" s="755"/>
    </row>
    <row r="156" spans="2:4">
      <c r="B156" s="755"/>
      <c r="C156" s="755"/>
      <c r="D156" s="755"/>
    </row>
    <row r="157" spans="2:4">
      <c r="B157" s="755"/>
      <c r="C157" s="755"/>
      <c r="D157" s="755"/>
    </row>
    <row r="158" spans="2:4">
      <c r="B158" s="755"/>
      <c r="C158" s="755"/>
      <c r="D158" s="755"/>
    </row>
    <row r="159" spans="2:4">
      <c r="B159" s="755"/>
      <c r="C159" s="755"/>
      <c r="D159" s="755"/>
    </row>
    <row r="160" spans="2:4">
      <c r="B160" s="755"/>
      <c r="C160" s="755"/>
      <c r="D160" s="755"/>
    </row>
    <row r="161" spans="1:4">
      <c r="B161" s="755"/>
      <c r="C161" s="755"/>
      <c r="D161" s="755"/>
    </row>
    <row r="162" spans="1:4">
      <c r="B162" s="755"/>
      <c r="C162" s="755"/>
      <c r="D162" s="755"/>
    </row>
    <row r="163" spans="1:4">
      <c r="B163" s="755"/>
      <c r="C163" s="755"/>
      <c r="D163" s="755"/>
    </row>
    <row r="164" spans="1:4">
      <c r="B164" s="755"/>
      <c r="C164" s="755"/>
      <c r="D164" s="755"/>
    </row>
    <row r="165" spans="1:4">
      <c r="B165" s="755"/>
      <c r="C165" s="755"/>
      <c r="D165" s="755"/>
    </row>
    <row r="166" spans="1:4">
      <c r="B166" s="755"/>
      <c r="C166" s="755"/>
      <c r="D166" s="755"/>
    </row>
    <row r="167" spans="1:4">
      <c r="B167" s="755"/>
      <c r="C167" s="755"/>
      <c r="D167" s="755"/>
    </row>
    <row r="168" spans="1:4">
      <c r="B168" s="755"/>
      <c r="C168" s="755"/>
      <c r="D168" s="755"/>
    </row>
    <row r="169" spans="1:4">
      <c r="B169" s="755"/>
      <c r="C169" s="755"/>
      <c r="D169" s="755"/>
    </row>
    <row r="170" spans="1:4">
      <c r="B170" s="755"/>
      <c r="C170" s="755"/>
      <c r="D170" s="755"/>
    </row>
    <row r="171" spans="1:4">
      <c r="B171" s="755"/>
      <c r="C171" s="755"/>
      <c r="D171" s="755"/>
    </row>
    <row r="172" spans="1:4">
      <c r="A172" s="880"/>
      <c r="B172" s="755"/>
      <c r="C172" s="755"/>
      <c r="D172" s="755"/>
    </row>
    <row r="173" spans="1:4">
      <c r="A173" s="880"/>
      <c r="B173" s="755"/>
      <c r="C173" s="755"/>
      <c r="D173" s="755"/>
    </row>
    <row r="174" spans="1:4">
      <c r="A174" s="880"/>
      <c r="B174" s="755"/>
      <c r="C174" s="755"/>
      <c r="D174" s="755"/>
    </row>
    <row r="175" spans="1:4">
      <c r="A175" s="880"/>
      <c r="B175" s="755"/>
      <c r="C175" s="755"/>
      <c r="D175" s="755"/>
    </row>
    <row r="176" spans="1:4">
      <c r="A176" s="880"/>
      <c r="B176" s="755"/>
      <c r="C176" s="755"/>
      <c r="D176" s="755"/>
    </row>
    <row r="177" spans="1:4">
      <c r="A177" s="880"/>
      <c r="B177" s="755"/>
      <c r="C177" s="755"/>
      <c r="D177" s="755"/>
    </row>
    <row r="178" spans="1:4">
      <c r="A178" s="880"/>
      <c r="B178" s="755"/>
      <c r="C178" s="755"/>
      <c r="D178" s="755"/>
    </row>
    <row r="179" spans="1:4">
      <c r="A179" s="880"/>
      <c r="B179" s="755"/>
      <c r="C179" s="755"/>
      <c r="D179" s="755"/>
    </row>
    <row r="180" spans="1:4">
      <c r="A180" s="880"/>
      <c r="B180" s="755"/>
      <c r="C180" s="755"/>
      <c r="D180" s="755"/>
    </row>
    <row r="181" spans="1:4">
      <c r="A181" s="880"/>
      <c r="B181" s="755"/>
      <c r="C181" s="755"/>
      <c r="D181" s="755"/>
    </row>
    <row r="182" spans="1:4">
      <c r="A182" s="880"/>
      <c r="B182" s="755"/>
      <c r="C182" s="755"/>
      <c r="D182" s="755"/>
    </row>
    <row r="183" spans="1:4">
      <c r="A183" s="880"/>
      <c r="B183" s="755"/>
      <c r="C183" s="755"/>
      <c r="D183" s="755"/>
    </row>
    <row r="184" spans="1:4">
      <c r="A184" s="880"/>
      <c r="B184" s="755"/>
      <c r="C184" s="755"/>
      <c r="D184" s="755"/>
    </row>
    <row r="185" spans="1:4">
      <c r="A185" s="880"/>
      <c r="B185" s="755"/>
      <c r="C185" s="755"/>
      <c r="D185" s="755"/>
    </row>
    <row r="186" spans="1:4">
      <c r="A186" s="880"/>
      <c r="B186" s="755"/>
      <c r="C186" s="755"/>
      <c r="D186" s="755"/>
    </row>
    <row r="187" spans="1:4">
      <c r="A187" s="880"/>
      <c r="B187" s="755"/>
      <c r="C187" s="755"/>
      <c r="D187" s="755"/>
    </row>
    <row r="188" spans="1:4">
      <c r="A188" s="880"/>
      <c r="B188" s="755"/>
      <c r="C188" s="755"/>
      <c r="D188" s="755"/>
    </row>
    <row r="189" spans="1:4">
      <c r="A189" s="880"/>
      <c r="B189" s="755"/>
      <c r="C189" s="755"/>
      <c r="D189" s="755"/>
    </row>
    <row r="190" spans="1:4">
      <c r="A190" s="880"/>
      <c r="B190" s="755"/>
      <c r="C190" s="755"/>
      <c r="D190" s="755"/>
    </row>
    <row r="191" spans="1:4">
      <c r="B191" s="755"/>
      <c r="C191" s="755"/>
      <c r="D191" s="755"/>
    </row>
    <row r="192" spans="1:4">
      <c r="B192" s="755"/>
      <c r="C192" s="755"/>
      <c r="D192" s="755"/>
    </row>
    <row r="193" spans="2:4">
      <c r="B193" s="755"/>
      <c r="C193" s="755"/>
      <c r="D193" s="755"/>
    </row>
    <row r="194" spans="2:4">
      <c r="B194" s="755"/>
      <c r="C194" s="755"/>
      <c r="D194" s="755"/>
    </row>
    <row r="195" spans="2:4">
      <c r="B195" s="755"/>
      <c r="C195" s="755"/>
      <c r="D195" s="755"/>
    </row>
    <row r="196" spans="2:4">
      <c r="B196" s="755"/>
      <c r="C196" s="755"/>
      <c r="D196" s="755"/>
    </row>
    <row r="197" spans="2:4">
      <c r="B197" s="755"/>
      <c r="C197" s="755"/>
      <c r="D197" s="755"/>
    </row>
    <row r="198" spans="2:4">
      <c r="B198" s="755"/>
      <c r="C198" s="755"/>
      <c r="D198" s="755"/>
    </row>
    <row r="199" spans="2:4">
      <c r="B199" s="755"/>
      <c r="C199" s="755"/>
      <c r="D199" s="755"/>
    </row>
    <row r="200" spans="2:4">
      <c r="B200" s="755"/>
      <c r="C200" s="755"/>
      <c r="D200" s="755"/>
    </row>
    <row r="201" spans="2:4">
      <c r="B201" s="755"/>
      <c r="C201" s="755"/>
      <c r="D201" s="755"/>
    </row>
    <row r="202" spans="2:4">
      <c r="B202" s="755"/>
      <c r="C202" s="755"/>
      <c r="D202" s="755"/>
    </row>
    <row r="203" spans="2:4">
      <c r="B203" s="755"/>
      <c r="C203" s="755"/>
      <c r="D203" s="755"/>
    </row>
    <row r="204" spans="2:4">
      <c r="B204" s="755"/>
      <c r="C204" s="755"/>
      <c r="D204" s="755"/>
    </row>
    <row r="205" spans="2:4">
      <c r="B205" s="755"/>
      <c r="C205" s="755"/>
      <c r="D205" s="755"/>
    </row>
    <row r="206" spans="2:4">
      <c r="B206" s="755"/>
      <c r="C206" s="755"/>
      <c r="D206" s="755"/>
    </row>
    <row r="207" spans="2:4">
      <c r="B207" s="755"/>
      <c r="C207" s="755"/>
      <c r="D207" s="755"/>
    </row>
    <row r="208" spans="2:4">
      <c r="B208" s="755"/>
      <c r="C208" s="755"/>
      <c r="D208" s="755"/>
    </row>
    <row r="209" spans="2:4">
      <c r="B209" s="755"/>
      <c r="C209" s="755"/>
      <c r="D209" s="755"/>
    </row>
    <row r="210" spans="2:4">
      <c r="B210" s="755"/>
      <c r="C210" s="755"/>
      <c r="D210" s="755"/>
    </row>
    <row r="211" spans="2:4">
      <c r="B211" s="755"/>
      <c r="C211" s="755"/>
      <c r="D211" s="755"/>
    </row>
    <row r="212" spans="2:4">
      <c r="B212" s="755"/>
      <c r="C212" s="755"/>
      <c r="D212" s="755"/>
    </row>
    <row r="213" spans="2:4">
      <c r="B213" s="755"/>
      <c r="C213" s="755"/>
      <c r="D213" s="755"/>
    </row>
    <row r="214" spans="2:4">
      <c r="B214" s="755"/>
      <c r="C214" s="755"/>
      <c r="D214" s="755"/>
    </row>
    <row r="215" spans="2:4">
      <c r="B215" s="755"/>
      <c r="C215" s="755"/>
      <c r="D215" s="755"/>
    </row>
    <row r="216" spans="2:4">
      <c r="B216" s="755"/>
      <c r="C216" s="755"/>
      <c r="D216" s="755"/>
    </row>
    <row r="217" spans="2:4">
      <c r="B217" s="755"/>
      <c r="C217" s="755"/>
      <c r="D217" s="755"/>
    </row>
    <row r="218" spans="2:4">
      <c r="B218" s="755"/>
      <c r="C218" s="755"/>
      <c r="D218" s="755"/>
    </row>
    <row r="219" spans="2:4">
      <c r="B219" s="755"/>
      <c r="C219" s="755"/>
      <c r="D219" s="755"/>
    </row>
    <row r="220" spans="2:4">
      <c r="B220" s="755"/>
      <c r="C220" s="755"/>
      <c r="D220" s="755"/>
    </row>
    <row r="221" spans="2:4">
      <c r="B221" s="755"/>
      <c r="C221" s="755"/>
      <c r="D221" s="755"/>
    </row>
    <row r="222" spans="2:4">
      <c r="B222" s="755"/>
      <c r="C222" s="755"/>
      <c r="D222" s="755"/>
    </row>
    <row r="223" spans="2:4">
      <c r="B223" s="755"/>
      <c r="C223" s="755"/>
      <c r="D223" s="755"/>
    </row>
    <row r="224" spans="2:4">
      <c r="B224" s="755"/>
      <c r="C224" s="755"/>
      <c r="D224" s="755"/>
    </row>
    <row r="225" spans="2:4">
      <c r="B225" s="755"/>
      <c r="C225" s="755"/>
      <c r="D225" s="755"/>
    </row>
    <row r="226" spans="2:4">
      <c r="B226" s="755"/>
      <c r="C226" s="755"/>
      <c r="D226" s="755"/>
    </row>
    <row r="227" spans="2:4">
      <c r="B227" s="755"/>
      <c r="C227" s="755"/>
      <c r="D227" s="755"/>
    </row>
    <row r="228" spans="2:4">
      <c r="B228" s="755"/>
      <c r="C228" s="755"/>
      <c r="D228" s="755"/>
    </row>
    <row r="229" spans="2:4">
      <c r="B229" s="755"/>
      <c r="C229" s="755"/>
      <c r="D229" s="755"/>
    </row>
    <row r="230" spans="2:4">
      <c r="B230" s="755"/>
      <c r="C230" s="755"/>
      <c r="D230" s="755"/>
    </row>
    <row r="231" spans="2:4">
      <c r="B231" s="755"/>
      <c r="C231" s="755"/>
      <c r="D231" s="755"/>
    </row>
    <row r="232" spans="2:4">
      <c r="B232" s="755"/>
      <c r="C232" s="755"/>
      <c r="D232" s="755"/>
    </row>
    <row r="233" spans="2:4">
      <c r="B233" s="755"/>
      <c r="C233" s="755"/>
      <c r="D233" s="755"/>
    </row>
    <row r="234" spans="2:4">
      <c r="B234" s="755"/>
      <c r="C234" s="755"/>
      <c r="D234" s="755"/>
    </row>
    <row r="235" spans="2:4">
      <c r="B235" s="755"/>
      <c r="C235" s="755"/>
      <c r="D235" s="755"/>
    </row>
    <row r="236" spans="2:4">
      <c r="B236" s="755"/>
      <c r="C236" s="755"/>
      <c r="D236" s="755"/>
    </row>
    <row r="237" spans="2:4">
      <c r="B237" s="755"/>
      <c r="C237" s="755"/>
      <c r="D237" s="755"/>
    </row>
    <row r="238" spans="2:4">
      <c r="B238" s="755"/>
      <c r="C238" s="755"/>
      <c r="D238" s="755"/>
    </row>
    <row r="239" spans="2:4">
      <c r="B239" s="755"/>
      <c r="C239" s="755"/>
      <c r="D239" s="755"/>
    </row>
    <row r="240" spans="2:4">
      <c r="B240" s="755"/>
      <c r="C240" s="755"/>
      <c r="D240" s="755"/>
    </row>
    <row r="241" spans="2:4">
      <c r="B241" s="755"/>
      <c r="C241" s="755"/>
      <c r="D241" s="755"/>
    </row>
    <row r="242" spans="2:4">
      <c r="B242" s="755"/>
      <c r="C242" s="755"/>
      <c r="D242" s="755"/>
    </row>
    <row r="243" spans="2:4">
      <c r="B243" s="755"/>
      <c r="C243" s="755"/>
      <c r="D243" s="755"/>
    </row>
    <row r="244" spans="2:4">
      <c r="B244" s="755"/>
      <c r="C244" s="755"/>
      <c r="D244" s="755"/>
    </row>
    <row r="245" spans="2:4">
      <c r="B245" s="755"/>
      <c r="C245" s="755"/>
      <c r="D245" s="755"/>
    </row>
    <row r="246" spans="2:4">
      <c r="B246" s="755"/>
      <c r="C246" s="755"/>
      <c r="D246" s="755"/>
    </row>
    <row r="247" spans="2:4">
      <c r="B247" s="755"/>
      <c r="C247" s="755"/>
      <c r="D247" s="755"/>
    </row>
    <row r="248" spans="2:4">
      <c r="B248" s="755"/>
      <c r="C248" s="755"/>
      <c r="D248" s="755"/>
    </row>
    <row r="249" spans="2:4">
      <c r="B249" s="755"/>
      <c r="C249" s="755"/>
      <c r="D249" s="755"/>
    </row>
    <row r="250" spans="2:4">
      <c r="B250" s="755"/>
      <c r="C250" s="755"/>
      <c r="D250" s="755"/>
    </row>
    <row r="251" spans="2:4">
      <c r="B251" s="755"/>
      <c r="C251" s="755"/>
      <c r="D251" s="755"/>
    </row>
    <row r="252" spans="2:4">
      <c r="B252" s="755"/>
      <c r="C252" s="755"/>
      <c r="D252" s="755"/>
    </row>
    <row r="253" spans="2:4">
      <c r="B253" s="755"/>
      <c r="C253" s="755"/>
      <c r="D253" s="755"/>
    </row>
    <row r="254" spans="2:4">
      <c r="B254" s="755"/>
      <c r="C254" s="755"/>
      <c r="D254" s="755"/>
    </row>
    <row r="255" spans="2:4">
      <c r="B255" s="755"/>
      <c r="C255" s="755"/>
      <c r="D255" s="755"/>
    </row>
    <row r="256" spans="2:4">
      <c r="B256" s="755"/>
      <c r="C256" s="755"/>
      <c r="D256" s="755"/>
    </row>
    <row r="257" spans="2:4">
      <c r="B257" s="755"/>
      <c r="C257" s="755"/>
      <c r="D257" s="755"/>
    </row>
    <row r="258" spans="2:4">
      <c r="B258" s="755"/>
      <c r="C258" s="755"/>
      <c r="D258" s="755"/>
    </row>
    <row r="259" spans="2:4">
      <c r="B259" s="755"/>
      <c r="C259" s="755"/>
      <c r="D259" s="755"/>
    </row>
    <row r="260" spans="2:4">
      <c r="B260" s="755"/>
      <c r="C260" s="755"/>
      <c r="D260" s="755"/>
    </row>
    <row r="261" spans="2:4">
      <c r="B261" s="755"/>
      <c r="C261" s="755"/>
      <c r="D261" s="755"/>
    </row>
    <row r="262" spans="2:4">
      <c r="B262" s="755"/>
      <c r="C262" s="755"/>
      <c r="D262" s="755"/>
    </row>
    <row r="263" spans="2:4">
      <c r="B263" s="755"/>
      <c r="C263" s="755"/>
      <c r="D263" s="755"/>
    </row>
    <row r="264" spans="2:4">
      <c r="B264" s="755"/>
      <c r="C264" s="755"/>
      <c r="D264" s="755"/>
    </row>
    <row r="265" spans="2:4">
      <c r="B265" s="755"/>
      <c r="C265" s="755"/>
      <c r="D265" s="755"/>
    </row>
    <row r="266" spans="2:4">
      <c r="B266" s="755"/>
      <c r="C266" s="755"/>
      <c r="D266" s="755"/>
    </row>
    <row r="267" spans="2:4">
      <c r="B267" s="755"/>
      <c r="C267" s="755"/>
      <c r="D267" s="755"/>
    </row>
    <row r="268" spans="2:4">
      <c r="B268" s="755"/>
      <c r="C268" s="755"/>
      <c r="D268" s="755"/>
    </row>
    <row r="269" spans="2:4">
      <c r="B269" s="755"/>
      <c r="C269" s="755"/>
      <c r="D269" s="755"/>
    </row>
    <row r="270" spans="2:4">
      <c r="B270" s="755"/>
      <c r="C270" s="755"/>
      <c r="D270" s="755"/>
    </row>
    <row r="271" spans="2:4">
      <c r="B271" s="755"/>
      <c r="C271" s="755"/>
      <c r="D271" s="755"/>
    </row>
    <row r="272" spans="2:4">
      <c r="B272" s="755"/>
      <c r="C272" s="755"/>
      <c r="D272" s="755"/>
    </row>
    <row r="273" spans="2:4">
      <c r="B273" s="755"/>
      <c r="C273" s="755"/>
      <c r="D273" s="755"/>
    </row>
    <row r="274" spans="2:4">
      <c r="B274" s="755"/>
      <c r="C274" s="755"/>
      <c r="D274" s="755"/>
    </row>
    <row r="275" spans="2:4">
      <c r="B275" s="755"/>
      <c r="C275" s="755"/>
      <c r="D275" s="755"/>
    </row>
    <row r="276" spans="2:4">
      <c r="B276" s="755"/>
      <c r="C276" s="755"/>
      <c r="D276" s="755"/>
    </row>
    <row r="277" spans="2:4">
      <c r="B277" s="755"/>
      <c r="C277" s="755"/>
      <c r="D277" s="755"/>
    </row>
    <row r="278" spans="2:4">
      <c r="B278" s="755"/>
      <c r="C278" s="755"/>
      <c r="D278" s="755"/>
    </row>
    <row r="279" spans="2:4">
      <c r="B279" s="755"/>
      <c r="C279" s="755"/>
      <c r="D279" s="755"/>
    </row>
    <row r="280" spans="2:4">
      <c r="B280" s="755"/>
      <c r="C280" s="755"/>
      <c r="D280" s="755"/>
    </row>
    <row r="281" spans="2:4">
      <c r="B281" s="755"/>
      <c r="C281" s="755"/>
      <c r="D281" s="755"/>
    </row>
    <row r="282" spans="2:4">
      <c r="B282" s="755"/>
      <c r="C282" s="755"/>
      <c r="D282" s="755"/>
    </row>
    <row r="283" spans="2:4">
      <c r="B283" s="755"/>
      <c r="C283" s="755"/>
      <c r="D283" s="755"/>
    </row>
    <row r="284" spans="2:4">
      <c r="B284" s="755"/>
      <c r="C284" s="755"/>
      <c r="D284" s="755"/>
    </row>
    <row r="285" spans="2:4">
      <c r="B285" s="755"/>
      <c r="C285" s="755"/>
      <c r="D285" s="755"/>
    </row>
    <row r="286" spans="2:4">
      <c r="B286" s="755"/>
      <c r="C286" s="755"/>
      <c r="D286" s="755"/>
    </row>
    <row r="287" spans="2:4">
      <c r="B287" s="755"/>
      <c r="C287" s="755"/>
      <c r="D287" s="755"/>
    </row>
    <row r="288" spans="2:4">
      <c r="B288" s="755"/>
      <c r="C288" s="755"/>
      <c r="D288" s="755"/>
    </row>
    <row r="289" spans="2:4">
      <c r="B289" s="755"/>
      <c r="C289" s="755"/>
      <c r="D289" s="755"/>
    </row>
    <row r="290" spans="2:4">
      <c r="B290" s="755"/>
      <c r="C290" s="755"/>
      <c r="D290" s="755"/>
    </row>
    <row r="291" spans="2:4">
      <c r="B291" s="755"/>
      <c r="C291" s="755"/>
      <c r="D291" s="755"/>
    </row>
    <row r="292" spans="2:4">
      <c r="B292" s="755"/>
      <c r="C292" s="755"/>
      <c r="D292" s="755"/>
    </row>
    <row r="293" spans="2:4">
      <c r="B293" s="755"/>
      <c r="C293" s="755"/>
      <c r="D293" s="755"/>
    </row>
    <row r="294" spans="2:4">
      <c r="B294" s="755"/>
      <c r="C294" s="755"/>
      <c r="D294" s="755"/>
    </row>
    <row r="295" spans="2:4">
      <c r="B295" s="755"/>
      <c r="C295" s="755"/>
      <c r="D295" s="755"/>
    </row>
    <row r="296" spans="2:4">
      <c r="B296" s="755"/>
      <c r="C296" s="755"/>
      <c r="D296" s="755"/>
    </row>
    <row r="297" spans="2:4">
      <c r="B297" s="755"/>
      <c r="C297" s="755"/>
      <c r="D297" s="755"/>
    </row>
    <row r="298" spans="2:4">
      <c r="B298" s="755"/>
      <c r="C298" s="755"/>
      <c r="D298" s="755"/>
    </row>
    <row r="299" spans="2:4">
      <c r="B299" s="755"/>
      <c r="C299" s="755"/>
      <c r="D299" s="755"/>
    </row>
    <row r="300" spans="2:4">
      <c r="B300" s="755"/>
      <c r="C300" s="755"/>
      <c r="D300" s="755"/>
    </row>
    <row r="301" spans="2:4">
      <c r="B301" s="755"/>
      <c r="C301" s="755"/>
      <c r="D301" s="755"/>
    </row>
    <row r="302" spans="2:4">
      <c r="B302" s="755"/>
      <c r="C302" s="755"/>
      <c r="D302" s="755"/>
    </row>
    <row r="303" spans="2:4">
      <c r="B303" s="755"/>
      <c r="C303" s="755"/>
      <c r="D303" s="755"/>
    </row>
    <row r="304" spans="2:4">
      <c r="B304" s="755"/>
      <c r="C304" s="755"/>
      <c r="D304" s="755"/>
    </row>
    <row r="305" spans="2:4">
      <c r="B305" s="755"/>
      <c r="C305" s="755"/>
      <c r="D305" s="755"/>
    </row>
    <row r="306" spans="2:4">
      <c r="B306" s="755"/>
      <c r="C306" s="755"/>
      <c r="D306" s="755"/>
    </row>
    <row r="307" spans="2:4">
      <c r="B307" s="755"/>
      <c r="C307" s="755"/>
      <c r="D307" s="755"/>
    </row>
    <row r="308" spans="2:4">
      <c r="B308" s="755"/>
      <c r="C308" s="755"/>
      <c r="D308" s="755"/>
    </row>
    <row r="309" spans="2:4">
      <c r="B309" s="755"/>
      <c r="C309" s="755"/>
      <c r="D309" s="755"/>
    </row>
    <row r="310" spans="2:4">
      <c r="B310" s="755"/>
      <c r="C310" s="755"/>
      <c r="D310" s="755"/>
    </row>
    <row r="311" spans="2:4">
      <c r="B311" s="755"/>
      <c r="C311" s="755"/>
      <c r="D311" s="755"/>
    </row>
    <row r="312" spans="2:4">
      <c r="B312" s="755"/>
      <c r="C312" s="755"/>
      <c r="D312" s="755"/>
    </row>
    <row r="313" spans="2:4">
      <c r="B313" s="755"/>
      <c r="C313" s="755"/>
      <c r="D313" s="755"/>
    </row>
    <row r="314" spans="2:4">
      <c r="B314" s="755"/>
      <c r="C314" s="755"/>
      <c r="D314" s="755"/>
    </row>
    <row r="315" spans="2:4">
      <c r="B315" s="755"/>
      <c r="C315" s="755"/>
      <c r="D315" s="755"/>
    </row>
    <row r="316" spans="2:4">
      <c r="B316" s="755"/>
      <c r="C316" s="755"/>
      <c r="D316" s="755"/>
    </row>
    <row r="317" spans="2:4">
      <c r="B317" s="755"/>
      <c r="C317" s="755"/>
      <c r="D317" s="755"/>
    </row>
    <row r="318" spans="2:4">
      <c r="B318" s="755"/>
      <c r="C318" s="755"/>
      <c r="D318" s="755"/>
    </row>
    <row r="319" spans="2:4">
      <c r="B319" s="755"/>
      <c r="C319" s="755"/>
      <c r="D319" s="755"/>
    </row>
    <row r="320" spans="2:4">
      <c r="B320" s="755"/>
      <c r="C320" s="755"/>
      <c r="D320" s="755"/>
    </row>
    <row r="321" spans="2:4">
      <c r="B321" s="755"/>
      <c r="C321" s="755"/>
      <c r="D321" s="755"/>
    </row>
    <row r="322" spans="2:4">
      <c r="B322" s="755"/>
      <c r="C322" s="755"/>
      <c r="D322" s="755"/>
    </row>
    <row r="323" spans="2:4">
      <c r="B323" s="755"/>
      <c r="C323" s="755"/>
      <c r="D323" s="755"/>
    </row>
    <row r="324" spans="2:4">
      <c r="B324" s="755"/>
      <c r="C324" s="755"/>
      <c r="D324" s="755"/>
    </row>
    <row r="325" spans="2:4">
      <c r="B325" s="755"/>
      <c r="C325" s="755"/>
      <c r="D325" s="755"/>
    </row>
    <row r="326" spans="2:4">
      <c r="B326" s="755"/>
      <c r="C326" s="755"/>
      <c r="D326" s="755"/>
    </row>
    <row r="327" spans="2:4">
      <c r="B327" s="755"/>
      <c r="C327" s="755"/>
      <c r="D327" s="755"/>
    </row>
    <row r="328" spans="2:4">
      <c r="B328" s="755"/>
      <c r="C328" s="755"/>
      <c r="D328" s="755"/>
    </row>
    <row r="329" spans="2:4">
      <c r="B329" s="755"/>
      <c r="C329" s="755"/>
      <c r="D329" s="755"/>
    </row>
    <row r="330" spans="2:4">
      <c r="B330" s="755"/>
      <c r="C330" s="755"/>
      <c r="D330" s="755"/>
    </row>
    <row r="331" spans="2:4">
      <c r="B331" s="755"/>
      <c r="C331" s="755"/>
      <c r="D331" s="755"/>
    </row>
    <row r="332" spans="2:4">
      <c r="B332" s="755"/>
      <c r="C332" s="755"/>
      <c r="D332" s="755"/>
    </row>
    <row r="333" spans="2:4">
      <c r="B333" s="755"/>
      <c r="C333" s="755"/>
      <c r="D333" s="755"/>
    </row>
    <row r="334" spans="2:4">
      <c r="B334" s="755"/>
      <c r="C334" s="755"/>
      <c r="D334" s="755"/>
    </row>
    <row r="335" spans="2:4">
      <c r="B335" s="755"/>
      <c r="C335" s="755"/>
      <c r="D335" s="755"/>
    </row>
    <row r="336" spans="2:4">
      <c r="B336" s="755"/>
      <c r="C336" s="755"/>
      <c r="D336" s="755"/>
    </row>
    <row r="337" spans="2:4">
      <c r="B337" s="755"/>
      <c r="C337" s="755"/>
      <c r="D337" s="755"/>
    </row>
    <row r="338" spans="2:4">
      <c r="B338" s="755"/>
      <c r="C338" s="755"/>
      <c r="D338" s="755"/>
    </row>
    <row r="339" spans="2:4">
      <c r="B339" s="755"/>
      <c r="C339" s="755"/>
      <c r="D339" s="755"/>
    </row>
    <row r="340" spans="2:4">
      <c r="B340" s="755"/>
      <c r="C340" s="755"/>
      <c r="D340" s="755"/>
    </row>
    <row r="341" spans="2:4">
      <c r="B341" s="755"/>
      <c r="C341" s="755"/>
      <c r="D341" s="755"/>
    </row>
    <row r="342" spans="2:4">
      <c r="B342" s="755"/>
      <c r="C342" s="755"/>
      <c r="D342" s="755"/>
    </row>
    <row r="343" spans="2:4">
      <c r="B343" s="755"/>
      <c r="C343" s="755"/>
      <c r="D343" s="755"/>
    </row>
    <row r="344" spans="2:4">
      <c r="B344" s="755"/>
      <c r="C344" s="755"/>
      <c r="D344" s="755"/>
    </row>
    <row r="345" spans="2:4">
      <c r="B345" s="755"/>
      <c r="C345" s="755"/>
      <c r="D345" s="755"/>
    </row>
    <row r="346" spans="2:4">
      <c r="B346" s="755"/>
      <c r="C346" s="755"/>
      <c r="D346" s="755"/>
    </row>
    <row r="347" spans="2:4">
      <c r="B347" s="755"/>
      <c r="C347" s="755"/>
      <c r="D347" s="755"/>
    </row>
    <row r="348" spans="2:4">
      <c r="B348" s="755"/>
      <c r="C348" s="755"/>
      <c r="D348" s="755"/>
    </row>
    <row r="349" spans="2:4">
      <c r="B349" s="755"/>
      <c r="C349" s="755"/>
      <c r="D349" s="755"/>
    </row>
    <row r="350" spans="2:4">
      <c r="B350" s="755"/>
      <c r="C350" s="755"/>
      <c r="D350" s="755"/>
    </row>
    <row r="351" spans="2:4">
      <c r="B351" s="755"/>
      <c r="C351" s="755"/>
      <c r="D351" s="755"/>
    </row>
    <row r="352" spans="2:4">
      <c r="B352" s="755"/>
      <c r="C352" s="755"/>
      <c r="D352" s="755"/>
    </row>
    <row r="353" spans="2:4">
      <c r="B353" s="755"/>
      <c r="C353" s="755"/>
      <c r="D353" s="755"/>
    </row>
    <row r="354" spans="2:4">
      <c r="B354" s="755"/>
      <c r="C354" s="755"/>
      <c r="D354" s="755"/>
    </row>
    <row r="355" spans="2:4">
      <c r="B355" s="755"/>
      <c r="C355" s="755"/>
      <c r="D355" s="755"/>
    </row>
    <row r="356" spans="2:4">
      <c r="B356" s="755"/>
      <c r="C356" s="755"/>
      <c r="D356" s="755"/>
    </row>
    <row r="357" spans="2:4">
      <c r="B357" s="755"/>
      <c r="C357" s="755"/>
      <c r="D357" s="755"/>
    </row>
    <row r="358" spans="2:4">
      <c r="B358" s="755"/>
      <c r="C358" s="755"/>
      <c r="D358" s="755"/>
    </row>
    <row r="359" spans="2:4">
      <c r="B359" s="755"/>
      <c r="C359" s="755"/>
      <c r="D359" s="755"/>
    </row>
    <row r="360" spans="2:4">
      <c r="B360" s="755"/>
      <c r="C360" s="755"/>
      <c r="D360" s="755"/>
    </row>
    <row r="361" spans="2:4">
      <c r="B361" s="755"/>
      <c r="C361" s="755"/>
      <c r="D361" s="755"/>
    </row>
    <row r="362" spans="2:4">
      <c r="B362" s="755"/>
      <c r="C362" s="755"/>
      <c r="D362" s="755"/>
    </row>
    <row r="363" spans="2:4">
      <c r="B363" s="755"/>
      <c r="C363" s="755"/>
      <c r="D363" s="755"/>
    </row>
    <row r="364" spans="2:4">
      <c r="B364" s="755"/>
      <c r="C364" s="755"/>
      <c r="D364" s="755"/>
    </row>
    <row r="365" spans="2:4">
      <c r="B365" s="755"/>
      <c r="C365" s="755"/>
      <c r="D365" s="755"/>
    </row>
    <row r="366" spans="2:4">
      <c r="B366" s="755"/>
      <c r="C366" s="755"/>
      <c r="D366" s="755"/>
    </row>
    <row r="367" spans="2:4">
      <c r="B367" s="755"/>
      <c r="C367" s="755"/>
      <c r="D367" s="755"/>
    </row>
    <row r="368" spans="2:4">
      <c r="B368" s="755"/>
      <c r="C368" s="755"/>
      <c r="D368" s="755"/>
    </row>
    <row r="369" spans="2:4">
      <c r="B369" s="755"/>
      <c r="C369" s="755"/>
      <c r="D369" s="755"/>
    </row>
    <row r="370" spans="2:4">
      <c r="B370" s="755"/>
      <c r="C370" s="755"/>
      <c r="D370" s="755"/>
    </row>
    <row r="371" spans="2:4">
      <c r="B371" s="755"/>
      <c r="C371" s="755"/>
      <c r="D371" s="755"/>
    </row>
    <row r="372" spans="2:4">
      <c r="B372" s="755"/>
      <c r="C372" s="755"/>
      <c r="D372" s="755"/>
    </row>
    <row r="373" spans="2:4">
      <c r="B373" s="755"/>
      <c r="C373" s="755"/>
      <c r="D373" s="755"/>
    </row>
    <row r="374" spans="2:4">
      <c r="B374" s="755"/>
      <c r="C374" s="755"/>
      <c r="D374" s="755"/>
    </row>
    <row r="375" spans="2:4">
      <c r="B375" s="755"/>
      <c r="C375" s="755"/>
      <c r="D375" s="755"/>
    </row>
    <row r="376" spans="2:4">
      <c r="B376" s="755"/>
      <c r="C376" s="755"/>
      <c r="D376" s="755"/>
    </row>
    <row r="377" spans="2:4">
      <c r="B377" s="755"/>
      <c r="C377" s="755"/>
      <c r="D377" s="755"/>
    </row>
    <row r="378" spans="2:4">
      <c r="B378" s="755"/>
      <c r="C378" s="755"/>
      <c r="D378" s="755"/>
    </row>
    <row r="379" spans="2:4">
      <c r="B379" s="755"/>
      <c r="C379" s="755"/>
      <c r="D379" s="755"/>
    </row>
    <row r="380" spans="2:4">
      <c r="B380" s="755"/>
      <c r="C380" s="755"/>
      <c r="D380" s="755"/>
    </row>
    <row r="381" spans="2:4">
      <c r="B381" s="755"/>
      <c r="C381" s="755"/>
      <c r="D381" s="755"/>
    </row>
    <row r="382" spans="2:4">
      <c r="B382" s="755"/>
      <c r="C382" s="755"/>
      <c r="D382" s="755"/>
    </row>
    <row r="383" spans="2:4">
      <c r="B383" s="755"/>
      <c r="C383" s="755"/>
      <c r="D383" s="755"/>
    </row>
    <row r="384" spans="2:4">
      <c r="B384" s="755"/>
      <c r="C384" s="755"/>
      <c r="D384" s="755"/>
    </row>
    <row r="385" spans="2:4">
      <c r="B385" s="755"/>
      <c r="C385" s="755"/>
      <c r="D385" s="755"/>
    </row>
    <row r="386" spans="2:4">
      <c r="B386" s="755"/>
      <c r="C386" s="755"/>
      <c r="D386" s="755"/>
    </row>
    <row r="387" spans="2:4">
      <c r="B387" s="755"/>
      <c r="C387" s="755"/>
      <c r="D387" s="755"/>
    </row>
    <row r="388" spans="2:4">
      <c r="B388" s="755"/>
      <c r="C388" s="755"/>
      <c r="D388" s="755"/>
    </row>
    <row r="389" spans="2:4">
      <c r="B389" s="755"/>
      <c r="C389" s="755"/>
      <c r="D389" s="755"/>
    </row>
    <row r="390" spans="2:4">
      <c r="B390" s="755"/>
      <c r="C390" s="755"/>
      <c r="D390" s="755"/>
    </row>
    <row r="391" spans="2:4">
      <c r="B391" s="755"/>
      <c r="C391" s="755"/>
      <c r="D391" s="755"/>
    </row>
    <row r="392" spans="2:4">
      <c r="B392" s="755"/>
      <c r="C392" s="755"/>
      <c r="D392" s="755"/>
    </row>
    <row r="393" spans="2:4">
      <c r="B393" s="755"/>
      <c r="C393" s="755"/>
      <c r="D393" s="755"/>
    </row>
    <row r="394" spans="2:4">
      <c r="B394" s="755"/>
      <c r="C394" s="755"/>
      <c r="D394" s="755"/>
    </row>
    <row r="395" spans="2:4">
      <c r="B395" s="755"/>
      <c r="C395" s="755"/>
      <c r="D395" s="755"/>
    </row>
    <row r="396" spans="2:4">
      <c r="B396" s="755"/>
      <c r="C396" s="755"/>
      <c r="D396" s="755"/>
    </row>
    <row r="397" spans="2:4">
      <c r="B397" s="755"/>
      <c r="C397" s="755"/>
      <c r="D397" s="755"/>
    </row>
    <row r="398" spans="2:4">
      <c r="B398" s="755"/>
      <c r="C398" s="755"/>
      <c r="D398" s="755"/>
    </row>
    <row r="399" spans="2:4">
      <c r="B399" s="755"/>
      <c r="C399" s="755"/>
      <c r="D399" s="755"/>
    </row>
    <row r="400" spans="2:4">
      <c r="B400" s="755"/>
      <c r="C400" s="755"/>
      <c r="D400" s="755"/>
    </row>
    <row r="401" spans="2:4">
      <c r="B401" s="755"/>
      <c r="C401" s="755"/>
      <c r="D401" s="755"/>
    </row>
    <row r="402" spans="2:4">
      <c r="B402" s="755"/>
      <c r="C402" s="755"/>
      <c r="D402" s="755"/>
    </row>
    <row r="403" spans="2:4">
      <c r="B403" s="755"/>
      <c r="C403" s="755"/>
      <c r="D403" s="755"/>
    </row>
    <row r="404" spans="2:4">
      <c r="B404" s="755"/>
      <c r="C404" s="755"/>
      <c r="D404" s="755"/>
    </row>
    <row r="405" spans="2:4">
      <c r="B405" s="755"/>
      <c r="C405" s="755"/>
      <c r="D405" s="755"/>
    </row>
    <row r="406" spans="2:4">
      <c r="B406" s="755"/>
      <c r="C406" s="755"/>
      <c r="D406" s="755"/>
    </row>
    <row r="407" spans="2:4">
      <c r="B407" s="755"/>
      <c r="C407" s="755"/>
      <c r="D407" s="755"/>
    </row>
    <row r="408" spans="2:4">
      <c r="B408" s="755"/>
      <c r="C408" s="755"/>
      <c r="D408" s="755"/>
    </row>
    <row r="409" spans="2:4">
      <c r="B409" s="755"/>
      <c r="C409" s="755"/>
      <c r="D409" s="755"/>
    </row>
    <row r="410" spans="2:4">
      <c r="B410" s="755"/>
      <c r="C410" s="755"/>
      <c r="D410" s="755"/>
    </row>
    <row r="411" spans="2:4">
      <c r="B411" s="755"/>
      <c r="C411" s="755"/>
      <c r="D411" s="755"/>
    </row>
    <row r="412" spans="2:4">
      <c r="B412" s="755"/>
      <c r="C412" s="755"/>
      <c r="D412" s="755"/>
    </row>
    <row r="413" spans="2:4">
      <c r="B413" s="755"/>
      <c r="C413" s="755"/>
      <c r="D413" s="755"/>
    </row>
    <row r="414" spans="2:4">
      <c r="B414" s="755"/>
      <c r="C414" s="755"/>
      <c r="D414" s="755"/>
    </row>
    <row r="415" spans="2:4">
      <c r="B415" s="755"/>
      <c r="C415" s="755"/>
      <c r="D415" s="755"/>
    </row>
    <row r="416" spans="2:4">
      <c r="B416" s="755"/>
      <c r="C416" s="755"/>
      <c r="D416" s="755"/>
    </row>
    <row r="417" spans="2:4">
      <c r="B417" s="755"/>
      <c r="C417" s="755"/>
      <c r="D417" s="755"/>
    </row>
    <row r="418" spans="2:4">
      <c r="B418" s="755"/>
      <c r="C418" s="755"/>
      <c r="D418" s="755"/>
    </row>
    <row r="419" spans="2:4">
      <c r="B419" s="755"/>
      <c r="C419" s="755"/>
      <c r="D419" s="755"/>
    </row>
    <row r="420" spans="2:4">
      <c r="B420" s="755"/>
      <c r="C420" s="755"/>
      <c r="D420" s="755"/>
    </row>
    <row r="421" spans="2:4">
      <c r="B421" s="755"/>
      <c r="C421" s="755"/>
      <c r="D421" s="755"/>
    </row>
    <row r="422" spans="2:4">
      <c r="B422" s="755"/>
      <c r="C422" s="755"/>
      <c r="D422" s="755"/>
    </row>
    <row r="423" spans="2:4">
      <c r="B423" s="755"/>
      <c r="C423" s="755"/>
      <c r="D423" s="755"/>
    </row>
    <row r="424" spans="2:4">
      <c r="B424" s="755"/>
      <c r="C424" s="755"/>
      <c r="D424" s="755"/>
    </row>
    <row r="425" spans="2:4">
      <c r="B425" s="755"/>
      <c r="C425" s="755"/>
      <c r="D425" s="755"/>
    </row>
    <row r="426" spans="2:4">
      <c r="B426" s="755"/>
      <c r="C426" s="755"/>
      <c r="D426" s="755"/>
    </row>
    <row r="427" spans="2:4">
      <c r="B427" s="755"/>
      <c r="C427" s="755"/>
      <c r="D427" s="755"/>
    </row>
    <row r="428" spans="2:4">
      <c r="B428" s="755"/>
      <c r="C428" s="755"/>
      <c r="D428" s="755"/>
    </row>
    <row r="429" spans="2:4">
      <c r="B429" s="755"/>
      <c r="C429" s="755"/>
      <c r="D429" s="755"/>
    </row>
    <row r="430" spans="2:4">
      <c r="B430" s="755"/>
      <c r="C430" s="755"/>
      <c r="D430" s="755"/>
    </row>
    <row r="431" spans="2:4">
      <c r="B431" s="755"/>
      <c r="C431" s="755"/>
      <c r="D431" s="755"/>
    </row>
    <row r="432" spans="2:4">
      <c r="B432" s="755"/>
      <c r="C432" s="755"/>
      <c r="D432" s="755"/>
    </row>
    <row r="433" spans="2:4">
      <c r="B433" s="755"/>
      <c r="C433" s="755"/>
      <c r="D433" s="755"/>
    </row>
    <row r="434" spans="2:4">
      <c r="B434" s="755"/>
      <c r="C434" s="755"/>
      <c r="D434" s="755"/>
    </row>
    <row r="435" spans="2:4">
      <c r="B435" s="755"/>
      <c r="C435" s="755"/>
      <c r="D435" s="755"/>
    </row>
    <row r="436" spans="2:4">
      <c r="B436" s="755"/>
      <c r="C436" s="755"/>
      <c r="D436" s="755"/>
    </row>
    <row r="437" spans="2:4">
      <c r="B437" s="755"/>
      <c r="C437" s="755"/>
      <c r="D437" s="755"/>
    </row>
    <row r="438" spans="2:4">
      <c r="B438" s="755"/>
      <c r="C438" s="755"/>
      <c r="D438" s="755"/>
    </row>
    <row r="439" spans="2:4">
      <c r="B439" s="755"/>
      <c r="C439" s="755"/>
      <c r="D439" s="755"/>
    </row>
    <row r="440" spans="2:4">
      <c r="B440" s="755"/>
      <c r="C440" s="755"/>
      <c r="D440" s="755"/>
    </row>
    <row r="441" spans="2:4">
      <c r="B441" s="755"/>
      <c r="C441" s="755"/>
      <c r="D441" s="755"/>
    </row>
    <row r="442" spans="2:4">
      <c r="B442" s="755"/>
      <c r="C442" s="755"/>
      <c r="D442" s="755"/>
    </row>
    <row r="443" spans="2:4">
      <c r="B443" s="755"/>
      <c r="C443" s="755"/>
      <c r="D443" s="755"/>
    </row>
    <row r="444" spans="2:4">
      <c r="B444" s="755"/>
      <c r="C444" s="755"/>
      <c r="D444" s="755"/>
    </row>
    <row r="445" spans="2:4">
      <c r="B445" s="755"/>
      <c r="C445" s="755"/>
      <c r="D445" s="755"/>
    </row>
    <row r="446" spans="2:4">
      <c r="B446" s="755"/>
      <c r="C446" s="755"/>
      <c r="D446" s="755"/>
    </row>
    <row r="447" spans="2:4">
      <c r="B447" s="755"/>
      <c r="C447" s="755"/>
      <c r="D447" s="755"/>
    </row>
    <row r="448" spans="2:4">
      <c r="B448" s="755"/>
      <c r="C448" s="755"/>
      <c r="D448" s="755"/>
    </row>
    <row r="449" spans="2:4">
      <c r="B449" s="755"/>
      <c r="C449" s="755"/>
      <c r="D449" s="755"/>
    </row>
    <row r="450" spans="2:4">
      <c r="B450" s="755"/>
      <c r="C450" s="755"/>
      <c r="D450" s="755"/>
    </row>
    <row r="451" spans="2:4">
      <c r="B451" s="755"/>
      <c r="C451" s="755"/>
      <c r="D451" s="755"/>
    </row>
    <row r="452" spans="2:4">
      <c r="B452" s="755"/>
      <c r="C452" s="755"/>
      <c r="D452" s="755"/>
    </row>
    <row r="453" spans="2:4">
      <c r="B453" s="755"/>
      <c r="C453" s="755"/>
      <c r="D453" s="755"/>
    </row>
    <row r="454" spans="2:4">
      <c r="B454" s="755"/>
      <c r="C454" s="755"/>
      <c r="D454" s="755"/>
    </row>
    <row r="455" spans="2:4">
      <c r="B455" s="755"/>
      <c r="C455" s="755"/>
      <c r="D455" s="755"/>
    </row>
    <row r="456" spans="2:4">
      <c r="B456" s="755"/>
      <c r="C456" s="755"/>
      <c r="D456" s="755"/>
    </row>
    <row r="457" spans="2:4">
      <c r="B457" s="755"/>
      <c r="C457" s="755"/>
      <c r="D457" s="755"/>
    </row>
    <row r="458" spans="2:4">
      <c r="B458" s="755"/>
      <c r="C458" s="755"/>
      <c r="D458" s="755"/>
    </row>
    <row r="459" spans="2:4">
      <c r="B459" s="755"/>
      <c r="C459" s="755"/>
      <c r="D459" s="755"/>
    </row>
    <row r="460" spans="2:4">
      <c r="B460" s="755"/>
      <c r="C460" s="755"/>
      <c r="D460" s="755"/>
    </row>
    <row r="461" spans="2:4">
      <c r="B461" s="755"/>
      <c r="C461" s="755"/>
      <c r="D461" s="755"/>
    </row>
    <row r="462" spans="2:4">
      <c r="B462" s="755"/>
      <c r="C462" s="755"/>
      <c r="D462" s="755"/>
    </row>
    <row r="463" spans="2:4">
      <c r="B463" s="755"/>
      <c r="C463" s="755"/>
      <c r="D463" s="755"/>
    </row>
    <row r="464" spans="2:4">
      <c r="B464" s="755"/>
      <c r="C464" s="755"/>
      <c r="D464" s="755"/>
    </row>
    <row r="465" spans="2:4">
      <c r="B465" s="755"/>
      <c r="C465" s="755"/>
      <c r="D465" s="755"/>
    </row>
    <row r="466" spans="2:4">
      <c r="B466" s="755"/>
      <c r="C466" s="755"/>
      <c r="D466" s="755"/>
    </row>
    <row r="467" spans="2:4">
      <c r="B467" s="755"/>
      <c r="C467" s="755"/>
      <c r="D467" s="755"/>
    </row>
    <row r="468" spans="2:4">
      <c r="B468" s="755"/>
      <c r="C468" s="755"/>
      <c r="D468" s="755"/>
    </row>
    <row r="469" spans="2:4">
      <c r="B469" s="755"/>
      <c r="C469" s="755"/>
      <c r="D469" s="755"/>
    </row>
    <row r="470" spans="2:4">
      <c r="B470" s="755"/>
      <c r="C470" s="755"/>
      <c r="D470" s="755"/>
    </row>
    <row r="471" spans="2:4">
      <c r="B471" s="755"/>
      <c r="C471" s="755"/>
      <c r="D471" s="755"/>
    </row>
    <row r="472" spans="2:4">
      <c r="B472" s="755"/>
      <c r="C472" s="755"/>
      <c r="D472" s="755"/>
    </row>
    <row r="473" spans="2:4">
      <c r="B473" s="755"/>
      <c r="C473" s="755"/>
      <c r="D473" s="755"/>
    </row>
    <row r="474" spans="2:4">
      <c r="B474" s="755"/>
      <c r="C474" s="755"/>
      <c r="D474" s="755"/>
    </row>
    <row r="475" spans="2:4">
      <c r="B475" s="755"/>
      <c r="C475" s="755"/>
      <c r="D475" s="755"/>
    </row>
    <row r="476" spans="2:4">
      <c r="B476" s="755"/>
      <c r="C476" s="755"/>
      <c r="D476" s="755"/>
    </row>
    <row r="477" spans="2:4">
      <c r="B477" s="755"/>
      <c r="C477" s="755"/>
      <c r="D477" s="755"/>
    </row>
    <row r="478" spans="2:4">
      <c r="B478" s="755"/>
      <c r="C478" s="755"/>
      <c r="D478" s="755"/>
    </row>
    <row r="479" spans="2:4">
      <c r="B479" s="755"/>
      <c r="C479" s="755"/>
      <c r="D479" s="755"/>
    </row>
    <row r="480" spans="2:4">
      <c r="B480" s="755"/>
      <c r="C480" s="755"/>
      <c r="D480" s="755"/>
    </row>
    <row r="481" spans="2:4">
      <c r="B481" s="755"/>
      <c r="C481" s="755"/>
      <c r="D481" s="755"/>
    </row>
    <row r="482" spans="2:4">
      <c r="B482" s="755"/>
      <c r="C482" s="755"/>
      <c r="D482" s="755"/>
    </row>
    <row r="483" spans="2:4">
      <c r="B483" s="755"/>
      <c r="C483" s="755"/>
      <c r="D483" s="755"/>
    </row>
    <row r="484" spans="2:4">
      <c r="B484" s="755"/>
      <c r="C484" s="755"/>
      <c r="D484" s="755"/>
    </row>
    <row r="485" spans="2:4">
      <c r="B485" s="755"/>
      <c r="C485" s="755"/>
      <c r="D485" s="755"/>
    </row>
    <row r="486" spans="2:4">
      <c r="B486" s="755"/>
      <c r="C486" s="755"/>
      <c r="D486" s="755"/>
    </row>
    <row r="487" spans="2:4">
      <c r="B487" s="755"/>
      <c r="C487" s="755"/>
      <c r="D487" s="755"/>
    </row>
    <row r="488" spans="2:4">
      <c r="B488" s="755"/>
      <c r="C488" s="755"/>
      <c r="D488" s="755"/>
    </row>
    <row r="489" spans="2:4">
      <c r="B489" s="755"/>
      <c r="C489" s="755"/>
      <c r="D489" s="755"/>
    </row>
    <row r="490" spans="2:4">
      <c r="B490" s="755"/>
      <c r="C490" s="755"/>
      <c r="D490" s="755"/>
    </row>
    <row r="491" spans="2:4">
      <c r="B491" s="755"/>
      <c r="C491" s="755"/>
      <c r="D491" s="755"/>
    </row>
    <row r="492" spans="2:4">
      <c r="B492" s="755"/>
      <c r="C492" s="755"/>
      <c r="D492" s="755"/>
    </row>
    <row r="493" spans="2:4">
      <c r="B493" s="755"/>
      <c r="C493" s="755"/>
      <c r="D493" s="755"/>
    </row>
    <row r="494" spans="2:4">
      <c r="B494" s="755"/>
      <c r="C494" s="755"/>
      <c r="D494" s="755"/>
    </row>
    <row r="495" spans="2:4">
      <c r="B495" s="755"/>
      <c r="C495" s="755"/>
      <c r="D495" s="755"/>
    </row>
    <row r="496" spans="2:4">
      <c r="B496" s="755"/>
      <c r="C496" s="755"/>
      <c r="D496" s="755"/>
    </row>
    <row r="497" spans="2:4">
      <c r="B497" s="755"/>
      <c r="C497" s="755"/>
      <c r="D497" s="755"/>
    </row>
    <row r="498" spans="2:4">
      <c r="B498" s="755"/>
      <c r="C498" s="755"/>
      <c r="D498" s="755"/>
    </row>
    <row r="499" spans="2:4">
      <c r="B499" s="755"/>
      <c r="C499" s="755"/>
      <c r="D499" s="755"/>
    </row>
    <row r="500" spans="2:4">
      <c r="B500" s="755"/>
      <c r="C500" s="755"/>
      <c r="D500" s="755"/>
    </row>
    <row r="501" spans="2:4">
      <c r="B501" s="755"/>
      <c r="C501" s="755"/>
      <c r="D501" s="755"/>
    </row>
    <row r="502" spans="2:4">
      <c r="B502" s="755"/>
      <c r="C502" s="755"/>
      <c r="D502" s="755"/>
    </row>
    <row r="503" spans="2:4">
      <c r="B503" s="755"/>
      <c r="C503" s="755"/>
      <c r="D503" s="755"/>
    </row>
    <row r="504" spans="2:4">
      <c r="B504" s="755"/>
      <c r="C504" s="755"/>
      <c r="D504" s="755"/>
    </row>
    <row r="505" spans="2:4">
      <c r="B505" s="755"/>
      <c r="C505" s="755"/>
      <c r="D505" s="755"/>
    </row>
    <row r="506" spans="2:4">
      <c r="B506" s="755"/>
      <c r="C506" s="755"/>
      <c r="D506" s="755"/>
    </row>
    <row r="507" spans="2:4">
      <c r="B507" s="755"/>
      <c r="C507" s="755"/>
      <c r="D507" s="755"/>
    </row>
    <row r="508" spans="2:4">
      <c r="B508" s="755"/>
      <c r="C508" s="755"/>
      <c r="D508" s="755"/>
    </row>
    <row r="509" spans="2:4">
      <c r="B509" s="755"/>
      <c r="C509" s="755"/>
      <c r="D509" s="755"/>
    </row>
    <row r="510" spans="2:4">
      <c r="B510" s="755"/>
      <c r="C510" s="755"/>
      <c r="D510" s="755"/>
    </row>
    <row r="511" spans="2:4">
      <c r="B511" s="755"/>
      <c r="C511" s="755"/>
      <c r="D511" s="755"/>
    </row>
    <row r="512" spans="2:4">
      <c r="B512" s="755"/>
      <c r="C512" s="755"/>
      <c r="D512" s="755"/>
    </row>
    <row r="513" spans="2:4">
      <c r="B513" s="755"/>
      <c r="C513" s="755"/>
      <c r="D513" s="755"/>
    </row>
    <row r="514" spans="2:4">
      <c r="B514" s="755"/>
      <c r="C514" s="755"/>
      <c r="D514" s="755"/>
    </row>
    <row r="515" spans="2:4">
      <c r="B515" s="755"/>
      <c r="C515" s="755"/>
      <c r="D515" s="755"/>
    </row>
    <row r="516" spans="2:4">
      <c r="B516" s="755"/>
      <c r="C516" s="755"/>
      <c r="D516" s="755"/>
    </row>
    <row r="517" spans="2:4">
      <c r="B517" s="755"/>
      <c r="C517" s="755"/>
      <c r="D517" s="755"/>
    </row>
    <row r="518" spans="2:4">
      <c r="B518" s="755"/>
      <c r="C518" s="755"/>
      <c r="D518" s="755"/>
    </row>
    <row r="519" spans="2:4">
      <c r="B519" s="755"/>
      <c r="C519" s="755"/>
      <c r="D519" s="755"/>
    </row>
    <row r="520" spans="2:4">
      <c r="B520" s="755"/>
      <c r="C520" s="755"/>
      <c r="D520" s="755"/>
    </row>
    <row r="521" spans="2:4">
      <c r="B521" s="755"/>
      <c r="C521" s="755"/>
      <c r="D521" s="755"/>
    </row>
    <row r="522" spans="2:4">
      <c r="B522" s="755"/>
      <c r="C522" s="755"/>
      <c r="D522" s="755"/>
    </row>
    <row r="523" spans="2:4">
      <c r="B523" s="755"/>
      <c r="C523" s="755"/>
      <c r="D523" s="755"/>
    </row>
    <row r="524" spans="2:4">
      <c r="B524" s="755"/>
      <c r="C524" s="755"/>
      <c r="D524" s="755"/>
    </row>
    <row r="525" spans="2:4">
      <c r="B525" s="755"/>
      <c r="C525" s="755"/>
      <c r="D525" s="755"/>
    </row>
    <row r="526" spans="2:4">
      <c r="B526" s="755"/>
      <c r="C526" s="755"/>
      <c r="D526" s="755"/>
    </row>
    <row r="527" spans="2:4">
      <c r="B527" s="755"/>
      <c r="C527" s="755"/>
      <c r="D527" s="755"/>
    </row>
    <row r="528" spans="2:4">
      <c r="B528" s="755"/>
      <c r="C528" s="755"/>
      <c r="D528" s="755"/>
    </row>
    <row r="529" spans="2:4">
      <c r="B529" s="755"/>
      <c r="C529" s="755"/>
      <c r="D529" s="755"/>
    </row>
    <row r="530" spans="2:4">
      <c r="B530" s="755"/>
      <c r="C530" s="755"/>
      <c r="D530" s="755"/>
    </row>
    <row r="531" spans="2:4">
      <c r="B531" s="755"/>
      <c r="C531" s="755"/>
      <c r="D531" s="755"/>
    </row>
    <row r="532" spans="2:4">
      <c r="B532" s="755"/>
      <c r="C532" s="755"/>
      <c r="D532" s="755"/>
    </row>
    <row r="533" spans="2:4">
      <c r="B533" s="755"/>
      <c r="C533" s="755"/>
      <c r="D533" s="755"/>
    </row>
    <row r="534" spans="2:4">
      <c r="B534" s="755"/>
      <c r="C534" s="755"/>
      <c r="D534" s="755"/>
    </row>
    <row r="535" spans="2:4">
      <c r="B535" s="755"/>
      <c r="C535" s="755"/>
      <c r="D535" s="755"/>
    </row>
    <row r="536" spans="2:4">
      <c r="B536" s="755"/>
      <c r="C536" s="755"/>
      <c r="D536" s="755"/>
    </row>
    <row r="537" spans="2:4">
      <c r="B537" s="755"/>
      <c r="C537" s="755"/>
      <c r="D537" s="755"/>
    </row>
    <row r="538" spans="2:4">
      <c r="B538" s="755"/>
      <c r="C538" s="755"/>
      <c r="D538" s="755"/>
    </row>
    <row r="539" spans="2:4">
      <c r="B539" s="755"/>
      <c r="C539" s="755"/>
      <c r="D539" s="755"/>
    </row>
    <row r="540" spans="2:4">
      <c r="B540" s="755"/>
      <c r="C540" s="755"/>
      <c r="D540" s="755"/>
    </row>
    <row r="541" spans="2:4">
      <c r="B541" s="755"/>
      <c r="C541" s="755"/>
      <c r="D541" s="755"/>
    </row>
    <row r="542" spans="2:4">
      <c r="B542" s="755"/>
      <c r="C542" s="755"/>
      <c r="D542" s="755"/>
    </row>
    <row r="543" spans="2:4">
      <c r="B543" s="755"/>
      <c r="C543" s="755"/>
      <c r="D543" s="755"/>
    </row>
    <row r="544" spans="2:4">
      <c r="B544" s="755"/>
      <c r="C544" s="755"/>
      <c r="D544" s="755"/>
    </row>
    <row r="545" spans="2:4">
      <c r="B545" s="755"/>
      <c r="C545" s="755"/>
      <c r="D545" s="755"/>
    </row>
    <row r="546" spans="2:4">
      <c r="B546" s="755"/>
      <c r="C546" s="755"/>
      <c r="D546" s="755"/>
    </row>
    <row r="547" spans="2:4">
      <c r="B547" s="755"/>
      <c r="C547" s="755"/>
      <c r="D547" s="755"/>
    </row>
    <row r="548" spans="2:4">
      <c r="B548" s="755"/>
      <c r="C548" s="755"/>
      <c r="D548" s="755"/>
    </row>
    <row r="549" spans="2:4">
      <c r="B549" s="755"/>
      <c r="C549" s="755"/>
      <c r="D549" s="755"/>
    </row>
    <row r="550" spans="2:4">
      <c r="B550" s="755"/>
      <c r="C550" s="755"/>
      <c r="D550" s="755"/>
    </row>
    <row r="551" spans="2:4">
      <c r="B551" s="755"/>
      <c r="C551" s="755"/>
      <c r="D551" s="755"/>
    </row>
    <row r="552" spans="2:4">
      <c r="B552" s="755"/>
      <c r="C552" s="755"/>
      <c r="D552" s="755"/>
    </row>
    <row r="553" spans="2:4">
      <c r="B553" s="755"/>
      <c r="C553" s="755"/>
      <c r="D553" s="755"/>
    </row>
    <row r="554" spans="2:4">
      <c r="B554" s="755"/>
      <c r="C554" s="755"/>
      <c r="D554" s="755"/>
    </row>
    <row r="555" spans="2:4">
      <c r="B555" s="755"/>
      <c r="C555" s="755"/>
      <c r="D555" s="755"/>
    </row>
    <row r="556" spans="2:4">
      <c r="B556" s="755"/>
      <c r="C556" s="755"/>
      <c r="D556" s="755"/>
    </row>
    <row r="557" spans="2:4">
      <c r="B557" s="755"/>
      <c r="C557" s="755"/>
      <c r="D557" s="755"/>
    </row>
    <row r="558" spans="2:4">
      <c r="B558" s="755"/>
      <c r="C558" s="755"/>
      <c r="D558" s="755"/>
    </row>
    <row r="559" spans="2:4">
      <c r="B559" s="755"/>
      <c r="C559" s="755"/>
      <c r="D559" s="755"/>
    </row>
    <row r="560" spans="2:4">
      <c r="B560" s="755"/>
      <c r="C560" s="755"/>
      <c r="D560" s="755"/>
    </row>
    <row r="561" spans="2:4">
      <c r="B561" s="755"/>
      <c r="C561" s="755"/>
      <c r="D561" s="755"/>
    </row>
    <row r="562" spans="2:4">
      <c r="B562" s="755"/>
      <c r="C562" s="755"/>
      <c r="D562" s="755"/>
    </row>
    <row r="563" spans="2:4">
      <c r="B563" s="755"/>
      <c r="C563" s="755"/>
      <c r="D563" s="755"/>
    </row>
    <row r="564" spans="2:4">
      <c r="B564" s="755"/>
      <c r="C564" s="755"/>
      <c r="D564" s="755"/>
    </row>
    <row r="565" spans="2:4">
      <c r="B565" s="755"/>
      <c r="C565" s="755"/>
      <c r="D565" s="755"/>
    </row>
    <row r="566" spans="2:4">
      <c r="B566" s="755"/>
      <c r="C566" s="755"/>
      <c r="D566" s="755"/>
    </row>
    <row r="567" spans="2:4">
      <c r="B567" s="755"/>
      <c r="C567" s="755"/>
      <c r="D567" s="755"/>
    </row>
    <row r="568" spans="2:4">
      <c r="B568" s="755"/>
      <c r="C568" s="755"/>
      <c r="D568" s="755"/>
    </row>
    <row r="569" spans="2:4">
      <c r="B569" s="755"/>
      <c r="C569" s="755"/>
      <c r="D569" s="755"/>
    </row>
    <row r="570" spans="2:4">
      <c r="B570" s="755"/>
      <c r="C570" s="755"/>
      <c r="D570" s="755"/>
    </row>
    <row r="571" spans="2:4">
      <c r="B571" s="755"/>
      <c r="C571" s="755"/>
      <c r="D571" s="755"/>
    </row>
    <row r="572" spans="2:4">
      <c r="B572" s="755"/>
      <c r="C572" s="755"/>
      <c r="D572" s="755"/>
    </row>
    <row r="573" spans="2:4">
      <c r="B573" s="755"/>
      <c r="C573" s="755"/>
      <c r="D573" s="755"/>
    </row>
    <row r="574" spans="2:4">
      <c r="B574" s="755"/>
      <c r="C574" s="755"/>
      <c r="D574" s="755"/>
    </row>
    <row r="575" spans="2:4">
      <c r="B575" s="755"/>
      <c r="C575" s="755"/>
      <c r="D575" s="755"/>
    </row>
    <row r="576" spans="2:4">
      <c r="B576" s="755"/>
      <c r="C576" s="755"/>
      <c r="D576" s="755"/>
    </row>
    <row r="577" spans="2:4">
      <c r="B577" s="755"/>
      <c r="C577" s="755"/>
      <c r="D577" s="755"/>
    </row>
    <row r="578" spans="2:4">
      <c r="B578" s="755"/>
      <c r="C578" s="755"/>
      <c r="D578" s="755"/>
    </row>
    <row r="579" spans="2:4">
      <c r="B579" s="755"/>
      <c r="C579" s="755"/>
      <c r="D579" s="755"/>
    </row>
    <row r="580" spans="2:4">
      <c r="B580" s="755"/>
      <c r="C580" s="755"/>
      <c r="D580" s="755"/>
    </row>
    <row r="581" spans="2:4">
      <c r="B581" s="755"/>
      <c r="C581" s="755"/>
      <c r="D581" s="755"/>
    </row>
    <row r="582" spans="2:4">
      <c r="B582" s="755"/>
      <c r="C582" s="755"/>
      <c r="D582" s="755"/>
    </row>
    <row r="583" spans="2:4">
      <c r="B583" s="755"/>
      <c r="C583" s="755"/>
      <c r="D583" s="755"/>
    </row>
    <row r="584" spans="2:4">
      <c r="B584" s="755"/>
      <c r="C584" s="755"/>
      <c r="D584" s="755"/>
    </row>
    <row r="585" spans="2:4">
      <c r="B585" s="755"/>
      <c r="C585" s="755"/>
      <c r="D585" s="755"/>
    </row>
    <row r="586" spans="2:4">
      <c r="B586" s="755"/>
      <c r="C586" s="755"/>
      <c r="D586" s="755"/>
    </row>
    <row r="587" spans="2:4">
      <c r="B587" s="755"/>
      <c r="C587" s="755"/>
      <c r="D587" s="755"/>
    </row>
    <row r="588" spans="2:4">
      <c r="B588" s="755"/>
      <c r="C588" s="755"/>
      <c r="D588" s="755"/>
    </row>
    <row r="589" spans="2:4">
      <c r="B589" s="755"/>
      <c r="C589" s="755"/>
      <c r="D589" s="755"/>
    </row>
    <row r="590" spans="2:4">
      <c r="B590" s="755"/>
      <c r="C590" s="755"/>
      <c r="D590" s="755"/>
    </row>
    <row r="591" spans="2:4">
      <c r="B591" s="755"/>
      <c r="C591" s="755"/>
      <c r="D591" s="755"/>
    </row>
    <row r="592" spans="2:4">
      <c r="B592" s="755"/>
      <c r="C592" s="755"/>
      <c r="D592" s="755"/>
    </row>
    <row r="593" spans="2:4">
      <c r="B593" s="755"/>
      <c r="C593" s="755"/>
      <c r="D593" s="755"/>
    </row>
    <row r="594" spans="2:4">
      <c r="B594" s="755"/>
      <c r="C594" s="755"/>
      <c r="D594" s="755"/>
    </row>
    <row r="595" spans="2:4">
      <c r="B595" s="755"/>
      <c r="C595" s="755"/>
      <c r="D595" s="755"/>
    </row>
    <row r="596" spans="2:4">
      <c r="B596" s="755"/>
      <c r="C596" s="755"/>
      <c r="D596" s="755"/>
    </row>
    <row r="597" spans="2:4">
      <c r="B597" s="755"/>
      <c r="C597" s="755"/>
      <c r="D597" s="755"/>
    </row>
    <row r="598" spans="2:4">
      <c r="B598" s="755"/>
      <c r="C598" s="755"/>
      <c r="D598" s="755"/>
    </row>
    <row r="599" spans="2:4">
      <c r="B599" s="755"/>
      <c r="C599" s="755"/>
      <c r="D599" s="755"/>
    </row>
    <row r="600" spans="2:4">
      <c r="B600" s="755"/>
      <c r="C600" s="755"/>
      <c r="D600" s="755"/>
    </row>
    <row r="601" spans="2:4">
      <c r="B601" s="755"/>
      <c r="C601" s="755"/>
      <c r="D601" s="755"/>
    </row>
    <row r="602" spans="2:4">
      <c r="B602" s="755"/>
      <c r="C602" s="755"/>
      <c r="D602" s="755"/>
    </row>
    <row r="603" spans="2:4">
      <c r="B603" s="755"/>
      <c r="C603" s="755"/>
      <c r="D603" s="755"/>
    </row>
    <row r="604" spans="2:4">
      <c r="B604" s="755"/>
      <c r="C604" s="755"/>
      <c r="D604" s="755"/>
    </row>
    <row r="605" spans="2:4">
      <c r="B605" s="755"/>
      <c r="C605" s="755"/>
      <c r="D605" s="755"/>
    </row>
    <row r="606" spans="2:4">
      <c r="B606" s="755"/>
      <c r="C606" s="755"/>
      <c r="D606" s="755"/>
    </row>
    <row r="607" spans="2:4">
      <c r="B607" s="755"/>
      <c r="C607" s="755"/>
      <c r="D607" s="755"/>
    </row>
    <row r="608" spans="2:4">
      <c r="B608" s="755"/>
      <c r="C608" s="755"/>
      <c r="D608" s="755"/>
    </row>
    <row r="609" spans="2:4">
      <c r="B609" s="755"/>
      <c r="C609" s="755"/>
      <c r="D609" s="755"/>
    </row>
    <row r="610" spans="2:4">
      <c r="B610" s="755"/>
      <c r="C610" s="755"/>
      <c r="D610" s="755"/>
    </row>
    <row r="611" spans="2:4">
      <c r="B611" s="755"/>
      <c r="C611" s="755"/>
      <c r="D611" s="755"/>
    </row>
    <row r="612" spans="2:4">
      <c r="B612" s="755"/>
      <c r="C612" s="755"/>
      <c r="D612" s="755"/>
    </row>
    <row r="613" spans="2:4">
      <c r="B613" s="755"/>
      <c r="C613" s="755"/>
      <c r="D613" s="755"/>
    </row>
    <row r="614" spans="2:4">
      <c r="B614" s="755"/>
      <c r="C614" s="755"/>
      <c r="D614" s="755"/>
    </row>
    <row r="615" spans="2:4">
      <c r="B615" s="755"/>
      <c r="C615" s="755"/>
      <c r="D615" s="755"/>
    </row>
    <row r="616" spans="2:4">
      <c r="B616" s="755"/>
      <c r="C616" s="755"/>
      <c r="D616" s="755"/>
    </row>
    <row r="617" spans="2:4">
      <c r="B617" s="755"/>
      <c r="C617" s="755"/>
      <c r="D617" s="755"/>
    </row>
    <row r="618" spans="2:4">
      <c r="B618" s="755"/>
      <c r="C618" s="755"/>
      <c r="D618" s="755"/>
    </row>
    <row r="619" spans="2:4">
      <c r="B619" s="755"/>
      <c r="C619" s="755"/>
      <c r="D619" s="755"/>
    </row>
    <row r="620" spans="2:4">
      <c r="B620" s="755"/>
      <c r="C620" s="755"/>
      <c r="D620" s="755"/>
    </row>
    <row r="621" spans="2:4">
      <c r="B621" s="755"/>
      <c r="C621" s="755"/>
      <c r="D621" s="755"/>
    </row>
    <row r="622" spans="2:4">
      <c r="B622" s="755"/>
      <c r="C622" s="755"/>
      <c r="D622" s="755"/>
    </row>
    <row r="623" spans="2:4">
      <c r="B623" s="755"/>
      <c r="C623" s="755"/>
      <c r="D623" s="755"/>
    </row>
    <row r="624" spans="2:4">
      <c r="B624" s="755"/>
      <c r="C624" s="755"/>
      <c r="D624" s="755"/>
    </row>
    <row r="625" spans="2:4">
      <c r="B625" s="755"/>
      <c r="C625" s="755"/>
      <c r="D625" s="755"/>
    </row>
    <row r="626" spans="2:4">
      <c r="B626" s="755"/>
      <c r="C626" s="755"/>
      <c r="D626" s="755"/>
    </row>
    <row r="627" spans="2:4">
      <c r="B627" s="755"/>
      <c r="C627" s="755"/>
      <c r="D627" s="755"/>
    </row>
    <row r="628" spans="2:4">
      <c r="B628" s="755"/>
      <c r="C628" s="755"/>
      <c r="D628" s="755"/>
    </row>
    <row r="629" spans="2:4">
      <c r="B629" s="755"/>
      <c r="C629" s="755"/>
      <c r="D629" s="755"/>
    </row>
    <row r="630" spans="2:4">
      <c r="B630" s="755"/>
      <c r="C630" s="755"/>
      <c r="D630" s="755"/>
    </row>
    <row r="631" spans="2:4">
      <c r="B631" s="755"/>
      <c r="C631" s="755"/>
      <c r="D631" s="755"/>
    </row>
    <row r="632" spans="2:4">
      <c r="B632" s="755"/>
      <c r="C632" s="755"/>
      <c r="D632" s="755"/>
    </row>
    <row r="633" spans="2:4">
      <c r="B633" s="755"/>
      <c r="C633" s="755"/>
      <c r="D633" s="755"/>
    </row>
    <row r="634" spans="2:4">
      <c r="B634" s="755"/>
      <c r="C634" s="755"/>
      <c r="D634" s="755"/>
    </row>
    <row r="635" spans="2:4">
      <c r="B635" s="755"/>
      <c r="C635" s="755"/>
      <c r="D635" s="755"/>
    </row>
    <row r="636" spans="2:4">
      <c r="B636" s="755"/>
      <c r="C636" s="755"/>
      <c r="D636" s="755"/>
    </row>
    <row r="637" spans="2:4">
      <c r="B637" s="755"/>
      <c r="C637" s="755"/>
      <c r="D637" s="755"/>
    </row>
    <row r="638" spans="2:4">
      <c r="B638" s="755"/>
      <c r="C638" s="755"/>
      <c r="D638" s="755"/>
    </row>
    <row r="639" spans="2:4">
      <c r="B639" s="755"/>
      <c r="C639" s="755"/>
      <c r="D639" s="755"/>
    </row>
    <row r="640" spans="2:4">
      <c r="B640" s="755"/>
      <c r="C640" s="755"/>
      <c r="D640" s="755"/>
    </row>
    <row r="641" spans="2:4">
      <c r="B641" s="755"/>
      <c r="C641" s="755"/>
      <c r="D641" s="755"/>
    </row>
    <row r="642" spans="2:4">
      <c r="B642" s="755"/>
      <c r="C642" s="755"/>
      <c r="D642" s="755"/>
    </row>
    <row r="643" spans="2:4">
      <c r="B643" s="755"/>
      <c r="C643" s="755"/>
      <c r="D643" s="755"/>
    </row>
    <row r="644" spans="2:4">
      <c r="B644" s="755"/>
      <c r="C644" s="755"/>
      <c r="D644" s="755"/>
    </row>
    <row r="645" spans="2:4">
      <c r="B645" s="755"/>
      <c r="C645" s="755"/>
      <c r="D645" s="755"/>
    </row>
    <row r="646" spans="2:4">
      <c r="B646" s="755"/>
      <c r="C646" s="755"/>
      <c r="D646" s="755"/>
    </row>
    <row r="647" spans="2:4">
      <c r="B647" s="755"/>
      <c r="C647" s="755"/>
      <c r="D647" s="755"/>
    </row>
    <row r="648" spans="2:4">
      <c r="B648" s="755"/>
      <c r="C648" s="755"/>
      <c r="D648" s="755"/>
    </row>
    <row r="649" spans="2:4">
      <c r="B649" s="755"/>
      <c r="C649" s="755"/>
      <c r="D649" s="755"/>
    </row>
    <row r="650" spans="2:4">
      <c r="B650" s="755"/>
      <c r="C650" s="755"/>
      <c r="D650" s="755"/>
    </row>
    <row r="651" spans="2:4">
      <c r="B651" s="755"/>
      <c r="C651" s="755"/>
      <c r="D651" s="755"/>
    </row>
    <row r="652" spans="2:4">
      <c r="B652" s="755"/>
      <c r="C652" s="755"/>
      <c r="D652" s="755"/>
    </row>
    <row r="653" spans="2:4">
      <c r="B653" s="755"/>
      <c r="C653" s="755"/>
      <c r="D653" s="755"/>
    </row>
    <row r="654" spans="2:4">
      <c r="B654" s="755"/>
      <c r="C654" s="755"/>
      <c r="D654" s="755"/>
    </row>
    <row r="655" spans="2:4">
      <c r="B655" s="755"/>
      <c r="C655" s="755"/>
      <c r="D655" s="755"/>
    </row>
    <row r="656" spans="2:4">
      <c r="B656" s="755"/>
      <c r="C656" s="755"/>
      <c r="D656" s="755"/>
    </row>
    <row r="657" spans="2:4">
      <c r="B657" s="755"/>
      <c r="C657" s="755"/>
      <c r="D657" s="755"/>
    </row>
    <row r="658" spans="2:4">
      <c r="B658" s="755"/>
      <c r="C658" s="755"/>
      <c r="D658" s="755"/>
    </row>
    <row r="659" spans="2:4">
      <c r="B659" s="755"/>
      <c r="C659" s="755"/>
      <c r="D659" s="755"/>
    </row>
    <row r="660" spans="2:4">
      <c r="B660" s="755"/>
      <c r="C660" s="755"/>
      <c r="D660" s="755"/>
    </row>
    <row r="661" spans="2:4">
      <c r="B661" s="755"/>
      <c r="C661" s="755"/>
      <c r="D661" s="755"/>
    </row>
    <row r="662" spans="2:4">
      <c r="B662" s="755"/>
      <c r="C662" s="755"/>
      <c r="D662" s="755"/>
    </row>
    <row r="663" spans="2:4">
      <c r="B663" s="755"/>
      <c r="C663" s="755"/>
      <c r="D663" s="755"/>
    </row>
    <row r="664" spans="2:4">
      <c r="B664" s="755"/>
      <c r="C664" s="755"/>
      <c r="D664" s="755"/>
    </row>
    <row r="665" spans="2:4">
      <c r="B665" s="755"/>
      <c r="C665" s="755"/>
      <c r="D665" s="755"/>
    </row>
    <row r="666" spans="2:4">
      <c r="B666" s="755"/>
      <c r="C666" s="755"/>
      <c r="D666" s="755"/>
    </row>
    <row r="667" spans="2:4">
      <c r="B667" s="755"/>
      <c r="C667" s="755"/>
      <c r="D667" s="755"/>
    </row>
    <row r="668" spans="2:4">
      <c r="B668" s="755"/>
      <c r="C668" s="755"/>
      <c r="D668" s="755"/>
    </row>
    <row r="669" spans="2:4">
      <c r="B669" s="755"/>
      <c r="C669" s="755"/>
      <c r="D669" s="755"/>
    </row>
    <row r="670" spans="2:4">
      <c r="B670" s="755"/>
      <c r="C670" s="755"/>
      <c r="D670" s="755"/>
    </row>
    <row r="671" spans="2:4">
      <c r="B671" s="755"/>
      <c r="C671" s="755"/>
      <c r="D671" s="755"/>
    </row>
    <row r="672" spans="2:4">
      <c r="B672" s="755"/>
      <c r="C672" s="755"/>
      <c r="D672" s="755"/>
    </row>
    <row r="673" spans="2:4">
      <c r="B673" s="755"/>
      <c r="C673" s="755"/>
      <c r="D673" s="755"/>
    </row>
    <row r="674" spans="2:4">
      <c r="B674" s="755"/>
      <c r="C674" s="755"/>
      <c r="D674" s="755"/>
    </row>
    <row r="675" spans="2:4">
      <c r="B675" s="755"/>
      <c r="C675" s="755"/>
      <c r="D675" s="755"/>
    </row>
    <row r="676" spans="2:4">
      <c r="B676" s="755"/>
      <c r="C676" s="755"/>
      <c r="D676" s="755"/>
    </row>
    <row r="677" spans="2:4">
      <c r="B677" s="755"/>
      <c r="C677" s="755"/>
      <c r="D677" s="755"/>
    </row>
    <row r="678" spans="2:4">
      <c r="B678" s="755"/>
      <c r="C678" s="755"/>
      <c r="D678" s="755"/>
    </row>
    <row r="679" spans="2:4">
      <c r="B679" s="755"/>
      <c r="C679" s="755"/>
      <c r="D679" s="755"/>
    </row>
    <row r="680" spans="2:4">
      <c r="B680" s="755"/>
      <c r="C680" s="755"/>
      <c r="D680" s="755"/>
    </row>
    <row r="681" spans="2:4">
      <c r="B681" s="755"/>
      <c r="C681" s="755"/>
      <c r="D681" s="755"/>
    </row>
    <row r="682" spans="2:4">
      <c r="B682" s="755"/>
      <c r="C682" s="755"/>
      <c r="D682" s="755"/>
    </row>
    <row r="683" spans="2:4">
      <c r="B683" s="755"/>
      <c r="C683" s="755"/>
      <c r="D683" s="755"/>
    </row>
    <row r="684" spans="2:4">
      <c r="B684" s="755"/>
      <c r="C684" s="755"/>
      <c r="D684" s="755"/>
    </row>
    <row r="685" spans="2:4">
      <c r="B685" s="755"/>
      <c r="C685" s="755"/>
      <c r="D685" s="755"/>
    </row>
    <row r="686" spans="2:4">
      <c r="B686" s="755"/>
      <c r="C686" s="755"/>
      <c r="D686" s="755"/>
    </row>
    <row r="687" spans="2:4">
      <c r="B687" s="755"/>
      <c r="C687" s="755"/>
      <c r="D687" s="755"/>
    </row>
    <row r="688" spans="2:4">
      <c r="B688" s="755"/>
      <c r="C688" s="755"/>
      <c r="D688" s="755"/>
    </row>
    <row r="689" spans="2:4">
      <c r="B689" s="755"/>
      <c r="C689" s="755"/>
      <c r="D689" s="755"/>
    </row>
    <row r="690" spans="2:4">
      <c r="B690" s="755"/>
      <c r="C690" s="755"/>
      <c r="D690" s="755"/>
    </row>
    <row r="691" spans="2:4">
      <c r="B691" s="755"/>
      <c r="C691" s="755"/>
      <c r="D691" s="755"/>
    </row>
    <row r="692" spans="2:4">
      <c r="B692" s="755"/>
      <c r="C692" s="755"/>
      <c r="D692" s="755"/>
    </row>
    <row r="693" spans="2:4">
      <c r="B693" s="755"/>
      <c r="C693" s="755"/>
      <c r="D693" s="755"/>
    </row>
    <row r="694" spans="2:4">
      <c r="B694" s="755"/>
      <c r="C694" s="755"/>
      <c r="D694" s="755"/>
    </row>
    <row r="695" spans="2:4">
      <c r="B695" s="755"/>
      <c r="C695" s="755"/>
      <c r="D695" s="755"/>
    </row>
    <row r="696" spans="2:4">
      <c r="B696" s="755"/>
      <c r="C696" s="755"/>
      <c r="D696" s="755"/>
    </row>
    <row r="697" spans="2:4">
      <c r="B697" s="755"/>
      <c r="C697" s="755"/>
      <c r="D697" s="755"/>
    </row>
    <row r="698" spans="2:4">
      <c r="B698" s="755"/>
      <c r="C698" s="755"/>
      <c r="D698" s="755"/>
    </row>
    <row r="699" spans="2:4">
      <c r="B699" s="755"/>
      <c r="C699" s="755"/>
      <c r="D699" s="755"/>
    </row>
    <row r="700" spans="2:4">
      <c r="B700" s="755"/>
      <c r="C700" s="755"/>
      <c r="D700" s="755"/>
    </row>
    <row r="701" spans="2:4">
      <c r="B701" s="755"/>
      <c r="C701" s="755"/>
      <c r="D701" s="755"/>
    </row>
    <row r="702" spans="2:4">
      <c r="B702" s="755"/>
      <c r="C702" s="755"/>
      <c r="D702" s="755"/>
    </row>
    <row r="703" spans="2:4">
      <c r="B703" s="755"/>
      <c r="C703" s="755"/>
      <c r="D703" s="755"/>
    </row>
    <row r="704" spans="2:4">
      <c r="B704" s="755"/>
      <c r="C704" s="755"/>
      <c r="D704" s="755"/>
    </row>
    <row r="705" spans="2:4">
      <c r="B705" s="755"/>
      <c r="C705" s="755"/>
      <c r="D705" s="755"/>
    </row>
    <row r="706" spans="2:4">
      <c r="B706" s="755"/>
      <c r="C706" s="755"/>
      <c r="D706" s="755"/>
    </row>
    <row r="707" spans="2:4">
      <c r="B707" s="755"/>
      <c r="C707" s="755"/>
      <c r="D707" s="755"/>
    </row>
    <row r="708" spans="2:4">
      <c r="B708" s="755"/>
      <c r="C708" s="755"/>
      <c r="D708" s="755"/>
    </row>
    <row r="709" spans="2:4">
      <c r="B709" s="755"/>
      <c r="C709" s="755"/>
      <c r="D709" s="755"/>
    </row>
    <row r="710" spans="2:4">
      <c r="B710" s="755"/>
      <c r="C710" s="755"/>
      <c r="D710" s="755"/>
    </row>
    <row r="711" spans="2:4">
      <c r="B711" s="755"/>
      <c r="C711" s="755"/>
      <c r="D711" s="755"/>
    </row>
    <row r="712" spans="2:4">
      <c r="B712" s="755"/>
      <c r="C712" s="755"/>
      <c r="D712" s="755"/>
    </row>
    <row r="713" spans="2:4">
      <c r="B713" s="755"/>
      <c r="C713" s="755"/>
      <c r="D713" s="755"/>
    </row>
    <row r="714" spans="2:4">
      <c r="B714" s="755"/>
      <c r="C714" s="755"/>
      <c r="D714" s="755"/>
    </row>
    <row r="715" spans="2:4">
      <c r="B715" s="755"/>
      <c r="C715" s="755"/>
      <c r="D715" s="755"/>
    </row>
    <row r="716" spans="2:4">
      <c r="B716" s="755"/>
      <c r="C716" s="755"/>
      <c r="D716" s="755"/>
    </row>
    <row r="717" spans="2:4">
      <c r="B717" s="755"/>
      <c r="C717" s="755"/>
      <c r="D717" s="755"/>
    </row>
    <row r="718" spans="2:4">
      <c r="B718" s="755"/>
      <c r="C718" s="755"/>
      <c r="D718" s="755"/>
    </row>
    <row r="719" spans="2:4">
      <c r="B719" s="755"/>
      <c r="C719" s="755"/>
      <c r="D719" s="755"/>
    </row>
    <row r="720" spans="2:4">
      <c r="B720" s="755"/>
      <c r="C720" s="755"/>
      <c r="D720" s="755"/>
    </row>
    <row r="721" spans="2:4">
      <c r="B721" s="755"/>
      <c r="C721" s="755"/>
      <c r="D721" s="755"/>
    </row>
    <row r="722" spans="2:4">
      <c r="B722" s="755"/>
      <c r="C722" s="755"/>
      <c r="D722" s="755"/>
    </row>
    <row r="723" spans="2:4">
      <c r="B723" s="755"/>
      <c r="C723" s="755"/>
      <c r="D723" s="755"/>
    </row>
    <row r="724" spans="2:4">
      <c r="B724" s="755"/>
      <c r="C724" s="755"/>
      <c r="D724" s="755"/>
    </row>
    <row r="725" spans="2:4">
      <c r="B725" s="755"/>
      <c r="C725" s="755"/>
      <c r="D725" s="755"/>
    </row>
    <row r="726" spans="2:4">
      <c r="B726" s="755"/>
      <c r="C726" s="755"/>
      <c r="D726" s="755"/>
    </row>
    <row r="727" spans="2:4">
      <c r="B727" s="755"/>
      <c r="C727" s="755"/>
      <c r="D727" s="755"/>
    </row>
    <row r="728" spans="2:4">
      <c r="B728" s="755"/>
      <c r="C728" s="755"/>
      <c r="D728" s="755"/>
    </row>
    <row r="729" spans="2:4">
      <c r="B729" s="755"/>
      <c r="C729" s="755"/>
      <c r="D729" s="755"/>
    </row>
    <row r="730" spans="2:4">
      <c r="B730" s="755"/>
      <c r="C730" s="755"/>
      <c r="D730" s="755"/>
    </row>
    <row r="731" spans="2:4">
      <c r="B731" s="755"/>
      <c r="C731" s="755"/>
      <c r="D731" s="755"/>
    </row>
    <row r="732" spans="2:4">
      <c r="B732" s="755"/>
      <c r="C732" s="755"/>
      <c r="D732" s="755"/>
    </row>
    <row r="733" spans="2:4">
      <c r="B733" s="755"/>
      <c r="C733" s="755"/>
      <c r="D733" s="755"/>
    </row>
    <row r="734" spans="2:4">
      <c r="B734" s="755"/>
      <c r="C734" s="755"/>
      <c r="D734" s="755"/>
    </row>
    <row r="735" spans="2:4">
      <c r="B735" s="755"/>
      <c r="C735" s="755"/>
      <c r="D735" s="755"/>
    </row>
    <row r="736" spans="2:4">
      <c r="B736" s="755"/>
      <c r="C736" s="755"/>
      <c r="D736" s="755"/>
    </row>
    <row r="737" spans="2:4">
      <c r="B737" s="755"/>
      <c r="C737" s="755"/>
      <c r="D737" s="755"/>
    </row>
    <row r="738" spans="2:4">
      <c r="B738" s="755"/>
      <c r="C738" s="755"/>
      <c r="D738" s="755"/>
    </row>
    <row r="739" spans="2:4">
      <c r="B739" s="755"/>
      <c r="C739" s="755"/>
      <c r="D739" s="755"/>
    </row>
    <row r="740" spans="2:4">
      <c r="B740" s="755"/>
      <c r="C740" s="755"/>
      <c r="D740" s="755"/>
    </row>
    <row r="741" spans="2:4">
      <c r="B741" s="755"/>
      <c r="C741" s="755"/>
      <c r="D741" s="755"/>
    </row>
    <row r="742" spans="2:4">
      <c r="B742" s="755"/>
      <c r="C742" s="755"/>
      <c r="D742" s="755"/>
    </row>
    <row r="743" spans="2:4">
      <c r="B743" s="755"/>
      <c r="C743" s="755"/>
      <c r="D743" s="755"/>
    </row>
    <row r="744" spans="2:4">
      <c r="B744" s="755"/>
      <c r="C744" s="755"/>
      <c r="D744" s="755"/>
    </row>
    <row r="745" spans="2:4">
      <c r="B745" s="755"/>
      <c r="C745" s="755"/>
      <c r="D745" s="755"/>
    </row>
    <row r="746" spans="2:4">
      <c r="B746" s="755"/>
      <c r="C746" s="755"/>
      <c r="D746" s="755"/>
    </row>
    <row r="747" spans="2:4">
      <c r="B747" s="755"/>
      <c r="C747" s="755"/>
      <c r="D747" s="755"/>
    </row>
    <row r="748" spans="2:4">
      <c r="B748" s="755"/>
      <c r="C748" s="755"/>
      <c r="D748" s="755"/>
    </row>
    <row r="749" spans="2:4">
      <c r="B749" s="755"/>
      <c r="C749" s="755"/>
      <c r="D749" s="755"/>
    </row>
    <row r="750" spans="2:4">
      <c r="B750" s="755"/>
      <c r="C750" s="755"/>
      <c r="D750" s="755"/>
    </row>
    <row r="751" spans="2:4">
      <c r="B751" s="755"/>
      <c r="C751" s="755"/>
      <c r="D751" s="755"/>
    </row>
    <row r="752" spans="2:4">
      <c r="B752" s="755"/>
      <c r="C752" s="755"/>
      <c r="D752" s="755"/>
    </row>
    <row r="753" spans="2:4">
      <c r="B753" s="755"/>
      <c r="C753" s="755"/>
      <c r="D753" s="755"/>
    </row>
    <row r="754" spans="2:4">
      <c r="B754" s="755"/>
      <c r="C754" s="755"/>
      <c r="D754" s="755"/>
    </row>
    <row r="755" spans="2:4">
      <c r="B755" s="755"/>
      <c r="C755" s="755"/>
      <c r="D755" s="755"/>
    </row>
    <row r="756" spans="2:4">
      <c r="B756" s="755"/>
      <c r="C756" s="755"/>
      <c r="D756" s="755"/>
    </row>
    <row r="757" spans="2:4">
      <c r="B757" s="755"/>
      <c r="C757" s="755"/>
      <c r="D757" s="755"/>
    </row>
    <row r="758" spans="2:4">
      <c r="B758" s="755"/>
      <c r="C758" s="755"/>
      <c r="D758" s="755"/>
    </row>
    <row r="759" spans="2:4">
      <c r="B759" s="755"/>
      <c r="C759" s="755"/>
      <c r="D759" s="755"/>
    </row>
    <row r="760" spans="2:4">
      <c r="B760" s="755"/>
      <c r="C760" s="755"/>
      <c r="D760" s="755"/>
    </row>
    <row r="761" spans="2:4">
      <c r="B761" s="755"/>
      <c r="C761" s="755"/>
      <c r="D761" s="755"/>
    </row>
    <row r="762" spans="2:4">
      <c r="B762" s="755"/>
      <c r="C762" s="755"/>
      <c r="D762" s="755"/>
    </row>
    <row r="763" spans="2:4">
      <c r="B763" s="755"/>
      <c r="C763" s="755"/>
      <c r="D763" s="755"/>
    </row>
    <row r="764" spans="2:4">
      <c r="B764" s="755"/>
      <c r="C764" s="755"/>
      <c r="D764" s="755"/>
    </row>
    <row r="765" spans="2:4">
      <c r="B765" s="755"/>
      <c r="C765" s="755"/>
      <c r="D765" s="755"/>
    </row>
    <row r="766" spans="2:4">
      <c r="B766" s="755"/>
      <c r="C766" s="755"/>
      <c r="D766" s="755"/>
    </row>
    <row r="767" spans="2:4">
      <c r="B767" s="755"/>
      <c r="C767" s="755"/>
      <c r="D767" s="755"/>
    </row>
    <row r="768" spans="2:4">
      <c r="B768" s="755"/>
      <c r="C768" s="755"/>
      <c r="D768" s="755"/>
    </row>
    <row r="769" spans="2:4">
      <c r="B769" s="755"/>
      <c r="C769" s="755"/>
      <c r="D769" s="755"/>
    </row>
    <row r="770" spans="2:4">
      <c r="B770" s="755"/>
      <c r="C770" s="755"/>
      <c r="D770" s="755"/>
    </row>
    <row r="771" spans="2:4">
      <c r="B771" s="755"/>
      <c r="C771" s="755"/>
      <c r="D771" s="755"/>
    </row>
    <row r="772" spans="2:4">
      <c r="B772" s="755"/>
      <c r="C772" s="755"/>
      <c r="D772" s="755"/>
    </row>
    <row r="773" spans="2:4">
      <c r="B773" s="755"/>
      <c r="C773" s="755"/>
      <c r="D773" s="755"/>
    </row>
    <row r="774" spans="2:4">
      <c r="B774" s="755"/>
      <c r="C774" s="755"/>
      <c r="D774" s="755"/>
    </row>
    <row r="775" spans="2:4">
      <c r="B775" s="755"/>
      <c r="C775" s="755"/>
      <c r="D775" s="755"/>
    </row>
    <row r="776" spans="2:4">
      <c r="B776" s="755"/>
      <c r="C776" s="755"/>
      <c r="D776" s="755"/>
    </row>
    <row r="777" spans="2:4">
      <c r="B777" s="755"/>
      <c r="C777" s="755"/>
      <c r="D777" s="755"/>
    </row>
    <row r="778" spans="2:4">
      <c r="B778" s="755"/>
      <c r="C778" s="755"/>
      <c r="D778" s="755"/>
    </row>
    <row r="779" spans="2:4">
      <c r="B779" s="755"/>
      <c r="C779" s="755"/>
      <c r="D779" s="755"/>
    </row>
    <row r="780" spans="2:4">
      <c r="B780" s="755"/>
      <c r="C780" s="755"/>
      <c r="D780" s="755"/>
    </row>
    <row r="781" spans="2:4">
      <c r="B781" s="755"/>
      <c r="C781" s="755"/>
      <c r="D781" s="755"/>
    </row>
    <row r="782" spans="2:4">
      <c r="B782" s="755"/>
      <c r="C782" s="755"/>
      <c r="D782" s="755"/>
    </row>
    <row r="783" spans="2:4">
      <c r="B783" s="755"/>
      <c r="C783" s="755"/>
      <c r="D783" s="755"/>
    </row>
    <row r="784" spans="2:4">
      <c r="B784" s="755"/>
      <c r="C784" s="755"/>
      <c r="D784" s="755"/>
    </row>
    <row r="785" spans="2:4">
      <c r="B785" s="755"/>
      <c r="C785" s="755"/>
      <c r="D785" s="755"/>
    </row>
    <row r="786" spans="2:4">
      <c r="B786" s="755"/>
      <c r="C786" s="755"/>
      <c r="D786" s="755"/>
    </row>
    <row r="787" spans="2:4">
      <c r="B787" s="755"/>
      <c r="C787" s="755"/>
      <c r="D787" s="755"/>
    </row>
    <row r="788" spans="2:4">
      <c r="B788" s="755"/>
      <c r="C788" s="755"/>
      <c r="D788" s="755"/>
    </row>
    <row r="789" spans="2:4">
      <c r="B789" s="755"/>
      <c r="C789" s="755"/>
      <c r="D789" s="755"/>
    </row>
    <row r="790" spans="2:4">
      <c r="B790" s="755"/>
      <c r="C790" s="755"/>
      <c r="D790" s="755"/>
    </row>
    <row r="791" spans="2:4">
      <c r="B791" s="755"/>
      <c r="C791" s="755"/>
      <c r="D791" s="755"/>
    </row>
    <row r="792" spans="2:4">
      <c r="B792" s="755"/>
      <c r="C792" s="755"/>
      <c r="D792" s="755"/>
    </row>
    <row r="793" spans="2:4">
      <c r="B793" s="755"/>
      <c r="C793" s="755"/>
      <c r="D793" s="755"/>
    </row>
    <row r="794" spans="2:4">
      <c r="B794" s="755"/>
      <c r="C794" s="755"/>
      <c r="D794" s="755"/>
    </row>
    <row r="795" spans="2:4">
      <c r="B795" s="755"/>
      <c r="C795" s="755"/>
      <c r="D795" s="755"/>
    </row>
    <row r="796" spans="2:4">
      <c r="B796" s="755"/>
      <c r="C796" s="755"/>
      <c r="D796" s="755"/>
    </row>
    <row r="797" spans="2:4">
      <c r="B797" s="755"/>
      <c r="C797" s="755"/>
      <c r="D797" s="755"/>
    </row>
    <row r="798" spans="2:4">
      <c r="B798" s="755"/>
      <c r="C798" s="755"/>
      <c r="D798" s="755"/>
    </row>
    <row r="799" spans="2:4">
      <c r="B799" s="755"/>
      <c r="C799" s="755"/>
      <c r="D799" s="755"/>
    </row>
    <row r="800" spans="2:4">
      <c r="B800" s="755"/>
      <c r="C800" s="755"/>
      <c r="D800" s="755"/>
    </row>
    <row r="801" spans="2:4">
      <c r="B801" s="755"/>
      <c r="C801" s="755"/>
      <c r="D801" s="755"/>
    </row>
    <row r="802" spans="2:4">
      <c r="B802" s="755"/>
      <c r="C802" s="755"/>
      <c r="D802" s="755"/>
    </row>
    <row r="803" spans="2:4">
      <c r="B803" s="755"/>
      <c r="C803" s="755"/>
      <c r="D803" s="755"/>
    </row>
    <row r="804" spans="2:4">
      <c r="B804" s="755"/>
      <c r="C804" s="755"/>
      <c r="D804" s="755"/>
    </row>
    <row r="805" spans="2:4">
      <c r="B805" s="755"/>
      <c r="C805" s="755"/>
      <c r="D805" s="755"/>
    </row>
    <row r="806" spans="2:4">
      <c r="B806" s="755"/>
      <c r="C806" s="755"/>
      <c r="D806" s="755"/>
    </row>
    <row r="807" spans="2:4">
      <c r="B807" s="755"/>
      <c r="C807" s="755"/>
      <c r="D807" s="755"/>
    </row>
    <row r="808" spans="2:4">
      <c r="B808" s="755"/>
      <c r="C808" s="755"/>
      <c r="D808" s="755"/>
    </row>
    <row r="809" spans="2:4">
      <c r="B809" s="755"/>
      <c r="C809" s="755"/>
      <c r="D809" s="755"/>
    </row>
    <row r="810" spans="2:4">
      <c r="B810" s="755"/>
      <c r="C810" s="755"/>
      <c r="D810" s="755"/>
    </row>
    <row r="811" spans="2:4">
      <c r="B811" s="755"/>
      <c r="C811" s="755"/>
      <c r="D811" s="755"/>
    </row>
    <row r="812" spans="2:4">
      <c r="B812" s="755"/>
      <c r="C812" s="755"/>
      <c r="D812" s="755"/>
    </row>
    <row r="813" spans="2:4">
      <c r="B813" s="755"/>
      <c r="C813" s="755"/>
      <c r="D813" s="755"/>
    </row>
    <row r="814" spans="2:4">
      <c r="B814" s="755"/>
      <c r="C814" s="755"/>
      <c r="D814" s="755"/>
    </row>
    <row r="815" spans="2:4">
      <c r="B815" s="755"/>
      <c r="C815" s="755"/>
      <c r="D815" s="755"/>
    </row>
    <row r="816" spans="2:4">
      <c r="B816" s="755"/>
      <c r="C816" s="755"/>
      <c r="D816" s="755"/>
    </row>
    <row r="817" spans="2:4">
      <c r="B817" s="755"/>
      <c r="C817" s="755"/>
      <c r="D817" s="755"/>
    </row>
    <row r="818" spans="2:4">
      <c r="B818" s="755"/>
      <c r="C818" s="755"/>
      <c r="D818" s="755"/>
    </row>
    <row r="819" spans="2:4">
      <c r="B819" s="755"/>
      <c r="C819" s="755"/>
      <c r="D819" s="755"/>
    </row>
    <row r="820" spans="2:4">
      <c r="B820" s="755"/>
      <c r="C820" s="755"/>
      <c r="D820" s="755"/>
    </row>
    <row r="821" spans="2:4">
      <c r="B821" s="755"/>
      <c r="C821" s="755"/>
      <c r="D821" s="755"/>
    </row>
    <row r="822" spans="2:4">
      <c r="B822" s="755"/>
      <c r="C822" s="755"/>
      <c r="D822" s="755"/>
    </row>
    <row r="823" spans="2:4">
      <c r="B823" s="755"/>
      <c r="C823" s="755"/>
      <c r="D823" s="755"/>
    </row>
    <row r="824" spans="2:4">
      <c r="B824" s="755"/>
      <c r="C824" s="755"/>
      <c r="D824" s="755"/>
    </row>
    <row r="825" spans="2:4">
      <c r="B825" s="755"/>
      <c r="C825" s="755"/>
      <c r="D825" s="755"/>
    </row>
    <row r="826" spans="2:4">
      <c r="B826" s="755"/>
      <c r="C826" s="755"/>
      <c r="D826" s="755"/>
    </row>
    <row r="827" spans="2:4">
      <c r="B827" s="755"/>
      <c r="C827" s="755"/>
      <c r="D827" s="755"/>
    </row>
    <row r="828" spans="2:4">
      <c r="B828" s="755"/>
      <c r="C828" s="755"/>
      <c r="D828" s="755"/>
    </row>
    <row r="829" spans="2:4">
      <c r="B829" s="755"/>
      <c r="C829" s="755"/>
      <c r="D829" s="755"/>
    </row>
    <row r="830" spans="2:4">
      <c r="B830" s="755"/>
      <c r="C830" s="755"/>
      <c r="D830" s="755"/>
    </row>
    <row r="831" spans="2:4">
      <c r="B831" s="755"/>
      <c r="C831" s="755"/>
      <c r="D831" s="755"/>
    </row>
    <row r="832" spans="2:4">
      <c r="B832" s="755"/>
      <c r="C832" s="755"/>
      <c r="D832" s="755"/>
    </row>
    <row r="833" spans="2:4">
      <c r="B833" s="755"/>
      <c r="C833" s="755"/>
      <c r="D833" s="755"/>
    </row>
    <row r="834" spans="2:4">
      <c r="B834" s="755"/>
      <c r="C834" s="755"/>
      <c r="D834" s="755"/>
    </row>
    <row r="835" spans="2:4">
      <c r="B835" s="755"/>
      <c r="C835" s="755"/>
      <c r="D835" s="755"/>
    </row>
    <row r="836" spans="2:4">
      <c r="B836" s="755"/>
      <c r="C836" s="755"/>
      <c r="D836" s="755"/>
    </row>
    <row r="837" spans="2:4">
      <c r="B837" s="755"/>
      <c r="C837" s="755"/>
      <c r="D837" s="755"/>
    </row>
    <row r="838" spans="2:4">
      <c r="B838" s="755"/>
      <c r="C838" s="755"/>
      <c r="D838" s="755"/>
    </row>
    <row r="839" spans="2:4">
      <c r="B839" s="755"/>
      <c r="C839" s="755"/>
      <c r="D839" s="755"/>
    </row>
    <row r="840" spans="2:4">
      <c r="B840" s="755"/>
      <c r="C840" s="755"/>
      <c r="D840" s="755"/>
    </row>
    <row r="841" spans="2:4">
      <c r="B841" s="755"/>
      <c r="C841" s="755"/>
      <c r="D841" s="755"/>
    </row>
    <row r="842" spans="2:4">
      <c r="B842" s="755"/>
      <c r="C842" s="755"/>
      <c r="D842" s="755"/>
    </row>
    <row r="843" spans="2:4">
      <c r="B843" s="755"/>
      <c r="C843" s="755"/>
      <c r="D843" s="755"/>
    </row>
    <row r="844" spans="2:4">
      <c r="B844" s="755"/>
      <c r="C844" s="755"/>
      <c r="D844" s="755"/>
    </row>
    <row r="845" spans="2:4">
      <c r="B845" s="755"/>
      <c r="C845" s="755"/>
      <c r="D845" s="755"/>
    </row>
    <row r="846" spans="2:4">
      <c r="B846" s="755"/>
      <c r="C846" s="755"/>
      <c r="D846" s="755"/>
    </row>
    <row r="847" spans="2:4">
      <c r="B847" s="755"/>
      <c r="C847" s="755"/>
      <c r="D847" s="755"/>
    </row>
    <row r="848" spans="2:4">
      <c r="B848" s="755"/>
      <c r="C848" s="755"/>
      <c r="D848" s="755"/>
    </row>
    <row r="849" spans="2:4">
      <c r="B849" s="755"/>
      <c r="C849" s="755"/>
      <c r="D849" s="755"/>
    </row>
    <row r="850" spans="2:4">
      <c r="B850" s="755"/>
      <c r="C850" s="755"/>
      <c r="D850" s="755"/>
    </row>
    <row r="851" spans="2:4">
      <c r="B851" s="755"/>
      <c r="C851" s="755"/>
      <c r="D851" s="755"/>
    </row>
    <row r="852" spans="2:4">
      <c r="B852" s="755"/>
      <c r="C852" s="755"/>
      <c r="D852" s="755"/>
    </row>
    <row r="853" spans="2:4">
      <c r="B853" s="755"/>
      <c r="C853" s="755"/>
      <c r="D853" s="755"/>
    </row>
    <row r="854" spans="2:4">
      <c r="B854" s="755"/>
      <c r="C854" s="755"/>
      <c r="D854" s="755"/>
    </row>
    <row r="855" spans="2:4">
      <c r="B855" s="755"/>
      <c r="C855" s="755"/>
      <c r="D855" s="755"/>
    </row>
    <row r="856" spans="2:4">
      <c r="B856" s="755"/>
      <c r="C856" s="755"/>
      <c r="D856" s="755"/>
    </row>
    <row r="857" spans="2:4">
      <c r="B857" s="755"/>
      <c r="C857" s="755"/>
      <c r="D857" s="755"/>
    </row>
    <row r="858" spans="2:4">
      <c r="B858" s="755"/>
      <c r="C858" s="755"/>
      <c r="D858" s="755"/>
    </row>
    <row r="859" spans="2:4">
      <c r="B859" s="755"/>
      <c r="C859" s="755"/>
      <c r="D859" s="755"/>
    </row>
    <row r="860" spans="2:4">
      <c r="B860" s="755"/>
      <c r="C860" s="755"/>
      <c r="D860" s="755"/>
    </row>
    <row r="861" spans="2:4">
      <c r="B861" s="755"/>
      <c r="C861" s="755"/>
      <c r="D861" s="755"/>
    </row>
    <row r="862" spans="2:4">
      <c r="B862" s="755"/>
      <c r="C862" s="755"/>
      <c r="D862" s="755"/>
    </row>
    <row r="863" spans="2:4">
      <c r="B863" s="755"/>
      <c r="C863" s="755"/>
      <c r="D863" s="755"/>
    </row>
    <row r="864" spans="2:4">
      <c r="B864" s="755"/>
      <c r="C864" s="755"/>
      <c r="D864" s="755"/>
    </row>
    <row r="865" spans="2:4">
      <c r="B865" s="755"/>
      <c r="C865" s="755"/>
      <c r="D865" s="755"/>
    </row>
    <row r="866" spans="2:4">
      <c r="B866" s="755"/>
      <c r="C866" s="755"/>
      <c r="D866" s="755"/>
    </row>
    <row r="867" spans="2:4">
      <c r="B867" s="755"/>
      <c r="C867" s="755"/>
      <c r="D867" s="755"/>
    </row>
    <row r="868" spans="2:4">
      <c r="B868" s="755"/>
      <c r="C868" s="755"/>
      <c r="D868" s="755"/>
    </row>
    <row r="869" spans="2:4">
      <c r="B869" s="755"/>
      <c r="C869" s="755"/>
      <c r="D869" s="755"/>
    </row>
    <row r="870" spans="2:4">
      <c r="B870" s="755"/>
      <c r="C870" s="755"/>
      <c r="D870" s="755"/>
    </row>
    <row r="871" spans="2:4">
      <c r="B871" s="755"/>
      <c r="C871" s="755"/>
      <c r="D871" s="755"/>
    </row>
    <row r="872" spans="2:4">
      <c r="B872" s="755"/>
      <c r="C872" s="755"/>
      <c r="D872" s="755"/>
    </row>
    <row r="873" spans="2:4">
      <c r="B873" s="755"/>
      <c r="C873" s="755"/>
      <c r="D873" s="755"/>
    </row>
    <row r="874" spans="2:4">
      <c r="B874" s="755"/>
      <c r="C874" s="755"/>
      <c r="D874" s="755"/>
    </row>
    <row r="875" spans="2:4">
      <c r="B875" s="755"/>
      <c r="C875" s="755"/>
      <c r="D875" s="755"/>
    </row>
    <row r="876" spans="2:4">
      <c r="B876" s="755"/>
      <c r="C876" s="755"/>
      <c r="D876" s="755"/>
    </row>
    <row r="877" spans="2:4">
      <c r="B877" s="755"/>
      <c r="C877" s="755"/>
      <c r="D877" s="755"/>
    </row>
    <row r="878" spans="2:4">
      <c r="B878" s="755"/>
      <c r="C878" s="755"/>
      <c r="D878" s="755"/>
    </row>
    <row r="879" spans="2:4">
      <c r="B879" s="755"/>
      <c r="C879" s="755"/>
      <c r="D879" s="755"/>
    </row>
    <row r="880" spans="2:4">
      <c r="B880" s="755"/>
      <c r="C880" s="755"/>
      <c r="D880" s="755"/>
    </row>
    <row r="881" spans="2:4">
      <c r="B881" s="755"/>
      <c r="C881" s="755"/>
      <c r="D881" s="755"/>
    </row>
    <row r="882" spans="2:4">
      <c r="B882" s="755"/>
      <c r="C882" s="755"/>
      <c r="D882" s="755"/>
    </row>
    <row r="883" spans="2:4">
      <c r="B883" s="755"/>
      <c r="C883" s="755"/>
      <c r="D883" s="755"/>
    </row>
    <row r="884" spans="2:4">
      <c r="B884" s="755"/>
      <c r="C884" s="755"/>
      <c r="D884" s="755"/>
    </row>
    <row r="885" spans="2:4">
      <c r="B885" s="755"/>
      <c r="C885" s="755"/>
      <c r="D885" s="755"/>
    </row>
    <row r="886" spans="2:4">
      <c r="B886" s="755"/>
      <c r="C886" s="755"/>
      <c r="D886" s="755"/>
    </row>
    <row r="887" spans="2:4">
      <c r="B887" s="755"/>
      <c r="C887" s="755"/>
      <c r="D887" s="755"/>
    </row>
    <row r="888" spans="2:4">
      <c r="B888" s="755"/>
      <c r="C888" s="755"/>
      <c r="D888" s="755"/>
    </row>
    <row r="889" spans="2:4">
      <c r="B889" s="755"/>
      <c r="C889" s="755"/>
      <c r="D889" s="755"/>
    </row>
    <row r="890" spans="2:4">
      <c r="B890" s="755"/>
      <c r="C890" s="755"/>
      <c r="D890" s="755"/>
    </row>
    <row r="891" spans="2:4">
      <c r="B891" s="755"/>
      <c r="C891" s="755"/>
      <c r="D891" s="755"/>
    </row>
    <row r="892" spans="2:4">
      <c r="B892" s="755"/>
      <c r="C892" s="755"/>
      <c r="D892" s="755"/>
    </row>
    <row r="893" spans="2:4">
      <c r="B893" s="755"/>
      <c r="C893" s="755"/>
      <c r="D893" s="755"/>
    </row>
    <row r="894" spans="2:4">
      <c r="B894" s="755"/>
      <c r="C894" s="755"/>
      <c r="D894" s="755"/>
    </row>
    <row r="895" spans="2:4">
      <c r="B895" s="755"/>
      <c r="C895" s="755"/>
      <c r="D895" s="755"/>
    </row>
    <row r="896" spans="2:4">
      <c r="B896" s="755"/>
      <c r="C896" s="755"/>
      <c r="D896" s="755"/>
    </row>
    <row r="897" spans="2:4">
      <c r="B897" s="755"/>
      <c r="C897" s="755"/>
      <c r="D897" s="755"/>
    </row>
    <row r="898" spans="2:4">
      <c r="B898" s="755"/>
      <c r="C898" s="755"/>
      <c r="D898" s="755"/>
    </row>
    <row r="899" spans="2:4">
      <c r="B899" s="755"/>
      <c r="C899" s="755"/>
      <c r="D899" s="755"/>
    </row>
    <row r="900" spans="2:4">
      <c r="B900" s="755"/>
      <c r="C900" s="755"/>
      <c r="D900" s="755"/>
    </row>
    <row r="901" spans="2:4">
      <c r="B901" s="755"/>
      <c r="C901" s="755"/>
      <c r="D901" s="755"/>
    </row>
    <row r="902" spans="2:4">
      <c r="B902" s="755"/>
      <c r="C902" s="755"/>
      <c r="D902" s="755"/>
    </row>
    <row r="903" spans="2:4">
      <c r="B903" s="755"/>
      <c r="C903" s="755"/>
      <c r="D903" s="755"/>
    </row>
    <row r="904" spans="2:4">
      <c r="B904" s="755"/>
      <c r="C904" s="755"/>
      <c r="D904" s="755"/>
    </row>
    <row r="905" spans="2:4">
      <c r="B905" s="755"/>
      <c r="C905" s="755"/>
      <c r="D905" s="755"/>
    </row>
    <row r="906" spans="2:4">
      <c r="B906" s="755"/>
      <c r="C906" s="755"/>
      <c r="D906" s="755"/>
    </row>
    <row r="907" spans="2:4">
      <c r="B907" s="755"/>
      <c r="C907" s="755"/>
      <c r="D907" s="755"/>
    </row>
    <row r="908" spans="2:4">
      <c r="B908" s="755"/>
      <c r="C908" s="755"/>
      <c r="D908" s="755"/>
    </row>
    <row r="909" spans="2:4">
      <c r="B909" s="755"/>
      <c r="C909" s="755"/>
      <c r="D909" s="755"/>
    </row>
    <row r="910" spans="2:4">
      <c r="B910" s="755"/>
      <c r="C910" s="755"/>
      <c r="D910" s="755"/>
    </row>
    <row r="911" spans="2:4">
      <c r="B911" s="755"/>
      <c r="C911" s="755"/>
      <c r="D911" s="755"/>
    </row>
    <row r="912" spans="2:4">
      <c r="B912" s="755"/>
      <c r="C912" s="755"/>
      <c r="D912" s="755"/>
    </row>
    <row r="913" spans="2:4">
      <c r="B913" s="755"/>
      <c r="C913" s="755"/>
      <c r="D913" s="755"/>
    </row>
    <row r="914" spans="2:4">
      <c r="B914" s="755"/>
      <c r="C914" s="755"/>
      <c r="D914" s="755"/>
    </row>
    <row r="915" spans="2:4">
      <c r="B915" s="755"/>
      <c r="C915" s="755"/>
      <c r="D915" s="755"/>
    </row>
    <row r="916" spans="2:4">
      <c r="B916" s="755"/>
      <c r="C916" s="755"/>
      <c r="D916" s="755"/>
    </row>
    <row r="917" spans="2:4">
      <c r="B917" s="755"/>
      <c r="C917" s="755"/>
      <c r="D917" s="755"/>
    </row>
    <row r="918" spans="2:4">
      <c r="B918" s="755"/>
      <c r="C918" s="755"/>
      <c r="D918" s="755"/>
    </row>
    <row r="919" spans="2:4">
      <c r="B919" s="755"/>
      <c r="C919" s="755"/>
      <c r="D919" s="755"/>
    </row>
    <row r="920" spans="2:4">
      <c r="B920" s="755"/>
      <c r="C920" s="755"/>
      <c r="D920" s="755"/>
    </row>
    <row r="921" spans="2:4">
      <c r="B921" s="755"/>
      <c r="C921" s="755"/>
      <c r="D921" s="755"/>
    </row>
    <row r="922" spans="2:4">
      <c r="B922" s="755"/>
      <c r="C922" s="755"/>
      <c r="D922" s="755"/>
    </row>
    <row r="923" spans="2:4">
      <c r="B923" s="755"/>
      <c r="C923" s="755"/>
      <c r="D923" s="755"/>
    </row>
    <row r="924" spans="2:4">
      <c r="B924" s="755"/>
      <c r="C924" s="755"/>
      <c r="D924" s="755"/>
    </row>
    <row r="925" spans="2:4">
      <c r="B925" s="755"/>
      <c r="C925" s="755"/>
      <c r="D925" s="755"/>
    </row>
    <row r="926" spans="2:4">
      <c r="B926" s="755"/>
      <c r="C926" s="755"/>
      <c r="D926" s="755"/>
    </row>
    <row r="927" spans="2:4">
      <c r="B927" s="755"/>
      <c r="C927" s="755"/>
      <c r="D927" s="755"/>
    </row>
    <row r="928" spans="2:4">
      <c r="B928" s="755"/>
      <c r="C928" s="755"/>
      <c r="D928" s="755"/>
    </row>
    <row r="929" spans="2:4">
      <c r="B929" s="755"/>
      <c r="C929" s="755"/>
      <c r="D929" s="755"/>
    </row>
    <row r="930" spans="2:4">
      <c r="B930" s="755"/>
      <c r="C930" s="755"/>
      <c r="D930" s="755"/>
    </row>
    <row r="931" spans="2:4">
      <c r="B931" s="755"/>
      <c r="C931" s="755"/>
      <c r="D931" s="755"/>
    </row>
    <row r="932" spans="2:4">
      <c r="B932" s="755"/>
      <c r="C932" s="755"/>
      <c r="D932" s="755"/>
    </row>
    <row r="933" spans="2:4">
      <c r="B933" s="755"/>
      <c r="C933" s="755"/>
      <c r="D933" s="755"/>
    </row>
    <row r="934" spans="2:4">
      <c r="B934" s="755"/>
      <c r="C934" s="755"/>
      <c r="D934" s="755"/>
    </row>
    <row r="935" spans="2:4">
      <c r="B935" s="755"/>
      <c r="C935" s="755"/>
      <c r="D935" s="755"/>
    </row>
    <row r="936" spans="2:4">
      <c r="B936" s="755"/>
      <c r="C936" s="755"/>
      <c r="D936" s="755"/>
    </row>
    <row r="937" spans="2:4">
      <c r="B937" s="755"/>
      <c r="C937" s="755"/>
      <c r="D937" s="755"/>
    </row>
    <row r="938" spans="2:4">
      <c r="B938" s="755"/>
      <c r="C938" s="755"/>
      <c r="D938" s="755"/>
    </row>
    <row r="939" spans="2:4">
      <c r="B939" s="755"/>
      <c r="C939" s="755"/>
      <c r="D939" s="755"/>
    </row>
    <row r="940" spans="2:4">
      <c r="B940" s="755"/>
      <c r="C940" s="755"/>
      <c r="D940" s="755"/>
    </row>
    <row r="941" spans="2:4">
      <c r="B941" s="755"/>
      <c r="C941" s="755"/>
      <c r="D941" s="755"/>
    </row>
    <row r="942" spans="2:4">
      <c r="B942" s="755"/>
      <c r="C942" s="755"/>
      <c r="D942" s="755"/>
    </row>
    <row r="943" spans="2:4">
      <c r="B943" s="755"/>
      <c r="C943" s="755"/>
      <c r="D943" s="755"/>
    </row>
    <row r="944" spans="2:4">
      <c r="B944" s="755"/>
      <c r="C944" s="755"/>
      <c r="D944" s="755"/>
    </row>
    <row r="945" spans="2:4">
      <c r="B945" s="755"/>
      <c r="C945" s="755"/>
      <c r="D945" s="755"/>
    </row>
    <row r="946" spans="2:4">
      <c r="B946" s="755"/>
      <c r="C946" s="755"/>
      <c r="D946" s="755"/>
    </row>
    <row r="947" spans="2:4">
      <c r="B947" s="755"/>
      <c r="C947" s="755"/>
      <c r="D947" s="755"/>
    </row>
    <row r="948" spans="2:4">
      <c r="B948" s="755"/>
      <c r="C948" s="755"/>
      <c r="D948" s="755"/>
    </row>
    <row r="949" spans="2:4">
      <c r="B949" s="755"/>
      <c r="C949" s="755"/>
      <c r="D949" s="755"/>
    </row>
    <row r="950" spans="2:4">
      <c r="B950" s="755"/>
      <c r="C950" s="755"/>
      <c r="D950" s="755"/>
    </row>
    <row r="951" spans="2:4">
      <c r="B951" s="755"/>
      <c r="C951" s="755"/>
      <c r="D951" s="755"/>
    </row>
    <row r="952" spans="2:4">
      <c r="B952" s="755"/>
      <c r="C952" s="755"/>
      <c r="D952" s="755"/>
    </row>
    <row r="953" spans="2:4">
      <c r="B953" s="755"/>
      <c r="C953" s="755"/>
      <c r="D953" s="755"/>
    </row>
    <row r="954" spans="2:4">
      <c r="B954" s="755"/>
      <c r="C954" s="755"/>
      <c r="D954" s="755"/>
    </row>
    <row r="955" spans="2:4">
      <c r="B955" s="755"/>
      <c r="C955" s="755"/>
      <c r="D955" s="755"/>
    </row>
    <row r="956" spans="2:4">
      <c r="B956" s="755"/>
      <c r="C956" s="755"/>
      <c r="D956" s="755"/>
    </row>
    <row r="957" spans="2:4">
      <c r="B957" s="755"/>
      <c r="C957" s="755"/>
      <c r="D957" s="755"/>
    </row>
    <row r="958" spans="2:4">
      <c r="B958" s="755"/>
      <c r="C958" s="755"/>
      <c r="D958" s="755"/>
    </row>
    <row r="959" spans="2:4">
      <c r="B959" s="755"/>
      <c r="C959" s="755"/>
      <c r="D959" s="755"/>
    </row>
    <row r="960" spans="2:4">
      <c r="B960" s="755"/>
      <c r="C960" s="755"/>
      <c r="D960" s="755"/>
    </row>
    <row r="961" spans="2:4">
      <c r="B961" s="755"/>
      <c r="C961" s="755"/>
      <c r="D961" s="755"/>
    </row>
    <row r="962" spans="2:4">
      <c r="B962" s="755"/>
      <c r="C962" s="755"/>
      <c r="D962" s="755"/>
    </row>
    <row r="963" spans="2:4">
      <c r="B963" s="755"/>
      <c r="C963" s="755"/>
      <c r="D963" s="755"/>
    </row>
    <row r="964" spans="2:4">
      <c r="B964" s="755"/>
      <c r="C964" s="755"/>
      <c r="D964" s="755"/>
    </row>
    <row r="965" spans="2:4">
      <c r="B965" s="755"/>
      <c r="C965" s="755"/>
      <c r="D965" s="755"/>
    </row>
    <row r="966" spans="2:4">
      <c r="B966" s="755"/>
      <c r="C966" s="755"/>
      <c r="D966" s="755"/>
    </row>
    <row r="967" spans="2:4">
      <c r="B967" s="755"/>
      <c r="C967" s="755"/>
      <c r="D967" s="755"/>
    </row>
    <row r="968" spans="2:4">
      <c r="B968" s="755"/>
      <c r="C968" s="755"/>
      <c r="D968" s="755"/>
    </row>
    <row r="969" spans="2:4">
      <c r="B969" s="755"/>
      <c r="C969" s="755"/>
      <c r="D969" s="755"/>
    </row>
    <row r="970" spans="2:4">
      <c r="B970" s="755"/>
      <c r="C970" s="755"/>
      <c r="D970" s="755"/>
    </row>
    <row r="971" spans="2:4">
      <c r="B971" s="755"/>
      <c r="C971" s="755"/>
      <c r="D971" s="755"/>
    </row>
    <row r="972" spans="2:4">
      <c r="B972" s="755"/>
      <c r="C972" s="755"/>
      <c r="D972" s="755"/>
    </row>
    <row r="973" spans="2:4">
      <c r="B973" s="755"/>
      <c r="C973" s="755"/>
      <c r="D973" s="755"/>
    </row>
    <row r="974" spans="2:4">
      <c r="B974" s="755"/>
      <c r="C974" s="755"/>
      <c r="D974" s="755"/>
    </row>
    <row r="975" spans="2:4">
      <c r="B975" s="755"/>
      <c r="C975" s="755"/>
      <c r="D975" s="755"/>
    </row>
    <row r="976" spans="2:4">
      <c r="B976" s="755"/>
      <c r="C976" s="755"/>
      <c r="D976" s="755"/>
    </row>
    <row r="977" spans="2:4">
      <c r="B977" s="755"/>
      <c r="C977" s="755"/>
      <c r="D977" s="755"/>
    </row>
    <row r="978" spans="2:4">
      <c r="B978" s="755"/>
      <c r="C978" s="755"/>
      <c r="D978" s="755"/>
    </row>
    <row r="979" spans="2:4">
      <c r="B979" s="755"/>
      <c r="C979" s="755"/>
      <c r="D979" s="755"/>
    </row>
    <row r="980" spans="2:4">
      <c r="B980" s="755"/>
      <c r="C980" s="755"/>
      <c r="D980" s="755"/>
    </row>
    <row r="981" spans="2:4">
      <c r="B981" s="755"/>
      <c r="C981" s="755"/>
      <c r="D981" s="755"/>
    </row>
    <row r="982" spans="2:4">
      <c r="B982" s="755"/>
      <c r="C982" s="755"/>
      <c r="D982" s="755"/>
    </row>
    <row r="983" spans="2:4">
      <c r="B983" s="755"/>
      <c r="C983" s="755"/>
      <c r="D983" s="755"/>
    </row>
    <row r="984" spans="2:4">
      <c r="B984" s="755"/>
      <c r="C984" s="755"/>
      <c r="D984" s="755"/>
    </row>
    <row r="985" spans="2:4">
      <c r="B985" s="755"/>
      <c r="C985" s="755"/>
      <c r="D985" s="755"/>
    </row>
    <row r="986" spans="2:4">
      <c r="B986" s="755"/>
      <c r="C986" s="755"/>
      <c r="D986" s="755"/>
    </row>
    <row r="987" spans="2:4">
      <c r="B987" s="755"/>
      <c r="C987" s="755"/>
      <c r="D987" s="755"/>
    </row>
    <row r="988" spans="2:4">
      <c r="B988" s="755"/>
      <c r="C988" s="755"/>
      <c r="D988" s="755"/>
    </row>
    <row r="989" spans="2:4">
      <c r="B989" s="755"/>
      <c r="C989" s="755"/>
      <c r="D989" s="755"/>
    </row>
    <row r="990" spans="2:4">
      <c r="B990" s="755"/>
      <c r="C990" s="755"/>
      <c r="D990" s="755"/>
    </row>
    <row r="991" spans="2:4">
      <c r="B991" s="755"/>
      <c r="C991" s="755"/>
      <c r="D991" s="755"/>
    </row>
    <row r="992" spans="2:4">
      <c r="B992" s="755"/>
      <c r="C992" s="755"/>
      <c r="D992" s="755"/>
    </row>
    <row r="993" spans="2:4">
      <c r="B993" s="755"/>
      <c r="C993" s="755"/>
      <c r="D993" s="755"/>
    </row>
    <row r="994" spans="2:4">
      <c r="B994" s="755"/>
      <c r="C994" s="755"/>
      <c r="D994" s="755"/>
    </row>
    <row r="995" spans="2:4">
      <c r="B995" s="755"/>
      <c r="C995" s="755"/>
      <c r="D995" s="755"/>
    </row>
    <row r="996" spans="2:4">
      <c r="B996" s="755"/>
      <c r="C996" s="755"/>
      <c r="D996" s="755"/>
    </row>
    <row r="997" spans="2:4">
      <c r="B997" s="755"/>
      <c r="C997" s="755"/>
      <c r="D997" s="755"/>
    </row>
    <row r="998" spans="2:4">
      <c r="B998" s="755"/>
      <c r="C998" s="755"/>
      <c r="D998" s="755"/>
    </row>
    <row r="999" spans="2:4">
      <c r="B999" s="755"/>
      <c r="C999" s="755"/>
      <c r="D999" s="755"/>
    </row>
    <row r="1000" spans="2:4">
      <c r="B1000" s="755"/>
      <c r="C1000" s="755"/>
      <c r="D1000" s="755"/>
    </row>
    <row r="1001" spans="2:4">
      <c r="B1001" s="755"/>
      <c r="C1001" s="755"/>
      <c r="D1001" s="755"/>
    </row>
    <row r="1002" spans="2:4">
      <c r="B1002" s="755"/>
      <c r="C1002" s="755"/>
      <c r="D1002" s="755"/>
    </row>
    <row r="1003" spans="2:4">
      <c r="B1003" s="755"/>
      <c r="C1003" s="755"/>
      <c r="D1003" s="755"/>
    </row>
    <row r="1004" spans="2:4">
      <c r="B1004" s="755"/>
      <c r="C1004" s="755"/>
      <c r="D1004" s="755"/>
    </row>
    <row r="1005" spans="2:4">
      <c r="B1005" s="755"/>
      <c r="C1005" s="755"/>
      <c r="D1005" s="755"/>
    </row>
    <row r="1006" spans="2:4">
      <c r="B1006" s="755"/>
      <c r="C1006" s="755"/>
      <c r="D1006" s="755"/>
    </row>
    <row r="1007" spans="2:4">
      <c r="B1007" s="755"/>
      <c r="C1007" s="755"/>
      <c r="D1007" s="755"/>
    </row>
    <row r="1008" spans="2:4">
      <c r="B1008" s="755"/>
      <c r="C1008" s="755"/>
      <c r="D1008" s="755"/>
    </row>
    <row r="1009" spans="2:4">
      <c r="B1009" s="755"/>
      <c r="C1009" s="755"/>
      <c r="D1009" s="755"/>
    </row>
    <row r="1010" spans="2:4">
      <c r="B1010" s="755"/>
      <c r="C1010" s="755"/>
      <c r="D1010" s="755"/>
    </row>
    <row r="1011" spans="2:4">
      <c r="B1011" s="755"/>
      <c r="C1011" s="755"/>
      <c r="D1011" s="755"/>
    </row>
    <row r="1012" spans="2:4">
      <c r="B1012" s="755"/>
      <c r="C1012" s="755"/>
      <c r="D1012" s="755"/>
    </row>
    <row r="1013" spans="2:4">
      <c r="B1013" s="755"/>
      <c r="C1013" s="755"/>
      <c r="D1013" s="755"/>
    </row>
    <row r="1014" spans="2:4">
      <c r="B1014" s="755"/>
      <c r="C1014" s="755"/>
      <c r="D1014" s="755"/>
    </row>
    <row r="1015" spans="2:4">
      <c r="B1015" s="755"/>
      <c r="C1015" s="755"/>
      <c r="D1015" s="755"/>
    </row>
    <row r="1016" spans="2:4">
      <c r="B1016" s="755"/>
      <c r="C1016" s="755"/>
      <c r="D1016" s="755"/>
    </row>
    <row r="1017" spans="2:4">
      <c r="B1017" s="755"/>
      <c r="C1017" s="755"/>
      <c r="D1017" s="755"/>
    </row>
    <row r="1018" spans="2:4">
      <c r="B1018" s="755"/>
      <c r="C1018" s="755"/>
      <c r="D1018" s="755"/>
    </row>
    <row r="1019" spans="2:4">
      <c r="B1019" s="755"/>
      <c r="C1019" s="755"/>
      <c r="D1019" s="755"/>
    </row>
    <row r="1020" spans="2:4">
      <c r="B1020" s="755"/>
      <c r="C1020" s="755"/>
      <c r="D1020" s="755"/>
    </row>
    <row r="1021" spans="2:4">
      <c r="B1021" s="755"/>
      <c r="C1021" s="755"/>
      <c r="D1021" s="755"/>
    </row>
    <row r="1022" spans="2:4">
      <c r="B1022" s="755"/>
      <c r="C1022" s="755"/>
      <c r="D1022" s="755"/>
    </row>
    <row r="1023" spans="2:4">
      <c r="B1023" s="755"/>
      <c r="C1023" s="755"/>
      <c r="D1023" s="755"/>
    </row>
    <row r="1024" spans="2:4">
      <c r="B1024" s="755"/>
      <c r="C1024" s="755"/>
      <c r="D1024" s="755"/>
    </row>
    <row r="1025" spans="2:4">
      <c r="B1025" s="755"/>
      <c r="C1025" s="755"/>
      <c r="D1025" s="755"/>
    </row>
    <row r="1026" spans="2:4">
      <c r="B1026" s="755"/>
      <c r="C1026" s="755"/>
      <c r="D1026" s="755"/>
    </row>
    <row r="1027" spans="2:4">
      <c r="B1027" s="755"/>
      <c r="C1027" s="755"/>
      <c r="D1027" s="755"/>
    </row>
    <row r="1028" spans="2:4">
      <c r="B1028" s="755"/>
      <c r="C1028" s="755"/>
      <c r="D1028" s="755"/>
    </row>
    <row r="1029" spans="2:4">
      <c r="B1029" s="755"/>
      <c r="C1029" s="755"/>
      <c r="D1029" s="755"/>
    </row>
    <row r="1030" spans="2:4">
      <c r="B1030" s="755"/>
      <c r="C1030" s="755"/>
      <c r="D1030" s="755"/>
    </row>
    <row r="1031" spans="2:4">
      <c r="B1031" s="755"/>
      <c r="C1031" s="755"/>
      <c r="D1031" s="755"/>
    </row>
    <row r="1032" spans="2:4">
      <c r="B1032" s="755"/>
      <c r="C1032" s="755"/>
      <c r="D1032" s="755"/>
    </row>
    <row r="1033" spans="2:4">
      <c r="B1033" s="755"/>
      <c r="C1033" s="755"/>
      <c r="D1033" s="755"/>
    </row>
    <row r="1034" spans="2:4">
      <c r="B1034" s="755"/>
      <c r="C1034" s="755"/>
      <c r="D1034" s="755"/>
    </row>
    <row r="1035" spans="2:4">
      <c r="B1035" s="755"/>
      <c r="C1035" s="755"/>
      <c r="D1035" s="755"/>
    </row>
    <row r="1036" spans="2:4">
      <c r="B1036" s="755"/>
      <c r="C1036" s="755"/>
      <c r="D1036" s="755"/>
    </row>
    <row r="1037" spans="2:4">
      <c r="B1037" s="755"/>
      <c r="C1037" s="755"/>
      <c r="D1037" s="755"/>
    </row>
    <row r="1038" spans="2:4">
      <c r="B1038" s="755"/>
      <c r="C1038" s="755"/>
      <c r="D1038" s="755"/>
    </row>
    <row r="1039" spans="2:4">
      <c r="B1039" s="755"/>
      <c r="C1039" s="755"/>
      <c r="D1039" s="755"/>
    </row>
    <row r="1040" spans="2:4">
      <c r="B1040" s="755"/>
      <c r="C1040" s="755"/>
      <c r="D1040" s="755"/>
    </row>
    <row r="1041" spans="2:4">
      <c r="B1041" s="755"/>
      <c r="C1041" s="755"/>
      <c r="D1041" s="755"/>
    </row>
    <row r="1042" spans="2:4">
      <c r="B1042" s="755"/>
      <c r="C1042" s="755"/>
      <c r="D1042" s="755"/>
    </row>
    <row r="1043" spans="2:4">
      <c r="B1043" s="755"/>
      <c r="C1043" s="755"/>
      <c r="D1043" s="755"/>
    </row>
    <row r="1044" spans="2:4">
      <c r="B1044" s="755"/>
      <c r="C1044" s="755"/>
      <c r="D1044" s="755"/>
    </row>
    <row r="1045" spans="2:4">
      <c r="B1045" s="755"/>
      <c r="C1045" s="755"/>
      <c r="D1045" s="755"/>
    </row>
    <row r="1046" spans="2:4">
      <c r="B1046" s="755"/>
      <c r="C1046" s="755"/>
      <c r="D1046" s="755"/>
    </row>
    <row r="1047" spans="2:4">
      <c r="B1047" s="755"/>
      <c r="C1047" s="755"/>
      <c r="D1047" s="755"/>
    </row>
    <row r="1048" spans="2:4">
      <c r="B1048" s="755"/>
      <c r="C1048" s="755"/>
      <c r="D1048" s="755"/>
    </row>
    <row r="1049" spans="2:4">
      <c r="B1049" s="755"/>
      <c r="C1049" s="755"/>
      <c r="D1049" s="755"/>
    </row>
    <row r="1050" spans="2:4">
      <c r="B1050" s="755"/>
      <c r="C1050" s="755"/>
      <c r="D1050" s="755"/>
    </row>
    <row r="1051" spans="2:4">
      <c r="B1051" s="755"/>
      <c r="C1051" s="755"/>
      <c r="D1051" s="755"/>
    </row>
    <row r="1052" spans="2:4">
      <c r="B1052" s="755"/>
      <c r="C1052" s="755"/>
      <c r="D1052" s="755"/>
    </row>
    <row r="1053" spans="2:4">
      <c r="B1053" s="755"/>
      <c r="C1053" s="755"/>
      <c r="D1053" s="755"/>
    </row>
    <row r="1054" spans="2:4">
      <c r="B1054" s="755"/>
      <c r="C1054" s="755"/>
      <c r="D1054" s="755"/>
    </row>
    <row r="1055" spans="2:4">
      <c r="B1055" s="755"/>
      <c r="C1055" s="755"/>
      <c r="D1055" s="755"/>
    </row>
    <row r="1056" spans="2:4">
      <c r="B1056" s="755"/>
      <c r="C1056" s="755"/>
      <c r="D1056" s="755"/>
    </row>
    <row r="1057" spans="2:4">
      <c r="B1057" s="755"/>
      <c r="C1057" s="755"/>
      <c r="D1057" s="755"/>
    </row>
    <row r="1058" spans="2:4">
      <c r="B1058" s="755"/>
      <c r="C1058" s="755"/>
      <c r="D1058" s="755"/>
    </row>
    <row r="1059" spans="2:4">
      <c r="B1059" s="755"/>
      <c r="C1059" s="755"/>
      <c r="D1059" s="755"/>
    </row>
    <row r="1060" spans="2:4">
      <c r="B1060" s="755"/>
      <c r="C1060" s="755"/>
      <c r="D1060" s="755"/>
    </row>
    <row r="1061" spans="2:4">
      <c r="B1061" s="755"/>
      <c r="C1061" s="755"/>
      <c r="D1061" s="755"/>
    </row>
    <row r="1062" spans="2:4">
      <c r="B1062" s="755"/>
      <c r="C1062" s="755"/>
      <c r="D1062" s="755"/>
    </row>
    <row r="1063" spans="2:4">
      <c r="B1063" s="755"/>
      <c r="C1063" s="755"/>
      <c r="D1063" s="755"/>
    </row>
    <row r="1064" spans="2:4">
      <c r="B1064" s="755"/>
      <c r="C1064" s="755"/>
      <c r="D1064" s="755"/>
    </row>
    <row r="1065" spans="2:4">
      <c r="B1065" s="755"/>
      <c r="C1065" s="755"/>
      <c r="D1065" s="755"/>
    </row>
    <row r="1066" spans="2:4">
      <c r="B1066" s="755"/>
      <c r="C1066" s="755"/>
      <c r="D1066" s="755"/>
    </row>
    <row r="1067" spans="2:4">
      <c r="B1067" s="755"/>
      <c r="C1067" s="755"/>
      <c r="D1067" s="755"/>
    </row>
    <row r="1068" spans="2:4">
      <c r="B1068" s="755"/>
      <c r="C1068" s="755"/>
      <c r="D1068" s="755"/>
    </row>
    <row r="1069" spans="2:4">
      <c r="B1069" s="755"/>
      <c r="C1069" s="755"/>
      <c r="D1069" s="755"/>
    </row>
    <row r="1070" spans="2:4">
      <c r="B1070" s="755"/>
      <c r="C1070" s="755"/>
      <c r="D1070" s="755"/>
    </row>
    <row r="1071" spans="2:4">
      <c r="B1071" s="755"/>
      <c r="C1071" s="755"/>
      <c r="D1071" s="755"/>
    </row>
    <row r="1072" spans="2:4">
      <c r="B1072" s="755"/>
      <c r="C1072" s="755"/>
      <c r="D1072" s="755"/>
    </row>
    <row r="1073" spans="2:4">
      <c r="B1073" s="755"/>
      <c r="C1073" s="755"/>
      <c r="D1073" s="755"/>
    </row>
    <row r="1074" spans="2:4">
      <c r="B1074" s="755"/>
      <c r="C1074" s="755"/>
      <c r="D1074" s="755"/>
    </row>
    <row r="1075" spans="2:4">
      <c r="B1075" s="755"/>
      <c r="C1075" s="755"/>
      <c r="D1075" s="755"/>
    </row>
    <row r="1076" spans="2:4">
      <c r="B1076" s="755"/>
      <c r="C1076" s="755"/>
      <c r="D1076" s="755"/>
    </row>
    <row r="1077" spans="2:4">
      <c r="B1077" s="755"/>
      <c r="C1077" s="755"/>
      <c r="D1077" s="755"/>
    </row>
    <row r="1078" spans="2:4">
      <c r="B1078" s="755"/>
      <c r="C1078" s="755"/>
      <c r="D1078" s="755"/>
    </row>
    <row r="1079" spans="2:4">
      <c r="B1079" s="755"/>
      <c r="C1079" s="755"/>
      <c r="D1079" s="755"/>
    </row>
    <row r="1080" spans="2:4">
      <c r="B1080" s="755"/>
      <c r="C1080" s="755"/>
      <c r="D1080" s="755"/>
    </row>
    <row r="1081" spans="2:4">
      <c r="B1081" s="755"/>
      <c r="C1081" s="755"/>
      <c r="D1081" s="755"/>
    </row>
    <row r="1082" spans="2:4">
      <c r="B1082" s="755"/>
      <c r="C1082" s="755"/>
      <c r="D1082" s="755"/>
    </row>
    <row r="1083" spans="2:4">
      <c r="B1083" s="755"/>
      <c r="C1083" s="755"/>
      <c r="D1083" s="755"/>
    </row>
    <row r="1084" spans="2:4">
      <c r="B1084" s="755"/>
      <c r="C1084" s="755"/>
      <c r="D1084" s="755"/>
    </row>
    <row r="1085" spans="2:4">
      <c r="B1085" s="755"/>
      <c r="C1085" s="755"/>
      <c r="D1085" s="755"/>
    </row>
    <row r="1086" spans="2:4">
      <c r="B1086" s="755"/>
      <c r="C1086" s="755"/>
      <c r="D1086" s="755"/>
    </row>
    <row r="1087" spans="2:4">
      <c r="B1087" s="755"/>
      <c r="C1087" s="755"/>
      <c r="D1087" s="755"/>
    </row>
    <row r="1088" spans="2:4">
      <c r="B1088" s="755"/>
      <c r="C1088" s="755"/>
      <c r="D1088" s="755"/>
    </row>
    <row r="1089" spans="2:4">
      <c r="B1089" s="755"/>
      <c r="C1089" s="755"/>
      <c r="D1089" s="755"/>
    </row>
    <row r="1090" spans="2:4">
      <c r="B1090" s="755"/>
      <c r="C1090" s="755"/>
      <c r="D1090" s="755"/>
    </row>
    <row r="1091" spans="2:4">
      <c r="B1091" s="755"/>
      <c r="C1091" s="755"/>
      <c r="D1091" s="755"/>
    </row>
    <row r="1092" spans="2:4">
      <c r="B1092" s="755"/>
      <c r="C1092" s="755"/>
      <c r="D1092" s="755"/>
    </row>
    <row r="1093" spans="2:4">
      <c r="B1093" s="755"/>
      <c r="C1093" s="755"/>
      <c r="D1093" s="755"/>
    </row>
    <row r="1094" spans="2:4">
      <c r="B1094" s="755"/>
      <c r="C1094" s="755"/>
      <c r="D1094" s="755"/>
    </row>
    <row r="1095" spans="2:4">
      <c r="B1095" s="755"/>
      <c r="C1095" s="755"/>
      <c r="D1095" s="755"/>
    </row>
    <row r="1096" spans="2:4">
      <c r="B1096" s="755"/>
      <c r="C1096" s="755"/>
      <c r="D1096" s="755"/>
    </row>
    <row r="1097" spans="2:4">
      <c r="B1097" s="755"/>
      <c r="C1097" s="755"/>
      <c r="D1097" s="755"/>
    </row>
    <row r="1098" spans="2:4">
      <c r="B1098" s="755"/>
      <c r="C1098" s="755"/>
      <c r="D1098" s="755"/>
    </row>
    <row r="1099" spans="2:4">
      <c r="B1099" s="755"/>
      <c r="C1099" s="755"/>
      <c r="D1099" s="755"/>
    </row>
    <row r="1100" spans="2:4">
      <c r="B1100" s="755"/>
      <c r="C1100" s="755"/>
      <c r="D1100" s="755"/>
    </row>
    <row r="1101" spans="2:4">
      <c r="B1101" s="755"/>
      <c r="C1101" s="755"/>
      <c r="D1101" s="755"/>
    </row>
    <row r="1102" spans="2:4">
      <c r="B1102" s="755"/>
      <c r="C1102" s="755"/>
      <c r="D1102" s="755"/>
    </row>
    <row r="1103" spans="2:4">
      <c r="B1103" s="755"/>
      <c r="C1103" s="755"/>
      <c r="D1103" s="755"/>
    </row>
    <row r="1104" spans="2:4">
      <c r="B1104" s="755"/>
      <c r="C1104" s="755"/>
      <c r="D1104" s="755"/>
    </row>
    <row r="1105" spans="2:4">
      <c r="B1105" s="755"/>
      <c r="C1105" s="755"/>
      <c r="D1105" s="755"/>
    </row>
    <row r="1106" spans="2:4">
      <c r="B1106" s="755"/>
      <c r="C1106" s="755"/>
      <c r="D1106" s="755"/>
    </row>
    <row r="1107" spans="2:4">
      <c r="B1107" s="755"/>
      <c r="C1107" s="755"/>
      <c r="D1107" s="755"/>
    </row>
    <row r="1108" spans="2:4">
      <c r="B1108" s="755"/>
      <c r="C1108" s="755"/>
      <c r="D1108" s="755"/>
    </row>
    <row r="1109" spans="2:4">
      <c r="B1109" s="755"/>
      <c r="C1109" s="755"/>
      <c r="D1109" s="755"/>
    </row>
    <row r="1110" spans="2:4">
      <c r="B1110" s="755"/>
      <c r="C1110" s="755"/>
      <c r="D1110" s="755"/>
    </row>
    <row r="1111" spans="2:4">
      <c r="B1111" s="755"/>
      <c r="C1111" s="755"/>
      <c r="D1111" s="755"/>
    </row>
    <row r="1112" spans="2:4">
      <c r="B1112" s="755"/>
      <c r="C1112" s="755"/>
      <c r="D1112" s="755"/>
    </row>
    <row r="1113" spans="2:4">
      <c r="B1113" s="755"/>
      <c r="C1113" s="755"/>
      <c r="D1113" s="755"/>
    </row>
    <row r="1114" spans="2:4">
      <c r="B1114" s="755"/>
      <c r="C1114" s="755"/>
      <c r="D1114" s="755"/>
    </row>
    <row r="1115" spans="2:4">
      <c r="B1115" s="755"/>
      <c r="C1115" s="755"/>
      <c r="D1115" s="755"/>
    </row>
    <row r="1116" spans="2:4">
      <c r="B1116" s="755"/>
      <c r="C1116" s="755"/>
      <c r="D1116" s="755"/>
    </row>
    <row r="1117" spans="2:4">
      <c r="B1117" s="755"/>
      <c r="C1117" s="755"/>
      <c r="D1117" s="755"/>
    </row>
    <row r="1118" spans="2:4">
      <c r="B1118" s="755"/>
      <c r="C1118" s="755"/>
      <c r="D1118" s="755"/>
    </row>
    <row r="1119" spans="2:4">
      <c r="B1119" s="755"/>
      <c r="C1119" s="755"/>
      <c r="D1119" s="755"/>
    </row>
    <row r="1120" spans="2:4">
      <c r="B1120" s="755"/>
      <c r="C1120" s="755"/>
      <c r="D1120" s="755"/>
    </row>
    <row r="1121" spans="2:4">
      <c r="B1121" s="755"/>
      <c r="C1121" s="755"/>
      <c r="D1121" s="755"/>
    </row>
    <row r="1122" spans="2:4">
      <c r="B1122" s="755"/>
      <c r="C1122" s="755"/>
      <c r="D1122" s="755"/>
    </row>
    <row r="1123" spans="2:4">
      <c r="B1123" s="755"/>
      <c r="C1123" s="755"/>
      <c r="D1123" s="755"/>
    </row>
    <row r="1124" spans="2:4">
      <c r="B1124" s="755"/>
      <c r="C1124" s="755"/>
      <c r="D1124" s="755"/>
    </row>
    <row r="1125" spans="2:4">
      <c r="B1125" s="755"/>
      <c r="C1125" s="755"/>
      <c r="D1125" s="755"/>
    </row>
    <row r="1126" spans="2:4">
      <c r="B1126" s="755"/>
      <c r="C1126" s="755"/>
      <c r="D1126" s="755"/>
    </row>
    <row r="1127" spans="2:4">
      <c r="B1127" s="755"/>
      <c r="C1127" s="755"/>
      <c r="D1127" s="755"/>
    </row>
    <row r="1128" spans="2:4">
      <c r="B1128" s="755"/>
      <c r="C1128" s="755"/>
      <c r="D1128" s="755"/>
    </row>
    <row r="1129" spans="2:4">
      <c r="B1129" s="755"/>
      <c r="C1129" s="755"/>
      <c r="D1129" s="755"/>
    </row>
    <row r="1130" spans="2:4">
      <c r="B1130" s="755"/>
      <c r="C1130" s="755"/>
      <c r="D1130" s="755"/>
    </row>
    <row r="1131" spans="2:4">
      <c r="B1131" s="755"/>
      <c r="C1131" s="755"/>
      <c r="D1131" s="755"/>
    </row>
    <row r="1132" spans="2:4">
      <c r="B1132" s="755"/>
      <c r="C1132" s="755"/>
      <c r="D1132" s="755"/>
    </row>
    <row r="1133" spans="2:4">
      <c r="B1133" s="755"/>
      <c r="C1133" s="755"/>
      <c r="D1133" s="755"/>
    </row>
    <row r="1134" spans="2:4">
      <c r="B1134" s="755"/>
      <c r="C1134" s="755"/>
      <c r="D1134" s="755"/>
    </row>
    <row r="1135" spans="2:4">
      <c r="B1135" s="755"/>
      <c r="C1135" s="755"/>
      <c r="D1135" s="755"/>
    </row>
    <row r="1136" spans="2:4">
      <c r="B1136" s="755"/>
      <c r="C1136" s="755"/>
      <c r="D1136" s="755"/>
    </row>
    <row r="1137" spans="2:4">
      <c r="B1137" s="755"/>
      <c r="C1137" s="755"/>
      <c r="D1137" s="755"/>
    </row>
    <row r="1138" spans="2:4">
      <c r="B1138" s="755"/>
      <c r="C1138" s="755"/>
      <c r="D1138" s="755"/>
    </row>
    <row r="1139" spans="2:4">
      <c r="B1139" s="755"/>
      <c r="C1139" s="755"/>
      <c r="D1139" s="755"/>
    </row>
    <row r="1140" spans="2:4">
      <c r="B1140" s="755"/>
      <c r="C1140" s="755"/>
      <c r="D1140" s="755"/>
    </row>
    <row r="1141" spans="2:4">
      <c r="B1141" s="755"/>
      <c r="C1141" s="755"/>
      <c r="D1141" s="755"/>
    </row>
    <row r="1142" spans="2:4">
      <c r="B1142" s="755"/>
      <c r="C1142" s="755"/>
      <c r="D1142" s="755"/>
    </row>
    <row r="1143" spans="2:4">
      <c r="B1143" s="755"/>
      <c r="C1143" s="755"/>
      <c r="D1143" s="755"/>
    </row>
    <row r="1144" spans="2:4">
      <c r="B1144" s="755"/>
      <c r="C1144" s="755"/>
      <c r="D1144" s="755"/>
    </row>
    <row r="1145" spans="2:4">
      <c r="B1145" s="755"/>
      <c r="C1145" s="755"/>
      <c r="D1145" s="755"/>
    </row>
    <row r="1146" spans="2:4">
      <c r="B1146" s="755"/>
      <c r="C1146" s="755"/>
      <c r="D1146" s="755"/>
    </row>
    <row r="1147" spans="2:4">
      <c r="B1147" s="755"/>
      <c r="C1147" s="755"/>
      <c r="D1147" s="755"/>
    </row>
    <row r="1148" spans="2:4">
      <c r="B1148" s="755"/>
      <c r="C1148" s="755"/>
      <c r="D1148" s="755"/>
    </row>
    <row r="1149" spans="2:4">
      <c r="B1149" s="755"/>
      <c r="C1149" s="755"/>
      <c r="D1149" s="755"/>
    </row>
    <row r="1150" spans="2:4">
      <c r="B1150" s="755"/>
      <c r="C1150" s="755"/>
      <c r="D1150" s="755"/>
    </row>
    <row r="1151" spans="2:4">
      <c r="B1151" s="755"/>
      <c r="C1151" s="755"/>
      <c r="D1151" s="755"/>
    </row>
    <row r="1152" spans="2:4">
      <c r="B1152" s="755"/>
      <c r="C1152" s="755"/>
      <c r="D1152" s="755"/>
    </row>
    <row r="1153" spans="2:4">
      <c r="B1153" s="755"/>
      <c r="C1153" s="755"/>
      <c r="D1153" s="755"/>
    </row>
    <row r="1154" spans="2:4">
      <c r="B1154" s="755"/>
      <c r="C1154" s="755"/>
      <c r="D1154" s="755"/>
    </row>
    <row r="1155" spans="2:4">
      <c r="B1155" s="755"/>
      <c r="C1155" s="755"/>
      <c r="D1155" s="755"/>
    </row>
    <row r="1156" spans="2:4">
      <c r="B1156" s="755"/>
      <c r="C1156" s="755"/>
      <c r="D1156" s="755"/>
    </row>
    <row r="1157" spans="2:4">
      <c r="B1157" s="755"/>
      <c r="C1157" s="755"/>
      <c r="D1157" s="755"/>
    </row>
    <row r="1158" spans="2:4">
      <c r="B1158" s="755"/>
      <c r="C1158" s="755"/>
      <c r="D1158" s="755"/>
    </row>
    <row r="1159" spans="2:4">
      <c r="B1159" s="755"/>
      <c r="C1159" s="755"/>
      <c r="D1159" s="755"/>
    </row>
    <row r="1160" spans="2:4">
      <c r="B1160" s="755"/>
      <c r="C1160" s="755"/>
      <c r="D1160" s="755"/>
    </row>
    <row r="1161" spans="2:4">
      <c r="B1161" s="755"/>
      <c r="C1161" s="755"/>
      <c r="D1161" s="755"/>
    </row>
    <row r="1162" spans="2:4">
      <c r="B1162" s="755"/>
      <c r="C1162" s="755"/>
      <c r="D1162" s="755"/>
    </row>
    <row r="1163" spans="2:4">
      <c r="B1163" s="755"/>
      <c r="C1163" s="755"/>
      <c r="D1163" s="755"/>
    </row>
    <row r="1164" spans="2:4">
      <c r="B1164" s="755"/>
      <c r="C1164" s="755"/>
      <c r="D1164" s="755"/>
    </row>
    <row r="1165" spans="2:4">
      <c r="B1165" s="755"/>
      <c r="C1165" s="755"/>
      <c r="D1165" s="755"/>
    </row>
    <row r="1166" spans="2:4">
      <c r="B1166" s="755"/>
      <c r="C1166" s="755"/>
      <c r="D1166" s="755"/>
    </row>
    <row r="1167" spans="2:4">
      <c r="B1167" s="755"/>
      <c r="C1167" s="755"/>
      <c r="D1167" s="755"/>
    </row>
    <row r="1168" spans="2:4">
      <c r="B1168" s="755"/>
      <c r="C1168" s="755"/>
      <c r="D1168" s="755"/>
    </row>
    <row r="1169" spans="2:4">
      <c r="B1169" s="755"/>
      <c r="C1169" s="755"/>
      <c r="D1169" s="755"/>
    </row>
    <row r="1170" spans="2:4">
      <c r="B1170" s="755"/>
      <c r="C1170" s="755"/>
      <c r="D1170" s="755"/>
    </row>
    <row r="1171" spans="2:4">
      <c r="B1171" s="755"/>
      <c r="C1171" s="755"/>
      <c r="D1171" s="755"/>
    </row>
    <row r="1172" spans="2:4">
      <c r="B1172" s="755"/>
      <c r="C1172" s="755"/>
      <c r="D1172" s="755"/>
    </row>
    <row r="1173" spans="2:4">
      <c r="B1173" s="755"/>
      <c r="C1173" s="755"/>
      <c r="D1173" s="755"/>
    </row>
    <row r="1174" spans="2:4">
      <c r="B1174" s="755"/>
      <c r="C1174" s="755"/>
      <c r="D1174" s="755"/>
    </row>
    <row r="1175" spans="2:4">
      <c r="B1175" s="755"/>
      <c r="C1175" s="755"/>
      <c r="D1175" s="755"/>
    </row>
    <row r="1176" spans="2:4">
      <c r="B1176" s="755"/>
      <c r="C1176" s="755"/>
      <c r="D1176" s="755"/>
    </row>
    <row r="1177" spans="2:4">
      <c r="B1177" s="755"/>
      <c r="C1177" s="755"/>
      <c r="D1177" s="755"/>
    </row>
    <row r="1178" spans="2:4">
      <c r="B1178" s="755"/>
      <c r="C1178" s="755"/>
      <c r="D1178" s="755"/>
    </row>
    <row r="1179" spans="2:4">
      <c r="B1179" s="755"/>
      <c r="C1179" s="755"/>
      <c r="D1179" s="755"/>
    </row>
    <row r="1180" spans="2:4">
      <c r="B1180" s="755"/>
      <c r="C1180" s="755"/>
      <c r="D1180" s="755"/>
    </row>
    <row r="1181" spans="2:4">
      <c r="B1181" s="755"/>
      <c r="C1181" s="755"/>
      <c r="D1181" s="755"/>
    </row>
    <row r="1182" spans="2:4">
      <c r="B1182" s="755"/>
      <c r="C1182" s="755"/>
      <c r="D1182" s="755"/>
    </row>
    <row r="1183" spans="2:4">
      <c r="B1183" s="755"/>
      <c r="C1183" s="755"/>
      <c r="D1183" s="755"/>
    </row>
    <row r="1184" spans="2:4">
      <c r="B1184" s="755"/>
      <c r="C1184" s="755"/>
      <c r="D1184" s="755"/>
    </row>
    <row r="1185" spans="2:4">
      <c r="B1185" s="755"/>
      <c r="C1185" s="755"/>
      <c r="D1185" s="755"/>
    </row>
    <row r="1186" spans="2:4">
      <c r="B1186" s="755"/>
      <c r="C1186" s="755"/>
      <c r="D1186" s="755"/>
    </row>
    <row r="1187" spans="2:4">
      <c r="B1187" s="755"/>
      <c r="C1187" s="755"/>
      <c r="D1187" s="755"/>
    </row>
    <row r="1188" spans="2:4">
      <c r="B1188" s="755"/>
      <c r="C1188" s="755"/>
      <c r="D1188" s="755"/>
    </row>
    <row r="1189" spans="2:4">
      <c r="B1189" s="755"/>
      <c r="C1189" s="755"/>
      <c r="D1189" s="755"/>
    </row>
    <row r="1190" spans="2:4">
      <c r="B1190" s="755"/>
      <c r="C1190" s="755"/>
      <c r="D1190" s="755"/>
    </row>
    <row r="1191" spans="2:4">
      <c r="B1191" s="755"/>
      <c r="C1191" s="755"/>
      <c r="D1191" s="755"/>
    </row>
    <row r="1192" spans="2:4">
      <c r="B1192" s="755"/>
      <c r="C1192" s="755"/>
      <c r="D1192" s="755"/>
    </row>
    <row r="1193" spans="2:4">
      <c r="B1193" s="755"/>
      <c r="C1193" s="755"/>
      <c r="D1193" s="755"/>
    </row>
    <row r="1194" spans="2:4">
      <c r="B1194" s="755"/>
      <c r="C1194" s="755"/>
      <c r="D1194" s="755"/>
    </row>
    <row r="1195" spans="2:4">
      <c r="B1195" s="755"/>
      <c r="C1195" s="755"/>
      <c r="D1195" s="755"/>
    </row>
    <row r="1196" spans="2:4">
      <c r="B1196" s="755"/>
      <c r="C1196" s="755"/>
      <c r="D1196" s="755"/>
    </row>
    <row r="1197" spans="2:4">
      <c r="B1197" s="755"/>
      <c r="C1197" s="755"/>
      <c r="D1197" s="755"/>
    </row>
    <row r="1198" spans="2:4">
      <c r="B1198" s="755"/>
      <c r="C1198" s="755"/>
      <c r="D1198" s="755"/>
    </row>
    <row r="1199" spans="2:4">
      <c r="B1199" s="755"/>
      <c r="C1199" s="755"/>
      <c r="D1199" s="755"/>
    </row>
    <row r="1200" spans="2:4">
      <c r="B1200" s="755"/>
      <c r="C1200" s="755"/>
      <c r="D1200" s="755"/>
    </row>
    <row r="1201" spans="2:4">
      <c r="B1201" s="755"/>
      <c r="C1201" s="755"/>
      <c r="D1201" s="755"/>
    </row>
    <row r="1202" spans="2:4">
      <c r="B1202" s="755"/>
      <c r="C1202" s="755"/>
      <c r="D1202" s="755"/>
    </row>
    <row r="1203" spans="2:4">
      <c r="B1203" s="755"/>
      <c r="C1203" s="755"/>
      <c r="D1203" s="755"/>
    </row>
    <row r="1204" spans="2:4">
      <c r="B1204" s="755"/>
      <c r="C1204" s="755"/>
      <c r="D1204" s="755"/>
    </row>
    <row r="1205" spans="2:4">
      <c r="B1205" s="755"/>
      <c r="C1205" s="755"/>
      <c r="D1205" s="755"/>
    </row>
    <row r="1206" spans="2:4">
      <c r="B1206" s="755"/>
      <c r="C1206" s="755"/>
      <c r="D1206" s="755"/>
    </row>
    <row r="1207" spans="2:4">
      <c r="B1207" s="755"/>
      <c r="C1207" s="755"/>
      <c r="D1207" s="755"/>
    </row>
    <row r="1208" spans="2:4">
      <c r="B1208" s="755"/>
      <c r="C1208" s="755"/>
      <c r="D1208" s="755"/>
    </row>
    <row r="1209" spans="2:4">
      <c r="B1209" s="755"/>
      <c r="C1209" s="755"/>
      <c r="D1209" s="755"/>
    </row>
    <row r="1210" spans="2:4">
      <c r="B1210" s="755"/>
      <c r="C1210" s="755"/>
      <c r="D1210" s="755"/>
    </row>
    <row r="1211" spans="2:4">
      <c r="B1211" s="755"/>
      <c r="C1211" s="755"/>
      <c r="D1211" s="755"/>
    </row>
    <row r="1212" spans="2:4">
      <c r="B1212" s="755"/>
      <c r="C1212" s="755"/>
      <c r="D1212" s="755"/>
    </row>
    <row r="1213" spans="2:4">
      <c r="B1213" s="755"/>
      <c r="C1213" s="755"/>
      <c r="D1213" s="755"/>
    </row>
    <row r="1214" spans="2:4">
      <c r="B1214" s="755"/>
      <c r="C1214" s="755"/>
      <c r="D1214" s="755"/>
    </row>
    <row r="1215" spans="2:4">
      <c r="B1215" s="755"/>
      <c r="C1215" s="755"/>
      <c r="D1215" s="755"/>
    </row>
    <row r="1216" spans="2:4">
      <c r="B1216" s="755"/>
      <c r="C1216" s="755"/>
      <c r="D1216" s="755"/>
    </row>
    <row r="1217" spans="2:4">
      <c r="B1217" s="755"/>
      <c r="C1217" s="755"/>
      <c r="D1217" s="755"/>
    </row>
    <row r="1218" spans="2:4">
      <c r="B1218" s="755"/>
      <c r="C1218" s="755"/>
      <c r="D1218" s="755"/>
    </row>
    <row r="1219" spans="2:4">
      <c r="B1219" s="755"/>
      <c r="C1219" s="755"/>
      <c r="D1219" s="755"/>
    </row>
    <row r="1220" spans="2:4">
      <c r="B1220" s="755"/>
      <c r="C1220" s="755"/>
      <c r="D1220" s="755"/>
    </row>
    <row r="1221" spans="2:4">
      <c r="B1221" s="755"/>
      <c r="C1221" s="755"/>
      <c r="D1221" s="755"/>
    </row>
    <row r="1222" spans="2:4">
      <c r="B1222" s="755"/>
      <c r="C1222" s="755"/>
      <c r="D1222" s="755"/>
    </row>
    <row r="1223" spans="2:4">
      <c r="B1223" s="755"/>
      <c r="C1223" s="755"/>
      <c r="D1223" s="755"/>
    </row>
    <row r="1224" spans="2:4">
      <c r="B1224" s="755"/>
      <c r="C1224" s="755"/>
      <c r="D1224" s="755"/>
    </row>
    <row r="1225" spans="2:4">
      <c r="B1225" s="755"/>
      <c r="C1225" s="755"/>
      <c r="D1225" s="755"/>
    </row>
    <row r="1226" spans="2:4">
      <c r="B1226" s="755"/>
      <c r="C1226" s="755"/>
      <c r="D1226" s="755"/>
    </row>
    <row r="1227" spans="2:4">
      <c r="B1227" s="755"/>
      <c r="C1227" s="755"/>
      <c r="D1227" s="755"/>
    </row>
    <row r="1228" spans="2:4">
      <c r="B1228" s="755"/>
      <c r="C1228" s="755"/>
      <c r="D1228" s="755"/>
    </row>
    <row r="1229" spans="2:4">
      <c r="B1229" s="755"/>
      <c r="C1229" s="755"/>
      <c r="D1229" s="755"/>
    </row>
    <row r="1230" spans="2:4">
      <c r="B1230" s="755"/>
      <c r="C1230" s="755"/>
      <c r="D1230" s="755"/>
    </row>
    <row r="1231" spans="2:4">
      <c r="B1231" s="755"/>
      <c r="C1231" s="755"/>
      <c r="D1231" s="755"/>
    </row>
    <row r="1232" spans="2:4">
      <c r="B1232" s="755"/>
      <c r="C1232" s="755"/>
      <c r="D1232" s="755"/>
    </row>
    <row r="1233" spans="2:4">
      <c r="B1233" s="755"/>
      <c r="C1233" s="755"/>
      <c r="D1233" s="755"/>
    </row>
    <row r="1234" spans="2:4">
      <c r="B1234" s="755"/>
      <c r="C1234" s="755"/>
      <c r="D1234" s="755"/>
    </row>
    <row r="1235" spans="2:4">
      <c r="B1235" s="755"/>
      <c r="C1235" s="755"/>
      <c r="D1235" s="755"/>
    </row>
    <row r="1236" spans="2:4">
      <c r="B1236" s="755"/>
      <c r="C1236" s="755"/>
      <c r="D1236" s="755"/>
    </row>
    <row r="1237" spans="2:4">
      <c r="B1237" s="755"/>
      <c r="C1237" s="755"/>
      <c r="D1237" s="755"/>
    </row>
    <row r="1238" spans="2:4">
      <c r="B1238" s="755"/>
      <c r="C1238" s="755"/>
      <c r="D1238" s="755"/>
    </row>
    <row r="1239" spans="2:4">
      <c r="B1239" s="755"/>
      <c r="C1239" s="755"/>
      <c r="D1239" s="755"/>
    </row>
    <row r="1240" spans="2:4">
      <c r="B1240" s="755"/>
      <c r="C1240" s="755"/>
      <c r="D1240" s="755"/>
    </row>
    <row r="1241" spans="2:4">
      <c r="B1241" s="755"/>
      <c r="C1241" s="755"/>
      <c r="D1241" s="755"/>
    </row>
    <row r="1242" spans="2:4">
      <c r="B1242" s="755"/>
      <c r="C1242" s="755"/>
      <c r="D1242" s="755"/>
    </row>
    <row r="1243" spans="2:4">
      <c r="B1243" s="755"/>
      <c r="C1243" s="755"/>
      <c r="D1243" s="755"/>
    </row>
    <row r="1244" spans="2:4">
      <c r="B1244" s="755"/>
      <c r="C1244" s="755"/>
      <c r="D1244" s="755"/>
    </row>
    <row r="1245" spans="2:4">
      <c r="B1245" s="755"/>
      <c r="C1245" s="755"/>
      <c r="D1245" s="755"/>
    </row>
    <row r="1246" spans="2:4">
      <c r="B1246" s="755"/>
      <c r="C1246" s="755"/>
      <c r="D1246" s="755"/>
    </row>
    <row r="1247" spans="2:4">
      <c r="B1247" s="755"/>
      <c r="C1247" s="755"/>
      <c r="D1247" s="755"/>
    </row>
    <row r="1248" spans="2:4">
      <c r="B1248" s="755"/>
      <c r="C1248" s="755"/>
      <c r="D1248" s="755"/>
    </row>
    <row r="1249" spans="2:4">
      <c r="B1249" s="755"/>
      <c r="C1249" s="755"/>
      <c r="D1249" s="755"/>
    </row>
    <row r="1250" spans="2:4">
      <c r="B1250" s="755"/>
      <c r="C1250" s="755"/>
      <c r="D1250" s="755"/>
    </row>
    <row r="1251" spans="2:4">
      <c r="B1251" s="755"/>
      <c r="C1251" s="755"/>
      <c r="D1251" s="755"/>
    </row>
    <row r="1252" spans="2:4">
      <c r="B1252" s="755"/>
      <c r="C1252" s="755"/>
      <c r="D1252" s="755"/>
    </row>
    <row r="1253" spans="2:4">
      <c r="B1253" s="755"/>
      <c r="C1253" s="755"/>
      <c r="D1253" s="755"/>
    </row>
    <row r="1254" spans="2:4">
      <c r="B1254" s="755"/>
      <c r="C1254" s="755"/>
      <c r="D1254" s="755"/>
    </row>
    <row r="1255" spans="2:4">
      <c r="B1255" s="755"/>
      <c r="C1255" s="755"/>
      <c r="D1255" s="755"/>
    </row>
    <row r="1256" spans="2:4">
      <c r="B1256" s="755"/>
      <c r="C1256" s="755"/>
      <c r="D1256" s="755"/>
    </row>
    <row r="1257" spans="2:4">
      <c r="B1257" s="755"/>
      <c r="C1257" s="755"/>
      <c r="D1257" s="755"/>
    </row>
    <row r="1258" spans="2:4">
      <c r="B1258" s="755"/>
      <c r="C1258" s="755"/>
      <c r="D1258" s="755"/>
    </row>
    <row r="1259" spans="2:4">
      <c r="B1259" s="755"/>
      <c r="C1259" s="755"/>
      <c r="D1259" s="755"/>
    </row>
    <row r="1260" spans="2:4">
      <c r="B1260" s="755"/>
      <c r="C1260" s="755"/>
      <c r="D1260" s="755"/>
    </row>
    <row r="1261" spans="2:4">
      <c r="B1261" s="755"/>
      <c r="C1261" s="755"/>
      <c r="D1261" s="755"/>
    </row>
    <row r="1262" spans="2:4">
      <c r="B1262" s="755"/>
      <c r="C1262" s="755"/>
      <c r="D1262" s="755"/>
    </row>
    <row r="1263" spans="2:4">
      <c r="B1263" s="755"/>
      <c r="C1263" s="755"/>
      <c r="D1263" s="755"/>
    </row>
    <row r="1264" spans="2:4">
      <c r="B1264" s="755"/>
      <c r="C1264" s="755"/>
      <c r="D1264" s="755"/>
    </row>
    <row r="1265" spans="2:4">
      <c r="B1265" s="755"/>
      <c r="C1265" s="755"/>
      <c r="D1265" s="755"/>
    </row>
    <row r="1266" spans="2:4">
      <c r="B1266" s="755"/>
      <c r="C1266" s="755"/>
      <c r="D1266" s="755"/>
    </row>
    <row r="1267" spans="2:4">
      <c r="B1267" s="755"/>
      <c r="C1267" s="755"/>
      <c r="D1267" s="755"/>
    </row>
    <row r="1268" spans="2:4">
      <c r="B1268" s="755"/>
      <c r="C1268" s="755"/>
      <c r="D1268" s="755"/>
    </row>
    <row r="1269" spans="2:4">
      <c r="B1269" s="755"/>
      <c r="C1269" s="755"/>
      <c r="D1269" s="755"/>
    </row>
    <row r="1270" spans="2:4">
      <c r="B1270" s="755"/>
      <c r="C1270" s="755"/>
      <c r="D1270" s="755"/>
    </row>
    <row r="1271" spans="2:4">
      <c r="B1271" s="755"/>
      <c r="C1271" s="755"/>
      <c r="D1271" s="755"/>
    </row>
    <row r="1272" spans="2:4">
      <c r="B1272" s="755"/>
      <c r="C1272" s="755"/>
      <c r="D1272" s="755"/>
    </row>
    <row r="1273" spans="2:4">
      <c r="B1273" s="755"/>
      <c r="C1273" s="755"/>
      <c r="D1273" s="755"/>
    </row>
    <row r="1274" spans="2:4">
      <c r="B1274" s="755"/>
      <c r="C1274" s="755"/>
      <c r="D1274" s="755"/>
    </row>
    <row r="1275" spans="2:4">
      <c r="B1275" s="755"/>
      <c r="C1275" s="755"/>
      <c r="D1275" s="755"/>
    </row>
    <row r="1276" spans="2:4">
      <c r="B1276" s="755"/>
      <c r="C1276" s="755"/>
      <c r="D1276" s="755"/>
    </row>
    <row r="1277" spans="2:4">
      <c r="B1277" s="755"/>
      <c r="C1277" s="755"/>
      <c r="D1277" s="755"/>
    </row>
    <row r="1278" spans="2:4">
      <c r="B1278" s="755"/>
      <c r="C1278" s="755"/>
      <c r="D1278" s="755"/>
    </row>
    <row r="1279" spans="2:4">
      <c r="B1279" s="755"/>
      <c r="C1279" s="755"/>
      <c r="D1279" s="755"/>
    </row>
    <row r="1280" spans="2:4">
      <c r="B1280" s="755"/>
      <c r="C1280" s="755"/>
      <c r="D1280" s="755"/>
    </row>
    <row r="1281" spans="2:4">
      <c r="B1281" s="755"/>
      <c r="C1281" s="755"/>
      <c r="D1281" s="755"/>
    </row>
    <row r="1282" spans="2:4">
      <c r="B1282" s="755"/>
      <c r="C1282" s="755"/>
      <c r="D1282" s="755"/>
    </row>
    <row r="1283" spans="2:4">
      <c r="B1283" s="755"/>
      <c r="C1283" s="755"/>
      <c r="D1283" s="755"/>
    </row>
    <row r="1284" spans="2:4">
      <c r="B1284" s="755"/>
      <c r="C1284" s="755"/>
      <c r="D1284" s="755"/>
    </row>
    <row r="1285" spans="2:4">
      <c r="B1285" s="755"/>
      <c r="C1285" s="755"/>
      <c r="D1285" s="755"/>
    </row>
    <row r="1286" spans="2:4">
      <c r="B1286" s="755"/>
      <c r="C1286" s="755"/>
      <c r="D1286" s="755"/>
    </row>
    <row r="1287" spans="2:4">
      <c r="B1287" s="755"/>
      <c r="C1287" s="755"/>
      <c r="D1287" s="755"/>
    </row>
    <row r="1288" spans="2:4">
      <c r="B1288" s="755"/>
      <c r="C1288" s="755"/>
      <c r="D1288" s="755"/>
    </row>
    <row r="1289" spans="2:4">
      <c r="B1289" s="755"/>
      <c r="C1289" s="755"/>
      <c r="D1289" s="755"/>
    </row>
    <row r="1290" spans="2:4">
      <c r="B1290" s="755"/>
      <c r="C1290" s="755"/>
      <c r="D1290" s="755"/>
    </row>
    <row r="1291" spans="2:4">
      <c r="B1291" s="755"/>
      <c r="C1291" s="755"/>
      <c r="D1291" s="755"/>
    </row>
    <row r="1292" spans="2:4">
      <c r="B1292" s="755"/>
      <c r="C1292" s="755"/>
      <c r="D1292" s="755"/>
    </row>
    <row r="1293" spans="2:4">
      <c r="B1293" s="755"/>
      <c r="C1293" s="755"/>
      <c r="D1293" s="755"/>
    </row>
    <row r="1294" spans="2:4">
      <c r="B1294" s="755"/>
      <c r="C1294" s="755"/>
      <c r="D1294" s="755"/>
    </row>
    <row r="1295" spans="2:4">
      <c r="B1295" s="755"/>
      <c r="C1295" s="755"/>
      <c r="D1295" s="755"/>
    </row>
    <row r="1296" spans="2:4">
      <c r="B1296" s="755"/>
      <c r="C1296" s="755"/>
      <c r="D1296" s="755"/>
    </row>
    <row r="1297" spans="2:4">
      <c r="B1297" s="755"/>
      <c r="C1297" s="755"/>
      <c r="D1297" s="755"/>
    </row>
    <row r="1298" spans="2:4">
      <c r="B1298" s="755"/>
      <c r="C1298" s="755"/>
      <c r="D1298" s="755"/>
    </row>
    <row r="1299" spans="2:4">
      <c r="B1299" s="755"/>
      <c r="C1299" s="755"/>
      <c r="D1299" s="755"/>
    </row>
    <row r="1300" spans="2:4">
      <c r="B1300" s="755"/>
      <c r="C1300" s="755"/>
      <c r="D1300" s="755"/>
    </row>
    <row r="1301" spans="2:4">
      <c r="B1301" s="755"/>
      <c r="C1301" s="755"/>
      <c r="D1301" s="755"/>
    </row>
    <row r="1302" spans="2:4">
      <c r="B1302" s="755"/>
      <c r="C1302" s="755"/>
      <c r="D1302" s="755"/>
    </row>
    <row r="1303" spans="2:4">
      <c r="B1303" s="755"/>
      <c r="C1303" s="755"/>
      <c r="D1303" s="755"/>
    </row>
    <row r="1304" spans="2:4">
      <c r="B1304" s="755"/>
      <c r="C1304" s="755"/>
      <c r="D1304" s="755"/>
    </row>
    <row r="1305" spans="2:4">
      <c r="B1305" s="755"/>
      <c r="C1305" s="755"/>
      <c r="D1305" s="755"/>
    </row>
    <row r="1306" spans="2:4">
      <c r="B1306" s="755"/>
      <c r="C1306" s="755"/>
      <c r="D1306" s="755"/>
    </row>
    <row r="1307" spans="2:4">
      <c r="B1307" s="755"/>
      <c r="C1307" s="755"/>
      <c r="D1307" s="755"/>
    </row>
    <row r="1308" spans="2:4">
      <c r="B1308" s="755"/>
      <c r="C1308" s="755"/>
      <c r="D1308" s="755"/>
    </row>
    <row r="1309" spans="2:4">
      <c r="B1309" s="755"/>
      <c r="C1309" s="755"/>
      <c r="D1309" s="755"/>
    </row>
    <row r="1310" spans="2:4">
      <c r="B1310" s="755"/>
      <c r="C1310" s="755"/>
      <c r="D1310" s="755"/>
    </row>
    <row r="1311" spans="2:4">
      <c r="B1311" s="755"/>
      <c r="C1311" s="755"/>
      <c r="D1311" s="755"/>
    </row>
    <row r="1312" spans="2:4">
      <c r="B1312" s="755"/>
      <c r="C1312" s="755"/>
      <c r="D1312" s="755"/>
    </row>
    <row r="1313" spans="2:4">
      <c r="B1313" s="755"/>
      <c r="C1313" s="755"/>
      <c r="D1313" s="755"/>
    </row>
    <row r="1314" spans="2:4">
      <c r="B1314" s="755"/>
      <c r="C1314" s="755"/>
      <c r="D1314" s="755"/>
    </row>
    <row r="1315" spans="2:4">
      <c r="B1315" s="755"/>
      <c r="C1315" s="755"/>
      <c r="D1315" s="755"/>
    </row>
    <row r="1316" spans="2:4">
      <c r="B1316" s="755"/>
      <c r="C1316" s="755"/>
      <c r="D1316" s="755"/>
    </row>
    <row r="1317" spans="2:4">
      <c r="B1317" s="755"/>
      <c r="C1317" s="755"/>
      <c r="D1317" s="755"/>
    </row>
    <row r="1318" spans="2:4">
      <c r="B1318" s="755"/>
      <c r="C1318" s="755"/>
      <c r="D1318" s="755"/>
    </row>
    <row r="1319" spans="2:4">
      <c r="B1319" s="755"/>
      <c r="C1319" s="755"/>
      <c r="D1319" s="755"/>
    </row>
    <row r="1320" spans="2:4">
      <c r="B1320" s="755"/>
      <c r="C1320" s="755"/>
      <c r="D1320" s="755"/>
    </row>
    <row r="1321" spans="2:4">
      <c r="B1321" s="755"/>
      <c r="C1321" s="755"/>
      <c r="D1321" s="755"/>
    </row>
    <row r="1322" spans="2:4">
      <c r="B1322" s="755"/>
      <c r="C1322" s="755"/>
      <c r="D1322" s="755"/>
    </row>
    <row r="1323" spans="2:4">
      <c r="B1323" s="755"/>
      <c r="C1323" s="755"/>
      <c r="D1323" s="755"/>
    </row>
    <row r="1324" spans="2:4">
      <c r="B1324" s="755"/>
      <c r="C1324" s="755"/>
      <c r="D1324" s="755"/>
    </row>
    <row r="1325" spans="2:4">
      <c r="B1325" s="755"/>
      <c r="C1325" s="755"/>
      <c r="D1325" s="755"/>
    </row>
    <row r="1326" spans="2:4">
      <c r="B1326" s="755"/>
      <c r="C1326" s="755"/>
      <c r="D1326" s="755"/>
    </row>
    <row r="1327" spans="2:4">
      <c r="B1327" s="755"/>
      <c r="C1327" s="755"/>
      <c r="D1327" s="755"/>
    </row>
    <row r="1328" spans="2:4">
      <c r="B1328" s="755"/>
      <c r="C1328" s="755"/>
      <c r="D1328" s="755"/>
    </row>
    <row r="1329" spans="2:4">
      <c r="B1329" s="755"/>
      <c r="C1329" s="755"/>
      <c r="D1329" s="755"/>
    </row>
    <row r="1330" spans="2:4">
      <c r="B1330" s="755"/>
      <c r="C1330" s="755"/>
      <c r="D1330" s="755"/>
    </row>
    <row r="1331" spans="2:4">
      <c r="B1331" s="755"/>
      <c r="C1331" s="755"/>
      <c r="D1331" s="755"/>
    </row>
    <row r="1332" spans="2:4">
      <c r="B1332" s="755"/>
      <c r="C1332" s="755"/>
      <c r="D1332" s="755"/>
    </row>
    <row r="1333" spans="2:4">
      <c r="B1333" s="755"/>
      <c r="C1333" s="755"/>
      <c r="D1333" s="755"/>
    </row>
    <row r="1334" spans="2:4">
      <c r="B1334" s="755"/>
      <c r="C1334" s="755"/>
      <c r="D1334" s="755"/>
    </row>
    <row r="1335" spans="2:4">
      <c r="B1335" s="755"/>
      <c r="C1335" s="755"/>
      <c r="D1335" s="755"/>
    </row>
    <row r="1336" spans="2:4">
      <c r="B1336" s="755"/>
      <c r="C1336" s="755"/>
      <c r="D1336" s="755"/>
    </row>
    <row r="1337" spans="2:4">
      <c r="B1337" s="755"/>
      <c r="C1337" s="755"/>
      <c r="D1337" s="755"/>
    </row>
    <row r="1338" spans="2:4">
      <c r="B1338" s="755"/>
      <c r="C1338" s="755"/>
      <c r="D1338" s="755"/>
    </row>
    <row r="1339" spans="2:4">
      <c r="B1339" s="755"/>
      <c r="C1339" s="755"/>
      <c r="D1339" s="755"/>
    </row>
    <row r="1340" spans="2:4">
      <c r="B1340" s="755"/>
      <c r="C1340" s="755"/>
      <c r="D1340" s="755"/>
    </row>
    <row r="1341" spans="2:4">
      <c r="B1341" s="755"/>
      <c r="C1341" s="755"/>
      <c r="D1341" s="755"/>
    </row>
    <row r="1342" spans="2:4">
      <c r="B1342" s="755"/>
      <c r="C1342" s="755"/>
      <c r="D1342" s="755"/>
    </row>
    <row r="1343" spans="2:4">
      <c r="B1343" s="755"/>
      <c r="C1343" s="755"/>
      <c r="D1343" s="755"/>
    </row>
    <row r="1344" spans="2:4">
      <c r="B1344" s="755"/>
      <c r="C1344" s="755"/>
      <c r="D1344" s="755"/>
    </row>
    <row r="1345" spans="2:4">
      <c r="B1345" s="755"/>
      <c r="C1345" s="755"/>
      <c r="D1345" s="755"/>
    </row>
    <row r="1346" spans="2:4">
      <c r="B1346" s="755"/>
      <c r="C1346" s="755"/>
      <c r="D1346" s="755"/>
    </row>
    <row r="1347" spans="2:4">
      <c r="B1347" s="755"/>
      <c r="C1347" s="755"/>
      <c r="D1347" s="755"/>
    </row>
    <row r="1348" spans="2:4">
      <c r="B1348" s="755"/>
      <c r="C1348" s="755"/>
      <c r="D1348" s="755"/>
    </row>
    <row r="1349" spans="2:4">
      <c r="B1349" s="755"/>
      <c r="C1349" s="755"/>
      <c r="D1349" s="755"/>
    </row>
    <row r="1350" spans="2:4">
      <c r="B1350" s="755"/>
      <c r="C1350" s="755"/>
      <c r="D1350" s="755"/>
    </row>
    <row r="1351" spans="2:4">
      <c r="B1351" s="755"/>
      <c r="C1351" s="755"/>
      <c r="D1351" s="755"/>
    </row>
    <row r="1352" spans="2:4">
      <c r="B1352" s="755"/>
      <c r="C1352" s="755"/>
      <c r="D1352" s="755"/>
    </row>
    <row r="1353" spans="2:4">
      <c r="B1353" s="755"/>
      <c r="C1353" s="755"/>
      <c r="D1353" s="755"/>
    </row>
    <row r="1354" spans="2:4">
      <c r="B1354" s="755"/>
      <c r="C1354" s="755"/>
      <c r="D1354" s="755"/>
    </row>
    <row r="1355" spans="2:4">
      <c r="B1355" s="755"/>
      <c r="C1355" s="755"/>
      <c r="D1355" s="755"/>
    </row>
    <row r="1356" spans="2:4">
      <c r="B1356" s="755"/>
      <c r="C1356" s="755"/>
      <c r="D1356" s="755"/>
    </row>
    <row r="1357" spans="2:4">
      <c r="B1357" s="755"/>
      <c r="C1357" s="755"/>
      <c r="D1357" s="755"/>
    </row>
    <row r="1358" spans="2:4">
      <c r="B1358" s="755"/>
      <c r="C1358" s="755"/>
      <c r="D1358" s="755"/>
    </row>
    <row r="1359" spans="2:4">
      <c r="B1359" s="755"/>
      <c r="C1359" s="755"/>
      <c r="D1359" s="755"/>
    </row>
    <row r="1360" spans="2:4">
      <c r="B1360" s="755"/>
      <c r="C1360" s="755"/>
      <c r="D1360" s="755"/>
    </row>
    <row r="1361" spans="2:4">
      <c r="B1361" s="755"/>
      <c r="C1361" s="755"/>
      <c r="D1361" s="755"/>
    </row>
    <row r="1362" spans="2:4">
      <c r="B1362" s="755"/>
      <c r="C1362" s="755"/>
      <c r="D1362" s="755"/>
    </row>
    <row r="1363" spans="2:4">
      <c r="B1363" s="755"/>
      <c r="C1363" s="755"/>
      <c r="D1363" s="755"/>
    </row>
    <row r="1364" spans="2:4">
      <c r="B1364" s="755"/>
      <c r="C1364" s="755"/>
      <c r="D1364" s="755"/>
    </row>
    <row r="1365" spans="2:4">
      <c r="B1365" s="755"/>
      <c r="C1365" s="755"/>
      <c r="D1365" s="755"/>
    </row>
    <row r="1366" spans="2:4">
      <c r="B1366" s="755"/>
      <c r="C1366" s="755"/>
      <c r="D1366" s="755"/>
    </row>
    <row r="1367" spans="2:4">
      <c r="B1367" s="755"/>
      <c r="C1367" s="755"/>
      <c r="D1367" s="755"/>
    </row>
    <row r="1368" spans="2:4">
      <c r="B1368" s="755"/>
      <c r="C1368" s="755"/>
      <c r="D1368" s="755"/>
    </row>
    <row r="1369" spans="2:4">
      <c r="B1369" s="755"/>
      <c r="C1369" s="755"/>
      <c r="D1369" s="755"/>
    </row>
    <row r="1370" spans="2:4">
      <c r="B1370" s="755"/>
      <c r="C1370" s="755"/>
      <c r="D1370" s="755"/>
    </row>
    <row r="1371" spans="2:4">
      <c r="B1371" s="755"/>
      <c r="C1371" s="755"/>
      <c r="D1371" s="755"/>
    </row>
    <row r="1372" spans="2:4">
      <c r="B1372" s="755"/>
      <c r="C1372" s="755"/>
      <c r="D1372" s="755"/>
    </row>
    <row r="1373" spans="2:4">
      <c r="B1373" s="755"/>
      <c r="C1373" s="755"/>
      <c r="D1373" s="755"/>
    </row>
    <row r="1374" spans="2:4">
      <c r="B1374" s="755"/>
      <c r="C1374" s="755"/>
      <c r="D1374" s="755"/>
    </row>
    <row r="1375" spans="2:4">
      <c r="B1375" s="755"/>
      <c r="C1375" s="755"/>
      <c r="D1375" s="755"/>
    </row>
    <row r="1376" spans="2:4">
      <c r="B1376" s="755"/>
      <c r="C1376" s="755"/>
      <c r="D1376" s="755"/>
    </row>
    <row r="1377" spans="2:4">
      <c r="B1377" s="755"/>
      <c r="C1377" s="755"/>
      <c r="D1377" s="755"/>
    </row>
    <row r="1378" spans="2:4">
      <c r="B1378" s="755"/>
      <c r="C1378" s="755"/>
      <c r="D1378" s="755"/>
    </row>
    <row r="1379" spans="2:4">
      <c r="B1379" s="755"/>
      <c r="C1379" s="755"/>
      <c r="D1379" s="755"/>
    </row>
    <row r="1380" spans="2:4">
      <c r="B1380" s="755"/>
      <c r="C1380" s="755"/>
      <c r="D1380" s="755"/>
    </row>
    <row r="1381" spans="2:4">
      <c r="B1381" s="755"/>
      <c r="C1381" s="755"/>
      <c r="D1381" s="755"/>
    </row>
    <row r="1382" spans="2:4">
      <c r="B1382" s="755"/>
      <c r="C1382" s="755"/>
      <c r="D1382" s="755"/>
    </row>
    <row r="1383" spans="2:4">
      <c r="B1383" s="755"/>
      <c r="C1383" s="755"/>
      <c r="D1383" s="755"/>
    </row>
  </sheetData>
  <phoneticPr fontId="132" type="noConversion"/>
  <pageMargins left="0.7" right="0.7" top="0.75" bottom="0.75" header="0.3" footer="0.3"/>
  <pageSetup paperSize="9"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8E531-1AE2-43CD-8B31-251A78995863}">
  <dimension ref="A1:Q46"/>
  <sheetViews>
    <sheetView topLeftCell="D37" workbookViewId="0">
      <selection activeCell="H43" sqref="H43"/>
    </sheetView>
  </sheetViews>
  <sheetFormatPr defaultColWidth="9.21875" defaultRowHeight="13.8"/>
  <cols>
    <col min="1" max="1" width="8.77734375" style="1025" customWidth="1"/>
    <col min="2" max="2" width="24.77734375" style="1025" customWidth="1"/>
    <col min="3" max="3" width="29.77734375" style="1025" customWidth="1"/>
    <col min="4" max="4" width="21.77734375" style="1025" customWidth="1"/>
    <col min="5" max="5" width="20.21875" style="1025" customWidth="1"/>
    <col min="6" max="6" width="17.77734375" style="1025" customWidth="1"/>
    <col min="7" max="7" width="32.44140625" style="1025" customWidth="1"/>
    <col min="8" max="8" width="31.44140625" style="1025" customWidth="1"/>
    <col min="9" max="9" width="28.5546875" style="1025" customWidth="1"/>
    <col min="10" max="10" width="26.21875" style="1025" customWidth="1"/>
    <col min="11" max="256" width="9.21875" style="1025"/>
    <col min="257" max="257" width="8.77734375" style="1025" customWidth="1"/>
    <col min="258" max="258" width="24.77734375" style="1025" customWidth="1"/>
    <col min="259" max="259" width="29.77734375" style="1025" customWidth="1"/>
    <col min="260" max="260" width="21.77734375" style="1025" customWidth="1"/>
    <col min="261" max="261" width="20.21875" style="1025" customWidth="1"/>
    <col min="262" max="262" width="17.77734375" style="1025" customWidth="1"/>
    <col min="263" max="263" width="32.44140625" style="1025" customWidth="1"/>
    <col min="264" max="264" width="31.44140625" style="1025" customWidth="1"/>
    <col min="265" max="265" width="28.5546875" style="1025" customWidth="1"/>
    <col min="266" max="266" width="26.21875" style="1025" customWidth="1"/>
    <col min="267" max="512" width="9.21875" style="1025"/>
    <col min="513" max="513" width="8.77734375" style="1025" customWidth="1"/>
    <col min="514" max="514" width="24.77734375" style="1025" customWidth="1"/>
    <col min="515" max="515" width="29.77734375" style="1025" customWidth="1"/>
    <col min="516" max="516" width="21.77734375" style="1025" customWidth="1"/>
    <col min="517" max="517" width="20.21875" style="1025" customWidth="1"/>
    <col min="518" max="518" width="17.77734375" style="1025" customWidth="1"/>
    <col min="519" max="519" width="32.44140625" style="1025" customWidth="1"/>
    <col min="520" max="520" width="31.44140625" style="1025" customWidth="1"/>
    <col min="521" max="521" width="28.5546875" style="1025" customWidth="1"/>
    <col min="522" max="522" width="26.21875" style="1025" customWidth="1"/>
    <col min="523" max="768" width="9.21875" style="1025"/>
    <col min="769" max="769" width="8.77734375" style="1025" customWidth="1"/>
    <col min="770" max="770" width="24.77734375" style="1025" customWidth="1"/>
    <col min="771" max="771" width="29.77734375" style="1025" customWidth="1"/>
    <col min="772" max="772" width="21.77734375" style="1025" customWidth="1"/>
    <col min="773" max="773" width="20.21875" style="1025" customWidth="1"/>
    <col min="774" max="774" width="17.77734375" style="1025" customWidth="1"/>
    <col min="775" max="775" width="32.44140625" style="1025" customWidth="1"/>
    <col min="776" max="776" width="31.44140625" style="1025" customWidth="1"/>
    <col min="777" max="777" width="28.5546875" style="1025" customWidth="1"/>
    <col min="778" max="778" width="26.21875" style="1025" customWidth="1"/>
    <col min="779" max="1024" width="9.21875" style="1025"/>
    <col min="1025" max="1025" width="8.77734375" style="1025" customWidth="1"/>
    <col min="1026" max="1026" width="24.77734375" style="1025" customWidth="1"/>
    <col min="1027" max="1027" width="29.77734375" style="1025" customWidth="1"/>
    <col min="1028" max="1028" width="21.77734375" style="1025" customWidth="1"/>
    <col min="1029" max="1029" width="20.21875" style="1025" customWidth="1"/>
    <col min="1030" max="1030" width="17.77734375" style="1025" customWidth="1"/>
    <col min="1031" max="1031" width="32.44140625" style="1025" customWidth="1"/>
    <col min="1032" max="1032" width="31.44140625" style="1025" customWidth="1"/>
    <col min="1033" max="1033" width="28.5546875" style="1025" customWidth="1"/>
    <col min="1034" max="1034" width="26.21875" style="1025" customWidth="1"/>
    <col min="1035" max="1280" width="9.21875" style="1025"/>
    <col min="1281" max="1281" width="8.77734375" style="1025" customWidth="1"/>
    <col min="1282" max="1282" width="24.77734375" style="1025" customWidth="1"/>
    <col min="1283" max="1283" width="29.77734375" style="1025" customWidth="1"/>
    <col min="1284" max="1284" width="21.77734375" style="1025" customWidth="1"/>
    <col min="1285" max="1285" width="20.21875" style="1025" customWidth="1"/>
    <col min="1286" max="1286" width="17.77734375" style="1025" customWidth="1"/>
    <col min="1287" max="1287" width="32.44140625" style="1025" customWidth="1"/>
    <col min="1288" max="1288" width="31.44140625" style="1025" customWidth="1"/>
    <col min="1289" max="1289" width="28.5546875" style="1025" customWidth="1"/>
    <col min="1290" max="1290" width="26.21875" style="1025" customWidth="1"/>
    <col min="1291" max="1536" width="9.21875" style="1025"/>
    <col min="1537" max="1537" width="8.77734375" style="1025" customWidth="1"/>
    <col min="1538" max="1538" width="24.77734375" style="1025" customWidth="1"/>
    <col min="1539" max="1539" width="29.77734375" style="1025" customWidth="1"/>
    <col min="1540" max="1540" width="21.77734375" style="1025" customWidth="1"/>
    <col min="1541" max="1541" width="20.21875" style="1025" customWidth="1"/>
    <col min="1542" max="1542" width="17.77734375" style="1025" customWidth="1"/>
    <col min="1543" max="1543" width="32.44140625" style="1025" customWidth="1"/>
    <col min="1544" max="1544" width="31.44140625" style="1025" customWidth="1"/>
    <col min="1545" max="1545" width="28.5546875" style="1025" customWidth="1"/>
    <col min="1546" max="1546" width="26.21875" style="1025" customWidth="1"/>
    <col min="1547" max="1792" width="9.21875" style="1025"/>
    <col min="1793" max="1793" width="8.77734375" style="1025" customWidth="1"/>
    <col min="1794" max="1794" width="24.77734375" style="1025" customWidth="1"/>
    <col min="1795" max="1795" width="29.77734375" style="1025" customWidth="1"/>
    <col min="1796" max="1796" width="21.77734375" style="1025" customWidth="1"/>
    <col min="1797" max="1797" width="20.21875" style="1025" customWidth="1"/>
    <col min="1798" max="1798" width="17.77734375" style="1025" customWidth="1"/>
    <col min="1799" max="1799" width="32.44140625" style="1025" customWidth="1"/>
    <col min="1800" max="1800" width="31.44140625" style="1025" customWidth="1"/>
    <col min="1801" max="1801" width="28.5546875" style="1025" customWidth="1"/>
    <col min="1802" max="1802" width="26.21875" style="1025" customWidth="1"/>
    <col min="1803" max="2048" width="9.21875" style="1025"/>
    <col min="2049" max="2049" width="8.77734375" style="1025" customWidth="1"/>
    <col min="2050" max="2050" width="24.77734375" style="1025" customWidth="1"/>
    <col min="2051" max="2051" width="29.77734375" style="1025" customWidth="1"/>
    <col min="2052" max="2052" width="21.77734375" style="1025" customWidth="1"/>
    <col min="2053" max="2053" width="20.21875" style="1025" customWidth="1"/>
    <col min="2054" max="2054" width="17.77734375" style="1025" customWidth="1"/>
    <col min="2055" max="2055" width="32.44140625" style="1025" customWidth="1"/>
    <col min="2056" max="2056" width="31.44140625" style="1025" customWidth="1"/>
    <col min="2057" max="2057" width="28.5546875" style="1025" customWidth="1"/>
    <col min="2058" max="2058" width="26.21875" style="1025" customWidth="1"/>
    <col min="2059" max="2304" width="9.21875" style="1025"/>
    <col min="2305" max="2305" width="8.77734375" style="1025" customWidth="1"/>
    <col min="2306" max="2306" width="24.77734375" style="1025" customWidth="1"/>
    <col min="2307" max="2307" width="29.77734375" style="1025" customWidth="1"/>
    <col min="2308" max="2308" width="21.77734375" style="1025" customWidth="1"/>
    <col min="2309" max="2309" width="20.21875" style="1025" customWidth="1"/>
    <col min="2310" max="2310" width="17.77734375" style="1025" customWidth="1"/>
    <col min="2311" max="2311" width="32.44140625" style="1025" customWidth="1"/>
    <col min="2312" max="2312" width="31.44140625" style="1025" customWidth="1"/>
    <col min="2313" max="2313" width="28.5546875" style="1025" customWidth="1"/>
    <col min="2314" max="2314" width="26.21875" style="1025" customWidth="1"/>
    <col min="2315" max="2560" width="9.21875" style="1025"/>
    <col min="2561" max="2561" width="8.77734375" style="1025" customWidth="1"/>
    <col min="2562" max="2562" width="24.77734375" style="1025" customWidth="1"/>
    <col min="2563" max="2563" width="29.77734375" style="1025" customWidth="1"/>
    <col min="2564" max="2564" width="21.77734375" style="1025" customWidth="1"/>
    <col min="2565" max="2565" width="20.21875" style="1025" customWidth="1"/>
    <col min="2566" max="2566" width="17.77734375" style="1025" customWidth="1"/>
    <col min="2567" max="2567" width="32.44140625" style="1025" customWidth="1"/>
    <col min="2568" max="2568" width="31.44140625" style="1025" customWidth="1"/>
    <col min="2569" max="2569" width="28.5546875" style="1025" customWidth="1"/>
    <col min="2570" max="2570" width="26.21875" style="1025" customWidth="1"/>
    <col min="2571" max="2816" width="9.21875" style="1025"/>
    <col min="2817" max="2817" width="8.77734375" style="1025" customWidth="1"/>
    <col min="2818" max="2818" width="24.77734375" style="1025" customWidth="1"/>
    <col min="2819" max="2819" width="29.77734375" style="1025" customWidth="1"/>
    <col min="2820" max="2820" width="21.77734375" style="1025" customWidth="1"/>
    <col min="2821" max="2821" width="20.21875" style="1025" customWidth="1"/>
    <col min="2822" max="2822" width="17.77734375" style="1025" customWidth="1"/>
    <col min="2823" max="2823" width="32.44140625" style="1025" customWidth="1"/>
    <col min="2824" max="2824" width="31.44140625" style="1025" customWidth="1"/>
    <col min="2825" max="2825" width="28.5546875" style="1025" customWidth="1"/>
    <col min="2826" max="2826" width="26.21875" style="1025" customWidth="1"/>
    <col min="2827" max="3072" width="9.21875" style="1025"/>
    <col min="3073" max="3073" width="8.77734375" style="1025" customWidth="1"/>
    <col min="3074" max="3074" width="24.77734375" style="1025" customWidth="1"/>
    <col min="3075" max="3075" width="29.77734375" style="1025" customWidth="1"/>
    <col min="3076" max="3076" width="21.77734375" style="1025" customWidth="1"/>
    <col min="3077" max="3077" width="20.21875" style="1025" customWidth="1"/>
    <col min="3078" max="3078" width="17.77734375" style="1025" customWidth="1"/>
    <col min="3079" max="3079" width="32.44140625" style="1025" customWidth="1"/>
    <col min="3080" max="3080" width="31.44140625" style="1025" customWidth="1"/>
    <col min="3081" max="3081" width="28.5546875" style="1025" customWidth="1"/>
    <col min="3082" max="3082" width="26.21875" style="1025" customWidth="1"/>
    <col min="3083" max="3328" width="9.21875" style="1025"/>
    <col min="3329" max="3329" width="8.77734375" style="1025" customWidth="1"/>
    <col min="3330" max="3330" width="24.77734375" style="1025" customWidth="1"/>
    <col min="3331" max="3331" width="29.77734375" style="1025" customWidth="1"/>
    <col min="3332" max="3332" width="21.77734375" style="1025" customWidth="1"/>
    <col min="3333" max="3333" width="20.21875" style="1025" customWidth="1"/>
    <col min="3334" max="3334" width="17.77734375" style="1025" customWidth="1"/>
    <col min="3335" max="3335" width="32.44140625" style="1025" customWidth="1"/>
    <col min="3336" max="3336" width="31.44140625" style="1025" customWidth="1"/>
    <col min="3337" max="3337" width="28.5546875" style="1025" customWidth="1"/>
    <col min="3338" max="3338" width="26.21875" style="1025" customWidth="1"/>
    <col min="3339" max="3584" width="9.21875" style="1025"/>
    <col min="3585" max="3585" width="8.77734375" style="1025" customWidth="1"/>
    <col min="3586" max="3586" width="24.77734375" style="1025" customWidth="1"/>
    <col min="3587" max="3587" width="29.77734375" style="1025" customWidth="1"/>
    <col min="3588" max="3588" width="21.77734375" style="1025" customWidth="1"/>
    <col min="3589" max="3589" width="20.21875" style="1025" customWidth="1"/>
    <col min="3590" max="3590" width="17.77734375" style="1025" customWidth="1"/>
    <col min="3591" max="3591" width="32.44140625" style="1025" customWidth="1"/>
    <col min="3592" max="3592" width="31.44140625" style="1025" customWidth="1"/>
    <col min="3593" max="3593" width="28.5546875" style="1025" customWidth="1"/>
    <col min="3594" max="3594" width="26.21875" style="1025" customWidth="1"/>
    <col min="3595" max="3840" width="9.21875" style="1025"/>
    <col min="3841" max="3841" width="8.77734375" style="1025" customWidth="1"/>
    <col min="3842" max="3842" width="24.77734375" style="1025" customWidth="1"/>
    <col min="3843" max="3843" width="29.77734375" style="1025" customWidth="1"/>
    <col min="3844" max="3844" width="21.77734375" style="1025" customWidth="1"/>
    <col min="3845" max="3845" width="20.21875" style="1025" customWidth="1"/>
    <col min="3846" max="3846" width="17.77734375" style="1025" customWidth="1"/>
    <col min="3847" max="3847" width="32.44140625" style="1025" customWidth="1"/>
    <col min="3848" max="3848" width="31.44140625" style="1025" customWidth="1"/>
    <col min="3849" max="3849" width="28.5546875" style="1025" customWidth="1"/>
    <col min="3850" max="3850" width="26.21875" style="1025" customWidth="1"/>
    <col min="3851" max="4096" width="9.21875" style="1025"/>
    <col min="4097" max="4097" width="8.77734375" style="1025" customWidth="1"/>
    <col min="4098" max="4098" width="24.77734375" style="1025" customWidth="1"/>
    <col min="4099" max="4099" width="29.77734375" style="1025" customWidth="1"/>
    <col min="4100" max="4100" width="21.77734375" style="1025" customWidth="1"/>
    <col min="4101" max="4101" width="20.21875" style="1025" customWidth="1"/>
    <col min="4102" max="4102" width="17.77734375" style="1025" customWidth="1"/>
    <col min="4103" max="4103" width="32.44140625" style="1025" customWidth="1"/>
    <col min="4104" max="4104" width="31.44140625" style="1025" customWidth="1"/>
    <col min="4105" max="4105" width="28.5546875" style="1025" customWidth="1"/>
    <col min="4106" max="4106" width="26.21875" style="1025" customWidth="1"/>
    <col min="4107" max="4352" width="9.21875" style="1025"/>
    <col min="4353" max="4353" width="8.77734375" style="1025" customWidth="1"/>
    <col min="4354" max="4354" width="24.77734375" style="1025" customWidth="1"/>
    <col min="4355" max="4355" width="29.77734375" style="1025" customWidth="1"/>
    <col min="4356" max="4356" width="21.77734375" style="1025" customWidth="1"/>
    <col min="4357" max="4357" width="20.21875" style="1025" customWidth="1"/>
    <col min="4358" max="4358" width="17.77734375" style="1025" customWidth="1"/>
    <col min="4359" max="4359" width="32.44140625" style="1025" customWidth="1"/>
    <col min="4360" max="4360" width="31.44140625" style="1025" customWidth="1"/>
    <col min="4361" max="4361" width="28.5546875" style="1025" customWidth="1"/>
    <col min="4362" max="4362" width="26.21875" style="1025" customWidth="1"/>
    <col min="4363" max="4608" width="9.21875" style="1025"/>
    <col min="4609" max="4609" width="8.77734375" style="1025" customWidth="1"/>
    <col min="4610" max="4610" width="24.77734375" style="1025" customWidth="1"/>
    <col min="4611" max="4611" width="29.77734375" style="1025" customWidth="1"/>
    <col min="4612" max="4612" width="21.77734375" style="1025" customWidth="1"/>
    <col min="4613" max="4613" width="20.21875" style="1025" customWidth="1"/>
    <col min="4614" max="4614" width="17.77734375" style="1025" customWidth="1"/>
    <col min="4615" max="4615" width="32.44140625" style="1025" customWidth="1"/>
    <col min="4616" max="4616" width="31.44140625" style="1025" customWidth="1"/>
    <col min="4617" max="4617" width="28.5546875" style="1025" customWidth="1"/>
    <col min="4618" max="4618" width="26.21875" style="1025" customWidth="1"/>
    <col min="4619" max="4864" width="9.21875" style="1025"/>
    <col min="4865" max="4865" width="8.77734375" style="1025" customWidth="1"/>
    <col min="4866" max="4866" width="24.77734375" style="1025" customWidth="1"/>
    <col min="4867" max="4867" width="29.77734375" style="1025" customWidth="1"/>
    <col min="4868" max="4868" width="21.77734375" style="1025" customWidth="1"/>
    <col min="4869" max="4869" width="20.21875" style="1025" customWidth="1"/>
    <col min="4870" max="4870" width="17.77734375" style="1025" customWidth="1"/>
    <col min="4871" max="4871" width="32.44140625" style="1025" customWidth="1"/>
    <col min="4872" max="4872" width="31.44140625" style="1025" customWidth="1"/>
    <col min="4873" max="4873" width="28.5546875" style="1025" customWidth="1"/>
    <col min="4874" max="4874" width="26.21875" style="1025" customWidth="1"/>
    <col min="4875" max="5120" width="9.21875" style="1025"/>
    <col min="5121" max="5121" width="8.77734375" style="1025" customWidth="1"/>
    <col min="5122" max="5122" width="24.77734375" style="1025" customWidth="1"/>
    <col min="5123" max="5123" width="29.77734375" style="1025" customWidth="1"/>
    <col min="5124" max="5124" width="21.77734375" style="1025" customWidth="1"/>
    <col min="5125" max="5125" width="20.21875" style="1025" customWidth="1"/>
    <col min="5126" max="5126" width="17.77734375" style="1025" customWidth="1"/>
    <col min="5127" max="5127" width="32.44140625" style="1025" customWidth="1"/>
    <col min="5128" max="5128" width="31.44140625" style="1025" customWidth="1"/>
    <col min="5129" max="5129" width="28.5546875" style="1025" customWidth="1"/>
    <col min="5130" max="5130" width="26.21875" style="1025" customWidth="1"/>
    <col min="5131" max="5376" width="9.21875" style="1025"/>
    <col min="5377" max="5377" width="8.77734375" style="1025" customWidth="1"/>
    <col min="5378" max="5378" width="24.77734375" style="1025" customWidth="1"/>
    <col min="5379" max="5379" width="29.77734375" style="1025" customWidth="1"/>
    <col min="5380" max="5380" width="21.77734375" style="1025" customWidth="1"/>
    <col min="5381" max="5381" width="20.21875" style="1025" customWidth="1"/>
    <col min="5382" max="5382" width="17.77734375" style="1025" customWidth="1"/>
    <col min="5383" max="5383" width="32.44140625" style="1025" customWidth="1"/>
    <col min="5384" max="5384" width="31.44140625" style="1025" customWidth="1"/>
    <col min="5385" max="5385" width="28.5546875" style="1025" customWidth="1"/>
    <col min="5386" max="5386" width="26.21875" style="1025" customWidth="1"/>
    <col min="5387" max="5632" width="9.21875" style="1025"/>
    <col min="5633" max="5633" width="8.77734375" style="1025" customWidth="1"/>
    <col min="5634" max="5634" width="24.77734375" style="1025" customWidth="1"/>
    <col min="5635" max="5635" width="29.77734375" style="1025" customWidth="1"/>
    <col min="5636" max="5636" width="21.77734375" style="1025" customWidth="1"/>
    <col min="5637" max="5637" width="20.21875" style="1025" customWidth="1"/>
    <col min="5638" max="5638" width="17.77734375" style="1025" customWidth="1"/>
    <col min="5639" max="5639" width="32.44140625" style="1025" customWidth="1"/>
    <col min="5640" max="5640" width="31.44140625" style="1025" customWidth="1"/>
    <col min="5641" max="5641" width="28.5546875" style="1025" customWidth="1"/>
    <col min="5642" max="5642" width="26.21875" style="1025" customWidth="1"/>
    <col min="5643" max="5888" width="9.21875" style="1025"/>
    <col min="5889" max="5889" width="8.77734375" style="1025" customWidth="1"/>
    <col min="5890" max="5890" width="24.77734375" style="1025" customWidth="1"/>
    <col min="5891" max="5891" width="29.77734375" style="1025" customWidth="1"/>
    <col min="5892" max="5892" width="21.77734375" style="1025" customWidth="1"/>
    <col min="5893" max="5893" width="20.21875" style="1025" customWidth="1"/>
    <col min="5894" max="5894" width="17.77734375" style="1025" customWidth="1"/>
    <col min="5895" max="5895" width="32.44140625" style="1025" customWidth="1"/>
    <col min="5896" max="5896" width="31.44140625" style="1025" customWidth="1"/>
    <col min="5897" max="5897" width="28.5546875" style="1025" customWidth="1"/>
    <col min="5898" max="5898" width="26.21875" style="1025" customWidth="1"/>
    <col min="5899" max="6144" width="9.21875" style="1025"/>
    <col min="6145" max="6145" width="8.77734375" style="1025" customWidth="1"/>
    <col min="6146" max="6146" width="24.77734375" style="1025" customWidth="1"/>
    <col min="6147" max="6147" width="29.77734375" style="1025" customWidth="1"/>
    <col min="6148" max="6148" width="21.77734375" style="1025" customWidth="1"/>
    <col min="6149" max="6149" width="20.21875" style="1025" customWidth="1"/>
    <col min="6150" max="6150" width="17.77734375" style="1025" customWidth="1"/>
    <col min="6151" max="6151" width="32.44140625" style="1025" customWidth="1"/>
    <col min="6152" max="6152" width="31.44140625" style="1025" customWidth="1"/>
    <col min="6153" max="6153" width="28.5546875" style="1025" customWidth="1"/>
    <col min="6154" max="6154" width="26.21875" style="1025" customWidth="1"/>
    <col min="6155" max="6400" width="9.21875" style="1025"/>
    <col min="6401" max="6401" width="8.77734375" style="1025" customWidth="1"/>
    <col min="6402" max="6402" width="24.77734375" style="1025" customWidth="1"/>
    <col min="6403" max="6403" width="29.77734375" style="1025" customWidth="1"/>
    <col min="6404" max="6404" width="21.77734375" style="1025" customWidth="1"/>
    <col min="6405" max="6405" width="20.21875" style="1025" customWidth="1"/>
    <col min="6406" max="6406" width="17.77734375" style="1025" customWidth="1"/>
    <col min="6407" max="6407" width="32.44140625" style="1025" customWidth="1"/>
    <col min="6408" max="6408" width="31.44140625" style="1025" customWidth="1"/>
    <col min="6409" max="6409" width="28.5546875" style="1025" customWidth="1"/>
    <col min="6410" max="6410" width="26.21875" style="1025" customWidth="1"/>
    <col min="6411" max="6656" width="9.21875" style="1025"/>
    <col min="6657" max="6657" width="8.77734375" style="1025" customWidth="1"/>
    <col min="6658" max="6658" width="24.77734375" style="1025" customWidth="1"/>
    <col min="6659" max="6659" width="29.77734375" style="1025" customWidth="1"/>
    <col min="6660" max="6660" width="21.77734375" style="1025" customWidth="1"/>
    <col min="6661" max="6661" width="20.21875" style="1025" customWidth="1"/>
    <col min="6662" max="6662" width="17.77734375" style="1025" customWidth="1"/>
    <col min="6663" max="6663" width="32.44140625" style="1025" customWidth="1"/>
    <col min="6664" max="6664" width="31.44140625" style="1025" customWidth="1"/>
    <col min="6665" max="6665" width="28.5546875" style="1025" customWidth="1"/>
    <col min="6666" max="6666" width="26.21875" style="1025" customWidth="1"/>
    <col min="6667" max="6912" width="9.21875" style="1025"/>
    <col min="6913" max="6913" width="8.77734375" style="1025" customWidth="1"/>
    <col min="6914" max="6914" width="24.77734375" style="1025" customWidth="1"/>
    <col min="6915" max="6915" width="29.77734375" style="1025" customWidth="1"/>
    <col min="6916" max="6916" width="21.77734375" style="1025" customWidth="1"/>
    <col min="6917" max="6917" width="20.21875" style="1025" customWidth="1"/>
    <col min="6918" max="6918" width="17.77734375" style="1025" customWidth="1"/>
    <col min="6919" max="6919" width="32.44140625" style="1025" customWidth="1"/>
    <col min="6920" max="6920" width="31.44140625" style="1025" customWidth="1"/>
    <col min="6921" max="6921" width="28.5546875" style="1025" customWidth="1"/>
    <col min="6922" max="6922" width="26.21875" style="1025" customWidth="1"/>
    <col min="6923" max="7168" width="9.21875" style="1025"/>
    <col min="7169" max="7169" width="8.77734375" style="1025" customWidth="1"/>
    <col min="7170" max="7170" width="24.77734375" style="1025" customWidth="1"/>
    <col min="7171" max="7171" width="29.77734375" style="1025" customWidth="1"/>
    <col min="7172" max="7172" width="21.77734375" style="1025" customWidth="1"/>
    <col min="7173" max="7173" width="20.21875" style="1025" customWidth="1"/>
    <col min="7174" max="7174" width="17.77734375" style="1025" customWidth="1"/>
    <col min="7175" max="7175" width="32.44140625" style="1025" customWidth="1"/>
    <col min="7176" max="7176" width="31.44140625" style="1025" customWidth="1"/>
    <col min="7177" max="7177" width="28.5546875" style="1025" customWidth="1"/>
    <col min="7178" max="7178" width="26.21875" style="1025" customWidth="1"/>
    <col min="7179" max="7424" width="9.21875" style="1025"/>
    <col min="7425" max="7425" width="8.77734375" style="1025" customWidth="1"/>
    <col min="7426" max="7426" width="24.77734375" style="1025" customWidth="1"/>
    <col min="7427" max="7427" width="29.77734375" style="1025" customWidth="1"/>
    <col min="7428" max="7428" width="21.77734375" style="1025" customWidth="1"/>
    <col min="7429" max="7429" width="20.21875" style="1025" customWidth="1"/>
    <col min="7430" max="7430" width="17.77734375" style="1025" customWidth="1"/>
    <col min="7431" max="7431" width="32.44140625" style="1025" customWidth="1"/>
    <col min="7432" max="7432" width="31.44140625" style="1025" customWidth="1"/>
    <col min="7433" max="7433" width="28.5546875" style="1025" customWidth="1"/>
    <col min="7434" max="7434" width="26.21875" style="1025" customWidth="1"/>
    <col min="7435" max="7680" width="9.21875" style="1025"/>
    <col min="7681" max="7681" width="8.77734375" style="1025" customWidth="1"/>
    <col min="7682" max="7682" width="24.77734375" style="1025" customWidth="1"/>
    <col min="7683" max="7683" width="29.77734375" style="1025" customWidth="1"/>
    <col min="7684" max="7684" width="21.77734375" style="1025" customWidth="1"/>
    <col min="7685" max="7685" width="20.21875" style="1025" customWidth="1"/>
    <col min="7686" max="7686" width="17.77734375" style="1025" customWidth="1"/>
    <col min="7687" max="7687" width="32.44140625" style="1025" customWidth="1"/>
    <col min="7688" max="7688" width="31.44140625" style="1025" customWidth="1"/>
    <col min="7689" max="7689" width="28.5546875" style="1025" customWidth="1"/>
    <col min="7690" max="7690" width="26.21875" style="1025" customWidth="1"/>
    <col min="7691" max="7936" width="9.21875" style="1025"/>
    <col min="7937" max="7937" width="8.77734375" style="1025" customWidth="1"/>
    <col min="7938" max="7938" width="24.77734375" style="1025" customWidth="1"/>
    <col min="7939" max="7939" width="29.77734375" style="1025" customWidth="1"/>
    <col min="7940" max="7940" width="21.77734375" style="1025" customWidth="1"/>
    <col min="7941" max="7941" width="20.21875" style="1025" customWidth="1"/>
    <col min="7942" max="7942" width="17.77734375" style="1025" customWidth="1"/>
    <col min="7943" max="7943" width="32.44140625" style="1025" customWidth="1"/>
    <col min="7944" max="7944" width="31.44140625" style="1025" customWidth="1"/>
    <col min="7945" max="7945" width="28.5546875" style="1025" customWidth="1"/>
    <col min="7946" max="7946" width="26.21875" style="1025" customWidth="1"/>
    <col min="7947" max="8192" width="9.21875" style="1025"/>
    <col min="8193" max="8193" width="8.77734375" style="1025" customWidth="1"/>
    <col min="8194" max="8194" width="24.77734375" style="1025" customWidth="1"/>
    <col min="8195" max="8195" width="29.77734375" style="1025" customWidth="1"/>
    <col min="8196" max="8196" width="21.77734375" style="1025" customWidth="1"/>
    <col min="8197" max="8197" width="20.21875" style="1025" customWidth="1"/>
    <col min="8198" max="8198" width="17.77734375" style="1025" customWidth="1"/>
    <col min="8199" max="8199" width="32.44140625" style="1025" customWidth="1"/>
    <col min="8200" max="8200" width="31.44140625" style="1025" customWidth="1"/>
    <col min="8201" max="8201" width="28.5546875" style="1025" customWidth="1"/>
    <col min="8202" max="8202" width="26.21875" style="1025" customWidth="1"/>
    <col min="8203" max="8448" width="9.21875" style="1025"/>
    <col min="8449" max="8449" width="8.77734375" style="1025" customWidth="1"/>
    <col min="8450" max="8450" width="24.77734375" style="1025" customWidth="1"/>
    <col min="8451" max="8451" width="29.77734375" style="1025" customWidth="1"/>
    <col min="8452" max="8452" width="21.77734375" style="1025" customWidth="1"/>
    <col min="8453" max="8453" width="20.21875" style="1025" customWidth="1"/>
    <col min="8454" max="8454" width="17.77734375" style="1025" customWidth="1"/>
    <col min="8455" max="8455" width="32.44140625" style="1025" customWidth="1"/>
    <col min="8456" max="8456" width="31.44140625" style="1025" customWidth="1"/>
    <col min="8457" max="8457" width="28.5546875" style="1025" customWidth="1"/>
    <col min="8458" max="8458" width="26.21875" style="1025" customWidth="1"/>
    <col min="8459" max="8704" width="9.21875" style="1025"/>
    <col min="8705" max="8705" width="8.77734375" style="1025" customWidth="1"/>
    <col min="8706" max="8706" width="24.77734375" style="1025" customWidth="1"/>
    <col min="8707" max="8707" width="29.77734375" style="1025" customWidth="1"/>
    <col min="8708" max="8708" width="21.77734375" style="1025" customWidth="1"/>
    <col min="8709" max="8709" width="20.21875" style="1025" customWidth="1"/>
    <col min="8710" max="8710" width="17.77734375" style="1025" customWidth="1"/>
    <col min="8711" max="8711" width="32.44140625" style="1025" customWidth="1"/>
    <col min="8712" max="8712" width="31.44140625" style="1025" customWidth="1"/>
    <col min="8713" max="8713" width="28.5546875" style="1025" customWidth="1"/>
    <col min="8714" max="8714" width="26.21875" style="1025" customWidth="1"/>
    <col min="8715" max="8960" width="9.21875" style="1025"/>
    <col min="8961" max="8961" width="8.77734375" style="1025" customWidth="1"/>
    <col min="8962" max="8962" width="24.77734375" style="1025" customWidth="1"/>
    <col min="8963" max="8963" width="29.77734375" style="1025" customWidth="1"/>
    <col min="8964" max="8964" width="21.77734375" style="1025" customWidth="1"/>
    <col min="8965" max="8965" width="20.21875" style="1025" customWidth="1"/>
    <col min="8966" max="8966" width="17.77734375" style="1025" customWidth="1"/>
    <col min="8967" max="8967" width="32.44140625" style="1025" customWidth="1"/>
    <col min="8968" max="8968" width="31.44140625" style="1025" customWidth="1"/>
    <col min="8969" max="8969" width="28.5546875" style="1025" customWidth="1"/>
    <col min="8970" max="8970" width="26.21875" style="1025" customWidth="1"/>
    <col min="8971" max="9216" width="9.21875" style="1025"/>
    <col min="9217" max="9217" width="8.77734375" style="1025" customWidth="1"/>
    <col min="9218" max="9218" width="24.77734375" style="1025" customWidth="1"/>
    <col min="9219" max="9219" width="29.77734375" style="1025" customWidth="1"/>
    <col min="9220" max="9220" width="21.77734375" style="1025" customWidth="1"/>
    <col min="9221" max="9221" width="20.21875" style="1025" customWidth="1"/>
    <col min="9222" max="9222" width="17.77734375" style="1025" customWidth="1"/>
    <col min="9223" max="9223" width="32.44140625" style="1025" customWidth="1"/>
    <col min="9224" max="9224" width="31.44140625" style="1025" customWidth="1"/>
    <col min="9225" max="9225" width="28.5546875" style="1025" customWidth="1"/>
    <col min="9226" max="9226" width="26.21875" style="1025" customWidth="1"/>
    <col min="9227" max="9472" width="9.21875" style="1025"/>
    <col min="9473" max="9473" width="8.77734375" style="1025" customWidth="1"/>
    <col min="9474" max="9474" width="24.77734375" style="1025" customWidth="1"/>
    <col min="9475" max="9475" width="29.77734375" style="1025" customWidth="1"/>
    <col min="9476" max="9476" width="21.77734375" style="1025" customWidth="1"/>
    <col min="9477" max="9477" width="20.21875" style="1025" customWidth="1"/>
    <col min="9478" max="9478" width="17.77734375" style="1025" customWidth="1"/>
    <col min="9479" max="9479" width="32.44140625" style="1025" customWidth="1"/>
    <col min="9480" max="9480" width="31.44140625" style="1025" customWidth="1"/>
    <col min="9481" max="9481" width="28.5546875" style="1025" customWidth="1"/>
    <col min="9482" max="9482" width="26.21875" style="1025" customWidth="1"/>
    <col min="9483" max="9728" width="9.21875" style="1025"/>
    <col min="9729" max="9729" width="8.77734375" style="1025" customWidth="1"/>
    <col min="9730" max="9730" width="24.77734375" style="1025" customWidth="1"/>
    <col min="9731" max="9731" width="29.77734375" style="1025" customWidth="1"/>
    <col min="9732" max="9732" width="21.77734375" style="1025" customWidth="1"/>
    <col min="9733" max="9733" width="20.21875" style="1025" customWidth="1"/>
    <col min="9734" max="9734" width="17.77734375" style="1025" customWidth="1"/>
    <col min="9735" max="9735" width="32.44140625" style="1025" customWidth="1"/>
    <col min="9736" max="9736" width="31.44140625" style="1025" customWidth="1"/>
    <col min="9737" max="9737" width="28.5546875" style="1025" customWidth="1"/>
    <col min="9738" max="9738" width="26.21875" style="1025" customWidth="1"/>
    <col min="9739" max="9984" width="9.21875" style="1025"/>
    <col min="9985" max="9985" width="8.77734375" style="1025" customWidth="1"/>
    <col min="9986" max="9986" width="24.77734375" style="1025" customWidth="1"/>
    <col min="9987" max="9987" width="29.77734375" style="1025" customWidth="1"/>
    <col min="9988" max="9988" width="21.77734375" style="1025" customWidth="1"/>
    <col min="9989" max="9989" width="20.21875" style="1025" customWidth="1"/>
    <col min="9990" max="9990" width="17.77734375" style="1025" customWidth="1"/>
    <col min="9991" max="9991" width="32.44140625" style="1025" customWidth="1"/>
    <col min="9992" max="9992" width="31.44140625" style="1025" customWidth="1"/>
    <col min="9993" max="9993" width="28.5546875" style="1025" customWidth="1"/>
    <col min="9994" max="9994" width="26.21875" style="1025" customWidth="1"/>
    <col min="9995" max="10240" width="9.21875" style="1025"/>
    <col min="10241" max="10241" width="8.77734375" style="1025" customWidth="1"/>
    <col min="10242" max="10242" width="24.77734375" style="1025" customWidth="1"/>
    <col min="10243" max="10243" width="29.77734375" style="1025" customWidth="1"/>
    <col min="10244" max="10244" width="21.77734375" style="1025" customWidth="1"/>
    <col min="10245" max="10245" width="20.21875" style="1025" customWidth="1"/>
    <col min="10246" max="10246" width="17.77734375" style="1025" customWidth="1"/>
    <col min="10247" max="10247" width="32.44140625" style="1025" customWidth="1"/>
    <col min="10248" max="10248" width="31.44140625" style="1025" customWidth="1"/>
    <col min="10249" max="10249" width="28.5546875" style="1025" customWidth="1"/>
    <col min="10250" max="10250" width="26.21875" style="1025" customWidth="1"/>
    <col min="10251" max="10496" width="9.21875" style="1025"/>
    <col min="10497" max="10497" width="8.77734375" style="1025" customWidth="1"/>
    <col min="10498" max="10498" width="24.77734375" style="1025" customWidth="1"/>
    <col min="10499" max="10499" width="29.77734375" style="1025" customWidth="1"/>
    <col min="10500" max="10500" width="21.77734375" style="1025" customWidth="1"/>
    <col min="10501" max="10501" width="20.21875" style="1025" customWidth="1"/>
    <col min="10502" max="10502" width="17.77734375" style="1025" customWidth="1"/>
    <col min="10503" max="10503" width="32.44140625" style="1025" customWidth="1"/>
    <col min="10504" max="10504" width="31.44140625" style="1025" customWidth="1"/>
    <col min="10505" max="10505" width="28.5546875" style="1025" customWidth="1"/>
    <col min="10506" max="10506" width="26.21875" style="1025" customWidth="1"/>
    <col min="10507" max="10752" width="9.21875" style="1025"/>
    <col min="10753" max="10753" width="8.77734375" style="1025" customWidth="1"/>
    <col min="10754" max="10754" width="24.77734375" style="1025" customWidth="1"/>
    <col min="10755" max="10755" width="29.77734375" style="1025" customWidth="1"/>
    <col min="10756" max="10756" width="21.77734375" style="1025" customWidth="1"/>
    <col min="10757" max="10757" width="20.21875" style="1025" customWidth="1"/>
    <col min="10758" max="10758" width="17.77734375" style="1025" customWidth="1"/>
    <col min="10759" max="10759" width="32.44140625" style="1025" customWidth="1"/>
    <col min="10760" max="10760" width="31.44140625" style="1025" customWidth="1"/>
    <col min="10761" max="10761" width="28.5546875" style="1025" customWidth="1"/>
    <col min="10762" max="10762" width="26.21875" style="1025" customWidth="1"/>
    <col min="10763" max="11008" width="9.21875" style="1025"/>
    <col min="11009" max="11009" width="8.77734375" style="1025" customWidth="1"/>
    <col min="11010" max="11010" width="24.77734375" style="1025" customWidth="1"/>
    <col min="11011" max="11011" width="29.77734375" style="1025" customWidth="1"/>
    <col min="11012" max="11012" width="21.77734375" style="1025" customWidth="1"/>
    <col min="11013" max="11013" width="20.21875" style="1025" customWidth="1"/>
    <col min="11014" max="11014" width="17.77734375" style="1025" customWidth="1"/>
    <col min="11015" max="11015" width="32.44140625" style="1025" customWidth="1"/>
    <col min="11016" max="11016" width="31.44140625" style="1025" customWidth="1"/>
    <col min="11017" max="11017" width="28.5546875" style="1025" customWidth="1"/>
    <col min="11018" max="11018" width="26.21875" style="1025" customWidth="1"/>
    <col min="11019" max="11264" width="9.21875" style="1025"/>
    <col min="11265" max="11265" width="8.77734375" style="1025" customWidth="1"/>
    <col min="11266" max="11266" width="24.77734375" style="1025" customWidth="1"/>
    <col min="11267" max="11267" width="29.77734375" style="1025" customWidth="1"/>
    <col min="11268" max="11268" width="21.77734375" style="1025" customWidth="1"/>
    <col min="11269" max="11269" width="20.21875" style="1025" customWidth="1"/>
    <col min="11270" max="11270" width="17.77734375" style="1025" customWidth="1"/>
    <col min="11271" max="11271" width="32.44140625" style="1025" customWidth="1"/>
    <col min="11272" max="11272" width="31.44140625" style="1025" customWidth="1"/>
    <col min="11273" max="11273" width="28.5546875" style="1025" customWidth="1"/>
    <col min="11274" max="11274" width="26.21875" style="1025" customWidth="1"/>
    <col min="11275" max="11520" width="9.21875" style="1025"/>
    <col min="11521" max="11521" width="8.77734375" style="1025" customWidth="1"/>
    <col min="11522" max="11522" width="24.77734375" style="1025" customWidth="1"/>
    <col min="11523" max="11523" width="29.77734375" style="1025" customWidth="1"/>
    <col min="11524" max="11524" width="21.77734375" style="1025" customWidth="1"/>
    <col min="11525" max="11525" width="20.21875" style="1025" customWidth="1"/>
    <col min="11526" max="11526" width="17.77734375" style="1025" customWidth="1"/>
    <col min="11527" max="11527" width="32.44140625" style="1025" customWidth="1"/>
    <col min="11528" max="11528" width="31.44140625" style="1025" customWidth="1"/>
    <col min="11529" max="11529" width="28.5546875" style="1025" customWidth="1"/>
    <col min="11530" max="11530" width="26.21875" style="1025" customWidth="1"/>
    <col min="11531" max="11776" width="9.21875" style="1025"/>
    <col min="11777" max="11777" width="8.77734375" style="1025" customWidth="1"/>
    <col min="11778" max="11778" width="24.77734375" style="1025" customWidth="1"/>
    <col min="11779" max="11779" width="29.77734375" style="1025" customWidth="1"/>
    <col min="11780" max="11780" width="21.77734375" style="1025" customWidth="1"/>
    <col min="11781" max="11781" width="20.21875" style="1025" customWidth="1"/>
    <col min="11782" max="11782" width="17.77734375" style="1025" customWidth="1"/>
    <col min="11783" max="11783" width="32.44140625" style="1025" customWidth="1"/>
    <col min="11784" max="11784" width="31.44140625" style="1025" customWidth="1"/>
    <col min="11785" max="11785" width="28.5546875" style="1025" customWidth="1"/>
    <col min="11786" max="11786" width="26.21875" style="1025" customWidth="1"/>
    <col min="11787" max="12032" width="9.21875" style="1025"/>
    <col min="12033" max="12033" width="8.77734375" style="1025" customWidth="1"/>
    <col min="12034" max="12034" width="24.77734375" style="1025" customWidth="1"/>
    <col min="12035" max="12035" width="29.77734375" style="1025" customWidth="1"/>
    <col min="12036" max="12036" width="21.77734375" style="1025" customWidth="1"/>
    <col min="12037" max="12037" width="20.21875" style="1025" customWidth="1"/>
    <col min="12038" max="12038" width="17.77734375" style="1025" customWidth="1"/>
    <col min="12039" max="12039" width="32.44140625" style="1025" customWidth="1"/>
    <col min="12040" max="12040" width="31.44140625" style="1025" customWidth="1"/>
    <col min="12041" max="12041" width="28.5546875" style="1025" customWidth="1"/>
    <col min="12042" max="12042" width="26.21875" style="1025" customWidth="1"/>
    <col min="12043" max="12288" width="9.21875" style="1025"/>
    <col min="12289" max="12289" width="8.77734375" style="1025" customWidth="1"/>
    <col min="12290" max="12290" width="24.77734375" style="1025" customWidth="1"/>
    <col min="12291" max="12291" width="29.77734375" style="1025" customWidth="1"/>
    <col min="12292" max="12292" width="21.77734375" style="1025" customWidth="1"/>
    <col min="12293" max="12293" width="20.21875" style="1025" customWidth="1"/>
    <col min="12294" max="12294" width="17.77734375" style="1025" customWidth="1"/>
    <col min="12295" max="12295" width="32.44140625" style="1025" customWidth="1"/>
    <col min="12296" max="12296" width="31.44140625" style="1025" customWidth="1"/>
    <col min="12297" max="12297" width="28.5546875" style="1025" customWidth="1"/>
    <col min="12298" max="12298" width="26.21875" style="1025" customWidth="1"/>
    <col min="12299" max="12544" width="9.21875" style="1025"/>
    <col min="12545" max="12545" width="8.77734375" style="1025" customWidth="1"/>
    <col min="12546" max="12546" width="24.77734375" style="1025" customWidth="1"/>
    <col min="12547" max="12547" width="29.77734375" style="1025" customWidth="1"/>
    <col min="12548" max="12548" width="21.77734375" style="1025" customWidth="1"/>
    <col min="12549" max="12549" width="20.21875" style="1025" customWidth="1"/>
    <col min="12550" max="12550" width="17.77734375" style="1025" customWidth="1"/>
    <col min="12551" max="12551" width="32.44140625" style="1025" customWidth="1"/>
    <col min="12552" max="12552" width="31.44140625" style="1025" customWidth="1"/>
    <col min="12553" max="12553" width="28.5546875" style="1025" customWidth="1"/>
    <col min="12554" max="12554" width="26.21875" style="1025" customWidth="1"/>
    <col min="12555" max="12800" width="9.21875" style="1025"/>
    <col min="12801" max="12801" width="8.77734375" style="1025" customWidth="1"/>
    <col min="12802" max="12802" width="24.77734375" style="1025" customWidth="1"/>
    <col min="12803" max="12803" width="29.77734375" style="1025" customWidth="1"/>
    <col min="12804" max="12804" width="21.77734375" style="1025" customWidth="1"/>
    <col min="12805" max="12805" width="20.21875" style="1025" customWidth="1"/>
    <col min="12806" max="12806" width="17.77734375" style="1025" customWidth="1"/>
    <col min="12807" max="12807" width="32.44140625" style="1025" customWidth="1"/>
    <col min="12808" max="12808" width="31.44140625" style="1025" customWidth="1"/>
    <col min="12809" max="12809" width="28.5546875" style="1025" customWidth="1"/>
    <col min="12810" max="12810" width="26.21875" style="1025" customWidth="1"/>
    <col min="12811" max="13056" width="9.21875" style="1025"/>
    <col min="13057" max="13057" width="8.77734375" style="1025" customWidth="1"/>
    <col min="13058" max="13058" width="24.77734375" style="1025" customWidth="1"/>
    <col min="13059" max="13059" width="29.77734375" style="1025" customWidth="1"/>
    <col min="13060" max="13060" width="21.77734375" style="1025" customWidth="1"/>
    <col min="13061" max="13061" width="20.21875" style="1025" customWidth="1"/>
    <col min="13062" max="13062" width="17.77734375" style="1025" customWidth="1"/>
    <col min="13063" max="13063" width="32.44140625" style="1025" customWidth="1"/>
    <col min="13064" max="13064" width="31.44140625" style="1025" customWidth="1"/>
    <col min="13065" max="13065" width="28.5546875" style="1025" customWidth="1"/>
    <col min="13066" max="13066" width="26.21875" style="1025" customWidth="1"/>
    <col min="13067" max="13312" width="9.21875" style="1025"/>
    <col min="13313" max="13313" width="8.77734375" style="1025" customWidth="1"/>
    <col min="13314" max="13314" width="24.77734375" style="1025" customWidth="1"/>
    <col min="13315" max="13315" width="29.77734375" style="1025" customWidth="1"/>
    <col min="13316" max="13316" width="21.77734375" style="1025" customWidth="1"/>
    <col min="13317" max="13317" width="20.21875" style="1025" customWidth="1"/>
    <col min="13318" max="13318" width="17.77734375" style="1025" customWidth="1"/>
    <col min="13319" max="13319" width="32.44140625" style="1025" customWidth="1"/>
    <col min="13320" max="13320" width="31.44140625" style="1025" customWidth="1"/>
    <col min="13321" max="13321" width="28.5546875" style="1025" customWidth="1"/>
    <col min="13322" max="13322" width="26.21875" style="1025" customWidth="1"/>
    <col min="13323" max="13568" width="9.21875" style="1025"/>
    <col min="13569" max="13569" width="8.77734375" style="1025" customWidth="1"/>
    <col min="13570" max="13570" width="24.77734375" style="1025" customWidth="1"/>
    <col min="13571" max="13571" width="29.77734375" style="1025" customWidth="1"/>
    <col min="13572" max="13572" width="21.77734375" style="1025" customWidth="1"/>
    <col min="13573" max="13573" width="20.21875" style="1025" customWidth="1"/>
    <col min="13574" max="13574" width="17.77734375" style="1025" customWidth="1"/>
    <col min="13575" max="13575" width="32.44140625" style="1025" customWidth="1"/>
    <col min="13576" max="13576" width="31.44140625" style="1025" customWidth="1"/>
    <col min="13577" max="13577" width="28.5546875" style="1025" customWidth="1"/>
    <col min="13578" max="13578" width="26.21875" style="1025" customWidth="1"/>
    <col min="13579" max="13824" width="9.21875" style="1025"/>
    <col min="13825" max="13825" width="8.77734375" style="1025" customWidth="1"/>
    <col min="13826" max="13826" width="24.77734375" style="1025" customWidth="1"/>
    <col min="13827" max="13827" width="29.77734375" style="1025" customWidth="1"/>
    <col min="13828" max="13828" width="21.77734375" style="1025" customWidth="1"/>
    <col min="13829" max="13829" width="20.21875" style="1025" customWidth="1"/>
    <col min="13830" max="13830" width="17.77734375" style="1025" customWidth="1"/>
    <col min="13831" max="13831" width="32.44140625" style="1025" customWidth="1"/>
    <col min="13832" max="13832" width="31.44140625" style="1025" customWidth="1"/>
    <col min="13833" max="13833" width="28.5546875" style="1025" customWidth="1"/>
    <col min="13834" max="13834" width="26.21875" style="1025" customWidth="1"/>
    <col min="13835" max="14080" width="9.21875" style="1025"/>
    <col min="14081" max="14081" width="8.77734375" style="1025" customWidth="1"/>
    <col min="14082" max="14082" width="24.77734375" style="1025" customWidth="1"/>
    <col min="14083" max="14083" width="29.77734375" style="1025" customWidth="1"/>
    <col min="14084" max="14084" width="21.77734375" style="1025" customWidth="1"/>
    <col min="14085" max="14085" width="20.21875" style="1025" customWidth="1"/>
    <col min="14086" max="14086" width="17.77734375" style="1025" customWidth="1"/>
    <col min="14087" max="14087" width="32.44140625" style="1025" customWidth="1"/>
    <col min="14088" max="14088" width="31.44140625" style="1025" customWidth="1"/>
    <col min="14089" max="14089" width="28.5546875" style="1025" customWidth="1"/>
    <col min="14090" max="14090" width="26.21875" style="1025" customWidth="1"/>
    <col min="14091" max="14336" width="9.21875" style="1025"/>
    <col min="14337" max="14337" width="8.77734375" style="1025" customWidth="1"/>
    <col min="14338" max="14338" width="24.77734375" style="1025" customWidth="1"/>
    <col min="14339" max="14339" width="29.77734375" style="1025" customWidth="1"/>
    <col min="14340" max="14340" width="21.77734375" style="1025" customWidth="1"/>
    <col min="14341" max="14341" width="20.21875" style="1025" customWidth="1"/>
    <col min="14342" max="14342" width="17.77734375" style="1025" customWidth="1"/>
    <col min="14343" max="14343" width="32.44140625" style="1025" customWidth="1"/>
    <col min="14344" max="14344" width="31.44140625" style="1025" customWidth="1"/>
    <col min="14345" max="14345" width="28.5546875" style="1025" customWidth="1"/>
    <col min="14346" max="14346" width="26.21875" style="1025" customWidth="1"/>
    <col min="14347" max="14592" width="9.21875" style="1025"/>
    <col min="14593" max="14593" width="8.77734375" style="1025" customWidth="1"/>
    <col min="14594" max="14594" width="24.77734375" style="1025" customWidth="1"/>
    <col min="14595" max="14595" width="29.77734375" style="1025" customWidth="1"/>
    <col min="14596" max="14596" width="21.77734375" style="1025" customWidth="1"/>
    <col min="14597" max="14597" width="20.21875" style="1025" customWidth="1"/>
    <col min="14598" max="14598" width="17.77734375" style="1025" customWidth="1"/>
    <col min="14599" max="14599" width="32.44140625" style="1025" customWidth="1"/>
    <col min="14600" max="14600" width="31.44140625" style="1025" customWidth="1"/>
    <col min="14601" max="14601" width="28.5546875" style="1025" customWidth="1"/>
    <col min="14602" max="14602" width="26.21875" style="1025" customWidth="1"/>
    <col min="14603" max="14848" width="9.21875" style="1025"/>
    <col min="14849" max="14849" width="8.77734375" style="1025" customWidth="1"/>
    <col min="14850" max="14850" width="24.77734375" style="1025" customWidth="1"/>
    <col min="14851" max="14851" width="29.77734375" style="1025" customWidth="1"/>
    <col min="14852" max="14852" width="21.77734375" style="1025" customWidth="1"/>
    <col min="14853" max="14853" width="20.21875" style="1025" customWidth="1"/>
    <col min="14854" max="14854" width="17.77734375" style="1025" customWidth="1"/>
    <col min="14855" max="14855" width="32.44140625" style="1025" customWidth="1"/>
    <col min="14856" max="14856" width="31.44140625" style="1025" customWidth="1"/>
    <col min="14857" max="14857" width="28.5546875" style="1025" customWidth="1"/>
    <col min="14858" max="14858" width="26.21875" style="1025" customWidth="1"/>
    <col min="14859" max="15104" width="9.21875" style="1025"/>
    <col min="15105" max="15105" width="8.77734375" style="1025" customWidth="1"/>
    <col min="15106" max="15106" width="24.77734375" style="1025" customWidth="1"/>
    <col min="15107" max="15107" width="29.77734375" style="1025" customWidth="1"/>
    <col min="15108" max="15108" width="21.77734375" style="1025" customWidth="1"/>
    <col min="15109" max="15109" width="20.21875" style="1025" customWidth="1"/>
    <col min="15110" max="15110" width="17.77734375" style="1025" customWidth="1"/>
    <col min="15111" max="15111" width="32.44140625" style="1025" customWidth="1"/>
    <col min="15112" max="15112" width="31.44140625" style="1025" customWidth="1"/>
    <col min="15113" max="15113" width="28.5546875" style="1025" customWidth="1"/>
    <col min="15114" max="15114" width="26.21875" style="1025" customWidth="1"/>
    <col min="15115" max="15360" width="9.21875" style="1025"/>
    <col min="15361" max="15361" width="8.77734375" style="1025" customWidth="1"/>
    <col min="15362" max="15362" width="24.77734375" style="1025" customWidth="1"/>
    <col min="15363" max="15363" width="29.77734375" style="1025" customWidth="1"/>
    <col min="15364" max="15364" width="21.77734375" style="1025" customWidth="1"/>
    <col min="15365" max="15365" width="20.21875" style="1025" customWidth="1"/>
    <col min="15366" max="15366" width="17.77734375" style="1025" customWidth="1"/>
    <col min="15367" max="15367" width="32.44140625" style="1025" customWidth="1"/>
    <col min="15368" max="15368" width="31.44140625" style="1025" customWidth="1"/>
    <col min="15369" max="15369" width="28.5546875" style="1025" customWidth="1"/>
    <col min="15370" max="15370" width="26.21875" style="1025" customWidth="1"/>
    <col min="15371" max="15616" width="9.21875" style="1025"/>
    <col min="15617" max="15617" width="8.77734375" style="1025" customWidth="1"/>
    <col min="15618" max="15618" width="24.77734375" style="1025" customWidth="1"/>
    <col min="15619" max="15619" width="29.77734375" style="1025" customWidth="1"/>
    <col min="15620" max="15620" width="21.77734375" style="1025" customWidth="1"/>
    <col min="15621" max="15621" width="20.21875" style="1025" customWidth="1"/>
    <col min="15622" max="15622" width="17.77734375" style="1025" customWidth="1"/>
    <col min="15623" max="15623" width="32.44140625" style="1025" customWidth="1"/>
    <col min="15624" max="15624" width="31.44140625" style="1025" customWidth="1"/>
    <col min="15625" max="15625" width="28.5546875" style="1025" customWidth="1"/>
    <col min="15626" max="15626" width="26.21875" style="1025" customWidth="1"/>
    <col min="15627" max="15872" width="9.21875" style="1025"/>
    <col min="15873" max="15873" width="8.77734375" style="1025" customWidth="1"/>
    <col min="15874" max="15874" width="24.77734375" style="1025" customWidth="1"/>
    <col min="15875" max="15875" width="29.77734375" style="1025" customWidth="1"/>
    <col min="15876" max="15876" width="21.77734375" style="1025" customWidth="1"/>
    <col min="15877" max="15877" width="20.21875" style="1025" customWidth="1"/>
    <col min="15878" max="15878" width="17.77734375" style="1025" customWidth="1"/>
    <col min="15879" max="15879" width="32.44140625" style="1025" customWidth="1"/>
    <col min="15880" max="15880" width="31.44140625" style="1025" customWidth="1"/>
    <col min="15881" max="15881" width="28.5546875" style="1025" customWidth="1"/>
    <col min="15882" max="15882" width="26.21875" style="1025" customWidth="1"/>
    <col min="15883" max="16128" width="9.21875" style="1025"/>
    <col min="16129" max="16129" width="8.77734375" style="1025" customWidth="1"/>
    <col min="16130" max="16130" width="24.77734375" style="1025" customWidth="1"/>
    <col min="16131" max="16131" width="29.77734375" style="1025" customWidth="1"/>
    <col min="16132" max="16132" width="21.77734375" style="1025" customWidth="1"/>
    <col min="16133" max="16133" width="20.21875" style="1025" customWidth="1"/>
    <col min="16134" max="16134" width="17.77734375" style="1025" customWidth="1"/>
    <col min="16135" max="16135" width="32.44140625" style="1025" customWidth="1"/>
    <col min="16136" max="16136" width="31.44140625" style="1025" customWidth="1"/>
    <col min="16137" max="16137" width="28.5546875" style="1025" customWidth="1"/>
    <col min="16138" max="16138" width="26.21875" style="1025" customWidth="1"/>
    <col min="16139" max="16384" width="9.21875" style="1025"/>
  </cols>
  <sheetData>
    <row r="1" spans="1:17" ht="14.25" customHeight="1">
      <c r="H1" s="1026"/>
    </row>
    <row r="2" spans="1:17" ht="14.25" customHeight="1">
      <c r="A2" s="1440" t="s">
        <v>5058</v>
      </c>
      <c r="B2" s="1440"/>
      <c r="C2" s="1440"/>
    </row>
    <row r="3" spans="1:17" ht="14.7" customHeight="1">
      <c r="A3" s="1440" t="s">
        <v>5059</v>
      </c>
      <c r="B3" s="1440"/>
      <c r="C3" s="1440"/>
      <c r="D3" s="1027"/>
      <c r="E3" s="1027"/>
      <c r="F3" s="1027"/>
    </row>
    <row r="4" spans="1:17" ht="14.25" customHeight="1">
      <c r="A4" s="1027"/>
      <c r="B4" s="1027"/>
      <c r="C4" s="1027"/>
      <c r="D4" s="1027"/>
      <c r="E4" s="1027"/>
      <c r="F4" s="1027"/>
      <c r="I4" s="1028" t="s">
        <v>5060</v>
      </c>
    </row>
    <row r="5" spans="1:17" ht="14.25" customHeight="1"/>
    <row r="6" spans="1:17" ht="15.75" customHeight="1">
      <c r="A6" s="1441" t="s">
        <v>5061</v>
      </c>
      <c r="B6" s="1441"/>
      <c r="C6" s="1441"/>
      <c r="D6" s="1441"/>
      <c r="E6" s="1441"/>
      <c r="F6" s="1441"/>
      <c r="G6" s="1441"/>
      <c r="H6" s="1441"/>
      <c r="I6" s="1441"/>
    </row>
    <row r="7" spans="1:17" ht="15.6" customHeight="1">
      <c r="A7" s="1442" t="s">
        <v>5062</v>
      </c>
      <c r="B7" s="1442"/>
      <c r="C7" s="1442"/>
      <c r="D7" s="1442"/>
      <c r="E7" s="1442"/>
      <c r="F7" s="1442"/>
      <c r="G7" s="1442"/>
      <c r="H7" s="1442"/>
      <c r="I7" s="1442"/>
    </row>
    <row r="8" spans="1:17" ht="15.6" customHeight="1">
      <c r="A8" s="1443" t="s">
        <v>5063</v>
      </c>
      <c r="B8" s="1443"/>
      <c r="C8" s="1443"/>
      <c r="D8" s="1443"/>
      <c r="E8" s="1443"/>
      <c r="F8" s="1443"/>
      <c r="G8" s="1443"/>
      <c r="H8" s="1443"/>
      <c r="I8" s="1443"/>
    </row>
    <row r="9" spans="1:17" ht="15.75" customHeight="1">
      <c r="A9" s="1029"/>
      <c r="B9" s="1029"/>
      <c r="C9" s="1029"/>
      <c r="D9" s="1029"/>
      <c r="E9" s="1029"/>
      <c r="F9" s="1029"/>
      <c r="G9" s="1029"/>
      <c r="H9" s="1029"/>
      <c r="I9" s="1029"/>
    </row>
    <row r="10" spans="1:17" ht="18" customHeight="1">
      <c r="A10" s="1439" t="s">
        <v>5064</v>
      </c>
      <c r="B10" s="1439"/>
      <c r="C10" s="1439"/>
      <c r="D10" s="1439"/>
      <c r="E10" s="1439"/>
      <c r="F10" s="1439"/>
      <c r="G10" s="1439"/>
      <c r="H10" s="1439"/>
      <c r="I10" s="1439"/>
      <c r="J10" s="1439"/>
    </row>
    <row r="11" spans="1:17" ht="18" customHeight="1"/>
    <row r="12" spans="1:17" ht="18" customHeight="1">
      <c r="B12" s="1030"/>
      <c r="C12" s="1447" t="s">
        <v>5065</v>
      </c>
      <c r="D12" s="1447"/>
      <c r="E12" s="1448">
        <v>20212916063.34</v>
      </c>
      <c r="F12" s="1448"/>
      <c r="J12" s="1030"/>
    </row>
    <row r="13" spans="1:17" ht="18" customHeight="1">
      <c r="B13" s="1030"/>
      <c r="C13" s="1444" t="s">
        <v>5066</v>
      </c>
      <c r="D13" s="1444"/>
      <c r="E13" s="1449"/>
      <c r="F13" s="1449"/>
      <c r="J13" s="1030"/>
    </row>
    <row r="14" spans="1:17" ht="18" customHeight="1">
      <c r="B14" s="1030"/>
      <c r="C14" s="1444" t="s">
        <v>81</v>
      </c>
      <c r="D14" s="1444"/>
      <c r="E14" s="1450">
        <v>531.54</v>
      </c>
      <c r="F14" s="1450"/>
      <c r="J14" s="1030"/>
      <c r="N14" s="1031"/>
      <c r="O14" s="1031"/>
      <c r="P14" s="1032"/>
      <c r="Q14" s="1032"/>
    </row>
    <row r="15" spans="1:17" ht="18" customHeight="1">
      <c r="B15" s="1030"/>
      <c r="C15" s="1444" t="s">
        <v>80</v>
      </c>
      <c r="D15" s="1444"/>
      <c r="E15" s="1445">
        <v>20199111438</v>
      </c>
      <c r="F15" s="1445"/>
      <c r="J15" s="1030"/>
      <c r="N15" s="1031"/>
      <c r="O15" s="1031"/>
      <c r="P15" s="1032"/>
      <c r="Q15" s="1032"/>
    </row>
    <row r="16" spans="1:17" ht="18" customHeight="1">
      <c r="B16" s="1030"/>
      <c r="C16" s="1033"/>
      <c r="D16" s="1033"/>
      <c r="E16" s="1034"/>
      <c r="F16" s="1034"/>
      <c r="J16" s="1030"/>
      <c r="N16" s="1031"/>
      <c r="O16" s="1031"/>
      <c r="P16" s="1032"/>
      <c r="Q16" s="1032"/>
    </row>
    <row r="17" spans="1:10" ht="18" customHeight="1">
      <c r="A17" s="1446" t="s">
        <v>5067</v>
      </c>
      <c r="B17" s="1446"/>
      <c r="C17" s="1446"/>
      <c r="D17" s="1446"/>
      <c r="E17" s="1446"/>
      <c r="F17" s="1446"/>
      <c r="G17" s="1446"/>
      <c r="H17" s="1446"/>
      <c r="I17" s="1446"/>
      <c r="J17" s="1446"/>
    </row>
    <row r="18" spans="1:10" ht="18" customHeight="1">
      <c r="A18" s="1035" t="s">
        <v>5068</v>
      </c>
      <c r="B18" s="1035" t="s">
        <v>5069</v>
      </c>
      <c r="C18" s="1035" t="s">
        <v>5070</v>
      </c>
      <c r="D18" s="1035" t="s">
        <v>5071</v>
      </c>
      <c r="E18" s="1035" t="s">
        <v>5072</v>
      </c>
      <c r="F18" s="1035" t="s">
        <v>5073</v>
      </c>
      <c r="G18" s="1035" t="s">
        <v>5074</v>
      </c>
      <c r="H18" s="1035" t="s">
        <v>5075</v>
      </c>
      <c r="I18" s="1035" t="s">
        <v>5076</v>
      </c>
      <c r="J18" s="1035" t="s">
        <v>5077</v>
      </c>
    </row>
    <row r="19" spans="1:10" ht="20.100000000000001" customHeight="1">
      <c r="A19" s="1036">
        <f>ROW()-ROW(A18)</f>
        <v>1</v>
      </c>
      <c r="B19" s="1036" t="s">
        <v>707</v>
      </c>
      <c r="C19" s="1036" t="s">
        <v>5078</v>
      </c>
      <c r="D19" s="1037" t="s">
        <v>5079</v>
      </c>
      <c r="E19" s="1037">
        <v>0.5</v>
      </c>
      <c r="F19" s="1037" t="s">
        <v>80</v>
      </c>
      <c r="G19" s="1038">
        <v>3905709302</v>
      </c>
      <c r="H19" s="1039"/>
      <c r="I19" s="1038">
        <v>3905709302</v>
      </c>
      <c r="J19" s="1037" t="s">
        <v>5080</v>
      </c>
    </row>
    <row r="20" spans="1:10" ht="20.100000000000001" customHeight="1">
      <c r="A20" s="1036">
        <f>ROW()-ROW(A18)</f>
        <v>2</v>
      </c>
      <c r="B20" s="1036" t="s">
        <v>711</v>
      </c>
      <c r="C20" s="1036" t="s">
        <v>5081</v>
      </c>
      <c r="D20" s="1037" t="s">
        <v>5079</v>
      </c>
      <c r="E20" s="1037">
        <v>0.5</v>
      </c>
      <c r="F20" s="1037" t="s">
        <v>80</v>
      </c>
      <c r="G20" s="1038">
        <v>3145987222</v>
      </c>
      <c r="H20" s="1039"/>
      <c r="I20" s="1038">
        <v>3145987222</v>
      </c>
      <c r="J20" s="1037" t="s">
        <v>5080</v>
      </c>
    </row>
    <row r="21" spans="1:10" ht="20.100000000000001" customHeight="1">
      <c r="A21" s="1036">
        <f>ROW()-ROW(A18)</f>
        <v>3</v>
      </c>
      <c r="B21" s="1036" t="s">
        <v>709</v>
      </c>
      <c r="C21" s="1036" t="s">
        <v>5082</v>
      </c>
      <c r="D21" s="1037" t="s">
        <v>5079</v>
      </c>
      <c r="E21" s="1037">
        <v>0.5</v>
      </c>
      <c r="F21" s="1037" t="s">
        <v>80</v>
      </c>
      <c r="G21" s="1038">
        <v>2915167677</v>
      </c>
      <c r="H21" s="1039"/>
      <c r="I21" s="1038">
        <v>2915167677</v>
      </c>
      <c r="J21" s="1037" t="s">
        <v>5080</v>
      </c>
    </row>
    <row r="22" spans="1:10" ht="20.100000000000001" customHeight="1">
      <c r="A22" s="1036">
        <f>ROW()-ROW(A18)</f>
        <v>4</v>
      </c>
      <c r="B22" s="1036" t="s">
        <v>635</v>
      </c>
      <c r="C22" s="1036" t="s">
        <v>5083</v>
      </c>
      <c r="D22" s="1037" t="s">
        <v>5084</v>
      </c>
      <c r="E22" s="1037">
        <v>0.5</v>
      </c>
      <c r="F22" s="1037" t="s">
        <v>80</v>
      </c>
      <c r="G22" s="1038">
        <v>91538196</v>
      </c>
      <c r="H22" s="1039">
        <v>0</v>
      </c>
      <c r="I22" s="1038">
        <v>91538196</v>
      </c>
      <c r="J22" s="1037" t="s">
        <v>5080</v>
      </c>
    </row>
    <row r="23" spans="1:10" ht="20.100000000000001" customHeight="1">
      <c r="A23" s="1036">
        <f>ROW()-ROW(A18)</f>
        <v>5</v>
      </c>
      <c r="B23" s="1036" t="s">
        <v>635</v>
      </c>
      <c r="C23" s="1036" t="s">
        <v>5083</v>
      </c>
      <c r="D23" s="1037" t="s">
        <v>5079</v>
      </c>
      <c r="E23" s="1037">
        <v>0.5</v>
      </c>
      <c r="F23" s="1037" t="s">
        <v>80</v>
      </c>
      <c r="G23" s="1038">
        <v>91538196</v>
      </c>
      <c r="H23" s="1039"/>
      <c r="I23" s="1038">
        <v>91538196</v>
      </c>
      <c r="J23" s="1037" t="s">
        <v>5080</v>
      </c>
    </row>
    <row r="24" spans="1:10" ht="20.100000000000001" customHeight="1">
      <c r="A24" s="1036">
        <f>ROW()-ROW(A18)</f>
        <v>6</v>
      </c>
      <c r="B24" s="1036" t="s">
        <v>654</v>
      </c>
      <c r="C24" s="1036" t="s">
        <v>5085</v>
      </c>
      <c r="D24" s="1037" t="s">
        <v>5079</v>
      </c>
      <c r="E24" s="1037">
        <v>0.5</v>
      </c>
      <c r="F24" s="1037" t="s">
        <v>80</v>
      </c>
      <c r="G24" s="1038">
        <v>5979039</v>
      </c>
      <c r="H24" s="1039"/>
      <c r="I24" s="1038">
        <v>5979039</v>
      </c>
      <c r="J24" s="1037" t="s">
        <v>5080</v>
      </c>
    </row>
    <row r="25" spans="1:10" ht="20.100000000000001" customHeight="1">
      <c r="A25" s="1036">
        <f>ROW()-ROW(A18)</f>
        <v>7</v>
      </c>
      <c r="B25" s="1036" t="s">
        <v>657</v>
      </c>
      <c r="C25" s="1036" t="s">
        <v>5086</v>
      </c>
      <c r="D25" s="1037" t="s">
        <v>5079</v>
      </c>
      <c r="E25" s="1037">
        <v>0.5</v>
      </c>
      <c r="F25" s="1037" t="s">
        <v>80</v>
      </c>
      <c r="G25" s="1038">
        <v>907671</v>
      </c>
      <c r="H25" s="1039"/>
      <c r="I25" s="1038">
        <v>907671</v>
      </c>
      <c r="J25" s="1037" t="s">
        <v>5080</v>
      </c>
    </row>
    <row r="26" spans="1:10" ht="20.100000000000001" customHeight="1">
      <c r="A26" s="1036">
        <f>ROW()-ROW(A18)</f>
        <v>8</v>
      </c>
      <c r="B26" s="1036" t="s">
        <v>636</v>
      </c>
      <c r="C26" s="1036" t="s">
        <v>5083</v>
      </c>
      <c r="D26" s="1037" t="s">
        <v>5079</v>
      </c>
      <c r="E26" s="1037">
        <v>0</v>
      </c>
      <c r="F26" s="1037" t="s">
        <v>81</v>
      </c>
      <c r="G26" s="1040">
        <v>176.18</v>
      </c>
      <c r="H26" s="1041"/>
      <c r="I26" s="1040">
        <v>176.18</v>
      </c>
      <c r="J26" s="1037" t="s">
        <v>5080</v>
      </c>
    </row>
    <row r="27" spans="1:10" ht="20.100000000000001" customHeight="1">
      <c r="A27" s="1036">
        <f>ROW()-ROW(A18)</f>
        <v>9</v>
      </c>
      <c r="B27" s="1036" t="s">
        <v>636</v>
      </c>
      <c r="C27" s="1036" t="s">
        <v>5083</v>
      </c>
      <c r="D27" s="1037" t="s">
        <v>5084</v>
      </c>
      <c r="E27" s="1037">
        <v>0</v>
      </c>
      <c r="F27" s="1037" t="s">
        <v>81</v>
      </c>
      <c r="G27" s="1040">
        <v>176.18</v>
      </c>
      <c r="H27" s="1041">
        <v>0</v>
      </c>
      <c r="I27" s="1040">
        <v>176.18</v>
      </c>
      <c r="J27" s="1037" t="s">
        <v>5080</v>
      </c>
    </row>
    <row r="28" spans="1:10" ht="20.100000000000001" customHeight="1">
      <c r="A28" s="1036">
        <f>ROW()-ROW(A18)</f>
        <v>10</v>
      </c>
      <c r="B28" s="1036" t="s">
        <v>5087</v>
      </c>
      <c r="C28" s="1036" t="s">
        <v>5082</v>
      </c>
      <c r="D28" s="1037" t="s">
        <v>5079</v>
      </c>
      <c r="E28" s="1037">
        <v>0</v>
      </c>
      <c r="F28" s="1037" t="s">
        <v>81</v>
      </c>
      <c r="G28" s="1040">
        <v>0</v>
      </c>
      <c r="H28" s="1041"/>
      <c r="I28" s="1040">
        <v>0</v>
      </c>
      <c r="J28" s="1037" t="s">
        <v>5080</v>
      </c>
    </row>
    <row r="29" spans="1:10" ht="20.100000000000001" customHeight="1">
      <c r="A29" s="1036">
        <f>ROW()-ROW(A18)</f>
        <v>11</v>
      </c>
      <c r="B29" s="1036" t="s">
        <v>5088</v>
      </c>
      <c r="C29" s="1036" t="s">
        <v>5078</v>
      </c>
      <c r="D29" s="1037" t="s">
        <v>5079</v>
      </c>
      <c r="E29" s="1037">
        <v>0</v>
      </c>
      <c r="F29" s="1037" t="s">
        <v>81</v>
      </c>
      <c r="G29" s="1040">
        <v>0</v>
      </c>
      <c r="H29" s="1041"/>
      <c r="I29" s="1040">
        <v>0</v>
      </c>
      <c r="J29" s="1037" t="s">
        <v>5080</v>
      </c>
    </row>
    <row r="30" spans="1:10" ht="20.100000000000001" customHeight="1">
      <c r="A30" s="1036">
        <f>ROW()-ROW(A18)</f>
        <v>12</v>
      </c>
      <c r="B30" s="1036" t="s">
        <v>637</v>
      </c>
      <c r="C30" s="1036" t="s">
        <v>5083</v>
      </c>
      <c r="D30" s="1037" t="s">
        <v>5089</v>
      </c>
      <c r="E30" s="1037">
        <v>0</v>
      </c>
      <c r="F30" s="1037" t="s">
        <v>81</v>
      </c>
      <c r="G30" s="1040">
        <v>0</v>
      </c>
      <c r="H30" s="1041">
        <v>0</v>
      </c>
      <c r="I30" s="1040">
        <v>0</v>
      </c>
      <c r="J30" s="1037" t="s">
        <v>5080</v>
      </c>
    </row>
    <row r="31" spans="1:10" ht="20.100000000000001" customHeight="1">
      <c r="A31" s="1036">
        <f>ROW()-ROW(A18)</f>
        <v>13</v>
      </c>
      <c r="B31" s="1036" t="s">
        <v>655</v>
      </c>
      <c r="C31" s="1036" t="s">
        <v>5085</v>
      </c>
      <c r="D31" s="1037" t="s">
        <v>5079</v>
      </c>
      <c r="E31" s="1037">
        <v>0</v>
      </c>
      <c r="F31" s="1037" t="s">
        <v>81</v>
      </c>
      <c r="G31" s="1040">
        <v>0</v>
      </c>
      <c r="H31" s="1041"/>
      <c r="I31" s="1040">
        <v>0</v>
      </c>
      <c r="J31" s="1037" t="s">
        <v>5080</v>
      </c>
    </row>
    <row r="32" spans="1:10" ht="20.100000000000001" customHeight="1">
      <c r="A32" s="1036">
        <f>ROW()-ROW(A18)</f>
        <v>14</v>
      </c>
      <c r="B32" s="1036" t="s">
        <v>637</v>
      </c>
      <c r="C32" s="1036" t="s">
        <v>5083</v>
      </c>
      <c r="D32" s="1037" t="s">
        <v>5079</v>
      </c>
      <c r="E32" s="1037">
        <v>0</v>
      </c>
      <c r="F32" s="1037" t="s">
        <v>81</v>
      </c>
      <c r="G32" s="1040">
        <v>0</v>
      </c>
      <c r="H32" s="1041"/>
      <c r="I32" s="1040">
        <v>0</v>
      </c>
      <c r="J32" s="1037" t="s">
        <v>5080</v>
      </c>
    </row>
    <row r="33" spans="1:10" ht="20.100000000000001" customHeight="1">
      <c r="A33" s="1036">
        <f>ROW()-ROW(A18)</f>
        <v>15</v>
      </c>
      <c r="B33" s="1036" t="s">
        <v>5090</v>
      </c>
      <c r="C33" s="1036" t="s">
        <v>5081</v>
      </c>
      <c r="D33" s="1037" t="s">
        <v>5079</v>
      </c>
      <c r="E33" s="1037">
        <v>0</v>
      </c>
      <c r="F33" s="1037" t="s">
        <v>81</v>
      </c>
      <c r="G33" s="1040">
        <v>0</v>
      </c>
      <c r="H33" s="1041"/>
      <c r="I33" s="1040">
        <v>0</v>
      </c>
      <c r="J33" s="1037" t="s">
        <v>5080</v>
      </c>
    </row>
    <row r="34" spans="1:10" ht="20.100000000000001" customHeight="1">
      <c r="A34" s="1036">
        <f>ROW()-ROW(A18)</f>
        <v>16</v>
      </c>
      <c r="B34" s="1036" t="s">
        <v>657</v>
      </c>
      <c r="C34" s="1036" t="s">
        <v>5086</v>
      </c>
      <c r="D34" s="1037" t="s">
        <v>5084</v>
      </c>
      <c r="E34" s="1037">
        <v>0.5</v>
      </c>
      <c r="F34" s="1037" t="s">
        <v>80</v>
      </c>
      <c r="G34" s="1038">
        <v>907671</v>
      </c>
      <c r="H34" s="1039">
        <v>0</v>
      </c>
      <c r="I34" s="1038">
        <v>907671</v>
      </c>
      <c r="J34" s="1037" t="s">
        <v>5080</v>
      </c>
    </row>
    <row r="35" spans="1:10" ht="20.100000000000001" customHeight="1">
      <c r="A35" s="1036">
        <f>ROW()-ROW(A18)</f>
        <v>17</v>
      </c>
      <c r="B35" s="1036" t="s">
        <v>658</v>
      </c>
      <c r="C35" s="1036" t="s">
        <v>5086</v>
      </c>
      <c r="D35" s="1037" t="s">
        <v>5084</v>
      </c>
      <c r="E35" s="1037">
        <v>0</v>
      </c>
      <c r="F35" s="1037" t="s">
        <v>81</v>
      </c>
      <c r="G35" s="1040">
        <v>0</v>
      </c>
      <c r="H35" s="1041">
        <v>0</v>
      </c>
      <c r="I35" s="1040">
        <v>0</v>
      </c>
      <c r="J35" s="1037" t="s">
        <v>5080</v>
      </c>
    </row>
    <row r="36" spans="1:10" ht="20.100000000000001" customHeight="1">
      <c r="A36" s="1036">
        <f>ROW()-ROW(A18)</f>
        <v>18</v>
      </c>
      <c r="B36" s="1036" t="s">
        <v>654</v>
      </c>
      <c r="C36" s="1036" t="s">
        <v>5085</v>
      </c>
      <c r="D36" s="1037" t="s">
        <v>5091</v>
      </c>
      <c r="E36" s="1037">
        <v>0.5</v>
      </c>
      <c r="F36" s="1037" t="s">
        <v>80</v>
      </c>
      <c r="G36" s="1038">
        <v>5979039</v>
      </c>
      <c r="H36" s="1039">
        <v>0</v>
      </c>
      <c r="I36" s="1038">
        <v>5979039</v>
      </c>
      <c r="J36" s="1037" t="s">
        <v>5080</v>
      </c>
    </row>
    <row r="37" spans="1:10" ht="20.100000000000001" customHeight="1">
      <c r="A37" s="1036">
        <f>ROW()-ROW(A18)</f>
        <v>19</v>
      </c>
      <c r="B37" s="1036" t="s">
        <v>655</v>
      </c>
      <c r="C37" s="1036" t="s">
        <v>5085</v>
      </c>
      <c r="D37" s="1037" t="s">
        <v>5091</v>
      </c>
      <c r="E37" s="1037">
        <v>0</v>
      </c>
      <c r="F37" s="1037" t="s">
        <v>81</v>
      </c>
      <c r="G37" s="1040">
        <v>0</v>
      </c>
      <c r="H37" s="1041">
        <v>0</v>
      </c>
      <c r="I37" s="1040">
        <v>0</v>
      </c>
      <c r="J37" s="1037" t="s">
        <v>5080</v>
      </c>
    </row>
    <row r="38" spans="1:10" ht="20.100000000000001" customHeight="1">
      <c r="A38" s="1036">
        <f>ROW()-ROW(A18)</f>
        <v>20</v>
      </c>
      <c r="B38" s="1036" t="s">
        <v>711</v>
      </c>
      <c r="C38" s="1036" t="s">
        <v>5081</v>
      </c>
      <c r="D38" s="1037" t="s">
        <v>5092</v>
      </c>
      <c r="E38" s="1037">
        <v>0.5</v>
      </c>
      <c r="F38" s="1037" t="s">
        <v>80</v>
      </c>
      <c r="G38" s="1038">
        <v>3145987222</v>
      </c>
      <c r="H38" s="1039">
        <v>0</v>
      </c>
      <c r="I38" s="1038">
        <v>3145987222</v>
      </c>
      <c r="J38" s="1037" t="s">
        <v>5080</v>
      </c>
    </row>
    <row r="39" spans="1:10" ht="20.100000000000001" customHeight="1">
      <c r="A39" s="1036">
        <f>ROW()-ROW(A18)</f>
        <v>21</v>
      </c>
      <c r="B39" s="1036" t="s">
        <v>5090</v>
      </c>
      <c r="C39" s="1036" t="s">
        <v>5081</v>
      </c>
      <c r="D39" s="1037" t="s">
        <v>5092</v>
      </c>
      <c r="E39" s="1037">
        <v>0</v>
      </c>
      <c r="F39" s="1037" t="s">
        <v>81</v>
      </c>
      <c r="G39" s="1040">
        <v>0</v>
      </c>
      <c r="H39" s="1041">
        <v>0</v>
      </c>
      <c r="I39" s="1040">
        <v>0</v>
      </c>
      <c r="J39" s="1037" t="s">
        <v>5080</v>
      </c>
    </row>
    <row r="40" spans="1:10" ht="20.100000000000001" customHeight="1">
      <c r="A40" s="1036">
        <f>ROW()-ROW(A18)</f>
        <v>22</v>
      </c>
      <c r="B40" s="1036" t="s">
        <v>707</v>
      </c>
      <c r="C40" s="1036" t="s">
        <v>5078</v>
      </c>
      <c r="D40" s="1037" t="s">
        <v>5092</v>
      </c>
      <c r="E40" s="1037">
        <v>0.5</v>
      </c>
      <c r="F40" s="1037" t="s">
        <v>80</v>
      </c>
      <c r="G40" s="1038">
        <v>3905709302</v>
      </c>
      <c r="H40" s="1039">
        <v>0</v>
      </c>
      <c r="I40" s="1038">
        <v>3905709302</v>
      </c>
      <c r="J40" s="1037" t="s">
        <v>5080</v>
      </c>
    </row>
    <row r="41" spans="1:10" ht="20.100000000000001" customHeight="1">
      <c r="A41" s="1036">
        <f>ROW()-ROW(A18)</f>
        <v>23</v>
      </c>
      <c r="B41" s="1036" t="s">
        <v>5088</v>
      </c>
      <c r="C41" s="1036" t="s">
        <v>5078</v>
      </c>
      <c r="D41" s="1037" t="s">
        <v>5092</v>
      </c>
      <c r="E41" s="1037">
        <v>0</v>
      </c>
      <c r="F41" s="1037" t="s">
        <v>81</v>
      </c>
      <c r="G41" s="1040">
        <v>0</v>
      </c>
      <c r="H41" s="1041">
        <v>0</v>
      </c>
      <c r="I41" s="1040">
        <v>0</v>
      </c>
      <c r="J41" s="1037" t="s">
        <v>5080</v>
      </c>
    </row>
    <row r="42" spans="1:10" ht="20.100000000000001" customHeight="1">
      <c r="A42" s="1036">
        <f>ROW()-ROW(A18)</f>
        <v>24</v>
      </c>
      <c r="B42" s="1036" t="s">
        <v>709</v>
      </c>
      <c r="C42" s="1036" t="s">
        <v>5082</v>
      </c>
      <c r="D42" s="1037" t="s">
        <v>5092</v>
      </c>
      <c r="E42" s="1037">
        <v>0.5</v>
      </c>
      <c r="F42" s="1037" t="s">
        <v>80</v>
      </c>
      <c r="G42" s="1038">
        <v>2915167677</v>
      </c>
      <c r="H42" s="1039">
        <v>0</v>
      </c>
      <c r="I42" s="1038">
        <v>2915167677</v>
      </c>
      <c r="J42" s="1037" t="s">
        <v>5080</v>
      </c>
    </row>
    <row r="43" spans="1:10" ht="20.100000000000001" customHeight="1">
      <c r="A43" s="1036">
        <f>ROW()-ROW(A18)</f>
        <v>25</v>
      </c>
      <c r="B43" s="1036" t="s">
        <v>5087</v>
      </c>
      <c r="C43" s="1036" t="s">
        <v>5082</v>
      </c>
      <c r="D43" s="1037" t="s">
        <v>5092</v>
      </c>
      <c r="E43" s="1037">
        <v>0</v>
      </c>
      <c r="F43" s="1037" t="s">
        <v>81</v>
      </c>
      <c r="G43" s="1040">
        <v>0</v>
      </c>
      <c r="H43" s="1041">
        <v>0</v>
      </c>
      <c r="I43" s="1040">
        <v>0</v>
      </c>
      <c r="J43" s="1037" t="s">
        <v>5080</v>
      </c>
    </row>
    <row r="44" spans="1:10" ht="20.100000000000001" customHeight="1">
      <c r="A44" s="1036">
        <f>ROW()-ROW(A18)</f>
        <v>26</v>
      </c>
      <c r="B44" s="1036" t="s">
        <v>631</v>
      </c>
      <c r="C44" s="1036" t="s">
        <v>5062</v>
      </c>
      <c r="D44" s="1037" t="s">
        <v>5084</v>
      </c>
      <c r="E44" s="1037">
        <v>0.5</v>
      </c>
      <c r="F44" s="1037" t="s">
        <v>80</v>
      </c>
      <c r="G44" s="1038">
        <v>68533224</v>
      </c>
      <c r="H44" s="1039">
        <v>0</v>
      </c>
      <c r="I44" s="1038">
        <v>68533224</v>
      </c>
      <c r="J44" s="1037" t="s">
        <v>5080</v>
      </c>
    </row>
    <row r="45" spans="1:10" ht="20.100000000000001" customHeight="1">
      <c r="A45" s="1036">
        <f>ROW()-ROW(A18)</f>
        <v>27</v>
      </c>
      <c r="B45" s="1036" t="s">
        <v>632</v>
      </c>
      <c r="C45" s="1036" t="s">
        <v>5062</v>
      </c>
      <c r="D45" s="1037" t="s">
        <v>5084</v>
      </c>
      <c r="E45" s="1037">
        <v>0</v>
      </c>
      <c r="F45" s="1037" t="s">
        <v>81</v>
      </c>
      <c r="G45" s="1040">
        <v>179.18</v>
      </c>
      <c r="H45" s="1041">
        <v>0</v>
      </c>
      <c r="I45" s="1040">
        <v>179.18</v>
      </c>
      <c r="J45" s="1037" t="s">
        <v>5080</v>
      </c>
    </row>
    <row r="46" spans="1:10" ht="20.100000000000001" customHeight="1">
      <c r="A46" s="1036">
        <f>ROW()-ROW(A18)</f>
        <v>28</v>
      </c>
      <c r="B46" s="1036" t="s">
        <v>633</v>
      </c>
      <c r="C46" s="1036" t="s">
        <v>5062</v>
      </c>
      <c r="D46" s="1037" t="s">
        <v>5089</v>
      </c>
      <c r="E46" s="1037">
        <v>0</v>
      </c>
      <c r="F46" s="1037" t="s">
        <v>81</v>
      </c>
      <c r="G46" s="1040">
        <v>0</v>
      </c>
      <c r="H46" s="1041">
        <v>0</v>
      </c>
      <c r="I46" s="1040">
        <v>0</v>
      </c>
      <c r="J46" s="1037" t="s">
        <v>5080</v>
      </c>
    </row>
  </sheetData>
  <mergeCells count="15">
    <mergeCell ref="C15:D15"/>
    <mergeCell ref="E15:F15"/>
    <mergeCell ref="A17:J17"/>
    <mergeCell ref="C12:D12"/>
    <mergeCell ref="E12:F12"/>
    <mergeCell ref="C13:D13"/>
    <mergeCell ref="E13:F13"/>
    <mergeCell ref="C14:D14"/>
    <mergeCell ref="E14:F14"/>
    <mergeCell ref="A10:J10"/>
    <mergeCell ref="A2:C2"/>
    <mergeCell ref="A3:C3"/>
    <mergeCell ref="A6:I6"/>
    <mergeCell ref="A7:I7"/>
    <mergeCell ref="A8:I8"/>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4F6BC-5EBA-453F-969D-A38DF5ADBDA5}">
  <dimension ref="A1:Q388"/>
  <sheetViews>
    <sheetView topLeftCell="A57" zoomScaleNormal="100" workbookViewId="0">
      <selection activeCell="C40" sqref="C40"/>
    </sheetView>
  </sheetViews>
  <sheetFormatPr defaultColWidth="9.21875" defaultRowHeight="13.8"/>
  <cols>
    <col min="1" max="1" width="8.77734375" style="1025" customWidth="1"/>
    <col min="2" max="2" width="24.77734375" style="1025" customWidth="1"/>
    <col min="3" max="3" width="29.77734375" style="1025" customWidth="1"/>
    <col min="4" max="4" width="21.77734375" style="1025" customWidth="1"/>
    <col min="5" max="5" width="20.21875" style="1025" customWidth="1"/>
    <col min="6" max="6" width="17.77734375" style="1025" customWidth="1"/>
    <col min="7" max="7" width="32.44140625" style="1025" customWidth="1"/>
    <col min="8" max="8" width="31.44140625" style="1025" customWidth="1"/>
    <col min="9" max="9" width="28.5546875" style="1025" customWidth="1"/>
    <col min="10" max="10" width="26.21875" style="1025" customWidth="1"/>
    <col min="11" max="256" width="9.21875" style="1025"/>
    <col min="257" max="257" width="8.77734375" style="1025" customWidth="1"/>
    <col min="258" max="258" width="24.77734375" style="1025" customWidth="1"/>
    <col min="259" max="259" width="29.77734375" style="1025" customWidth="1"/>
    <col min="260" max="260" width="21.77734375" style="1025" customWidth="1"/>
    <col min="261" max="261" width="20.21875" style="1025" customWidth="1"/>
    <col min="262" max="262" width="17.77734375" style="1025" customWidth="1"/>
    <col min="263" max="263" width="32.44140625" style="1025" customWidth="1"/>
    <col min="264" max="264" width="31.44140625" style="1025" customWidth="1"/>
    <col min="265" max="265" width="28.5546875" style="1025" customWidth="1"/>
    <col min="266" max="266" width="26.21875" style="1025" customWidth="1"/>
    <col min="267" max="512" width="9.21875" style="1025"/>
    <col min="513" max="513" width="8.77734375" style="1025" customWidth="1"/>
    <col min="514" max="514" width="24.77734375" style="1025" customWidth="1"/>
    <col min="515" max="515" width="29.77734375" style="1025" customWidth="1"/>
    <col min="516" max="516" width="21.77734375" style="1025" customWidth="1"/>
    <col min="517" max="517" width="20.21875" style="1025" customWidth="1"/>
    <col min="518" max="518" width="17.77734375" style="1025" customWidth="1"/>
    <col min="519" max="519" width="32.44140625" style="1025" customWidth="1"/>
    <col min="520" max="520" width="31.44140625" style="1025" customWidth="1"/>
    <col min="521" max="521" width="28.5546875" style="1025" customWidth="1"/>
    <col min="522" max="522" width="26.21875" style="1025" customWidth="1"/>
    <col min="523" max="768" width="9.21875" style="1025"/>
    <col min="769" max="769" width="8.77734375" style="1025" customWidth="1"/>
    <col min="770" max="770" width="24.77734375" style="1025" customWidth="1"/>
    <col min="771" max="771" width="29.77734375" style="1025" customWidth="1"/>
    <col min="772" max="772" width="21.77734375" style="1025" customWidth="1"/>
    <col min="773" max="773" width="20.21875" style="1025" customWidth="1"/>
    <col min="774" max="774" width="17.77734375" style="1025" customWidth="1"/>
    <col min="775" max="775" width="32.44140625" style="1025" customWidth="1"/>
    <col min="776" max="776" width="31.44140625" style="1025" customWidth="1"/>
    <col min="777" max="777" width="28.5546875" style="1025" customWidth="1"/>
    <col min="778" max="778" width="26.21875" style="1025" customWidth="1"/>
    <col min="779" max="1024" width="9.21875" style="1025"/>
    <col min="1025" max="1025" width="8.77734375" style="1025" customWidth="1"/>
    <col min="1026" max="1026" width="24.77734375" style="1025" customWidth="1"/>
    <col min="1027" max="1027" width="29.77734375" style="1025" customWidth="1"/>
    <col min="1028" max="1028" width="21.77734375" style="1025" customWidth="1"/>
    <col min="1029" max="1029" width="20.21875" style="1025" customWidth="1"/>
    <col min="1030" max="1030" width="17.77734375" style="1025" customWidth="1"/>
    <col min="1031" max="1031" width="32.44140625" style="1025" customWidth="1"/>
    <col min="1032" max="1032" width="31.44140625" style="1025" customWidth="1"/>
    <col min="1033" max="1033" width="28.5546875" style="1025" customWidth="1"/>
    <col min="1034" max="1034" width="26.21875" style="1025" customWidth="1"/>
    <col min="1035" max="1280" width="9.21875" style="1025"/>
    <col min="1281" max="1281" width="8.77734375" style="1025" customWidth="1"/>
    <col min="1282" max="1282" width="24.77734375" style="1025" customWidth="1"/>
    <col min="1283" max="1283" width="29.77734375" style="1025" customWidth="1"/>
    <col min="1284" max="1284" width="21.77734375" style="1025" customWidth="1"/>
    <col min="1285" max="1285" width="20.21875" style="1025" customWidth="1"/>
    <col min="1286" max="1286" width="17.77734375" style="1025" customWidth="1"/>
    <col min="1287" max="1287" width="32.44140625" style="1025" customWidth="1"/>
    <col min="1288" max="1288" width="31.44140625" style="1025" customWidth="1"/>
    <col min="1289" max="1289" width="28.5546875" style="1025" customWidth="1"/>
    <col min="1290" max="1290" width="26.21875" style="1025" customWidth="1"/>
    <col min="1291" max="1536" width="9.21875" style="1025"/>
    <col min="1537" max="1537" width="8.77734375" style="1025" customWidth="1"/>
    <col min="1538" max="1538" width="24.77734375" style="1025" customWidth="1"/>
    <col min="1539" max="1539" width="29.77734375" style="1025" customWidth="1"/>
    <col min="1540" max="1540" width="21.77734375" style="1025" customWidth="1"/>
    <col min="1541" max="1541" width="20.21875" style="1025" customWidth="1"/>
    <col min="1542" max="1542" width="17.77734375" style="1025" customWidth="1"/>
    <col min="1543" max="1543" width="32.44140625" style="1025" customWidth="1"/>
    <col min="1544" max="1544" width="31.44140625" style="1025" customWidth="1"/>
    <col min="1545" max="1545" width="28.5546875" style="1025" customWidth="1"/>
    <col min="1546" max="1546" width="26.21875" style="1025" customWidth="1"/>
    <col min="1547" max="1792" width="9.21875" style="1025"/>
    <col min="1793" max="1793" width="8.77734375" style="1025" customWidth="1"/>
    <col min="1794" max="1794" width="24.77734375" style="1025" customWidth="1"/>
    <col min="1795" max="1795" width="29.77734375" style="1025" customWidth="1"/>
    <col min="1796" max="1796" width="21.77734375" style="1025" customWidth="1"/>
    <col min="1797" max="1797" width="20.21875" style="1025" customWidth="1"/>
    <col min="1798" max="1798" width="17.77734375" style="1025" customWidth="1"/>
    <col min="1799" max="1799" width="32.44140625" style="1025" customWidth="1"/>
    <col min="1800" max="1800" width="31.44140625" style="1025" customWidth="1"/>
    <col min="1801" max="1801" width="28.5546875" style="1025" customWidth="1"/>
    <col min="1802" max="1802" width="26.21875" style="1025" customWidth="1"/>
    <col min="1803" max="2048" width="9.21875" style="1025"/>
    <col min="2049" max="2049" width="8.77734375" style="1025" customWidth="1"/>
    <col min="2050" max="2050" width="24.77734375" style="1025" customWidth="1"/>
    <col min="2051" max="2051" width="29.77734375" style="1025" customWidth="1"/>
    <col min="2052" max="2052" width="21.77734375" style="1025" customWidth="1"/>
    <col min="2053" max="2053" width="20.21875" style="1025" customWidth="1"/>
    <col min="2054" max="2054" width="17.77734375" style="1025" customWidth="1"/>
    <col min="2055" max="2055" width="32.44140625" style="1025" customWidth="1"/>
    <col min="2056" max="2056" width="31.44140625" style="1025" customWidth="1"/>
    <col min="2057" max="2057" width="28.5546875" style="1025" customWidth="1"/>
    <col min="2058" max="2058" width="26.21875" style="1025" customWidth="1"/>
    <col min="2059" max="2304" width="9.21875" style="1025"/>
    <col min="2305" max="2305" width="8.77734375" style="1025" customWidth="1"/>
    <col min="2306" max="2306" width="24.77734375" style="1025" customWidth="1"/>
    <col min="2307" max="2307" width="29.77734375" style="1025" customWidth="1"/>
    <col min="2308" max="2308" width="21.77734375" style="1025" customWidth="1"/>
    <col min="2309" max="2309" width="20.21875" style="1025" customWidth="1"/>
    <col min="2310" max="2310" width="17.77734375" style="1025" customWidth="1"/>
    <col min="2311" max="2311" width="32.44140625" style="1025" customWidth="1"/>
    <col min="2312" max="2312" width="31.44140625" style="1025" customWidth="1"/>
    <col min="2313" max="2313" width="28.5546875" style="1025" customWidth="1"/>
    <col min="2314" max="2314" width="26.21875" style="1025" customWidth="1"/>
    <col min="2315" max="2560" width="9.21875" style="1025"/>
    <col min="2561" max="2561" width="8.77734375" style="1025" customWidth="1"/>
    <col min="2562" max="2562" width="24.77734375" style="1025" customWidth="1"/>
    <col min="2563" max="2563" width="29.77734375" style="1025" customWidth="1"/>
    <col min="2564" max="2564" width="21.77734375" style="1025" customWidth="1"/>
    <col min="2565" max="2565" width="20.21875" style="1025" customWidth="1"/>
    <col min="2566" max="2566" width="17.77734375" style="1025" customWidth="1"/>
    <col min="2567" max="2567" width="32.44140625" style="1025" customWidth="1"/>
    <col min="2568" max="2568" width="31.44140625" style="1025" customWidth="1"/>
    <col min="2569" max="2569" width="28.5546875" style="1025" customWidth="1"/>
    <col min="2570" max="2570" width="26.21875" style="1025" customWidth="1"/>
    <col min="2571" max="2816" width="9.21875" style="1025"/>
    <col min="2817" max="2817" width="8.77734375" style="1025" customWidth="1"/>
    <col min="2818" max="2818" width="24.77734375" style="1025" customWidth="1"/>
    <col min="2819" max="2819" width="29.77734375" style="1025" customWidth="1"/>
    <col min="2820" max="2820" width="21.77734375" style="1025" customWidth="1"/>
    <col min="2821" max="2821" width="20.21875" style="1025" customWidth="1"/>
    <col min="2822" max="2822" width="17.77734375" style="1025" customWidth="1"/>
    <col min="2823" max="2823" width="32.44140625" style="1025" customWidth="1"/>
    <col min="2824" max="2824" width="31.44140625" style="1025" customWidth="1"/>
    <col min="2825" max="2825" width="28.5546875" style="1025" customWidth="1"/>
    <col min="2826" max="2826" width="26.21875" style="1025" customWidth="1"/>
    <col min="2827" max="3072" width="9.21875" style="1025"/>
    <col min="3073" max="3073" width="8.77734375" style="1025" customWidth="1"/>
    <col min="3074" max="3074" width="24.77734375" style="1025" customWidth="1"/>
    <col min="3075" max="3075" width="29.77734375" style="1025" customWidth="1"/>
    <col min="3076" max="3076" width="21.77734375" style="1025" customWidth="1"/>
    <col min="3077" max="3077" width="20.21875" style="1025" customWidth="1"/>
    <col min="3078" max="3078" width="17.77734375" style="1025" customWidth="1"/>
    <col min="3079" max="3079" width="32.44140625" style="1025" customWidth="1"/>
    <col min="3080" max="3080" width="31.44140625" style="1025" customWidth="1"/>
    <col min="3081" max="3081" width="28.5546875" style="1025" customWidth="1"/>
    <col min="3082" max="3082" width="26.21875" style="1025" customWidth="1"/>
    <col min="3083" max="3328" width="9.21875" style="1025"/>
    <col min="3329" max="3329" width="8.77734375" style="1025" customWidth="1"/>
    <col min="3330" max="3330" width="24.77734375" style="1025" customWidth="1"/>
    <col min="3331" max="3331" width="29.77734375" style="1025" customWidth="1"/>
    <col min="3332" max="3332" width="21.77734375" style="1025" customWidth="1"/>
    <col min="3333" max="3333" width="20.21875" style="1025" customWidth="1"/>
    <col min="3334" max="3334" width="17.77734375" style="1025" customWidth="1"/>
    <col min="3335" max="3335" width="32.44140625" style="1025" customWidth="1"/>
    <col min="3336" max="3336" width="31.44140625" style="1025" customWidth="1"/>
    <col min="3337" max="3337" width="28.5546875" style="1025" customWidth="1"/>
    <col min="3338" max="3338" width="26.21875" style="1025" customWidth="1"/>
    <col min="3339" max="3584" width="9.21875" style="1025"/>
    <col min="3585" max="3585" width="8.77734375" style="1025" customWidth="1"/>
    <col min="3586" max="3586" width="24.77734375" style="1025" customWidth="1"/>
    <col min="3587" max="3587" width="29.77734375" style="1025" customWidth="1"/>
    <col min="3588" max="3588" width="21.77734375" style="1025" customWidth="1"/>
    <col min="3589" max="3589" width="20.21875" style="1025" customWidth="1"/>
    <col min="3590" max="3590" width="17.77734375" style="1025" customWidth="1"/>
    <col min="3591" max="3591" width="32.44140625" style="1025" customWidth="1"/>
    <col min="3592" max="3592" width="31.44140625" style="1025" customWidth="1"/>
    <col min="3593" max="3593" width="28.5546875" style="1025" customWidth="1"/>
    <col min="3594" max="3594" width="26.21875" style="1025" customWidth="1"/>
    <col min="3595" max="3840" width="9.21875" style="1025"/>
    <col min="3841" max="3841" width="8.77734375" style="1025" customWidth="1"/>
    <col min="3842" max="3842" width="24.77734375" style="1025" customWidth="1"/>
    <col min="3843" max="3843" width="29.77734375" style="1025" customWidth="1"/>
    <col min="3844" max="3844" width="21.77734375" style="1025" customWidth="1"/>
    <col min="3845" max="3845" width="20.21875" style="1025" customWidth="1"/>
    <col min="3846" max="3846" width="17.77734375" style="1025" customWidth="1"/>
    <col min="3847" max="3847" width="32.44140625" style="1025" customWidth="1"/>
    <col min="3848" max="3848" width="31.44140625" style="1025" customWidth="1"/>
    <col min="3849" max="3849" width="28.5546875" style="1025" customWidth="1"/>
    <col min="3850" max="3850" width="26.21875" style="1025" customWidth="1"/>
    <col min="3851" max="4096" width="9.21875" style="1025"/>
    <col min="4097" max="4097" width="8.77734375" style="1025" customWidth="1"/>
    <col min="4098" max="4098" width="24.77734375" style="1025" customWidth="1"/>
    <col min="4099" max="4099" width="29.77734375" style="1025" customWidth="1"/>
    <col min="4100" max="4100" width="21.77734375" style="1025" customWidth="1"/>
    <col min="4101" max="4101" width="20.21875" style="1025" customWidth="1"/>
    <col min="4102" max="4102" width="17.77734375" style="1025" customWidth="1"/>
    <col min="4103" max="4103" width="32.44140625" style="1025" customWidth="1"/>
    <col min="4104" max="4104" width="31.44140625" style="1025" customWidth="1"/>
    <col min="4105" max="4105" width="28.5546875" style="1025" customWidth="1"/>
    <col min="4106" max="4106" width="26.21875" style="1025" customWidth="1"/>
    <col min="4107" max="4352" width="9.21875" style="1025"/>
    <col min="4353" max="4353" width="8.77734375" style="1025" customWidth="1"/>
    <col min="4354" max="4354" width="24.77734375" style="1025" customWidth="1"/>
    <col min="4355" max="4355" width="29.77734375" style="1025" customWidth="1"/>
    <col min="4356" max="4356" width="21.77734375" style="1025" customWidth="1"/>
    <col min="4357" max="4357" width="20.21875" style="1025" customWidth="1"/>
    <col min="4358" max="4358" width="17.77734375" style="1025" customWidth="1"/>
    <col min="4359" max="4359" width="32.44140625" style="1025" customWidth="1"/>
    <col min="4360" max="4360" width="31.44140625" style="1025" customWidth="1"/>
    <col min="4361" max="4361" width="28.5546875" style="1025" customWidth="1"/>
    <col min="4362" max="4362" width="26.21875" style="1025" customWidth="1"/>
    <col min="4363" max="4608" width="9.21875" style="1025"/>
    <col min="4609" max="4609" width="8.77734375" style="1025" customWidth="1"/>
    <col min="4610" max="4610" width="24.77734375" style="1025" customWidth="1"/>
    <col min="4611" max="4611" width="29.77734375" style="1025" customWidth="1"/>
    <col min="4612" max="4612" width="21.77734375" style="1025" customWidth="1"/>
    <col min="4613" max="4613" width="20.21875" style="1025" customWidth="1"/>
    <col min="4614" max="4614" width="17.77734375" style="1025" customWidth="1"/>
    <col min="4615" max="4615" width="32.44140625" style="1025" customWidth="1"/>
    <col min="4616" max="4616" width="31.44140625" style="1025" customWidth="1"/>
    <col min="4617" max="4617" width="28.5546875" style="1025" customWidth="1"/>
    <col min="4618" max="4618" width="26.21875" style="1025" customWidth="1"/>
    <col min="4619" max="4864" width="9.21875" style="1025"/>
    <col min="4865" max="4865" width="8.77734375" style="1025" customWidth="1"/>
    <col min="4866" max="4866" width="24.77734375" style="1025" customWidth="1"/>
    <col min="4867" max="4867" width="29.77734375" style="1025" customWidth="1"/>
    <col min="4868" max="4868" width="21.77734375" style="1025" customWidth="1"/>
    <col min="4869" max="4869" width="20.21875" style="1025" customWidth="1"/>
    <col min="4870" max="4870" width="17.77734375" style="1025" customWidth="1"/>
    <col min="4871" max="4871" width="32.44140625" style="1025" customWidth="1"/>
    <col min="4872" max="4872" width="31.44140625" style="1025" customWidth="1"/>
    <col min="4873" max="4873" width="28.5546875" style="1025" customWidth="1"/>
    <col min="4874" max="4874" width="26.21875" style="1025" customWidth="1"/>
    <col min="4875" max="5120" width="9.21875" style="1025"/>
    <col min="5121" max="5121" width="8.77734375" style="1025" customWidth="1"/>
    <col min="5122" max="5122" width="24.77734375" style="1025" customWidth="1"/>
    <col min="5123" max="5123" width="29.77734375" style="1025" customWidth="1"/>
    <col min="5124" max="5124" width="21.77734375" style="1025" customWidth="1"/>
    <col min="5125" max="5125" width="20.21875" style="1025" customWidth="1"/>
    <col min="5126" max="5126" width="17.77734375" style="1025" customWidth="1"/>
    <col min="5127" max="5127" width="32.44140625" style="1025" customWidth="1"/>
    <col min="5128" max="5128" width="31.44140625" style="1025" customWidth="1"/>
    <col min="5129" max="5129" width="28.5546875" style="1025" customWidth="1"/>
    <col min="5130" max="5130" width="26.21875" style="1025" customWidth="1"/>
    <col min="5131" max="5376" width="9.21875" style="1025"/>
    <col min="5377" max="5377" width="8.77734375" style="1025" customWidth="1"/>
    <col min="5378" max="5378" width="24.77734375" style="1025" customWidth="1"/>
    <col min="5379" max="5379" width="29.77734375" style="1025" customWidth="1"/>
    <col min="5380" max="5380" width="21.77734375" style="1025" customWidth="1"/>
    <col min="5381" max="5381" width="20.21875" style="1025" customWidth="1"/>
    <col min="5382" max="5382" width="17.77734375" style="1025" customWidth="1"/>
    <col min="5383" max="5383" width="32.44140625" style="1025" customWidth="1"/>
    <col min="5384" max="5384" width="31.44140625" style="1025" customWidth="1"/>
    <col min="5385" max="5385" width="28.5546875" style="1025" customWidth="1"/>
    <col min="5386" max="5386" width="26.21875" style="1025" customWidth="1"/>
    <col min="5387" max="5632" width="9.21875" style="1025"/>
    <col min="5633" max="5633" width="8.77734375" style="1025" customWidth="1"/>
    <col min="5634" max="5634" width="24.77734375" style="1025" customWidth="1"/>
    <col min="5635" max="5635" width="29.77734375" style="1025" customWidth="1"/>
    <col min="5636" max="5636" width="21.77734375" style="1025" customWidth="1"/>
    <col min="5637" max="5637" width="20.21875" style="1025" customWidth="1"/>
    <col min="5638" max="5638" width="17.77734375" style="1025" customWidth="1"/>
    <col min="5639" max="5639" width="32.44140625" style="1025" customWidth="1"/>
    <col min="5640" max="5640" width="31.44140625" style="1025" customWidth="1"/>
    <col min="5641" max="5641" width="28.5546875" style="1025" customWidth="1"/>
    <col min="5642" max="5642" width="26.21875" style="1025" customWidth="1"/>
    <col min="5643" max="5888" width="9.21875" style="1025"/>
    <col min="5889" max="5889" width="8.77734375" style="1025" customWidth="1"/>
    <col min="5890" max="5890" width="24.77734375" style="1025" customWidth="1"/>
    <col min="5891" max="5891" width="29.77734375" style="1025" customWidth="1"/>
    <col min="5892" max="5892" width="21.77734375" style="1025" customWidth="1"/>
    <col min="5893" max="5893" width="20.21875" style="1025" customWidth="1"/>
    <col min="5894" max="5894" width="17.77734375" style="1025" customWidth="1"/>
    <col min="5895" max="5895" width="32.44140625" style="1025" customWidth="1"/>
    <col min="5896" max="5896" width="31.44140625" style="1025" customWidth="1"/>
    <col min="5897" max="5897" width="28.5546875" style="1025" customWidth="1"/>
    <col min="5898" max="5898" width="26.21875" style="1025" customWidth="1"/>
    <col min="5899" max="6144" width="9.21875" style="1025"/>
    <col min="6145" max="6145" width="8.77734375" style="1025" customWidth="1"/>
    <col min="6146" max="6146" width="24.77734375" style="1025" customWidth="1"/>
    <col min="6147" max="6147" width="29.77734375" style="1025" customWidth="1"/>
    <col min="6148" max="6148" width="21.77734375" style="1025" customWidth="1"/>
    <col min="6149" max="6149" width="20.21875" style="1025" customWidth="1"/>
    <col min="6150" max="6150" width="17.77734375" style="1025" customWidth="1"/>
    <col min="6151" max="6151" width="32.44140625" style="1025" customWidth="1"/>
    <col min="6152" max="6152" width="31.44140625" style="1025" customWidth="1"/>
    <col min="6153" max="6153" width="28.5546875" style="1025" customWidth="1"/>
    <col min="6154" max="6154" width="26.21875" style="1025" customWidth="1"/>
    <col min="6155" max="6400" width="9.21875" style="1025"/>
    <col min="6401" max="6401" width="8.77734375" style="1025" customWidth="1"/>
    <col min="6402" max="6402" width="24.77734375" style="1025" customWidth="1"/>
    <col min="6403" max="6403" width="29.77734375" style="1025" customWidth="1"/>
    <col min="6404" max="6404" width="21.77734375" style="1025" customWidth="1"/>
    <col min="6405" max="6405" width="20.21875" style="1025" customWidth="1"/>
    <col min="6406" max="6406" width="17.77734375" style="1025" customWidth="1"/>
    <col min="6407" max="6407" width="32.44140625" style="1025" customWidth="1"/>
    <col min="6408" max="6408" width="31.44140625" style="1025" customWidth="1"/>
    <col min="6409" max="6409" width="28.5546875" style="1025" customWidth="1"/>
    <col min="6410" max="6410" width="26.21875" style="1025" customWidth="1"/>
    <col min="6411" max="6656" width="9.21875" style="1025"/>
    <col min="6657" max="6657" width="8.77734375" style="1025" customWidth="1"/>
    <col min="6658" max="6658" width="24.77734375" style="1025" customWidth="1"/>
    <col min="6659" max="6659" width="29.77734375" style="1025" customWidth="1"/>
    <col min="6660" max="6660" width="21.77734375" style="1025" customWidth="1"/>
    <col min="6661" max="6661" width="20.21875" style="1025" customWidth="1"/>
    <col min="6662" max="6662" width="17.77734375" style="1025" customWidth="1"/>
    <col min="6663" max="6663" width="32.44140625" style="1025" customWidth="1"/>
    <col min="6664" max="6664" width="31.44140625" style="1025" customWidth="1"/>
    <col min="6665" max="6665" width="28.5546875" style="1025" customWidth="1"/>
    <col min="6666" max="6666" width="26.21875" style="1025" customWidth="1"/>
    <col min="6667" max="6912" width="9.21875" style="1025"/>
    <col min="6913" max="6913" width="8.77734375" style="1025" customWidth="1"/>
    <col min="6914" max="6914" width="24.77734375" style="1025" customWidth="1"/>
    <col min="6915" max="6915" width="29.77734375" style="1025" customWidth="1"/>
    <col min="6916" max="6916" width="21.77734375" style="1025" customWidth="1"/>
    <col min="6917" max="6917" width="20.21875" style="1025" customWidth="1"/>
    <col min="6918" max="6918" width="17.77734375" style="1025" customWidth="1"/>
    <col min="6919" max="6919" width="32.44140625" style="1025" customWidth="1"/>
    <col min="6920" max="6920" width="31.44140625" style="1025" customWidth="1"/>
    <col min="6921" max="6921" width="28.5546875" style="1025" customWidth="1"/>
    <col min="6922" max="6922" width="26.21875" style="1025" customWidth="1"/>
    <col min="6923" max="7168" width="9.21875" style="1025"/>
    <col min="7169" max="7169" width="8.77734375" style="1025" customWidth="1"/>
    <col min="7170" max="7170" width="24.77734375" style="1025" customWidth="1"/>
    <col min="7171" max="7171" width="29.77734375" style="1025" customWidth="1"/>
    <col min="7172" max="7172" width="21.77734375" style="1025" customWidth="1"/>
    <col min="7173" max="7173" width="20.21875" style="1025" customWidth="1"/>
    <col min="7174" max="7174" width="17.77734375" style="1025" customWidth="1"/>
    <col min="7175" max="7175" width="32.44140625" style="1025" customWidth="1"/>
    <col min="7176" max="7176" width="31.44140625" style="1025" customWidth="1"/>
    <col min="7177" max="7177" width="28.5546875" style="1025" customWidth="1"/>
    <col min="7178" max="7178" width="26.21875" style="1025" customWidth="1"/>
    <col min="7179" max="7424" width="9.21875" style="1025"/>
    <col min="7425" max="7425" width="8.77734375" style="1025" customWidth="1"/>
    <col min="7426" max="7426" width="24.77734375" style="1025" customWidth="1"/>
    <col min="7427" max="7427" width="29.77734375" style="1025" customWidth="1"/>
    <col min="7428" max="7428" width="21.77734375" style="1025" customWidth="1"/>
    <col min="7429" max="7429" width="20.21875" style="1025" customWidth="1"/>
    <col min="7430" max="7430" width="17.77734375" style="1025" customWidth="1"/>
    <col min="7431" max="7431" width="32.44140625" style="1025" customWidth="1"/>
    <col min="7432" max="7432" width="31.44140625" style="1025" customWidth="1"/>
    <col min="7433" max="7433" width="28.5546875" style="1025" customWidth="1"/>
    <col min="7434" max="7434" width="26.21875" style="1025" customWidth="1"/>
    <col min="7435" max="7680" width="9.21875" style="1025"/>
    <col min="7681" max="7681" width="8.77734375" style="1025" customWidth="1"/>
    <col min="7682" max="7682" width="24.77734375" style="1025" customWidth="1"/>
    <col min="7683" max="7683" width="29.77734375" style="1025" customWidth="1"/>
    <col min="7684" max="7684" width="21.77734375" style="1025" customWidth="1"/>
    <col min="7685" max="7685" width="20.21875" style="1025" customWidth="1"/>
    <col min="7686" max="7686" width="17.77734375" style="1025" customWidth="1"/>
    <col min="7687" max="7687" width="32.44140625" style="1025" customWidth="1"/>
    <col min="7688" max="7688" width="31.44140625" style="1025" customWidth="1"/>
    <col min="7689" max="7689" width="28.5546875" style="1025" customWidth="1"/>
    <col min="7690" max="7690" width="26.21875" style="1025" customWidth="1"/>
    <col min="7691" max="7936" width="9.21875" style="1025"/>
    <col min="7937" max="7937" width="8.77734375" style="1025" customWidth="1"/>
    <col min="7938" max="7938" width="24.77734375" style="1025" customWidth="1"/>
    <col min="7939" max="7939" width="29.77734375" style="1025" customWidth="1"/>
    <col min="7940" max="7940" width="21.77734375" style="1025" customWidth="1"/>
    <col min="7941" max="7941" width="20.21875" style="1025" customWidth="1"/>
    <col min="7942" max="7942" width="17.77734375" style="1025" customWidth="1"/>
    <col min="7943" max="7943" width="32.44140625" style="1025" customWidth="1"/>
    <col min="7944" max="7944" width="31.44140625" style="1025" customWidth="1"/>
    <col min="7945" max="7945" width="28.5546875" style="1025" customWidth="1"/>
    <col min="7946" max="7946" width="26.21875" style="1025" customWidth="1"/>
    <col min="7947" max="8192" width="9.21875" style="1025"/>
    <col min="8193" max="8193" width="8.77734375" style="1025" customWidth="1"/>
    <col min="8194" max="8194" width="24.77734375" style="1025" customWidth="1"/>
    <col min="8195" max="8195" width="29.77734375" style="1025" customWidth="1"/>
    <col min="8196" max="8196" width="21.77734375" style="1025" customWidth="1"/>
    <col min="8197" max="8197" width="20.21875" style="1025" customWidth="1"/>
    <col min="8198" max="8198" width="17.77734375" style="1025" customWidth="1"/>
    <col min="8199" max="8199" width="32.44140625" style="1025" customWidth="1"/>
    <col min="8200" max="8200" width="31.44140625" style="1025" customWidth="1"/>
    <col min="8201" max="8201" width="28.5546875" style="1025" customWidth="1"/>
    <col min="8202" max="8202" width="26.21875" style="1025" customWidth="1"/>
    <col min="8203" max="8448" width="9.21875" style="1025"/>
    <col min="8449" max="8449" width="8.77734375" style="1025" customWidth="1"/>
    <col min="8450" max="8450" width="24.77734375" style="1025" customWidth="1"/>
    <col min="8451" max="8451" width="29.77734375" style="1025" customWidth="1"/>
    <col min="8452" max="8452" width="21.77734375" style="1025" customWidth="1"/>
    <col min="8453" max="8453" width="20.21875" style="1025" customWidth="1"/>
    <col min="8454" max="8454" width="17.77734375" style="1025" customWidth="1"/>
    <col min="8455" max="8455" width="32.44140625" style="1025" customWidth="1"/>
    <col min="8456" max="8456" width="31.44140625" style="1025" customWidth="1"/>
    <col min="8457" max="8457" width="28.5546875" style="1025" customWidth="1"/>
    <col min="8458" max="8458" width="26.21875" style="1025" customWidth="1"/>
    <col min="8459" max="8704" width="9.21875" style="1025"/>
    <col min="8705" max="8705" width="8.77734375" style="1025" customWidth="1"/>
    <col min="8706" max="8706" width="24.77734375" style="1025" customWidth="1"/>
    <col min="8707" max="8707" width="29.77734375" style="1025" customWidth="1"/>
    <col min="8708" max="8708" width="21.77734375" style="1025" customWidth="1"/>
    <col min="8709" max="8709" width="20.21875" style="1025" customWidth="1"/>
    <col min="8710" max="8710" width="17.77734375" style="1025" customWidth="1"/>
    <col min="8711" max="8711" width="32.44140625" style="1025" customWidth="1"/>
    <col min="8712" max="8712" width="31.44140625" style="1025" customWidth="1"/>
    <col min="8713" max="8713" width="28.5546875" style="1025" customWidth="1"/>
    <col min="8714" max="8714" width="26.21875" style="1025" customWidth="1"/>
    <col min="8715" max="8960" width="9.21875" style="1025"/>
    <col min="8961" max="8961" width="8.77734375" style="1025" customWidth="1"/>
    <col min="8962" max="8962" width="24.77734375" style="1025" customWidth="1"/>
    <col min="8963" max="8963" width="29.77734375" style="1025" customWidth="1"/>
    <col min="8964" max="8964" width="21.77734375" style="1025" customWidth="1"/>
    <col min="8965" max="8965" width="20.21875" style="1025" customWidth="1"/>
    <col min="8966" max="8966" width="17.77734375" style="1025" customWidth="1"/>
    <col min="8967" max="8967" width="32.44140625" style="1025" customWidth="1"/>
    <col min="8968" max="8968" width="31.44140625" style="1025" customWidth="1"/>
    <col min="8969" max="8969" width="28.5546875" style="1025" customWidth="1"/>
    <col min="8970" max="8970" width="26.21875" style="1025" customWidth="1"/>
    <col min="8971" max="9216" width="9.21875" style="1025"/>
    <col min="9217" max="9217" width="8.77734375" style="1025" customWidth="1"/>
    <col min="9218" max="9218" width="24.77734375" style="1025" customWidth="1"/>
    <col min="9219" max="9219" width="29.77734375" style="1025" customWidth="1"/>
    <col min="9220" max="9220" width="21.77734375" style="1025" customWidth="1"/>
    <col min="9221" max="9221" width="20.21875" style="1025" customWidth="1"/>
    <col min="9222" max="9222" width="17.77734375" style="1025" customWidth="1"/>
    <col min="9223" max="9223" width="32.44140625" style="1025" customWidth="1"/>
    <col min="9224" max="9224" width="31.44140625" style="1025" customWidth="1"/>
    <col min="9225" max="9225" width="28.5546875" style="1025" customWidth="1"/>
    <col min="9226" max="9226" width="26.21875" style="1025" customWidth="1"/>
    <col min="9227" max="9472" width="9.21875" style="1025"/>
    <col min="9473" max="9473" width="8.77734375" style="1025" customWidth="1"/>
    <col min="9474" max="9474" width="24.77734375" style="1025" customWidth="1"/>
    <col min="9475" max="9475" width="29.77734375" style="1025" customWidth="1"/>
    <col min="9476" max="9476" width="21.77734375" style="1025" customWidth="1"/>
    <col min="9477" max="9477" width="20.21875" style="1025" customWidth="1"/>
    <col min="9478" max="9478" width="17.77734375" style="1025" customWidth="1"/>
    <col min="9479" max="9479" width="32.44140625" style="1025" customWidth="1"/>
    <col min="9480" max="9480" width="31.44140625" style="1025" customWidth="1"/>
    <col min="9481" max="9481" width="28.5546875" style="1025" customWidth="1"/>
    <col min="9482" max="9482" width="26.21875" style="1025" customWidth="1"/>
    <col min="9483" max="9728" width="9.21875" style="1025"/>
    <col min="9729" max="9729" width="8.77734375" style="1025" customWidth="1"/>
    <col min="9730" max="9730" width="24.77734375" style="1025" customWidth="1"/>
    <col min="9731" max="9731" width="29.77734375" style="1025" customWidth="1"/>
    <col min="9732" max="9732" width="21.77734375" style="1025" customWidth="1"/>
    <col min="9733" max="9733" width="20.21875" style="1025" customWidth="1"/>
    <col min="9734" max="9734" width="17.77734375" style="1025" customWidth="1"/>
    <col min="9735" max="9735" width="32.44140625" style="1025" customWidth="1"/>
    <col min="9736" max="9736" width="31.44140625" style="1025" customWidth="1"/>
    <col min="9737" max="9737" width="28.5546875" style="1025" customWidth="1"/>
    <col min="9738" max="9738" width="26.21875" style="1025" customWidth="1"/>
    <col min="9739" max="9984" width="9.21875" style="1025"/>
    <col min="9985" max="9985" width="8.77734375" style="1025" customWidth="1"/>
    <col min="9986" max="9986" width="24.77734375" style="1025" customWidth="1"/>
    <col min="9987" max="9987" width="29.77734375" style="1025" customWidth="1"/>
    <col min="9988" max="9988" width="21.77734375" style="1025" customWidth="1"/>
    <col min="9989" max="9989" width="20.21875" style="1025" customWidth="1"/>
    <col min="9990" max="9990" width="17.77734375" style="1025" customWidth="1"/>
    <col min="9991" max="9991" width="32.44140625" style="1025" customWidth="1"/>
    <col min="9992" max="9992" width="31.44140625" style="1025" customWidth="1"/>
    <col min="9993" max="9993" width="28.5546875" style="1025" customWidth="1"/>
    <col min="9994" max="9994" width="26.21875" style="1025" customWidth="1"/>
    <col min="9995" max="10240" width="9.21875" style="1025"/>
    <col min="10241" max="10241" width="8.77734375" style="1025" customWidth="1"/>
    <col min="10242" max="10242" width="24.77734375" style="1025" customWidth="1"/>
    <col min="10243" max="10243" width="29.77734375" style="1025" customWidth="1"/>
    <col min="10244" max="10244" width="21.77734375" style="1025" customWidth="1"/>
    <col min="10245" max="10245" width="20.21875" style="1025" customWidth="1"/>
    <col min="10246" max="10246" width="17.77734375" style="1025" customWidth="1"/>
    <col min="10247" max="10247" width="32.44140625" style="1025" customWidth="1"/>
    <col min="10248" max="10248" width="31.44140625" style="1025" customWidth="1"/>
    <col min="10249" max="10249" width="28.5546875" style="1025" customWidth="1"/>
    <col min="10250" max="10250" width="26.21875" style="1025" customWidth="1"/>
    <col min="10251" max="10496" width="9.21875" style="1025"/>
    <col min="10497" max="10497" width="8.77734375" style="1025" customWidth="1"/>
    <col min="10498" max="10498" width="24.77734375" style="1025" customWidth="1"/>
    <col min="10499" max="10499" width="29.77734375" style="1025" customWidth="1"/>
    <col min="10500" max="10500" width="21.77734375" style="1025" customWidth="1"/>
    <col min="10501" max="10501" width="20.21875" style="1025" customWidth="1"/>
    <col min="10502" max="10502" width="17.77734375" style="1025" customWidth="1"/>
    <col min="10503" max="10503" width="32.44140625" style="1025" customWidth="1"/>
    <col min="10504" max="10504" width="31.44140625" style="1025" customWidth="1"/>
    <col min="10505" max="10505" width="28.5546875" style="1025" customWidth="1"/>
    <col min="10506" max="10506" width="26.21875" style="1025" customWidth="1"/>
    <col min="10507" max="10752" width="9.21875" style="1025"/>
    <col min="10753" max="10753" width="8.77734375" style="1025" customWidth="1"/>
    <col min="10754" max="10754" width="24.77734375" style="1025" customWidth="1"/>
    <col min="10755" max="10755" width="29.77734375" style="1025" customWidth="1"/>
    <col min="10756" max="10756" width="21.77734375" style="1025" customWidth="1"/>
    <col min="10757" max="10757" width="20.21875" style="1025" customWidth="1"/>
    <col min="10758" max="10758" width="17.77734375" style="1025" customWidth="1"/>
    <col min="10759" max="10759" width="32.44140625" style="1025" customWidth="1"/>
    <col min="10760" max="10760" width="31.44140625" style="1025" customWidth="1"/>
    <col min="10761" max="10761" width="28.5546875" style="1025" customWidth="1"/>
    <col min="10762" max="10762" width="26.21875" style="1025" customWidth="1"/>
    <col min="10763" max="11008" width="9.21875" style="1025"/>
    <col min="11009" max="11009" width="8.77734375" style="1025" customWidth="1"/>
    <col min="11010" max="11010" width="24.77734375" style="1025" customWidth="1"/>
    <col min="11011" max="11011" width="29.77734375" style="1025" customWidth="1"/>
    <col min="11012" max="11012" width="21.77734375" style="1025" customWidth="1"/>
    <col min="11013" max="11013" width="20.21875" style="1025" customWidth="1"/>
    <col min="11014" max="11014" width="17.77734375" style="1025" customWidth="1"/>
    <col min="11015" max="11015" width="32.44140625" style="1025" customWidth="1"/>
    <col min="11016" max="11016" width="31.44140625" style="1025" customWidth="1"/>
    <col min="11017" max="11017" width="28.5546875" style="1025" customWidth="1"/>
    <col min="11018" max="11018" width="26.21875" style="1025" customWidth="1"/>
    <col min="11019" max="11264" width="9.21875" style="1025"/>
    <col min="11265" max="11265" width="8.77734375" style="1025" customWidth="1"/>
    <col min="11266" max="11266" width="24.77734375" style="1025" customWidth="1"/>
    <col min="11267" max="11267" width="29.77734375" style="1025" customWidth="1"/>
    <col min="11268" max="11268" width="21.77734375" style="1025" customWidth="1"/>
    <col min="11269" max="11269" width="20.21875" style="1025" customWidth="1"/>
    <col min="11270" max="11270" width="17.77734375" style="1025" customWidth="1"/>
    <col min="11271" max="11271" width="32.44140625" style="1025" customWidth="1"/>
    <col min="11272" max="11272" width="31.44140625" style="1025" customWidth="1"/>
    <col min="11273" max="11273" width="28.5546875" style="1025" customWidth="1"/>
    <col min="11274" max="11274" width="26.21875" style="1025" customWidth="1"/>
    <col min="11275" max="11520" width="9.21875" style="1025"/>
    <col min="11521" max="11521" width="8.77734375" style="1025" customWidth="1"/>
    <col min="11522" max="11522" width="24.77734375" style="1025" customWidth="1"/>
    <col min="11523" max="11523" width="29.77734375" style="1025" customWidth="1"/>
    <col min="11524" max="11524" width="21.77734375" style="1025" customWidth="1"/>
    <col min="11525" max="11525" width="20.21875" style="1025" customWidth="1"/>
    <col min="11526" max="11526" width="17.77734375" style="1025" customWidth="1"/>
    <col min="11527" max="11527" width="32.44140625" style="1025" customWidth="1"/>
    <col min="11528" max="11528" width="31.44140625" style="1025" customWidth="1"/>
    <col min="11529" max="11529" width="28.5546875" style="1025" customWidth="1"/>
    <col min="11530" max="11530" width="26.21875" style="1025" customWidth="1"/>
    <col min="11531" max="11776" width="9.21875" style="1025"/>
    <col min="11777" max="11777" width="8.77734375" style="1025" customWidth="1"/>
    <col min="11778" max="11778" width="24.77734375" style="1025" customWidth="1"/>
    <col min="11779" max="11779" width="29.77734375" style="1025" customWidth="1"/>
    <col min="11780" max="11780" width="21.77734375" style="1025" customWidth="1"/>
    <col min="11781" max="11781" width="20.21875" style="1025" customWidth="1"/>
    <col min="11782" max="11782" width="17.77734375" style="1025" customWidth="1"/>
    <col min="11783" max="11783" width="32.44140625" style="1025" customWidth="1"/>
    <col min="11784" max="11784" width="31.44140625" style="1025" customWidth="1"/>
    <col min="11785" max="11785" width="28.5546875" style="1025" customWidth="1"/>
    <col min="11786" max="11786" width="26.21875" style="1025" customWidth="1"/>
    <col min="11787" max="12032" width="9.21875" style="1025"/>
    <col min="12033" max="12033" width="8.77734375" style="1025" customWidth="1"/>
    <col min="12034" max="12034" width="24.77734375" style="1025" customWidth="1"/>
    <col min="12035" max="12035" width="29.77734375" style="1025" customWidth="1"/>
    <col min="12036" max="12036" width="21.77734375" style="1025" customWidth="1"/>
    <col min="12037" max="12037" width="20.21875" style="1025" customWidth="1"/>
    <col min="12038" max="12038" width="17.77734375" style="1025" customWidth="1"/>
    <col min="12039" max="12039" width="32.44140625" style="1025" customWidth="1"/>
    <col min="12040" max="12040" width="31.44140625" style="1025" customWidth="1"/>
    <col min="12041" max="12041" width="28.5546875" style="1025" customWidth="1"/>
    <col min="12042" max="12042" width="26.21875" style="1025" customWidth="1"/>
    <col min="12043" max="12288" width="9.21875" style="1025"/>
    <col min="12289" max="12289" width="8.77734375" style="1025" customWidth="1"/>
    <col min="12290" max="12290" width="24.77734375" style="1025" customWidth="1"/>
    <col min="12291" max="12291" width="29.77734375" style="1025" customWidth="1"/>
    <col min="12292" max="12292" width="21.77734375" style="1025" customWidth="1"/>
    <col min="12293" max="12293" width="20.21875" style="1025" customWidth="1"/>
    <col min="12294" max="12294" width="17.77734375" style="1025" customWidth="1"/>
    <col min="12295" max="12295" width="32.44140625" style="1025" customWidth="1"/>
    <col min="12296" max="12296" width="31.44140625" style="1025" customWidth="1"/>
    <col min="12297" max="12297" width="28.5546875" style="1025" customWidth="1"/>
    <col min="12298" max="12298" width="26.21875" style="1025" customWidth="1"/>
    <col min="12299" max="12544" width="9.21875" style="1025"/>
    <col min="12545" max="12545" width="8.77734375" style="1025" customWidth="1"/>
    <col min="12546" max="12546" width="24.77734375" style="1025" customWidth="1"/>
    <col min="12547" max="12547" width="29.77734375" style="1025" customWidth="1"/>
    <col min="12548" max="12548" width="21.77734375" style="1025" customWidth="1"/>
    <col min="12549" max="12549" width="20.21875" style="1025" customWidth="1"/>
    <col min="12550" max="12550" width="17.77734375" style="1025" customWidth="1"/>
    <col min="12551" max="12551" width="32.44140625" style="1025" customWidth="1"/>
    <col min="12552" max="12552" width="31.44140625" style="1025" customWidth="1"/>
    <col min="12553" max="12553" width="28.5546875" style="1025" customWidth="1"/>
    <col min="12554" max="12554" width="26.21875" style="1025" customWidth="1"/>
    <col min="12555" max="12800" width="9.21875" style="1025"/>
    <col min="12801" max="12801" width="8.77734375" style="1025" customWidth="1"/>
    <col min="12802" max="12802" width="24.77734375" style="1025" customWidth="1"/>
    <col min="12803" max="12803" width="29.77734375" style="1025" customWidth="1"/>
    <col min="12804" max="12804" width="21.77734375" style="1025" customWidth="1"/>
    <col min="12805" max="12805" width="20.21875" style="1025" customWidth="1"/>
    <col min="12806" max="12806" width="17.77734375" style="1025" customWidth="1"/>
    <col min="12807" max="12807" width="32.44140625" style="1025" customWidth="1"/>
    <col min="12808" max="12808" width="31.44140625" style="1025" customWidth="1"/>
    <col min="12809" max="12809" width="28.5546875" style="1025" customWidth="1"/>
    <col min="12810" max="12810" width="26.21875" style="1025" customWidth="1"/>
    <col min="12811" max="13056" width="9.21875" style="1025"/>
    <col min="13057" max="13057" width="8.77734375" style="1025" customWidth="1"/>
    <col min="13058" max="13058" width="24.77734375" style="1025" customWidth="1"/>
    <col min="13059" max="13059" width="29.77734375" style="1025" customWidth="1"/>
    <col min="13060" max="13060" width="21.77734375" style="1025" customWidth="1"/>
    <col min="13061" max="13061" width="20.21875" style="1025" customWidth="1"/>
    <col min="13062" max="13062" width="17.77734375" style="1025" customWidth="1"/>
    <col min="13063" max="13063" width="32.44140625" style="1025" customWidth="1"/>
    <col min="13064" max="13064" width="31.44140625" style="1025" customWidth="1"/>
    <col min="13065" max="13065" width="28.5546875" style="1025" customWidth="1"/>
    <col min="13066" max="13066" width="26.21875" style="1025" customWidth="1"/>
    <col min="13067" max="13312" width="9.21875" style="1025"/>
    <col min="13313" max="13313" width="8.77734375" style="1025" customWidth="1"/>
    <col min="13314" max="13314" width="24.77734375" style="1025" customWidth="1"/>
    <col min="13315" max="13315" width="29.77734375" style="1025" customWidth="1"/>
    <col min="13316" max="13316" width="21.77734375" style="1025" customWidth="1"/>
    <col min="13317" max="13317" width="20.21875" style="1025" customWidth="1"/>
    <col min="13318" max="13318" width="17.77734375" style="1025" customWidth="1"/>
    <col min="13319" max="13319" width="32.44140625" style="1025" customWidth="1"/>
    <col min="13320" max="13320" width="31.44140625" style="1025" customWidth="1"/>
    <col min="13321" max="13321" width="28.5546875" style="1025" customWidth="1"/>
    <col min="13322" max="13322" width="26.21875" style="1025" customWidth="1"/>
    <col min="13323" max="13568" width="9.21875" style="1025"/>
    <col min="13569" max="13569" width="8.77734375" style="1025" customWidth="1"/>
    <col min="13570" max="13570" width="24.77734375" style="1025" customWidth="1"/>
    <col min="13571" max="13571" width="29.77734375" style="1025" customWidth="1"/>
    <col min="13572" max="13572" width="21.77734375" style="1025" customWidth="1"/>
    <col min="13573" max="13573" width="20.21875" style="1025" customWidth="1"/>
    <col min="13574" max="13574" width="17.77734375" style="1025" customWidth="1"/>
    <col min="13575" max="13575" width="32.44140625" style="1025" customWidth="1"/>
    <col min="13576" max="13576" width="31.44140625" style="1025" customWidth="1"/>
    <col min="13577" max="13577" width="28.5546875" style="1025" customWidth="1"/>
    <col min="13578" max="13578" width="26.21875" style="1025" customWidth="1"/>
    <col min="13579" max="13824" width="9.21875" style="1025"/>
    <col min="13825" max="13825" width="8.77734375" style="1025" customWidth="1"/>
    <col min="13826" max="13826" width="24.77734375" style="1025" customWidth="1"/>
    <col min="13827" max="13827" width="29.77734375" style="1025" customWidth="1"/>
    <col min="13828" max="13828" width="21.77734375" style="1025" customWidth="1"/>
    <col min="13829" max="13829" width="20.21875" style="1025" customWidth="1"/>
    <col min="13830" max="13830" width="17.77734375" style="1025" customWidth="1"/>
    <col min="13831" max="13831" width="32.44140625" style="1025" customWidth="1"/>
    <col min="13832" max="13832" width="31.44140625" style="1025" customWidth="1"/>
    <col min="13833" max="13833" width="28.5546875" style="1025" customWidth="1"/>
    <col min="13834" max="13834" width="26.21875" style="1025" customWidth="1"/>
    <col min="13835" max="14080" width="9.21875" style="1025"/>
    <col min="14081" max="14081" width="8.77734375" style="1025" customWidth="1"/>
    <col min="14082" max="14082" width="24.77734375" style="1025" customWidth="1"/>
    <col min="14083" max="14083" width="29.77734375" style="1025" customWidth="1"/>
    <col min="14084" max="14084" width="21.77734375" style="1025" customWidth="1"/>
    <col min="14085" max="14085" width="20.21875" style="1025" customWidth="1"/>
    <col min="14086" max="14086" width="17.77734375" style="1025" customWidth="1"/>
    <col min="14087" max="14087" width="32.44140625" style="1025" customWidth="1"/>
    <col min="14088" max="14088" width="31.44140625" style="1025" customWidth="1"/>
    <col min="14089" max="14089" width="28.5546875" style="1025" customWidth="1"/>
    <col min="14090" max="14090" width="26.21875" style="1025" customWidth="1"/>
    <col min="14091" max="14336" width="9.21875" style="1025"/>
    <col min="14337" max="14337" width="8.77734375" style="1025" customWidth="1"/>
    <col min="14338" max="14338" width="24.77734375" style="1025" customWidth="1"/>
    <col min="14339" max="14339" width="29.77734375" style="1025" customWidth="1"/>
    <col min="14340" max="14340" width="21.77734375" style="1025" customWidth="1"/>
    <col min="14341" max="14341" width="20.21875" style="1025" customWidth="1"/>
    <col min="14342" max="14342" width="17.77734375" style="1025" customWidth="1"/>
    <col min="14343" max="14343" width="32.44140625" style="1025" customWidth="1"/>
    <col min="14344" max="14344" width="31.44140625" style="1025" customWidth="1"/>
    <col min="14345" max="14345" width="28.5546875" style="1025" customWidth="1"/>
    <col min="14346" max="14346" width="26.21875" style="1025" customWidth="1"/>
    <col min="14347" max="14592" width="9.21875" style="1025"/>
    <col min="14593" max="14593" width="8.77734375" style="1025" customWidth="1"/>
    <col min="14594" max="14594" width="24.77734375" style="1025" customWidth="1"/>
    <col min="14595" max="14595" width="29.77734375" style="1025" customWidth="1"/>
    <col min="14596" max="14596" width="21.77734375" style="1025" customWidth="1"/>
    <col min="14597" max="14597" width="20.21875" style="1025" customWidth="1"/>
    <col min="14598" max="14598" width="17.77734375" style="1025" customWidth="1"/>
    <col min="14599" max="14599" width="32.44140625" style="1025" customWidth="1"/>
    <col min="14600" max="14600" width="31.44140625" style="1025" customWidth="1"/>
    <col min="14601" max="14601" width="28.5546875" style="1025" customWidth="1"/>
    <col min="14602" max="14602" width="26.21875" style="1025" customWidth="1"/>
    <col min="14603" max="14848" width="9.21875" style="1025"/>
    <col min="14849" max="14849" width="8.77734375" style="1025" customWidth="1"/>
    <col min="14850" max="14850" width="24.77734375" style="1025" customWidth="1"/>
    <col min="14851" max="14851" width="29.77734375" style="1025" customWidth="1"/>
    <col min="14852" max="14852" width="21.77734375" style="1025" customWidth="1"/>
    <col min="14853" max="14853" width="20.21875" style="1025" customWidth="1"/>
    <col min="14854" max="14854" width="17.77734375" style="1025" customWidth="1"/>
    <col min="14855" max="14855" width="32.44140625" style="1025" customWidth="1"/>
    <col min="14856" max="14856" width="31.44140625" style="1025" customWidth="1"/>
    <col min="14857" max="14857" width="28.5546875" style="1025" customWidth="1"/>
    <col min="14858" max="14858" width="26.21875" style="1025" customWidth="1"/>
    <col min="14859" max="15104" width="9.21875" style="1025"/>
    <col min="15105" max="15105" width="8.77734375" style="1025" customWidth="1"/>
    <col min="15106" max="15106" width="24.77734375" style="1025" customWidth="1"/>
    <col min="15107" max="15107" width="29.77734375" style="1025" customWidth="1"/>
    <col min="15108" max="15108" width="21.77734375" style="1025" customWidth="1"/>
    <col min="15109" max="15109" width="20.21875" style="1025" customWidth="1"/>
    <col min="15110" max="15110" width="17.77734375" style="1025" customWidth="1"/>
    <col min="15111" max="15111" width="32.44140625" style="1025" customWidth="1"/>
    <col min="15112" max="15112" width="31.44140625" style="1025" customWidth="1"/>
    <col min="15113" max="15113" width="28.5546875" style="1025" customWidth="1"/>
    <col min="15114" max="15114" width="26.21875" style="1025" customWidth="1"/>
    <col min="15115" max="15360" width="9.21875" style="1025"/>
    <col min="15361" max="15361" width="8.77734375" style="1025" customWidth="1"/>
    <col min="15362" max="15362" width="24.77734375" style="1025" customWidth="1"/>
    <col min="15363" max="15363" width="29.77734375" style="1025" customWidth="1"/>
    <col min="15364" max="15364" width="21.77734375" style="1025" customWidth="1"/>
    <col min="15365" max="15365" width="20.21875" style="1025" customWidth="1"/>
    <col min="15366" max="15366" width="17.77734375" style="1025" customWidth="1"/>
    <col min="15367" max="15367" width="32.44140625" style="1025" customWidth="1"/>
    <col min="15368" max="15368" width="31.44140625" style="1025" customWidth="1"/>
    <col min="15369" max="15369" width="28.5546875" style="1025" customWidth="1"/>
    <col min="15370" max="15370" width="26.21875" style="1025" customWidth="1"/>
    <col min="15371" max="15616" width="9.21875" style="1025"/>
    <col min="15617" max="15617" width="8.77734375" style="1025" customWidth="1"/>
    <col min="15618" max="15618" width="24.77734375" style="1025" customWidth="1"/>
    <col min="15619" max="15619" width="29.77734375" style="1025" customWidth="1"/>
    <col min="15620" max="15620" width="21.77734375" style="1025" customWidth="1"/>
    <col min="15621" max="15621" width="20.21875" style="1025" customWidth="1"/>
    <col min="15622" max="15622" width="17.77734375" style="1025" customWidth="1"/>
    <col min="15623" max="15623" width="32.44140625" style="1025" customWidth="1"/>
    <col min="15624" max="15624" width="31.44140625" style="1025" customWidth="1"/>
    <col min="15625" max="15625" width="28.5546875" style="1025" customWidth="1"/>
    <col min="15626" max="15626" width="26.21875" style="1025" customWidth="1"/>
    <col min="15627" max="15872" width="9.21875" style="1025"/>
    <col min="15873" max="15873" width="8.77734375" style="1025" customWidth="1"/>
    <col min="15874" max="15874" width="24.77734375" style="1025" customWidth="1"/>
    <col min="15875" max="15875" width="29.77734375" style="1025" customWidth="1"/>
    <col min="15876" max="15876" width="21.77734375" style="1025" customWidth="1"/>
    <col min="15877" max="15877" width="20.21875" style="1025" customWidth="1"/>
    <col min="15878" max="15878" width="17.77734375" style="1025" customWidth="1"/>
    <col min="15879" max="15879" width="32.44140625" style="1025" customWidth="1"/>
    <col min="15880" max="15880" width="31.44140625" style="1025" customWidth="1"/>
    <col min="15881" max="15881" width="28.5546875" style="1025" customWidth="1"/>
    <col min="15882" max="15882" width="26.21875" style="1025" customWidth="1"/>
    <col min="15883" max="16128" width="9.21875" style="1025"/>
    <col min="16129" max="16129" width="8.77734375" style="1025" customWidth="1"/>
    <col min="16130" max="16130" width="24.77734375" style="1025" customWidth="1"/>
    <col min="16131" max="16131" width="29.77734375" style="1025" customWidth="1"/>
    <col min="16132" max="16132" width="21.77734375" style="1025" customWidth="1"/>
    <col min="16133" max="16133" width="20.21875" style="1025" customWidth="1"/>
    <col min="16134" max="16134" width="17.77734375" style="1025" customWidth="1"/>
    <col min="16135" max="16135" width="32.44140625" style="1025" customWidth="1"/>
    <col min="16136" max="16136" width="31.44140625" style="1025" customWidth="1"/>
    <col min="16137" max="16137" width="28.5546875" style="1025" customWidth="1"/>
    <col min="16138" max="16138" width="26.21875" style="1025" customWidth="1"/>
    <col min="16139" max="16384" width="9.21875" style="1025"/>
  </cols>
  <sheetData>
    <row r="1" spans="1:17" ht="14.25" customHeight="1">
      <c r="H1" s="1026"/>
    </row>
    <row r="2" spans="1:17" ht="14.25" customHeight="1">
      <c r="A2" s="1440" t="s">
        <v>5058</v>
      </c>
      <c r="B2" s="1440"/>
      <c r="C2" s="1440"/>
    </row>
    <row r="3" spans="1:17" ht="14.7" customHeight="1">
      <c r="A3" s="1440" t="s">
        <v>5059</v>
      </c>
      <c r="B3" s="1440"/>
      <c r="C3" s="1440"/>
      <c r="D3" s="1027"/>
      <c r="E3" s="1027"/>
      <c r="F3" s="1027"/>
    </row>
    <row r="4" spans="1:17" ht="14.25" customHeight="1">
      <c r="A4" s="1027"/>
      <c r="B4" s="1027"/>
      <c r="C4" s="1027"/>
      <c r="D4" s="1027"/>
      <c r="E4" s="1027"/>
      <c r="F4" s="1027"/>
      <c r="I4" s="1028" t="s">
        <v>5093</v>
      </c>
    </row>
    <row r="5" spans="1:17" ht="14.25" customHeight="1"/>
    <row r="6" spans="1:17" ht="15.75" customHeight="1">
      <c r="A6" s="1441" t="s">
        <v>5061</v>
      </c>
      <c r="B6" s="1441"/>
      <c r="C6" s="1441"/>
      <c r="D6" s="1441"/>
      <c r="E6" s="1441"/>
      <c r="F6" s="1441"/>
      <c r="G6" s="1441"/>
      <c r="H6" s="1441"/>
      <c r="I6" s="1441"/>
    </row>
    <row r="7" spans="1:17" ht="15.6" customHeight="1">
      <c r="A7" s="1442" t="s">
        <v>5094</v>
      </c>
      <c r="B7" s="1442"/>
      <c r="C7" s="1442"/>
      <c r="D7" s="1442"/>
      <c r="E7" s="1442"/>
      <c r="F7" s="1442"/>
      <c r="G7" s="1442"/>
      <c r="H7" s="1442"/>
      <c r="I7" s="1442"/>
    </row>
    <row r="8" spans="1:17" ht="15.6" customHeight="1">
      <c r="A8" s="1443" t="s">
        <v>5095</v>
      </c>
      <c r="B8" s="1443"/>
      <c r="C8" s="1443"/>
      <c r="D8" s="1443"/>
      <c r="E8" s="1443"/>
      <c r="F8" s="1443"/>
      <c r="G8" s="1443"/>
      <c r="H8" s="1443"/>
      <c r="I8" s="1443"/>
    </row>
    <row r="9" spans="1:17" ht="15.75" customHeight="1">
      <c r="A9" s="1029"/>
      <c r="B9" s="1029"/>
      <c r="C9" s="1029"/>
      <c r="D9" s="1029"/>
      <c r="E9" s="1029"/>
      <c r="F9" s="1029"/>
      <c r="G9" s="1029"/>
      <c r="H9" s="1029"/>
      <c r="I9" s="1029"/>
    </row>
    <row r="10" spans="1:17" ht="18" customHeight="1">
      <c r="A10" s="1439" t="s">
        <v>5064</v>
      </c>
      <c r="B10" s="1439"/>
      <c r="C10" s="1439"/>
      <c r="D10" s="1439"/>
      <c r="E10" s="1439"/>
      <c r="F10" s="1439"/>
      <c r="G10" s="1439"/>
      <c r="H10" s="1439"/>
      <c r="I10" s="1439"/>
      <c r="J10" s="1439"/>
    </row>
    <row r="11" spans="1:17" ht="18" customHeight="1"/>
    <row r="12" spans="1:17" ht="18" customHeight="1">
      <c r="B12" s="1030"/>
      <c r="C12" s="1447" t="s">
        <v>5065</v>
      </c>
      <c r="D12" s="1447"/>
      <c r="E12" s="1448">
        <v>1637898304155.8501</v>
      </c>
      <c r="F12" s="1448"/>
      <c r="J12" s="1030"/>
    </row>
    <row r="13" spans="1:17" ht="18" customHeight="1">
      <c r="B13" s="1030"/>
      <c r="C13" s="1444" t="s">
        <v>5066</v>
      </c>
      <c r="D13" s="1444"/>
      <c r="E13" s="1449"/>
      <c r="F13" s="1449"/>
      <c r="J13" s="1030"/>
    </row>
    <row r="14" spans="1:17" ht="18" customHeight="1">
      <c r="B14" s="1030"/>
      <c r="C14" s="1444" t="s">
        <v>81</v>
      </c>
      <c r="D14" s="1444"/>
      <c r="E14" s="1450">
        <v>10621.35</v>
      </c>
      <c r="F14" s="1450"/>
      <c r="J14" s="1030"/>
      <c r="N14" s="1031"/>
      <c r="O14" s="1031"/>
      <c r="P14" s="1032"/>
      <c r="Q14" s="1032"/>
    </row>
    <row r="15" spans="1:17" ht="18" customHeight="1">
      <c r="B15" s="1030"/>
      <c r="C15" s="1444" t="s">
        <v>80</v>
      </c>
      <c r="D15" s="1444"/>
      <c r="E15" s="1445">
        <v>1637622457075</v>
      </c>
      <c r="F15" s="1445"/>
      <c r="J15" s="1030"/>
      <c r="N15" s="1031"/>
      <c r="O15" s="1031"/>
      <c r="P15" s="1032"/>
      <c r="Q15" s="1032"/>
    </row>
    <row r="16" spans="1:17" ht="18" customHeight="1">
      <c r="B16" s="1030"/>
      <c r="C16" s="1033"/>
      <c r="D16" s="1033"/>
      <c r="E16" s="1034"/>
      <c r="F16" s="1034"/>
      <c r="J16" s="1030"/>
      <c r="N16" s="1031"/>
      <c r="O16" s="1031"/>
      <c r="P16" s="1032"/>
      <c r="Q16" s="1032"/>
    </row>
    <row r="17" spans="1:10" ht="18" customHeight="1">
      <c r="A17" s="1446" t="s">
        <v>5067</v>
      </c>
      <c r="B17" s="1446"/>
      <c r="C17" s="1446"/>
      <c r="D17" s="1446"/>
      <c r="E17" s="1446"/>
      <c r="F17" s="1446"/>
      <c r="G17" s="1446"/>
      <c r="H17" s="1446"/>
      <c r="I17" s="1446"/>
      <c r="J17" s="1446"/>
    </row>
    <row r="18" spans="1:10" ht="18" customHeight="1">
      <c r="A18" s="1035" t="s">
        <v>5068</v>
      </c>
      <c r="B18" s="1035" t="s">
        <v>5069</v>
      </c>
      <c r="C18" s="1035" t="s">
        <v>5070</v>
      </c>
      <c r="D18" s="1035" t="s">
        <v>5071</v>
      </c>
      <c r="E18" s="1035" t="s">
        <v>5072</v>
      </c>
      <c r="F18" s="1035" t="s">
        <v>5073</v>
      </c>
      <c r="G18" s="1035" t="s">
        <v>5074</v>
      </c>
      <c r="H18" s="1035" t="s">
        <v>5075</v>
      </c>
      <c r="I18" s="1035" t="s">
        <v>5076</v>
      </c>
      <c r="J18" s="1035" t="s">
        <v>5077</v>
      </c>
    </row>
    <row r="19" spans="1:10" ht="20.100000000000001" customHeight="1">
      <c r="A19" s="1036">
        <f>ROW()-ROW(A18)</f>
        <v>1</v>
      </c>
      <c r="B19" s="1036" t="s">
        <v>589</v>
      </c>
      <c r="C19" s="1036" t="s">
        <v>5096</v>
      </c>
      <c r="D19" s="1037" t="s">
        <v>5079</v>
      </c>
      <c r="E19" s="1037">
        <v>0.5</v>
      </c>
      <c r="F19" s="1037" t="s">
        <v>80</v>
      </c>
      <c r="G19" s="1038">
        <v>250854580589</v>
      </c>
      <c r="H19" s="1039"/>
      <c r="I19" s="1038">
        <v>250854580589</v>
      </c>
      <c r="J19" s="1037" t="s">
        <v>5097</v>
      </c>
    </row>
    <row r="20" spans="1:10" ht="20.100000000000001" customHeight="1">
      <c r="A20" s="1036">
        <f>ROW()-ROW(A18)</f>
        <v>2</v>
      </c>
      <c r="B20" s="1036" t="s">
        <v>586</v>
      </c>
      <c r="C20" s="1036" t="s">
        <v>5096</v>
      </c>
      <c r="D20" s="1037" t="s">
        <v>5079</v>
      </c>
      <c r="E20" s="1037">
        <v>0.5</v>
      </c>
      <c r="F20" s="1037" t="s">
        <v>80</v>
      </c>
      <c r="G20" s="1038">
        <v>250126245077</v>
      </c>
      <c r="H20" s="1039"/>
      <c r="I20" s="1038">
        <v>250126245077</v>
      </c>
      <c r="J20" s="1037" t="s">
        <v>5098</v>
      </c>
    </row>
    <row r="21" spans="1:10" ht="20.100000000000001" customHeight="1">
      <c r="A21" s="1036">
        <f>ROW()-ROW(A18)</f>
        <v>3</v>
      </c>
      <c r="B21" s="1036" t="s">
        <v>587</v>
      </c>
      <c r="C21" s="1036" t="s">
        <v>5096</v>
      </c>
      <c r="D21" s="1037" t="s">
        <v>5079</v>
      </c>
      <c r="E21" s="1037">
        <v>0.5</v>
      </c>
      <c r="F21" s="1037" t="s">
        <v>80</v>
      </c>
      <c r="G21" s="1038">
        <v>85771274727</v>
      </c>
      <c r="H21" s="1039"/>
      <c r="I21" s="1038">
        <v>85771274727</v>
      </c>
      <c r="J21" s="1037" t="s">
        <v>5080</v>
      </c>
    </row>
    <row r="22" spans="1:10" ht="20.100000000000001" customHeight="1">
      <c r="A22" s="1036">
        <f>ROW()-ROW(A18)</f>
        <v>4</v>
      </c>
      <c r="B22" s="1036" t="s">
        <v>715</v>
      </c>
      <c r="C22" s="1036" t="s">
        <v>5099</v>
      </c>
      <c r="D22" s="1037" t="s">
        <v>5079</v>
      </c>
      <c r="E22" s="1037">
        <v>0.5</v>
      </c>
      <c r="F22" s="1037" t="s">
        <v>80</v>
      </c>
      <c r="G22" s="1038">
        <v>25979234437</v>
      </c>
      <c r="H22" s="1039"/>
      <c r="I22" s="1038">
        <v>25979234437</v>
      </c>
      <c r="J22" s="1037" t="s">
        <v>5097</v>
      </c>
    </row>
    <row r="23" spans="1:10" ht="20.100000000000001" customHeight="1">
      <c r="A23" s="1036">
        <f>ROW()-ROW(A18)</f>
        <v>5</v>
      </c>
      <c r="B23" s="1036" t="s">
        <v>507</v>
      </c>
      <c r="C23" s="1036" t="s">
        <v>5100</v>
      </c>
      <c r="D23" s="1037" t="s">
        <v>5079</v>
      </c>
      <c r="E23" s="1037">
        <v>0.5</v>
      </c>
      <c r="F23" s="1037" t="s">
        <v>80</v>
      </c>
      <c r="G23" s="1038">
        <v>24588446487</v>
      </c>
      <c r="H23" s="1039"/>
      <c r="I23" s="1038">
        <v>24588446487</v>
      </c>
      <c r="J23" s="1037" t="s">
        <v>5080</v>
      </c>
    </row>
    <row r="24" spans="1:10" ht="20.100000000000001" customHeight="1">
      <c r="A24" s="1036">
        <f>ROW()-ROW(A18)</f>
        <v>6</v>
      </c>
      <c r="B24" s="1036" t="s">
        <v>500</v>
      </c>
      <c r="C24" s="1036" t="s">
        <v>5101</v>
      </c>
      <c r="D24" s="1037" t="s">
        <v>5079</v>
      </c>
      <c r="E24" s="1037">
        <v>0.5</v>
      </c>
      <c r="F24" s="1037" t="s">
        <v>80</v>
      </c>
      <c r="G24" s="1038">
        <v>21901504745</v>
      </c>
      <c r="H24" s="1039"/>
      <c r="I24" s="1038">
        <v>21901504745</v>
      </c>
      <c r="J24" s="1037" t="s">
        <v>5102</v>
      </c>
    </row>
    <row r="25" spans="1:10" ht="20.100000000000001" customHeight="1">
      <c r="A25" s="1036">
        <f>ROW()-ROW(A18)</f>
        <v>7</v>
      </c>
      <c r="B25" s="1036" t="s">
        <v>666</v>
      </c>
      <c r="C25" s="1036" t="s">
        <v>5103</v>
      </c>
      <c r="D25" s="1037" t="s">
        <v>5079</v>
      </c>
      <c r="E25" s="1037">
        <v>0.5</v>
      </c>
      <c r="F25" s="1037" t="s">
        <v>80</v>
      </c>
      <c r="G25" s="1038">
        <v>17336489262</v>
      </c>
      <c r="H25" s="1039"/>
      <c r="I25" s="1038">
        <v>17336489262</v>
      </c>
      <c r="J25" s="1037" t="s">
        <v>5080</v>
      </c>
    </row>
    <row r="26" spans="1:10" ht="20.100000000000001" customHeight="1">
      <c r="A26" s="1036">
        <f>ROW()-ROW(A18)</f>
        <v>8</v>
      </c>
      <c r="B26" s="1036" t="s">
        <v>702</v>
      </c>
      <c r="C26" s="1036" t="s">
        <v>5104</v>
      </c>
      <c r="D26" s="1037" t="s">
        <v>5079</v>
      </c>
      <c r="E26" s="1037">
        <v>0.5</v>
      </c>
      <c r="F26" s="1037" t="s">
        <v>80</v>
      </c>
      <c r="G26" s="1038">
        <v>15932603202</v>
      </c>
      <c r="H26" s="1039"/>
      <c r="I26" s="1038">
        <v>15932603202</v>
      </c>
      <c r="J26" s="1037" t="s">
        <v>5097</v>
      </c>
    </row>
    <row r="27" spans="1:10" ht="20.100000000000001" customHeight="1">
      <c r="A27" s="1036">
        <f>ROW()-ROW(A18)</f>
        <v>9</v>
      </c>
      <c r="B27" s="1036" t="s">
        <v>669</v>
      </c>
      <c r="C27" s="1036" t="s">
        <v>5105</v>
      </c>
      <c r="D27" s="1037" t="s">
        <v>5079</v>
      </c>
      <c r="E27" s="1037">
        <v>0.5</v>
      </c>
      <c r="F27" s="1037" t="s">
        <v>80</v>
      </c>
      <c r="G27" s="1038">
        <v>10703376438</v>
      </c>
      <c r="H27" s="1039"/>
      <c r="I27" s="1038">
        <v>10703376438</v>
      </c>
      <c r="J27" s="1037" t="s">
        <v>5106</v>
      </c>
    </row>
    <row r="28" spans="1:10" ht="20.100000000000001" customHeight="1">
      <c r="A28" s="1036">
        <f>ROW()-ROW(A18)</f>
        <v>10</v>
      </c>
      <c r="B28" s="1036" t="s">
        <v>543</v>
      </c>
      <c r="C28" s="1036" t="s">
        <v>5107</v>
      </c>
      <c r="D28" s="1037" t="s">
        <v>5079</v>
      </c>
      <c r="E28" s="1037">
        <v>0.5</v>
      </c>
      <c r="F28" s="1037" t="s">
        <v>80</v>
      </c>
      <c r="G28" s="1038">
        <v>10611499257</v>
      </c>
      <c r="H28" s="1039"/>
      <c r="I28" s="1038">
        <v>10611499257</v>
      </c>
      <c r="J28" s="1037" t="s">
        <v>5106</v>
      </c>
    </row>
    <row r="29" spans="1:10" ht="20.100000000000001" customHeight="1">
      <c r="A29" s="1036">
        <f>ROW()-ROW(A18)</f>
        <v>11</v>
      </c>
      <c r="B29" s="1036" t="s">
        <v>610</v>
      </c>
      <c r="C29" s="1036" t="s">
        <v>5108</v>
      </c>
      <c r="D29" s="1037" t="s">
        <v>5079</v>
      </c>
      <c r="E29" s="1037">
        <v>0.5</v>
      </c>
      <c r="F29" s="1037" t="s">
        <v>80</v>
      </c>
      <c r="G29" s="1038">
        <v>10154938976</v>
      </c>
      <c r="H29" s="1039"/>
      <c r="I29" s="1038">
        <v>10154938976</v>
      </c>
      <c r="J29" s="1037" t="s">
        <v>5080</v>
      </c>
    </row>
    <row r="30" spans="1:10" ht="20.100000000000001" customHeight="1">
      <c r="A30" s="1036">
        <f>ROW()-ROW(A18)</f>
        <v>12</v>
      </c>
      <c r="B30" s="1036" t="s">
        <v>705</v>
      </c>
      <c r="C30" s="1036" t="s">
        <v>5109</v>
      </c>
      <c r="D30" s="1037" t="s">
        <v>5079</v>
      </c>
      <c r="E30" s="1037">
        <v>0.5</v>
      </c>
      <c r="F30" s="1037" t="s">
        <v>80</v>
      </c>
      <c r="G30" s="1038">
        <v>9907905167</v>
      </c>
      <c r="H30" s="1039"/>
      <c r="I30" s="1038">
        <v>9907905167</v>
      </c>
      <c r="J30" s="1037" t="s">
        <v>5106</v>
      </c>
    </row>
    <row r="31" spans="1:10" ht="20.100000000000001" customHeight="1">
      <c r="A31" s="1036">
        <f>ROW()-ROW(A18)</f>
        <v>13</v>
      </c>
      <c r="B31" s="1036" t="s">
        <v>555</v>
      </c>
      <c r="C31" s="1036" t="s">
        <v>5110</v>
      </c>
      <c r="D31" s="1037" t="s">
        <v>5079</v>
      </c>
      <c r="E31" s="1037">
        <v>0.5</v>
      </c>
      <c r="F31" s="1037" t="s">
        <v>80</v>
      </c>
      <c r="G31" s="1038">
        <v>8630890615</v>
      </c>
      <c r="H31" s="1039"/>
      <c r="I31" s="1038">
        <v>8630890615</v>
      </c>
      <c r="J31" s="1037" t="s">
        <v>5111</v>
      </c>
    </row>
    <row r="32" spans="1:10" ht="20.100000000000001" customHeight="1">
      <c r="A32" s="1036">
        <f>ROW()-ROW(A18)</f>
        <v>14</v>
      </c>
      <c r="B32" s="1036" t="s">
        <v>1048</v>
      </c>
      <c r="C32" s="1036" t="s">
        <v>5112</v>
      </c>
      <c r="D32" s="1037" t="s">
        <v>5079</v>
      </c>
      <c r="E32" s="1037">
        <v>0.5</v>
      </c>
      <c r="F32" s="1037" t="s">
        <v>80</v>
      </c>
      <c r="G32" s="1038">
        <v>7253695793</v>
      </c>
      <c r="H32" s="1039"/>
      <c r="I32" s="1038">
        <v>7253695793</v>
      </c>
      <c r="J32" s="1037" t="s">
        <v>5113</v>
      </c>
    </row>
    <row r="33" spans="1:10" ht="20.100000000000001" customHeight="1">
      <c r="A33" s="1036">
        <f>ROW()-ROW(A18)</f>
        <v>15</v>
      </c>
      <c r="B33" s="1036" t="s">
        <v>504</v>
      </c>
      <c r="C33" s="1036" t="s">
        <v>5114</v>
      </c>
      <c r="D33" s="1037" t="s">
        <v>5115</v>
      </c>
      <c r="E33" s="1037">
        <v>0.5</v>
      </c>
      <c r="F33" s="1037" t="s">
        <v>80</v>
      </c>
      <c r="G33" s="1038">
        <v>7210915349</v>
      </c>
      <c r="H33" s="1039">
        <v>0</v>
      </c>
      <c r="I33" s="1038">
        <v>7210915349</v>
      </c>
      <c r="J33" s="1037" t="s">
        <v>5080</v>
      </c>
    </row>
    <row r="34" spans="1:10" ht="20.100000000000001" customHeight="1">
      <c r="A34" s="1036">
        <f>ROW()-ROW(A18)</f>
        <v>16</v>
      </c>
      <c r="B34" s="1036" t="s">
        <v>504</v>
      </c>
      <c r="C34" s="1036" t="s">
        <v>5114</v>
      </c>
      <c r="D34" s="1037" t="s">
        <v>5079</v>
      </c>
      <c r="E34" s="1037">
        <v>0.5</v>
      </c>
      <c r="F34" s="1037" t="s">
        <v>80</v>
      </c>
      <c r="G34" s="1038">
        <v>7210915349</v>
      </c>
      <c r="H34" s="1039"/>
      <c r="I34" s="1038">
        <v>7210915349</v>
      </c>
      <c r="J34" s="1037" t="s">
        <v>5080</v>
      </c>
    </row>
    <row r="35" spans="1:10" ht="20.100000000000001" customHeight="1">
      <c r="A35" s="1036">
        <f>ROW()-ROW(A18)</f>
        <v>17</v>
      </c>
      <c r="B35" s="1036" t="s">
        <v>511</v>
      </c>
      <c r="C35" s="1036" t="s">
        <v>5116</v>
      </c>
      <c r="D35" s="1037" t="s">
        <v>5079</v>
      </c>
      <c r="E35" s="1037">
        <v>0.5</v>
      </c>
      <c r="F35" s="1037" t="s">
        <v>80</v>
      </c>
      <c r="G35" s="1038">
        <v>6373926477</v>
      </c>
      <c r="H35" s="1039"/>
      <c r="I35" s="1038">
        <v>6373926477</v>
      </c>
      <c r="J35" s="1037" t="s">
        <v>5080</v>
      </c>
    </row>
    <row r="36" spans="1:10" ht="20.100000000000001" customHeight="1">
      <c r="A36" s="1036">
        <f>ROW()-ROW(A18)</f>
        <v>18</v>
      </c>
      <c r="B36" s="1036" t="s">
        <v>1047</v>
      </c>
      <c r="C36" s="1036" t="s">
        <v>5117</v>
      </c>
      <c r="D36" s="1037" t="s">
        <v>5079</v>
      </c>
      <c r="E36" s="1037">
        <v>0.5</v>
      </c>
      <c r="F36" s="1037" t="s">
        <v>80</v>
      </c>
      <c r="G36" s="1038">
        <v>4923195494</v>
      </c>
      <c r="H36" s="1039"/>
      <c r="I36" s="1038">
        <v>4923195494</v>
      </c>
      <c r="J36" s="1037" t="s">
        <v>5113</v>
      </c>
    </row>
    <row r="37" spans="1:10" ht="20.100000000000001" customHeight="1">
      <c r="A37" s="1036">
        <f>ROW()-ROW(A18)</f>
        <v>19</v>
      </c>
      <c r="B37" s="1036" t="s">
        <v>851</v>
      </c>
      <c r="C37" s="1036" t="s">
        <v>5108</v>
      </c>
      <c r="D37" s="1037" t="s">
        <v>5079</v>
      </c>
      <c r="E37" s="1037">
        <v>0.5</v>
      </c>
      <c r="F37" s="1037" t="s">
        <v>80</v>
      </c>
      <c r="G37" s="1038">
        <v>4783626078</v>
      </c>
      <c r="H37" s="1039"/>
      <c r="I37" s="1038">
        <v>4783626078</v>
      </c>
      <c r="J37" s="1037" t="s">
        <v>5080</v>
      </c>
    </row>
    <row r="38" spans="1:10" ht="20.100000000000001" customHeight="1">
      <c r="A38" s="1036">
        <f>ROW()-ROW(A18)</f>
        <v>20</v>
      </c>
      <c r="B38" s="1036" t="s">
        <v>717</v>
      </c>
      <c r="C38" s="1036" t="s">
        <v>5118</v>
      </c>
      <c r="D38" s="1037" t="s">
        <v>5079</v>
      </c>
      <c r="E38" s="1037">
        <v>0.5</v>
      </c>
      <c r="F38" s="1037" t="s">
        <v>80</v>
      </c>
      <c r="G38" s="1038">
        <v>4223210080</v>
      </c>
      <c r="H38" s="1039"/>
      <c r="I38" s="1038">
        <v>4223210080</v>
      </c>
      <c r="J38" s="1037" t="s">
        <v>5097</v>
      </c>
    </row>
    <row r="39" spans="1:10" ht="20.100000000000001" customHeight="1">
      <c r="A39" s="1036">
        <f>ROW()-ROW(A18)</f>
        <v>21</v>
      </c>
      <c r="B39" s="1036" t="s">
        <v>751</v>
      </c>
      <c r="C39" s="1036" t="s">
        <v>5119</v>
      </c>
      <c r="D39" s="1037" t="s">
        <v>5079</v>
      </c>
      <c r="E39" s="1037">
        <v>0.5</v>
      </c>
      <c r="F39" s="1037" t="s">
        <v>80</v>
      </c>
      <c r="G39" s="1038">
        <v>4089566306</v>
      </c>
      <c r="H39" s="1039"/>
      <c r="I39" s="1038">
        <v>4089566306</v>
      </c>
      <c r="J39" s="1037" t="s">
        <v>5111</v>
      </c>
    </row>
    <row r="40" spans="1:10" ht="20.100000000000001" customHeight="1">
      <c r="A40" s="1036">
        <f>ROW()-ROW(A18)</f>
        <v>22</v>
      </c>
      <c r="B40" s="1036" t="s">
        <v>992</v>
      </c>
      <c r="C40" s="1036" t="s">
        <v>5120</v>
      </c>
      <c r="D40" s="1037" t="s">
        <v>5079</v>
      </c>
      <c r="E40" s="1037">
        <v>0.5</v>
      </c>
      <c r="F40" s="1037" t="s">
        <v>80</v>
      </c>
      <c r="G40" s="1038">
        <v>3104914988</v>
      </c>
      <c r="H40" s="1039"/>
      <c r="I40" s="1038">
        <v>3104914988</v>
      </c>
      <c r="J40" s="1037" t="s">
        <v>5098</v>
      </c>
    </row>
    <row r="41" spans="1:10" ht="20.100000000000001" customHeight="1">
      <c r="A41" s="1036">
        <f>ROW()-ROW(A18)</f>
        <v>23</v>
      </c>
      <c r="B41" s="1036" t="s">
        <v>1046</v>
      </c>
      <c r="C41" s="1036" t="s">
        <v>5121</v>
      </c>
      <c r="D41" s="1037" t="s">
        <v>5079</v>
      </c>
      <c r="E41" s="1037">
        <v>0.5</v>
      </c>
      <c r="F41" s="1037" t="s">
        <v>80</v>
      </c>
      <c r="G41" s="1038">
        <v>2984784128</v>
      </c>
      <c r="H41" s="1039"/>
      <c r="I41" s="1038">
        <v>2984784128</v>
      </c>
      <c r="J41" s="1037" t="s">
        <v>5113</v>
      </c>
    </row>
    <row r="42" spans="1:10" ht="20.100000000000001" customHeight="1">
      <c r="A42" s="1036">
        <f>ROW()-ROW(A18)</f>
        <v>24</v>
      </c>
      <c r="B42" s="1036" t="s">
        <v>615</v>
      </c>
      <c r="C42" s="1036" t="s">
        <v>5122</v>
      </c>
      <c r="D42" s="1037" t="s">
        <v>5079</v>
      </c>
      <c r="E42" s="1037">
        <v>0.5</v>
      </c>
      <c r="F42" s="1037" t="s">
        <v>80</v>
      </c>
      <c r="G42" s="1038">
        <v>2461966421</v>
      </c>
      <c r="H42" s="1039"/>
      <c r="I42" s="1038">
        <v>2461966421</v>
      </c>
      <c r="J42" s="1037" t="s">
        <v>5111</v>
      </c>
    </row>
    <row r="43" spans="1:10" ht="20.100000000000001" customHeight="1">
      <c r="A43" s="1036">
        <f>ROW()-ROW(A18)</f>
        <v>25</v>
      </c>
      <c r="B43" s="1036" t="s">
        <v>789</v>
      </c>
      <c r="C43" s="1036" t="s">
        <v>5123</v>
      </c>
      <c r="D43" s="1037" t="s">
        <v>5079</v>
      </c>
      <c r="E43" s="1037">
        <v>0.5</v>
      </c>
      <c r="F43" s="1037" t="s">
        <v>80</v>
      </c>
      <c r="G43" s="1038">
        <v>2094006265</v>
      </c>
      <c r="H43" s="1039"/>
      <c r="I43" s="1038">
        <v>2094006265</v>
      </c>
      <c r="J43" s="1037" t="s">
        <v>5080</v>
      </c>
    </row>
    <row r="44" spans="1:10" ht="20.100000000000001" customHeight="1">
      <c r="A44" s="1036">
        <f>ROW()-ROW(A18)</f>
        <v>26</v>
      </c>
      <c r="B44" s="1036" t="s">
        <v>1054</v>
      </c>
      <c r="C44" s="1036" t="s">
        <v>5096</v>
      </c>
      <c r="D44" s="1037" t="s">
        <v>5079</v>
      </c>
      <c r="E44" s="1037">
        <v>0.5</v>
      </c>
      <c r="F44" s="1037" t="s">
        <v>80</v>
      </c>
      <c r="G44" s="1038">
        <v>1862623022</v>
      </c>
      <c r="H44" s="1039"/>
      <c r="I44" s="1038">
        <v>1862623022</v>
      </c>
      <c r="J44" s="1037" t="s">
        <v>5111</v>
      </c>
    </row>
    <row r="45" spans="1:10" ht="20.100000000000001" customHeight="1">
      <c r="A45" s="1036">
        <f>ROW()-ROW(A18)</f>
        <v>27</v>
      </c>
      <c r="B45" s="1036" t="s">
        <v>893</v>
      </c>
      <c r="C45" s="1036" t="s">
        <v>5096</v>
      </c>
      <c r="D45" s="1037" t="s">
        <v>5079</v>
      </c>
      <c r="E45" s="1037">
        <v>0.5</v>
      </c>
      <c r="F45" s="1037" t="s">
        <v>80</v>
      </c>
      <c r="G45" s="1038">
        <v>1292264875</v>
      </c>
      <c r="H45" s="1039"/>
      <c r="I45" s="1038">
        <v>1292264875</v>
      </c>
      <c r="J45" s="1037" t="s">
        <v>5113</v>
      </c>
    </row>
    <row r="46" spans="1:10" ht="20.100000000000001" customHeight="1">
      <c r="A46" s="1036">
        <f>ROW()-ROW(A18)</f>
        <v>28</v>
      </c>
      <c r="B46" s="1036" t="s">
        <v>1100</v>
      </c>
      <c r="C46" s="1036" t="s">
        <v>5124</v>
      </c>
      <c r="D46" s="1037" t="s">
        <v>5079</v>
      </c>
      <c r="E46" s="1037">
        <v>0.5</v>
      </c>
      <c r="F46" s="1037" t="s">
        <v>80</v>
      </c>
      <c r="G46" s="1038">
        <v>1248508075</v>
      </c>
      <c r="H46" s="1039"/>
      <c r="I46" s="1038">
        <v>1248508075</v>
      </c>
      <c r="J46" s="1037" t="s">
        <v>5113</v>
      </c>
    </row>
    <row r="47" spans="1:10" ht="20.100000000000001" customHeight="1">
      <c r="A47" s="1036">
        <f>ROW()-ROW(A18)</f>
        <v>29</v>
      </c>
      <c r="B47" s="1036" t="s">
        <v>960</v>
      </c>
      <c r="C47" s="1036" t="s">
        <v>5125</v>
      </c>
      <c r="D47" s="1037" t="s">
        <v>5079</v>
      </c>
      <c r="E47" s="1037">
        <v>0.5</v>
      </c>
      <c r="F47" s="1037" t="s">
        <v>80</v>
      </c>
      <c r="G47" s="1038">
        <v>993453747</v>
      </c>
      <c r="H47" s="1039"/>
      <c r="I47" s="1038">
        <v>993453747</v>
      </c>
      <c r="J47" s="1037" t="s">
        <v>5080</v>
      </c>
    </row>
    <row r="48" spans="1:10" ht="20.100000000000001" customHeight="1">
      <c r="A48" s="1036">
        <f>ROW()-ROW(A18)</f>
        <v>30</v>
      </c>
      <c r="B48" s="1036" t="s">
        <v>562</v>
      </c>
      <c r="C48" s="1036" t="s">
        <v>5126</v>
      </c>
      <c r="D48" s="1037" t="s">
        <v>5079</v>
      </c>
      <c r="E48" s="1037">
        <v>0.5</v>
      </c>
      <c r="F48" s="1037" t="s">
        <v>80</v>
      </c>
      <c r="G48" s="1038">
        <v>947806169</v>
      </c>
      <c r="H48" s="1039"/>
      <c r="I48" s="1038">
        <v>947806169</v>
      </c>
      <c r="J48" s="1037" t="s">
        <v>5080</v>
      </c>
    </row>
    <row r="49" spans="1:10" ht="20.100000000000001" customHeight="1">
      <c r="A49" s="1036">
        <f>ROW()-ROW(A18)</f>
        <v>31</v>
      </c>
      <c r="B49" s="1036" t="s">
        <v>753</v>
      </c>
      <c r="C49" s="1036" t="s">
        <v>5127</v>
      </c>
      <c r="D49" s="1037" t="s">
        <v>5079</v>
      </c>
      <c r="E49" s="1037">
        <v>0.5</v>
      </c>
      <c r="F49" s="1037" t="s">
        <v>80</v>
      </c>
      <c r="G49" s="1038">
        <v>791716669</v>
      </c>
      <c r="H49" s="1039"/>
      <c r="I49" s="1038">
        <v>791716669</v>
      </c>
      <c r="J49" s="1037" t="s">
        <v>5080</v>
      </c>
    </row>
    <row r="50" spans="1:10" ht="20.100000000000001" customHeight="1">
      <c r="A50" s="1036">
        <f>ROW()-ROW(A18)</f>
        <v>32</v>
      </c>
      <c r="B50" s="1036" t="s">
        <v>1049</v>
      </c>
      <c r="C50" s="1036" t="s">
        <v>5128</v>
      </c>
      <c r="D50" s="1037" t="s">
        <v>5079</v>
      </c>
      <c r="E50" s="1037">
        <v>0.5</v>
      </c>
      <c r="F50" s="1037" t="s">
        <v>80</v>
      </c>
      <c r="G50" s="1038">
        <v>758140543</v>
      </c>
      <c r="H50" s="1039"/>
      <c r="I50" s="1038">
        <v>758140543</v>
      </c>
      <c r="J50" s="1037" t="s">
        <v>5113</v>
      </c>
    </row>
    <row r="51" spans="1:10" ht="20.100000000000001" customHeight="1">
      <c r="A51" s="1036">
        <f>ROW()-ROW(A18)</f>
        <v>33</v>
      </c>
      <c r="B51" s="1036" t="s">
        <v>646</v>
      </c>
      <c r="C51" s="1036" t="s">
        <v>5129</v>
      </c>
      <c r="D51" s="1037" t="s">
        <v>5079</v>
      </c>
      <c r="E51" s="1037">
        <v>0.5</v>
      </c>
      <c r="F51" s="1037" t="s">
        <v>80</v>
      </c>
      <c r="G51" s="1038">
        <v>748070986</v>
      </c>
      <c r="H51" s="1039"/>
      <c r="I51" s="1038">
        <v>748070986</v>
      </c>
      <c r="J51" s="1037" t="s">
        <v>5080</v>
      </c>
    </row>
    <row r="52" spans="1:10" ht="20.100000000000001" customHeight="1">
      <c r="A52" s="1036">
        <f>ROW()-ROW(A18)</f>
        <v>34</v>
      </c>
      <c r="B52" s="1036" t="s">
        <v>749</v>
      </c>
      <c r="C52" s="1036" t="s">
        <v>5130</v>
      </c>
      <c r="D52" s="1037" t="s">
        <v>5079</v>
      </c>
      <c r="E52" s="1037">
        <v>0.5</v>
      </c>
      <c r="F52" s="1037" t="s">
        <v>80</v>
      </c>
      <c r="G52" s="1038">
        <v>643827347</v>
      </c>
      <c r="H52" s="1039"/>
      <c r="I52" s="1038">
        <v>643827347</v>
      </c>
      <c r="J52" s="1037" t="s">
        <v>5111</v>
      </c>
    </row>
    <row r="53" spans="1:10" ht="20.100000000000001" customHeight="1">
      <c r="A53" s="1036">
        <f>ROW()-ROW(A18)</f>
        <v>35</v>
      </c>
      <c r="B53" s="1036" t="s">
        <v>713</v>
      </c>
      <c r="C53" s="1036" t="s">
        <v>5131</v>
      </c>
      <c r="D53" s="1037" t="s">
        <v>5079</v>
      </c>
      <c r="E53" s="1037">
        <v>0.5</v>
      </c>
      <c r="F53" s="1037" t="s">
        <v>80</v>
      </c>
      <c r="G53" s="1038">
        <v>511503915</v>
      </c>
      <c r="H53" s="1039"/>
      <c r="I53" s="1038">
        <v>511503915</v>
      </c>
      <c r="J53" s="1037" t="s">
        <v>5080</v>
      </c>
    </row>
    <row r="54" spans="1:10" ht="20.100000000000001" customHeight="1">
      <c r="A54" s="1036">
        <f>ROW()-ROW(A18)</f>
        <v>36</v>
      </c>
      <c r="B54" s="1036" t="s">
        <v>698</v>
      </c>
      <c r="C54" s="1036" t="s">
        <v>5132</v>
      </c>
      <c r="D54" s="1037" t="s">
        <v>5079</v>
      </c>
      <c r="E54" s="1037">
        <v>0.5</v>
      </c>
      <c r="F54" s="1037" t="s">
        <v>80</v>
      </c>
      <c r="G54" s="1038">
        <v>300506834</v>
      </c>
      <c r="H54" s="1039"/>
      <c r="I54" s="1038">
        <v>300506834</v>
      </c>
      <c r="J54" s="1037" t="s">
        <v>5080</v>
      </c>
    </row>
    <row r="55" spans="1:10" ht="20.100000000000001" customHeight="1">
      <c r="A55" s="1036">
        <f>ROW()-ROW(A18)</f>
        <v>37</v>
      </c>
      <c r="B55" s="1036" t="s">
        <v>694</v>
      </c>
      <c r="C55" s="1036" t="s">
        <v>5133</v>
      </c>
      <c r="D55" s="1037" t="s">
        <v>5079</v>
      </c>
      <c r="E55" s="1037">
        <v>0.5</v>
      </c>
      <c r="F55" s="1037" t="s">
        <v>80</v>
      </c>
      <c r="G55" s="1038">
        <v>146767311</v>
      </c>
      <c r="H55" s="1039"/>
      <c r="I55" s="1038">
        <v>146767311</v>
      </c>
      <c r="J55" s="1037" t="s">
        <v>5080</v>
      </c>
    </row>
    <row r="56" spans="1:10" ht="20.100000000000001" customHeight="1">
      <c r="A56" s="1036">
        <f>ROW()-ROW(A18)</f>
        <v>38</v>
      </c>
      <c r="B56" s="1036" t="s">
        <v>740</v>
      </c>
      <c r="C56" s="1036" t="s">
        <v>5134</v>
      </c>
      <c r="D56" s="1037" t="s">
        <v>5079</v>
      </c>
      <c r="E56" s="1037">
        <v>0.5</v>
      </c>
      <c r="F56" s="1037" t="s">
        <v>80</v>
      </c>
      <c r="G56" s="1038">
        <v>115450963</v>
      </c>
      <c r="H56" s="1039"/>
      <c r="I56" s="1038">
        <v>115450963</v>
      </c>
      <c r="J56" s="1037" t="s">
        <v>5080</v>
      </c>
    </row>
    <row r="57" spans="1:10" ht="20.100000000000001" customHeight="1">
      <c r="A57" s="1036">
        <f>ROW()-ROW(A18)</f>
        <v>39</v>
      </c>
      <c r="B57" s="1036" t="s">
        <v>700</v>
      </c>
      <c r="C57" s="1036" t="s">
        <v>5135</v>
      </c>
      <c r="D57" s="1037" t="s">
        <v>5079</v>
      </c>
      <c r="E57" s="1037">
        <v>0.5</v>
      </c>
      <c r="F57" s="1037" t="s">
        <v>80</v>
      </c>
      <c r="G57" s="1038">
        <v>108705685</v>
      </c>
      <c r="H57" s="1039"/>
      <c r="I57" s="1038">
        <v>108705685</v>
      </c>
      <c r="J57" s="1037" t="s">
        <v>5097</v>
      </c>
    </row>
    <row r="58" spans="1:10" ht="20.100000000000001" customHeight="1">
      <c r="A58" s="1036">
        <f>ROW()-ROW(A18)</f>
        <v>40</v>
      </c>
      <c r="B58" s="1036" t="s">
        <v>952</v>
      </c>
      <c r="C58" s="1036" t="s">
        <v>5136</v>
      </c>
      <c r="D58" s="1037" t="s">
        <v>5079</v>
      </c>
      <c r="E58" s="1037">
        <v>0.5</v>
      </c>
      <c r="F58" s="1037" t="s">
        <v>80</v>
      </c>
      <c r="G58" s="1038">
        <v>102250760</v>
      </c>
      <c r="H58" s="1039"/>
      <c r="I58" s="1038">
        <v>102250760</v>
      </c>
      <c r="J58" s="1037" t="s">
        <v>5080</v>
      </c>
    </row>
    <row r="59" spans="1:10" ht="20.100000000000001" customHeight="1">
      <c r="A59" s="1036">
        <f>ROW()-ROW(A18)</f>
        <v>41</v>
      </c>
      <c r="B59" s="1036" t="s">
        <v>946</v>
      </c>
      <c r="C59" s="1036" t="s">
        <v>5137</v>
      </c>
      <c r="D59" s="1037" t="s">
        <v>5079</v>
      </c>
      <c r="E59" s="1037">
        <v>0.5</v>
      </c>
      <c r="F59" s="1037" t="s">
        <v>80</v>
      </c>
      <c r="G59" s="1038">
        <v>101635167</v>
      </c>
      <c r="H59" s="1039"/>
      <c r="I59" s="1038">
        <v>101635167</v>
      </c>
      <c r="J59" s="1037" t="s">
        <v>5080</v>
      </c>
    </row>
    <row r="60" spans="1:10" ht="20.100000000000001" customHeight="1">
      <c r="A60" s="1036">
        <f>ROW()-ROW(A18)</f>
        <v>42</v>
      </c>
      <c r="B60" s="1036" t="s">
        <v>743</v>
      </c>
      <c r="C60" s="1036" t="s">
        <v>5138</v>
      </c>
      <c r="D60" s="1037" t="s">
        <v>5079</v>
      </c>
      <c r="E60" s="1037">
        <v>0.5</v>
      </c>
      <c r="F60" s="1037" t="s">
        <v>80</v>
      </c>
      <c r="G60" s="1038">
        <v>101408326</v>
      </c>
      <c r="H60" s="1039"/>
      <c r="I60" s="1038">
        <v>101408326</v>
      </c>
      <c r="J60" s="1037" t="s">
        <v>5080</v>
      </c>
    </row>
    <row r="61" spans="1:10" ht="20.100000000000001" customHeight="1">
      <c r="A61" s="1036">
        <f>ROW()-ROW(A18)</f>
        <v>43</v>
      </c>
      <c r="B61" s="1036" t="s">
        <v>684</v>
      </c>
      <c r="C61" s="1036" t="s">
        <v>5139</v>
      </c>
      <c r="D61" s="1037" t="s">
        <v>5079</v>
      </c>
      <c r="E61" s="1037">
        <v>0.5</v>
      </c>
      <c r="F61" s="1037" t="s">
        <v>80</v>
      </c>
      <c r="G61" s="1038">
        <v>99764877</v>
      </c>
      <c r="H61" s="1039"/>
      <c r="I61" s="1038">
        <v>99764877</v>
      </c>
      <c r="J61" s="1037" t="s">
        <v>5080</v>
      </c>
    </row>
    <row r="62" spans="1:10" ht="20.100000000000001" customHeight="1">
      <c r="A62" s="1036">
        <f>ROW()-ROW(A18)</f>
        <v>44</v>
      </c>
      <c r="B62" s="1036" t="s">
        <v>783</v>
      </c>
      <c r="C62" s="1036" t="s">
        <v>5140</v>
      </c>
      <c r="D62" s="1037" t="s">
        <v>5079</v>
      </c>
      <c r="E62" s="1037">
        <v>0.5</v>
      </c>
      <c r="F62" s="1037" t="s">
        <v>80</v>
      </c>
      <c r="G62" s="1038">
        <v>97663266</v>
      </c>
      <c r="H62" s="1039"/>
      <c r="I62" s="1038">
        <v>97663266</v>
      </c>
      <c r="J62" s="1037" t="s">
        <v>5080</v>
      </c>
    </row>
    <row r="63" spans="1:10" ht="20.100000000000001" customHeight="1">
      <c r="A63" s="1036">
        <f>ROW()-ROW(A18)</f>
        <v>45</v>
      </c>
      <c r="B63" s="1036" t="s">
        <v>948</v>
      </c>
      <c r="C63" s="1036" t="s">
        <v>5141</v>
      </c>
      <c r="D63" s="1037" t="s">
        <v>5079</v>
      </c>
      <c r="E63" s="1037">
        <v>0.5</v>
      </c>
      <c r="F63" s="1037" t="s">
        <v>80</v>
      </c>
      <c r="G63" s="1038">
        <v>96533577</v>
      </c>
      <c r="H63" s="1039"/>
      <c r="I63" s="1038">
        <v>96533577</v>
      </c>
      <c r="J63" s="1037" t="s">
        <v>5080</v>
      </c>
    </row>
    <row r="64" spans="1:10" ht="20.100000000000001" customHeight="1">
      <c r="A64" s="1036">
        <f>ROW()-ROW(A18)</f>
        <v>46</v>
      </c>
      <c r="B64" s="1036" t="s">
        <v>944</v>
      </c>
      <c r="C64" s="1036" t="s">
        <v>5142</v>
      </c>
      <c r="D64" s="1037" t="s">
        <v>5079</v>
      </c>
      <c r="E64" s="1037">
        <v>0.5</v>
      </c>
      <c r="F64" s="1037" t="s">
        <v>80</v>
      </c>
      <c r="G64" s="1038">
        <v>96533467</v>
      </c>
      <c r="H64" s="1039"/>
      <c r="I64" s="1038">
        <v>96533467</v>
      </c>
      <c r="J64" s="1037" t="s">
        <v>5080</v>
      </c>
    </row>
    <row r="65" spans="1:10" ht="20.100000000000001" customHeight="1">
      <c r="A65" s="1036">
        <f>ROW()-ROW(A18)</f>
        <v>47</v>
      </c>
      <c r="B65" s="1036" t="s">
        <v>925</v>
      </c>
      <c r="C65" s="1036" t="s">
        <v>5143</v>
      </c>
      <c r="D65" s="1037" t="s">
        <v>5079</v>
      </c>
      <c r="E65" s="1037">
        <v>0.5</v>
      </c>
      <c r="F65" s="1037" t="s">
        <v>80</v>
      </c>
      <c r="G65" s="1038">
        <v>95560352</v>
      </c>
      <c r="H65" s="1039"/>
      <c r="I65" s="1038">
        <v>95560352</v>
      </c>
      <c r="J65" s="1037" t="s">
        <v>5080</v>
      </c>
    </row>
    <row r="66" spans="1:10" ht="20.100000000000001" customHeight="1">
      <c r="A66" s="1036">
        <f>ROW()-ROW(A18)</f>
        <v>48</v>
      </c>
      <c r="B66" s="1036" t="s">
        <v>612</v>
      </c>
      <c r="C66" s="1036" t="s">
        <v>5144</v>
      </c>
      <c r="D66" s="1037" t="s">
        <v>5079</v>
      </c>
      <c r="E66" s="1037">
        <v>0.5</v>
      </c>
      <c r="F66" s="1037" t="s">
        <v>80</v>
      </c>
      <c r="G66" s="1038">
        <v>93457838</v>
      </c>
      <c r="H66" s="1039"/>
      <c r="I66" s="1038">
        <v>93457838</v>
      </c>
      <c r="J66" s="1037" t="s">
        <v>5097</v>
      </c>
    </row>
    <row r="67" spans="1:10" ht="20.100000000000001" customHeight="1">
      <c r="A67" s="1036">
        <f>ROW()-ROW(A18)</f>
        <v>49</v>
      </c>
      <c r="B67" s="1036" t="s">
        <v>583</v>
      </c>
      <c r="C67" s="1036" t="s">
        <v>5096</v>
      </c>
      <c r="D67" s="1037" t="s">
        <v>5079</v>
      </c>
      <c r="E67" s="1037">
        <v>0.5</v>
      </c>
      <c r="F67" s="1037" t="s">
        <v>80</v>
      </c>
      <c r="G67" s="1038">
        <v>91477418</v>
      </c>
      <c r="H67" s="1039"/>
      <c r="I67" s="1038">
        <v>91477418</v>
      </c>
      <c r="J67" s="1037" t="s">
        <v>5106</v>
      </c>
    </row>
    <row r="68" spans="1:10" ht="20.100000000000001" customHeight="1">
      <c r="A68" s="1036">
        <f>ROW()-ROW(A18)</f>
        <v>50</v>
      </c>
      <c r="B68" s="1036" t="s">
        <v>793</v>
      </c>
      <c r="C68" s="1036" t="s">
        <v>5145</v>
      </c>
      <c r="D68" s="1037" t="s">
        <v>5079</v>
      </c>
      <c r="E68" s="1037">
        <v>0.5</v>
      </c>
      <c r="F68" s="1037" t="s">
        <v>80</v>
      </c>
      <c r="G68" s="1038">
        <v>90729660</v>
      </c>
      <c r="H68" s="1039"/>
      <c r="I68" s="1038">
        <v>90729660</v>
      </c>
      <c r="J68" s="1037" t="s">
        <v>5080</v>
      </c>
    </row>
    <row r="69" spans="1:10" ht="20.100000000000001" customHeight="1">
      <c r="A69" s="1036">
        <f>ROW()-ROW(A18)</f>
        <v>51</v>
      </c>
      <c r="B69" s="1036" t="s">
        <v>1077</v>
      </c>
      <c r="C69" s="1036" t="s">
        <v>5146</v>
      </c>
      <c r="D69" s="1037" t="s">
        <v>5079</v>
      </c>
      <c r="E69" s="1037">
        <v>0.2</v>
      </c>
      <c r="F69" s="1037" t="s">
        <v>80</v>
      </c>
      <c r="G69" s="1038">
        <v>88154863</v>
      </c>
      <c r="H69" s="1039"/>
      <c r="I69" s="1038">
        <v>88154863</v>
      </c>
      <c r="J69" s="1037" t="s">
        <v>5106</v>
      </c>
    </row>
    <row r="70" spans="1:10" ht="20.100000000000001" customHeight="1">
      <c r="A70" s="1036">
        <f>ROW()-ROW(A18)</f>
        <v>52</v>
      </c>
      <c r="B70" s="1036" t="s">
        <v>787</v>
      </c>
      <c r="C70" s="1036" t="s">
        <v>5147</v>
      </c>
      <c r="D70" s="1037" t="s">
        <v>5079</v>
      </c>
      <c r="E70" s="1037">
        <v>0.5</v>
      </c>
      <c r="F70" s="1037" t="s">
        <v>80</v>
      </c>
      <c r="G70" s="1038">
        <v>84039000</v>
      </c>
      <c r="H70" s="1039"/>
      <c r="I70" s="1038">
        <v>84039000</v>
      </c>
      <c r="J70" s="1037" t="s">
        <v>5080</v>
      </c>
    </row>
    <row r="71" spans="1:10" ht="20.100000000000001" customHeight="1">
      <c r="A71" s="1036">
        <f>ROW()-ROW(A18)</f>
        <v>53</v>
      </c>
      <c r="B71" s="1036" t="s">
        <v>642</v>
      </c>
      <c r="C71" s="1036" t="s">
        <v>5148</v>
      </c>
      <c r="D71" s="1037" t="s">
        <v>5079</v>
      </c>
      <c r="E71" s="1037">
        <v>0.5</v>
      </c>
      <c r="F71" s="1037" t="s">
        <v>80</v>
      </c>
      <c r="G71" s="1038">
        <v>76166133</v>
      </c>
      <c r="H71" s="1039"/>
      <c r="I71" s="1038">
        <v>76166133</v>
      </c>
      <c r="J71" s="1037" t="s">
        <v>5080</v>
      </c>
    </row>
    <row r="72" spans="1:10" ht="20.100000000000001" customHeight="1">
      <c r="A72" s="1036">
        <f>ROW()-ROW(A18)</f>
        <v>54</v>
      </c>
      <c r="B72" s="1036" t="s">
        <v>779</v>
      </c>
      <c r="C72" s="1036" t="s">
        <v>5149</v>
      </c>
      <c r="D72" s="1037" t="s">
        <v>5079</v>
      </c>
      <c r="E72" s="1037">
        <v>0.5</v>
      </c>
      <c r="F72" s="1037" t="s">
        <v>80</v>
      </c>
      <c r="G72" s="1038">
        <v>75129815</v>
      </c>
      <c r="H72" s="1039"/>
      <c r="I72" s="1038">
        <v>75129815</v>
      </c>
      <c r="J72" s="1037" t="s">
        <v>5080</v>
      </c>
    </row>
    <row r="73" spans="1:10" ht="20.100000000000001" customHeight="1">
      <c r="A73" s="1036">
        <f>ROW()-ROW(A18)</f>
        <v>55</v>
      </c>
      <c r="B73" s="1036" t="s">
        <v>521</v>
      </c>
      <c r="C73" s="1036" t="s">
        <v>5150</v>
      </c>
      <c r="D73" s="1037" t="s">
        <v>5079</v>
      </c>
      <c r="E73" s="1037">
        <v>0.2</v>
      </c>
      <c r="F73" s="1037" t="s">
        <v>80</v>
      </c>
      <c r="G73" s="1038">
        <v>72445039</v>
      </c>
      <c r="H73" s="1039"/>
      <c r="I73" s="1038">
        <v>72445039</v>
      </c>
      <c r="J73" s="1037" t="s">
        <v>5106</v>
      </c>
    </row>
    <row r="74" spans="1:10" ht="20.100000000000001" customHeight="1">
      <c r="A74" s="1036">
        <f>ROW()-ROW(A18)</f>
        <v>56</v>
      </c>
      <c r="B74" s="1036" t="s">
        <v>984</v>
      </c>
      <c r="C74" s="1036" t="s">
        <v>5151</v>
      </c>
      <c r="D74" s="1037" t="s">
        <v>5079</v>
      </c>
      <c r="E74" s="1037">
        <v>0.5</v>
      </c>
      <c r="F74" s="1037" t="s">
        <v>80</v>
      </c>
      <c r="G74" s="1038">
        <v>69491114</v>
      </c>
      <c r="H74" s="1039"/>
      <c r="I74" s="1038">
        <v>69491114</v>
      </c>
      <c r="J74" s="1037" t="s">
        <v>5080</v>
      </c>
    </row>
    <row r="75" spans="1:10" ht="20.100000000000001" customHeight="1">
      <c r="A75" s="1036">
        <f>ROW()-ROW(A18)</f>
        <v>57</v>
      </c>
      <c r="B75" s="1036" t="s">
        <v>858</v>
      </c>
      <c r="C75" s="1036" t="s">
        <v>5152</v>
      </c>
      <c r="D75" s="1037" t="s">
        <v>5079</v>
      </c>
      <c r="E75" s="1037">
        <v>0.5</v>
      </c>
      <c r="F75" s="1037" t="s">
        <v>80</v>
      </c>
      <c r="G75" s="1038">
        <v>63137665</v>
      </c>
      <c r="H75" s="1039"/>
      <c r="I75" s="1038">
        <v>63137665</v>
      </c>
      <c r="J75" s="1037" t="s">
        <v>5113</v>
      </c>
    </row>
    <row r="76" spans="1:10" ht="20.100000000000001" customHeight="1">
      <c r="A76" s="1036">
        <f>ROW()-ROW(A18)</f>
        <v>58</v>
      </c>
      <c r="B76" s="1036" t="s">
        <v>760</v>
      </c>
      <c r="C76" s="1036" t="s">
        <v>5153</v>
      </c>
      <c r="D76" s="1037" t="s">
        <v>5079</v>
      </c>
      <c r="E76" s="1037">
        <v>0.5</v>
      </c>
      <c r="F76" s="1037" t="s">
        <v>80</v>
      </c>
      <c r="G76" s="1038">
        <v>62600608</v>
      </c>
      <c r="H76" s="1039"/>
      <c r="I76" s="1038">
        <v>62600608</v>
      </c>
      <c r="J76" s="1037" t="s">
        <v>5080</v>
      </c>
    </row>
    <row r="77" spans="1:10" ht="20.100000000000001" customHeight="1">
      <c r="A77" s="1036">
        <f>ROW()-ROW(A18)</f>
        <v>59</v>
      </c>
      <c r="B77" s="1036" t="s">
        <v>950</v>
      </c>
      <c r="C77" s="1036" t="s">
        <v>5154</v>
      </c>
      <c r="D77" s="1037" t="s">
        <v>5079</v>
      </c>
      <c r="E77" s="1037">
        <v>0.5</v>
      </c>
      <c r="F77" s="1037" t="s">
        <v>80</v>
      </c>
      <c r="G77" s="1038">
        <v>51635262</v>
      </c>
      <c r="H77" s="1039"/>
      <c r="I77" s="1038">
        <v>51635262</v>
      </c>
      <c r="J77" s="1037" t="s">
        <v>5080</v>
      </c>
    </row>
    <row r="78" spans="1:10" ht="20.100000000000001" customHeight="1">
      <c r="A78" s="1036">
        <f>ROW()-ROW(A18)</f>
        <v>60</v>
      </c>
      <c r="B78" s="1036" t="s">
        <v>863</v>
      </c>
      <c r="C78" s="1036" t="s">
        <v>5155</v>
      </c>
      <c r="D78" s="1037" t="s">
        <v>5079</v>
      </c>
      <c r="E78" s="1037">
        <v>0.5</v>
      </c>
      <c r="F78" s="1037" t="s">
        <v>80</v>
      </c>
      <c r="G78" s="1038">
        <v>51114074</v>
      </c>
      <c r="H78" s="1039"/>
      <c r="I78" s="1038">
        <v>51114074</v>
      </c>
      <c r="J78" s="1037" t="s">
        <v>5113</v>
      </c>
    </row>
    <row r="79" spans="1:10" ht="20.100000000000001" customHeight="1">
      <c r="A79" s="1036">
        <f>ROW()-ROW(A18)</f>
        <v>61</v>
      </c>
      <c r="B79" s="1036" t="s">
        <v>860</v>
      </c>
      <c r="C79" s="1036" t="s">
        <v>5156</v>
      </c>
      <c r="D79" s="1037" t="s">
        <v>5079</v>
      </c>
      <c r="E79" s="1037">
        <v>0.5</v>
      </c>
      <c r="F79" s="1037" t="s">
        <v>80</v>
      </c>
      <c r="G79" s="1038">
        <v>51112543</v>
      </c>
      <c r="H79" s="1039"/>
      <c r="I79" s="1038">
        <v>51112543</v>
      </c>
      <c r="J79" s="1037" t="s">
        <v>5113</v>
      </c>
    </row>
    <row r="80" spans="1:10" ht="20.100000000000001" customHeight="1">
      <c r="A80" s="1036">
        <f>ROW()-ROW(A18)</f>
        <v>62</v>
      </c>
      <c r="B80" s="1036" t="s">
        <v>791</v>
      </c>
      <c r="C80" s="1036" t="s">
        <v>5157</v>
      </c>
      <c r="D80" s="1037" t="s">
        <v>5079</v>
      </c>
      <c r="E80" s="1037">
        <v>0.5</v>
      </c>
      <c r="F80" s="1037" t="s">
        <v>80</v>
      </c>
      <c r="G80" s="1038">
        <v>50912066</v>
      </c>
      <c r="H80" s="1039"/>
      <c r="I80" s="1038">
        <v>50912066</v>
      </c>
      <c r="J80" s="1037" t="s">
        <v>5080</v>
      </c>
    </row>
    <row r="81" spans="1:10" ht="20.100000000000001" customHeight="1">
      <c r="A81" s="1036">
        <f>ROW()-ROW(A18)</f>
        <v>63</v>
      </c>
      <c r="B81" s="1036" t="s">
        <v>1227</v>
      </c>
      <c r="C81" s="1036" t="s">
        <v>5158</v>
      </c>
      <c r="D81" s="1037" t="s">
        <v>5079</v>
      </c>
      <c r="E81" s="1037">
        <v>0.5</v>
      </c>
      <c r="F81" s="1037" t="s">
        <v>80</v>
      </c>
      <c r="G81" s="1038">
        <v>48463408</v>
      </c>
      <c r="H81" s="1039"/>
      <c r="I81" s="1038">
        <v>48463408</v>
      </c>
      <c r="J81" s="1037" t="s">
        <v>5159</v>
      </c>
    </row>
    <row r="82" spans="1:10" ht="20.100000000000001" customHeight="1">
      <c r="A82" s="1036">
        <f>ROW()-ROW(A18)</f>
        <v>64</v>
      </c>
      <c r="B82" s="1036" t="s">
        <v>1033</v>
      </c>
      <c r="C82" s="1036" t="s">
        <v>5160</v>
      </c>
      <c r="D82" s="1037" t="s">
        <v>5079</v>
      </c>
      <c r="E82" s="1037">
        <v>0.5</v>
      </c>
      <c r="F82" s="1037" t="s">
        <v>80</v>
      </c>
      <c r="G82" s="1038">
        <v>46467874</v>
      </c>
      <c r="H82" s="1039"/>
      <c r="I82" s="1038">
        <v>46467874</v>
      </c>
      <c r="J82" s="1037" t="s">
        <v>5113</v>
      </c>
    </row>
    <row r="83" spans="1:10" ht="20.100000000000001" customHeight="1">
      <c r="A83" s="1036">
        <f>ROW()-ROW(A18)</f>
        <v>65</v>
      </c>
      <c r="B83" s="1036" t="s">
        <v>545</v>
      </c>
      <c r="C83" s="1036" t="s">
        <v>5161</v>
      </c>
      <c r="D83" s="1037" t="s">
        <v>5079</v>
      </c>
      <c r="E83" s="1037">
        <v>0.5</v>
      </c>
      <c r="F83" s="1037" t="s">
        <v>80</v>
      </c>
      <c r="G83" s="1038">
        <v>46346155</v>
      </c>
      <c r="H83" s="1039"/>
      <c r="I83" s="1038">
        <v>46346155</v>
      </c>
      <c r="J83" s="1037" t="s">
        <v>5080</v>
      </c>
    </row>
    <row r="84" spans="1:10" ht="20.100000000000001" customHeight="1">
      <c r="A84" s="1036">
        <f>ROW()-ROW(A18)</f>
        <v>66</v>
      </c>
      <c r="B84" s="1036" t="s">
        <v>795</v>
      </c>
      <c r="C84" s="1036" t="s">
        <v>5162</v>
      </c>
      <c r="D84" s="1037" t="s">
        <v>5079</v>
      </c>
      <c r="E84" s="1037">
        <v>0.5</v>
      </c>
      <c r="F84" s="1037" t="s">
        <v>80</v>
      </c>
      <c r="G84" s="1038">
        <v>44392971</v>
      </c>
      <c r="H84" s="1039"/>
      <c r="I84" s="1038">
        <v>44392971</v>
      </c>
      <c r="J84" s="1037" t="s">
        <v>5080</v>
      </c>
    </row>
    <row r="85" spans="1:10" ht="20.100000000000001" customHeight="1">
      <c r="A85" s="1036">
        <f>ROW()-ROW(A18)</f>
        <v>67</v>
      </c>
      <c r="B85" s="1036" t="s">
        <v>639</v>
      </c>
      <c r="C85" s="1036" t="s">
        <v>5163</v>
      </c>
      <c r="D85" s="1037" t="s">
        <v>5079</v>
      </c>
      <c r="E85" s="1037">
        <v>0.5</v>
      </c>
      <c r="F85" s="1037" t="s">
        <v>80</v>
      </c>
      <c r="G85" s="1038">
        <v>43630480</v>
      </c>
      <c r="H85" s="1039"/>
      <c r="I85" s="1038">
        <v>43630480</v>
      </c>
      <c r="J85" s="1037" t="s">
        <v>5080</v>
      </c>
    </row>
    <row r="86" spans="1:10" ht="20.100000000000001" customHeight="1">
      <c r="A86" s="1036">
        <f>ROW()-ROW(A18)</f>
        <v>68</v>
      </c>
      <c r="B86" s="1036" t="s">
        <v>687</v>
      </c>
      <c r="C86" s="1036" t="s">
        <v>5164</v>
      </c>
      <c r="D86" s="1037" t="s">
        <v>5079</v>
      </c>
      <c r="E86" s="1037">
        <v>0.5</v>
      </c>
      <c r="F86" s="1037" t="s">
        <v>80</v>
      </c>
      <c r="G86" s="1038">
        <v>42897143</v>
      </c>
      <c r="H86" s="1039"/>
      <c r="I86" s="1038">
        <v>42897143</v>
      </c>
      <c r="J86" s="1037" t="s">
        <v>5080</v>
      </c>
    </row>
    <row r="87" spans="1:10" ht="20.100000000000001" customHeight="1">
      <c r="A87" s="1036">
        <f>ROW()-ROW(A18)</f>
        <v>69</v>
      </c>
      <c r="B87" s="1036" t="s">
        <v>999</v>
      </c>
      <c r="C87" s="1036" t="s">
        <v>5165</v>
      </c>
      <c r="D87" s="1037" t="s">
        <v>5079</v>
      </c>
      <c r="E87" s="1037">
        <v>0.5</v>
      </c>
      <c r="F87" s="1037" t="s">
        <v>80</v>
      </c>
      <c r="G87" s="1038">
        <v>41496026</v>
      </c>
      <c r="H87" s="1039"/>
      <c r="I87" s="1038">
        <v>41496026</v>
      </c>
      <c r="J87" s="1037" t="s">
        <v>5098</v>
      </c>
    </row>
    <row r="88" spans="1:10" ht="20.100000000000001" customHeight="1">
      <c r="A88" s="1036">
        <f>ROW()-ROW(A18)</f>
        <v>70</v>
      </c>
      <c r="B88" s="1036" t="s">
        <v>672</v>
      </c>
      <c r="C88" s="1036" t="s">
        <v>5166</v>
      </c>
      <c r="D88" s="1037" t="s">
        <v>5079</v>
      </c>
      <c r="E88" s="1037">
        <v>0.5</v>
      </c>
      <c r="F88" s="1037" t="s">
        <v>80</v>
      </c>
      <c r="G88" s="1038">
        <v>40399367</v>
      </c>
      <c r="H88" s="1039"/>
      <c r="I88" s="1038">
        <v>40399367</v>
      </c>
      <c r="J88" s="1037" t="s">
        <v>5080</v>
      </c>
    </row>
    <row r="89" spans="1:10" ht="20.100000000000001" customHeight="1">
      <c r="A89" s="1036">
        <f>ROW()-ROW(A18)</f>
        <v>71</v>
      </c>
      <c r="B89" s="1036" t="s">
        <v>692</v>
      </c>
      <c r="C89" s="1036" t="s">
        <v>5167</v>
      </c>
      <c r="D89" s="1037" t="s">
        <v>5079</v>
      </c>
      <c r="E89" s="1037">
        <v>0.5</v>
      </c>
      <c r="F89" s="1037" t="s">
        <v>80</v>
      </c>
      <c r="G89" s="1038">
        <v>40279670</v>
      </c>
      <c r="H89" s="1039"/>
      <c r="I89" s="1038">
        <v>40279670</v>
      </c>
      <c r="J89" s="1037" t="s">
        <v>5080</v>
      </c>
    </row>
    <row r="90" spans="1:10" ht="20.100000000000001" customHeight="1">
      <c r="A90" s="1036">
        <f>ROW()-ROW(A18)</f>
        <v>72</v>
      </c>
      <c r="B90" s="1036" t="s">
        <v>679</v>
      </c>
      <c r="C90" s="1036" t="s">
        <v>5168</v>
      </c>
      <c r="D90" s="1037" t="s">
        <v>5079</v>
      </c>
      <c r="E90" s="1037">
        <v>0.5</v>
      </c>
      <c r="F90" s="1037" t="s">
        <v>80</v>
      </c>
      <c r="G90" s="1038">
        <v>39440562</v>
      </c>
      <c r="H90" s="1039"/>
      <c r="I90" s="1038">
        <v>39440562</v>
      </c>
      <c r="J90" s="1037" t="s">
        <v>5080</v>
      </c>
    </row>
    <row r="91" spans="1:10" ht="20.100000000000001" customHeight="1">
      <c r="A91" s="1036">
        <f>ROW()-ROW(A18)</f>
        <v>73</v>
      </c>
      <c r="B91" s="1036" t="s">
        <v>621</v>
      </c>
      <c r="C91" s="1036" t="s">
        <v>5169</v>
      </c>
      <c r="D91" s="1037" t="s">
        <v>5079</v>
      </c>
      <c r="E91" s="1037">
        <v>0.5</v>
      </c>
      <c r="F91" s="1037" t="s">
        <v>80</v>
      </c>
      <c r="G91" s="1038">
        <v>39023305</v>
      </c>
      <c r="H91" s="1039"/>
      <c r="I91" s="1038">
        <v>39023305</v>
      </c>
      <c r="J91" s="1037" t="s">
        <v>5080</v>
      </c>
    </row>
    <row r="92" spans="1:10" ht="20.100000000000001" customHeight="1">
      <c r="A92" s="1036">
        <f>ROW()-ROW(A18)</f>
        <v>74</v>
      </c>
      <c r="B92" s="1036" t="s">
        <v>797</v>
      </c>
      <c r="C92" s="1036" t="s">
        <v>5170</v>
      </c>
      <c r="D92" s="1037" t="s">
        <v>5079</v>
      </c>
      <c r="E92" s="1037">
        <v>0.5</v>
      </c>
      <c r="F92" s="1037" t="s">
        <v>80</v>
      </c>
      <c r="G92" s="1038">
        <v>38267920</v>
      </c>
      <c r="H92" s="1039"/>
      <c r="I92" s="1038">
        <v>38267920</v>
      </c>
      <c r="J92" s="1037" t="s">
        <v>5080</v>
      </c>
    </row>
    <row r="93" spans="1:10" ht="20.100000000000001" customHeight="1">
      <c r="A93" s="1036">
        <f>ROW()-ROW(A18)</f>
        <v>75</v>
      </c>
      <c r="B93" s="1036" t="s">
        <v>998</v>
      </c>
      <c r="C93" s="1036" t="s">
        <v>5171</v>
      </c>
      <c r="D93" s="1037" t="s">
        <v>5079</v>
      </c>
      <c r="E93" s="1037">
        <v>0.5</v>
      </c>
      <c r="F93" s="1037" t="s">
        <v>80</v>
      </c>
      <c r="G93" s="1038">
        <v>38221710</v>
      </c>
      <c r="H93" s="1039"/>
      <c r="I93" s="1038">
        <v>38221710</v>
      </c>
      <c r="J93" s="1037" t="s">
        <v>5098</v>
      </c>
    </row>
    <row r="94" spans="1:10" ht="20.100000000000001" customHeight="1">
      <c r="A94" s="1036">
        <f>ROW()-ROW(A18)</f>
        <v>76</v>
      </c>
      <c r="B94" s="1036" t="s">
        <v>677</v>
      </c>
      <c r="C94" s="1036" t="s">
        <v>5172</v>
      </c>
      <c r="D94" s="1037" t="s">
        <v>5079</v>
      </c>
      <c r="E94" s="1037">
        <v>0.5</v>
      </c>
      <c r="F94" s="1037" t="s">
        <v>80</v>
      </c>
      <c r="G94" s="1038">
        <v>36745096</v>
      </c>
      <c r="H94" s="1039"/>
      <c r="I94" s="1038">
        <v>36745096</v>
      </c>
      <c r="J94" s="1037" t="s">
        <v>5080</v>
      </c>
    </row>
    <row r="95" spans="1:10" ht="20.100000000000001" customHeight="1">
      <c r="A95" s="1036">
        <f>ROW()-ROW(A18)</f>
        <v>77</v>
      </c>
      <c r="B95" s="1036" t="s">
        <v>674</v>
      </c>
      <c r="C95" s="1036" t="s">
        <v>5173</v>
      </c>
      <c r="D95" s="1037" t="s">
        <v>5079</v>
      </c>
      <c r="E95" s="1037">
        <v>0.5</v>
      </c>
      <c r="F95" s="1037" t="s">
        <v>80</v>
      </c>
      <c r="G95" s="1038">
        <v>36454756</v>
      </c>
      <c r="H95" s="1039"/>
      <c r="I95" s="1038">
        <v>36454756</v>
      </c>
      <c r="J95" s="1037" t="s">
        <v>5080</v>
      </c>
    </row>
    <row r="96" spans="1:10" ht="20.100000000000001" customHeight="1">
      <c r="A96" s="1036">
        <f>ROW()-ROW(A18)</f>
        <v>78</v>
      </c>
      <c r="B96" s="1036" t="s">
        <v>564</v>
      </c>
      <c r="C96" s="1036" t="s">
        <v>5174</v>
      </c>
      <c r="D96" s="1037" t="s">
        <v>5079</v>
      </c>
      <c r="E96" s="1037">
        <v>0.5</v>
      </c>
      <c r="F96" s="1037" t="s">
        <v>80</v>
      </c>
      <c r="G96" s="1038">
        <v>34541572</v>
      </c>
      <c r="H96" s="1039"/>
      <c r="I96" s="1038">
        <v>34541572</v>
      </c>
      <c r="J96" s="1037" t="s">
        <v>5080</v>
      </c>
    </row>
    <row r="97" spans="1:10" ht="20.100000000000001" customHeight="1">
      <c r="A97" s="1036">
        <f>ROW()-ROW(A18)</f>
        <v>79</v>
      </c>
      <c r="B97" s="1036" t="s">
        <v>745</v>
      </c>
      <c r="C97" s="1036" t="s">
        <v>5175</v>
      </c>
      <c r="D97" s="1037" t="s">
        <v>5079</v>
      </c>
      <c r="E97" s="1037">
        <v>0.5</v>
      </c>
      <c r="F97" s="1037" t="s">
        <v>80</v>
      </c>
      <c r="G97" s="1038">
        <v>34287436</v>
      </c>
      <c r="H97" s="1039"/>
      <c r="I97" s="1038">
        <v>34287436</v>
      </c>
      <c r="J97" s="1037" t="s">
        <v>5080</v>
      </c>
    </row>
    <row r="98" spans="1:10" ht="20.100000000000001" customHeight="1">
      <c r="A98" s="1036">
        <f>ROW()-ROW(A18)</f>
        <v>80</v>
      </c>
      <c r="B98" s="1036" t="s">
        <v>681</v>
      </c>
      <c r="C98" s="1036" t="s">
        <v>5176</v>
      </c>
      <c r="D98" s="1037" t="s">
        <v>5079</v>
      </c>
      <c r="E98" s="1037">
        <v>0.5</v>
      </c>
      <c r="F98" s="1037" t="s">
        <v>80</v>
      </c>
      <c r="G98" s="1038">
        <v>33887036</v>
      </c>
      <c r="H98" s="1039"/>
      <c r="I98" s="1038">
        <v>33887036</v>
      </c>
      <c r="J98" s="1037" t="s">
        <v>5080</v>
      </c>
    </row>
    <row r="99" spans="1:10" ht="20.100000000000001" customHeight="1">
      <c r="A99" s="1036">
        <f>ROW()-ROW(A18)</f>
        <v>81</v>
      </c>
      <c r="B99" s="1036" t="s">
        <v>777</v>
      </c>
      <c r="C99" s="1036" t="s">
        <v>5177</v>
      </c>
      <c r="D99" s="1037" t="s">
        <v>5079</v>
      </c>
      <c r="E99" s="1037">
        <v>0.5</v>
      </c>
      <c r="F99" s="1037" t="s">
        <v>80</v>
      </c>
      <c r="G99" s="1038">
        <v>33046001</v>
      </c>
      <c r="H99" s="1039"/>
      <c r="I99" s="1038">
        <v>33046001</v>
      </c>
      <c r="J99" s="1037" t="s">
        <v>5080</v>
      </c>
    </row>
    <row r="100" spans="1:10" ht="20.100000000000001" customHeight="1">
      <c r="A100" s="1036">
        <f>ROW()-ROW(A18)</f>
        <v>82</v>
      </c>
      <c r="B100" s="1036" t="s">
        <v>982</v>
      </c>
      <c r="C100" s="1036" t="s">
        <v>5178</v>
      </c>
      <c r="D100" s="1037" t="s">
        <v>5079</v>
      </c>
      <c r="E100" s="1037">
        <v>0.5</v>
      </c>
      <c r="F100" s="1037" t="s">
        <v>80</v>
      </c>
      <c r="G100" s="1038">
        <v>30476931</v>
      </c>
      <c r="H100" s="1039"/>
      <c r="I100" s="1038">
        <v>30476931</v>
      </c>
      <c r="J100" s="1037" t="s">
        <v>5080</v>
      </c>
    </row>
    <row r="101" spans="1:10" ht="20.100000000000001" customHeight="1">
      <c r="A101" s="1036">
        <f>ROW()-ROW(A18)</f>
        <v>83</v>
      </c>
      <c r="B101" s="1036" t="s">
        <v>627</v>
      </c>
      <c r="C101" s="1036" t="s">
        <v>5179</v>
      </c>
      <c r="D101" s="1037" t="s">
        <v>5079</v>
      </c>
      <c r="E101" s="1037">
        <v>0.5</v>
      </c>
      <c r="F101" s="1037" t="s">
        <v>80</v>
      </c>
      <c r="G101" s="1038">
        <v>30138379</v>
      </c>
      <c r="H101" s="1039"/>
      <c r="I101" s="1038">
        <v>30138379</v>
      </c>
      <c r="J101" s="1037" t="s">
        <v>5080</v>
      </c>
    </row>
    <row r="102" spans="1:10" ht="20.100000000000001" customHeight="1">
      <c r="A102" s="1036">
        <f>ROW()-ROW(A18)</f>
        <v>84</v>
      </c>
      <c r="B102" s="1036" t="s">
        <v>988</v>
      </c>
      <c r="C102" s="1036" t="s">
        <v>5180</v>
      </c>
      <c r="D102" s="1037" t="s">
        <v>5079</v>
      </c>
      <c r="E102" s="1037">
        <v>0.5</v>
      </c>
      <c r="F102" s="1037" t="s">
        <v>80</v>
      </c>
      <c r="G102" s="1038">
        <v>29761470</v>
      </c>
      <c r="H102" s="1039"/>
      <c r="I102" s="1038">
        <v>29761470</v>
      </c>
      <c r="J102" s="1037" t="s">
        <v>5080</v>
      </c>
    </row>
    <row r="103" spans="1:10" ht="20.100000000000001" customHeight="1">
      <c r="A103" s="1036">
        <f>ROW()-ROW(A18)</f>
        <v>85</v>
      </c>
      <c r="B103" s="1036" t="s">
        <v>986</v>
      </c>
      <c r="C103" s="1036" t="s">
        <v>5181</v>
      </c>
      <c r="D103" s="1037" t="s">
        <v>5079</v>
      </c>
      <c r="E103" s="1037">
        <v>0.5</v>
      </c>
      <c r="F103" s="1037" t="s">
        <v>80</v>
      </c>
      <c r="G103" s="1038">
        <v>29761470</v>
      </c>
      <c r="H103" s="1039"/>
      <c r="I103" s="1038">
        <v>29761470</v>
      </c>
      <c r="J103" s="1037" t="s">
        <v>5080</v>
      </c>
    </row>
    <row r="104" spans="1:10" ht="20.100000000000001" customHeight="1">
      <c r="A104" s="1036">
        <f>ROW()-ROW(A18)</f>
        <v>86</v>
      </c>
      <c r="B104" s="1036" t="s">
        <v>980</v>
      </c>
      <c r="C104" s="1036" t="s">
        <v>5182</v>
      </c>
      <c r="D104" s="1037" t="s">
        <v>5079</v>
      </c>
      <c r="E104" s="1037">
        <v>0.5</v>
      </c>
      <c r="F104" s="1037" t="s">
        <v>80</v>
      </c>
      <c r="G104" s="1038">
        <v>29177498</v>
      </c>
      <c r="H104" s="1039"/>
      <c r="I104" s="1038">
        <v>29177498</v>
      </c>
      <c r="J104" s="1037" t="s">
        <v>5080</v>
      </c>
    </row>
    <row r="105" spans="1:10" ht="20.100000000000001" customHeight="1">
      <c r="A105" s="1036">
        <f>ROW()-ROW(A18)</f>
        <v>87</v>
      </c>
      <c r="B105" s="1036" t="s">
        <v>566</v>
      </c>
      <c r="C105" s="1036" t="s">
        <v>5183</v>
      </c>
      <c r="D105" s="1037" t="s">
        <v>5079</v>
      </c>
      <c r="E105" s="1037">
        <v>0.5</v>
      </c>
      <c r="F105" s="1037" t="s">
        <v>80</v>
      </c>
      <c r="G105" s="1038">
        <v>29139824</v>
      </c>
      <c r="H105" s="1039"/>
      <c r="I105" s="1038">
        <v>29139824</v>
      </c>
      <c r="J105" s="1037" t="s">
        <v>5080</v>
      </c>
    </row>
    <row r="106" spans="1:10" ht="20.100000000000001" customHeight="1">
      <c r="A106" s="1036">
        <f>ROW()-ROW(A18)</f>
        <v>88</v>
      </c>
      <c r="B106" s="1036" t="s">
        <v>689</v>
      </c>
      <c r="C106" s="1036" t="s">
        <v>5184</v>
      </c>
      <c r="D106" s="1037" t="s">
        <v>5079</v>
      </c>
      <c r="E106" s="1037">
        <v>0.5</v>
      </c>
      <c r="F106" s="1037" t="s">
        <v>80</v>
      </c>
      <c r="G106" s="1038">
        <v>28012531</v>
      </c>
      <c r="H106" s="1039"/>
      <c r="I106" s="1038">
        <v>28012531</v>
      </c>
      <c r="J106" s="1037" t="s">
        <v>5080</v>
      </c>
    </row>
    <row r="107" spans="1:10" ht="20.100000000000001" customHeight="1">
      <c r="A107" s="1036">
        <f>ROW()-ROW(A18)</f>
        <v>89</v>
      </c>
      <c r="B107" s="1036" t="s">
        <v>781</v>
      </c>
      <c r="C107" s="1036" t="s">
        <v>5185</v>
      </c>
      <c r="D107" s="1037" t="s">
        <v>5079</v>
      </c>
      <c r="E107" s="1037">
        <v>0.5</v>
      </c>
      <c r="F107" s="1037" t="s">
        <v>80</v>
      </c>
      <c r="G107" s="1038">
        <v>25199502</v>
      </c>
      <c r="H107" s="1039"/>
      <c r="I107" s="1038">
        <v>25199502</v>
      </c>
      <c r="J107" s="1037" t="s">
        <v>5080</v>
      </c>
    </row>
    <row r="108" spans="1:10" ht="20.100000000000001" customHeight="1">
      <c r="A108" s="1036">
        <f>ROW()-ROW(A18)</f>
        <v>90</v>
      </c>
      <c r="B108" s="1036" t="s">
        <v>625</v>
      </c>
      <c r="C108" s="1036" t="s">
        <v>5186</v>
      </c>
      <c r="D108" s="1037" t="s">
        <v>5079</v>
      </c>
      <c r="E108" s="1037">
        <v>0.5</v>
      </c>
      <c r="F108" s="1037" t="s">
        <v>80</v>
      </c>
      <c r="G108" s="1038">
        <v>22251000</v>
      </c>
      <c r="H108" s="1039"/>
      <c r="I108" s="1038">
        <v>22251000</v>
      </c>
      <c r="J108" s="1037" t="s">
        <v>5080</v>
      </c>
    </row>
    <row r="109" spans="1:10" ht="20.100000000000001" customHeight="1">
      <c r="A109" s="1036">
        <f>ROW()-ROW(A18)</f>
        <v>91</v>
      </c>
      <c r="B109" s="1036" t="s">
        <v>773</v>
      </c>
      <c r="C109" s="1036" t="s">
        <v>5187</v>
      </c>
      <c r="D109" s="1037" t="s">
        <v>5079</v>
      </c>
      <c r="E109" s="1037">
        <v>0.5</v>
      </c>
      <c r="F109" s="1037" t="s">
        <v>80</v>
      </c>
      <c r="G109" s="1038">
        <v>21099058</v>
      </c>
      <c r="H109" s="1039"/>
      <c r="I109" s="1038">
        <v>21099058</v>
      </c>
      <c r="J109" s="1037" t="s">
        <v>5080</v>
      </c>
    </row>
    <row r="110" spans="1:10" ht="20.100000000000001" customHeight="1">
      <c r="A110" s="1036">
        <f>ROW()-ROW(A18)</f>
        <v>92</v>
      </c>
      <c r="B110" s="1036" t="s">
        <v>775</v>
      </c>
      <c r="C110" s="1036" t="s">
        <v>5188</v>
      </c>
      <c r="D110" s="1037" t="s">
        <v>5079</v>
      </c>
      <c r="E110" s="1037">
        <v>0.5</v>
      </c>
      <c r="F110" s="1037" t="s">
        <v>80</v>
      </c>
      <c r="G110" s="1038">
        <v>20822869</v>
      </c>
      <c r="H110" s="1039"/>
      <c r="I110" s="1038">
        <v>20822869</v>
      </c>
      <c r="J110" s="1037" t="s">
        <v>5080</v>
      </c>
    </row>
    <row r="111" spans="1:10" ht="20.100000000000001" customHeight="1">
      <c r="A111" s="1036">
        <f>ROW()-ROW(A18)</f>
        <v>93</v>
      </c>
      <c r="B111" s="1036" t="s">
        <v>785</v>
      </c>
      <c r="C111" s="1036" t="s">
        <v>5189</v>
      </c>
      <c r="D111" s="1037" t="s">
        <v>5079</v>
      </c>
      <c r="E111" s="1037">
        <v>0.5</v>
      </c>
      <c r="F111" s="1037" t="s">
        <v>80</v>
      </c>
      <c r="G111" s="1038">
        <v>19634919</v>
      </c>
      <c r="H111" s="1039"/>
      <c r="I111" s="1038">
        <v>19634919</v>
      </c>
      <c r="J111" s="1037" t="s">
        <v>5080</v>
      </c>
    </row>
    <row r="112" spans="1:10" ht="20.100000000000001" customHeight="1">
      <c r="A112" s="1036">
        <f>ROW()-ROW(A18)</f>
        <v>94</v>
      </c>
      <c r="B112" s="1036" t="s">
        <v>560</v>
      </c>
      <c r="C112" s="1036" t="s">
        <v>5190</v>
      </c>
      <c r="D112" s="1037" t="s">
        <v>5079</v>
      </c>
      <c r="E112" s="1037">
        <v>0.5</v>
      </c>
      <c r="F112" s="1037" t="s">
        <v>80</v>
      </c>
      <c r="G112" s="1038">
        <v>17239183</v>
      </c>
      <c r="H112" s="1039"/>
      <c r="I112" s="1038">
        <v>17239183</v>
      </c>
      <c r="J112" s="1037" t="s">
        <v>5080</v>
      </c>
    </row>
    <row r="113" spans="1:10" ht="20.100000000000001" customHeight="1">
      <c r="A113" s="1036">
        <f>ROW()-ROW(A18)</f>
        <v>95</v>
      </c>
      <c r="B113" s="1036" t="s">
        <v>607</v>
      </c>
      <c r="C113" s="1036" t="s">
        <v>5191</v>
      </c>
      <c r="D113" s="1037" t="s">
        <v>5079</v>
      </c>
      <c r="E113" s="1037">
        <v>0.5</v>
      </c>
      <c r="F113" s="1037" t="s">
        <v>80</v>
      </c>
      <c r="G113" s="1038">
        <v>16568478</v>
      </c>
      <c r="H113" s="1039"/>
      <c r="I113" s="1038">
        <v>16568478</v>
      </c>
      <c r="J113" s="1037" t="s">
        <v>5097</v>
      </c>
    </row>
    <row r="114" spans="1:10" ht="20.100000000000001" customHeight="1">
      <c r="A114" s="1036">
        <f>ROW()-ROW(A18)</f>
        <v>96</v>
      </c>
      <c r="B114" s="1036" t="s">
        <v>771</v>
      </c>
      <c r="C114" s="1036" t="s">
        <v>5192</v>
      </c>
      <c r="D114" s="1037" t="s">
        <v>5079</v>
      </c>
      <c r="E114" s="1037">
        <v>0.5</v>
      </c>
      <c r="F114" s="1037" t="s">
        <v>80</v>
      </c>
      <c r="G114" s="1038">
        <v>16413845</v>
      </c>
      <c r="H114" s="1039"/>
      <c r="I114" s="1038">
        <v>16413845</v>
      </c>
      <c r="J114" s="1037" t="s">
        <v>5080</v>
      </c>
    </row>
    <row r="115" spans="1:10" ht="20.100000000000001" customHeight="1">
      <c r="A115" s="1036">
        <f>ROW()-ROW(A18)</f>
        <v>97</v>
      </c>
      <c r="B115" s="1036" t="s">
        <v>580</v>
      </c>
      <c r="C115" s="1036" t="s">
        <v>5193</v>
      </c>
      <c r="D115" s="1037" t="s">
        <v>5079</v>
      </c>
      <c r="E115" s="1037">
        <v>0.2</v>
      </c>
      <c r="F115" s="1037" t="s">
        <v>80</v>
      </c>
      <c r="G115" s="1038">
        <v>15428489</v>
      </c>
      <c r="H115" s="1039"/>
      <c r="I115" s="1038">
        <v>15428489</v>
      </c>
      <c r="J115" s="1037" t="s">
        <v>5106</v>
      </c>
    </row>
    <row r="116" spans="1:10" ht="20.100000000000001" customHeight="1">
      <c r="A116" s="1036">
        <f>ROW()-ROW(A18)</f>
        <v>98</v>
      </c>
      <c r="B116" s="1036" t="s">
        <v>759</v>
      </c>
      <c r="C116" s="1036" t="s">
        <v>5194</v>
      </c>
      <c r="D116" s="1037" t="s">
        <v>5079</v>
      </c>
      <c r="E116" s="1037">
        <v>0.5</v>
      </c>
      <c r="F116" s="1037" t="s">
        <v>80</v>
      </c>
      <c r="G116" s="1038">
        <v>14478177</v>
      </c>
      <c r="H116" s="1039"/>
      <c r="I116" s="1038">
        <v>14478177</v>
      </c>
      <c r="J116" s="1037" t="s">
        <v>5080</v>
      </c>
    </row>
    <row r="117" spans="1:10" ht="20.100000000000001" customHeight="1">
      <c r="A117" s="1036">
        <f>ROW()-ROW(A18)</f>
        <v>99</v>
      </c>
      <c r="B117" s="1036" t="s">
        <v>769</v>
      </c>
      <c r="C117" s="1036" t="s">
        <v>5195</v>
      </c>
      <c r="D117" s="1037" t="s">
        <v>5079</v>
      </c>
      <c r="E117" s="1037">
        <v>0.5</v>
      </c>
      <c r="F117" s="1037" t="s">
        <v>80</v>
      </c>
      <c r="G117" s="1038">
        <v>10193140</v>
      </c>
      <c r="H117" s="1039"/>
      <c r="I117" s="1038">
        <v>10193140</v>
      </c>
      <c r="J117" s="1037" t="s">
        <v>5080</v>
      </c>
    </row>
    <row r="118" spans="1:10" ht="20.100000000000001" customHeight="1">
      <c r="A118" s="1036">
        <f>ROW()-ROW(A18)</f>
        <v>100</v>
      </c>
      <c r="B118" s="1036" t="s">
        <v>525</v>
      </c>
      <c r="C118" s="1036" t="s">
        <v>5196</v>
      </c>
      <c r="D118" s="1037" t="s">
        <v>5079</v>
      </c>
      <c r="E118" s="1037">
        <v>0.2</v>
      </c>
      <c r="F118" s="1037" t="s">
        <v>80</v>
      </c>
      <c r="G118" s="1038">
        <v>8501568</v>
      </c>
      <c r="H118" s="1039"/>
      <c r="I118" s="1038">
        <v>8501568</v>
      </c>
      <c r="J118" s="1037" t="s">
        <v>5106</v>
      </c>
    </row>
    <row r="119" spans="1:10" ht="20.100000000000001" customHeight="1">
      <c r="A119" s="1036">
        <f>ROW()-ROW(A18)</f>
        <v>101</v>
      </c>
      <c r="B119" s="1036" t="s">
        <v>920</v>
      </c>
      <c r="C119" s="1036" t="s">
        <v>5197</v>
      </c>
      <c r="D119" s="1037" t="s">
        <v>5079</v>
      </c>
      <c r="E119" s="1037">
        <v>0.5</v>
      </c>
      <c r="F119" s="1037" t="s">
        <v>80</v>
      </c>
      <c r="G119" s="1038">
        <v>7968666</v>
      </c>
      <c r="H119" s="1039"/>
      <c r="I119" s="1038">
        <v>7968666</v>
      </c>
      <c r="J119" s="1037" t="s">
        <v>5080</v>
      </c>
    </row>
    <row r="120" spans="1:10" ht="20.100000000000001" customHeight="1">
      <c r="A120" s="1036">
        <f>ROW()-ROW(A18)</f>
        <v>102</v>
      </c>
      <c r="B120" s="1036" t="s">
        <v>922</v>
      </c>
      <c r="C120" s="1036" t="s">
        <v>5198</v>
      </c>
      <c r="D120" s="1037" t="s">
        <v>5079</v>
      </c>
      <c r="E120" s="1037">
        <v>0.5</v>
      </c>
      <c r="F120" s="1037" t="s">
        <v>80</v>
      </c>
      <c r="G120" s="1038">
        <v>6957850</v>
      </c>
      <c r="H120" s="1039"/>
      <c r="I120" s="1038">
        <v>6957850</v>
      </c>
      <c r="J120" s="1037" t="s">
        <v>5098</v>
      </c>
    </row>
    <row r="121" spans="1:10" ht="20.100000000000001" customHeight="1">
      <c r="A121" s="1036">
        <f>ROW()-ROW(A18)</f>
        <v>103</v>
      </c>
      <c r="B121" s="1036" t="s">
        <v>967</v>
      </c>
      <c r="C121" s="1036" t="s">
        <v>5199</v>
      </c>
      <c r="D121" s="1037" t="s">
        <v>5079</v>
      </c>
      <c r="E121" s="1037">
        <v>0.5</v>
      </c>
      <c r="F121" s="1037" t="s">
        <v>80</v>
      </c>
      <c r="G121" s="1038">
        <v>6530640</v>
      </c>
      <c r="H121" s="1039"/>
      <c r="I121" s="1038">
        <v>6530640</v>
      </c>
      <c r="J121" s="1037" t="s">
        <v>5080</v>
      </c>
    </row>
    <row r="122" spans="1:10" ht="20.100000000000001" customHeight="1">
      <c r="A122" s="1036">
        <f>ROW()-ROW(A18)</f>
        <v>104</v>
      </c>
      <c r="B122" s="1036" t="s">
        <v>663</v>
      </c>
      <c r="C122" s="1036" t="s">
        <v>5200</v>
      </c>
      <c r="D122" s="1037" t="s">
        <v>5079</v>
      </c>
      <c r="E122" s="1037">
        <v>0.5</v>
      </c>
      <c r="F122" s="1037" t="s">
        <v>80</v>
      </c>
      <c r="G122" s="1038">
        <v>6523611</v>
      </c>
      <c r="H122" s="1039"/>
      <c r="I122" s="1038">
        <v>6523611</v>
      </c>
      <c r="J122" s="1037" t="s">
        <v>5080</v>
      </c>
    </row>
    <row r="123" spans="1:10" ht="20.100000000000001" customHeight="1">
      <c r="A123" s="1036">
        <f>ROW()-ROW(A18)</f>
        <v>105</v>
      </c>
      <c r="B123" s="1036" t="s">
        <v>958</v>
      </c>
      <c r="C123" s="1036" t="s">
        <v>5201</v>
      </c>
      <c r="D123" s="1037" t="s">
        <v>5079</v>
      </c>
      <c r="E123" s="1037">
        <v>0.5</v>
      </c>
      <c r="F123" s="1037" t="s">
        <v>80</v>
      </c>
      <c r="G123" s="1038">
        <v>4608843</v>
      </c>
      <c r="H123" s="1039"/>
      <c r="I123" s="1038">
        <v>4608843</v>
      </c>
      <c r="J123" s="1037" t="s">
        <v>5080</v>
      </c>
    </row>
    <row r="124" spans="1:10" ht="20.100000000000001" customHeight="1">
      <c r="A124" s="1036">
        <f>ROW()-ROW(A18)</f>
        <v>106</v>
      </c>
      <c r="B124" s="1036" t="s">
        <v>956</v>
      </c>
      <c r="C124" s="1036" t="s">
        <v>5202</v>
      </c>
      <c r="D124" s="1037" t="s">
        <v>5079</v>
      </c>
      <c r="E124" s="1037">
        <v>0.5</v>
      </c>
      <c r="F124" s="1037" t="s">
        <v>80</v>
      </c>
      <c r="G124" s="1038">
        <v>4606777</v>
      </c>
      <c r="H124" s="1039"/>
      <c r="I124" s="1038">
        <v>4606777</v>
      </c>
      <c r="J124" s="1037" t="s">
        <v>5080</v>
      </c>
    </row>
    <row r="125" spans="1:10" ht="20.100000000000001" customHeight="1">
      <c r="A125" s="1036">
        <f>ROW()-ROW(A18)</f>
        <v>107</v>
      </c>
      <c r="B125" s="1036" t="s">
        <v>1105</v>
      </c>
      <c r="C125" s="1036" t="s">
        <v>5203</v>
      </c>
      <c r="D125" s="1037" t="s">
        <v>5079</v>
      </c>
      <c r="E125" s="1037">
        <v>0.5</v>
      </c>
      <c r="F125" s="1037" t="s">
        <v>80</v>
      </c>
      <c r="G125" s="1038">
        <v>3170131</v>
      </c>
      <c r="H125" s="1039"/>
      <c r="I125" s="1038">
        <v>3170131</v>
      </c>
      <c r="J125" s="1037" t="s">
        <v>5159</v>
      </c>
    </row>
    <row r="126" spans="1:10" ht="20.100000000000001" customHeight="1">
      <c r="A126" s="1036">
        <f>ROW()-ROW(A18)</f>
        <v>108</v>
      </c>
      <c r="B126" s="1036" t="s">
        <v>577</v>
      </c>
      <c r="C126" s="1036" t="s">
        <v>5204</v>
      </c>
      <c r="D126" s="1037" t="s">
        <v>5079</v>
      </c>
      <c r="E126" s="1037">
        <v>0.2</v>
      </c>
      <c r="F126" s="1037" t="s">
        <v>80</v>
      </c>
      <c r="G126" s="1038">
        <v>3116928</v>
      </c>
      <c r="H126" s="1039"/>
      <c r="I126" s="1038">
        <v>3116928</v>
      </c>
      <c r="J126" s="1037" t="s">
        <v>5106</v>
      </c>
    </row>
    <row r="127" spans="1:10" ht="20.100000000000001" customHeight="1">
      <c r="A127" s="1036">
        <f>ROW()-ROW(A18)</f>
        <v>109</v>
      </c>
      <c r="B127" s="1036" t="s">
        <v>850</v>
      </c>
      <c r="C127" s="1036" t="s">
        <v>5108</v>
      </c>
      <c r="D127" s="1037" t="s">
        <v>5079</v>
      </c>
      <c r="E127" s="1037">
        <v>0.5</v>
      </c>
      <c r="F127" s="1037" t="s">
        <v>80</v>
      </c>
      <c r="G127" s="1038">
        <v>3028003</v>
      </c>
      <c r="H127" s="1039"/>
      <c r="I127" s="1038">
        <v>3028003</v>
      </c>
      <c r="J127" s="1037" t="s">
        <v>5080</v>
      </c>
    </row>
    <row r="128" spans="1:10" ht="20.100000000000001" customHeight="1">
      <c r="A128" s="1036">
        <f>ROW()-ROW(A18)</f>
        <v>110</v>
      </c>
      <c r="B128" s="1036" t="s">
        <v>766</v>
      </c>
      <c r="C128" s="1036" t="s">
        <v>5108</v>
      </c>
      <c r="D128" s="1037" t="s">
        <v>5079</v>
      </c>
      <c r="E128" s="1037">
        <v>0.5</v>
      </c>
      <c r="F128" s="1037" t="s">
        <v>80</v>
      </c>
      <c r="G128" s="1038">
        <v>2560622</v>
      </c>
      <c r="H128" s="1039"/>
      <c r="I128" s="1038">
        <v>2560622</v>
      </c>
      <c r="J128" s="1037" t="s">
        <v>5080</v>
      </c>
    </row>
    <row r="129" spans="1:10" ht="20.100000000000001" customHeight="1">
      <c r="A129" s="1036">
        <f>ROW()-ROW(A18)</f>
        <v>111</v>
      </c>
      <c r="B129" s="1036" t="s">
        <v>590</v>
      </c>
      <c r="C129" s="1036" t="s">
        <v>5096</v>
      </c>
      <c r="D129" s="1037" t="s">
        <v>5079</v>
      </c>
      <c r="E129" s="1037">
        <v>0</v>
      </c>
      <c r="F129" s="1037" t="s">
        <v>81</v>
      </c>
      <c r="G129" s="1040">
        <v>1812.22</v>
      </c>
      <c r="H129" s="1041"/>
      <c r="I129" s="1040">
        <v>1812.22</v>
      </c>
      <c r="J129" s="1037" t="s">
        <v>5097</v>
      </c>
    </row>
    <row r="130" spans="1:10" ht="20.100000000000001" customHeight="1">
      <c r="A130" s="1036">
        <f>ROW()-ROW(A18)</f>
        <v>112</v>
      </c>
      <c r="B130" s="1036" t="s">
        <v>585</v>
      </c>
      <c r="C130" s="1036" t="s">
        <v>5096</v>
      </c>
      <c r="D130" s="1037" t="s">
        <v>5079</v>
      </c>
      <c r="E130" s="1037">
        <v>0</v>
      </c>
      <c r="F130" s="1037" t="s">
        <v>81</v>
      </c>
      <c r="G130" s="1040">
        <v>541.76</v>
      </c>
      <c r="H130" s="1041"/>
      <c r="I130" s="1040">
        <v>541.76</v>
      </c>
      <c r="J130" s="1037" t="s">
        <v>5106</v>
      </c>
    </row>
    <row r="131" spans="1:10" ht="20.100000000000001" customHeight="1">
      <c r="A131" s="1036">
        <f>ROW()-ROW(A18)</f>
        <v>113</v>
      </c>
      <c r="B131" s="1036" t="s">
        <v>588</v>
      </c>
      <c r="C131" s="1036" t="s">
        <v>5096</v>
      </c>
      <c r="D131" s="1037" t="s">
        <v>5079</v>
      </c>
      <c r="E131" s="1037">
        <v>0</v>
      </c>
      <c r="F131" s="1037" t="s">
        <v>81</v>
      </c>
      <c r="G131" s="1040">
        <v>438.53</v>
      </c>
      <c r="H131" s="1041"/>
      <c r="I131" s="1040">
        <v>438.53</v>
      </c>
      <c r="J131" s="1037" t="s">
        <v>5080</v>
      </c>
    </row>
    <row r="132" spans="1:10" ht="20.100000000000001" customHeight="1">
      <c r="A132" s="1036">
        <f>ROW()-ROW(A18)</f>
        <v>114</v>
      </c>
      <c r="B132" s="1036" t="s">
        <v>647</v>
      </c>
      <c r="C132" s="1036" t="s">
        <v>5129</v>
      </c>
      <c r="D132" s="1037" t="s">
        <v>5079</v>
      </c>
      <c r="E132" s="1037">
        <v>0</v>
      </c>
      <c r="F132" s="1037" t="s">
        <v>81</v>
      </c>
      <c r="G132" s="1040">
        <v>338.74</v>
      </c>
      <c r="H132" s="1041"/>
      <c r="I132" s="1040">
        <v>338.74</v>
      </c>
      <c r="J132" s="1037" t="s">
        <v>5080</v>
      </c>
    </row>
    <row r="133" spans="1:10" ht="20.100000000000001" customHeight="1">
      <c r="A133" s="1036">
        <f>ROW()-ROW(A18)</f>
        <v>115</v>
      </c>
      <c r="B133" s="1036" t="s">
        <v>501</v>
      </c>
      <c r="C133" s="1036" t="s">
        <v>5101</v>
      </c>
      <c r="D133" s="1037" t="s">
        <v>5079</v>
      </c>
      <c r="E133" s="1037">
        <v>0</v>
      </c>
      <c r="F133" s="1037" t="s">
        <v>81</v>
      </c>
      <c r="G133" s="1040">
        <v>276.64</v>
      </c>
      <c r="H133" s="1041"/>
      <c r="I133" s="1040">
        <v>276.64</v>
      </c>
      <c r="J133" s="1037" t="s">
        <v>5102</v>
      </c>
    </row>
    <row r="134" spans="1:10" ht="20.100000000000001" customHeight="1">
      <c r="A134" s="1036">
        <f>ROW()-ROW(A18)</f>
        <v>116</v>
      </c>
      <c r="B134" s="1036" t="s">
        <v>667</v>
      </c>
      <c r="C134" s="1036" t="s">
        <v>5103</v>
      </c>
      <c r="D134" s="1037" t="s">
        <v>5079</v>
      </c>
      <c r="E134" s="1037">
        <v>0</v>
      </c>
      <c r="F134" s="1037" t="s">
        <v>81</v>
      </c>
      <c r="G134" s="1040">
        <v>192.16</v>
      </c>
      <c r="H134" s="1041"/>
      <c r="I134" s="1040">
        <v>192.16</v>
      </c>
      <c r="J134" s="1037" t="s">
        <v>5080</v>
      </c>
    </row>
    <row r="135" spans="1:10" ht="20.100000000000001" customHeight="1">
      <c r="A135" s="1036">
        <f>ROW()-ROW(A18)</f>
        <v>117</v>
      </c>
      <c r="B135" s="1036" t="s">
        <v>3051</v>
      </c>
      <c r="C135" s="1036" t="s">
        <v>5107</v>
      </c>
      <c r="D135" s="1037" t="s">
        <v>5079</v>
      </c>
      <c r="E135" s="1037">
        <v>0.2</v>
      </c>
      <c r="F135" s="1037" t="s">
        <v>80</v>
      </c>
      <c r="G135" s="1038">
        <v>0</v>
      </c>
      <c r="H135" s="1039"/>
      <c r="I135" s="1038">
        <v>0</v>
      </c>
      <c r="J135" s="1037" t="s">
        <v>5111</v>
      </c>
    </row>
    <row r="136" spans="1:10" ht="20.100000000000001" customHeight="1">
      <c r="A136" s="1036">
        <f>ROW()-ROW(A18)</f>
        <v>118</v>
      </c>
      <c r="B136" s="1036" t="s">
        <v>5205</v>
      </c>
      <c r="C136" s="1036" t="s">
        <v>5104</v>
      </c>
      <c r="D136" s="1037" t="s">
        <v>5079</v>
      </c>
      <c r="E136" s="1037">
        <v>0</v>
      </c>
      <c r="F136" s="1037" t="s">
        <v>81</v>
      </c>
      <c r="G136" s="1040">
        <v>0</v>
      </c>
      <c r="H136" s="1041"/>
      <c r="I136" s="1040">
        <v>0</v>
      </c>
      <c r="J136" s="1037" t="s">
        <v>5097</v>
      </c>
    </row>
    <row r="137" spans="1:10" ht="20.100000000000001" customHeight="1">
      <c r="A137" s="1036">
        <f>ROW()-ROW(A18)</f>
        <v>119</v>
      </c>
      <c r="B137" s="1036" t="s">
        <v>690</v>
      </c>
      <c r="C137" s="1036" t="s">
        <v>5184</v>
      </c>
      <c r="D137" s="1037" t="s">
        <v>5079</v>
      </c>
      <c r="E137" s="1037">
        <v>0</v>
      </c>
      <c r="F137" s="1037" t="s">
        <v>81</v>
      </c>
      <c r="G137" s="1040">
        <v>0</v>
      </c>
      <c r="H137" s="1041"/>
      <c r="I137" s="1040">
        <v>0</v>
      </c>
      <c r="J137" s="1037" t="s">
        <v>5080</v>
      </c>
    </row>
    <row r="138" spans="1:10" ht="20.100000000000001" customHeight="1">
      <c r="A138" s="1036">
        <f>ROW()-ROW(A18)</f>
        <v>120</v>
      </c>
      <c r="B138" s="1036" t="s">
        <v>923</v>
      </c>
      <c r="C138" s="1036" t="s">
        <v>5198</v>
      </c>
      <c r="D138" s="1037" t="s">
        <v>5079</v>
      </c>
      <c r="E138" s="1037">
        <v>0</v>
      </c>
      <c r="F138" s="1037" t="s">
        <v>81</v>
      </c>
      <c r="G138" s="1040">
        <v>0</v>
      </c>
      <c r="H138" s="1041"/>
      <c r="I138" s="1040">
        <v>0</v>
      </c>
      <c r="J138" s="1037" t="s">
        <v>5098</v>
      </c>
    </row>
    <row r="139" spans="1:10" ht="20.100000000000001" customHeight="1">
      <c r="A139" s="1036">
        <f>ROW()-ROW(A18)</f>
        <v>121</v>
      </c>
      <c r="B139" s="1036" t="s">
        <v>5206</v>
      </c>
      <c r="C139" s="1036" t="s">
        <v>5153</v>
      </c>
      <c r="D139" s="1037" t="s">
        <v>5079</v>
      </c>
      <c r="E139" s="1037">
        <v>0</v>
      </c>
      <c r="F139" s="1037" t="s">
        <v>81</v>
      </c>
      <c r="G139" s="1040">
        <v>0</v>
      </c>
      <c r="H139" s="1041"/>
      <c r="I139" s="1040">
        <v>0</v>
      </c>
      <c r="J139" s="1037" t="s">
        <v>5080</v>
      </c>
    </row>
    <row r="140" spans="1:10" ht="20.100000000000001" customHeight="1">
      <c r="A140" s="1036">
        <f>ROW()-ROW(A18)</f>
        <v>122</v>
      </c>
      <c r="B140" s="1036" t="s">
        <v>643</v>
      </c>
      <c r="C140" s="1036" t="s">
        <v>5148</v>
      </c>
      <c r="D140" s="1037" t="s">
        <v>5079</v>
      </c>
      <c r="E140" s="1037">
        <v>0</v>
      </c>
      <c r="F140" s="1037" t="s">
        <v>81</v>
      </c>
      <c r="G140" s="1040">
        <v>0</v>
      </c>
      <c r="H140" s="1041"/>
      <c r="I140" s="1040">
        <v>0</v>
      </c>
      <c r="J140" s="1037" t="s">
        <v>5080</v>
      </c>
    </row>
    <row r="141" spans="1:10" ht="20.100000000000001" customHeight="1">
      <c r="A141" s="1036">
        <f>ROW()-ROW(A18)</f>
        <v>123</v>
      </c>
      <c r="B141" s="1036" t="s">
        <v>5207</v>
      </c>
      <c r="C141" s="1036" t="s">
        <v>5138</v>
      </c>
      <c r="D141" s="1037" t="s">
        <v>5079</v>
      </c>
      <c r="E141" s="1037">
        <v>0</v>
      </c>
      <c r="F141" s="1037" t="s">
        <v>81</v>
      </c>
      <c r="G141" s="1040">
        <v>0</v>
      </c>
      <c r="H141" s="1041"/>
      <c r="I141" s="1040">
        <v>0</v>
      </c>
      <c r="J141" s="1037" t="s">
        <v>5080</v>
      </c>
    </row>
    <row r="142" spans="1:10" ht="20.100000000000001" customHeight="1">
      <c r="A142" s="1036">
        <f>ROW()-ROW(A18)</f>
        <v>124</v>
      </c>
      <c r="B142" s="1036" t="s">
        <v>914</v>
      </c>
      <c r="C142" s="1036" t="s">
        <v>5208</v>
      </c>
      <c r="D142" s="1037" t="s">
        <v>5079</v>
      </c>
      <c r="E142" s="1037">
        <v>0</v>
      </c>
      <c r="F142" s="1037" t="s">
        <v>81</v>
      </c>
      <c r="G142" s="1040">
        <v>0</v>
      </c>
      <c r="H142" s="1041"/>
      <c r="I142" s="1040">
        <v>0</v>
      </c>
      <c r="J142" s="1037" t="s">
        <v>5098</v>
      </c>
    </row>
    <row r="143" spans="1:10" ht="20.100000000000001" customHeight="1">
      <c r="A143" s="1036">
        <f>ROW()-ROW(A18)</f>
        <v>125</v>
      </c>
      <c r="B143" s="1036" t="s">
        <v>3058</v>
      </c>
      <c r="C143" s="1036" t="s">
        <v>5209</v>
      </c>
      <c r="D143" s="1037" t="s">
        <v>5079</v>
      </c>
      <c r="E143" s="1037">
        <v>0.5</v>
      </c>
      <c r="F143" s="1037" t="s">
        <v>80</v>
      </c>
      <c r="G143" s="1038">
        <v>0</v>
      </c>
      <c r="H143" s="1039"/>
      <c r="I143" s="1038">
        <v>0</v>
      </c>
      <c r="J143" s="1037" t="s">
        <v>5098</v>
      </c>
    </row>
    <row r="144" spans="1:10" ht="20.100000000000001" customHeight="1">
      <c r="A144" s="1036">
        <f>ROW()-ROW(A18)</f>
        <v>126</v>
      </c>
      <c r="B144" s="1036" t="s">
        <v>3091</v>
      </c>
      <c r="C144" s="1036" t="s">
        <v>5210</v>
      </c>
      <c r="D144" s="1037" t="s">
        <v>5079</v>
      </c>
      <c r="E144" s="1037">
        <v>0.2</v>
      </c>
      <c r="F144" s="1037" t="s">
        <v>80</v>
      </c>
      <c r="G144" s="1038">
        <v>0</v>
      </c>
      <c r="H144" s="1039"/>
      <c r="I144" s="1038">
        <v>0</v>
      </c>
      <c r="J144" s="1037" t="s">
        <v>5106</v>
      </c>
    </row>
    <row r="145" spans="1:10" ht="20.100000000000001" customHeight="1">
      <c r="A145" s="1036">
        <f>ROW()-ROW(A18)</f>
        <v>127</v>
      </c>
      <c r="B145" s="1036" t="s">
        <v>509</v>
      </c>
      <c r="C145" s="1036" t="s">
        <v>5100</v>
      </c>
      <c r="D145" s="1037" t="s">
        <v>5079</v>
      </c>
      <c r="E145" s="1037">
        <v>0</v>
      </c>
      <c r="F145" s="1037" t="s">
        <v>81</v>
      </c>
      <c r="G145" s="1040">
        <v>0</v>
      </c>
      <c r="H145" s="1041"/>
      <c r="I145" s="1040">
        <v>0</v>
      </c>
      <c r="J145" s="1037" t="s">
        <v>5080</v>
      </c>
    </row>
    <row r="146" spans="1:10" ht="20.100000000000001" customHeight="1">
      <c r="A146" s="1036">
        <f>ROW()-ROW(A18)</f>
        <v>128</v>
      </c>
      <c r="B146" s="1036" t="s">
        <v>5211</v>
      </c>
      <c r="C146" s="1036" t="s">
        <v>5150</v>
      </c>
      <c r="D146" s="1037" t="s">
        <v>5079</v>
      </c>
      <c r="E146" s="1037">
        <v>0</v>
      </c>
      <c r="F146" s="1037" t="s">
        <v>81</v>
      </c>
      <c r="G146" s="1040">
        <v>0</v>
      </c>
      <c r="H146" s="1041"/>
      <c r="I146" s="1040">
        <v>0</v>
      </c>
      <c r="J146" s="1037" t="s">
        <v>5106</v>
      </c>
    </row>
    <row r="147" spans="1:10" ht="20.100000000000001" customHeight="1">
      <c r="A147" s="1036">
        <f>ROW()-ROW(A18)</f>
        <v>129</v>
      </c>
      <c r="B147" s="1036" t="s">
        <v>1083</v>
      </c>
      <c r="C147" s="1036" t="s">
        <v>5151</v>
      </c>
      <c r="D147" s="1037" t="s">
        <v>5079</v>
      </c>
      <c r="E147" s="1037">
        <v>0.2</v>
      </c>
      <c r="F147" s="1037" t="s">
        <v>80</v>
      </c>
      <c r="G147" s="1038">
        <v>0</v>
      </c>
      <c r="H147" s="1039"/>
      <c r="I147" s="1038">
        <v>0</v>
      </c>
      <c r="J147" s="1037" t="s">
        <v>5080</v>
      </c>
    </row>
    <row r="148" spans="1:10" ht="20.100000000000001" customHeight="1">
      <c r="A148" s="1036">
        <f>ROW()-ROW(A18)</f>
        <v>130</v>
      </c>
      <c r="B148" s="1036" t="s">
        <v>5212</v>
      </c>
      <c r="C148" s="1036" t="s">
        <v>5172</v>
      </c>
      <c r="D148" s="1037" t="s">
        <v>5079</v>
      </c>
      <c r="E148" s="1037">
        <v>0</v>
      </c>
      <c r="F148" s="1037" t="s">
        <v>81</v>
      </c>
      <c r="G148" s="1040">
        <v>0</v>
      </c>
      <c r="H148" s="1041"/>
      <c r="I148" s="1040">
        <v>0</v>
      </c>
      <c r="J148" s="1037" t="s">
        <v>5080</v>
      </c>
    </row>
    <row r="149" spans="1:10" ht="20.100000000000001" customHeight="1">
      <c r="A149" s="1036">
        <f>ROW()-ROW(A18)</f>
        <v>131</v>
      </c>
      <c r="B149" s="1036" t="s">
        <v>5213</v>
      </c>
      <c r="C149" s="1036" t="s">
        <v>5118</v>
      </c>
      <c r="D149" s="1037" t="s">
        <v>5079</v>
      </c>
      <c r="E149" s="1037">
        <v>0</v>
      </c>
      <c r="F149" s="1037" t="s">
        <v>81</v>
      </c>
      <c r="G149" s="1040">
        <v>0</v>
      </c>
      <c r="H149" s="1041"/>
      <c r="I149" s="1040">
        <v>0</v>
      </c>
      <c r="J149" s="1037" t="s">
        <v>5097</v>
      </c>
    </row>
    <row r="150" spans="1:10" ht="20.100000000000001" customHeight="1">
      <c r="A150" s="1036">
        <f>ROW()-ROW(A18)</f>
        <v>132</v>
      </c>
      <c r="B150" s="1036" t="s">
        <v>584</v>
      </c>
      <c r="C150" s="1036" t="s">
        <v>5096</v>
      </c>
      <c r="D150" s="1037" t="s">
        <v>5079</v>
      </c>
      <c r="E150" s="1037">
        <v>0</v>
      </c>
      <c r="F150" s="1037" t="s">
        <v>81</v>
      </c>
      <c r="G150" s="1040">
        <v>0</v>
      </c>
      <c r="H150" s="1041"/>
      <c r="I150" s="1040">
        <v>0</v>
      </c>
      <c r="J150" s="1037" t="s">
        <v>5106</v>
      </c>
    </row>
    <row r="151" spans="1:10" ht="20.100000000000001" customHeight="1">
      <c r="A151" s="1036">
        <f>ROW()-ROW(A18)</f>
        <v>133</v>
      </c>
      <c r="B151" s="1036" t="s">
        <v>5214</v>
      </c>
      <c r="C151" s="1036" t="s">
        <v>5135</v>
      </c>
      <c r="D151" s="1037" t="s">
        <v>5079</v>
      </c>
      <c r="E151" s="1037">
        <v>0</v>
      </c>
      <c r="F151" s="1037" t="s">
        <v>81</v>
      </c>
      <c r="G151" s="1040">
        <v>0</v>
      </c>
      <c r="H151" s="1041"/>
      <c r="I151" s="1040">
        <v>0</v>
      </c>
      <c r="J151" s="1037" t="s">
        <v>5097</v>
      </c>
    </row>
    <row r="152" spans="1:10" ht="20.100000000000001" customHeight="1">
      <c r="A152" s="1036">
        <f>ROW()-ROW(A18)</f>
        <v>134</v>
      </c>
      <c r="B152" s="1036" t="s">
        <v>5215</v>
      </c>
      <c r="C152" s="1036" t="s">
        <v>5170</v>
      </c>
      <c r="D152" s="1037" t="s">
        <v>5079</v>
      </c>
      <c r="E152" s="1037">
        <v>0</v>
      </c>
      <c r="F152" s="1037" t="s">
        <v>81</v>
      </c>
      <c r="G152" s="1040">
        <v>0</v>
      </c>
      <c r="H152" s="1041"/>
      <c r="I152" s="1040">
        <v>0</v>
      </c>
      <c r="J152" s="1037" t="s">
        <v>5080</v>
      </c>
    </row>
    <row r="153" spans="1:10" ht="20.100000000000001" customHeight="1">
      <c r="A153" s="1036">
        <f>ROW()-ROW(A18)</f>
        <v>135</v>
      </c>
      <c r="B153" s="1036" t="s">
        <v>640</v>
      </c>
      <c r="C153" s="1036" t="s">
        <v>5163</v>
      </c>
      <c r="D153" s="1037" t="s">
        <v>5079</v>
      </c>
      <c r="E153" s="1037">
        <v>0</v>
      </c>
      <c r="F153" s="1037" t="s">
        <v>81</v>
      </c>
      <c r="G153" s="1040">
        <v>0</v>
      </c>
      <c r="H153" s="1041"/>
      <c r="I153" s="1040">
        <v>0</v>
      </c>
      <c r="J153" s="1037" t="s">
        <v>5080</v>
      </c>
    </row>
    <row r="154" spans="1:10" ht="20.100000000000001" customHeight="1">
      <c r="A154" s="1036">
        <f>ROW()-ROW(A18)</f>
        <v>136</v>
      </c>
      <c r="B154" s="1036" t="s">
        <v>5216</v>
      </c>
      <c r="C154" s="1036" t="s">
        <v>5177</v>
      </c>
      <c r="D154" s="1037" t="s">
        <v>5079</v>
      </c>
      <c r="E154" s="1037">
        <v>0</v>
      </c>
      <c r="F154" s="1037" t="s">
        <v>81</v>
      </c>
      <c r="G154" s="1040">
        <v>0</v>
      </c>
      <c r="H154" s="1041"/>
      <c r="I154" s="1040">
        <v>0</v>
      </c>
      <c r="J154" s="1037" t="s">
        <v>5080</v>
      </c>
    </row>
    <row r="155" spans="1:10" ht="20.100000000000001" customHeight="1">
      <c r="A155" s="1036">
        <f>ROW()-ROW(A18)</f>
        <v>137</v>
      </c>
      <c r="B155" s="1036" t="s">
        <v>5217</v>
      </c>
      <c r="C155" s="1036" t="s">
        <v>5195</v>
      </c>
      <c r="D155" s="1037" t="s">
        <v>5079</v>
      </c>
      <c r="E155" s="1037">
        <v>0</v>
      </c>
      <c r="F155" s="1037" t="s">
        <v>81</v>
      </c>
      <c r="G155" s="1040">
        <v>0</v>
      </c>
      <c r="H155" s="1041"/>
      <c r="I155" s="1040">
        <v>0</v>
      </c>
      <c r="J155" s="1037" t="s">
        <v>5080</v>
      </c>
    </row>
    <row r="156" spans="1:10" ht="20.100000000000001" customHeight="1">
      <c r="A156" s="1036">
        <f>ROW()-ROW(A18)</f>
        <v>138</v>
      </c>
      <c r="B156" s="1036" t="s">
        <v>685</v>
      </c>
      <c r="C156" s="1036" t="s">
        <v>5139</v>
      </c>
      <c r="D156" s="1037" t="s">
        <v>5079</v>
      </c>
      <c r="E156" s="1037">
        <v>0</v>
      </c>
      <c r="F156" s="1037" t="s">
        <v>81</v>
      </c>
      <c r="G156" s="1040">
        <v>0</v>
      </c>
      <c r="H156" s="1041"/>
      <c r="I156" s="1040">
        <v>0</v>
      </c>
      <c r="J156" s="1037" t="s">
        <v>5080</v>
      </c>
    </row>
    <row r="157" spans="1:10" ht="20.100000000000001" customHeight="1">
      <c r="A157" s="1036">
        <f>ROW()-ROW(A18)</f>
        <v>139</v>
      </c>
      <c r="B157" s="1036" t="s">
        <v>628</v>
      </c>
      <c r="C157" s="1036" t="s">
        <v>5179</v>
      </c>
      <c r="D157" s="1037" t="s">
        <v>5079</v>
      </c>
      <c r="E157" s="1037">
        <v>0</v>
      </c>
      <c r="F157" s="1037" t="s">
        <v>81</v>
      </c>
      <c r="G157" s="1040">
        <v>0</v>
      </c>
      <c r="H157" s="1041"/>
      <c r="I157" s="1040">
        <v>0</v>
      </c>
      <c r="J157" s="1037" t="s">
        <v>5080</v>
      </c>
    </row>
    <row r="158" spans="1:10" ht="20.100000000000001" customHeight="1">
      <c r="A158" s="1036">
        <f>ROW()-ROW(A18)</f>
        <v>140</v>
      </c>
      <c r="B158" s="1036" t="s">
        <v>5218</v>
      </c>
      <c r="C158" s="1036" t="s">
        <v>5189</v>
      </c>
      <c r="D158" s="1037" t="s">
        <v>5079</v>
      </c>
      <c r="E158" s="1037">
        <v>0</v>
      </c>
      <c r="F158" s="1037" t="s">
        <v>81</v>
      </c>
      <c r="G158" s="1040">
        <v>0</v>
      </c>
      <c r="H158" s="1041"/>
      <c r="I158" s="1040">
        <v>0</v>
      </c>
      <c r="J158" s="1037" t="s">
        <v>5080</v>
      </c>
    </row>
    <row r="159" spans="1:10" ht="20.100000000000001" customHeight="1">
      <c r="A159" s="1036">
        <f>ROW()-ROW(A18)</f>
        <v>141</v>
      </c>
      <c r="B159" s="1036" t="s">
        <v>5219</v>
      </c>
      <c r="C159" s="1036" t="s">
        <v>5145</v>
      </c>
      <c r="D159" s="1037" t="s">
        <v>5079</v>
      </c>
      <c r="E159" s="1037">
        <v>0</v>
      </c>
      <c r="F159" s="1037" t="s">
        <v>81</v>
      </c>
      <c r="G159" s="1040">
        <v>0</v>
      </c>
      <c r="H159" s="1041"/>
      <c r="I159" s="1040">
        <v>0</v>
      </c>
      <c r="J159" s="1037" t="s">
        <v>5080</v>
      </c>
    </row>
    <row r="160" spans="1:10" ht="20.100000000000001" customHeight="1">
      <c r="A160" s="1036">
        <f>ROW()-ROW(A18)</f>
        <v>142</v>
      </c>
      <c r="B160" s="1036" t="s">
        <v>5220</v>
      </c>
      <c r="C160" s="1036" t="s">
        <v>5192</v>
      </c>
      <c r="D160" s="1037" t="s">
        <v>5079</v>
      </c>
      <c r="E160" s="1037">
        <v>0</v>
      </c>
      <c r="F160" s="1037" t="s">
        <v>81</v>
      </c>
      <c r="G160" s="1040">
        <v>0</v>
      </c>
      <c r="H160" s="1041"/>
      <c r="I160" s="1040">
        <v>0</v>
      </c>
      <c r="J160" s="1037" t="s">
        <v>5080</v>
      </c>
    </row>
    <row r="161" spans="1:10" ht="20.100000000000001" customHeight="1">
      <c r="A161" s="1036">
        <f>ROW()-ROW(A18)</f>
        <v>143</v>
      </c>
      <c r="B161" s="1036" t="s">
        <v>5221</v>
      </c>
      <c r="C161" s="1036" t="s">
        <v>5186</v>
      </c>
      <c r="D161" s="1037" t="s">
        <v>5079</v>
      </c>
      <c r="E161" s="1037">
        <v>0</v>
      </c>
      <c r="F161" s="1037" t="s">
        <v>81</v>
      </c>
      <c r="G161" s="1040">
        <v>0</v>
      </c>
      <c r="H161" s="1041"/>
      <c r="I161" s="1040">
        <v>0</v>
      </c>
      <c r="J161" s="1037" t="s">
        <v>5080</v>
      </c>
    </row>
    <row r="162" spans="1:10" ht="20.100000000000001" customHeight="1">
      <c r="A162" s="1036">
        <f>ROW()-ROW(A18)</f>
        <v>144</v>
      </c>
      <c r="B162" s="1036" t="s">
        <v>765</v>
      </c>
      <c r="C162" s="1036" t="s">
        <v>5096</v>
      </c>
      <c r="D162" s="1037" t="s">
        <v>5079</v>
      </c>
      <c r="E162" s="1037">
        <v>0</v>
      </c>
      <c r="F162" s="1037" t="s">
        <v>81</v>
      </c>
      <c r="G162" s="1040">
        <v>0</v>
      </c>
      <c r="H162" s="1041"/>
      <c r="I162" s="1040">
        <v>0</v>
      </c>
      <c r="J162" s="1037" t="s">
        <v>5111</v>
      </c>
    </row>
    <row r="163" spans="1:10" ht="20.100000000000001" customHeight="1">
      <c r="A163" s="1036">
        <f>ROW()-ROW(A18)</f>
        <v>145</v>
      </c>
      <c r="B163" s="1036" t="s">
        <v>5222</v>
      </c>
      <c r="C163" s="1036" t="s">
        <v>5194</v>
      </c>
      <c r="D163" s="1037" t="s">
        <v>5079</v>
      </c>
      <c r="E163" s="1037">
        <v>0</v>
      </c>
      <c r="F163" s="1037" t="s">
        <v>81</v>
      </c>
      <c r="G163" s="1040">
        <v>0</v>
      </c>
      <c r="H163" s="1041"/>
      <c r="I163" s="1040">
        <v>0</v>
      </c>
      <c r="J163" s="1037" t="s">
        <v>5080</v>
      </c>
    </row>
    <row r="164" spans="1:10" ht="20.100000000000001" customHeight="1">
      <c r="A164" s="1036">
        <f>ROW()-ROW(A18)</f>
        <v>146</v>
      </c>
      <c r="B164" s="1036" t="s">
        <v>5223</v>
      </c>
      <c r="C164" s="1036" t="s">
        <v>5157</v>
      </c>
      <c r="D164" s="1037" t="s">
        <v>5079</v>
      </c>
      <c r="E164" s="1037">
        <v>0</v>
      </c>
      <c r="F164" s="1037" t="s">
        <v>81</v>
      </c>
      <c r="G164" s="1040">
        <v>0</v>
      </c>
      <c r="H164" s="1041"/>
      <c r="I164" s="1040">
        <v>0</v>
      </c>
      <c r="J164" s="1037" t="s">
        <v>5080</v>
      </c>
    </row>
    <row r="165" spans="1:10" ht="20.100000000000001" customHeight="1">
      <c r="A165" s="1036">
        <f>ROW()-ROW(A18)</f>
        <v>147</v>
      </c>
      <c r="B165" s="1036" t="s">
        <v>5224</v>
      </c>
      <c r="C165" s="1036" t="s">
        <v>5164</v>
      </c>
      <c r="D165" s="1037" t="s">
        <v>5079</v>
      </c>
      <c r="E165" s="1037">
        <v>0</v>
      </c>
      <c r="F165" s="1037" t="s">
        <v>81</v>
      </c>
      <c r="G165" s="1040">
        <v>0</v>
      </c>
      <c r="H165" s="1041"/>
      <c r="I165" s="1040">
        <v>0</v>
      </c>
      <c r="J165" s="1037" t="s">
        <v>5080</v>
      </c>
    </row>
    <row r="166" spans="1:10" ht="20.100000000000001" customHeight="1">
      <c r="A166" s="1036">
        <f>ROW()-ROW(A18)</f>
        <v>148</v>
      </c>
      <c r="B166" s="1036" t="s">
        <v>3067</v>
      </c>
      <c r="C166" s="1036" t="s">
        <v>5225</v>
      </c>
      <c r="D166" s="1037" t="s">
        <v>5079</v>
      </c>
      <c r="E166" s="1037">
        <v>0.2</v>
      </c>
      <c r="F166" s="1037" t="s">
        <v>80</v>
      </c>
      <c r="G166" s="1038">
        <v>0</v>
      </c>
      <c r="H166" s="1039"/>
      <c r="I166" s="1038">
        <v>0</v>
      </c>
      <c r="J166" s="1037" t="s">
        <v>5080</v>
      </c>
    </row>
    <row r="167" spans="1:10" ht="20.100000000000001" customHeight="1">
      <c r="A167" s="1036">
        <f>ROW()-ROW(A18)</f>
        <v>149</v>
      </c>
      <c r="B167" s="1036" t="s">
        <v>5226</v>
      </c>
      <c r="C167" s="1036" t="s">
        <v>5166</v>
      </c>
      <c r="D167" s="1037" t="s">
        <v>5079</v>
      </c>
      <c r="E167" s="1037">
        <v>0</v>
      </c>
      <c r="F167" s="1037" t="s">
        <v>81</v>
      </c>
      <c r="G167" s="1040">
        <v>0</v>
      </c>
      <c r="H167" s="1041"/>
      <c r="I167" s="1040">
        <v>0</v>
      </c>
      <c r="J167" s="1037" t="s">
        <v>5080</v>
      </c>
    </row>
    <row r="168" spans="1:10" ht="20.100000000000001" customHeight="1">
      <c r="A168" s="1036">
        <f>ROW()-ROW(A18)</f>
        <v>150</v>
      </c>
      <c r="B168" s="1036" t="s">
        <v>5227</v>
      </c>
      <c r="C168" s="1036" t="s">
        <v>5162</v>
      </c>
      <c r="D168" s="1037" t="s">
        <v>5079</v>
      </c>
      <c r="E168" s="1037">
        <v>0</v>
      </c>
      <c r="F168" s="1037" t="s">
        <v>81</v>
      </c>
      <c r="G168" s="1040">
        <v>0</v>
      </c>
      <c r="H168" s="1041"/>
      <c r="I168" s="1040">
        <v>0</v>
      </c>
      <c r="J168" s="1037" t="s">
        <v>5080</v>
      </c>
    </row>
    <row r="169" spans="1:10" ht="20.100000000000001" customHeight="1">
      <c r="A169" s="1036">
        <f>ROW()-ROW(A18)</f>
        <v>151</v>
      </c>
      <c r="B169" s="1036" t="s">
        <v>505</v>
      </c>
      <c r="C169" s="1036" t="s">
        <v>5114</v>
      </c>
      <c r="D169" s="1037" t="s">
        <v>5115</v>
      </c>
      <c r="E169" s="1037">
        <v>0</v>
      </c>
      <c r="F169" s="1037" t="s">
        <v>81</v>
      </c>
      <c r="G169" s="1040">
        <v>0</v>
      </c>
      <c r="H169" s="1041">
        <v>0</v>
      </c>
      <c r="I169" s="1040">
        <v>0</v>
      </c>
      <c r="J169" s="1037" t="s">
        <v>5080</v>
      </c>
    </row>
    <row r="170" spans="1:10" ht="20.100000000000001" customHeight="1">
      <c r="A170" s="1036">
        <f>ROW()-ROW(A18)</f>
        <v>152</v>
      </c>
      <c r="B170" s="1036" t="s">
        <v>757</v>
      </c>
      <c r="C170" s="1036" t="s">
        <v>5107</v>
      </c>
      <c r="D170" s="1037" t="s">
        <v>5079</v>
      </c>
      <c r="E170" s="1037">
        <v>0</v>
      </c>
      <c r="F170" s="1037" t="s">
        <v>81</v>
      </c>
      <c r="G170" s="1040">
        <v>0</v>
      </c>
      <c r="H170" s="1041"/>
      <c r="I170" s="1040">
        <v>0</v>
      </c>
      <c r="J170" s="1037" t="s">
        <v>5106</v>
      </c>
    </row>
    <row r="171" spans="1:10" ht="20.100000000000001" customHeight="1">
      <c r="A171" s="1036">
        <f>ROW()-ROW(A18)</f>
        <v>153</v>
      </c>
      <c r="B171" s="1036" t="s">
        <v>5228</v>
      </c>
      <c r="C171" s="1036" t="s">
        <v>5134</v>
      </c>
      <c r="D171" s="1037" t="s">
        <v>5079</v>
      </c>
      <c r="E171" s="1037">
        <v>0</v>
      </c>
      <c r="F171" s="1037" t="s">
        <v>81</v>
      </c>
      <c r="G171" s="1040">
        <v>0</v>
      </c>
      <c r="H171" s="1041"/>
      <c r="I171" s="1040">
        <v>0</v>
      </c>
      <c r="J171" s="1037" t="s">
        <v>5080</v>
      </c>
    </row>
    <row r="172" spans="1:10" ht="20.100000000000001" customHeight="1">
      <c r="A172" s="1036">
        <f>ROW()-ROW(A18)</f>
        <v>154</v>
      </c>
      <c r="B172" s="1036" t="s">
        <v>5229</v>
      </c>
      <c r="C172" s="1036" t="s">
        <v>5140</v>
      </c>
      <c r="D172" s="1037" t="s">
        <v>5079</v>
      </c>
      <c r="E172" s="1037">
        <v>0</v>
      </c>
      <c r="F172" s="1037" t="s">
        <v>81</v>
      </c>
      <c r="G172" s="1040">
        <v>0</v>
      </c>
      <c r="H172" s="1041"/>
      <c r="I172" s="1040">
        <v>0</v>
      </c>
      <c r="J172" s="1037" t="s">
        <v>5080</v>
      </c>
    </row>
    <row r="173" spans="1:10" ht="20.100000000000001" customHeight="1">
      <c r="A173" s="1036">
        <f>ROW()-ROW(A18)</f>
        <v>155</v>
      </c>
      <c r="B173" s="1036" t="s">
        <v>5230</v>
      </c>
      <c r="C173" s="1036" t="s">
        <v>5147</v>
      </c>
      <c r="D173" s="1037" t="s">
        <v>5079</v>
      </c>
      <c r="E173" s="1037">
        <v>0</v>
      </c>
      <c r="F173" s="1037" t="s">
        <v>81</v>
      </c>
      <c r="G173" s="1040">
        <v>0</v>
      </c>
      <c r="H173" s="1041"/>
      <c r="I173" s="1040">
        <v>0</v>
      </c>
      <c r="J173" s="1037" t="s">
        <v>5080</v>
      </c>
    </row>
    <row r="174" spans="1:10" ht="20.100000000000001" customHeight="1">
      <c r="A174" s="1036">
        <f>ROW()-ROW(A18)</f>
        <v>156</v>
      </c>
      <c r="B174" s="1036" t="s">
        <v>961</v>
      </c>
      <c r="C174" s="1036" t="s">
        <v>5125</v>
      </c>
      <c r="D174" s="1037" t="s">
        <v>5079</v>
      </c>
      <c r="E174" s="1037">
        <v>0</v>
      </c>
      <c r="F174" s="1037" t="s">
        <v>81</v>
      </c>
      <c r="G174" s="1040">
        <v>0</v>
      </c>
      <c r="H174" s="1041"/>
      <c r="I174" s="1040">
        <v>0</v>
      </c>
      <c r="J174" s="1037" t="s">
        <v>5080</v>
      </c>
    </row>
    <row r="175" spans="1:10" ht="20.100000000000001" customHeight="1">
      <c r="A175" s="1036">
        <f>ROW()-ROW(A18)</f>
        <v>157</v>
      </c>
      <c r="B175" s="1036" t="s">
        <v>505</v>
      </c>
      <c r="C175" s="1036" t="s">
        <v>5114</v>
      </c>
      <c r="D175" s="1037" t="s">
        <v>5079</v>
      </c>
      <c r="E175" s="1037">
        <v>0</v>
      </c>
      <c r="F175" s="1037" t="s">
        <v>81</v>
      </c>
      <c r="G175" s="1040">
        <v>0</v>
      </c>
      <c r="H175" s="1041"/>
      <c r="I175" s="1040">
        <v>0</v>
      </c>
      <c r="J175" s="1037" t="s">
        <v>5080</v>
      </c>
    </row>
    <row r="176" spans="1:10" ht="20.100000000000001" customHeight="1">
      <c r="A176" s="1036">
        <f>ROW()-ROW(A18)</f>
        <v>158</v>
      </c>
      <c r="B176" s="1036" t="s">
        <v>5231</v>
      </c>
      <c r="C176" s="1036" t="s">
        <v>5109</v>
      </c>
      <c r="D176" s="1037" t="s">
        <v>5079</v>
      </c>
      <c r="E176" s="1037">
        <v>0</v>
      </c>
      <c r="F176" s="1037" t="s">
        <v>81</v>
      </c>
      <c r="G176" s="1040">
        <v>0</v>
      </c>
      <c r="H176" s="1041"/>
      <c r="I176" s="1040">
        <v>0</v>
      </c>
      <c r="J176" s="1037" t="s">
        <v>5106</v>
      </c>
    </row>
    <row r="177" spans="1:10" ht="20.100000000000001" customHeight="1">
      <c r="A177" s="1036">
        <f>ROW()-ROW(A18)</f>
        <v>159</v>
      </c>
      <c r="B177" s="1036" t="s">
        <v>5232</v>
      </c>
      <c r="C177" s="1036" t="s">
        <v>5185</v>
      </c>
      <c r="D177" s="1037" t="s">
        <v>5079</v>
      </c>
      <c r="E177" s="1037">
        <v>0</v>
      </c>
      <c r="F177" s="1037" t="s">
        <v>81</v>
      </c>
      <c r="G177" s="1040">
        <v>0</v>
      </c>
      <c r="H177" s="1041"/>
      <c r="I177" s="1040">
        <v>0</v>
      </c>
      <c r="J177" s="1037" t="s">
        <v>5080</v>
      </c>
    </row>
    <row r="178" spans="1:10" ht="20.100000000000001" customHeight="1">
      <c r="A178" s="1036">
        <f>ROW()-ROW(A18)</f>
        <v>160</v>
      </c>
      <c r="B178" s="1036" t="s">
        <v>5233</v>
      </c>
      <c r="C178" s="1036" t="s">
        <v>5175</v>
      </c>
      <c r="D178" s="1037" t="s">
        <v>5079</v>
      </c>
      <c r="E178" s="1037">
        <v>0</v>
      </c>
      <c r="F178" s="1037" t="s">
        <v>81</v>
      </c>
      <c r="G178" s="1040">
        <v>0</v>
      </c>
      <c r="H178" s="1041"/>
      <c r="I178" s="1040">
        <v>0</v>
      </c>
      <c r="J178" s="1037" t="s">
        <v>5080</v>
      </c>
    </row>
    <row r="179" spans="1:10" ht="20.100000000000001" customHeight="1">
      <c r="A179" s="1036">
        <f>ROW()-ROW(A18)</f>
        <v>161</v>
      </c>
      <c r="B179" s="1036" t="s">
        <v>5234</v>
      </c>
      <c r="C179" s="1036" t="s">
        <v>5176</v>
      </c>
      <c r="D179" s="1037" t="s">
        <v>5079</v>
      </c>
      <c r="E179" s="1037">
        <v>0</v>
      </c>
      <c r="F179" s="1037" t="s">
        <v>81</v>
      </c>
      <c r="G179" s="1040">
        <v>0</v>
      </c>
      <c r="H179" s="1041"/>
      <c r="I179" s="1040">
        <v>0</v>
      </c>
      <c r="J179" s="1037" t="s">
        <v>5080</v>
      </c>
    </row>
    <row r="180" spans="1:10" ht="20.100000000000001" customHeight="1">
      <c r="A180" s="1036">
        <f>ROW()-ROW(A18)</f>
        <v>162</v>
      </c>
      <c r="B180" s="1036" t="s">
        <v>5235</v>
      </c>
      <c r="C180" s="1036" t="s">
        <v>5236</v>
      </c>
      <c r="D180" s="1037" t="s">
        <v>5079</v>
      </c>
      <c r="E180" s="1037">
        <v>0</v>
      </c>
      <c r="F180" s="1037" t="s">
        <v>81</v>
      </c>
      <c r="G180" s="1040">
        <v>0</v>
      </c>
      <c r="H180" s="1041"/>
      <c r="I180" s="1040">
        <v>0</v>
      </c>
      <c r="J180" s="1037" t="s">
        <v>5159</v>
      </c>
    </row>
    <row r="181" spans="1:10" ht="20.100000000000001" customHeight="1">
      <c r="A181" s="1036">
        <f>ROW()-ROW(A18)</f>
        <v>163</v>
      </c>
      <c r="B181" s="1036" t="s">
        <v>5237</v>
      </c>
      <c r="C181" s="1036" t="s">
        <v>5127</v>
      </c>
      <c r="D181" s="1037" t="s">
        <v>5079</v>
      </c>
      <c r="E181" s="1037">
        <v>0</v>
      </c>
      <c r="F181" s="1037" t="s">
        <v>81</v>
      </c>
      <c r="G181" s="1040">
        <v>0</v>
      </c>
      <c r="H181" s="1041"/>
      <c r="I181" s="1040">
        <v>0</v>
      </c>
      <c r="J181" s="1037" t="s">
        <v>5080</v>
      </c>
    </row>
    <row r="182" spans="1:10" ht="20.100000000000001" customHeight="1">
      <c r="A182" s="1036">
        <f>ROW()-ROW(A18)</f>
        <v>164</v>
      </c>
      <c r="B182" s="1036" t="s">
        <v>3276</v>
      </c>
      <c r="C182" s="1036" t="s">
        <v>5236</v>
      </c>
      <c r="D182" s="1037" t="s">
        <v>5079</v>
      </c>
      <c r="E182" s="1037">
        <v>0.5</v>
      </c>
      <c r="F182" s="1037" t="s">
        <v>80</v>
      </c>
      <c r="G182" s="1038">
        <v>0</v>
      </c>
      <c r="H182" s="1039"/>
      <c r="I182" s="1038">
        <v>0</v>
      </c>
      <c r="J182" s="1037" t="s">
        <v>5159</v>
      </c>
    </row>
    <row r="183" spans="1:10" ht="20.100000000000001" customHeight="1">
      <c r="A183" s="1036">
        <f>ROW()-ROW(A18)</f>
        <v>165</v>
      </c>
      <c r="B183" s="1036" t="s">
        <v>622</v>
      </c>
      <c r="C183" s="1036" t="s">
        <v>5169</v>
      </c>
      <c r="D183" s="1037" t="s">
        <v>5079</v>
      </c>
      <c r="E183" s="1037">
        <v>0</v>
      </c>
      <c r="F183" s="1037" t="s">
        <v>81</v>
      </c>
      <c r="G183" s="1040">
        <v>0</v>
      </c>
      <c r="H183" s="1041"/>
      <c r="I183" s="1040">
        <v>0</v>
      </c>
      <c r="J183" s="1037" t="s">
        <v>5080</v>
      </c>
    </row>
    <row r="184" spans="1:10" ht="20.100000000000001" customHeight="1">
      <c r="A184" s="1036">
        <f>ROW()-ROW(A18)</f>
        <v>166</v>
      </c>
      <c r="B184" s="1036" t="s">
        <v>5238</v>
      </c>
      <c r="C184" s="1036" t="s">
        <v>5167</v>
      </c>
      <c r="D184" s="1037" t="s">
        <v>5079</v>
      </c>
      <c r="E184" s="1037">
        <v>0</v>
      </c>
      <c r="F184" s="1037" t="s">
        <v>81</v>
      </c>
      <c r="G184" s="1040">
        <v>0</v>
      </c>
      <c r="H184" s="1041"/>
      <c r="I184" s="1040">
        <v>0</v>
      </c>
      <c r="J184" s="1037" t="s">
        <v>5080</v>
      </c>
    </row>
    <row r="185" spans="1:10" ht="20.100000000000001" customHeight="1">
      <c r="A185" s="1036">
        <f>ROW()-ROW(A18)</f>
        <v>167</v>
      </c>
      <c r="B185" s="1036" t="s">
        <v>5239</v>
      </c>
      <c r="C185" s="1036" t="s">
        <v>5199</v>
      </c>
      <c r="D185" s="1037" t="s">
        <v>5079</v>
      </c>
      <c r="E185" s="1037">
        <v>0</v>
      </c>
      <c r="F185" s="1037" t="s">
        <v>81</v>
      </c>
      <c r="G185" s="1040">
        <v>0</v>
      </c>
      <c r="H185" s="1041"/>
      <c r="I185" s="1040">
        <v>0</v>
      </c>
      <c r="J185" s="1037" t="s">
        <v>5080</v>
      </c>
    </row>
    <row r="186" spans="1:10" ht="20.100000000000001" customHeight="1">
      <c r="A186" s="1036">
        <f>ROW()-ROW(A18)</f>
        <v>168</v>
      </c>
      <c r="B186" s="1036" t="s">
        <v>5240</v>
      </c>
      <c r="C186" s="1036" t="s">
        <v>5096</v>
      </c>
      <c r="D186" s="1037" t="s">
        <v>5079</v>
      </c>
      <c r="E186" s="1037">
        <v>0.2</v>
      </c>
      <c r="F186" s="1037" t="s">
        <v>80</v>
      </c>
      <c r="G186" s="1038">
        <v>0</v>
      </c>
      <c r="H186" s="1039"/>
      <c r="I186" s="1038">
        <v>0</v>
      </c>
      <c r="J186" s="1037" t="s">
        <v>5098</v>
      </c>
    </row>
    <row r="187" spans="1:10" ht="20.100000000000001" customHeight="1">
      <c r="A187" s="1036">
        <f>ROW()-ROW(A18)</f>
        <v>169</v>
      </c>
      <c r="B187" s="1036" t="s">
        <v>2914</v>
      </c>
      <c r="C187" s="1036" t="s">
        <v>5241</v>
      </c>
      <c r="D187" s="1037" t="s">
        <v>5079</v>
      </c>
      <c r="E187" s="1037">
        <v>0</v>
      </c>
      <c r="F187" s="1037" t="s">
        <v>81</v>
      </c>
      <c r="G187" s="1040">
        <v>0</v>
      </c>
      <c r="H187" s="1041"/>
      <c r="I187" s="1040">
        <v>0</v>
      </c>
      <c r="J187" s="1037" t="s">
        <v>5080</v>
      </c>
    </row>
    <row r="188" spans="1:10" ht="20.100000000000001" customHeight="1">
      <c r="A188" s="1036">
        <f>ROW()-ROW(A18)</f>
        <v>170</v>
      </c>
      <c r="B188" s="1036" t="s">
        <v>512</v>
      </c>
      <c r="C188" s="1036" t="s">
        <v>5116</v>
      </c>
      <c r="D188" s="1037" t="s">
        <v>5079</v>
      </c>
      <c r="E188" s="1037">
        <v>0</v>
      </c>
      <c r="F188" s="1037" t="s">
        <v>81</v>
      </c>
      <c r="G188" s="1040">
        <v>0</v>
      </c>
      <c r="H188" s="1041"/>
      <c r="I188" s="1040">
        <v>0</v>
      </c>
      <c r="J188" s="1037" t="s">
        <v>5080</v>
      </c>
    </row>
    <row r="189" spans="1:10" ht="20.100000000000001" customHeight="1">
      <c r="A189" s="1036">
        <f>ROW()-ROW(A18)</f>
        <v>171</v>
      </c>
      <c r="B189" s="1036" t="s">
        <v>5242</v>
      </c>
      <c r="C189" s="1036" t="s">
        <v>5133</v>
      </c>
      <c r="D189" s="1037" t="s">
        <v>5079</v>
      </c>
      <c r="E189" s="1037">
        <v>0</v>
      </c>
      <c r="F189" s="1037" t="s">
        <v>81</v>
      </c>
      <c r="G189" s="1040">
        <v>0</v>
      </c>
      <c r="H189" s="1041"/>
      <c r="I189" s="1040">
        <v>0</v>
      </c>
      <c r="J189" s="1037" t="s">
        <v>5080</v>
      </c>
    </row>
    <row r="190" spans="1:10" ht="20.100000000000001" customHeight="1">
      <c r="A190" s="1036">
        <f>ROW()-ROW(A18)</f>
        <v>172</v>
      </c>
      <c r="B190" s="1036" t="s">
        <v>5243</v>
      </c>
      <c r="C190" s="1036" t="s">
        <v>5173</v>
      </c>
      <c r="D190" s="1037" t="s">
        <v>5079</v>
      </c>
      <c r="E190" s="1037">
        <v>0</v>
      </c>
      <c r="F190" s="1037" t="s">
        <v>81</v>
      </c>
      <c r="G190" s="1040">
        <v>0</v>
      </c>
      <c r="H190" s="1041"/>
      <c r="I190" s="1040">
        <v>0</v>
      </c>
      <c r="J190" s="1037" t="s">
        <v>5080</v>
      </c>
    </row>
    <row r="191" spans="1:10" ht="20.100000000000001" customHeight="1">
      <c r="A191" s="1036">
        <f>ROW()-ROW(A18)</f>
        <v>173</v>
      </c>
      <c r="B191" s="1036" t="s">
        <v>5244</v>
      </c>
      <c r="C191" s="1036" t="s">
        <v>5132</v>
      </c>
      <c r="D191" s="1037" t="s">
        <v>5079</v>
      </c>
      <c r="E191" s="1037">
        <v>0</v>
      </c>
      <c r="F191" s="1037" t="s">
        <v>81</v>
      </c>
      <c r="G191" s="1040">
        <v>0</v>
      </c>
      <c r="H191" s="1041"/>
      <c r="I191" s="1040">
        <v>0</v>
      </c>
      <c r="J191" s="1037" t="s">
        <v>5080</v>
      </c>
    </row>
    <row r="192" spans="1:10" ht="20.100000000000001" customHeight="1">
      <c r="A192" s="1036">
        <f>ROW()-ROW(A18)</f>
        <v>174</v>
      </c>
      <c r="B192" s="1036" t="s">
        <v>5245</v>
      </c>
      <c r="C192" s="1036" t="s">
        <v>5149</v>
      </c>
      <c r="D192" s="1037" t="s">
        <v>5079</v>
      </c>
      <c r="E192" s="1037">
        <v>0</v>
      </c>
      <c r="F192" s="1037" t="s">
        <v>81</v>
      </c>
      <c r="G192" s="1040">
        <v>0</v>
      </c>
      <c r="H192" s="1041"/>
      <c r="I192" s="1040">
        <v>0</v>
      </c>
      <c r="J192" s="1037" t="s">
        <v>5080</v>
      </c>
    </row>
    <row r="193" spans="1:10" ht="20.100000000000001" customHeight="1">
      <c r="A193" s="1036">
        <f>ROW()-ROW(A18)</f>
        <v>175</v>
      </c>
      <c r="B193" s="1036" t="s">
        <v>5246</v>
      </c>
      <c r="C193" s="1036" t="s">
        <v>5187</v>
      </c>
      <c r="D193" s="1037" t="s">
        <v>5079</v>
      </c>
      <c r="E193" s="1037">
        <v>0</v>
      </c>
      <c r="F193" s="1037" t="s">
        <v>81</v>
      </c>
      <c r="G193" s="1040">
        <v>0</v>
      </c>
      <c r="H193" s="1041"/>
      <c r="I193" s="1040">
        <v>0</v>
      </c>
      <c r="J193" s="1037" t="s">
        <v>5080</v>
      </c>
    </row>
    <row r="194" spans="1:10" ht="20.100000000000001" customHeight="1">
      <c r="A194" s="1036">
        <f>ROW()-ROW(A18)</f>
        <v>176</v>
      </c>
      <c r="B194" s="1036" t="s">
        <v>5247</v>
      </c>
      <c r="C194" s="1036" t="s">
        <v>5168</v>
      </c>
      <c r="D194" s="1037" t="s">
        <v>5079</v>
      </c>
      <c r="E194" s="1037">
        <v>0</v>
      </c>
      <c r="F194" s="1037" t="s">
        <v>81</v>
      </c>
      <c r="G194" s="1040">
        <v>0</v>
      </c>
      <c r="H194" s="1041"/>
      <c r="I194" s="1040">
        <v>0</v>
      </c>
      <c r="J194" s="1037" t="s">
        <v>5080</v>
      </c>
    </row>
    <row r="195" spans="1:10" ht="20.100000000000001" customHeight="1">
      <c r="A195" s="1036">
        <f>ROW()-ROW(A18)</f>
        <v>177</v>
      </c>
      <c r="B195" s="1036" t="s">
        <v>2973</v>
      </c>
      <c r="C195" s="1036" t="s">
        <v>5248</v>
      </c>
      <c r="D195" s="1037" t="s">
        <v>5079</v>
      </c>
      <c r="E195" s="1037">
        <v>0.2</v>
      </c>
      <c r="F195" s="1037" t="s">
        <v>80</v>
      </c>
      <c r="G195" s="1038">
        <v>0</v>
      </c>
      <c r="H195" s="1039"/>
      <c r="I195" s="1038">
        <v>0</v>
      </c>
      <c r="J195" s="1037" t="s">
        <v>5080</v>
      </c>
    </row>
    <row r="196" spans="1:10" ht="20.100000000000001" customHeight="1">
      <c r="A196" s="1036">
        <f>ROW()-ROW(A18)</f>
        <v>178</v>
      </c>
      <c r="B196" s="1036" t="s">
        <v>5249</v>
      </c>
      <c r="C196" s="1036" t="s">
        <v>5188</v>
      </c>
      <c r="D196" s="1037" t="s">
        <v>5079</v>
      </c>
      <c r="E196" s="1037">
        <v>0</v>
      </c>
      <c r="F196" s="1037" t="s">
        <v>81</v>
      </c>
      <c r="G196" s="1040">
        <v>0</v>
      </c>
      <c r="H196" s="1041"/>
      <c r="I196" s="1040">
        <v>0</v>
      </c>
      <c r="J196" s="1037" t="s">
        <v>5080</v>
      </c>
    </row>
    <row r="197" spans="1:10" ht="20.100000000000001" customHeight="1">
      <c r="A197" s="1036">
        <f>ROW()-ROW(A18)</f>
        <v>179</v>
      </c>
      <c r="B197" s="1036" t="s">
        <v>5250</v>
      </c>
      <c r="C197" s="1036" t="s">
        <v>5123</v>
      </c>
      <c r="D197" s="1037" t="s">
        <v>5079</v>
      </c>
      <c r="E197" s="1037">
        <v>0</v>
      </c>
      <c r="F197" s="1037" t="s">
        <v>81</v>
      </c>
      <c r="G197" s="1040">
        <v>0</v>
      </c>
      <c r="H197" s="1041"/>
      <c r="I197" s="1040">
        <v>0</v>
      </c>
      <c r="J197" s="1037" t="s">
        <v>5080</v>
      </c>
    </row>
    <row r="198" spans="1:10" ht="20.100000000000001" customHeight="1">
      <c r="A198" s="1036">
        <f>ROW()-ROW(A18)</f>
        <v>180</v>
      </c>
      <c r="B198" s="1036" t="s">
        <v>5251</v>
      </c>
      <c r="C198" s="1036" t="s">
        <v>5099</v>
      </c>
      <c r="D198" s="1037" t="s">
        <v>5079</v>
      </c>
      <c r="E198" s="1037">
        <v>0</v>
      </c>
      <c r="F198" s="1037" t="s">
        <v>81</v>
      </c>
      <c r="G198" s="1040">
        <v>0</v>
      </c>
      <c r="H198" s="1041"/>
      <c r="I198" s="1040">
        <v>0</v>
      </c>
      <c r="J198" s="1037" t="s">
        <v>5097</v>
      </c>
    </row>
    <row r="199" spans="1:10" ht="20.100000000000001" customHeight="1">
      <c r="A199" s="1036">
        <f>ROW()-ROW(A18)</f>
        <v>181</v>
      </c>
      <c r="B199" s="1036" t="s">
        <v>5252</v>
      </c>
      <c r="C199" s="1036" t="s">
        <v>5196</v>
      </c>
      <c r="D199" s="1037" t="s">
        <v>5079</v>
      </c>
      <c r="E199" s="1037">
        <v>0</v>
      </c>
      <c r="F199" s="1037" t="s">
        <v>81</v>
      </c>
      <c r="G199" s="1040">
        <v>0</v>
      </c>
      <c r="H199" s="1041"/>
      <c r="I199" s="1040">
        <v>0</v>
      </c>
      <c r="J199" s="1037" t="s">
        <v>5106</v>
      </c>
    </row>
    <row r="200" spans="1:10" ht="20.100000000000001" customHeight="1">
      <c r="A200" s="1036">
        <f>ROW()-ROW(A18)</f>
        <v>182</v>
      </c>
      <c r="B200" s="1036" t="s">
        <v>500</v>
      </c>
      <c r="C200" s="1036" t="s">
        <v>5101</v>
      </c>
      <c r="D200" s="1037" t="s">
        <v>5253</v>
      </c>
      <c r="E200" s="1037">
        <v>0.5</v>
      </c>
      <c r="F200" s="1037" t="s">
        <v>80</v>
      </c>
      <c r="G200" s="1038">
        <v>21901504745</v>
      </c>
      <c r="H200" s="1039">
        <v>0</v>
      </c>
      <c r="I200" s="1038">
        <v>21901504745</v>
      </c>
      <c r="J200" s="1037" t="s">
        <v>5102</v>
      </c>
    </row>
    <row r="201" spans="1:10" ht="20.100000000000001" customHeight="1">
      <c r="A201" s="1036">
        <f>ROW()-ROW(A18)</f>
        <v>183</v>
      </c>
      <c r="B201" s="1036" t="s">
        <v>501</v>
      </c>
      <c r="C201" s="1036" t="s">
        <v>5101</v>
      </c>
      <c r="D201" s="1037" t="s">
        <v>5253</v>
      </c>
      <c r="E201" s="1037">
        <v>0</v>
      </c>
      <c r="F201" s="1037" t="s">
        <v>81</v>
      </c>
      <c r="G201" s="1040">
        <v>276.64</v>
      </c>
      <c r="H201" s="1041">
        <v>0</v>
      </c>
      <c r="I201" s="1040">
        <v>276.64</v>
      </c>
      <c r="J201" s="1037" t="s">
        <v>5102</v>
      </c>
    </row>
    <row r="202" spans="1:10" ht="20.100000000000001" customHeight="1">
      <c r="A202" s="1036">
        <f>ROW()-ROW(A18)</f>
        <v>184</v>
      </c>
      <c r="B202" s="1036" t="s">
        <v>507</v>
      </c>
      <c r="C202" s="1036" t="s">
        <v>5100</v>
      </c>
      <c r="D202" s="1037" t="s">
        <v>5254</v>
      </c>
      <c r="E202" s="1037">
        <v>0.5</v>
      </c>
      <c r="F202" s="1037" t="s">
        <v>80</v>
      </c>
      <c r="G202" s="1038">
        <v>24588446487</v>
      </c>
      <c r="H202" s="1039">
        <v>0</v>
      </c>
      <c r="I202" s="1038">
        <v>24588446487</v>
      </c>
      <c r="J202" s="1037" t="s">
        <v>5080</v>
      </c>
    </row>
    <row r="203" spans="1:10" ht="20.100000000000001" customHeight="1">
      <c r="A203" s="1036">
        <f>ROW()-ROW(A18)</f>
        <v>185</v>
      </c>
      <c r="B203" s="1036" t="s">
        <v>509</v>
      </c>
      <c r="C203" s="1036" t="s">
        <v>5100</v>
      </c>
      <c r="D203" s="1037" t="s">
        <v>5254</v>
      </c>
      <c r="E203" s="1037">
        <v>0</v>
      </c>
      <c r="F203" s="1037" t="s">
        <v>81</v>
      </c>
      <c r="G203" s="1040">
        <v>0</v>
      </c>
      <c r="H203" s="1041">
        <v>0</v>
      </c>
      <c r="I203" s="1040">
        <v>0</v>
      </c>
      <c r="J203" s="1037" t="s">
        <v>5080</v>
      </c>
    </row>
    <row r="204" spans="1:10" ht="20.100000000000001" customHeight="1">
      <c r="A204" s="1036">
        <f>ROW()-ROW(A18)</f>
        <v>186</v>
      </c>
      <c r="B204" s="1036" t="s">
        <v>511</v>
      </c>
      <c r="C204" s="1036" t="s">
        <v>5116</v>
      </c>
      <c r="D204" s="1037" t="s">
        <v>5255</v>
      </c>
      <c r="E204" s="1037">
        <v>0.5</v>
      </c>
      <c r="F204" s="1037" t="s">
        <v>80</v>
      </c>
      <c r="G204" s="1038">
        <v>6373926477</v>
      </c>
      <c r="H204" s="1039">
        <v>0</v>
      </c>
      <c r="I204" s="1038">
        <v>6373926477</v>
      </c>
      <c r="J204" s="1037" t="s">
        <v>5080</v>
      </c>
    </row>
    <row r="205" spans="1:10" ht="20.100000000000001" customHeight="1">
      <c r="A205" s="1036">
        <f>ROW()-ROW(A18)</f>
        <v>187</v>
      </c>
      <c r="B205" s="1036" t="s">
        <v>512</v>
      </c>
      <c r="C205" s="1036" t="s">
        <v>5116</v>
      </c>
      <c r="D205" s="1037" t="s">
        <v>5255</v>
      </c>
      <c r="E205" s="1037">
        <v>0</v>
      </c>
      <c r="F205" s="1037" t="s">
        <v>81</v>
      </c>
      <c r="G205" s="1040">
        <v>0</v>
      </c>
      <c r="H205" s="1041">
        <v>0</v>
      </c>
      <c r="I205" s="1040">
        <v>0</v>
      </c>
      <c r="J205" s="1037" t="s">
        <v>5080</v>
      </c>
    </row>
    <row r="206" spans="1:10" ht="20.100000000000001" customHeight="1">
      <c r="A206" s="1036">
        <f>ROW()-ROW(A18)</f>
        <v>188</v>
      </c>
      <c r="B206" s="1036" t="s">
        <v>759</v>
      </c>
      <c r="C206" s="1036" t="s">
        <v>5194</v>
      </c>
      <c r="D206" s="1037" t="s">
        <v>5256</v>
      </c>
      <c r="E206" s="1037">
        <v>0.5</v>
      </c>
      <c r="F206" s="1037" t="s">
        <v>80</v>
      </c>
      <c r="G206" s="1038">
        <v>14478177</v>
      </c>
      <c r="H206" s="1039">
        <v>0</v>
      </c>
      <c r="I206" s="1038">
        <v>14478177</v>
      </c>
      <c r="J206" s="1037" t="s">
        <v>5080</v>
      </c>
    </row>
    <row r="207" spans="1:10" ht="20.100000000000001" customHeight="1">
      <c r="A207" s="1036">
        <f>ROW()-ROW(A18)</f>
        <v>189</v>
      </c>
      <c r="B207" s="1036" t="s">
        <v>5222</v>
      </c>
      <c r="C207" s="1036" t="s">
        <v>5194</v>
      </c>
      <c r="D207" s="1037" t="s">
        <v>5256</v>
      </c>
      <c r="E207" s="1037">
        <v>0</v>
      </c>
      <c r="F207" s="1037" t="s">
        <v>81</v>
      </c>
      <c r="G207" s="1040">
        <v>0</v>
      </c>
      <c r="H207" s="1041">
        <v>0</v>
      </c>
      <c r="I207" s="1040">
        <v>0</v>
      </c>
      <c r="J207" s="1037" t="s">
        <v>5080</v>
      </c>
    </row>
    <row r="208" spans="1:10" ht="20.100000000000001" customHeight="1">
      <c r="A208" s="1036">
        <f>ROW()-ROW(A18)</f>
        <v>190</v>
      </c>
      <c r="B208" s="1036" t="s">
        <v>760</v>
      </c>
      <c r="C208" s="1036" t="s">
        <v>5153</v>
      </c>
      <c r="D208" s="1037" t="s">
        <v>5256</v>
      </c>
      <c r="E208" s="1037">
        <v>0.5</v>
      </c>
      <c r="F208" s="1037" t="s">
        <v>80</v>
      </c>
      <c r="G208" s="1038">
        <v>62600608</v>
      </c>
      <c r="H208" s="1039">
        <v>0</v>
      </c>
      <c r="I208" s="1038">
        <v>62600608</v>
      </c>
      <c r="J208" s="1037" t="s">
        <v>5080</v>
      </c>
    </row>
    <row r="209" spans="1:10" ht="20.100000000000001" customHeight="1">
      <c r="A209" s="1036">
        <f>ROW()-ROW(A18)</f>
        <v>191</v>
      </c>
      <c r="B209" s="1036" t="s">
        <v>5206</v>
      </c>
      <c r="C209" s="1036" t="s">
        <v>5153</v>
      </c>
      <c r="D209" s="1037" t="s">
        <v>5256</v>
      </c>
      <c r="E209" s="1037">
        <v>0</v>
      </c>
      <c r="F209" s="1037" t="s">
        <v>81</v>
      </c>
      <c r="G209" s="1040">
        <v>0</v>
      </c>
      <c r="H209" s="1041">
        <v>0</v>
      </c>
      <c r="I209" s="1040">
        <v>0</v>
      </c>
      <c r="J209" s="1037" t="s">
        <v>5080</v>
      </c>
    </row>
    <row r="210" spans="1:10" ht="20.100000000000001" customHeight="1">
      <c r="A210" s="1036">
        <f>ROW()-ROW(A18)</f>
        <v>192</v>
      </c>
      <c r="B210" s="1036" t="s">
        <v>543</v>
      </c>
      <c r="C210" s="1036" t="s">
        <v>5107</v>
      </c>
      <c r="D210" s="1037" t="s">
        <v>5257</v>
      </c>
      <c r="E210" s="1037">
        <v>0.5</v>
      </c>
      <c r="F210" s="1037" t="s">
        <v>80</v>
      </c>
      <c r="G210" s="1038">
        <v>10611499257</v>
      </c>
      <c r="H210" s="1039">
        <v>0</v>
      </c>
      <c r="I210" s="1038">
        <v>10611499257</v>
      </c>
      <c r="J210" s="1037" t="s">
        <v>5106</v>
      </c>
    </row>
    <row r="211" spans="1:10" ht="20.100000000000001" customHeight="1">
      <c r="A211" s="1036">
        <f>ROW()-ROW(A18)</f>
        <v>193</v>
      </c>
      <c r="B211" s="1036" t="s">
        <v>757</v>
      </c>
      <c r="C211" s="1036" t="s">
        <v>5107</v>
      </c>
      <c r="D211" s="1037" t="s">
        <v>5257</v>
      </c>
      <c r="E211" s="1037">
        <v>0</v>
      </c>
      <c r="F211" s="1037" t="s">
        <v>81</v>
      </c>
      <c r="G211" s="1040">
        <v>0</v>
      </c>
      <c r="H211" s="1041">
        <v>0</v>
      </c>
      <c r="I211" s="1040">
        <v>0</v>
      </c>
      <c r="J211" s="1037" t="s">
        <v>5106</v>
      </c>
    </row>
    <row r="212" spans="1:10" ht="20.100000000000001" customHeight="1">
      <c r="A212" s="1036">
        <f>ROW()-ROW(A18)</f>
        <v>194</v>
      </c>
      <c r="B212" s="1036" t="s">
        <v>545</v>
      </c>
      <c r="C212" s="1036" t="s">
        <v>5161</v>
      </c>
      <c r="D212" s="1037" t="s">
        <v>5258</v>
      </c>
      <c r="E212" s="1037">
        <v>0.5</v>
      </c>
      <c r="F212" s="1037" t="s">
        <v>80</v>
      </c>
      <c r="G212" s="1038">
        <v>46346155</v>
      </c>
      <c r="H212" s="1039">
        <v>0</v>
      </c>
      <c r="I212" s="1038">
        <v>46346155</v>
      </c>
      <c r="J212" s="1037" t="s">
        <v>5080</v>
      </c>
    </row>
    <row r="213" spans="1:10" ht="20.100000000000001" customHeight="1">
      <c r="A213" s="1036">
        <f>ROW()-ROW(A18)</f>
        <v>195</v>
      </c>
      <c r="B213" s="1036" t="s">
        <v>615</v>
      </c>
      <c r="C213" s="1036" t="s">
        <v>5122</v>
      </c>
      <c r="D213" s="1037" t="s">
        <v>5259</v>
      </c>
      <c r="E213" s="1037">
        <v>0.5</v>
      </c>
      <c r="F213" s="1037" t="s">
        <v>80</v>
      </c>
      <c r="G213" s="1038">
        <v>2461966421</v>
      </c>
      <c r="H213" s="1039">
        <v>0</v>
      </c>
      <c r="I213" s="1038">
        <v>2461966421</v>
      </c>
      <c r="J213" s="1037" t="s">
        <v>5111</v>
      </c>
    </row>
    <row r="214" spans="1:10" ht="20.100000000000001" customHeight="1">
      <c r="A214" s="1036">
        <f>ROW()-ROW(A18)</f>
        <v>196</v>
      </c>
      <c r="B214" s="1036" t="s">
        <v>555</v>
      </c>
      <c r="C214" s="1036" t="s">
        <v>5110</v>
      </c>
      <c r="D214" s="1037" t="s">
        <v>5260</v>
      </c>
      <c r="E214" s="1037">
        <v>0.5</v>
      </c>
      <c r="F214" s="1037" t="s">
        <v>80</v>
      </c>
      <c r="G214" s="1038">
        <v>8630890615</v>
      </c>
      <c r="H214" s="1039">
        <v>0</v>
      </c>
      <c r="I214" s="1038">
        <v>8630890615</v>
      </c>
      <c r="J214" s="1037" t="s">
        <v>5111</v>
      </c>
    </row>
    <row r="215" spans="1:10" ht="20.100000000000001" customHeight="1">
      <c r="A215" s="1036">
        <f>ROW()-ROW(A18)</f>
        <v>197</v>
      </c>
      <c r="B215" s="1036" t="s">
        <v>562</v>
      </c>
      <c r="C215" s="1036" t="s">
        <v>5126</v>
      </c>
      <c r="D215" s="1037" t="s">
        <v>5261</v>
      </c>
      <c r="E215" s="1037">
        <v>0.5</v>
      </c>
      <c r="F215" s="1037" t="s">
        <v>80</v>
      </c>
      <c r="G215" s="1038">
        <v>947806169</v>
      </c>
      <c r="H215" s="1039">
        <v>0</v>
      </c>
      <c r="I215" s="1038">
        <v>947806169</v>
      </c>
      <c r="J215" s="1037" t="s">
        <v>5080</v>
      </c>
    </row>
    <row r="216" spans="1:10" ht="20.100000000000001" customHeight="1">
      <c r="A216" s="1036">
        <f>ROW()-ROW(A18)</f>
        <v>198</v>
      </c>
      <c r="B216" s="1036" t="s">
        <v>566</v>
      </c>
      <c r="C216" s="1036" t="s">
        <v>5183</v>
      </c>
      <c r="D216" s="1037" t="s">
        <v>5262</v>
      </c>
      <c r="E216" s="1037">
        <v>0.5</v>
      </c>
      <c r="F216" s="1037" t="s">
        <v>80</v>
      </c>
      <c r="G216" s="1038">
        <v>29139824</v>
      </c>
      <c r="H216" s="1039">
        <v>0</v>
      </c>
      <c r="I216" s="1038">
        <v>29139824</v>
      </c>
      <c r="J216" s="1037" t="s">
        <v>5080</v>
      </c>
    </row>
    <row r="217" spans="1:10" ht="20.100000000000001" customHeight="1">
      <c r="A217" s="1036">
        <f>ROW()-ROW(A18)</f>
        <v>199</v>
      </c>
      <c r="B217" s="1036" t="s">
        <v>564</v>
      </c>
      <c r="C217" s="1036" t="s">
        <v>5174</v>
      </c>
      <c r="D217" s="1037" t="s">
        <v>5262</v>
      </c>
      <c r="E217" s="1037">
        <v>0.5</v>
      </c>
      <c r="F217" s="1037" t="s">
        <v>80</v>
      </c>
      <c r="G217" s="1038">
        <v>34541572</v>
      </c>
      <c r="H217" s="1039">
        <v>0</v>
      </c>
      <c r="I217" s="1038">
        <v>34541572</v>
      </c>
      <c r="J217" s="1037" t="s">
        <v>5080</v>
      </c>
    </row>
    <row r="218" spans="1:10" ht="20.100000000000001" customHeight="1">
      <c r="A218" s="1036">
        <f>ROW()-ROW(A18)</f>
        <v>200</v>
      </c>
      <c r="B218" s="1036" t="s">
        <v>577</v>
      </c>
      <c r="C218" s="1036" t="s">
        <v>5204</v>
      </c>
      <c r="D218" s="1037" t="s">
        <v>5263</v>
      </c>
      <c r="E218" s="1037">
        <v>0.2</v>
      </c>
      <c r="F218" s="1037" t="s">
        <v>80</v>
      </c>
      <c r="G218" s="1038">
        <v>3116928</v>
      </c>
      <c r="H218" s="1039">
        <v>0</v>
      </c>
      <c r="I218" s="1038">
        <v>3116928</v>
      </c>
      <c r="J218" s="1037" t="s">
        <v>5106</v>
      </c>
    </row>
    <row r="219" spans="1:10" ht="20.100000000000001" customHeight="1">
      <c r="A219" s="1036">
        <f>ROW()-ROW(A18)</f>
        <v>201</v>
      </c>
      <c r="B219" s="1036" t="s">
        <v>580</v>
      </c>
      <c r="C219" s="1036" t="s">
        <v>5193</v>
      </c>
      <c r="D219" s="1037" t="s">
        <v>5264</v>
      </c>
      <c r="E219" s="1037">
        <v>0.2</v>
      </c>
      <c r="F219" s="1037" t="s">
        <v>80</v>
      </c>
      <c r="G219" s="1038">
        <v>15428489</v>
      </c>
      <c r="H219" s="1039">
        <v>0</v>
      </c>
      <c r="I219" s="1038">
        <v>15428489</v>
      </c>
      <c r="J219" s="1037" t="s">
        <v>5106</v>
      </c>
    </row>
    <row r="220" spans="1:10" ht="20.100000000000001" customHeight="1">
      <c r="A220" s="1036">
        <f>ROW()-ROW(A18)</f>
        <v>202</v>
      </c>
      <c r="B220" s="1036" t="s">
        <v>607</v>
      </c>
      <c r="C220" s="1036" t="s">
        <v>5191</v>
      </c>
      <c r="D220" s="1037" t="s">
        <v>5265</v>
      </c>
      <c r="E220" s="1037">
        <v>0.5</v>
      </c>
      <c r="F220" s="1037" t="s">
        <v>80</v>
      </c>
      <c r="G220" s="1038">
        <v>16568478</v>
      </c>
      <c r="H220" s="1039">
        <v>0</v>
      </c>
      <c r="I220" s="1038">
        <v>16568478</v>
      </c>
      <c r="J220" s="1037" t="s">
        <v>5097</v>
      </c>
    </row>
    <row r="221" spans="1:10" ht="20.100000000000001" customHeight="1">
      <c r="A221" s="1036">
        <f>ROW()-ROW(A18)</f>
        <v>203</v>
      </c>
      <c r="B221" s="1036" t="s">
        <v>612</v>
      </c>
      <c r="C221" s="1036" t="s">
        <v>5144</v>
      </c>
      <c r="D221" s="1037" t="s">
        <v>5265</v>
      </c>
      <c r="E221" s="1037">
        <v>0.5</v>
      </c>
      <c r="F221" s="1037" t="s">
        <v>80</v>
      </c>
      <c r="G221" s="1038">
        <v>93457838</v>
      </c>
      <c r="H221" s="1039">
        <v>0</v>
      </c>
      <c r="I221" s="1038">
        <v>93457838</v>
      </c>
      <c r="J221" s="1037" t="s">
        <v>5097</v>
      </c>
    </row>
    <row r="222" spans="1:10" ht="20.100000000000001" customHeight="1">
      <c r="A222" s="1036">
        <f>ROW()-ROW(A18)</f>
        <v>204</v>
      </c>
      <c r="B222" s="1036" t="s">
        <v>589</v>
      </c>
      <c r="C222" s="1036" t="s">
        <v>5096</v>
      </c>
      <c r="D222" s="1037" t="s">
        <v>5266</v>
      </c>
      <c r="E222" s="1037">
        <v>0.5</v>
      </c>
      <c r="F222" s="1037" t="s">
        <v>80</v>
      </c>
      <c r="G222" s="1038">
        <v>250854580589</v>
      </c>
      <c r="H222" s="1039">
        <v>0</v>
      </c>
      <c r="I222" s="1038">
        <v>250854580589</v>
      </c>
      <c r="J222" s="1037" t="s">
        <v>5097</v>
      </c>
    </row>
    <row r="223" spans="1:10" ht="20.100000000000001" customHeight="1">
      <c r="A223" s="1036">
        <f>ROW()-ROW(A18)</f>
        <v>205</v>
      </c>
      <c r="B223" s="1036" t="s">
        <v>586</v>
      </c>
      <c r="C223" s="1036" t="s">
        <v>5096</v>
      </c>
      <c r="D223" s="1037" t="s">
        <v>5267</v>
      </c>
      <c r="E223" s="1037">
        <v>0.5</v>
      </c>
      <c r="F223" s="1037" t="s">
        <v>80</v>
      </c>
      <c r="G223" s="1038">
        <v>250126245077</v>
      </c>
      <c r="H223" s="1039">
        <v>0</v>
      </c>
      <c r="I223" s="1038">
        <v>250126245077</v>
      </c>
      <c r="J223" s="1037" t="s">
        <v>5098</v>
      </c>
    </row>
    <row r="224" spans="1:10" ht="20.100000000000001" customHeight="1">
      <c r="A224" s="1036">
        <f>ROW()-ROW(A18)</f>
        <v>206</v>
      </c>
      <c r="B224" s="1036" t="s">
        <v>587</v>
      </c>
      <c r="C224" s="1036" t="s">
        <v>5096</v>
      </c>
      <c r="D224" s="1037" t="s">
        <v>5268</v>
      </c>
      <c r="E224" s="1037">
        <v>0.5</v>
      </c>
      <c r="F224" s="1037" t="s">
        <v>80</v>
      </c>
      <c r="G224" s="1038">
        <v>85771274727</v>
      </c>
      <c r="H224" s="1039">
        <v>0</v>
      </c>
      <c r="I224" s="1038">
        <v>85771274727</v>
      </c>
      <c r="J224" s="1037" t="s">
        <v>5080</v>
      </c>
    </row>
    <row r="225" spans="1:10" ht="20.100000000000001" customHeight="1">
      <c r="A225" s="1036">
        <f>ROW()-ROW(A18)</f>
        <v>207</v>
      </c>
      <c r="B225" s="1036" t="s">
        <v>1054</v>
      </c>
      <c r="C225" s="1036" t="s">
        <v>5096</v>
      </c>
      <c r="D225" s="1037" t="s">
        <v>5269</v>
      </c>
      <c r="E225" s="1037">
        <v>0.5</v>
      </c>
      <c r="F225" s="1037" t="s">
        <v>80</v>
      </c>
      <c r="G225" s="1038">
        <v>1862623022</v>
      </c>
      <c r="H225" s="1039">
        <v>0</v>
      </c>
      <c r="I225" s="1038">
        <v>1862623022</v>
      </c>
      <c r="J225" s="1037" t="s">
        <v>5111</v>
      </c>
    </row>
    <row r="226" spans="1:10" ht="20.100000000000001" customHeight="1">
      <c r="A226" s="1036">
        <f>ROW()-ROW(A18)</f>
        <v>208</v>
      </c>
      <c r="B226" s="1036" t="s">
        <v>893</v>
      </c>
      <c r="C226" s="1036" t="s">
        <v>5096</v>
      </c>
      <c r="D226" s="1037" t="s">
        <v>5270</v>
      </c>
      <c r="E226" s="1037">
        <v>0.5</v>
      </c>
      <c r="F226" s="1037" t="s">
        <v>80</v>
      </c>
      <c r="G226" s="1038">
        <v>1292264875</v>
      </c>
      <c r="H226" s="1039">
        <v>0</v>
      </c>
      <c r="I226" s="1038">
        <v>1292264875</v>
      </c>
      <c r="J226" s="1037" t="s">
        <v>5113</v>
      </c>
    </row>
    <row r="227" spans="1:10" ht="20.100000000000001" customHeight="1">
      <c r="A227" s="1036">
        <f>ROW()-ROW(A18)</f>
        <v>209</v>
      </c>
      <c r="B227" s="1036" t="s">
        <v>1122</v>
      </c>
      <c r="C227" s="1036" t="s">
        <v>5096</v>
      </c>
      <c r="D227" s="1037" t="s">
        <v>5271</v>
      </c>
      <c r="E227" s="1037">
        <v>0.5</v>
      </c>
      <c r="F227" s="1037" t="s">
        <v>80</v>
      </c>
      <c r="G227" s="1038">
        <v>321543126</v>
      </c>
      <c r="H227" s="1039">
        <v>0</v>
      </c>
      <c r="I227" s="1038">
        <v>321543126</v>
      </c>
      <c r="J227" s="1037" t="s">
        <v>5080</v>
      </c>
    </row>
    <row r="228" spans="1:10" ht="20.100000000000001" customHeight="1">
      <c r="A228" s="1036">
        <f>ROW()-ROW(A18)</f>
        <v>210</v>
      </c>
      <c r="B228" s="1036" t="s">
        <v>583</v>
      </c>
      <c r="C228" s="1036" t="s">
        <v>5096</v>
      </c>
      <c r="D228" s="1037" t="s">
        <v>5272</v>
      </c>
      <c r="E228" s="1037">
        <v>0.5</v>
      </c>
      <c r="F228" s="1037" t="s">
        <v>80</v>
      </c>
      <c r="G228" s="1038">
        <v>91477418</v>
      </c>
      <c r="H228" s="1039">
        <v>0</v>
      </c>
      <c r="I228" s="1038">
        <v>91477418</v>
      </c>
      <c r="J228" s="1037" t="s">
        <v>5106</v>
      </c>
    </row>
    <row r="229" spans="1:10" ht="20.100000000000001" customHeight="1">
      <c r="A229" s="1036">
        <f>ROW()-ROW(A18)</f>
        <v>211</v>
      </c>
      <c r="B229" s="1036" t="s">
        <v>590</v>
      </c>
      <c r="C229" s="1036" t="s">
        <v>5096</v>
      </c>
      <c r="D229" s="1037" t="s">
        <v>5266</v>
      </c>
      <c r="E229" s="1037">
        <v>0</v>
      </c>
      <c r="F229" s="1037" t="s">
        <v>81</v>
      </c>
      <c r="G229" s="1040">
        <v>1812.22</v>
      </c>
      <c r="H229" s="1041">
        <v>0</v>
      </c>
      <c r="I229" s="1040">
        <v>1812.22</v>
      </c>
      <c r="J229" s="1037" t="s">
        <v>5097</v>
      </c>
    </row>
    <row r="230" spans="1:10" ht="20.100000000000001" customHeight="1">
      <c r="A230" s="1036">
        <f>ROW()-ROW(A18)</f>
        <v>212</v>
      </c>
      <c r="B230" s="1036" t="s">
        <v>585</v>
      </c>
      <c r="C230" s="1036" t="s">
        <v>5096</v>
      </c>
      <c r="D230" s="1037" t="s">
        <v>5273</v>
      </c>
      <c r="E230" s="1037">
        <v>0</v>
      </c>
      <c r="F230" s="1037" t="s">
        <v>81</v>
      </c>
      <c r="G230" s="1040">
        <v>541.76</v>
      </c>
      <c r="H230" s="1041">
        <v>0</v>
      </c>
      <c r="I230" s="1040">
        <v>541.76</v>
      </c>
      <c r="J230" s="1037" t="s">
        <v>5106</v>
      </c>
    </row>
    <row r="231" spans="1:10" ht="20.100000000000001" customHeight="1">
      <c r="A231" s="1036">
        <f>ROW()-ROW(A18)</f>
        <v>213</v>
      </c>
      <c r="B231" s="1036" t="s">
        <v>588</v>
      </c>
      <c r="C231" s="1036" t="s">
        <v>5096</v>
      </c>
      <c r="D231" s="1037" t="s">
        <v>5268</v>
      </c>
      <c r="E231" s="1037">
        <v>0</v>
      </c>
      <c r="F231" s="1037" t="s">
        <v>81</v>
      </c>
      <c r="G231" s="1040">
        <v>438.53</v>
      </c>
      <c r="H231" s="1041">
        <v>0</v>
      </c>
      <c r="I231" s="1040">
        <v>438.53</v>
      </c>
      <c r="J231" s="1037" t="s">
        <v>5080</v>
      </c>
    </row>
    <row r="232" spans="1:10" ht="20.100000000000001" customHeight="1">
      <c r="A232" s="1036">
        <f>ROW()-ROW(A18)</f>
        <v>214</v>
      </c>
      <c r="B232" s="1036" t="s">
        <v>5240</v>
      </c>
      <c r="C232" s="1036" t="s">
        <v>5096</v>
      </c>
      <c r="D232" s="1037" t="s">
        <v>5274</v>
      </c>
      <c r="E232" s="1037">
        <v>0.2</v>
      </c>
      <c r="F232" s="1037" t="s">
        <v>80</v>
      </c>
      <c r="G232" s="1038">
        <v>0</v>
      </c>
      <c r="H232" s="1039">
        <v>0</v>
      </c>
      <c r="I232" s="1038">
        <v>0</v>
      </c>
      <c r="J232" s="1037" t="s">
        <v>5098</v>
      </c>
    </row>
    <row r="233" spans="1:10" ht="20.100000000000001" customHeight="1">
      <c r="A233" s="1036">
        <f>ROW()-ROW(A18)</f>
        <v>215</v>
      </c>
      <c r="B233" s="1036" t="s">
        <v>917</v>
      </c>
      <c r="C233" s="1036" t="s">
        <v>5096</v>
      </c>
      <c r="D233" s="1037" t="s">
        <v>5275</v>
      </c>
      <c r="E233" s="1037">
        <v>0</v>
      </c>
      <c r="F233" s="1037" t="s">
        <v>81</v>
      </c>
      <c r="G233" s="1040">
        <v>0</v>
      </c>
      <c r="H233" s="1041">
        <v>0</v>
      </c>
      <c r="I233" s="1040">
        <v>0</v>
      </c>
      <c r="J233" s="1037" t="s">
        <v>5098</v>
      </c>
    </row>
    <row r="234" spans="1:10" ht="20.100000000000001" customHeight="1">
      <c r="A234" s="1036">
        <f>ROW()-ROW(A18)</f>
        <v>216</v>
      </c>
      <c r="B234" s="1036" t="s">
        <v>5276</v>
      </c>
      <c r="C234" s="1036" t="s">
        <v>5096</v>
      </c>
      <c r="D234" s="1037" t="s">
        <v>5277</v>
      </c>
      <c r="E234" s="1037">
        <v>0</v>
      </c>
      <c r="F234" s="1037" t="s">
        <v>81</v>
      </c>
      <c r="G234" s="1040">
        <v>0</v>
      </c>
      <c r="H234" s="1041">
        <v>0</v>
      </c>
      <c r="I234" s="1040">
        <v>0</v>
      </c>
      <c r="J234" s="1037" t="s">
        <v>5113</v>
      </c>
    </row>
    <row r="235" spans="1:10" ht="20.100000000000001" customHeight="1">
      <c r="A235" s="1036">
        <f>ROW()-ROW(A18)</f>
        <v>217</v>
      </c>
      <c r="B235" s="1036" t="s">
        <v>765</v>
      </c>
      <c r="C235" s="1036" t="s">
        <v>5096</v>
      </c>
      <c r="D235" s="1037" t="s">
        <v>5278</v>
      </c>
      <c r="E235" s="1037">
        <v>0</v>
      </c>
      <c r="F235" s="1037" t="s">
        <v>81</v>
      </c>
      <c r="G235" s="1040">
        <v>0</v>
      </c>
      <c r="H235" s="1041">
        <v>0</v>
      </c>
      <c r="I235" s="1040">
        <v>0</v>
      </c>
      <c r="J235" s="1037" t="s">
        <v>5111</v>
      </c>
    </row>
    <row r="236" spans="1:10" ht="20.100000000000001" customHeight="1">
      <c r="A236" s="1036">
        <f>ROW()-ROW(A18)</f>
        <v>218</v>
      </c>
      <c r="B236" s="1036" t="s">
        <v>560</v>
      </c>
      <c r="C236" s="1036" t="s">
        <v>5190</v>
      </c>
      <c r="D236" s="1037" t="s">
        <v>5279</v>
      </c>
      <c r="E236" s="1037">
        <v>0.5</v>
      </c>
      <c r="F236" s="1037" t="s">
        <v>80</v>
      </c>
      <c r="G236" s="1038">
        <v>17239183</v>
      </c>
      <c r="H236" s="1039">
        <v>0</v>
      </c>
      <c r="I236" s="1038">
        <v>17239183</v>
      </c>
      <c r="J236" s="1037" t="s">
        <v>5080</v>
      </c>
    </row>
    <row r="237" spans="1:10" ht="20.100000000000001" customHeight="1">
      <c r="A237" s="1036">
        <f>ROW()-ROW(A18)</f>
        <v>219</v>
      </c>
      <c r="B237" s="1036" t="s">
        <v>610</v>
      </c>
      <c r="C237" s="1036" t="s">
        <v>5108</v>
      </c>
      <c r="D237" s="1037" t="s">
        <v>5280</v>
      </c>
      <c r="E237" s="1037">
        <v>0.5</v>
      </c>
      <c r="F237" s="1037" t="s">
        <v>80</v>
      </c>
      <c r="G237" s="1038">
        <v>10154938976</v>
      </c>
      <c r="H237" s="1039">
        <v>0</v>
      </c>
      <c r="I237" s="1038">
        <v>10154938976</v>
      </c>
      <c r="J237" s="1037" t="s">
        <v>5080</v>
      </c>
    </row>
    <row r="238" spans="1:10" ht="20.100000000000001" customHeight="1">
      <c r="A238" s="1036">
        <f>ROW()-ROW(A18)</f>
        <v>220</v>
      </c>
      <c r="B238" s="1036" t="s">
        <v>851</v>
      </c>
      <c r="C238" s="1036" t="s">
        <v>5108</v>
      </c>
      <c r="D238" s="1037" t="s">
        <v>5281</v>
      </c>
      <c r="E238" s="1037">
        <v>0.5</v>
      </c>
      <c r="F238" s="1037" t="s">
        <v>80</v>
      </c>
      <c r="G238" s="1038">
        <v>4783626078</v>
      </c>
      <c r="H238" s="1039">
        <v>0</v>
      </c>
      <c r="I238" s="1038">
        <v>4783626078</v>
      </c>
      <c r="J238" s="1037" t="s">
        <v>5080</v>
      </c>
    </row>
    <row r="239" spans="1:10" ht="20.100000000000001" customHeight="1">
      <c r="A239" s="1036">
        <f>ROW()-ROW(A18)</f>
        <v>221</v>
      </c>
      <c r="B239" s="1036" t="s">
        <v>850</v>
      </c>
      <c r="C239" s="1036" t="s">
        <v>5108</v>
      </c>
      <c r="D239" s="1037" t="s">
        <v>5282</v>
      </c>
      <c r="E239" s="1037">
        <v>0.5</v>
      </c>
      <c r="F239" s="1037" t="s">
        <v>80</v>
      </c>
      <c r="G239" s="1038">
        <v>3028003</v>
      </c>
      <c r="H239" s="1039">
        <v>0</v>
      </c>
      <c r="I239" s="1038">
        <v>3028003</v>
      </c>
      <c r="J239" s="1037" t="s">
        <v>5080</v>
      </c>
    </row>
    <row r="240" spans="1:10" ht="20.100000000000001" customHeight="1">
      <c r="A240" s="1036">
        <f>ROW()-ROW(A18)</f>
        <v>222</v>
      </c>
      <c r="B240" s="1036" t="s">
        <v>766</v>
      </c>
      <c r="C240" s="1036" t="s">
        <v>5108</v>
      </c>
      <c r="D240" s="1037" t="s">
        <v>5281</v>
      </c>
      <c r="E240" s="1037">
        <v>0.5</v>
      </c>
      <c r="F240" s="1037" t="s">
        <v>80</v>
      </c>
      <c r="G240" s="1038">
        <v>2560622</v>
      </c>
      <c r="H240" s="1039">
        <v>0</v>
      </c>
      <c r="I240" s="1038">
        <v>2560622</v>
      </c>
      <c r="J240" s="1037" t="s">
        <v>5080</v>
      </c>
    </row>
    <row r="241" spans="1:10" ht="20.100000000000001" customHeight="1">
      <c r="A241" s="1036">
        <f>ROW()-ROW(A18)</f>
        <v>223</v>
      </c>
      <c r="B241" s="1036" t="s">
        <v>663</v>
      </c>
      <c r="C241" s="1036" t="s">
        <v>5200</v>
      </c>
      <c r="D241" s="1037" t="s">
        <v>5283</v>
      </c>
      <c r="E241" s="1037">
        <v>0.5</v>
      </c>
      <c r="F241" s="1037" t="s">
        <v>80</v>
      </c>
      <c r="G241" s="1038">
        <v>6523611</v>
      </c>
      <c r="H241" s="1039">
        <v>0</v>
      </c>
      <c r="I241" s="1038">
        <v>6523611</v>
      </c>
      <c r="J241" s="1037" t="s">
        <v>5080</v>
      </c>
    </row>
    <row r="242" spans="1:10" ht="20.100000000000001" customHeight="1">
      <c r="A242" s="1036">
        <f>ROW()-ROW(A18)</f>
        <v>224</v>
      </c>
      <c r="B242" s="1036" t="s">
        <v>5284</v>
      </c>
      <c r="C242" s="1036" t="s">
        <v>5200</v>
      </c>
      <c r="D242" s="1037" t="s">
        <v>5285</v>
      </c>
      <c r="E242" s="1037">
        <v>0.2</v>
      </c>
      <c r="F242" s="1037" t="s">
        <v>80</v>
      </c>
      <c r="G242" s="1038">
        <v>0</v>
      </c>
      <c r="H242" s="1039">
        <v>0</v>
      </c>
      <c r="I242" s="1038">
        <v>0</v>
      </c>
      <c r="J242" s="1037" t="s">
        <v>5286</v>
      </c>
    </row>
    <row r="243" spans="1:10" ht="20.100000000000001" customHeight="1">
      <c r="A243" s="1036">
        <f>ROW()-ROW(A18)</f>
        <v>225</v>
      </c>
      <c r="B243" s="1036" t="s">
        <v>666</v>
      </c>
      <c r="C243" s="1036" t="s">
        <v>5103</v>
      </c>
      <c r="D243" s="1037" t="s">
        <v>5287</v>
      </c>
      <c r="E243" s="1037">
        <v>0.5</v>
      </c>
      <c r="F243" s="1037" t="s">
        <v>80</v>
      </c>
      <c r="G243" s="1038">
        <v>17336489262</v>
      </c>
      <c r="H243" s="1039">
        <v>0</v>
      </c>
      <c r="I243" s="1038">
        <v>17336489262</v>
      </c>
      <c r="J243" s="1037" t="s">
        <v>5080</v>
      </c>
    </row>
    <row r="244" spans="1:10" ht="20.100000000000001" customHeight="1">
      <c r="A244" s="1036">
        <f>ROW()-ROW(A18)</f>
        <v>226</v>
      </c>
      <c r="B244" s="1036" t="s">
        <v>667</v>
      </c>
      <c r="C244" s="1036" t="s">
        <v>5103</v>
      </c>
      <c r="D244" s="1037" t="s">
        <v>5287</v>
      </c>
      <c r="E244" s="1037">
        <v>0</v>
      </c>
      <c r="F244" s="1037" t="s">
        <v>81</v>
      </c>
      <c r="G244" s="1040">
        <v>192.16</v>
      </c>
      <c r="H244" s="1041">
        <v>0</v>
      </c>
      <c r="I244" s="1040">
        <v>192.16</v>
      </c>
      <c r="J244" s="1037" t="s">
        <v>5080</v>
      </c>
    </row>
    <row r="245" spans="1:10" ht="20.100000000000001" customHeight="1">
      <c r="A245" s="1036">
        <f>ROW()-ROW(A18)</f>
        <v>227</v>
      </c>
      <c r="B245" s="1036" t="s">
        <v>625</v>
      </c>
      <c r="C245" s="1036" t="s">
        <v>5186</v>
      </c>
      <c r="D245" s="1037" t="s">
        <v>5084</v>
      </c>
      <c r="E245" s="1037">
        <v>0.5</v>
      </c>
      <c r="F245" s="1037" t="s">
        <v>80</v>
      </c>
      <c r="G245" s="1038">
        <v>22251000</v>
      </c>
      <c r="H245" s="1039">
        <v>0</v>
      </c>
      <c r="I245" s="1038">
        <v>22251000</v>
      </c>
      <c r="J245" s="1037" t="s">
        <v>5080</v>
      </c>
    </row>
    <row r="246" spans="1:10" ht="20.100000000000001" customHeight="1">
      <c r="A246" s="1036">
        <f>ROW()-ROW(A18)</f>
        <v>228</v>
      </c>
      <c r="B246" s="1036" t="s">
        <v>5221</v>
      </c>
      <c r="C246" s="1036" t="s">
        <v>5186</v>
      </c>
      <c r="D246" s="1037" t="s">
        <v>5084</v>
      </c>
      <c r="E246" s="1037">
        <v>0</v>
      </c>
      <c r="F246" s="1037" t="s">
        <v>81</v>
      </c>
      <c r="G246" s="1040">
        <v>0</v>
      </c>
      <c r="H246" s="1041">
        <v>0</v>
      </c>
      <c r="I246" s="1040">
        <v>0</v>
      </c>
      <c r="J246" s="1037" t="s">
        <v>5080</v>
      </c>
    </row>
    <row r="247" spans="1:10" ht="20.100000000000001" customHeight="1">
      <c r="A247" s="1036">
        <f>ROW()-ROW(A18)</f>
        <v>229</v>
      </c>
      <c r="B247" s="1036" t="s">
        <v>627</v>
      </c>
      <c r="C247" s="1036" t="s">
        <v>5179</v>
      </c>
      <c r="D247" s="1037" t="s">
        <v>5084</v>
      </c>
      <c r="E247" s="1037">
        <v>0.5</v>
      </c>
      <c r="F247" s="1037" t="s">
        <v>80</v>
      </c>
      <c r="G247" s="1038">
        <v>30138379</v>
      </c>
      <c r="H247" s="1039">
        <v>0</v>
      </c>
      <c r="I247" s="1038">
        <v>30138379</v>
      </c>
      <c r="J247" s="1037" t="s">
        <v>5080</v>
      </c>
    </row>
    <row r="248" spans="1:10" ht="20.100000000000001" customHeight="1">
      <c r="A248" s="1036">
        <f>ROW()-ROW(A18)</f>
        <v>230</v>
      </c>
      <c r="B248" s="1036" t="s">
        <v>628</v>
      </c>
      <c r="C248" s="1036" t="s">
        <v>5179</v>
      </c>
      <c r="D248" s="1037" t="s">
        <v>5084</v>
      </c>
      <c r="E248" s="1037">
        <v>0</v>
      </c>
      <c r="F248" s="1037" t="s">
        <v>81</v>
      </c>
      <c r="G248" s="1040">
        <v>0</v>
      </c>
      <c r="H248" s="1041">
        <v>0</v>
      </c>
      <c r="I248" s="1040">
        <v>0</v>
      </c>
      <c r="J248" s="1037" t="s">
        <v>5080</v>
      </c>
    </row>
    <row r="249" spans="1:10" ht="20.100000000000001" customHeight="1">
      <c r="A249" s="1036">
        <f>ROW()-ROW(A18)</f>
        <v>231</v>
      </c>
      <c r="B249" s="1036" t="s">
        <v>642</v>
      </c>
      <c r="C249" s="1036" t="s">
        <v>5148</v>
      </c>
      <c r="D249" s="1037" t="s">
        <v>5084</v>
      </c>
      <c r="E249" s="1037">
        <v>0.5</v>
      </c>
      <c r="F249" s="1037" t="s">
        <v>80</v>
      </c>
      <c r="G249" s="1038">
        <v>76166133</v>
      </c>
      <c r="H249" s="1039">
        <v>0</v>
      </c>
      <c r="I249" s="1038">
        <v>76166133</v>
      </c>
      <c r="J249" s="1037" t="s">
        <v>5080</v>
      </c>
    </row>
    <row r="250" spans="1:10" ht="20.100000000000001" customHeight="1">
      <c r="A250" s="1036">
        <f>ROW()-ROW(A18)</f>
        <v>232</v>
      </c>
      <c r="B250" s="1036" t="s">
        <v>643</v>
      </c>
      <c r="C250" s="1036" t="s">
        <v>5148</v>
      </c>
      <c r="D250" s="1037" t="s">
        <v>5084</v>
      </c>
      <c r="E250" s="1037">
        <v>0</v>
      </c>
      <c r="F250" s="1037" t="s">
        <v>81</v>
      </c>
      <c r="G250" s="1040">
        <v>0</v>
      </c>
      <c r="H250" s="1041">
        <v>0</v>
      </c>
      <c r="I250" s="1040">
        <v>0</v>
      </c>
      <c r="J250" s="1037" t="s">
        <v>5080</v>
      </c>
    </row>
    <row r="251" spans="1:10" ht="20.100000000000001" customHeight="1">
      <c r="A251" s="1036">
        <f>ROW()-ROW(A18)</f>
        <v>233</v>
      </c>
      <c r="B251" s="1036" t="s">
        <v>646</v>
      </c>
      <c r="C251" s="1036" t="s">
        <v>5129</v>
      </c>
      <c r="D251" s="1037" t="s">
        <v>5084</v>
      </c>
      <c r="E251" s="1037">
        <v>0.5</v>
      </c>
      <c r="F251" s="1037" t="s">
        <v>80</v>
      </c>
      <c r="G251" s="1038">
        <v>748070986</v>
      </c>
      <c r="H251" s="1039">
        <v>0</v>
      </c>
      <c r="I251" s="1038">
        <v>748070986</v>
      </c>
      <c r="J251" s="1037" t="s">
        <v>5080</v>
      </c>
    </row>
    <row r="252" spans="1:10" ht="20.100000000000001" customHeight="1">
      <c r="A252" s="1036">
        <f>ROW()-ROW(A18)</f>
        <v>234</v>
      </c>
      <c r="B252" s="1036" t="s">
        <v>647</v>
      </c>
      <c r="C252" s="1036" t="s">
        <v>5129</v>
      </c>
      <c r="D252" s="1037" t="s">
        <v>5084</v>
      </c>
      <c r="E252" s="1037">
        <v>0</v>
      </c>
      <c r="F252" s="1037" t="s">
        <v>81</v>
      </c>
      <c r="G252" s="1040">
        <v>338.74</v>
      </c>
      <c r="H252" s="1041">
        <v>0</v>
      </c>
      <c r="I252" s="1040">
        <v>338.74</v>
      </c>
      <c r="J252" s="1037" t="s">
        <v>5080</v>
      </c>
    </row>
    <row r="253" spans="1:10" ht="20.100000000000001" customHeight="1">
      <c r="A253" s="1036">
        <f>ROW()-ROW(A18)</f>
        <v>235</v>
      </c>
      <c r="B253" s="1036" t="s">
        <v>621</v>
      </c>
      <c r="C253" s="1036" t="s">
        <v>5169</v>
      </c>
      <c r="D253" s="1037" t="s">
        <v>5084</v>
      </c>
      <c r="E253" s="1037">
        <v>0.5</v>
      </c>
      <c r="F253" s="1037" t="s">
        <v>80</v>
      </c>
      <c r="G253" s="1038">
        <v>39023305</v>
      </c>
      <c r="H253" s="1039">
        <v>0</v>
      </c>
      <c r="I253" s="1038">
        <v>39023305</v>
      </c>
      <c r="J253" s="1037" t="s">
        <v>5080</v>
      </c>
    </row>
    <row r="254" spans="1:10" ht="20.100000000000001" customHeight="1">
      <c r="A254" s="1036">
        <f>ROW()-ROW(A18)</f>
        <v>236</v>
      </c>
      <c r="B254" s="1036" t="s">
        <v>622</v>
      </c>
      <c r="C254" s="1036" t="s">
        <v>5169</v>
      </c>
      <c r="D254" s="1037" t="s">
        <v>5084</v>
      </c>
      <c r="E254" s="1037">
        <v>0</v>
      </c>
      <c r="F254" s="1037" t="s">
        <v>81</v>
      </c>
      <c r="G254" s="1040">
        <v>0</v>
      </c>
      <c r="H254" s="1041">
        <v>0</v>
      </c>
      <c r="I254" s="1040">
        <v>0</v>
      </c>
      <c r="J254" s="1037" t="s">
        <v>5080</v>
      </c>
    </row>
    <row r="255" spans="1:10" ht="20.100000000000001" customHeight="1">
      <c r="A255" s="1036">
        <f>ROW()-ROW(A18)</f>
        <v>237</v>
      </c>
      <c r="B255" s="1036" t="s">
        <v>669</v>
      </c>
      <c r="C255" s="1036" t="s">
        <v>5105</v>
      </c>
      <c r="D255" s="1037" t="s">
        <v>5288</v>
      </c>
      <c r="E255" s="1037">
        <v>0.5</v>
      </c>
      <c r="F255" s="1037" t="s">
        <v>80</v>
      </c>
      <c r="G255" s="1038">
        <v>10703376438</v>
      </c>
      <c r="H255" s="1039">
        <v>0</v>
      </c>
      <c r="I255" s="1038">
        <v>10703376438</v>
      </c>
      <c r="J255" s="1037" t="s">
        <v>5106</v>
      </c>
    </row>
    <row r="256" spans="1:10" ht="20.100000000000001" customHeight="1">
      <c r="A256" s="1036">
        <f>ROW()-ROW(A18)</f>
        <v>238</v>
      </c>
      <c r="B256" s="1036" t="s">
        <v>5289</v>
      </c>
      <c r="C256" s="1036" t="s">
        <v>5105</v>
      </c>
      <c r="D256" s="1037" t="s">
        <v>5288</v>
      </c>
      <c r="E256" s="1037">
        <v>0.2</v>
      </c>
      <c r="F256" s="1037" t="s">
        <v>80</v>
      </c>
      <c r="G256" s="1038">
        <v>0</v>
      </c>
      <c r="H256" s="1039">
        <v>0</v>
      </c>
      <c r="I256" s="1038">
        <v>0</v>
      </c>
      <c r="J256" s="1037" t="s">
        <v>5106</v>
      </c>
    </row>
    <row r="257" spans="1:10" ht="20.100000000000001" customHeight="1">
      <c r="A257" s="1036">
        <f>ROW()-ROW(A18)</f>
        <v>239</v>
      </c>
      <c r="B257" s="1036" t="s">
        <v>5290</v>
      </c>
      <c r="C257" s="1036" t="s">
        <v>5105</v>
      </c>
      <c r="D257" s="1037" t="s">
        <v>5288</v>
      </c>
      <c r="E257" s="1037">
        <v>0</v>
      </c>
      <c r="F257" s="1037" t="s">
        <v>81</v>
      </c>
      <c r="G257" s="1040">
        <v>0</v>
      </c>
      <c r="H257" s="1041">
        <v>0</v>
      </c>
      <c r="I257" s="1040">
        <v>0</v>
      </c>
      <c r="J257" s="1037" t="s">
        <v>5106</v>
      </c>
    </row>
    <row r="258" spans="1:10" ht="20.100000000000001" customHeight="1">
      <c r="A258" s="1036">
        <f>ROW()-ROW(A18)</f>
        <v>240</v>
      </c>
      <c r="B258" s="1036" t="s">
        <v>5291</v>
      </c>
      <c r="C258" s="1036" t="s">
        <v>5105</v>
      </c>
      <c r="D258" s="1037" t="s">
        <v>5288</v>
      </c>
      <c r="E258" s="1037">
        <v>0.2</v>
      </c>
      <c r="F258" s="1037" t="s">
        <v>80</v>
      </c>
      <c r="G258" s="1038">
        <v>0</v>
      </c>
      <c r="H258" s="1039">
        <v>0</v>
      </c>
      <c r="I258" s="1038">
        <v>0</v>
      </c>
      <c r="J258" s="1037" t="s">
        <v>5106</v>
      </c>
    </row>
    <row r="259" spans="1:10" ht="20.100000000000001" customHeight="1">
      <c r="A259" s="1036">
        <f>ROW()-ROW(A18)</f>
        <v>241</v>
      </c>
      <c r="B259" s="1036" t="s">
        <v>639</v>
      </c>
      <c r="C259" s="1036" t="s">
        <v>5163</v>
      </c>
      <c r="D259" s="1037" t="s">
        <v>5091</v>
      </c>
      <c r="E259" s="1037">
        <v>0.5</v>
      </c>
      <c r="F259" s="1037" t="s">
        <v>80</v>
      </c>
      <c r="G259" s="1038">
        <v>43630480</v>
      </c>
      <c r="H259" s="1039">
        <v>0</v>
      </c>
      <c r="I259" s="1038">
        <v>43630480</v>
      </c>
      <c r="J259" s="1037" t="s">
        <v>5080</v>
      </c>
    </row>
    <row r="260" spans="1:10" ht="20.100000000000001" customHeight="1">
      <c r="A260" s="1036">
        <f>ROW()-ROW(A18)</f>
        <v>242</v>
      </c>
      <c r="B260" s="1036" t="s">
        <v>640</v>
      </c>
      <c r="C260" s="1036" t="s">
        <v>5163</v>
      </c>
      <c r="D260" s="1037" t="s">
        <v>5091</v>
      </c>
      <c r="E260" s="1037">
        <v>0</v>
      </c>
      <c r="F260" s="1037" t="s">
        <v>81</v>
      </c>
      <c r="G260" s="1040">
        <v>0</v>
      </c>
      <c r="H260" s="1041">
        <v>0</v>
      </c>
      <c r="I260" s="1040">
        <v>0</v>
      </c>
      <c r="J260" s="1037" t="s">
        <v>5080</v>
      </c>
    </row>
    <row r="261" spans="1:10" ht="20.100000000000001" customHeight="1">
      <c r="A261" s="1036">
        <f>ROW()-ROW(A18)</f>
        <v>243</v>
      </c>
      <c r="B261" s="1036" t="s">
        <v>705</v>
      </c>
      <c r="C261" s="1036" t="s">
        <v>5109</v>
      </c>
      <c r="D261" s="1037" t="s">
        <v>5292</v>
      </c>
      <c r="E261" s="1037">
        <v>0.5</v>
      </c>
      <c r="F261" s="1037" t="s">
        <v>80</v>
      </c>
      <c r="G261" s="1038">
        <v>9907905167</v>
      </c>
      <c r="H261" s="1039">
        <v>0</v>
      </c>
      <c r="I261" s="1038">
        <v>9907905167</v>
      </c>
      <c r="J261" s="1037" t="s">
        <v>5106</v>
      </c>
    </row>
    <row r="262" spans="1:10" ht="20.100000000000001" customHeight="1">
      <c r="A262" s="1036">
        <f>ROW()-ROW(A18)</f>
        <v>244</v>
      </c>
      <c r="B262" s="1036" t="s">
        <v>5231</v>
      </c>
      <c r="C262" s="1036" t="s">
        <v>5109</v>
      </c>
      <c r="D262" s="1037" t="s">
        <v>5292</v>
      </c>
      <c r="E262" s="1037">
        <v>0</v>
      </c>
      <c r="F262" s="1037" t="s">
        <v>81</v>
      </c>
      <c r="G262" s="1040">
        <v>0</v>
      </c>
      <c r="H262" s="1041">
        <v>0</v>
      </c>
      <c r="I262" s="1040">
        <v>0</v>
      </c>
      <c r="J262" s="1037" t="s">
        <v>5106</v>
      </c>
    </row>
    <row r="263" spans="1:10" ht="20.100000000000001" customHeight="1">
      <c r="A263" s="1036">
        <f>ROW()-ROW(A18)</f>
        <v>245</v>
      </c>
      <c r="B263" s="1036" t="s">
        <v>521</v>
      </c>
      <c r="C263" s="1036" t="s">
        <v>5150</v>
      </c>
      <c r="D263" s="1037" t="s">
        <v>5293</v>
      </c>
      <c r="E263" s="1037">
        <v>0.2</v>
      </c>
      <c r="F263" s="1037" t="s">
        <v>80</v>
      </c>
      <c r="G263" s="1038">
        <v>72445039</v>
      </c>
      <c r="H263" s="1039">
        <v>0</v>
      </c>
      <c r="I263" s="1038">
        <v>72445039</v>
      </c>
      <c r="J263" s="1037" t="s">
        <v>5106</v>
      </c>
    </row>
    <row r="264" spans="1:10" ht="20.100000000000001" customHeight="1">
      <c r="A264" s="1036">
        <f>ROW()-ROW(A18)</f>
        <v>246</v>
      </c>
      <c r="B264" s="1036" t="s">
        <v>5211</v>
      </c>
      <c r="C264" s="1036" t="s">
        <v>5150</v>
      </c>
      <c r="D264" s="1037" t="s">
        <v>5293</v>
      </c>
      <c r="E264" s="1037">
        <v>0</v>
      </c>
      <c r="F264" s="1037" t="s">
        <v>81</v>
      </c>
      <c r="G264" s="1040">
        <v>0</v>
      </c>
      <c r="H264" s="1041">
        <v>0</v>
      </c>
      <c r="I264" s="1040">
        <v>0</v>
      </c>
      <c r="J264" s="1037" t="s">
        <v>5106</v>
      </c>
    </row>
    <row r="265" spans="1:10" ht="20.100000000000001" customHeight="1">
      <c r="A265" s="1036">
        <f>ROW()-ROW(A18)</f>
        <v>247</v>
      </c>
      <c r="B265" s="1036" t="s">
        <v>525</v>
      </c>
      <c r="C265" s="1036" t="s">
        <v>5196</v>
      </c>
      <c r="D265" s="1037" t="s">
        <v>5293</v>
      </c>
      <c r="E265" s="1037">
        <v>0.2</v>
      </c>
      <c r="F265" s="1037" t="s">
        <v>80</v>
      </c>
      <c r="G265" s="1038">
        <v>8501568</v>
      </c>
      <c r="H265" s="1039">
        <v>0</v>
      </c>
      <c r="I265" s="1038">
        <v>8501568</v>
      </c>
      <c r="J265" s="1037" t="s">
        <v>5106</v>
      </c>
    </row>
    <row r="266" spans="1:10" ht="20.100000000000001" customHeight="1">
      <c r="A266" s="1036">
        <f>ROW()-ROW(A18)</f>
        <v>248</v>
      </c>
      <c r="B266" s="1036" t="s">
        <v>5252</v>
      </c>
      <c r="C266" s="1036" t="s">
        <v>5196</v>
      </c>
      <c r="D266" s="1037" t="s">
        <v>5293</v>
      </c>
      <c r="E266" s="1037">
        <v>0</v>
      </c>
      <c r="F266" s="1037" t="s">
        <v>81</v>
      </c>
      <c r="G266" s="1040">
        <v>0</v>
      </c>
      <c r="H266" s="1041">
        <v>0</v>
      </c>
      <c r="I266" s="1040">
        <v>0</v>
      </c>
      <c r="J266" s="1037" t="s">
        <v>5106</v>
      </c>
    </row>
    <row r="267" spans="1:10" ht="20.100000000000001" customHeight="1">
      <c r="A267" s="1036">
        <f>ROW()-ROW(A18)</f>
        <v>249</v>
      </c>
      <c r="B267" s="1036" t="s">
        <v>684</v>
      </c>
      <c r="C267" s="1036" t="s">
        <v>5139</v>
      </c>
      <c r="D267" s="1037" t="s">
        <v>5294</v>
      </c>
      <c r="E267" s="1037">
        <v>0.5</v>
      </c>
      <c r="F267" s="1037" t="s">
        <v>80</v>
      </c>
      <c r="G267" s="1038">
        <v>99764877</v>
      </c>
      <c r="H267" s="1039">
        <v>0</v>
      </c>
      <c r="I267" s="1038">
        <v>99764877</v>
      </c>
      <c r="J267" s="1037" t="s">
        <v>5080</v>
      </c>
    </row>
    <row r="268" spans="1:10" ht="20.100000000000001" customHeight="1">
      <c r="A268" s="1036">
        <f>ROW()-ROW(A18)</f>
        <v>250</v>
      </c>
      <c r="B268" s="1036" t="s">
        <v>685</v>
      </c>
      <c r="C268" s="1036" t="s">
        <v>5139</v>
      </c>
      <c r="D268" s="1037" t="s">
        <v>5294</v>
      </c>
      <c r="E268" s="1037">
        <v>0</v>
      </c>
      <c r="F268" s="1037" t="s">
        <v>81</v>
      </c>
      <c r="G268" s="1040">
        <v>0</v>
      </c>
      <c r="H268" s="1041">
        <v>0</v>
      </c>
      <c r="I268" s="1040">
        <v>0</v>
      </c>
      <c r="J268" s="1037" t="s">
        <v>5080</v>
      </c>
    </row>
    <row r="269" spans="1:10" ht="20.100000000000001" customHeight="1">
      <c r="A269" s="1036">
        <f>ROW()-ROW(A18)</f>
        <v>251</v>
      </c>
      <c r="B269" s="1036" t="s">
        <v>672</v>
      </c>
      <c r="C269" s="1036" t="s">
        <v>5166</v>
      </c>
      <c r="D269" s="1037" t="s">
        <v>5294</v>
      </c>
      <c r="E269" s="1037">
        <v>0.5</v>
      </c>
      <c r="F269" s="1037" t="s">
        <v>80</v>
      </c>
      <c r="G269" s="1038">
        <v>40399367</v>
      </c>
      <c r="H269" s="1039">
        <v>0</v>
      </c>
      <c r="I269" s="1038">
        <v>40399367</v>
      </c>
      <c r="J269" s="1037" t="s">
        <v>5080</v>
      </c>
    </row>
    <row r="270" spans="1:10" ht="20.100000000000001" customHeight="1">
      <c r="A270" s="1036">
        <f>ROW()-ROW(A18)</f>
        <v>252</v>
      </c>
      <c r="B270" s="1036" t="s">
        <v>5226</v>
      </c>
      <c r="C270" s="1036" t="s">
        <v>5166</v>
      </c>
      <c r="D270" s="1037" t="s">
        <v>5294</v>
      </c>
      <c r="E270" s="1037">
        <v>0</v>
      </c>
      <c r="F270" s="1037" t="s">
        <v>81</v>
      </c>
      <c r="G270" s="1040">
        <v>0</v>
      </c>
      <c r="H270" s="1041">
        <v>0</v>
      </c>
      <c r="I270" s="1040">
        <v>0</v>
      </c>
      <c r="J270" s="1037" t="s">
        <v>5080</v>
      </c>
    </row>
    <row r="271" spans="1:10" ht="20.100000000000001" customHeight="1">
      <c r="A271" s="1036">
        <f>ROW()-ROW(A18)</f>
        <v>253</v>
      </c>
      <c r="B271" s="1036" t="s">
        <v>674</v>
      </c>
      <c r="C271" s="1036" t="s">
        <v>5173</v>
      </c>
      <c r="D271" s="1037" t="s">
        <v>5294</v>
      </c>
      <c r="E271" s="1037">
        <v>0.5</v>
      </c>
      <c r="F271" s="1037" t="s">
        <v>80</v>
      </c>
      <c r="G271" s="1038">
        <v>36454756</v>
      </c>
      <c r="H271" s="1039">
        <v>0</v>
      </c>
      <c r="I271" s="1038">
        <v>36454756</v>
      </c>
      <c r="J271" s="1037" t="s">
        <v>5080</v>
      </c>
    </row>
    <row r="272" spans="1:10" ht="20.100000000000001" customHeight="1">
      <c r="A272" s="1036">
        <f>ROW()-ROW(A18)</f>
        <v>254</v>
      </c>
      <c r="B272" s="1036" t="s">
        <v>5243</v>
      </c>
      <c r="C272" s="1036" t="s">
        <v>5173</v>
      </c>
      <c r="D272" s="1037" t="s">
        <v>5294</v>
      </c>
      <c r="E272" s="1037">
        <v>0</v>
      </c>
      <c r="F272" s="1037" t="s">
        <v>81</v>
      </c>
      <c r="G272" s="1040">
        <v>0</v>
      </c>
      <c r="H272" s="1041">
        <v>0</v>
      </c>
      <c r="I272" s="1040">
        <v>0</v>
      </c>
      <c r="J272" s="1037" t="s">
        <v>5080</v>
      </c>
    </row>
    <row r="273" spans="1:10" ht="20.100000000000001" customHeight="1">
      <c r="A273" s="1036">
        <f>ROW()-ROW(A18)</f>
        <v>255</v>
      </c>
      <c r="B273" s="1036" t="s">
        <v>689</v>
      </c>
      <c r="C273" s="1036" t="s">
        <v>5184</v>
      </c>
      <c r="D273" s="1037" t="s">
        <v>5294</v>
      </c>
      <c r="E273" s="1037">
        <v>0.5</v>
      </c>
      <c r="F273" s="1037" t="s">
        <v>80</v>
      </c>
      <c r="G273" s="1038">
        <v>28012531</v>
      </c>
      <c r="H273" s="1039">
        <v>0</v>
      </c>
      <c r="I273" s="1038">
        <v>28012531</v>
      </c>
      <c r="J273" s="1037" t="s">
        <v>5080</v>
      </c>
    </row>
    <row r="274" spans="1:10" ht="20.100000000000001" customHeight="1">
      <c r="A274" s="1036">
        <f>ROW()-ROW(A18)</f>
        <v>256</v>
      </c>
      <c r="B274" s="1036" t="s">
        <v>690</v>
      </c>
      <c r="C274" s="1036" t="s">
        <v>5184</v>
      </c>
      <c r="D274" s="1037" t="s">
        <v>5294</v>
      </c>
      <c r="E274" s="1037">
        <v>0</v>
      </c>
      <c r="F274" s="1037" t="s">
        <v>81</v>
      </c>
      <c r="G274" s="1040">
        <v>0</v>
      </c>
      <c r="H274" s="1041">
        <v>0</v>
      </c>
      <c r="I274" s="1040">
        <v>0</v>
      </c>
      <c r="J274" s="1037" t="s">
        <v>5080</v>
      </c>
    </row>
    <row r="275" spans="1:10" ht="20.100000000000001" customHeight="1">
      <c r="A275" s="1036">
        <f>ROW()-ROW(A18)</f>
        <v>257</v>
      </c>
      <c r="B275" s="1036" t="s">
        <v>694</v>
      </c>
      <c r="C275" s="1036" t="s">
        <v>5133</v>
      </c>
      <c r="D275" s="1037" t="s">
        <v>5295</v>
      </c>
      <c r="E275" s="1037">
        <v>0.5</v>
      </c>
      <c r="F275" s="1037" t="s">
        <v>80</v>
      </c>
      <c r="G275" s="1038">
        <v>146767311</v>
      </c>
      <c r="H275" s="1039">
        <v>0</v>
      </c>
      <c r="I275" s="1038">
        <v>146767311</v>
      </c>
      <c r="J275" s="1037" t="s">
        <v>5080</v>
      </c>
    </row>
    <row r="276" spans="1:10" ht="20.100000000000001" customHeight="1">
      <c r="A276" s="1036">
        <f>ROW()-ROW(A18)</f>
        <v>258</v>
      </c>
      <c r="B276" s="1036" t="s">
        <v>5242</v>
      </c>
      <c r="C276" s="1036" t="s">
        <v>5133</v>
      </c>
      <c r="D276" s="1037" t="s">
        <v>5295</v>
      </c>
      <c r="E276" s="1037">
        <v>0</v>
      </c>
      <c r="F276" s="1037" t="s">
        <v>81</v>
      </c>
      <c r="G276" s="1040">
        <v>0</v>
      </c>
      <c r="H276" s="1041">
        <v>0</v>
      </c>
      <c r="I276" s="1040">
        <v>0</v>
      </c>
      <c r="J276" s="1037" t="s">
        <v>5080</v>
      </c>
    </row>
    <row r="277" spans="1:10" ht="20.100000000000001" customHeight="1">
      <c r="A277" s="1036">
        <f>ROW()-ROW(A18)</f>
        <v>259</v>
      </c>
      <c r="B277" s="1036" t="s">
        <v>692</v>
      </c>
      <c r="C277" s="1036" t="s">
        <v>5167</v>
      </c>
      <c r="D277" s="1037" t="s">
        <v>5295</v>
      </c>
      <c r="E277" s="1037">
        <v>0.5</v>
      </c>
      <c r="F277" s="1037" t="s">
        <v>80</v>
      </c>
      <c r="G277" s="1038">
        <v>40279670</v>
      </c>
      <c r="H277" s="1039">
        <v>0</v>
      </c>
      <c r="I277" s="1038">
        <v>40279670</v>
      </c>
      <c r="J277" s="1037" t="s">
        <v>5080</v>
      </c>
    </row>
    <row r="278" spans="1:10" ht="20.100000000000001" customHeight="1">
      <c r="A278" s="1036">
        <f>ROW()-ROW(A18)</f>
        <v>260</v>
      </c>
      <c r="B278" s="1036" t="s">
        <v>5238</v>
      </c>
      <c r="C278" s="1036" t="s">
        <v>5167</v>
      </c>
      <c r="D278" s="1037" t="s">
        <v>5295</v>
      </c>
      <c r="E278" s="1037">
        <v>0</v>
      </c>
      <c r="F278" s="1037" t="s">
        <v>81</v>
      </c>
      <c r="G278" s="1040">
        <v>0</v>
      </c>
      <c r="H278" s="1041">
        <v>0</v>
      </c>
      <c r="I278" s="1040">
        <v>0</v>
      </c>
      <c r="J278" s="1037" t="s">
        <v>5080</v>
      </c>
    </row>
    <row r="279" spans="1:10" ht="20.100000000000001" customHeight="1">
      <c r="A279" s="1036">
        <f>ROW()-ROW(A18)</f>
        <v>261</v>
      </c>
      <c r="B279" s="1036" t="s">
        <v>687</v>
      </c>
      <c r="C279" s="1036" t="s">
        <v>5164</v>
      </c>
      <c r="D279" s="1037" t="s">
        <v>5295</v>
      </c>
      <c r="E279" s="1037">
        <v>0.5</v>
      </c>
      <c r="F279" s="1037" t="s">
        <v>80</v>
      </c>
      <c r="G279" s="1038">
        <v>42897143</v>
      </c>
      <c r="H279" s="1039">
        <v>0</v>
      </c>
      <c r="I279" s="1038">
        <v>42897143</v>
      </c>
      <c r="J279" s="1037" t="s">
        <v>5080</v>
      </c>
    </row>
    <row r="280" spans="1:10" ht="20.100000000000001" customHeight="1">
      <c r="A280" s="1036">
        <f>ROW()-ROW(A18)</f>
        <v>262</v>
      </c>
      <c r="B280" s="1036" t="s">
        <v>5224</v>
      </c>
      <c r="C280" s="1036" t="s">
        <v>5164</v>
      </c>
      <c r="D280" s="1037" t="s">
        <v>5295</v>
      </c>
      <c r="E280" s="1037">
        <v>0</v>
      </c>
      <c r="F280" s="1037" t="s">
        <v>81</v>
      </c>
      <c r="G280" s="1040">
        <v>0</v>
      </c>
      <c r="H280" s="1041">
        <v>0</v>
      </c>
      <c r="I280" s="1040">
        <v>0</v>
      </c>
      <c r="J280" s="1037" t="s">
        <v>5080</v>
      </c>
    </row>
    <row r="281" spans="1:10" ht="20.100000000000001" customHeight="1">
      <c r="A281" s="1036">
        <f>ROW()-ROW(A18)</f>
        <v>263</v>
      </c>
      <c r="B281" s="1036" t="s">
        <v>681</v>
      </c>
      <c r="C281" s="1036" t="s">
        <v>5176</v>
      </c>
      <c r="D281" s="1037" t="s">
        <v>5295</v>
      </c>
      <c r="E281" s="1037">
        <v>0.5</v>
      </c>
      <c r="F281" s="1037" t="s">
        <v>80</v>
      </c>
      <c r="G281" s="1038">
        <v>33887036</v>
      </c>
      <c r="H281" s="1039">
        <v>0</v>
      </c>
      <c r="I281" s="1038">
        <v>33887036</v>
      </c>
      <c r="J281" s="1037" t="s">
        <v>5080</v>
      </c>
    </row>
    <row r="282" spans="1:10" ht="20.100000000000001" customHeight="1">
      <c r="A282" s="1036">
        <f>ROW()-ROW(A18)</f>
        <v>264</v>
      </c>
      <c r="B282" s="1036" t="s">
        <v>5234</v>
      </c>
      <c r="C282" s="1036" t="s">
        <v>5176</v>
      </c>
      <c r="D282" s="1037" t="s">
        <v>5295</v>
      </c>
      <c r="E282" s="1037">
        <v>0</v>
      </c>
      <c r="F282" s="1037" t="s">
        <v>81</v>
      </c>
      <c r="G282" s="1040">
        <v>0</v>
      </c>
      <c r="H282" s="1041">
        <v>0</v>
      </c>
      <c r="I282" s="1040">
        <v>0</v>
      </c>
      <c r="J282" s="1037" t="s">
        <v>5080</v>
      </c>
    </row>
    <row r="283" spans="1:10" ht="20.100000000000001" customHeight="1">
      <c r="A283" s="1036">
        <f>ROW()-ROW(A18)</f>
        <v>265</v>
      </c>
      <c r="B283" s="1036" t="s">
        <v>679</v>
      </c>
      <c r="C283" s="1036" t="s">
        <v>5168</v>
      </c>
      <c r="D283" s="1037" t="s">
        <v>5295</v>
      </c>
      <c r="E283" s="1037">
        <v>0.5</v>
      </c>
      <c r="F283" s="1037" t="s">
        <v>80</v>
      </c>
      <c r="G283" s="1038">
        <v>39440562</v>
      </c>
      <c r="H283" s="1039">
        <v>0</v>
      </c>
      <c r="I283" s="1038">
        <v>39440562</v>
      </c>
      <c r="J283" s="1037" t="s">
        <v>5080</v>
      </c>
    </row>
    <row r="284" spans="1:10" ht="20.100000000000001" customHeight="1">
      <c r="A284" s="1036">
        <f>ROW()-ROW(A18)</f>
        <v>266</v>
      </c>
      <c r="B284" s="1036" t="s">
        <v>5247</v>
      </c>
      <c r="C284" s="1036" t="s">
        <v>5168</v>
      </c>
      <c r="D284" s="1037" t="s">
        <v>5295</v>
      </c>
      <c r="E284" s="1037">
        <v>0</v>
      </c>
      <c r="F284" s="1037" t="s">
        <v>81</v>
      </c>
      <c r="G284" s="1040">
        <v>0</v>
      </c>
      <c r="H284" s="1041">
        <v>0</v>
      </c>
      <c r="I284" s="1040">
        <v>0</v>
      </c>
      <c r="J284" s="1037" t="s">
        <v>5080</v>
      </c>
    </row>
    <row r="285" spans="1:10" ht="20.100000000000001" customHeight="1">
      <c r="A285" s="1036">
        <f>ROW()-ROW(A18)</f>
        <v>267</v>
      </c>
      <c r="B285" s="1036" t="s">
        <v>677</v>
      </c>
      <c r="C285" s="1036" t="s">
        <v>5172</v>
      </c>
      <c r="D285" s="1037" t="s">
        <v>5295</v>
      </c>
      <c r="E285" s="1037">
        <v>0.5</v>
      </c>
      <c r="F285" s="1037" t="s">
        <v>80</v>
      </c>
      <c r="G285" s="1038">
        <v>36745096</v>
      </c>
      <c r="H285" s="1039">
        <v>0</v>
      </c>
      <c r="I285" s="1038">
        <v>36745096</v>
      </c>
      <c r="J285" s="1037" t="s">
        <v>5080</v>
      </c>
    </row>
    <row r="286" spans="1:10" ht="20.100000000000001" customHeight="1">
      <c r="A286" s="1036">
        <f>ROW()-ROW(A18)</f>
        <v>268</v>
      </c>
      <c r="B286" s="1036" t="s">
        <v>5212</v>
      </c>
      <c r="C286" s="1036" t="s">
        <v>5172</v>
      </c>
      <c r="D286" s="1037" t="s">
        <v>5295</v>
      </c>
      <c r="E286" s="1037">
        <v>0</v>
      </c>
      <c r="F286" s="1037" t="s">
        <v>81</v>
      </c>
      <c r="G286" s="1040">
        <v>0</v>
      </c>
      <c r="H286" s="1041">
        <v>0</v>
      </c>
      <c r="I286" s="1040">
        <v>0</v>
      </c>
      <c r="J286" s="1037" t="s">
        <v>5080</v>
      </c>
    </row>
    <row r="287" spans="1:10" ht="20.100000000000001" customHeight="1">
      <c r="A287" s="1036">
        <f>ROW()-ROW(A18)</f>
        <v>269</v>
      </c>
      <c r="B287" s="1036" t="s">
        <v>698</v>
      </c>
      <c r="C287" s="1036" t="s">
        <v>5132</v>
      </c>
      <c r="D287" s="1037" t="s">
        <v>5296</v>
      </c>
      <c r="E287" s="1037">
        <v>0.5</v>
      </c>
      <c r="F287" s="1037" t="s">
        <v>80</v>
      </c>
      <c r="G287" s="1038">
        <v>300506834</v>
      </c>
      <c r="H287" s="1039">
        <v>0</v>
      </c>
      <c r="I287" s="1038">
        <v>300506834</v>
      </c>
      <c r="J287" s="1037" t="s">
        <v>5080</v>
      </c>
    </row>
    <row r="288" spans="1:10" ht="20.100000000000001" customHeight="1">
      <c r="A288" s="1036">
        <f>ROW()-ROW(A18)</f>
        <v>270</v>
      </c>
      <c r="B288" s="1036" t="s">
        <v>5244</v>
      </c>
      <c r="C288" s="1036" t="s">
        <v>5132</v>
      </c>
      <c r="D288" s="1037" t="s">
        <v>5296</v>
      </c>
      <c r="E288" s="1037">
        <v>0</v>
      </c>
      <c r="F288" s="1037" t="s">
        <v>81</v>
      </c>
      <c r="G288" s="1040">
        <v>0</v>
      </c>
      <c r="H288" s="1041">
        <v>0</v>
      </c>
      <c r="I288" s="1040">
        <v>0</v>
      </c>
      <c r="J288" s="1037" t="s">
        <v>5080</v>
      </c>
    </row>
    <row r="289" spans="1:10" ht="20.100000000000001" customHeight="1">
      <c r="A289" s="1036">
        <f>ROW()-ROW(A18)</f>
        <v>271</v>
      </c>
      <c r="B289" s="1036" t="s">
        <v>1105</v>
      </c>
      <c r="C289" s="1036" t="s">
        <v>5203</v>
      </c>
      <c r="D289" s="1037" t="s">
        <v>5297</v>
      </c>
      <c r="E289" s="1037">
        <v>0.5</v>
      </c>
      <c r="F289" s="1037" t="s">
        <v>80</v>
      </c>
      <c r="G289" s="1038">
        <v>3170131</v>
      </c>
      <c r="H289" s="1039">
        <v>0</v>
      </c>
      <c r="I289" s="1038">
        <v>3170131</v>
      </c>
      <c r="J289" s="1037" t="s">
        <v>5159</v>
      </c>
    </row>
    <row r="290" spans="1:10" ht="20.100000000000001" customHeight="1">
      <c r="A290" s="1036">
        <f>ROW()-ROW(A18)</f>
        <v>272</v>
      </c>
      <c r="B290" s="1036" t="s">
        <v>1227</v>
      </c>
      <c r="C290" s="1036" t="s">
        <v>5158</v>
      </c>
      <c r="D290" s="1037" t="s">
        <v>5297</v>
      </c>
      <c r="E290" s="1037">
        <v>0.5</v>
      </c>
      <c r="F290" s="1037" t="s">
        <v>80</v>
      </c>
      <c r="G290" s="1038">
        <v>48463408</v>
      </c>
      <c r="H290" s="1039">
        <v>0</v>
      </c>
      <c r="I290" s="1038">
        <v>48463408</v>
      </c>
      <c r="J290" s="1037" t="s">
        <v>5159</v>
      </c>
    </row>
    <row r="291" spans="1:10" ht="20.100000000000001" customHeight="1">
      <c r="A291" s="1036">
        <f>ROW()-ROW(A18)</f>
        <v>273</v>
      </c>
      <c r="B291" s="1036" t="s">
        <v>702</v>
      </c>
      <c r="C291" s="1036" t="s">
        <v>5104</v>
      </c>
      <c r="D291" s="1037" t="s">
        <v>5288</v>
      </c>
      <c r="E291" s="1037">
        <v>0.5</v>
      </c>
      <c r="F291" s="1037" t="s">
        <v>80</v>
      </c>
      <c r="G291" s="1038">
        <v>15932603202</v>
      </c>
      <c r="H291" s="1039">
        <v>0</v>
      </c>
      <c r="I291" s="1038">
        <v>15932603202</v>
      </c>
      <c r="J291" s="1037" t="s">
        <v>5097</v>
      </c>
    </row>
    <row r="292" spans="1:10" ht="20.100000000000001" customHeight="1">
      <c r="A292" s="1036">
        <f>ROW()-ROW(A18)</f>
        <v>274</v>
      </c>
      <c r="B292" s="1036" t="s">
        <v>5205</v>
      </c>
      <c r="C292" s="1036" t="s">
        <v>5104</v>
      </c>
      <c r="D292" s="1037" t="s">
        <v>5288</v>
      </c>
      <c r="E292" s="1037">
        <v>0</v>
      </c>
      <c r="F292" s="1037" t="s">
        <v>81</v>
      </c>
      <c r="G292" s="1040">
        <v>0</v>
      </c>
      <c r="H292" s="1041">
        <v>0</v>
      </c>
      <c r="I292" s="1040">
        <v>0</v>
      </c>
      <c r="J292" s="1037" t="s">
        <v>5097</v>
      </c>
    </row>
    <row r="293" spans="1:10" ht="20.100000000000001" customHeight="1">
      <c r="A293" s="1036">
        <f>ROW()-ROW(A18)</f>
        <v>275</v>
      </c>
      <c r="B293" s="1036" t="s">
        <v>700</v>
      </c>
      <c r="C293" s="1036" t="s">
        <v>5135</v>
      </c>
      <c r="D293" s="1037" t="s">
        <v>5288</v>
      </c>
      <c r="E293" s="1037">
        <v>0.5</v>
      </c>
      <c r="F293" s="1037" t="s">
        <v>80</v>
      </c>
      <c r="G293" s="1038">
        <v>108705685</v>
      </c>
      <c r="H293" s="1039">
        <v>0</v>
      </c>
      <c r="I293" s="1038">
        <v>108705685</v>
      </c>
      <c r="J293" s="1037" t="s">
        <v>5097</v>
      </c>
    </row>
    <row r="294" spans="1:10" ht="20.100000000000001" customHeight="1">
      <c r="A294" s="1036">
        <f>ROW()-ROW(A18)</f>
        <v>276</v>
      </c>
      <c r="B294" s="1036" t="s">
        <v>5214</v>
      </c>
      <c r="C294" s="1036" t="s">
        <v>5135</v>
      </c>
      <c r="D294" s="1037" t="s">
        <v>5288</v>
      </c>
      <c r="E294" s="1037">
        <v>0</v>
      </c>
      <c r="F294" s="1037" t="s">
        <v>81</v>
      </c>
      <c r="G294" s="1040">
        <v>0</v>
      </c>
      <c r="H294" s="1041">
        <v>0</v>
      </c>
      <c r="I294" s="1040">
        <v>0</v>
      </c>
      <c r="J294" s="1037" t="s">
        <v>5097</v>
      </c>
    </row>
    <row r="295" spans="1:10" ht="20.100000000000001" customHeight="1">
      <c r="A295" s="1036">
        <f>ROW()-ROW(A18)</f>
        <v>277</v>
      </c>
      <c r="B295" s="1036" t="s">
        <v>713</v>
      </c>
      <c r="C295" s="1036" t="s">
        <v>5131</v>
      </c>
      <c r="D295" s="1037" t="s">
        <v>5092</v>
      </c>
      <c r="E295" s="1037">
        <v>0.5</v>
      </c>
      <c r="F295" s="1037" t="s">
        <v>80</v>
      </c>
      <c r="G295" s="1038">
        <v>511503915</v>
      </c>
      <c r="H295" s="1039">
        <v>0</v>
      </c>
      <c r="I295" s="1038">
        <v>511503915</v>
      </c>
      <c r="J295" s="1037" t="s">
        <v>5080</v>
      </c>
    </row>
    <row r="296" spans="1:10" ht="20.100000000000001" customHeight="1">
      <c r="A296" s="1036">
        <f>ROW()-ROW(A18)</f>
        <v>278</v>
      </c>
      <c r="B296" s="1036" t="s">
        <v>5298</v>
      </c>
      <c r="C296" s="1036" t="s">
        <v>5131</v>
      </c>
      <c r="D296" s="1037" t="s">
        <v>5092</v>
      </c>
      <c r="E296" s="1037">
        <v>0</v>
      </c>
      <c r="F296" s="1037" t="s">
        <v>81</v>
      </c>
      <c r="G296" s="1040">
        <v>0</v>
      </c>
      <c r="H296" s="1041">
        <v>0</v>
      </c>
      <c r="I296" s="1040">
        <v>0</v>
      </c>
      <c r="J296" s="1037" t="s">
        <v>5080</v>
      </c>
    </row>
    <row r="297" spans="1:10" ht="20.100000000000001" customHeight="1">
      <c r="A297" s="1036">
        <f>ROW()-ROW(A18)</f>
        <v>279</v>
      </c>
      <c r="B297" s="1036" t="s">
        <v>717</v>
      </c>
      <c r="C297" s="1036" t="s">
        <v>5118</v>
      </c>
      <c r="D297" s="1037" t="s">
        <v>5299</v>
      </c>
      <c r="E297" s="1037">
        <v>0.5</v>
      </c>
      <c r="F297" s="1037" t="s">
        <v>80</v>
      </c>
      <c r="G297" s="1038">
        <v>4223210080</v>
      </c>
      <c r="H297" s="1039">
        <v>0</v>
      </c>
      <c r="I297" s="1038">
        <v>4223210080</v>
      </c>
      <c r="J297" s="1037" t="s">
        <v>5097</v>
      </c>
    </row>
    <row r="298" spans="1:10" ht="20.100000000000001" customHeight="1">
      <c r="A298" s="1036">
        <f>ROW()-ROW(A18)</f>
        <v>280</v>
      </c>
      <c r="B298" s="1036" t="s">
        <v>5213</v>
      </c>
      <c r="C298" s="1036" t="s">
        <v>5118</v>
      </c>
      <c r="D298" s="1037" t="s">
        <v>5300</v>
      </c>
      <c r="E298" s="1037">
        <v>0</v>
      </c>
      <c r="F298" s="1037" t="s">
        <v>81</v>
      </c>
      <c r="G298" s="1040">
        <v>0</v>
      </c>
      <c r="H298" s="1041">
        <v>0</v>
      </c>
      <c r="I298" s="1040">
        <v>0</v>
      </c>
      <c r="J298" s="1037" t="s">
        <v>5097</v>
      </c>
    </row>
    <row r="299" spans="1:10" ht="20.100000000000001" customHeight="1">
      <c r="A299" s="1036">
        <f>ROW()-ROW(A18)</f>
        <v>281</v>
      </c>
      <c r="B299" s="1036" t="s">
        <v>715</v>
      </c>
      <c r="C299" s="1036" t="s">
        <v>5099</v>
      </c>
      <c r="D299" s="1037" t="s">
        <v>5299</v>
      </c>
      <c r="E299" s="1037">
        <v>0.5</v>
      </c>
      <c r="F299" s="1037" t="s">
        <v>80</v>
      </c>
      <c r="G299" s="1038">
        <v>25979234437</v>
      </c>
      <c r="H299" s="1039">
        <v>0</v>
      </c>
      <c r="I299" s="1038">
        <v>25979234437</v>
      </c>
      <c r="J299" s="1037" t="s">
        <v>5097</v>
      </c>
    </row>
    <row r="300" spans="1:10" ht="20.100000000000001" customHeight="1">
      <c r="A300" s="1036">
        <f>ROW()-ROW(A18)</f>
        <v>282</v>
      </c>
      <c r="B300" s="1036" t="s">
        <v>5251</v>
      </c>
      <c r="C300" s="1036" t="s">
        <v>5099</v>
      </c>
      <c r="D300" s="1037" t="s">
        <v>5301</v>
      </c>
      <c r="E300" s="1037">
        <v>0</v>
      </c>
      <c r="F300" s="1037" t="s">
        <v>81</v>
      </c>
      <c r="G300" s="1040">
        <v>0</v>
      </c>
      <c r="H300" s="1041">
        <v>0</v>
      </c>
      <c r="I300" s="1040">
        <v>0</v>
      </c>
      <c r="J300" s="1037" t="s">
        <v>5097</v>
      </c>
    </row>
    <row r="301" spans="1:10" ht="20.100000000000001" customHeight="1">
      <c r="A301" s="1036">
        <f>ROW()-ROW(A18)</f>
        <v>283</v>
      </c>
      <c r="B301" s="1036" t="s">
        <v>5302</v>
      </c>
      <c r="C301" s="1036" t="s">
        <v>5099</v>
      </c>
      <c r="D301" s="1037" t="s">
        <v>5303</v>
      </c>
      <c r="E301" s="1037">
        <v>0.5</v>
      </c>
      <c r="F301" s="1037" t="s">
        <v>80</v>
      </c>
      <c r="G301" s="1038">
        <v>0</v>
      </c>
      <c r="H301" s="1039">
        <v>0</v>
      </c>
      <c r="I301" s="1038">
        <v>0</v>
      </c>
      <c r="J301" s="1037" t="s">
        <v>5098</v>
      </c>
    </row>
    <row r="302" spans="1:10" ht="20.100000000000001" customHeight="1">
      <c r="A302" s="1036">
        <f>ROW()-ROW(A18)</f>
        <v>284</v>
      </c>
      <c r="B302" s="1036" t="s">
        <v>740</v>
      </c>
      <c r="C302" s="1036" t="s">
        <v>5134</v>
      </c>
      <c r="D302" s="1037" t="s">
        <v>5304</v>
      </c>
      <c r="E302" s="1037">
        <v>0.5</v>
      </c>
      <c r="F302" s="1037" t="s">
        <v>80</v>
      </c>
      <c r="G302" s="1038">
        <v>115450963</v>
      </c>
      <c r="H302" s="1039">
        <v>0</v>
      </c>
      <c r="I302" s="1038">
        <v>115450963</v>
      </c>
      <c r="J302" s="1037" t="s">
        <v>5080</v>
      </c>
    </row>
    <row r="303" spans="1:10" ht="20.100000000000001" customHeight="1">
      <c r="A303" s="1036">
        <f>ROW()-ROW(A18)</f>
        <v>285</v>
      </c>
      <c r="B303" s="1036" t="s">
        <v>5228</v>
      </c>
      <c r="C303" s="1036" t="s">
        <v>5134</v>
      </c>
      <c r="D303" s="1037" t="s">
        <v>5304</v>
      </c>
      <c r="E303" s="1037">
        <v>0</v>
      </c>
      <c r="F303" s="1037" t="s">
        <v>81</v>
      </c>
      <c r="G303" s="1040">
        <v>0</v>
      </c>
      <c r="H303" s="1041">
        <v>0</v>
      </c>
      <c r="I303" s="1040">
        <v>0</v>
      </c>
      <c r="J303" s="1037" t="s">
        <v>5080</v>
      </c>
    </row>
    <row r="304" spans="1:10" ht="20.100000000000001" customHeight="1">
      <c r="A304" s="1036">
        <f>ROW()-ROW(A18)</f>
        <v>286</v>
      </c>
      <c r="B304" s="1036" t="s">
        <v>5305</v>
      </c>
      <c r="C304" s="1036" t="s">
        <v>5134</v>
      </c>
      <c r="D304" s="1037" t="s">
        <v>5306</v>
      </c>
      <c r="E304" s="1037">
        <v>0</v>
      </c>
      <c r="F304" s="1037" t="s">
        <v>81</v>
      </c>
      <c r="G304" s="1040">
        <v>0</v>
      </c>
      <c r="H304" s="1041">
        <v>0</v>
      </c>
      <c r="I304" s="1040">
        <v>0</v>
      </c>
      <c r="J304" s="1037" t="s">
        <v>5080</v>
      </c>
    </row>
    <row r="305" spans="1:10" ht="20.100000000000001" customHeight="1">
      <c r="A305" s="1036">
        <f>ROW()-ROW(A18)</f>
        <v>287</v>
      </c>
      <c r="B305" s="1036" t="s">
        <v>745</v>
      </c>
      <c r="C305" s="1036" t="s">
        <v>5175</v>
      </c>
      <c r="D305" s="1037" t="s">
        <v>5307</v>
      </c>
      <c r="E305" s="1037">
        <v>0.5</v>
      </c>
      <c r="F305" s="1037" t="s">
        <v>80</v>
      </c>
      <c r="G305" s="1038">
        <v>34287436</v>
      </c>
      <c r="H305" s="1039">
        <v>0</v>
      </c>
      <c r="I305" s="1038">
        <v>34287436</v>
      </c>
      <c r="J305" s="1037" t="s">
        <v>5080</v>
      </c>
    </row>
    <row r="306" spans="1:10" ht="20.100000000000001" customHeight="1">
      <c r="A306" s="1036">
        <f>ROW()-ROW(A18)</f>
        <v>288</v>
      </c>
      <c r="B306" s="1036" t="s">
        <v>5233</v>
      </c>
      <c r="C306" s="1036" t="s">
        <v>5175</v>
      </c>
      <c r="D306" s="1037" t="s">
        <v>5307</v>
      </c>
      <c r="E306" s="1037">
        <v>0</v>
      </c>
      <c r="F306" s="1037" t="s">
        <v>81</v>
      </c>
      <c r="G306" s="1040">
        <v>0</v>
      </c>
      <c r="H306" s="1041">
        <v>0</v>
      </c>
      <c r="I306" s="1040">
        <v>0</v>
      </c>
      <c r="J306" s="1037" t="s">
        <v>5080</v>
      </c>
    </row>
    <row r="307" spans="1:10" ht="20.100000000000001" customHeight="1">
      <c r="A307" s="1036">
        <f>ROW()-ROW(A18)</f>
        <v>289</v>
      </c>
      <c r="B307" s="1036" t="s">
        <v>743</v>
      </c>
      <c r="C307" s="1036" t="s">
        <v>5138</v>
      </c>
      <c r="D307" s="1037" t="s">
        <v>5307</v>
      </c>
      <c r="E307" s="1037">
        <v>0.5</v>
      </c>
      <c r="F307" s="1037" t="s">
        <v>80</v>
      </c>
      <c r="G307" s="1038">
        <v>101408326</v>
      </c>
      <c r="H307" s="1039">
        <v>0</v>
      </c>
      <c r="I307" s="1038">
        <v>101408326</v>
      </c>
      <c r="J307" s="1037" t="s">
        <v>5080</v>
      </c>
    </row>
    <row r="308" spans="1:10" ht="20.100000000000001" customHeight="1">
      <c r="A308" s="1036">
        <f>ROW()-ROW(A18)</f>
        <v>290</v>
      </c>
      <c r="B308" s="1036" t="s">
        <v>5207</v>
      </c>
      <c r="C308" s="1036" t="s">
        <v>5138</v>
      </c>
      <c r="D308" s="1037" t="s">
        <v>5307</v>
      </c>
      <c r="E308" s="1037">
        <v>0</v>
      </c>
      <c r="F308" s="1037" t="s">
        <v>81</v>
      </c>
      <c r="G308" s="1040">
        <v>0</v>
      </c>
      <c r="H308" s="1041">
        <v>0</v>
      </c>
      <c r="I308" s="1040">
        <v>0</v>
      </c>
      <c r="J308" s="1037" t="s">
        <v>5080</v>
      </c>
    </row>
    <row r="309" spans="1:10" ht="20.100000000000001" customHeight="1">
      <c r="A309" s="1036">
        <f>ROW()-ROW(A18)</f>
        <v>291</v>
      </c>
      <c r="B309" s="1036" t="s">
        <v>967</v>
      </c>
      <c r="C309" s="1036" t="s">
        <v>5199</v>
      </c>
      <c r="D309" s="1037" t="s">
        <v>5308</v>
      </c>
      <c r="E309" s="1037">
        <v>0.5</v>
      </c>
      <c r="F309" s="1037" t="s">
        <v>80</v>
      </c>
      <c r="G309" s="1038">
        <v>6530640</v>
      </c>
      <c r="H309" s="1039">
        <v>0</v>
      </c>
      <c r="I309" s="1038">
        <v>6530640</v>
      </c>
      <c r="J309" s="1037" t="s">
        <v>5080</v>
      </c>
    </row>
    <row r="310" spans="1:10" ht="20.100000000000001" customHeight="1">
      <c r="A310" s="1036">
        <f>ROW()-ROW(A18)</f>
        <v>292</v>
      </c>
      <c r="B310" s="1036" t="s">
        <v>5239</v>
      </c>
      <c r="C310" s="1036" t="s">
        <v>5199</v>
      </c>
      <c r="D310" s="1037" t="s">
        <v>5308</v>
      </c>
      <c r="E310" s="1037">
        <v>0</v>
      </c>
      <c r="F310" s="1037" t="s">
        <v>81</v>
      </c>
      <c r="G310" s="1040">
        <v>0</v>
      </c>
      <c r="H310" s="1041">
        <v>0</v>
      </c>
      <c r="I310" s="1040">
        <v>0</v>
      </c>
      <c r="J310" s="1037" t="s">
        <v>5080</v>
      </c>
    </row>
    <row r="311" spans="1:10" ht="20.100000000000001" customHeight="1">
      <c r="A311" s="1036">
        <f>ROW()-ROW(A18)</f>
        <v>293</v>
      </c>
      <c r="B311" s="1036" t="s">
        <v>753</v>
      </c>
      <c r="C311" s="1036" t="s">
        <v>5127</v>
      </c>
      <c r="D311" s="1037" t="s">
        <v>5309</v>
      </c>
      <c r="E311" s="1037">
        <v>0.5</v>
      </c>
      <c r="F311" s="1037" t="s">
        <v>80</v>
      </c>
      <c r="G311" s="1038">
        <v>791716669</v>
      </c>
      <c r="H311" s="1039">
        <v>0</v>
      </c>
      <c r="I311" s="1038">
        <v>791716669</v>
      </c>
      <c r="J311" s="1037" t="s">
        <v>5080</v>
      </c>
    </row>
    <row r="312" spans="1:10" ht="20.100000000000001" customHeight="1">
      <c r="A312" s="1036">
        <f>ROW()-ROW(A18)</f>
        <v>294</v>
      </c>
      <c r="B312" s="1036" t="s">
        <v>5237</v>
      </c>
      <c r="C312" s="1036" t="s">
        <v>5127</v>
      </c>
      <c r="D312" s="1037" t="s">
        <v>5309</v>
      </c>
      <c r="E312" s="1037">
        <v>0</v>
      </c>
      <c r="F312" s="1037" t="s">
        <v>81</v>
      </c>
      <c r="G312" s="1040">
        <v>0</v>
      </c>
      <c r="H312" s="1041">
        <v>0</v>
      </c>
      <c r="I312" s="1040">
        <v>0</v>
      </c>
      <c r="J312" s="1037" t="s">
        <v>5080</v>
      </c>
    </row>
    <row r="313" spans="1:10" ht="20.100000000000001" customHeight="1">
      <c r="A313" s="1036">
        <f>ROW()-ROW(A18)</f>
        <v>295</v>
      </c>
      <c r="B313" s="1036" t="s">
        <v>749</v>
      </c>
      <c r="C313" s="1036" t="s">
        <v>5130</v>
      </c>
      <c r="D313" s="1037" t="s">
        <v>5310</v>
      </c>
      <c r="E313" s="1037">
        <v>0.5</v>
      </c>
      <c r="F313" s="1037" t="s">
        <v>80</v>
      </c>
      <c r="G313" s="1038">
        <v>643827347</v>
      </c>
      <c r="H313" s="1039">
        <v>0</v>
      </c>
      <c r="I313" s="1038">
        <v>643827347</v>
      </c>
      <c r="J313" s="1037" t="s">
        <v>5111</v>
      </c>
    </row>
    <row r="314" spans="1:10" ht="20.100000000000001" customHeight="1">
      <c r="A314" s="1036">
        <f>ROW()-ROW(A18)</f>
        <v>296</v>
      </c>
      <c r="B314" s="1036" t="s">
        <v>751</v>
      </c>
      <c r="C314" s="1036" t="s">
        <v>5119</v>
      </c>
      <c r="D314" s="1037" t="s">
        <v>5311</v>
      </c>
      <c r="E314" s="1037">
        <v>0.5</v>
      </c>
      <c r="F314" s="1037" t="s">
        <v>80</v>
      </c>
      <c r="G314" s="1038">
        <v>4089566306</v>
      </c>
      <c r="H314" s="1039">
        <v>0</v>
      </c>
      <c r="I314" s="1038">
        <v>4089566306</v>
      </c>
      <c r="J314" s="1037" t="s">
        <v>5111</v>
      </c>
    </row>
    <row r="315" spans="1:10" ht="20.100000000000001" customHeight="1">
      <c r="A315" s="1036">
        <f>ROW()-ROW(A18)</f>
        <v>297</v>
      </c>
      <c r="B315" s="1036" t="s">
        <v>791</v>
      </c>
      <c r="C315" s="1036" t="s">
        <v>5157</v>
      </c>
      <c r="D315" s="1037" t="s">
        <v>5312</v>
      </c>
      <c r="E315" s="1037">
        <v>0.5</v>
      </c>
      <c r="F315" s="1037" t="s">
        <v>80</v>
      </c>
      <c r="G315" s="1038">
        <v>50912066</v>
      </c>
      <c r="H315" s="1039">
        <v>0</v>
      </c>
      <c r="I315" s="1038">
        <v>50912066</v>
      </c>
      <c r="J315" s="1037" t="s">
        <v>5080</v>
      </c>
    </row>
    <row r="316" spans="1:10" ht="20.100000000000001" customHeight="1">
      <c r="A316" s="1036">
        <f>ROW()-ROW(A18)</f>
        <v>298</v>
      </c>
      <c r="B316" s="1036" t="s">
        <v>5223</v>
      </c>
      <c r="C316" s="1036" t="s">
        <v>5157</v>
      </c>
      <c r="D316" s="1037" t="s">
        <v>5312</v>
      </c>
      <c r="E316" s="1037">
        <v>0</v>
      </c>
      <c r="F316" s="1037" t="s">
        <v>81</v>
      </c>
      <c r="G316" s="1040">
        <v>0</v>
      </c>
      <c r="H316" s="1041">
        <v>0</v>
      </c>
      <c r="I316" s="1040">
        <v>0</v>
      </c>
      <c r="J316" s="1037" t="s">
        <v>5080</v>
      </c>
    </row>
    <row r="317" spans="1:10" ht="20.100000000000001" customHeight="1">
      <c r="A317" s="1036">
        <f>ROW()-ROW(A18)</f>
        <v>299</v>
      </c>
      <c r="B317" s="1036" t="s">
        <v>771</v>
      </c>
      <c r="C317" s="1036" t="s">
        <v>5192</v>
      </c>
      <c r="D317" s="1037" t="s">
        <v>5312</v>
      </c>
      <c r="E317" s="1037">
        <v>0.5</v>
      </c>
      <c r="F317" s="1037" t="s">
        <v>80</v>
      </c>
      <c r="G317" s="1038">
        <v>16413845</v>
      </c>
      <c r="H317" s="1039">
        <v>0</v>
      </c>
      <c r="I317" s="1038">
        <v>16413845</v>
      </c>
      <c r="J317" s="1037" t="s">
        <v>5080</v>
      </c>
    </row>
    <row r="318" spans="1:10" ht="20.100000000000001" customHeight="1">
      <c r="A318" s="1036">
        <f>ROW()-ROW(A18)</f>
        <v>300</v>
      </c>
      <c r="B318" s="1036" t="s">
        <v>5220</v>
      </c>
      <c r="C318" s="1036" t="s">
        <v>5192</v>
      </c>
      <c r="D318" s="1037" t="s">
        <v>5312</v>
      </c>
      <c r="E318" s="1037">
        <v>0</v>
      </c>
      <c r="F318" s="1037" t="s">
        <v>81</v>
      </c>
      <c r="G318" s="1040">
        <v>0</v>
      </c>
      <c r="H318" s="1041">
        <v>0</v>
      </c>
      <c r="I318" s="1040">
        <v>0</v>
      </c>
      <c r="J318" s="1037" t="s">
        <v>5080</v>
      </c>
    </row>
    <row r="319" spans="1:10" ht="20.100000000000001" customHeight="1">
      <c r="A319" s="1036">
        <f>ROW()-ROW(A18)</f>
        <v>301</v>
      </c>
      <c r="B319" s="1036" t="s">
        <v>797</v>
      </c>
      <c r="C319" s="1036" t="s">
        <v>5170</v>
      </c>
      <c r="D319" s="1037" t="s">
        <v>5312</v>
      </c>
      <c r="E319" s="1037">
        <v>0.5</v>
      </c>
      <c r="F319" s="1037" t="s">
        <v>80</v>
      </c>
      <c r="G319" s="1038">
        <v>38267920</v>
      </c>
      <c r="H319" s="1039">
        <v>0</v>
      </c>
      <c r="I319" s="1038">
        <v>38267920</v>
      </c>
      <c r="J319" s="1037" t="s">
        <v>5080</v>
      </c>
    </row>
    <row r="320" spans="1:10" ht="20.100000000000001" customHeight="1">
      <c r="A320" s="1036">
        <f>ROW()-ROW(A18)</f>
        <v>302</v>
      </c>
      <c r="B320" s="1036" t="s">
        <v>5215</v>
      </c>
      <c r="C320" s="1036" t="s">
        <v>5170</v>
      </c>
      <c r="D320" s="1037" t="s">
        <v>5312</v>
      </c>
      <c r="E320" s="1037">
        <v>0</v>
      </c>
      <c r="F320" s="1037" t="s">
        <v>81</v>
      </c>
      <c r="G320" s="1040">
        <v>0</v>
      </c>
      <c r="H320" s="1041">
        <v>0</v>
      </c>
      <c r="I320" s="1040">
        <v>0</v>
      </c>
      <c r="J320" s="1037" t="s">
        <v>5080</v>
      </c>
    </row>
    <row r="321" spans="1:10" ht="20.100000000000001" customHeight="1">
      <c r="A321" s="1036">
        <f>ROW()-ROW(A18)</f>
        <v>303</v>
      </c>
      <c r="B321" s="1036" t="s">
        <v>789</v>
      </c>
      <c r="C321" s="1036" t="s">
        <v>5123</v>
      </c>
      <c r="D321" s="1037" t="s">
        <v>5312</v>
      </c>
      <c r="E321" s="1037">
        <v>0.5</v>
      </c>
      <c r="F321" s="1037" t="s">
        <v>80</v>
      </c>
      <c r="G321" s="1038">
        <v>2094006265</v>
      </c>
      <c r="H321" s="1039">
        <v>0</v>
      </c>
      <c r="I321" s="1038">
        <v>2094006265</v>
      </c>
      <c r="J321" s="1037" t="s">
        <v>5080</v>
      </c>
    </row>
    <row r="322" spans="1:10" ht="20.100000000000001" customHeight="1">
      <c r="A322" s="1036">
        <f>ROW()-ROW(A18)</f>
        <v>304</v>
      </c>
      <c r="B322" s="1036" t="s">
        <v>5250</v>
      </c>
      <c r="C322" s="1036" t="s">
        <v>5123</v>
      </c>
      <c r="D322" s="1037" t="s">
        <v>5312</v>
      </c>
      <c r="E322" s="1037">
        <v>0</v>
      </c>
      <c r="F322" s="1037" t="s">
        <v>81</v>
      </c>
      <c r="G322" s="1040">
        <v>0</v>
      </c>
      <c r="H322" s="1041">
        <v>0</v>
      </c>
      <c r="I322" s="1040">
        <v>0</v>
      </c>
      <c r="J322" s="1037" t="s">
        <v>5080</v>
      </c>
    </row>
    <row r="323" spans="1:10" ht="20.100000000000001" customHeight="1">
      <c r="A323" s="1036">
        <f>ROW()-ROW(A18)</f>
        <v>305</v>
      </c>
      <c r="B323" s="1036" t="s">
        <v>795</v>
      </c>
      <c r="C323" s="1036" t="s">
        <v>5162</v>
      </c>
      <c r="D323" s="1037" t="s">
        <v>5312</v>
      </c>
      <c r="E323" s="1037">
        <v>0.5</v>
      </c>
      <c r="F323" s="1037" t="s">
        <v>80</v>
      </c>
      <c r="G323" s="1038">
        <v>44392971</v>
      </c>
      <c r="H323" s="1039">
        <v>0</v>
      </c>
      <c r="I323" s="1038">
        <v>44392971</v>
      </c>
      <c r="J323" s="1037" t="s">
        <v>5080</v>
      </c>
    </row>
    <row r="324" spans="1:10" ht="20.100000000000001" customHeight="1">
      <c r="A324" s="1036">
        <f>ROW()-ROW(A18)</f>
        <v>306</v>
      </c>
      <c r="B324" s="1036" t="s">
        <v>5227</v>
      </c>
      <c r="C324" s="1036" t="s">
        <v>5162</v>
      </c>
      <c r="D324" s="1037" t="s">
        <v>5312</v>
      </c>
      <c r="E324" s="1037">
        <v>0</v>
      </c>
      <c r="F324" s="1037" t="s">
        <v>81</v>
      </c>
      <c r="G324" s="1040">
        <v>0</v>
      </c>
      <c r="H324" s="1041">
        <v>0</v>
      </c>
      <c r="I324" s="1040">
        <v>0</v>
      </c>
      <c r="J324" s="1037" t="s">
        <v>5080</v>
      </c>
    </row>
    <row r="325" spans="1:10" ht="20.100000000000001" customHeight="1">
      <c r="A325" s="1036">
        <f>ROW()-ROW(A18)</f>
        <v>307</v>
      </c>
      <c r="B325" s="1036" t="s">
        <v>787</v>
      </c>
      <c r="C325" s="1036" t="s">
        <v>5147</v>
      </c>
      <c r="D325" s="1037" t="s">
        <v>5312</v>
      </c>
      <c r="E325" s="1037">
        <v>0.5</v>
      </c>
      <c r="F325" s="1037" t="s">
        <v>80</v>
      </c>
      <c r="G325" s="1038">
        <v>84039000</v>
      </c>
      <c r="H325" s="1039">
        <v>0</v>
      </c>
      <c r="I325" s="1038">
        <v>84039000</v>
      </c>
      <c r="J325" s="1037" t="s">
        <v>5080</v>
      </c>
    </row>
    <row r="326" spans="1:10" ht="20.100000000000001" customHeight="1">
      <c r="A326" s="1036">
        <f>ROW()-ROW(A18)</f>
        <v>308</v>
      </c>
      <c r="B326" s="1036" t="s">
        <v>5230</v>
      </c>
      <c r="C326" s="1036" t="s">
        <v>5147</v>
      </c>
      <c r="D326" s="1037" t="s">
        <v>5312</v>
      </c>
      <c r="E326" s="1037">
        <v>0</v>
      </c>
      <c r="F326" s="1037" t="s">
        <v>81</v>
      </c>
      <c r="G326" s="1040">
        <v>0</v>
      </c>
      <c r="H326" s="1041">
        <v>0</v>
      </c>
      <c r="I326" s="1040">
        <v>0</v>
      </c>
      <c r="J326" s="1037" t="s">
        <v>5080</v>
      </c>
    </row>
    <row r="327" spans="1:10" ht="20.100000000000001" customHeight="1">
      <c r="A327" s="1036">
        <f>ROW()-ROW(A18)</f>
        <v>309</v>
      </c>
      <c r="B327" s="1036" t="s">
        <v>773</v>
      </c>
      <c r="C327" s="1036" t="s">
        <v>5187</v>
      </c>
      <c r="D327" s="1037" t="s">
        <v>5312</v>
      </c>
      <c r="E327" s="1037">
        <v>0.5</v>
      </c>
      <c r="F327" s="1037" t="s">
        <v>80</v>
      </c>
      <c r="G327" s="1038">
        <v>21099058</v>
      </c>
      <c r="H327" s="1039">
        <v>0</v>
      </c>
      <c r="I327" s="1038">
        <v>21099058</v>
      </c>
      <c r="J327" s="1037" t="s">
        <v>5080</v>
      </c>
    </row>
    <row r="328" spans="1:10" ht="20.100000000000001" customHeight="1">
      <c r="A328" s="1036">
        <f>ROW()-ROW(A18)</f>
        <v>310</v>
      </c>
      <c r="B328" s="1036" t="s">
        <v>5246</v>
      </c>
      <c r="C328" s="1036" t="s">
        <v>5187</v>
      </c>
      <c r="D328" s="1037" t="s">
        <v>5312</v>
      </c>
      <c r="E328" s="1037">
        <v>0</v>
      </c>
      <c r="F328" s="1037" t="s">
        <v>81</v>
      </c>
      <c r="G328" s="1040">
        <v>0</v>
      </c>
      <c r="H328" s="1041">
        <v>0</v>
      </c>
      <c r="I328" s="1040">
        <v>0</v>
      </c>
      <c r="J328" s="1037" t="s">
        <v>5080</v>
      </c>
    </row>
    <row r="329" spans="1:10" ht="20.100000000000001" customHeight="1">
      <c r="A329" s="1036">
        <f>ROW()-ROW(A18)</f>
        <v>311</v>
      </c>
      <c r="B329" s="1036" t="s">
        <v>775</v>
      </c>
      <c r="C329" s="1036" t="s">
        <v>5188</v>
      </c>
      <c r="D329" s="1037" t="s">
        <v>5312</v>
      </c>
      <c r="E329" s="1037">
        <v>0.5</v>
      </c>
      <c r="F329" s="1037" t="s">
        <v>80</v>
      </c>
      <c r="G329" s="1038">
        <v>20822869</v>
      </c>
      <c r="H329" s="1039">
        <v>0</v>
      </c>
      <c r="I329" s="1038">
        <v>20822869</v>
      </c>
      <c r="J329" s="1037" t="s">
        <v>5080</v>
      </c>
    </row>
    <row r="330" spans="1:10" ht="20.100000000000001" customHeight="1">
      <c r="A330" s="1036">
        <f>ROW()-ROW(A18)</f>
        <v>312</v>
      </c>
      <c r="B330" s="1036" t="s">
        <v>5249</v>
      </c>
      <c r="C330" s="1036" t="s">
        <v>5188</v>
      </c>
      <c r="D330" s="1037" t="s">
        <v>5312</v>
      </c>
      <c r="E330" s="1037">
        <v>0</v>
      </c>
      <c r="F330" s="1037" t="s">
        <v>81</v>
      </c>
      <c r="G330" s="1040">
        <v>0</v>
      </c>
      <c r="H330" s="1041">
        <v>0</v>
      </c>
      <c r="I330" s="1040">
        <v>0</v>
      </c>
      <c r="J330" s="1037" t="s">
        <v>5080</v>
      </c>
    </row>
    <row r="331" spans="1:10" ht="20.100000000000001" customHeight="1">
      <c r="A331" s="1036">
        <f>ROW()-ROW(A18)</f>
        <v>313</v>
      </c>
      <c r="B331" s="1036" t="s">
        <v>777</v>
      </c>
      <c r="C331" s="1036" t="s">
        <v>5177</v>
      </c>
      <c r="D331" s="1037" t="s">
        <v>5312</v>
      </c>
      <c r="E331" s="1037">
        <v>0.5</v>
      </c>
      <c r="F331" s="1037" t="s">
        <v>80</v>
      </c>
      <c r="G331" s="1038">
        <v>33046001</v>
      </c>
      <c r="H331" s="1039">
        <v>0</v>
      </c>
      <c r="I331" s="1038">
        <v>33046001</v>
      </c>
      <c r="J331" s="1037" t="s">
        <v>5080</v>
      </c>
    </row>
    <row r="332" spans="1:10" ht="20.100000000000001" customHeight="1">
      <c r="A332" s="1036">
        <f>ROW()-ROW(A18)</f>
        <v>314</v>
      </c>
      <c r="B332" s="1036" t="s">
        <v>5216</v>
      </c>
      <c r="C332" s="1036" t="s">
        <v>5177</v>
      </c>
      <c r="D332" s="1037" t="s">
        <v>5312</v>
      </c>
      <c r="E332" s="1037">
        <v>0</v>
      </c>
      <c r="F332" s="1037" t="s">
        <v>81</v>
      </c>
      <c r="G332" s="1040">
        <v>0</v>
      </c>
      <c r="H332" s="1041">
        <v>0</v>
      </c>
      <c r="I332" s="1040">
        <v>0</v>
      </c>
      <c r="J332" s="1037" t="s">
        <v>5080</v>
      </c>
    </row>
    <row r="333" spans="1:10" ht="20.100000000000001" customHeight="1">
      <c r="A333" s="1036">
        <f>ROW()-ROW(A18)</f>
        <v>315</v>
      </c>
      <c r="B333" s="1036" t="s">
        <v>779</v>
      </c>
      <c r="C333" s="1036" t="s">
        <v>5149</v>
      </c>
      <c r="D333" s="1037" t="s">
        <v>5312</v>
      </c>
      <c r="E333" s="1037">
        <v>0.5</v>
      </c>
      <c r="F333" s="1037" t="s">
        <v>80</v>
      </c>
      <c r="G333" s="1038">
        <v>75129815</v>
      </c>
      <c r="H333" s="1039">
        <v>0</v>
      </c>
      <c r="I333" s="1038">
        <v>75129815</v>
      </c>
      <c r="J333" s="1037" t="s">
        <v>5080</v>
      </c>
    </row>
    <row r="334" spans="1:10" ht="20.100000000000001" customHeight="1">
      <c r="A334" s="1036">
        <f>ROW()-ROW(A18)</f>
        <v>316</v>
      </c>
      <c r="B334" s="1036" t="s">
        <v>5245</v>
      </c>
      <c r="C334" s="1036" t="s">
        <v>5149</v>
      </c>
      <c r="D334" s="1037" t="s">
        <v>5312</v>
      </c>
      <c r="E334" s="1037">
        <v>0</v>
      </c>
      <c r="F334" s="1037" t="s">
        <v>81</v>
      </c>
      <c r="G334" s="1040">
        <v>0</v>
      </c>
      <c r="H334" s="1041">
        <v>0</v>
      </c>
      <c r="I334" s="1040">
        <v>0</v>
      </c>
      <c r="J334" s="1037" t="s">
        <v>5080</v>
      </c>
    </row>
    <row r="335" spans="1:10" ht="20.100000000000001" customHeight="1">
      <c r="A335" s="1036">
        <f>ROW()-ROW(A18)</f>
        <v>317</v>
      </c>
      <c r="B335" s="1036" t="s">
        <v>781</v>
      </c>
      <c r="C335" s="1036" t="s">
        <v>5185</v>
      </c>
      <c r="D335" s="1037" t="s">
        <v>5312</v>
      </c>
      <c r="E335" s="1037">
        <v>0.5</v>
      </c>
      <c r="F335" s="1037" t="s">
        <v>80</v>
      </c>
      <c r="G335" s="1038">
        <v>25199502</v>
      </c>
      <c r="H335" s="1039">
        <v>0</v>
      </c>
      <c r="I335" s="1038">
        <v>25199502</v>
      </c>
      <c r="J335" s="1037" t="s">
        <v>5080</v>
      </c>
    </row>
    <row r="336" spans="1:10" ht="20.100000000000001" customHeight="1">
      <c r="A336" s="1036">
        <f>ROW()-ROW(A18)</f>
        <v>318</v>
      </c>
      <c r="B336" s="1036" t="s">
        <v>5232</v>
      </c>
      <c r="C336" s="1036" t="s">
        <v>5185</v>
      </c>
      <c r="D336" s="1037" t="s">
        <v>5312</v>
      </c>
      <c r="E336" s="1037">
        <v>0</v>
      </c>
      <c r="F336" s="1037" t="s">
        <v>81</v>
      </c>
      <c r="G336" s="1040">
        <v>0</v>
      </c>
      <c r="H336" s="1041">
        <v>0</v>
      </c>
      <c r="I336" s="1040">
        <v>0</v>
      </c>
      <c r="J336" s="1037" t="s">
        <v>5080</v>
      </c>
    </row>
    <row r="337" spans="1:10" ht="20.100000000000001" customHeight="1">
      <c r="A337" s="1036">
        <f>ROW()-ROW(A18)</f>
        <v>319</v>
      </c>
      <c r="B337" s="1036" t="s">
        <v>783</v>
      </c>
      <c r="C337" s="1036" t="s">
        <v>5140</v>
      </c>
      <c r="D337" s="1037" t="s">
        <v>5312</v>
      </c>
      <c r="E337" s="1037">
        <v>0.5</v>
      </c>
      <c r="F337" s="1037" t="s">
        <v>80</v>
      </c>
      <c r="G337" s="1038">
        <v>97663266</v>
      </c>
      <c r="H337" s="1039">
        <v>0</v>
      </c>
      <c r="I337" s="1038">
        <v>97663266</v>
      </c>
      <c r="J337" s="1037" t="s">
        <v>5080</v>
      </c>
    </row>
    <row r="338" spans="1:10" ht="20.100000000000001" customHeight="1">
      <c r="A338" s="1036">
        <f>ROW()-ROW(A18)</f>
        <v>320</v>
      </c>
      <c r="B338" s="1036" t="s">
        <v>5229</v>
      </c>
      <c r="C338" s="1036" t="s">
        <v>5140</v>
      </c>
      <c r="D338" s="1037" t="s">
        <v>5312</v>
      </c>
      <c r="E338" s="1037">
        <v>0</v>
      </c>
      <c r="F338" s="1037" t="s">
        <v>81</v>
      </c>
      <c r="G338" s="1040">
        <v>0</v>
      </c>
      <c r="H338" s="1041">
        <v>0</v>
      </c>
      <c r="I338" s="1040">
        <v>0</v>
      </c>
      <c r="J338" s="1037" t="s">
        <v>5080</v>
      </c>
    </row>
    <row r="339" spans="1:10" ht="20.100000000000001" customHeight="1">
      <c r="A339" s="1036">
        <f>ROW()-ROW(A18)</f>
        <v>321</v>
      </c>
      <c r="B339" s="1036" t="s">
        <v>793</v>
      </c>
      <c r="C339" s="1036" t="s">
        <v>5145</v>
      </c>
      <c r="D339" s="1037" t="s">
        <v>5312</v>
      </c>
      <c r="E339" s="1037">
        <v>0.5</v>
      </c>
      <c r="F339" s="1037" t="s">
        <v>80</v>
      </c>
      <c r="G339" s="1038">
        <v>90729660</v>
      </c>
      <c r="H339" s="1039">
        <v>0</v>
      </c>
      <c r="I339" s="1038">
        <v>90729660</v>
      </c>
      <c r="J339" s="1037" t="s">
        <v>5080</v>
      </c>
    </row>
    <row r="340" spans="1:10" ht="20.100000000000001" customHeight="1">
      <c r="A340" s="1036">
        <f>ROW()-ROW(A18)</f>
        <v>322</v>
      </c>
      <c r="B340" s="1036" t="s">
        <v>5219</v>
      </c>
      <c r="C340" s="1036" t="s">
        <v>5145</v>
      </c>
      <c r="D340" s="1037" t="s">
        <v>5312</v>
      </c>
      <c r="E340" s="1037">
        <v>0</v>
      </c>
      <c r="F340" s="1037" t="s">
        <v>81</v>
      </c>
      <c r="G340" s="1040">
        <v>0</v>
      </c>
      <c r="H340" s="1041">
        <v>0</v>
      </c>
      <c r="I340" s="1040">
        <v>0</v>
      </c>
      <c r="J340" s="1037" t="s">
        <v>5080</v>
      </c>
    </row>
    <row r="341" spans="1:10" ht="20.100000000000001" customHeight="1">
      <c r="A341" s="1036">
        <f>ROW()-ROW(A18)</f>
        <v>323</v>
      </c>
      <c r="B341" s="1036" t="s">
        <v>769</v>
      </c>
      <c r="C341" s="1036" t="s">
        <v>5195</v>
      </c>
      <c r="D341" s="1037" t="s">
        <v>5312</v>
      </c>
      <c r="E341" s="1037">
        <v>0.5</v>
      </c>
      <c r="F341" s="1037" t="s">
        <v>80</v>
      </c>
      <c r="G341" s="1038">
        <v>10193140</v>
      </c>
      <c r="H341" s="1039">
        <v>0</v>
      </c>
      <c r="I341" s="1038">
        <v>10193140</v>
      </c>
      <c r="J341" s="1037" t="s">
        <v>5080</v>
      </c>
    </row>
    <row r="342" spans="1:10" ht="20.100000000000001" customHeight="1">
      <c r="A342" s="1036">
        <f>ROW()-ROW(A18)</f>
        <v>324</v>
      </c>
      <c r="B342" s="1036" t="s">
        <v>5217</v>
      </c>
      <c r="C342" s="1036" t="s">
        <v>5195</v>
      </c>
      <c r="D342" s="1037" t="s">
        <v>5312</v>
      </c>
      <c r="E342" s="1037">
        <v>0</v>
      </c>
      <c r="F342" s="1037" t="s">
        <v>81</v>
      </c>
      <c r="G342" s="1040">
        <v>0</v>
      </c>
      <c r="H342" s="1041">
        <v>0</v>
      </c>
      <c r="I342" s="1040">
        <v>0</v>
      </c>
      <c r="J342" s="1037" t="s">
        <v>5080</v>
      </c>
    </row>
    <row r="343" spans="1:10" ht="20.100000000000001" customHeight="1">
      <c r="A343" s="1036">
        <f>ROW()-ROW(A18)</f>
        <v>325</v>
      </c>
      <c r="B343" s="1036" t="s">
        <v>785</v>
      </c>
      <c r="C343" s="1036" t="s">
        <v>5189</v>
      </c>
      <c r="D343" s="1037" t="s">
        <v>5312</v>
      </c>
      <c r="E343" s="1037">
        <v>0.5</v>
      </c>
      <c r="F343" s="1037" t="s">
        <v>80</v>
      </c>
      <c r="G343" s="1038">
        <v>19634919</v>
      </c>
      <c r="H343" s="1039">
        <v>0</v>
      </c>
      <c r="I343" s="1038">
        <v>19634919</v>
      </c>
      <c r="J343" s="1037" t="s">
        <v>5080</v>
      </c>
    </row>
    <row r="344" spans="1:10" ht="20.100000000000001" customHeight="1">
      <c r="A344" s="1036">
        <f>ROW()-ROW(A18)</f>
        <v>326</v>
      </c>
      <c r="B344" s="1036" t="s">
        <v>5218</v>
      </c>
      <c r="C344" s="1036" t="s">
        <v>5189</v>
      </c>
      <c r="D344" s="1037" t="s">
        <v>5312</v>
      </c>
      <c r="E344" s="1037">
        <v>0</v>
      </c>
      <c r="F344" s="1037" t="s">
        <v>81</v>
      </c>
      <c r="G344" s="1040">
        <v>0</v>
      </c>
      <c r="H344" s="1041">
        <v>0</v>
      </c>
      <c r="I344" s="1040">
        <v>0</v>
      </c>
      <c r="J344" s="1037" t="s">
        <v>5080</v>
      </c>
    </row>
    <row r="345" spans="1:10" ht="20.100000000000001" customHeight="1">
      <c r="A345" s="1036">
        <f>ROW()-ROW(A18)</f>
        <v>327</v>
      </c>
      <c r="B345" s="1036" t="s">
        <v>860</v>
      </c>
      <c r="C345" s="1036" t="s">
        <v>5156</v>
      </c>
      <c r="D345" s="1037" t="s">
        <v>5313</v>
      </c>
      <c r="E345" s="1037">
        <v>0.5</v>
      </c>
      <c r="F345" s="1037" t="s">
        <v>80</v>
      </c>
      <c r="G345" s="1038">
        <v>51112543</v>
      </c>
      <c r="H345" s="1039">
        <v>0</v>
      </c>
      <c r="I345" s="1038">
        <v>51112543</v>
      </c>
      <c r="J345" s="1037" t="s">
        <v>5113</v>
      </c>
    </row>
    <row r="346" spans="1:10" ht="20.100000000000001" customHeight="1">
      <c r="A346" s="1036">
        <f>ROW()-ROW(A18)</f>
        <v>328</v>
      </c>
      <c r="B346" s="1036" t="s">
        <v>858</v>
      </c>
      <c r="C346" s="1036" t="s">
        <v>5152</v>
      </c>
      <c r="D346" s="1037" t="s">
        <v>5314</v>
      </c>
      <c r="E346" s="1037">
        <v>0.5</v>
      </c>
      <c r="F346" s="1037" t="s">
        <v>80</v>
      </c>
      <c r="G346" s="1038">
        <v>63137665</v>
      </c>
      <c r="H346" s="1039">
        <v>0</v>
      </c>
      <c r="I346" s="1038">
        <v>63137665</v>
      </c>
      <c r="J346" s="1037" t="s">
        <v>5113</v>
      </c>
    </row>
    <row r="347" spans="1:10" ht="20.100000000000001" customHeight="1">
      <c r="A347" s="1036">
        <f>ROW()-ROW(A18)</f>
        <v>329</v>
      </c>
      <c r="B347" s="1036" t="s">
        <v>863</v>
      </c>
      <c r="C347" s="1036" t="s">
        <v>5155</v>
      </c>
      <c r="D347" s="1037" t="s">
        <v>5314</v>
      </c>
      <c r="E347" s="1037">
        <v>0.5</v>
      </c>
      <c r="F347" s="1037" t="s">
        <v>80</v>
      </c>
      <c r="G347" s="1038">
        <v>51114074</v>
      </c>
      <c r="H347" s="1039">
        <v>0</v>
      </c>
      <c r="I347" s="1038">
        <v>51114074</v>
      </c>
      <c r="J347" s="1037" t="s">
        <v>5113</v>
      </c>
    </row>
    <row r="348" spans="1:10" ht="20.100000000000001" customHeight="1">
      <c r="A348" s="1036">
        <f>ROW()-ROW(A18)</f>
        <v>330</v>
      </c>
      <c r="B348" s="1036" t="s">
        <v>1100</v>
      </c>
      <c r="C348" s="1036" t="s">
        <v>5124</v>
      </c>
      <c r="D348" s="1037" t="s">
        <v>5315</v>
      </c>
      <c r="E348" s="1037">
        <v>0.5</v>
      </c>
      <c r="F348" s="1037" t="s">
        <v>80</v>
      </c>
      <c r="G348" s="1038">
        <v>1248508075</v>
      </c>
      <c r="H348" s="1039">
        <v>0</v>
      </c>
      <c r="I348" s="1038">
        <v>1248508075</v>
      </c>
      <c r="J348" s="1037" t="s">
        <v>5113</v>
      </c>
    </row>
    <row r="349" spans="1:10" ht="20.100000000000001" customHeight="1">
      <c r="A349" s="1036">
        <f>ROW()-ROW(A18)</f>
        <v>331</v>
      </c>
      <c r="B349" s="1036" t="s">
        <v>913</v>
      </c>
      <c r="C349" s="1036" t="s">
        <v>5208</v>
      </c>
      <c r="D349" s="1037" t="s">
        <v>5316</v>
      </c>
      <c r="E349" s="1037">
        <v>0.5</v>
      </c>
      <c r="F349" s="1037" t="s">
        <v>80</v>
      </c>
      <c r="G349" s="1038">
        <v>10447597</v>
      </c>
      <c r="H349" s="1039">
        <v>0</v>
      </c>
      <c r="I349" s="1038">
        <v>10447597</v>
      </c>
      <c r="J349" s="1037" t="s">
        <v>5098</v>
      </c>
    </row>
    <row r="350" spans="1:10" ht="20.100000000000001" customHeight="1">
      <c r="A350" s="1036">
        <f>ROW()-ROW(A18)</f>
        <v>332</v>
      </c>
      <c r="B350" s="1036" t="s">
        <v>914</v>
      </c>
      <c r="C350" s="1036" t="s">
        <v>5208</v>
      </c>
      <c r="D350" s="1037" t="s">
        <v>5316</v>
      </c>
      <c r="E350" s="1037">
        <v>0</v>
      </c>
      <c r="F350" s="1037" t="s">
        <v>81</v>
      </c>
      <c r="G350" s="1040">
        <v>0</v>
      </c>
      <c r="H350" s="1041">
        <v>0</v>
      </c>
      <c r="I350" s="1040">
        <v>0</v>
      </c>
      <c r="J350" s="1037" t="s">
        <v>5098</v>
      </c>
    </row>
    <row r="351" spans="1:10" ht="20.100000000000001" customHeight="1">
      <c r="A351" s="1036">
        <f>ROW()-ROW(A18)</f>
        <v>333</v>
      </c>
      <c r="B351" s="1036" t="s">
        <v>920</v>
      </c>
      <c r="C351" s="1036" t="s">
        <v>5197</v>
      </c>
      <c r="D351" s="1037" t="s">
        <v>5317</v>
      </c>
      <c r="E351" s="1037">
        <v>0.5</v>
      </c>
      <c r="F351" s="1037" t="s">
        <v>80</v>
      </c>
      <c r="G351" s="1038">
        <v>7968666</v>
      </c>
      <c r="H351" s="1039">
        <v>0</v>
      </c>
      <c r="I351" s="1038">
        <v>7968666</v>
      </c>
      <c r="J351" s="1037" t="s">
        <v>5080</v>
      </c>
    </row>
    <row r="352" spans="1:10" ht="20.100000000000001" customHeight="1">
      <c r="A352" s="1036">
        <f>ROW()-ROW(A18)</f>
        <v>334</v>
      </c>
      <c r="B352" s="1036" t="s">
        <v>925</v>
      </c>
      <c r="C352" s="1036" t="s">
        <v>5143</v>
      </c>
      <c r="D352" s="1037" t="s">
        <v>5318</v>
      </c>
      <c r="E352" s="1037">
        <v>0.5</v>
      </c>
      <c r="F352" s="1037" t="s">
        <v>80</v>
      </c>
      <c r="G352" s="1038">
        <v>95560352</v>
      </c>
      <c r="H352" s="1039">
        <v>0</v>
      </c>
      <c r="I352" s="1038">
        <v>95560352</v>
      </c>
      <c r="J352" s="1037" t="s">
        <v>5080</v>
      </c>
    </row>
    <row r="353" spans="1:10" ht="20.100000000000001" customHeight="1">
      <c r="A353" s="1036">
        <f>ROW()-ROW(A18)</f>
        <v>335</v>
      </c>
      <c r="B353" s="1036" t="s">
        <v>922</v>
      </c>
      <c r="C353" s="1036" t="s">
        <v>5198</v>
      </c>
      <c r="D353" s="1037" t="s">
        <v>5318</v>
      </c>
      <c r="E353" s="1037">
        <v>0.5</v>
      </c>
      <c r="F353" s="1037" t="s">
        <v>80</v>
      </c>
      <c r="G353" s="1038">
        <v>6957850</v>
      </c>
      <c r="H353" s="1039">
        <v>0</v>
      </c>
      <c r="I353" s="1038">
        <v>6957850</v>
      </c>
      <c r="J353" s="1037" t="s">
        <v>5098</v>
      </c>
    </row>
    <row r="354" spans="1:10" ht="20.100000000000001" customHeight="1">
      <c r="A354" s="1036">
        <f>ROW()-ROW(A18)</f>
        <v>336</v>
      </c>
      <c r="B354" s="1036" t="s">
        <v>923</v>
      </c>
      <c r="C354" s="1036" t="s">
        <v>5198</v>
      </c>
      <c r="D354" s="1037" t="s">
        <v>5318</v>
      </c>
      <c r="E354" s="1037">
        <v>0</v>
      </c>
      <c r="F354" s="1037" t="s">
        <v>81</v>
      </c>
      <c r="G354" s="1040">
        <v>0</v>
      </c>
      <c r="H354" s="1041">
        <v>0</v>
      </c>
      <c r="I354" s="1040">
        <v>0</v>
      </c>
      <c r="J354" s="1037" t="s">
        <v>5098</v>
      </c>
    </row>
    <row r="355" spans="1:10" ht="20.100000000000001" customHeight="1">
      <c r="A355" s="1036">
        <f>ROW()-ROW(A18)</f>
        <v>337</v>
      </c>
      <c r="B355" s="1036" t="s">
        <v>948</v>
      </c>
      <c r="C355" s="1036" t="s">
        <v>5141</v>
      </c>
      <c r="D355" s="1037" t="s">
        <v>5319</v>
      </c>
      <c r="E355" s="1037">
        <v>0.5</v>
      </c>
      <c r="F355" s="1037" t="s">
        <v>80</v>
      </c>
      <c r="G355" s="1038">
        <v>96533577</v>
      </c>
      <c r="H355" s="1039">
        <v>0</v>
      </c>
      <c r="I355" s="1038">
        <v>96533577</v>
      </c>
      <c r="J355" s="1037" t="s">
        <v>5080</v>
      </c>
    </row>
    <row r="356" spans="1:10" ht="20.100000000000001" customHeight="1">
      <c r="A356" s="1036">
        <f>ROW()-ROW(A18)</f>
        <v>338</v>
      </c>
      <c r="B356" s="1036" t="s">
        <v>952</v>
      </c>
      <c r="C356" s="1036" t="s">
        <v>5136</v>
      </c>
      <c r="D356" s="1037" t="s">
        <v>5319</v>
      </c>
      <c r="E356" s="1037">
        <v>0.5</v>
      </c>
      <c r="F356" s="1037" t="s">
        <v>80</v>
      </c>
      <c r="G356" s="1038">
        <v>102250760</v>
      </c>
      <c r="H356" s="1039">
        <v>0</v>
      </c>
      <c r="I356" s="1038">
        <v>102250760</v>
      </c>
      <c r="J356" s="1037" t="s">
        <v>5080</v>
      </c>
    </row>
    <row r="357" spans="1:10" ht="20.100000000000001" customHeight="1">
      <c r="A357" s="1036">
        <f>ROW()-ROW(A18)</f>
        <v>339</v>
      </c>
      <c r="B357" s="1036" t="s">
        <v>944</v>
      </c>
      <c r="C357" s="1036" t="s">
        <v>5142</v>
      </c>
      <c r="D357" s="1037" t="s">
        <v>5319</v>
      </c>
      <c r="E357" s="1037">
        <v>0.5</v>
      </c>
      <c r="F357" s="1037" t="s">
        <v>80</v>
      </c>
      <c r="G357" s="1038">
        <v>96533467</v>
      </c>
      <c r="H357" s="1039">
        <v>0</v>
      </c>
      <c r="I357" s="1038">
        <v>96533467</v>
      </c>
      <c r="J357" s="1037" t="s">
        <v>5080</v>
      </c>
    </row>
    <row r="358" spans="1:10" ht="20.100000000000001" customHeight="1">
      <c r="A358" s="1036">
        <f>ROW()-ROW(A18)</f>
        <v>340</v>
      </c>
      <c r="B358" s="1036" t="s">
        <v>946</v>
      </c>
      <c r="C358" s="1036" t="s">
        <v>5137</v>
      </c>
      <c r="D358" s="1037" t="s">
        <v>5319</v>
      </c>
      <c r="E358" s="1037">
        <v>0.5</v>
      </c>
      <c r="F358" s="1037" t="s">
        <v>80</v>
      </c>
      <c r="G358" s="1038">
        <v>101635167</v>
      </c>
      <c r="H358" s="1039">
        <v>0</v>
      </c>
      <c r="I358" s="1038">
        <v>101635167</v>
      </c>
      <c r="J358" s="1037" t="s">
        <v>5080</v>
      </c>
    </row>
    <row r="359" spans="1:10" ht="20.100000000000001" customHeight="1">
      <c r="A359" s="1036">
        <f>ROW()-ROW(A18)</f>
        <v>341</v>
      </c>
      <c r="B359" s="1036" t="s">
        <v>950</v>
      </c>
      <c r="C359" s="1036" t="s">
        <v>5154</v>
      </c>
      <c r="D359" s="1037" t="s">
        <v>5319</v>
      </c>
      <c r="E359" s="1037">
        <v>0.5</v>
      </c>
      <c r="F359" s="1037" t="s">
        <v>80</v>
      </c>
      <c r="G359" s="1038">
        <v>51635262</v>
      </c>
      <c r="H359" s="1039">
        <v>0</v>
      </c>
      <c r="I359" s="1038">
        <v>51635262</v>
      </c>
      <c r="J359" s="1037" t="s">
        <v>5080</v>
      </c>
    </row>
    <row r="360" spans="1:10" ht="20.100000000000001" customHeight="1">
      <c r="A360" s="1036">
        <f>ROW()-ROW(A18)</f>
        <v>342</v>
      </c>
      <c r="B360" s="1036" t="s">
        <v>956</v>
      </c>
      <c r="C360" s="1036" t="s">
        <v>5202</v>
      </c>
      <c r="D360" s="1037" t="s">
        <v>5320</v>
      </c>
      <c r="E360" s="1037">
        <v>0.5</v>
      </c>
      <c r="F360" s="1037" t="s">
        <v>80</v>
      </c>
      <c r="G360" s="1038">
        <v>4606777</v>
      </c>
      <c r="H360" s="1039">
        <v>0</v>
      </c>
      <c r="I360" s="1038">
        <v>4606777</v>
      </c>
      <c r="J360" s="1037" t="s">
        <v>5080</v>
      </c>
    </row>
    <row r="361" spans="1:10" ht="20.100000000000001" customHeight="1">
      <c r="A361" s="1036">
        <f>ROW()-ROW(A18)</f>
        <v>343</v>
      </c>
      <c r="B361" s="1036" t="s">
        <v>958</v>
      </c>
      <c r="C361" s="1036" t="s">
        <v>5201</v>
      </c>
      <c r="D361" s="1037" t="s">
        <v>5320</v>
      </c>
      <c r="E361" s="1037">
        <v>0.5</v>
      </c>
      <c r="F361" s="1037" t="s">
        <v>80</v>
      </c>
      <c r="G361" s="1038">
        <v>4608843</v>
      </c>
      <c r="H361" s="1039">
        <v>0</v>
      </c>
      <c r="I361" s="1038">
        <v>4608843</v>
      </c>
      <c r="J361" s="1037" t="s">
        <v>5080</v>
      </c>
    </row>
    <row r="362" spans="1:10" ht="20.100000000000001" customHeight="1">
      <c r="A362" s="1036">
        <f>ROW()-ROW(A18)</f>
        <v>344</v>
      </c>
      <c r="B362" s="1036" t="s">
        <v>960</v>
      </c>
      <c r="C362" s="1036" t="s">
        <v>5125</v>
      </c>
      <c r="D362" s="1037" t="s">
        <v>5320</v>
      </c>
      <c r="E362" s="1037">
        <v>0.5</v>
      </c>
      <c r="F362" s="1037" t="s">
        <v>80</v>
      </c>
      <c r="G362" s="1038">
        <v>993453747</v>
      </c>
      <c r="H362" s="1039">
        <v>0</v>
      </c>
      <c r="I362" s="1038">
        <v>993453747</v>
      </c>
      <c r="J362" s="1037" t="s">
        <v>5080</v>
      </c>
    </row>
    <row r="363" spans="1:10" ht="20.100000000000001" customHeight="1">
      <c r="A363" s="1036">
        <f>ROW()-ROW(A18)</f>
        <v>345</v>
      </c>
      <c r="B363" s="1036" t="s">
        <v>961</v>
      </c>
      <c r="C363" s="1036" t="s">
        <v>5125</v>
      </c>
      <c r="D363" s="1037" t="s">
        <v>5320</v>
      </c>
      <c r="E363" s="1037">
        <v>0</v>
      </c>
      <c r="F363" s="1037" t="s">
        <v>81</v>
      </c>
      <c r="G363" s="1040">
        <v>0</v>
      </c>
      <c r="H363" s="1041">
        <v>0</v>
      </c>
      <c r="I363" s="1040">
        <v>0</v>
      </c>
      <c r="J363" s="1037" t="s">
        <v>5080</v>
      </c>
    </row>
    <row r="364" spans="1:10" ht="20.100000000000001" customHeight="1">
      <c r="A364" s="1036">
        <f>ROW()-ROW(A18)</f>
        <v>346</v>
      </c>
      <c r="B364" s="1036" t="s">
        <v>1046</v>
      </c>
      <c r="C364" s="1036" t="s">
        <v>5121</v>
      </c>
      <c r="D364" s="1037" t="s">
        <v>5321</v>
      </c>
      <c r="E364" s="1037">
        <v>0.5</v>
      </c>
      <c r="F364" s="1037" t="s">
        <v>80</v>
      </c>
      <c r="G364" s="1038">
        <v>2984784128</v>
      </c>
      <c r="H364" s="1039">
        <v>0</v>
      </c>
      <c r="I364" s="1038">
        <v>2984784128</v>
      </c>
      <c r="J364" s="1037" t="s">
        <v>5113</v>
      </c>
    </row>
    <row r="365" spans="1:10" ht="20.100000000000001" customHeight="1">
      <c r="A365" s="1036">
        <f>ROW()-ROW(A18)</f>
        <v>347</v>
      </c>
      <c r="B365" s="1036" t="s">
        <v>1033</v>
      </c>
      <c r="C365" s="1036" t="s">
        <v>5160</v>
      </c>
      <c r="D365" s="1037" t="s">
        <v>5322</v>
      </c>
      <c r="E365" s="1037">
        <v>0.5</v>
      </c>
      <c r="F365" s="1037" t="s">
        <v>80</v>
      </c>
      <c r="G365" s="1038">
        <v>46467874</v>
      </c>
      <c r="H365" s="1039">
        <v>0</v>
      </c>
      <c r="I365" s="1038">
        <v>46467874</v>
      </c>
      <c r="J365" s="1037" t="s">
        <v>5113</v>
      </c>
    </row>
    <row r="366" spans="1:10" ht="20.100000000000001" customHeight="1">
      <c r="A366" s="1036">
        <f>ROW()-ROW(A18)</f>
        <v>348</v>
      </c>
      <c r="B366" s="1036" t="s">
        <v>1047</v>
      </c>
      <c r="C366" s="1036" t="s">
        <v>5117</v>
      </c>
      <c r="D366" s="1037" t="s">
        <v>5323</v>
      </c>
      <c r="E366" s="1037">
        <v>0.5</v>
      </c>
      <c r="F366" s="1037" t="s">
        <v>80</v>
      </c>
      <c r="G366" s="1038">
        <v>4923195494</v>
      </c>
      <c r="H366" s="1039">
        <v>0</v>
      </c>
      <c r="I366" s="1038">
        <v>4923195494</v>
      </c>
      <c r="J366" s="1037" t="s">
        <v>5113</v>
      </c>
    </row>
    <row r="367" spans="1:10" ht="20.100000000000001" customHeight="1">
      <c r="A367" s="1036">
        <f>ROW()-ROW(A18)</f>
        <v>349</v>
      </c>
      <c r="B367" s="1036" t="s">
        <v>1048</v>
      </c>
      <c r="C367" s="1036" t="s">
        <v>5112</v>
      </c>
      <c r="D367" s="1037" t="s">
        <v>5321</v>
      </c>
      <c r="E367" s="1037">
        <v>0.5</v>
      </c>
      <c r="F367" s="1037" t="s">
        <v>80</v>
      </c>
      <c r="G367" s="1038">
        <v>7253695793</v>
      </c>
      <c r="H367" s="1039">
        <v>0</v>
      </c>
      <c r="I367" s="1038">
        <v>7253695793</v>
      </c>
      <c r="J367" s="1037" t="s">
        <v>5113</v>
      </c>
    </row>
    <row r="368" spans="1:10" ht="20.100000000000001" customHeight="1">
      <c r="A368" s="1036">
        <f>ROW()-ROW(A18)</f>
        <v>350</v>
      </c>
      <c r="B368" s="1036" t="s">
        <v>1049</v>
      </c>
      <c r="C368" s="1036" t="s">
        <v>5128</v>
      </c>
      <c r="D368" s="1037" t="s">
        <v>5322</v>
      </c>
      <c r="E368" s="1037">
        <v>0.5</v>
      </c>
      <c r="F368" s="1037" t="s">
        <v>80</v>
      </c>
      <c r="G368" s="1038">
        <v>758140543</v>
      </c>
      <c r="H368" s="1039">
        <v>0</v>
      </c>
      <c r="I368" s="1038">
        <v>758140543</v>
      </c>
      <c r="J368" s="1037" t="s">
        <v>5113</v>
      </c>
    </row>
    <row r="369" spans="1:10" ht="20.100000000000001" customHeight="1">
      <c r="A369" s="1036">
        <f>ROW()-ROW(A18)</f>
        <v>351</v>
      </c>
      <c r="B369" s="1036" t="s">
        <v>992</v>
      </c>
      <c r="C369" s="1036" t="s">
        <v>5120</v>
      </c>
      <c r="D369" s="1037" t="s">
        <v>5324</v>
      </c>
      <c r="E369" s="1037">
        <v>0.5</v>
      </c>
      <c r="F369" s="1037" t="s">
        <v>80</v>
      </c>
      <c r="G369" s="1038">
        <v>3104914988</v>
      </c>
      <c r="H369" s="1039">
        <v>0</v>
      </c>
      <c r="I369" s="1038">
        <v>3104914988</v>
      </c>
      <c r="J369" s="1037" t="s">
        <v>5098</v>
      </c>
    </row>
    <row r="370" spans="1:10" ht="20.100000000000001" customHeight="1">
      <c r="A370" s="1036">
        <f>ROW()-ROW(A18)</f>
        <v>352</v>
      </c>
      <c r="B370" s="1036" t="s">
        <v>986</v>
      </c>
      <c r="C370" s="1036" t="s">
        <v>5181</v>
      </c>
      <c r="D370" s="1037" t="s">
        <v>5325</v>
      </c>
      <c r="E370" s="1037">
        <v>0.5</v>
      </c>
      <c r="F370" s="1037" t="s">
        <v>80</v>
      </c>
      <c r="G370" s="1038">
        <v>29761470</v>
      </c>
      <c r="H370" s="1039">
        <v>0</v>
      </c>
      <c r="I370" s="1038">
        <v>29761470</v>
      </c>
      <c r="J370" s="1037" t="s">
        <v>5080</v>
      </c>
    </row>
    <row r="371" spans="1:10" ht="20.100000000000001" customHeight="1">
      <c r="A371" s="1036">
        <f>ROW()-ROW(A18)</f>
        <v>353</v>
      </c>
      <c r="B371" s="1036" t="s">
        <v>988</v>
      </c>
      <c r="C371" s="1036" t="s">
        <v>5180</v>
      </c>
      <c r="D371" s="1037" t="s">
        <v>5325</v>
      </c>
      <c r="E371" s="1037">
        <v>0.5</v>
      </c>
      <c r="F371" s="1037" t="s">
        <v>80</v>
      </c>
      <c r="G371" s="1038">
        <v>29761470</v>
      </c>
      <c r="H371" s="1039">
        <v>0</v>
      </c>
      <c r="I371" s="1038">
        <v>29761470</v>
      </c>
      <c r="J371" s="1037" t="s">
        <v>5080</v>
      </c>
    </row>
    <row r="372" spans="1:10" ht="20.100000000000001" customHeight="1">
      <c r="A372" s="1036">
        <f>ROW()-ROW(A18)</f>
        <v>354</v>
      </c>
      <c r="B372" s="1036" t="s">
        <v>980</v>
      </c>
      <c r="C372" s="1036" t="s">
        <v>5182</v>
      </c>
      <c r="D372" s="1037" t="s">
        <v>5325</v>
      </c>
      <c r="E372" s="1037">
        <v>0.5</v>
      </c>
      <c r="F372" s="1037" t="s">
        <v>80</v>
      </c>
      <c r="G372" s="1038">
        <v>29177498</v>
      </c>
      <c r="H372" s="1039">
        <v>0</v>
      </c>
      <c r="I372" s="1038">
        <v>29177498</v>
      </c>
      <c r="J372" s="1037" t="s">
        <v>5080</v>
      </c>
    </row>
    <row r="373" spans="1:10" ht="20.100000000000001" customHeight="1">
      <c r="A373" s="1036">
        <f>ROW()-ROW(A18)</f>
        <v>355</v>
      </c>
      <c r="B373" s="1036" t="s">
        <v>984</v>
      </c>
      <c r="C373" s="1036" t="s">
        <v>5151</v>
      </c>
      <c r="D373" s="1037" t="s">
        <v>5325</v>
      </c>
      <c r="E373" s="1037">
        <v>0.5</v>
      </c>
      <c r="F373" s="1037" t="s">
        <v>80</v>
      </c>
      <c r="G373" s="1038">
        <v>69491114</v>
      </c>
      <c r="H373" s="1039">
        <v>0</v>
      </c>
      <c r="I373" s="1038">
        <v>69491114</v>
      </c>
      <c r="J373" s="1037" t="s">
        <v>5080</v>
      </c>
    </row>
    <row r="374" spans="1:10" ht="20.100000000000001" customHeight="1">
      <c r="A374" s="1036">
        <f>ROW()-ROW(A18)</f>
        <v>356</v>
      </c>
      <c r="B374" s="1036" t="s">
        <v>1083</v>
      </c>
      <c r="C374" s="1036" t="s">
        <v>5151</v>
      </c>
      <c r="D374" s="1037" t="s">
        <v>5326</v>
      </c>
      <c r="E374" s="1037">
        <v>0.2</v>
      </c>
      <c r="F374" s="1037" t="s">
        <v>80</v>
      </c>
      <c r="G374" s="1038">
        <v>0</v>
      </c>
      <c r="H374" s="1039">
        <v>0</v>
      </c>
      <c r="I374" s="1038">
        <v>0</v>
      </c>
      <c r="J374" s="1037" t="s">
        <v>5080</v>
      </c>
    </row>
    <row r="375" spans="1:10" ht="20.100000000000001" customHeight="1">
      <c r="A375" s="1036">
        <f>ROW()-ROW(A18)</f>
        <v>357</v>
      </c>
      <c r="B375" s="1036" t="s">
        <v>982</v>
      </c>
      <c r="C375" s="1036" t="s">
        <v>5178</v>
      </c>
      <c r="D375" s="1037" t="s">
        <v>5324</v>
      </c>
      <c r="E375" s="1037">
        <v>0.5</v>
      </c>
      <c r="F375" s="1037" t="s">
        <v>80</v>
      </c>
      <c r="G375" s="1038">
        <v>30476931</v>
      </c>
      <c r="H375" s="1039">
        <v>0</v>
      </c>
      <c r="I375" s="1038">
        <v>30476931</v>
      </c>
      <c r="J375" s="1037" t="s">
        <v>5080</v>
      </c>
    </row>
    <row r="376" spans="1:10" ht="20.100000000000001" customHeight="1">
      <c r="A376" s="1036">
        <f>ROW()-ROW(A18)</f>
        <v>358</v>
      </c>
      <c r="B376" s="1036" t="s">
        <v>998</v>
      </c>
      <c r="C376" s="1036" t="s">
        <v>5171</v>
      </c>
      <c r="D376" s="1037" t="s">
        <v>5327</v>
      </c>
      <c r="E376" s="1037">
        <v>0.5</v>
      </c>
      <c r="F376" s="1037" t="s">
        <v>80</v>
      </c>
      <c r="G376" s="1038">
        <v>38221710</v>
      </c>
      <c r="H376" s="1039">
        <v>0</v>
      </c>
      <c r="I376" s="1038">
        <v>38221710</v>
      </c>
      <c r="J376" s="1037" t="s">
        <v>5098</v>
      </c>
    </row>
    <row r="377" spans="1:10" ht="20.100000000000001" customHeight="1">
      <c r="A377" s="1036">
        <f>ROW()-ROW(A18)</f>
        <v>359</v>
      </c>
      <c r="B377" s="1036" t="s">
        <v>999</v>
      </c>
      <c r="C377" s="1036" t="s">
        <v>5165</v>
      </c>
      <c r="D377" s="1037" t="s">
        <v>5328</v>
      </c>
      <c r="E377" s="1037">
        <v>0.5</v>
      </c>
      <c r="F377" s="1037" t="s">
        <v>80</v>
      </c>
      <c r="G377" s="1038">
        <v>41496026</v>
      </c>
      <c r="H377" s="1039">
        <v>0</v>
      </c>
      <c r="I377" s="1038">
        <v>41496026</v>
      </c>
      <c r="J377" s="1037" t="s">
        <v>5098</v>
      </c>
    </row>
    <row r="378" spans="1:10" ht="20.100000000000001" customHeight="1">
      <c r="A378" s="1036">
        <f>ROW()-ROW(A18)</f>
        <v>360</v>
      </c>
      <c r="B378" s="1036" t="s">
        <v>1077</v>
      </c>
      <c r="C378" s="1036" t="s">
        <v>5146</v>
      </c>
      <c r="D378" s="1037" t="s">
        <v>5329</v>
      </c>
      <c r="E378" s="1037">
        <v>0.2</v>
      </c>
      <c r="F378" s="1037" t="s">
        <v>80</v>
      </c>
      <c r="G378" s="1038">
        <v>88154863</v>
      </c>
      <c r="H378" s="1039">
        <v>0</v>
      </c>
      <c r="I378" s="1038">
        <v>88154863</v>
      </c>
      <c r="J378" s="1037" t="s">
        <v>5106</v>
      </c>
    </row>
    <row r="379" spans="1:10" ht="20.100000000000001" customHeight="1">
      <c r="A379" s="1036">
        <f>ROW()-ROW(A18)</f>
        <v>361</v>
      </c>
      <c r="B379" s="1036" t="s">
        <v>481</v>
      </c>
      <c r="C379" s="1036" t="s">
        <v>5094</v>
      </c>
      <c r="D379" s="1037" t="s">
        <v>5253</v>
      </c>
      <c r="E379" s="1037">
        <v>0.5</v>
      </c>
      <c r="F379" s="1037" t="s">
        <v>80</v>
      </c>
      <c r="G379" s="1038">
        <v>25691514936</v>
      </c>
      <c r="H379" s="1039">
        <v>0</v>
      </c>
      <c r="I379" s="1038">
        <v>25691514936</v>
      </c>
      <c r="J379" s="1037" t="s">
        <v>5097</v>
      </c>
    </row>
    <row r="380" spans="1:10" ht="20.100000000000001" customHeight="1">
      <c r="A380" s="1036">
        <f>ROW()-ROW(A18)</f>
        <v>362</v>
      </c>
      <c r="B380" s="1036" t="s">
        <v>483</v>
      </c>
      <c r="C380" s="1036" t="s">
        <v>5094</v>
      </c>
      <c r="D380" s="1037" t="s">
        <v>5330</v>
      </c>
      <c r="E380" s="1037">
        <v>0.5</v>
      </c>
      <c r="F380" s="1037" t="s">
        <v>80</v>
      </c>
      <c r="G380" s="1038">
        <v>365837630</v>
      </c>
      <c r="H380" s="1039">
        <v>0</v>
      </c>
      <c r="I380" s="1038">
        <v>365837630</v>
      </c>
      <c r="J380" s="1037" t="s">
        <v>5098</v>
      </c>
    </row>
    <row r="381" spans="1:10" ht="20.100000000000001" customHeight="1">
      <c r="A381" s="1036">
        <f>ROW()-ROW(A18)</f>
        <v>363</v>
      </c>
      <c r="B381" s="1036" t="s">
        <v>486</v>
      </c>
      <c r="C381" s="1036" t="s">
        <v>5094</v>
      </c>
      <c r="D381" s="1037" t="s">
        <v>5331</v>
      </c>
      <c r="E381" s="1037">
        <v>0.5</v>
      </c>
      <c r="F381" s="1037" t="s">
        <v>80</v>
      </c>
      <c r="G381" s="1038">
        <v>90638801</v>
      </c>
      <c r="H381" s="1039">
        <v>0</v>
      </c>
      <c r="I381" s="1038">
        <v>90638801</v>
      </c>
      <c r="J381" s="1037" t="s">
        <v>5106</v>
      </c>
    </row>
    <row r="382" spans="1:10" ht="20.100000000000001" customHeight="1">
      <c r="A382" s="1036">
        <f>ROW()-ROW(A18)</f>
        <v>364</v>
      </c>
      <c r="B382" s="1036" t="s">
        <v>478</v>
      </c>
      <c r="C382" s="1036" t="s">
        <v>5094</v>
      </c>
      <c r="D382" s="1037" t="s">
        <v>5332</v>
      </c>
      <c r="E382" s="1037">
        <v>0.5</v>
      </c>
      <c r="F382" s="1037" t="s">
        <v>80</v>
      </c>
      <c r="G382" s="1038">
        <v>28966427</v>
      </c>
      <c r="H382" s="1039">
        <v>0</v>
      </c>
      <c r="I382" s="1038">
        <v>28966427</v>
      </c>
      <c r="J382" s="1037" t="s">
        <v>5080</v>
      </c>
    </row>
    <row r="383" spans="1:10" ht="20.100000000000001" customHeight="1">
      <c r="A383" s="1036">
        <f>ROW()-ROW(A18)</f>
        <v>365</v>
      </c>
      <c r="B383" s="1036" t="s">
        <v>482</v>
      </c>
      <c r="C383" s="1036" t="s">
        <v>5094</v>
      </c>
      <c r="D383" s="1037" t="s">
        <v>5253</v>
      </c>
      <c r="E383" s="1037">
        <v>0</v>
      </c>
      <c r="F383" s="1037" t="s">
        <v>81</v>
      </c>
      <c r="G383" s="1040">
        <v>1503.92</v>
      </c>
      <c r="H383" s="1041">
        <v>0</v>
      </c>
      <c r="I383" s="1040">
        <v>1503.92</v>
      </c>
      <c r="J383" s="1037" t="s">
        <v>5097</v>
      </c>
    </row>
    <row r="384" spans="1:10" ht="20.100000000000001" customHeight="1">
      <c r="A384" s="1036">
        <f>ROW()-ROW(A18)</f>
        <v>366</v>
      </c>
      <c r="B384" s="1036" t="s">
        <v>764</v>
      </c>
      <c r="C384" s="1036" t="s">
        <v>5094</v>
      </c>
      <c r="D384" s="1037" t="s">
        <v>5278</v>
      </c>
      <c r="E384" s="1037">
        <v>0</v>
      </c>
      <c r="F384" s="1037" t="s">
        <v>81</v>
      </c>
      <c r="G384" s="1040">
        <v>769</v>
      </c>
      <c r="H384" s="1041">
        <v>0</v>
      </c>
      <c r="I384" s="1040">
        <v>769</v>
      </c>
      <c r="J384" s="1037" t="s">
        <v>5111</v>
      </c>
    </row>
    <row r="385" spans="1:10" ht="20.100000000000001" customHeight="1">
      <c r="A385" s="1036">
        <f>ROW()-ROW(A18)</f>
        <v>367</v>
      </c>
      <c r="B385" s="1036" t="s">
        <v>763</v>
      </c>
      <c r="C385" s="1036" t="s">
        <v>5094</v>
      </c>
      <c r="D385" s="1037" t="s">
        <v>5333</v>
      </c>
      <c r="E385" s="1037">
        <v>0</v>
      </c>
      <c r="F385" s="1037" t="s">
        <v>81</v>
      </c>
      <c r="G385" s="1040">
        <v>748.33</v>
      </c>
      <c r="H385" s="1041">
        <v>0</v>
      </c>
      <c r="I385" s="1040">
        <v>748.33</v>
      </c>
      <c r="J385" s="1037" t="s">
        <v>5106</v>
      </c>
    </row>
    <row r="386" spans="1:10" ht="20.100000000000001" customHeight="1">
      <c r="A386" s="1036">
        <f>ROW()-ROW(A18)</f>
        <v>368</v>
      </c>
      <c r="B386" s="1036" t="s">
        <v>479</v>
      </c>
      <c r="C386" s="1036" t="s">
        <v>5094</v>
      </c>
      <c r="D386" s="1037" t="s">
        <v>5332</v>
      </c>
      <c r="E386" s="1037">
        <v>0</v>
      </c>
      <c r="F386" s="1037" t="s">
        <v>81</v>
      </c>
      <c r="G386" s="1040">
        <v>200</v>
      </c>
      <c r="H386" s="1041">
        <v>0</v>
      </c>
      <c r="I386" s="1040">
        <v>200</v>
      </c>
      <c r="J386" s="1037" t="s">
        <v>5080</v>
      </c>
    </row>
    <row r="387" spans="1:10" ht="20.100000000000001" customHeight="1">
      <c r="A387" s="1036">
        <f>ROW()-ROW(A18)</f>
        <v>369</v>
      </c>
      <c r="B387" s="1036" t="s">
        <v>484</v>
      </c>
      <c r="C387" s="1036" t="s">
        <v>5094</v>
      </c>
      <c r="D387" s="1037" t="s">
        <v>5330</v>
      </c>
      <c r="E387" s="1037">
        <v>0</v>
      </c>
      <c r="F387" s="1037" t="s">
        <v>81</v>
      </c>
      <c r="G387" s="1040">
        <v>200</v>
      </c>
      <c r="H387" s="1041">
        <v>0</v>
      </c>
      <c r="I387" s="1040">
        <v>200</v>
      </c>
      <c r="J387" s="1037" t="s">
        <v>5098</v>
      </c>
    </row>
    <row r="388" spans="1:10" ht="20.100000000000001" customHeight="1">
      <c r="A388" s="1036">
        <f>ROW()-ROW(A18)</f>
        <v>370</v>
      </c>
      <c r="B388" s="1036" t="s">
        <v>5334</v>
      </c>
      <c r="C388" s="1036" t="s">
        <v>5094</v>
      </c>
      <c r="D388" s="1037" t="s">
        <v>5269</v>
      </c>
      <c r="E388" s="1037">
        <v>0.5</v>
      </c>
      <c r="F388" s="1037" t="s">
        <v>80</v>
      </c>
      <c r="G388" s="1038">
        <v>0</v>
      </c>
      <c r="H388" s="1039">
        <v>0</v>
      </c>
      <c r="I388" s="1038">
        <v>0</v>
      </c>
      <c r="J388" s="1037" t="s">
        <v>5111</v>
      </c>
    </row>
  </sheetData>
  <mergeCells count="15">
    <mergeCell ref="A10:J10"/>
    <mergeCell ref="A2:C2"/>
    <mergeCell ref="A3:C3"/>
    <mergeCell ref="A6:I6"/>
    <mergeCell ref="A7:I7"/>
    <mergeCell ref="A8:I8"/>
    <mergeCell ref="C15:D15"/>
    <mergeCell ref="E15:F15"/>
    <mergeCell ref="A17:J17"/>
    <mergeCell ref="C12:D12"/>
    <mergeCell ref="E12:F12"/>
    <mergeCell ref="C13:D13"/>
    <mergeCell ref="E13:F13"/>
    <mergeCell ref="C14:D14"/>
    <mergeCell ref="E14:F14"/>
  </mergeCells>
  <pageMargins left="0.25" right="0.25" top="0.75" bottom="0.75" header="0" footer="0.3"/>
  <pageSetup paperSize="9"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B2A25-3ECB-4F2E-A8A0-6C13723D83C4}">
  <sheetPr>
    <tabColor theme="8" tint="0.39997558519241921"/>
  </sheetPr>
  <dimension ref="A1:Y80"/>
  <sheetViews>
    <sheetView showGridLines="0" workbookViewId="0">
      <selection activeCell="A60" sqref="A60:XFD60"/>
    </sheetView>
  </sheetViews>
  <sheetFormatPr defaultRowHeight="14.4"/>
  <cols>
    <col min="1" max="1" width="21" customWidth="1"/>
    <col min="2" max="2" width="15.5546875" bestFit="1" customWidth="1"/>
    <col min="3" max="3" width="15.44140625" bestFit="1" customWidth="1"/>
    <col min="4" max="4" width="16.5546875" bestFit="1" customWidth="1"/>
    <col min="5" max="6" width="15.44140625" bestFit="1" customWidth="1"/>
    <col min="7" max="7" width="16.5546875" bestFit="1" customWidth="1"/>
    <col min="8" max="15" width="7.5546875" hidden="1" customWidth="1"/>
    <col min="16" max="16" width="0" hidden="1" customWidth="1"/>
    <col min="18" max="18" width="1.5546875" customWidth="1"/>
    <col min="19" max="22" width="0" hidden="1" customWidth="1"/>
    <col min="23" max="23" width="4.5546875" customWidth="1"/>
    <col min="24" max="24" width="21.5546875" bestFit="1" customWidth="1"/>
    <col min="25" max="25" width="19.21875" bestFit="1" customWidth="1"/>
    <col min="26" max="26" width="14.44140625" bestFit="1" customWidth="1"/>
    <col min="27" max="27" width="15.44140625" bestFit="1" customWidth="1"/>
    <col min="28" max="28" width="8.44140625" bestFit="1" customWidth="1"/>
    <col min="29" max="34" width="9.44140625" bestFit="1" customWidth="1"/>
    <col min="35" max="36" width="10.44140625" bestFit="1" customWidth="1"/>
    <col min="37" max="38" width="10.5546875" bestFit="1" customWidth="1"/>
  </cols>
  <sheetData>
    <row r="1" spans="1:25" ht="18">
      <c r="A1" s="120" t="s">
        <v>345</v>
      </c>
      <c r="R1" s="390"/>
      <c r="X1" s="120" t="s">
        <v>346</v>
      </c>
    </row>
    <row r="2" spans="1:25" ht="14.1" customHeight="1">
      <c r="A2" s="120"/>
      <c r="R2" s="390"/>
      <c r="X2" s="120"/>
    </row>
    <row r="3" spans="1:25">
      <c r="R3" s="390"/>
    </row>
    <row r="4" spans="1:25">
      <c r="A4" s="365" t="s">
        <v>371</v>
      </c>
      <c r="B4" t="s">
        <v>388</v>
      </c>
      <c r="R4" s="390"/>
      <c r="X4" s="365" t="s">
        <v>371</v>
      </c>
      <c r="Y4" t="s">
        <v>388</v>
      </c>
    </row>
    <row r="5" spans="1:25">
      <c r="A5" s="365" t="s">
        <v>372</v>
      </c>
      <c r="B5" t="s">
        <v>305</v>
      </c>
      <c r="R5" s="390"/>
    </row>
    <row r="6" spans="1:25">
      <c r="R6" s="390"/>
      <c r="X6" s="365" t="s">
        <v>100</v>
      </c>
      <c r="Y6" t="s">
        <v>5335</v>
      </c>
    </row>
    <row r="7" spans="1:25">
      <c r="A7" s="365" t="s">
        <v>5336</v>
      </c>
      <c r="B7" s="365" t="s">
        <v>291</v>
      </c>
      <c r="R7" s="390"/>
      <c r="X7" s="17" t="s">
        <v>10</v>
      </c>
      <c r="Y7" s="342">
        <v>351320924150</v>
      </c>
    </row>
    <row r="8" spans="1:25">
      <c r="A8" s="365" t="s">
        <v>100</v>
      </c>
      <c r="B8" t="s">
        <v>275</v>
      </c>
      <c r="C8" t="s">
        <v>276</v>
      </c>
      <c r="D8" t="s">
        <v>274</v>
      </c>
      <c r="E8" t="s">
        <v>273</v>
      </c>
      <c r="F8" t="s">
        <v>272</v>
      </c>
      <c r="G8" t="s">
        <v>105</v>
      </c>
      <c r="R8" s="390"/>
      <c r="X8" s="53" t="s">
        <v>43</v>
      </c>
      <c r="Y8" s="342">
        <v>10700000000</v>
      </c>
    </row>
    <row r="9" spans="1:25">
      <c r="A9" s="17" t="s">
        <v>10</v>
      </c>
      <c r="B9" s="342">
        <v>27047843388</v>
      </c>
      <c r="C9" s="342">
        <v>11300000000</v>
      </c>
      <c r="D9" s="342">
        <v>2500000000</v>
      </c>
      <c r="E9" s="342">
        <v>48841159600</v>
      </c>
      <c r="F9" s="342"/>
      <c r="G9" s="342">
        <v>89689002988</v>
      </c>
      <c r="I9" s="342"/>
      <c r="J9" s="342"/>
      <c r="K9" s="342"/>
      <c r="L9" s="342"/>
      <c r="M9" s="342"/>
      <c r="N9" s="342"/>
      <c r="O9" s="342"/>
      <c r="R9" s="390"/>
      <c r="X9" s="53" t="s">
        <v>39</v>
      </c>
      <c r="Y9" s="342">
        <v>340620924150</v>
      </c>
    </row>
    <row r="10" spans="1:25">
      <c r="A10" s="53" t="s">
        <v>53</v>
      </c>
      <c r="B10" s="342">
        <v>6046761196</v>
      </c>
      <c r="C10" s="342"/>
      <c r="D10" s="342">
        <v>2500000000</v>
      </c>
      <c r="E10" s="342"/>
      <c r="F10" s="342"/>
      <c r="G10" s="342">
        <v>8546761196</v>
      </c>
      <c r="I10" s="342"/>
      <c r="J10" s="342"/>
      <c r="K10" s="342"/>
      <c r="L10" s="342"/>
      <c r="M10" s="342"/>
      <c r="N10" s="342"/>
      <c r="O10" s="342"/>
      <c r="R10" s="390"/>
      <c r="X10" s="17" t="s">
        <v>67</v>
      </c>
      <c r="Y10" s="342">
        <v>1024275000000</v>
      </c>
    </row>
    <row r="11" spans="1:25">
      <c r="A11" s="53" t="s">
        <v>22</v>
      </c>
      <c r="B11" s="342"/>
      <c r="C11" s="342"/>
      <c r="D11" s="342"/>
      <c r="E11" s="342">
        <v>5663996490</v>
      </c>
      <c r="F11" s="342"/>
      <c r="G11" s="342">
        <v>5663996490</v>
      </c>
      <c r="I11" s="342"/>
      <c r="J11" s="342"/>
      <c r="K11" s="342"/>
      <c r="L11" s="342"/>
      <c r="M11" s="342"/>
      <c r="N11" s="342"/>
      <c r="O11" s="342"/>
      <c r="R11" s="390"/>
      <c r="X11" s="53" t="s">
        <v>42</v>
      </c>
      <c r="Y11" s="342">
        <v>1024275000000</v>
      </c>
    </row>
    <row r="12" spans="1:25">
      <c r="A12" s="53" t="s">
        <v>55</v>
      </c>
      <c r="B12" s="342">
        <v>16001082192</v>
      </c>
      <c r="C12" s="342">
        <v>11300000000</v>
      </c>
      <c r="D12" s="342"/>
      <c r="E12" s="342"/>
      <c r="F12" s="342"/>
      <c r="G12" s="342">
        <v>27301082192</v>
      </c>
      <c r="I12" s="342"/>
      <c r="J12" s="342"/>
      <c r="K12" s="342"/>
      <c r="L12" s="342"/>
      <c r="M12" s="342"/>
      <c r="N12" s="342"/>
      <c r="O12" s="342"/>
      <c r="R12" s="390"/>
      <c r="X12" s="17" t="s">
        <v>105</v>
      </c>
      <c r="Y12" s="342">
        <v>1375595924150</v>
      </c>
    </row>
    <row r="13" spans="1:25">
      <c r="A13" s="53" t="s">
        <v>54</v>
      </c>
      <c r="B13" s="342">
        <v>5000000000</v>
      </c>
      <c r="C13" s="342"/>
      <c r="D13" s="342"/>
      <c r="E13" s="342">
        <v>17475513110</v>
      </c>
      <c r="F13" s="342"/>
      <c r="G13" s="342">
        <v>22475513110</v>
      </c>
      <c r="I13" s="342"/>
      <c r="J13" s="342"/>
      <c r="K13" s="342"/>
      <c r="L13" s="342"/>
      <c r="M13" s="342"/>
      <c r="N13" s="342"/>
      <c r="O13" s="342"/>
      <c r="R13" s="390"/>
    </row>
    <row r="14" spans="1:25">
      <c r="A14" s="53" t="s">
        <v>21</v>
      </c>
      <c r="B14" s="342"/>
      <c r="C14" s="342"/>
      <c r="D14" s="342"/>
      <c r="E14" s="342">
        <v>25701650000</v>
      </c>
      <c r="F14" s="342"/>
      <c r="G14" s="342">
        <v>25701650000</v>
      </c>
      <c r="R14" s="390"/>
    </row>
    <row r="15" spans="1:25">
      <c r="A15" s="17" t="s">
        <v>67</v>
      </c>
      <c r="B15" s="342">
        <v>135749659093</v>
      </c>
      <c r="C15" s="342">
        <v>90615325111</v>
      </c>
      <c r="D15" s="342">
        <v>19538847932</v>
      </c>
      <c r="E15" s="342">
        <v>11021291100</v>
      </c>
      <c r="F15" s="342">
        <v>95440238639</v>
      </c>
      <c r="G15" s="342">
        <v>352365361875</v>
      </c>
      <c r="R15" s="390"/>
    </row>
    <row r="16" spans="1:25">
      <c r="A16" s="53" t="s">
        <v>53</v>
      </c>
      <c r="B16" s="342"/>
      <c r="C16" s="342">
        <v>61079953400</v>
      </c>
      <c r="D16" s="342">
        <v>5044000000</v>
      </c>
      <c r="E16" s="342"/>
      <c r="F16" s="342">
        <v>13000000000</v>
      </c>
      <c r="G16" s="342">
        <v>79123953400</v>
      </c>
      <c r="R16" s="390"/>
    </row>
    <row r="17" spans="1:18">
      <c r="A17" s="53" t="s">
        <v>52</v>
      </c>
      <c r="B17" s="342"/>
      <c r="C17" s="342"/>
      <c r="D17" s="342"/>
      <c r="E17" s="342"/>
      <c r="F17" s="342">
        <v>68440238639</v>
      </c>
      <c r="G17" s="342">
        <v>68440238639</v>
      </c>
      <c r="R17" s="390"/>
    </row>
    <row r="18" spans="1:18">
      <c r="A18" s="53" t="s">
        <v>22</v>
      </c>
      <c r="B18" s="342">
        <v>14000000000</v>
      </c>
      <c r="C18" s="342">
        <v>4000000000</v>
      </c>
      <c r="D18" s="342">
        <v>14494847932</v>
      </c>
      <c r="E18" s="342">
        <v>11021291100</v>
      </c>
      <c r="F18" s="342">
        <v>9000000000</v>
      </c>
      <c r="G18" s="342">
        <v>52516139032</v>
      </c>
      <c r="R18" s="390"/>
    </row>
    <row r="19" spans="1:18">
      <c r="A19" s="53" t="s">
        <v>55</v>
      </c>
      <c r="B19" s="342">
        <v>29385220800</v>
      </c>
      <c r="C19" s="342"/>
      <c r="D19" s="342"/>
      <c r="E19" s="342"/>
      <c r="F19" s="342">
        <v>5000000000</v>
      </c>
      <c r="G19" s="342">
        <v>34385220800</v>
      </c>
      <c r="R19" s="390"/>
    </row>
    <row r="20" spans="1:18">
      <c r="A20" s="53" t="s">
        <v>54</v>
      </c>
      <c r="B20" s="342">
        <v>15000000000</v>
      </c>
      <c r="C20" s="342"/>
      <c r="D20" s="342"/>
      <c r="E20" s="342"/>
      <c r="F20" s="342"/>
      <c r="G20" s="342">
        <v>15000000000</v>
      </c>
      <c r="R20" s="390"/>
    </row>
    <row r="21" spans="1:18" hidden="1">
      <c r="A21" s="53" t="s">
        <v>21</v>
      </c>
      <c r="B21" s="342">
        <v>77364438293</v>
      </c>
      <c r="C21" s="342">
        <v>25535371711</v>
      </c>
      <c r="D21" s="342"/>
      <c r="E21" s="342"/>
      <c r="F21" s="342"/>
      <c r="G21" s="342">
        <v>102899810004</v>
      </c>
      <c r="R21" s="390"/>
    </row>
    <row r="22" spans="1:18" hidden="1">
      <c r="A22" s="17" t="s">
        <v>8</v>
      </c>
      <c r="B22" s="342">
        <v>14575429534</v>
      </c>
      <c r="C22" s="342"/>
      <c r="D22" s="342"/>
      <c r="E22" s="342"/>
      <c r="F22" s="342"/>
      <c r="G22" s="342">
        <v>14575429534</v>
      </c>
      <c r="R22" s="390"/>
    </row>
    <row r="23" spans="1:18" hidden="1">
      <c r="A23" s="53" t="s">
        <v>55</v>
      </c>
      <c r="B23" s="342">
        <v>14575429534</v>
      </c>
      <c r="C23" s="342"/>
      <c r="D23" s="342"/>
      <c r="E23" s="342"/>
      <c r="F23" s="342"/>
      <c r="G23" s="342">
        <v>14575429534</v>
      </c>
      <c r="R23" s="390"/>
    </row>
    <row r="24" spans="1:18" hidden="1">
      <c r="A24" s="17" t="s">
        <v>105</v>
      </c>
      <c r="B24" s="342">
        <v>177372932015</v>
      </c>
      <c r="C24" s="342">
        <v>101915325111</v>
      </c>
      <c r="D24" s="342">
        <v>22038847932</v>
      </c>
      <c r="E24" s="342">
        <v>59862450700</v>
      </c>
      <c r="F24" s="342">
        <v>95440238639</v>
      </c>
      <c r="G24" s="342">
        <v>456629794397</v>
      </c>
      <c r="R24" s="390"/>
    </row>
    <row r="25" spans="1:18" hidden="1">
      <c r="R25" s="390"/>
    </row>
    <row r="26" spans="1:18" hidden="1">
      <c r="R26" s="390"/>
    </row>
    <row r="27" spans="1:18" hidden="1">
      <c r="R27" s="390"/>
    </row>
    <row r="28" spans="1:18" hidden="1">
      <c r="R28" s="390"/>
    </row>
    <row r="29" spans="1:18" hidden="1">
      <c r="R29" s="390"/>
    </row>
    <row r="30" spans="1:18">
      <c r="R30" s="390"/>
    </row>
    <row r="31" spans="1:18">
      <c r="R31" s="390"/>
    </row>
    <row r="32" spans="1:18">
      <c r="A32" s="365" t="s">
        <v>371</v>
      </c>
      <c r="B32" t="s">
        <v>388</v>
      </c>
      <c r="R32" s="390"/>
    </row>
    <row r="33" spans="1:25">
      <c r="A33" s="365" t="s">
        <v>372</v>
      </c>
      <c r="B33" t="s">
        <v>305</v>
      </c>
      <c r="R33" s="390"/>
      <c r="X33" s="365" t="s">
        <v>371</v>
      </c>
      <c r="Y33" t="s">
        <v>388</v>
      </c>
    </row>
    <row r="34" spans="1:25">
      <c r="R34" s="390"/>
    </row>
    <row r="35" spans="1:25">
      <c r="A35" s="365" t="s">
        <v>5336</v>
      </c>
      <c r="B35" s="365" t="s">
        <v>291</v>
      </c>
      <c r="R35" s="390"/>
      <c r="X35" s="365" t="s">
        <v>100</v>
      </c>
      <c r="Y35" t="s">
        <v>5335</v>
      </c>
    </row>
    <row r="36" spans="1:25">
      <c r="A36" s="365" t="s">
        <v>100</v>
      </c>
      <c r="B36" t="s">
        <v>275</v>
      </c>
      <c r="C36" t="s">
        <v>276</v>
      </c>
      <c r="D36" t="s">
        <v>274</v>
      </c>
      <c r="E36" t="s">
        <v>273</v>
      </c>
      <c r="F36" t="s">
        <v>272</v>
      </c>
      <c r="G36" t="s">
        <v>105</v>
      </c>
      <c r="R36" s="390"/>
      <c r="X36" s="17" t="s">
        <v>10</v>
      </c>
      <c r="Y36" s="342">
        <v>351320924150</v>
      </c>
    </row>
    <row r="37" spans="1:25">
      <c r="A37" s="17" t="s">
        <v>10</v>
      </c>
      <c r="B37" s="342">
        <v>27047843388</v>
      </c>
      <c r="C37" s="342">
        <v>11300000000</v>
      </c>
      <c r="D37" s="342">
        <v>2500000000</v>
      </c>
      <c r="E37" s="342">
        <v>48841159600</v>
      </c>
      <c r="F37" s="342"/>
      <c r="G37" s="342">
        <v>89689002988</v>
      </c>
      <c r="R37" s="390"/>
      <c r="X37" s="53" t="s">
        <v>43</v>
      </c>
      <c r="Y37" s="342">
        <v>10700000000</v>
      </c>
    </row>
    <row r="38" spans="1:25" hidden="1">
      <c r="A38" s="53" t="s">
        <v>53</v>
      </c>
      <c r="B38" s="342">
        <v>6046761196</v>
      </c>
      <c r="C38" s="342"/>
      <c r="D38" s="342">
        <v>2500000000</v>
      </c>
      <c r="E38" s="342"/>
      <c r="F38" s="342"/>
      <c r="G38" s="342">
        <v>8546761196</v>
      </c>
      <c r="R38" s="390"/>
      <c r="X38" s="53" t="s">
        <v>39</v>
      </c>
      <c r="Y38" s="342">
        <v>340620924150</v>
      </c>
    </row>
    <row r="39" spans="1:25" hidden="1">
      <c r="A39" s="53" t="s">
        <v>22</v>
      </c>
      <c r="B39" s="342"/>
      <c r="C39" s="342"/>
      <c r="D39" s="342"/>
      <c r="E39" s="342">
        <v>5663996490</v>
      </c>
      <c r="F39" s="342"/>
      <c r="G39" s="342">
        <v>5663996490</v>
      </c>
      <c r="R39" s="390"/>
      <c r="X39" s="17" t="s">
        <v>67</v>
      </c>
      <c r="Y39" s="342">
        <v>1024275000000</v>
      </c>
    </row>
    <row r="40" spans="1:25" hidden="1">
      <c r="A40" s="53" t="s">
        <v>55</v>
      </c>
      <c r="B40" s="342">
        <v>16001082192</v>
      </c>
      <c r="C40" s="342">
        <v>11300000000</v>
      </c>
      <c r="D40" s="342"/>
      <c r="E40" s="342"/>
      <c r="F40" s="342"/>
      <c r="G40" s="342">
        <v>27301082192</v>
      </c>
      <c r="R40" s="390"/>
      <c r="X40" s="53" t="s">
        <v>42</v>
      </c>
      <c r="Y40" s="342">
        <v>1024275000000</v>
      </c>
    </row>
    <row r="41" spans="1:25" hidden="1">
      <c r="A41" s="53" t="s">
        <v>54</v>
      </c>
      <c r="B41" s="342">
        <v>5000000000</v>
      </c>
      <c r="C41" s="342"/>
      <c r="D41" s="342"/>
      <c r="E41" s="342">
        <v>17475513110</v>
      </c>
      <c r="F41" s="342"/>
      <c r="G41" s="342">
        <v>22475513110</v>
      </c>
      <c r="R41" s="390"/>
      <c r="X41" s="17" t="s">
        <v>8</v>
      </c>
      <c r="Y41" s="342">
        <v>25024065387</v>
      </c>
    </row>
    <row r="42" spans="1:25" hidden="1">
      <c r="A42" s="53" t="s">
        <v>21</v>
      </c>
      <c r="B42" s="342"/>
      <c r="C42" s="342"/>
      <c r="D42" s="342"/>
      <c r="E42" s="342">
        <v>25701650000</v>
      </c>
      <c r="F42" s="342"/>
      <c r="G42" s="342">
        <v>25701650000</v>
      </c>
      <c r="R42" s="390"/>
      <c r="X42" s="53" t="s">
        <v>39</v>
      </c>
      <c r="Y42" s="342">
        <v>25024065387</v>
      </c>
    </row>
    <row r="43" spans="1:25" hidden="1">
      <c r="A43" s="17" t="s">
        <v>67</v>
      </c>
      <c r="B43" s="342">
        <v>135749659093</v>
      </c>
      <c r="C43" s="342">
        <v>90615325111</v>
      </c>
      <c r="D43" s="342">
        <v>19538847932</v>
      </c>
      <c r="E43" s="342">
        <v>11021291100</v>
      </c>
      <c r="F43" s="342">
        <v>95440238639</v>
      </c>
      <c r="G43" s="342">
        <v>352365361875</v>
      </c>
      <c r="R43" s="390"/>
      <c r="X43" s="17" t="s">
        <v>105</v>
      </c>
      <c r="Y43" s="342">
        <v>1400619989537</v>
      </c>
    </row>
    <row r="44" spans="1:25" hidden="1">
      <c r="A44" s="53" t="s">
        <v>53</v>
      </c>
      <c r="B44" s="342"/>
      <c r="C44" s="342">
        <v>61079953400</v>
      </c>
      <c r="D44" s="342">
        <v>5044000000</v>
      </c>
      <c r="E44" s="342"/>
      <c r="F44" s="342">
        <v>13000000000</v>
      </c>
      <c r="G44" s="342">
        <v>79123953400</v>
      </c>
      <c r="R44" s="390"/>
    </row>
    <row r="45" spans="1:25" hidden="1">
      <c r="A45" s="53" t="s">
        <v>52</v>
      </c>
      <c r="B45" s="342"/>
      <c r="C45" s="342"/>
      <c r="D45" s="342"/>
      <c r="E45" s="342"/>
      <c r="F45" s="342">
        <v>68440238639</v>
      </c>
      <c r="G45" s="342">
        <v>68440238639</v>
      </c>
      <c r="R45" s="390"/>
    </row>
    <row r="46" spans="1:25" hidden="1">
      <c r="A46" s="53" t="s">
        <v>22</v>
      </c>
      <c r="B46" s="342">
        <v>14000000000</v>
      </c>
      <c r="C46" s="342">
        <v>4000000000</v>
      </c>
      <c r="D46" s="342">
        <v>14494847932</v>
      </c>
      <c r="E46" s="342">
        <v>11021291100</v>
      </c>
      <c r="F46" s="342">
        <v>9000000000</v>
      </c>
      <c r="G46" s="342">
        <v>52516139032</v>
      </c>
      <c r="R46" s="390"/>
    </row>
    <row r="47" spans="1:25" hidden="1">
      <c r="A47" s="53" t="s">
        <v>55</v>
      </c>
      <c r="B47" s="342">
        <v>29385220800</v>
      </c>
      <c r="C47" s="342"/>
      <c r="D47" s="342"/>
      <c r="E47" s="342"/>
      <c r="F47" s="342">
        <v>5000000000</v>
      </c>
      <c r="G47" s="342">
        <v>34385220800</v>
      </c>
      <c r="R47" s="390"/>
    </row>
    <row r="48" spans="1:25" hidden="1">
      <c r="A48" s="53" t="s">
        <v>54</v>
      </c>
      <c r="B48" s="342">
        <v>15000000000</v>
      </c>
      <c r="C48" s="342"/>
      <c r="D48" s="342"/>
      <c r="E48" s="342"/>
      <c r="F48" s="342"/>
      <c r="G48" s="342">
        <v>15000000000</v>
      </c>
      <c r="R48" s="390"/>
    </row>
    <row r="49" spans="1:25" hidden="1">
      <c r="A49" s="53" t="s">
        <v>21</v>
      </c>
      <c r="B49" s="342">
        <v>77364438293</v>
      </c>
      <c r="C49" s="342">
        <v>25535371711</v>
      </c>
      <c r="D49" s="342"/>
      <c r="E49" s="342"/>
      <c r="F49" s="342"/>
      <c r="G49" s="342">
        <v>102899810004</v>
      </c>
      <c r="R49" s="390"/>
    </row>
    <row r="50" spans="1:25" hidden="1">
      <c r="A50" s="17" t="s">
        <v>8</v>
      </c>
      <c r="B50" s="342">
        <v>14575429534</v>
      </c>
      <c r="C50" s="342"/>
      <c r="D50" s="342"/>
      <c r="E50" s="342"/>
      <c r="F50" s="342"/>
      <c r="G50" s="342">
        <v>14575429534</v>
      </c>
      <c r="R50" s="390"/>
    </row>
    <row r="51" spans="1:25" hidden="1">
      <c r="A51" s="53" t="s">
        <v>55</v>
      </c>
      <c r="B51" s="342">
        <v>14575429534</v>
      </c>
      <c r="C51" s="342"/>
      <c r="D51" s="342"/>
      <c r="E51" s="342"/>
      <c r="F51" s="342"/>
      <c r="G51" s="342">
        <v>14575429534</v>
      </c>
      <c r="R51" s="390"/>
    </row>
    <row r="52" spans="1:25" hidden="1">
      <c r="A52" s="17" t="s">
        <v>105</v>
      </c>
      <c r="B52" s="342">
        <v>177372932015</v>
      </c>
      <c r="C52" s="342">
        <v>101915325111</v>
      </c>
      <c r="D52" s="342">
        <v>22038847932</v>
      </c>
      <c r="E52" s="342">
        <v>59862450700</v>
      </c>
      <c r="F52" s="342">
        <v>95440238639</v>
      </c>
      <c r="G52" s="342">
        <v>456629794397</v>
      </c>
      <c r="R52" s="390"/>
    </row>
    <row r="53" spans="1:25">
      <c r="R53" s="390"/>
    </row>
    <row r="54" spans="1:25">
      <c r="R54" s="390"/>
    </row>
    <row r="55" spans="1:25">
      <c r="A55" s="365" t="s">
        <v>371</v>
      </c>
      <c r="B55" t="s">
        <v>388</v>
      </c>
      <c r="R55" s="390"/>
    </row>
    <row r="56" spans="1:25">
      <c r="A56" s="365" t="s">
        <v>372</v>
      </c>
      <c r="B56" t="s">
        <v>305</v>
      </c>
      <c r="R56" s="390"/>
      <c r="X56" s="365" t="s">
        <v>371</v>
      </c>
      <c r="Y56" t="s">
        <v>388</v>
      </c>
    </row>
    <row r="57" spans="1:25">
      <c r="R57" s="390"/>
    </row>
    <row r="58" spans="1:25">
      <c r="A58" s="365" t="s">
        <v>5336</v>
      </c>
      <c r="B58" s="365" t="s">
        <v>291</v>
      </c>
      <c r="R58" s="390"/>
      <c r="X58" s="365" t="s">
        <v>100</v>
      </c>
      <c r="Y58" t="s">
        <v>5335</v>
      </c>
    </row>
    <row r="59" spans="1:25">
      <c r="A59" s="365" t="s">
        <v>100</v>
      </c>
      <c r="B59" t="s">
        <v>275</v>
      </c>
      <c r="C59" t="s">
        <v>276</v>
      </c>
      <c r="D59" t="s">
        <v>274</v>
      </c>
      <c r="E59" t="s">
        <v>273</v>
      </c>
      <c r="F59" t="s">
        <v>272</v>
      </c>
      <c r="G59" t="s">
        <v>105</v>
      </c>
      <c r="R59" s="390"/>
      <c r="X59" s="17" t="s">
        <v>10</v>
      </c>
      <c r="Y59" s="342">
        <v>351320924150</v>
      </c>
    </row>
    <row r="60" spans="1:25">
      <c r="A60" s="17" t="s">
        <v>10</v>
      </c>
      <c r="B60" s="342">
        <v>27047843388</v>
      </c>
      <c r="C60" s="342">
        <v>11300000000</v>
      </c>
      <c r="D60" s="342">
        <v>2500000000</v>
      </c>
      <c r="E60" s="342">
        <v>48841159600</v>
      </c>
      <c r="F60" s="342"/>
      <c r="G60" s="342">
        <v>89689002988</v>
      </c>
      <c r="I60" s="342"/>
      <c r="J60" s="342"/>
      <c r="K60" s="342"/>
      <c r="L60" s="342"/>
      <c r="M60" s="342"/>
      <c r="N60" s="342"/>
      <c r="O60" s="342"/>
      <c r="R60" s="390"/>
      <c r="X60" s="53" t="s">
        <v>43</v>
      </c>
      <c r="Y60" s="342">
        <v>10700000000</v>
      </c>
    </row>
    <row r="61" spans="1:25">
      <c r="A61" s="53" t="s">
        <v>53</v>
      </c>
      <c r="B61" s="342">
        <v>6046761196</v>
      </c>
      <c r="C61" s="342"/>
      <c r="D61" s="342">
        <v>2500000000</v>
      </c>
      <c r="E61" s="342"/>
      <c r="F61" s="342"/>
      <c r="G61" s="342">
        <v>8546761196</v>
      </c>
      <c r="I61" s="342"/>
      <c r="J61" s="342"/>
      <c r="K61" s="342"/>
      <c r="L61" s="342"/>
      <c r="M61" s="342"/>
      <c r="N61" s="342"/>
      <c r="O61" s="342"/>
      <c r="R61" s="390"/>
      <c r="X61" s="53" t="s">
        <v>39</v>
      </c>
      <c r="Y61" s="342">
        <v>340620924150</v>
      </c>
    </row>
    <row r="62" spans="1:25">
      <c r="A62" s="53" t="s">
        <v>22</v>
      </c>
      <c r="B62" s="342"/>
      <c r="C62" s="342"/>
      <c r="D62" s="342"/>
      <c r="E62" s="342">
        <v>5663996490</v>
      </c>
      <c r="F62" s="342"/>
      <c r="G62" s="342">
        <v>5663996490</v>
      </c>
      <c r="I62" s="342"/>
      <c r="J62" s="342"/>
      <c r="K62" s="342"/>
      <c r="L62" s="342"/>
      <c r="M62" s="342"/>
      <c r="N62" s="342"/>
      <c r="O62" s="342"/>
      <c r="R62" s="390"/>
      <c r="X62" s="17" t="s">
        <v>67</v>
      </c>
      <c r="Y62" s="342">
        <v>1024275000000</v>
      </c>
    </row>
    <row r="63" spans="1:25">
      <c r="A63" s="53" t="s">
        <v>55</v>
      </c>
      <c r="B63" s="342">
        <v>16001082192</v>
      </c>
      <c r="C63" s="342">
        <v>11300000000</v>
      </c>
      <c r="D63" s="342"/>
      <c r="E63" s="342"/>
      <c r="F63" s="342"/>
      <c r="G63" s="342">
        <v>27301082192</v>
      </c>
      <c r="I63" s="342"/>
      <c r="J63" s="342"/>
      <c r="K63" s="342"/>
      <c r="L63" s="342"/>
      <c r="M63" s="342"/>
      <c r="N63" s="342"/>
      <c r="O63" s="342"/>
      <c r="R63" s="390"/>
      <c r="X63" s="53" t="s">
        <v>42</v>
      </c>
      <c r="Y63" s="342">
        <v>1024275000000</v>
      </c>
    </row>
    <row r="64" spans="1:25">
      <c r="A64" s="53" t="s">
        <v>54</v>
      </c>
      <c r="B64" s="342">
        <v>5000000000</v>
      </c>
      <c r="C64" s="342"/>
      <c r="D64" s="342"/>
      <c r="E64" s="342">
        <v>17475513110</v>
      </c>
      <c r="F64" s="342"/>
      <c r="G64" s="342">
        <v>22475513110</v>
      </c>
      <c r="I64" s="342"/>
      <c r="J64" s="342"/>
      <c r="K64" s="342"/>
      <c r="L64" s="342"/>
      <c r="M64" s="342"/>
      <c r="N64" s="342"/>
      <c r="O64" s="342"/>
      <c r="R64" s="390"/>
      <c r="X64" s="17" t="s">
        <v>105</v>
      </c>
      <c r="Y64" s="342">
        <v>1375595924150</v>
      </c>
    </row>
    <row r="65" spans="1:18">
      <c r="A65" s="53" t="s">
        <v>21</v>
      </c>
      <c r="B65" s="342"/>
      <c r="C65" s="342"/>
      <c r="D65" s="342"/>
      <c r="E65" s="342">
        <v>25701650000</v>
      </c>
      <c r="F65" s="342"/>
      <c r="G65" s="342">
        <v>25701650000</v>
      </c>
      <c r="R65" s="390"/>
    </row>
    <row r="66" spans="1:18">
      <c r="A66" s="17" t="s">
        <v>67</v>
      </c>
      <c r="B66" s="342">
        <v>135749659093</v>
      </c>
      <c r="C66" s="342">
        <v>90615325111</v>
      </c>
      <c r="D66" s="342">
        <v>19538847932</v>
      </c>
      <c r="E66" s="342">
        <v>11021291100</v>
      </c>
      <c r="F66" s="342">
        <v>95440238639</v>
      </c>
      <c r="G66" s="342">
        <v>352365361875</v>
      </c>
      <c r="R66" s="390"/>
    </row>
    <row r="67" spans="1:18">
      <c r="A67" s="53" t="s">
        <v>53</v>
      </c>
      <c r="B67" s="342"/>
      <c r="C67" s="342">
        <v>61079953400</v>
      </c>
      <c r="D67" s="342">
        <v>5044000000</v>
      </c>
      <c r="E67" s="342"/>
      <c r="F67" s="342">
        <v>13000000000</v>
      </c>
      <c r="G67" s="342">
        <v>79123953400</v>
      </c>
      <c r="R67" s="390"/>
    </row>
    <row r="68" spans="1:18">
      <c r="A68" s="53" t="s">
        <v>52</v>
      </c>
      <c r="B68" s="342"/>
      <c r="C68" s="342"/>
      <c r="D68" s="342"/>
      <c r="E68" s="342"/>
      <c r="F68" s="342">
        <v>68440238639</v>
      </c>
      <c r="G68" s="342">
        <v>68440238639</v>
      </c>
      <c r="R68" s="390"/>
    </row>
    <row r="69" spans="1:18">
      <c r="A69" s="53" t="s">
        <v>22</v>
      </c>
      <c r="B69" s="342">
        <v>14000000000</v>
      </c>
      <c r="C69" s="342">
        <v>4000000000</v>
      </c>
      <c r="D69" s="342">
        <v>14494847932</v>
      </c>
      <c r="E69" s="342">
        <v>11021291100</v>
      </c>
      <c r="F69" s="342">
        <v>9000000000</v>
      </c>
      <c r="G69" s="342">
        <v>52516139032</v>
      </c>
      <c r="R69" s="390"/>
    </row>
    <row r="70" spans="1:18">
      <c r="A70" s="53" t="s">
        <v>55</v>
      </c>
      <c r="B70" s="342">
        <v>29385220800</v>
      </c>
      <c r="C70" s="342"/>
      <c r="D70" s="342"/>
      <c r="E70" s="342"/>
      <c r="F70" s="342">
        <v>5000000000</v>
      </c>
      <c r="G70" s="342">
        <v>34385220800</v>
      </c>
      <c r="R70" s="390"/>
    </row>
    <row r="71" spans="1:18">
      <c r="A71" s="53" t="s">
        <v>54</v>
      </c>
      <c r="B71" s="342">
        <v>15000000000</v>
      </c>
      <c r="C71" s="342"/>
      <c r="D71" s="342"/>
      <c r="E71" s="342"/>
      <c r="F71" s="342"/>
      <c r="G71" s="342">
        <v>15000000000</v>
      </c>
      <c r="R71" s="390"/>
    </row>
    <row r="72" spans="1:18">
      <c r="A72" s="53" t="s">
        <v>21</v>
      </c>
      <c r="B72" s="342">
        <v>77364438293</v>
      </c>
      <c r="C72" s="342">
        <v>25535371711</v>
      </c>
      <c r="D72" s="342"/>
      <c r="E72" s="342"/>
      <c r="F72" s="342"/>
      <c r="G72" s="342">
        <v>102899810004</v>
      </c>
      <c r="R72" s="390"/>
    </row>
    <row r="73" spans="1:18">
      <c r="A73" s="17" t="s">
        <v>8</v>
      </c>
      <c r="B73" s="342">
        <v>14575429534</v>
      </c>
      <c r="C73" s="342"/>
      <c r="D73" s="342"/>
      <c r="E73" s="342"/>
      <c r="F73" s="342"/>
      <c r="G73" s="342">
        <v>14575429534</v>
      </c>
      <c r="R73" s="390"/>
    </row>
    <row r="74" spans="1:18">
      <c r="A74" s="53" t="s">
        <v>55</v>
      </c>
      <c r="B74" s="342">
        <v>14575429534</v>
      </c>
      <c r="C74" s="342"/>
      <c r="D74" s="342"/>
      <c r="E74" s="342"/>
      <c r="F74" s="342"/>
      <c r="G74" s="342">
        <v>14575429534</v>
      </c>
      <c r="R74" s="390"/>
    </row>
    <row r="75" spans="1:18">
      <c r="A75" s="17" t="s">
        <v>105</v>
      </c>
      <c r="B75" s="342">
        <v>177372932015</v>
      </c>
      <c r="C75" s="342">
        <v>101915325111</v>
      </c>
      <c r="D75" s="342">
        <v>22038847932</v>
      </c>
      <c r="E75" s="342">
        <v>59862450700</v>
      </c>
      <c r="F75" s="342">
        <v>95440238639</v>
      </c>
      <c r="G75" s="342">
        <v>456629794397</v>
      </c>
      <c r="R75" s="390"/>
    </row>
    <row r="76" spans="1:18">
      <c r="R76" s="390"/>
    </row>
    <row r="77" spans="1:18">
      <c r="R77" s="390"/>
    </row>
    <row r="78" spans="1:18">
      <c r="R78" s="390"/>
    </row>
    <row r="79" spans="1:18">
      <c r="R79" s="390"/>
    </row>
    <row r="80" spans="1:18">
      <c r="R80" s="390"/>
    </row>
  </sheetData>
  <pageMargins left="0.7" right="0.7" top="0.75" bottom="0.75" header="0.3" footer="0.3"/>
  <pageSetup orientation="portrait" r:id="rId7"/>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546EB-DB01-4E21-98C9-F5186F2951E7}">
  <dimension ref="A1:P129"/>
  <sheetViews>
    <sheetView workbookViewId="0"/>
  </sheetViews>
  <sheetFormatPr defaultRowHeight="14.4"/>
  <cols>
    <col min="2" max="2" width="10" customWidth="1"/>
    <col min="3" max="3" width="19.44140625" customWidth="1"/>
    <col min="4" max="4" width="15.5546875" customWidth="1"/>
    <col min="5" max="5" width="12" customWidth="1"/>
    <col min="6" max="6" width="24.5546875" customWidth="1"/>
    <col min="7" max="7" width="22.5546875" customWidth="1"/>
    <col min="8" max="8" width="23.44140625" customWidth="1"/>
    <col min="9" max="10" width="24.44140625" customWidth="1"/>
    <col min="11" max="11" width="22.44140625" customWidth="1"/>
    <col min="12" max="12" width="23.44140625" customWidth="1"/>
    <col min="13" max="13" width="23.5546875" customWidth="1"/>
    <col min="15" max="15" width="8.5546875" customWidth="1"/>
  </cols>
  <sheetData>
    <row r="1" spans="1:16">
      <c r="A1" t="s">
        <v>313</v>
      </c>
      <c r="B1" t="s">
        <v>314</v>
      </c>
      <c r="C1" t="s">
        <v>315</v>
      </c>
      <c r="D1" t="s">
        <v>304</v>
      </c>
      <c r="E1" t="s">
        <v>316</v>
      </c>
      <c r="F1" t="s">
        <v>319</v>
      </c>
      <c r="G1" t="s">
        <v>320</v>
      </c>
      <c r="H1" t="s">
        <v>321</v>
      </c>
      <c r="I1" t="s">
        <v>5337</v>
      </c>
      <c r="J1" t="s">
        <v>328</v>
      </c>
      <c r="K1" t="s">
        <v>329</v>
      </c>
      <c r="L1" t="s">
        <v>330</v>
      </c>
      <c r="M1" t="s">
        <v>331</v>
      </c>
      <c r="N1" t="s">
        <v>289</v>
      </c>
      <c r="O1" t="s">
        <v>334</v>
      </c>
      <c r="P1" t="s">
        <v>69</v>
      </c>
    </row>
    <row r="2" spans="1:16">
      <c r="A2" t="s">
        <v>469</v>
      </c>
      <c r="B2" t="s">
        <v>85</v>
      </c>
      <c r="C2" t="s">
        <v>3290</v>
      </c>
      <c r="D2" t="s">
        <v>310</v>
      </c>
      <c r="E2" t="s">
        <v>80</v>
      </c>
      <c r="F2">
        <v>15000000000</v>
      </c>
      <c r="G2">
        <v>0</v>
      </c>
      <c r="H2">
        <v>0</v>
      </c>
      <c r="I2">
        <v>15000000000</v>
      </c>
      <c r="J2">
        <v>0</v>
      </c>
      <c r="K2">
        <v>0</v>
      </c>
      <c r="L2">
        <v>0</v>
      </c>
      <c r="M2">
        <v>0</v>
      </c>
      <c r="N2" t="s">
        <v>8</v>
      </c>
      <c r="O2" t="s">
        <v>110</v>
      </c>
      <c r="P2" t="s">
        <v>85</v>
      </c>
    </row>
    <row r="3" spans="1:16">
      <c r="A3" t="s">
        <v>469</v>
      </c>
      <c r="B3" t="s">
        <v>85</v>
      </c>
      <c r="C3" t="s">
        <v>478</v>
      </c>
      <c r="D3" t="s">
        <v>308</v>
      </c>
      <c r="E3" t="s">
        <v>80</v>
      </c>
      <c r="F3">
        <v>658633059.38708496</v>
      </c>
      <c r="G3">
        <v>108268</v>
      </c>
      <c r="H3">
        <v>0</v>
      </c>
      <c r="I3">
        <v>658741327.38708496</v>
      </c>
      <c r="J3">
        <v>0</v>
      </c>
      <c r="K3">
        <v>0</v>
      </c>
      <c r="L3">
        <v>0</v>
      </c>
      <c r="M3">
        <v>0</v>
      </c>
      <c r="N3" t="s">
        <v>8</v>
      </c>
      <c r="O3" t="s">
        <v>110</v>
      </c>
      <c r="P3" t="s">
        <v>85</v>
      </c>
    </row>
    <row r="4" spans="1:16">
      <c r="A4" t="s">
        <v>469</v>
      </c>
      <c r="B4" t="s">
        <v>85</v>
      </c>
      <c r="C4" t="s">
        <v>2911</v>
      </c>
      <c r="D4" t="s">
        <v>310</v>
      </c>
      <c r="E4" t="s">
        <v>80</v>
      </c>
      <c r="F4">
        <v>0</v>
      </c>
      <c r="G4">
        <v>0</v>
      </c>
      <c r="H4">
        <v>0</v>
      </c>
      <c r="I4">
        <v>0</v>
      </c>
      <c r="J4">
        <v>0</v>
      </c>
      <c r="K4">
        <v>0</v>
      </c>
      <c r="L4">
        <v>0</v>
      </c>
      <c r="M4">
        <v>0</v>
      </c>
      <c r="N4" t="s">
        <v>8</v>
      </c>
      <c r="O4" t="s">
        <v>110</v>
      </c>
      <c r="P4" t="s">
        <v>85</v>
      </c>
    </row>
    <row r="5" spans="1:16">
      <c r="A5" t="s">
        <v>469</v>
      </c>
      <c r="B5" t="s">
        <v>85</v>
      </c>
      <c r="C5" t="s">
        <v>2912</v>
      </c>
      <c r="D5" t="s">
        <v>310</v>
      </c>
      <c r="E5" t="s">
        <v>80</v>
      </c>
      <c r="F5">
        <v>0</v>
      </c>
      <c r="G5">
        <v>0</v>
      </c>
      <c r="H5">
        <v>0</v>
      </c>
      <c r="I5">
        <v>0</v>
      </c>
      <c r="J5">
        <v>0</v>
      </c>
      <c r="K5">
        <v>0</v>
      </c>
      <c r="L5">
        <v>0</v>
      </c>
      <c r="M5">
        <v>0</v>
      </c>
      <c r="N5" t="s">
        <v>8</v>
      </c>
      <c r="O5" t="s">
        <v>110</v>
      </c>
      <c r="P5" t="s">
        <v>85</v>
      </c>
    </row>
    <row r="6" spans="1:16">
      <c r="A6" t="s">
        <v>469</v>
      </c>
      <c r="B6" t="s">
        <v>85</v>
      </c>
      <c r="C6" t="s">
        <v>2913</v>
      </c>
      <c r="D6" t="s">
        <v>310</v>
      </c>
      <c r="E6" t="s">
        <v>80</v>
      </c>
      <c r="F6">
        <v>0</v>
      </c>
      <c r="G6">
        <v>0</v>
      </c>
      <c r="H6">
        <v>0</v>
      </c>
      <c r="I6">
        <v>0</v>
      </c>
      <c r="J6">
        <v>0</v>
      </c>
      <c r="K6">
        <v>0</v>
      </c>
      <c r="L6">
        <v>0</v>
      </c>
      <c r="M6">
        <v>0</v>
      </c>
      <c r="N6" t="s">
        <v>8</v>
      </c>
      <c r="O6" t="s">
        <v>110</v>
      </c>
      <c r="P6" t="s">
        <v>85</v>
      </c>
    </row>
    <row r="7" spans="1:16">
      <c r="A7" t="s">
        <v>469</v>
      </c>
      <c r="B7" t="s">
        <v>85</v>
      </c>
      <c r="C7" t="s">
        <v>479</v>
      </c>
      <c r="D7" t="s">
        <v>308</v>
      </c>
      <c r="E7" t="s">
        <v>81</v>
      </c>
      <c r="F7">
        <v>0</v>
      </c>
      <c r="G7">
        <v>0</v>
      </c>
      <c r="H7">
        <v>0</v>
      </c>
      <c r="I7">
        <v>0</v>
      </c>
      <c r="J7">
        <v>36779187.189999998</v>
      </c>
      <c r="K7">
        <v>0</v>
      </c>
      <c r="L7">
        <v>0</v>
      </c>
      <c r="M7">
        <v>36779187.189999998</v>
      </c>
      <c r="N7" t="s">
        <v>8</v>
      </c>
      <c r="O7" t="s">
        <v>110</v>
      </c>
      <c r="P7" t="s">
        <v>85</v>
      </c>
    </row>
    <row r="8" spans="1:16">
      <c r="A8" t="s">
        <v>582</v>
      </c>
      <c r="B8" t="s">
        <v>85</v>
      </c>
      <c r="C8" t="s">
        <v>3119</v>
      </c>
      <c r="D8" t="s">
        <v>310</v>
      </c>
      <c r="E8" t="s">
        <v>81</v>
      </c>
      <c r="F8">
        <v>0</v>
      </c>
      <c r="G8">
        <v>0</v>
      </c>
      <c r="H8">
        <v>0</v>
      </c>
      <c r="I8">
        <v>0</v>
      </c>
      <c r="J8">
        <v>0</v>
      </c>
      <c r="K8">
        <v>0</v>
      </c>
      <c r="L8">
        <v>0</v>
      </c>
      <c r="M8">
        <v>0</v>
      </c>
      <c r="N8" t="s">
        <v>67</v>
      </c>
      <c r="O8" t="s">
        <v>110</v>
      </c>
      <c r="P8" t="s">
        <v>85</v>
      </c>
    </row>
    <row r="9" spans="1:16">
      <c r="A9" t="s">
        <v>582</v>
      </c>
      <c r="B9" t="s">
        <v>85</v>
      </c>
      <c r="C9" t="s">
        <v>3118</v>
      </c>
      <c r="D9" t="s">
        <v>310</v>
      </c>
      <c r="E9" t="s">
        <v>80</v>
      </c>
      <c r="F9">
        <v>0</v>
      </c>
      <c r="G9">
        <v>0</v>
      </c>
      <c r="H9">
        <v>0</v>
      </c>
      <c r="I9">
        <v>0</v>
      </c>
      <c r="J9">
        <v>0</v>
      </c>
      <c r="K9">
        <v>0</v>
      </c>
      <c r="L9">
        <v>0</v>
      </c>
      <c r="M9">
        <v>0</v>
      </c>
      <c r="N9" t="s">
        <v>67</v>
      </c>
      <c r="O9" t="s">
        <v>110</v>
      </c>
      <c r="P9" t="s">
        <v>85</v>
      </c>
    </row>
    <row r="10" spans="1:16">
      <c r="A10" t="s">
        <v>582</v>
      </c>
      <c r="B10" t="s">
        <v>85</v>
      </c>
      <c r="C10" t="s">
        <v>3117</v>
      </c>
      <c r="D10" t="s">
        <v>310</v>
      </c>
      <c r="E10" t="s">
        <v>80</v>
      </c>
      <c r="F10">
        <v>0</v>
      </c>
      <c r="G10">
        <v>0</v>
      </c>
      <c r="H10">
        <v>0</v>
      </c>
      <c r="I10">
        <v>0</v>
      </c>
      <c r="J10">
        <v>0</v>
      </c>
      <c r="K10">
        <v>0</v>
      </c>
      <c r="L10">
        <v>0</v>
      </c>
      <c r="M10">
        <v>0</v>
      </c>
      <c r="N10" t="s">
        <v>67</v>
      </c>
      <c r="O10" t="s">
        <v>110</v>
      </c>
      <c r="P10" t="s">
        <v>85</v>
      </c>
    </row>
    <row r="11" spans="1:16">
      <c r="A11" t="s">
        <v>582</v>
      </c>
      <c r="B11" t="s">
        <v>85</v>
      </c>
      <c r="C11" t="s">
        <v>588</v>
      </c>
      <c r="D11" t="s">
        <v>308</v>
      </c>
      <c r="E11" t="s">
        <v>81</v>
      </c>
      <c r="F11">
        <v>0</v>
      </c>
      <c r="G11">
        <v>0</v>
      </c>
      <c r="H11">
        <v>0</v>
      </c>
      <c r="I11">
        <v>0</v>
      </c>
      <c r="J11">
        <v>23085645.920000009</v>
      </c>
      <c r="K11">
        <v>0</v>
      </c>
      <c r="L11">
        <v>7019326.5099999998</v>
      </c>
      <c r="M11">
        <v>16066319.410000009</v>
      </c>
      <c r="N11" t="s">
        <v>67</v>
      </c>
      <c r="O11" t="s">
        <v>110</v>
      </c>
      <c r="P11" t="s">
        <v>85</v>
      </c>
    </row>
    <row r="12" spans="1:16">
      <c r="A12" t="s">
        <v>582</v>
      </c>
      <c r="B12" t="s">
        <v>85</v>
      </c>
      <c r="C12" t="s">
        <v>587</v>
      </c>
      <c r="D12" t="s">
        <v>308</v>
      </c>
      <c r="E12" t="s">
        <v>80</v>
      </c>
      <c r="F12">
        <v>45461703419.697021</v>
      </c>
      <c r="G12">
        <v>30540857118</v>
      </c>
      <c r="H12">
        <v>75462774305</v>
      </c>
      <c r="I12">
        <v>539786232.69702148</v>
      </c>
      <c r="J12">
        <v>0</v>
      </c>
      <c r="K12">
        <v>0</v>
      </c>
      <c r="L12">
        <v>0</v>
      </c>
      <c r="M12">
        <v>0</v>
      </c>
      <c r="N12" t="s">
        <v>67</v>
      </c>
      <c r="O12" t="s">
        <v>110</v>
      </c>
      <c r="P12" t="s">
        <v>85</v>
      </c>
    </row>
    <row r="13" spans="1:16">
      <c r="A13" t="s">
        <v>582</v>
      </c>
      <c r="B13" t="s">
        <v>85</v>
      </c>
      <c r="C13" t="s">
        <v>3113</v>
      </c>
      <c r="D13" t="s">
        <v>310</v>
      </c>
      <c r="E13" t="s">
        <v>81</v>
      </c>
      <c r="F13">
        <v>0</v>
      </c>
      <c r="G13">
        <v>0</v>
      </c>
      <c r="H13">
        <v>0</v>
      </c>
      <c r="I13">
        <v>0</v>
      </c>
      <c r="J13">
        <v>3900000</v>
      </c>
      <c r="K13">
        <v>0</v>
      </c>
      <c r="L13">
        <v>0</v>
      </c>
      <c r="M13">
        <v>3900000</v>
      </c>
      <c r="N13" t="s">
        <v>67</v>
      </c>
      <c r="O13" t="s">
        <v>110</v>
      </c>
      <c r="P13" t="s">
        <v>85</v>
      </c>
    </row>
    <row r="14" spans="1:16">
      <c r="A14" t="s">
        <v>752</v>
      </c>
      <c r="B14" t="s">
        <v>85</v>
      </c>
      <c r="C14" t="s">
        <v>3319</v>
      </c>
      <c r="D14" t="s">
        <v>310</v>
      </c>
      <c r="E14" t="s">
        <v>80</v>
      </c>
      <c r="F14">
        <v>50000000000</v>
      </c>
      <c r="G14">
        <v>0</v>
      </c>
      <c r="H14">
        <v>0</v>
      </c>
      <c r="I14">
        <v>50000000000</v>
      </c>
      <c r="J14">
        <v>0</v>
      </c>
      <c r="K14">
        <v>0</v>
      </c>
      <c r="L14">
        <v>0</v>
      </c>
      <c r="M14">
        <v>0</v>
      </c>
      <c r="N14" t="s">
        <v>10</v>
      </c>
      <c r="O14" t="s">
        <v>110</v>
      </c>
      <c r="P14" t="s">
        <v>85</v>
      </c>
    </row>
    <row r="15" spans="1:16">
      <c r="A15" t="s">
        <v>752</v>
      </c>
      <c r="B15" t="s">
        <v>85</v>
      </c>
      <c r="C15" t="s">
        <v>3318</v>
      </c>
      <c r="D15" t="s">
        <v>310</v>
      </c>
      <c r="E15" t="s">
        <v>80</v>
      </c>
      <c r="F15">
        <v>50000000000</v>
      </c>
      <c r="G15">
        <v>0</v>
      </c>
      <c r="H15">
        <v>0</v>
      </c>
      <c r="I15">
        <v>50000000000</v>
      </c>
      <c r="J15">
        <v>0</v>
      </c>
      <c r="K15">
        <v>0</v>
      </c>
      <c r="L15">
        <v>0</v>
      </c>
      <c r="M15">
        <v>0</v>
      </c>
      <c r="N15" t="s">
        <v>10</v>
      </c>
      <c r="O15" t="s">
        <v>110</v>
      </c>
      <c r="P15" t="s">
        <v>85</v>
      </c>
    </row>
    <row r="16" spans="1:16">
      <c r="A16" t="s">
        <v>752</v>
      </c>
      <c r="B16" t="s">
        <v>85</v>
      </c>
      <c r="C16" t="s">
        <v>3317</v>
      </c>
      <c r="D16" t="s">
        <v>310</v>
      </c>
      <c r="E16" t="s">
        <v>80</v>
      </c>
      <c r="F16">
        <v>53000000000</v>
      </c>
      <c r="G16">
        <v>0</v>
      </c>
      <c r="H16">
        <v>0</v>
      </c>
      <c r="I16">
        <v>53000000000</v>
      </c>
      <c r="J16">
        <v>0</v>
      </c>
      <c r="K16">
        <v>0</v>
      </c>
      <c r="L16">
        <v>0</v>
      </c>
      <c r="M16">
        <v>0</v>
      </c>
      <c r="N16" t="s">
        <v>10</v>
      </c>
      <c r="O16" t="s">
        <v>110</v>
      </c>
      <c r="P16" t="s">
        <v>85</v>
      </c>
    </row>
    <row r="17" spans="1:16">
      <c r="A17" t="s">
        <v>522</v>
      </c>
      <c r="B17" t="s">
        <v>85</v>
      </c>
      <c r="C17" t="s">
        <v>760</v>
      </c>
      <c r="D17" t="s">
        <v>308</v>
      </c>
      <c r="E17" t="s">
        <v>80</v>
      </c>
      <c r="F17">
        <v>5108400000</v>
      </c>
      <c r="G17">
        <v>4700843112</v>
      </c>
      <c r="H17">
        <v>0</v>
      </c>
      <c r="I17">
        <v>9809243112</v>
      </c>
      <c r="J17">
        <v>0</v>
      </c>
      <c r="K17">
        <v>0</v>
      </c>
      <c r="L17">
        <v>0</v>
      </c>
      <c r="M17">
        <v>0</v>
      </c>
      <c r="N17" t="s">
        <v>10</v>
      </c>
      <c r="O17" t="s">
        <v>110</v>
      </c>
      <c r="P17" t="s">
        <v>85</v>
      </c>
    </row>
    <row r="18" spans="1:16">
      <c r="A18" t="s">
        <v>518</v>
      </c>
      <c r="B18" t="s">
        <v>85</v>
      </c>
      <c r="C18" t="s">
        <v>759</v>
      </c>
      <c r="D18" t="s">
        <v>308</v>
      </c>
      <c r="E18" t="s">
        <v>80</v>
      </c>
      <c r="F18">
        <v>18730800000</v>
      </c>
      <c r="G18">
        <v>0</v>
      </c>
      <c r="H18">
        <v>0</v>
      </c>
      <c r="I18">
        <v>18730800000</v>
      </c>
      <c r="J18">
        <v>0</v>
      </c>
      <c r="K18">
        <v>0</v>
      </c>
      <c r="L18">
        <v>0</v>
      </c>
      <c r="M18">
        <v>0</v>
      </c>
      <c r="N18" t="s">
        <v>10</v>
      </c>
      <c r="O18" t="s">
        <v>110</v>
      </c>
      <c r="P18" t="s">
        <v>85</v>
      </c>
    </row>
    <row r="19" spans="1:16">
      <c r="A19" t="s">
        <v>808</v>
      </c>
      <c r="B19" t="s">
        <v>85</v>
      </c>
      <c r="C19" t="s">
        <v>5338</v>
      </c>
      <c r="D19" t="s">
        <v>308</v>
      </c>
      <c r="E19" t="s">
        <v>80</v>
      </c>
      <c r="F19">
        <v>6400000000</v>
      </c>
      <c r="G19">
        <v>0</v>
      </c>
      <c r="H19">
        <v>0</v>
      </c>
      <c r="I19">
        <v>6400000000</v>
      </c>
      <c r="J19">
        <v>0</v>
      </c>
      <c r="K19">
        <v>0</v>
      </c>
      <c r="L19">
        <v>0</v>
      </c>
      <c r="M19">
        <v>0</v>
      </c>
      <c r="N19" t="s">
        <v>10</v>
      </c>
      <c r="O19" t="s">
        <v>110</v>
      </c>
      <c r="P19" t="s">
        <v>85</v>
      </c>
    </row>
    <row r="20" spans="1:16">
      <c r="A20" t="s">
        <v>609</v>
      </c>
      <c r="B20" t="s">
        <v>85</v>
      </c>
      <c r="C20" t="s">
        <v>3306</v>
      </c>
      <c r="D20" t="s">
        <v>310</v>
      </c>
      <c r="E20" t="s">
        <v>80</v>
      </c>
      <c r="F20">
        <v>5000000000</v>
      </c>
      <c r="G20">
        <v>0</v>
      </c>
      <c r="H20">
        <v>5000000000</v>
      </c>
      <c r="I20">
        <v>0</v>
      </c>
      <c r="J20">
        <v>0</v>
      </c>
      <c r="K20">
        <v>0</v>
      </c>
      <c r="L20">
        <v>0</v>
      </c>
      <c r="M20">
        <v>0</v>
      </c>
      <c r="N20" t="s">
        <v>10</v>
      </c>
      <c r="O20" t="s">
        <v>110</v>
      </c>
      <c r="P20" t="s">
        <v>85</v>
      </c>
    </row>
    <row r="21" spans="1:16">
      <c r="A21" t="s">
        <v>761</v>
      </c>
      <c r="B21" t="s">
        <v>85</v>
      </c>
      <c r="C21" t="s">
        <v>3278</v>
      </c>
      <c r="D21" t="s">
        <v>310</v>
      </c>
      <c r="E21" t="s">
        <v>80</v>
      </c>
      <c r="F21">
        <v>15357063169</v>
      </c>
      <c r="G21">
        <v>71946789</v>
      </c>
      <c r="H21">
        <v>0</v>
      </c>
      <c r="I21">
        <v>15429009958</v>
      </c>
      <c r="J21">
        <v>0</v>
      </c>
      <c r="K21">
        <v>0</v>
      </c>
      <c r="L21">
        <v>0</v>
      </c>
      <c r="M21">
        <v>0</v>
      </c>
      <c r="N21" t="s">
        <v>10</v>
      </c>
      <c r="O21" t="s">
        <v>110</v>
      </c>
      <c r="P21" t="s">
        <v>85</v>
      </c>
    </row>
    <row r="22" spans="1:16">
      <c r="A22" t="s">
        <v>761</v>
      </c>
      <c r="B22" t="s">
        <v>85</v>
      </c>
      <c r="C22" t="s">
        <v>3276</v>
      </c>
      <c r="D22" t="s">
        <v>308</v>
      </c>
      <c r="E22" t="s">
        <v>80</v>
      </c>
      <c r="F22">
        <v>261237542</v>
      </c>
      <c r="G22">
        <v>63519</v>
      </c>
      <c r="H22">
        <v>0</v>
      </c>
      <c r="I22">
        <v>261301061</v>
      </c>
      <c r="J22">
        <v>0</v>
      </c>
      <c r="K22">
        <v>0</v>
      </c>
      <c r="L22">
        <v>0</v>
      </c>
      <c r="M22">
        <v>0</v>
      </c>
      <c r="N22" t="s">
        <v>10</v>
      </c>
      <c r="O22" t="s">
        <v>110</v>
      </c>
      <c r="P22" t="s">
        <v>85</v>
      </c>
    </row>
    <row r="23" spans="1:16">
      <c r="A23" t="s">
        <v>752</v>
      </c>
      <c r="B23" t="s">
        <v>85</v>
      </c>
      <c r="C23" t="s">
        <v>3275</v>
      </c>
      <c r="D23" t="s">
        <v>310</v>
      </c>
      <c r="E23" t="s">
        <v>80</v>
      </c>
      <c r="F23">
        <v>0</v>
      </c>
      <c r="G23">
        <v>0</v>
      </c>
      <c r="H23">
        <v>0</v>
      </c>
      <c r="I23">
        <v>0</v>
      </c>
      <c r="J23">
        <v>0</v>
      </c>
      <c r="K23">
        <v>0</v>
      </c>
      <c r="L23">
        <v>0</v>
      </c>
      <c r="M23">
        <v>0</v>
      </c>
      <c r="N23" t="s">
        <v>10</v>
      </c>
      <c r="O23" t="s">
        <v>110</v>
      </c>
      <c r="P23" t="s">
        <v>85</v>
      </c>
    </row>
    <row r="24" spans="1:16">
      <c r="A24" t="s">
        <v>752</v>
      </c>
      <c r="B24" t="s">
        <v>85</v>
      </c>
      <c r="C24" t="s">
        <v>3274</v>
      </c>
      <c r="D24" t="s">
        <v>310</v>
      </c>
      <c r="E24" t="s">
        <v>80</v>
      </c>
      <c r="F24">
        <v>0</v>
      </c>
      <c r="G24">
        <v>0</v>
      </c>
      <c r="H24">
        <v>0</v>
      </c>
      <c r="I24">
        <v>0</v>
      </c>
      <c r="J24">
        <v>0</v>
      </c>
      <c r="K24">
        <v>0</v>
      </c>
      <c r="L24">
        <v>0</v>
      </c>
      <c r="M24">
        <v>0</v>
      </c>
      <c r="N24" t="s">
        <v>10</v>
      </c>
      <c r="O24" t="s">
        <v>110</v>
      </c>
      <c r="P24" t="s">
        <v>85</v>
      </c>
    </row>
    <row r="25" spans="1:16">
      <c r="A25" t="s">
        <v>752</v>
      </c>
      <c r="B25" t="s">
        <v>85</v>
      </c>
      <c r="C25" t="s">
        <v>3273</v>
      </c>
      <c r="D25" t="s">
        <v>310</v>
      </c>
      <c r="E25" t="s">
        <v>80</v>
      </c>
      <c r="F25">
        <v>0</v>
      </c>
      <c r="G25">
        <v>0</v>
      </c>
      <c r="H25">
        <v>0</v>
      </c>
      <c r="I25">
        <v>0</v>
      </c>
      <c r="J25">
        <v>0</v>
      </c>
      <c r="K25">
        <v>0</v>
      </c>
      <c r="L25">
        <v>0</v>
      </c>
      <c r="M25">
        <v>0</v>
      </c>
      <c r="N25" t="s">
        <v>10</v>
      </c>
      <c r="O25" t="s">
        <v>110</v>
      </c>
      <c r="P25" t="s">
        <v>85</v>
      </c>
    </row>
    <row r="26" spans="1:16">
      <c r="A26" t="s">
        <v>752</v>
      </c>
      <c r="B26" t="s">
        <v>85</v>
      </c>
      <c r="C26" t="s">
        <v>753</v>
      </c>
      <c r="D26" t="s">
        <v>308</v>
      </c>
      <c r="E26" t="s">
        <v>80</v>
      </c>
      <c r="F26">
        <v>2384966841</v>
      </c>
      <c r="G26">
        <v>339290</v>
      </c>
      <c r="H26">
        <v>0</v>
      </c>
      <c r="I26">
        <v>2385306131</v>
      </c>
      <c r="J26">
        <v>0</v>
      </c>
      <c r="K26">
        <v>0</v>
      </c>
      <c r="L26">
        <v>0</v>
      </c>
      <c r="M26">
        <v>0</v>
      </c>
      <c r="N26" t="s">
        <v>10</v>
      </c>
      <c r="O26" t="s">
        <v>110</v>
      </c>
      <c r="P26" t="s">
        <v>85</v>
      </c>
    </row>
    <row r="27" spans="1:16">
      <c r="A27" t="s">
        <v>744</v>
      </c>
      <c r="B27" t="s">
        <v>85</v>
      </c>
      <c r="C27" t="s">
        <v>3265</v>
      </c>
      <c r="D27" t="s">
        <v>310</v>
      </c>
      <c r="E27" t="s">
        <v>80</v>
      </c>
      <c r="F27">
        <v>4607118950</v>
      </c>
      <c r="G27">
        <v>21584037</v>
      </c>
      <c r="H27">
        <v>0</v>
      </c>
      <c r="I27">
        <v>4628702987</v>
      </c>
      <c r="J27">
        <v>0</v>
      </c>
      <c r="K27">
        <v>0</v>
      </c>
      <c r="L27">
        <v>0</v>
      </c>
      <c r="M27">
        <v>0</v>
      </c>
      <c r="N27" t="s">
        <v>10</v>
      </c>
      <c r="O27" t="s">
        <v>110</v>
      </c>
      <c r="P27" t="s">
        <v>85</v>
      </c>
    </row>
    <row r="28" spans="1:16">
      <c r="A28" t="s">
        <v>744</v>
      </c>
      <c r="B28" t="s">
        <v>85</v>
      </c>
      <c r="C28" t="s">
        <v>745</v>
      </c>
      <c r="D28" t="s">
        <v>308</v>
      </c>
      <c r="E28" t="s">
        <v>80</v>
      </c>
      <c r="F28">
        <v>488407573</v>
      </c>
      <c r="G28">
        <v>80285</v>
      </c>
      <c r="H28">
        <v>33000</v>
      </c>
      <c r="I28">
        <v>488454858</v>
      </c>
      <c r="J28">
        <v>0</v>
      </c>
      <c r="K28">
        <v>0</v>
      </c>
      <c r="L28">
        <v>0</v>
      </c>
      <c r="M28">
        <v>0</v>
      </c>
      <c r="N28" t="s">
        <v>10</v>
      </c>
      <c r="O28" t="s">
        <v>110</v>
      </c>
      <c r="P28" t="s">
        <v>85</v>
      </c>
    </row>
    <row r="29" spans="1:16">
      <c r="A29" t="s">
        <v>742</v>
      </c>
      <c r="B29" t="s">
        <v>85</v>
      </c>
      <c r="C29" t="s">
        <v>3263</v>
      </c>
      <c r="D29" t="s">
        <v>310</v>
      </c>
      <c r="E29" t="s">
        <v>80</v>
      </c>
      <c r="F29">
        <v>4607118950</v>
      </c>
      <c r="G29">
        <v>21584037</v>
      </c>
      <c r="H29">
        <v>0</v>
      </c>
      <c r="I29">
        <v>4628702987</v>
      </c>
      <c r="J29">
        <v>0</v>
      </c>
      <c r="K29">
        <v>0</v>
      </c>
      <c r="L29">
        <v>0</v>
      </c>
      <c r="M29">
        <v>0</v>
      </c>
      <c r="N29" t="s">
        <v>10</v>
      </c>
      <c r="O29" t="s">
        <v>110</v>
      </c>
      <c r="P29" t="s">
        <v>85</v>
      </c>
    </row>
    <row r="30" spans="1:16">
      <c r="A30" t="s">
        <v>742</v>
      </c>
      <c r="B30" t="s">
        <v>85</v>
      </c>
      <c r="C30" t="s">
        <v>743</v>
      </c>
      <c r="D30" t="s">
        <v>308</v>
      </c>
      <c r="E30" t="s">
        <v>80</v>
      </c>
      <c r="F30">
        <v>488412034</v>
      </c>
      <c r="G30">
        <v>80286</v>
      </c>
      <c r="H30">
        <v>33000</v>
      </c>
      <c r="I30">
        <v>488459320</v>
      </c>
      <c r="J30">
        <v>0</v>
      </c>
      <c r="K30">
        <v>0</v>
      </c>
      <c r="L30">
        <v>0</v>
      </c>
      <c r="M30">
        <v>0</v>
      </c>
      <c r="N30" t="s">
        <v>10</v>
      </c>
      <c r="O30" t="s">
        <v>110</v>
      </c>
      <c r="P30" t="s">
        <v>85</v>
      </c>
    </row>
    <row r="31" spans="1:16">
      <c r="A31" t="s">
        <v>739</v>
      </c>
      <c r="B31" t="s">
        <v>85</v>
      </c>
      <c r="C31" t="s">
        <v>741</v>
      </c>
      <c r="D31" t="s">
        <v>310</v>
      </c>
      <c r="E31" t="s">
        <v>80</v>
      </c>
      <c r="F31">
        <v>4607118950</v>
      </c>
      <c r="G31">
        <v>21584037</v>
      </c>
      <c r="H31">
        <v>0</v>
      </c>
      <c r="I31">
        <v>4628702987</v>
      </c>
      <c r="J31">
        <v>0</v>
      </c>
      <c r="K31">
        <v>0</v>
      </c>
      <c r="L31">
        <v>0</v>
      </c>
      <c r="M31">
        <v>0</v>
      </c>
      <c r="N31" t="s">
        <v>10</v>
      </c>
      <c r="O31" t="s">
        <v>110</v>
      </c>
      <c r="P31" t="s">
        <v>85</v>
      </c>
    </row>
    <row r="32" spans="1:16">
      <c r="A32" t="s">
        <v>739</v>
      </c>
      <c r="B32" t="s">
        <v>85</v>
      </c>
      <c r="C32" t="s">
        <v>740</v>
      </c>
      <c r="D32" t="s">
        <v>308</v>
      </c>
      <c r="E32" t="s">
        <v>80</v>
      </c>
      <c r="F32">
        <v>485239176</v>
      </c>
      <c r="G32">
        <v>79763</v>
      </c>
      <c r="H32">
        <v>33000</v>
      </c>
      <c r="I32">
        <v>485285939</v>
      </c>
      <c r="J32">
        <v>0</v>
      </c>
      <c r="K32">
        <v>0</v>
      </c>
      <c r="L32">
        <v>0</v>
      </c>
      <c r="M32">
        <v>0</v>
      </c>
      <c r="N32" t="s">
        <v>10</v>
      </c>
      <c r="O32" t="s">
        <v>110</v>
      </c>
      <c r="P32" t="s">
        <v>85</v>
      </c>
    </row>
    <row r="33" spans="1:16">
      <c r="A33" t="s">
        <v>712</v>
      </c>
      <c r="B33" t="s">
        <v>85</v>
      </c>
      <c r="C33" t="s">
        <v>5339</v>
      </c>
      <c r="D33" t="s">
        <v>308</v>
      </c>
      <c r="E33" t="s">
        <v>80</v>
      </c>
      <c r="F33">
        <v>3108884484</v>
      </c>
      <c r="G33">
        <v>539179</v>
      </c>
      <c r="H33">
        <v>20438000</v>
      </c>
      <c r="I33">
        <v>3088985663</v>
      </c>
      <c r="J33">
        <v>0</v>
      </c>
      <c r="K33">
        <v>0</v>
      </c>
      <c r="L33">
        <v>0</v>
      </c>
      <c r="M33">
        <v>0</v>
      </c>
      <c r="N33" t="s">
        <v>10</v>
      </c>
      <c r="O33" t="s">
        <v>110</v>
      </c>
      <c r="P33" t="s">
        <v>85</v>
      </c>
    </row>
    <row r="34" spans="1:16">
      <c r="A34" t="s">
        <v>710</v>
      </c>
      <c r="B34" t="s">
        <v>85</v>
      </c>
      <c r="C34" t="s">
        <v>5340</v>
      </c>
      <c r="D34" t="s">
        <v>308</v>
      </c>
      <c r="E34" t="s">
        <v>80</v>
      </c>
      <c r="F34">
        <v>859691931</v>
      </c>
      <c r="G34">
        <v>129861</v>
      </c>
      <c r="H34">
        <v>240567212</v>
      </c>
      <c r="I34">
        <v>619254580</v>
      </c>
      <c r="J34">
        <v>0</v>
      </c>
      <c r="K34">
        <v>0</v>
      </c>
      <c r="L34">
        <v>0</v>
      </c>
      <c r="M34">
        <v>0</v>
      </c>
      <c r="N34" t="s">
        <v>10</v>
      </c>
      <c r="O34" t="s">
        <v>110</v>
      </c>
      <c r="P34" t="s">
        <v>85</v>
      </c>
    </row>
    <row r="35" spans="1:16">
      <c r="A35" t="s">
        <v>710</v>
      </c>
      <c r="B35" t="s">
        <v>85</v>
      </c>
      <c r="C35" t="s">
        <v>3247</v>
      </c>
      <c r="D35" t="s">
        <v>310</v>
      </c>
      <c r="E35" t="s">
        <v>80</v>
      </c>
      <c r="F35">
        <v>0</v>
      </c>
      <c r="G35">
        <v>0</v>
      </c>
      <c r="H35">
        <v>0</v>
      </c>
      <c r="I35">
        <v>0</v>
      </c>
      <c r="J35">
        <v>0</v>
      </c>
      <c r="K35">
        <v>0</v>
      </c>
      <c r="L35">
        <v>0</v>
      </c>
      <c r="M35">
        <v>0</v>
      </c>
      <c r="N35" t="s">
        <v>10</v>
      </c>
      <c r="O35" t="s">
        <v>110</v>
      </c>
      <c r="P35" t="s">
        <v>85</v>
      </c>
    </row>
    <row r="36" spans="1:16">
      <c r="A36" t="s">
        <v>708</v>
      </c>
      <c r="B36" t="s">
        <v>85</v>
      </c>
      <c r="C36" t="s">
        <v>709</v>
      </c>
      <c r="D36" t="s">
        <v>308</v>
      </c>
      <c r="E36" t="s">
        <v>80</v>
      </c>
      <c r="F36">
        <v>1661854250</v>
      </c>
      <c r="G36">
        <v>304343</v>
      </c>
      <c r="H36">
        <v>20438000</v>
      </c>
      <c r="I36">
        <v>1641720593</v>
      </c>
      <c r="J36">
        <v>0</v>
      </c>
      <c r="K36">
        <v>0</v>
      </c>
      <c r="L36">
        <v>0</v>
      </c>
      <c r="M36">
        <v>0</v>
      </c>
      <c r="N36" t="s">
        <v>10</v>
      </c>
      <c r="O36" t="s">
        <v>110</v>
      </c>
      <c r="P36" t="s">
        <v>85</v>
      </c>
    </row>
    <row r="37" spans="1:16">
      <c r="A37" t="s">
        <v>708</v>
      </c>
      <c r="B37" t="s">
        <v>85</v>
      </c>
      <c r="C37" t="s">
        <v>3245</v>
      </c>
      <c r="D37" t="s">
        <v>310</v>
      </c>
      <c r="E37" t="s">
        <v>80</v>
      </c>
      <c r="F37">
        <v>0</v>
      </c>
      <c r="G37">
        <v>0</v>
      </c>
      <c r="H37">
        <v>0</v>
      </c>
      <c r="I37">
        <v>0</v>
      </c>
      <c r="J37">
        <v>0</v>
      </c>
      <c r="K37">
        <v>0</v>
      </c>
      <c r="L37">
        <v>0</v>
      </c>
      <c r="M37">
        <v>0</v>
      </c>
      <c r="N37" t="s">
        <v>10</v>
      </c>
      <c r="O37" t="s">
        <v>110</v>
      </c>
      <c r="P37" t="s">
        <v>85</v>
      </c>
    </row>
    <row r="38" spans="1:16">
      <c r="A38" t="s">
        <v>706</v>
      </c>
      <c r="B38" t="s">
        <v>85</v>
      </c>
      <c r="C38" t="s">
        <v>707</v>
      </c>
      <c r="D38" t="s">
        <v>308</v>
      </c>
      <c r="E38" t="s">
        <v>80</v>
      </c>
      <c r="F38">
        <v>72372596856</v>
      </c>
      <c r="G38">
        <v>11410388</v>
      </c>
      <c r="H38">
        <v>23070035030</v>
      </c>
      <c r="I38">
        <v>49313972214</v>
      </c>
      <c r="J38">
        <v>0</v>
      </c>
      <c r="K38">
        <v>0</v>
      </c>
      <c r="L38">
        <v>0</v>
      </c>
      <c r="M38">
        <v>0</v>
      </c>
      <c r="N38" t="s">
        <v>10</v>
      </c>
      <c r="O38" t="s">
        <v>110</v>
      </c>
      <c r="P38" t="s">
        <v>85</v>
      </c>
    </row>
    <row r="39" spans="1:16">
      <c r="A39" t="s">
        <v>706</v>
      </c>
      <c r="B39" t="s">
        <v>85</v>
      </c>
      <c r="C39" t="s">
        <v>3244</v>
      </c>
      <c r="D39" t="s">
        <v>310</v>
      </c>
      <c r="E39" t="s">
        <v>80</v>
      </c>
      <c r="F39">
        <v>0</v>
      </c>
      <c r="G39">
        <v>0</v>
      </c>
      <c r="H39">
        <v>0</v>
      </c>
      <c r="I39">
        <v>0</v>
      </c>
      <c r="J39">
        <v>0</v>
      </c>
      <c r="K39">
        <v>0</v>
      </c>
      <c r="L39">
        <v>0</v>
      </c>
      <c r="M39">
        <v>0</v>
      </c>
      <c r="N39" t="s">
        <v>10</v>
      </c>
      <c r="O39" t="s">
        <v>110</v>
      </c>
      <c r="P39" t="s">
        <v>85</v>
      </c>
    </row>
    <row r="40" spans="1:16">
      <c r="A40" t="s">
        <v>697</v>
      </c>
      <c r="B40" t="s">
        <v>85</v>
      </c>
      <c r="C40" t="s">
        <v>3232</v>
      </c>
      <c r="D40" t="s">
        <v>310</v>
      </c>
      <c r="E40" t="s">
        <v>80</v>
      </c>
      <c r="F40">
        <v>0</v>
      </c>
      <c r="G40">
        <v>0</v>
      </c>
      <c r="H40">
        <v>0</v>
      </c>
      <c r="I40">
        <v>0</v>
      </c>
      <c r="J40">
        <v>0</v>
      </c>
      <c r="K40">
        <v>0</v>
      </c>
      <c r="L40">
        <v>0</v>
      </c>
      <c r="M40">
        <v>0</v>
      </c>
      <c r="N40" t="s">
        <v>10</v>
      </c>
      <c r="O40" t="s">
        <v>110</v>
      </c>
      <c r="P40" t="s">
        <v>85</v>
      </c>
    </row>
    <row r="41" spans="1:16">
      <c r="A41" t="s">
        <v>697</v>
      </c>
      <c r="B41" t="s">
        <v>85</v>
      </c>
      <c r="C41" t="s">
        <v>3231</v>
      </c>
      <c r="D41" t="s">
        <v>310</v>
      </c>
      <c r="E41" t="s">
        <v>80</v>
      </c>
      <c r="F41">
        <v>0</v>
      </c>
      <c r="G41">
        <v>0</v>
      </c>
      <c r="H41">
        <v>0</v>
      </c>
      <c r="I41">
        <v>0</v>
      </c>
      <c r="J41">
        <v>0</v>
      </c>
      <c r="K41">
        <v>0</v>
      </c>
      <c r="L41">
        <v>0</v>
      </c>
      <c r="M41">
        <v>0</v>
      </c>
      <c r="N41" t="s">
        <v>10</v>
      </c>
      <c r="O41" t="s">
        <v>110</v>
      </c>
      <c r="P41" t="s">
        <v>85</v>
      </c>
    </row>
    <row r="42" spans="1:16">
      <c r="A42" t="s">
        <v>697</v>
      </c>
      <c r="B42" t="s">
        <v>85</v>
      </c>
      <c r="C42" t="s">
        <v>3230</v>
      </c>
      <c r="D42" t="s">
        <v>310</v>
      </c>
      <c r="E42" t="s">
        <v>80</v>
      </c>
      <c r="F42">
        <v>0</v>
      </c>
      <c r="G42">
        <v>0</v>
      </c>
      <c r="H42">
        <v>0</v>
      </c>
      <c r="I42">
        <v>0</v>
      </c>
      <c r="J42">
        <v>0</v>
      </c>
      <c r="K42">
        <v>0</v>
      </c>
      <c r="L42">
        <v>0</v>
      </c>
      <c r="M42">
        <v>0</v>
      </c>
      <c r="N42" t="s">
        <v>10</v>
      </c>
      <c r="O42" t="s">
        <v>110</v>
      </c>
      <c r="P42" t="s">
        <v>85</v>
      </c>
    </row>
    <row r="43" spans="1:16">
      <c r="A43" t="s">
        <v>697</v>
      </c>
      <c r="B43" t="s">
        <v>85</v>
      </c>
      <c r="C43" t="s">
        <v>3229</v>
      </c>
      <c r="D43" t="s">
        <v>310</v>
      </c>
      <c r="E43" t="s">
        <v>80</v>
      </c>
      <c r="F43">
        <v>0</v>
      </c>
      <c r="G43">
        <v>0</v>
      </c>
      <c r="H43">
        <v>0</v>
      </c>
      <c r="I43">
        <v>0</v>
      </c>
      <c r="J43">
        <v>0</v>
      </c>
      <c r="K43">
        <v>0</v>
      </c>
      <c r="L43">
        <v>0</v>
      </c>
      <c r="M43">
        <v>0</v>
      </c>
      <c r="N43" t="s">
        <v>10</v>
      </c>
      <c r="O43" t="s">
        <v>110</v>
      </c>
      <c r="P43" t="s">
        <v>85</v>
      </c>
    </row>
    <row r="44" spans="1:16">
      <c r="A44" t="s">
        <v>697</v>
      </c>
      <c r="B44" t="s">
        <v>85</v>
      </c>
      <c r="C44" t="s">
        <v>3228</v>
      </c>
      <c r="D44" t="s">
        <v>310</v>
      </c>
      <c r="E44" t="s">
        <v>80</v>
      </c>
      <c r="F44">
        <v>0</v>
      </c>
      <c r="G44">
        <v>0</v>
      </c>
      <c r="H44">
        <v>0</v>
      </c>
      <c r="I44">
        <v>0</v>
      </c>
      <c r="J44">
        <v>0</v>
      </c>
      <c r="K44">
        <v>0</v>
      </c>
      <c r="L44">
        <v>0</v>
      </c>
      <c r="M44">
        <v>0</v>
      </c>
      <c r="N44" t="s">
        <v>10</v>
      </c>
      <c r="O44" t="s">
        <v>110</v>
      </c>
      <c r="P44" t="s">
        <v>85</v>
      </c>
    </row>
    <row r="45" spans="1:16">
      <c r="A45" t="s">
        <v>697</v>
      </c>
      <c r="B45" t="s">
        <v>85</v>
      </c>
      <c r="C45" t="s">
        <v>3227</v>
      </c>
      <c r="D45" t="s">
        <v>310</v>
      </c>
      <c r="E45" t="s">
        <v>80</v>
      </c>
      <c r="F45">
        <v>28000000000</v>
      </c>
      <c r="G45">
        <v>0</v>
      </c>
      <c r="H45">
        <v>0</v>
      </c>
      <c r="I45">
        <v>28000000000</v>
      </c>
      <c r="J45">
        <v>0</v>
      </c>
      <c r="K45">
        <v>0</v>
      </c>
      <c r="L45">
        <v>0</v>
      </c>
      <c r="M45">
        <v>0</v>
      </c>
      <c r="N45" t="s">
        <v>10</v>
      </c>
      <c r="O45" t="s">
        <v>110</v>
      </c>
      <c r="P45" t="s">
        <v>85</v>
      </c>
    </row>
    <row r="46" spans="1:16">
      <c r="A46" t="s">
        <v>697</v>
      </c>
      <c r="B46" t="s">
        <v>85</v>
      </c>
      <c r="C46" t="s">
        <v>698</v>
      </c>
      <c r="D46" t="s">
        <v>308</v>
      </c>
      <c r="E46" t="s">
        <v>80</v>
      </c>
      <c r="F46">
        <v>1180826360</v>
      </c>
      <c r="G46">
        <v>135743157</v>
      </c>
      <c r="H46">
        <v>0</v>
      </c>
      <c r="I46">
        <v>1316569517</v>
      </c>
      <c r="J46">
        <v>0</v>
      </c>
      <c r="K46">
        <v>0</v>
      </c>
      <c r="L46">
        <v>0</v>
      </c>
      <c r="M46">
        <v>0</v>
      </c>
      <c r="N46" t="s">
        <v>10</v>
      </c>
      <c r="O46" t="s">
        <v>110</v>
      </c>
      <c r="P46" t="s">
        <v>85</v>
      </c>
    </row>
    <row r="47" spans="1:16">
      <c r="A47" t="s">
        <v>693</v>
      </c>
      <c r="B47" t="s">
        <v>85</v>
      </c>
      <c r="C47" t="s">
        <v>694</v>
      </c>
      <c r="D47" t="s">
        <v>308</v>
      </c>
      <c r="E47" t="s">
        <v>80</v>
      </c>
      <c r="F47">
        <v>894505560</v>
      </c>
      <c r="G47">
        <v>0</v>
      </c>
      <c r="H47">
        <v>0</v>
      </c>
      <c r="I47">
        <v>894505560</v>
      </c>
      <c r="J47">
        <v>0</v>
      </c>
      <c r="K47">
        <v>0</v>
      </c>
      <c r="L47">
        <v>0</v>
      </c>
      <c r="M47">
        <v>0</v>
      </c>
      <c r="N47" t="s">
        <v>10</v>
      </c>
      <c r="O47" t="s">
        <v>110</v>
      </c>
      <c r="P47" t="s">
        <v>85</v>
      </c>
    </row>
    <row r="48" spans="1:16">
      <c r="A48" t="s">
        <v>691</v>
      </c>
      <c r="B48" t="s">
        <v>85</v>
      </c>
      <c r="C48" t="s">
        <v>692</v>
      </c>
      <c r="D48" t="s">
        <v>308</v>
      </c>
      <c r="E48" t="s">
        <v>80</v>
      </c>
      <c r="F48">
        <v>894506055</v>
      </c>
      <c r="G48">
        <v>0</v>
      </c>
      <c r="H48">
        <v>0</v>
      </c>
      <c r="I48">
        <v>894506055</v>
      </c>
      <c r="J48">
        <v>0</v>
      </c>
      <c r="K48">
        <v>0</v>
      </c>
      <c r="L48">
        <v>0</v>
      </c>
      <c r="M48">
        <v>0</v>
      </c>
      <c r="N48" t="s">
        <v>10</v>
      </c>
      <c r="O48" t="s">
        <v>110</v>
      </c>
      <c r="P48" t="s">
        <v>85</v>
      </c>
    </row>
    <row r="49" spans="1:16">
      <c r="A49" t="s">
        <v>688</v>
      </c>
      <c r="B49" t="s">
        <v>85</v>
      </c>
      <c r="C49" t="s">
        <v>690</v>
      </c>
      <c r="D49" t="s">
        <v>308</v>
      </c>
      <c r="E49" t="s">
        <v>81</v>
      </c>
      <c r="F49">
        <v>0</v>
      </c>
      <c r="G49">
        <v>0</v>
      </c>
      <c r="H49">
        <v>0</v>
      </c>
      <c r="I49">
        <v>0</v>
      </c>
      <c r="J49">
        <v>0</v>
      </c>
      <c r="K49">
        <v>0</v>
      </c>
      <c r="L49">
        <v>0</v>
      </c>
      <c r="M49">
        <v>0</v>
      </c>
      <c r="N49" t="s">
        <v>10</v>
      </c>
      <c r="O49" t="s">
        <v>110</v>
      </c>
      <c r="P49" t="s">
        <v>85</v>
      </c>
    </row>
    <row r="50" spans="1:16">
      <c r="A50" t="s">
        <v>688</v>
      </c>
      <c r="B50" t="s">
        <v>85</v>
      </c>
      <c r="C50" t="s">
        <v>689</v>
      </c>
      <c r="D50" t="s">
        <v>308</v>
      </c>
      <c r="E50" t="s">
        <v>80</v>
      </c>
      <c r="F50">
        <v>874241752</v>
      </c>
      <c r="G50">
        <v>0</v>
      </c>
      <c r="H50">
        <v>0</v>
      </c>
      <c r="I50">
        <v>874241752</v>
      </c>
      <c r="J50">
        <v>0</v>
      </c>
      <c r="K50">
        <v>0</v>
      </c>
      <c r="L50">
        <v>0</v>
      </c>
      <c r="M50">
        <v>0</v>
      </c>
      <c r="N50" t="s">
        <v>10</v>
      </c>
      <c r="O50" t="s">
        <v>110</v>
      </c>
      <c r="P50" t="s">
        <v>85</v>
      </c>
    </row>
    <row r="51" spans="1:16">
      <c r="A51" t="s">
        <v>686</v>
      </c>
      <c r="B51" t="s">
        <v>85</v>
      </c>
      <c r="C51" t="s">
        <v>687</v>
      </c>
      <c r="D51" t="s">
        <v>308</v>
      </c>
      <c r="E51" t="s">
        <v>80</v>
      </c>
      <c r="F51">
        <v>894539072</v>
      </c>
      <c r="G51">
        <v>0</v>
      </c>
      <c r="H51">
        <v>0</v>
      </c>
      <c r="I51">
        <v>894539072</v>
      </c>
      <c r="J51">
        <v>0</v>
      </c>
      <c r="K51">
        <v>0</v>
      </c>
      <c r="L51">
        <v>0</v>
      </c>
      <c r="M51">
        <v>0</v>
      </c>
      <c r="N51" t="s">
        <v>10</v>
      </c>
      <c r="O51" t="s">
        <v>110</v>
      </c>
      <c r="P51" t="s">
        <v>85</v>
      </c>
    </row>
    <row r="52" spans="1:16">
      <c r="A52" t="s">
        <v>683</v>
      </c>
      <c r="B52" t="s">
        <v>85</v>
      </c>
      <c r="C52" t="s">
        <v>685</v>
      </c>
      <c r="D52" t="s">
        <v>308</v>
      </c>
      <c r="E52" t="s">
        <v>81</v>
      </c>
      <c r="F52">
        <v>0</v>
      </c>
      <c r="G52">
        <v>0</v>
      </c>
      <c r="H52">
        <v>0</v>
      </c>
      <c r="I52">
        <v>0</v>
      </c>
      <c r="J52">
        <v>0</v>
      </c>
      <c r="K52">
        <v>0</v>
      </c>
      <c r="L52">
        <v>0</v>
      </c>
      <c r="M52">
        <v>0</v>
      </c>
      <c r="N52" t="s">
        <v>10</v>
      </c>
      <c r="O52" t="s">
        <v>110</v>
      </c>
      <c r="P52" t="s">
        <v>85</v>
      </c>
    </row>
    <row r="53" spans="1:16">
      <c r="A53" t="s">
        <v>683</v>
      </c>
      <c r="B53" t="s">
        <v>85</v>
      </c>
      <c r="C53" t="s">
        <v>684</v>
      </c>
      <c r="D53" t="s">
        <v>308</v>
      </c>
      <c r="E53" t="s">
        <v>80</v>
      </c>
      <c r="F53">
        <v>894029243</v>
      </c>
      <c r="G53">
        <v>0</v>
      </c>
      <c r="H53">
        <v>0</v>
      </c>
      <c r="I53">
        <v>894029243</v>
      </c>
      <c r="J53">
        <v>0</v>
      </c>
      <c r="K53">
        <v>0</v>
      </c>
      <c r="L53">
        <v>0</v>
      </c>
      <c r="M53">
        <v>0</v>
      </c>
      <c r="N53" t="s">
        <v>10</v>
      </c>
      <c r="O53" t="s">
        <v>110</v>
      </c>
      <c r="P53" t="s">
        <v>85</v>
      </c>
    </row>
    <row r="54" spans="1:16">
      <c r="A54" t="s">
        <v>680</v>
      </c>
      <c r="B54" t="s">
        <v>85</v>
      </c>
      <c r="C54" t="s">
        <v>681</v>
      </c>
      <c r="D54" t="s">
        <v>308</v>
      </c>
      <c r="E54" t="s">
        <v>80</v>
      </c>
      <c r="F54">
        <v>90677313</v>
      </c>
      <c r="G54">
        <v>0</v>
      </c>
      <c r="H54">
        <v>0</v>
      </c>
      <c r="I54">
        <v>90677313</v>
      </c>
      <c r="J54">
        <v>0</v>
      </c>
      <c r="K54">
        <v>0</v>
      </c>
      <c r="L54">
        <v>0</v>
      </c>
      <c r="M54">
        <v>0</v>
      </c>
      <c r="N54" t="s">
        <v>10</v>
      </c>
      <c r="O54" t="s">
        <v>110</v>
      </c>
      <c r="P54" t="s">
        <v>85</v>
      </c>
    </row>
    <row r="55" spans="1:16">
      <c r="A55" t="s">
        <v>678</v>
      </c>
      <c r="B55" t="s">
        <v>85</v>
      </c>
      <c r="C55" t="s">
        <v>679</v>
      </c>
      <c r="D55" t="s">
        <v>308</v>
      </c>
      <c r="E55" t="s">
        <v>80</v>
      </c>
      <c r="F55">
        <v>92700357</v>
      </c>
      <c r="G55">
        <v>0</v>
      </c>
      <c r="H55">
        <v>0</v>
      </c>
      <c r="I55">
        <v>92700357</v>
      </c>
      <c r="J55">
        <v>0</v>
      </c>
      <c r="K55">
        <v>0</v>
      </c>
      <c r="L55">
        <v>0</v>
      </c>
      <c r="M55">
        <v>0</v>
      </c>
      <c r="N55" t="s">
        <v>10</v>
      </c>
      <c r="O55" t="s">
        <v>110</v>
      </c>
      <c r="P55" t="s">
        <v>85</v>
      </c>
    </row>
    <row r="56" spans="1:16">
      <c r="A56" t="s">
        <v>676</v>
      </c>
      <c r="B56" t="s">
        <v>85</v>
      </c>
      <c r="C56" t="s">
        <v>677</v>
      </c>
      <c r="D56" t="s">
        <v>308</v>
      </c>
      <c r="E56" t="s">
        <v>80</v>
      </c>
      <c r="F56">
        <v>92700357</v>
      </c>
      <c r="G56">
        <v>0</v>
      </c>
      <c r="H56">
        <v>0</v>
      </c>
      <c r="I56">
        <v>92700357</v>
      </c>
      <c r="J56">
        <v>0</v>
      </c>
      <c r="K56">
        <v>0</v>
      </c>
      <c r="L56">
        <v>0</v>
      </c>
      <c r="M56">
        <v>0</v>
      </c>
      <c r="N56" t="s">
        <v>10</v>
      </c>
      <c r="O56" t="s">
        <v>110</v>
      </c>
      <c r="P56" t="s">
        <v>85</v>
      </c>
    </row>
    <row r="57" spans="1:16">
      <c r="A57" t="s">
        <v>673</v>
      </c>
      <c r="B57" t="s">
        <v>85</v>
      </c>
      <c r="C57" t="s">
        <v>674</v>
      </c>
      <c r="D57" t="s">
        <v>308</v>
      </c>
      <c r="E57" t="s">
        <v>80</v>
      </c>
      <c r="F57">
        <v>86191357</v>
      </c>
      <c r="G57">
        <v>0</v>
      </c>
      <c r="H57">
        <v>0</v>
      </c>
      <c r="I57">
        <v>86191357</v>
      </c>
      <c r="J57">
        <v>0</v>
      </c>
      <c r="K57">
        <v>0</v>
      </c>
      <c r="L57">
        <v>0</v>
      </c>
      <c r="M57">
        <v>0</v>
      </c>
      <c r="N57" t="s">
        <v>10</v>
      </c>
      <c r="O57" t="s">
        <v>110</v>
      </c>
      <c r="P57" t="s">
        <v>85</v>
      </c>
    </row>
    <row r="58" spans="1:16">
      <c r="A58" t="s">
        <v>671</v>
      </c>
      <c r="B58" t="s">
        <v>85</v>
      </c>
      <c r="C58" t="s">
        <v>672</v>
      </c>
      <c r="D58" t="s">
        <v>308</v>
      </c>
      <c r="E58" t="s">
        <v>80</v>
      </c>
      <c r="F58">
        <v>89955091</v>
      </c>
      <c r="G58">
        <v>0</v>
      </c>
      <c r="H58">
        <v>0</v>
      </c>
      <c r="I58">
        <v>89955091</v>
      </c>
      <c r="J58">
        <v>0</v>
      </c>
      <c r="K58">
        <v>0</v>
      </c>
      <c r="L58">
        <v>0</v>
      </c>
      <c r="M58">
        <v>0</v>
      </c>
      <c r="N58" t="s">
        <v>10</v>
      </c>
      <c r="O58" t="s">
        <v>110</v>
      </c>
      <c r="P58" t="s">
        <v>85</v>
      </c>
    </row>
    <row r="59" spans="1:16">
      <c r="A59" t="s">
        <v>665</v>
      </c>
      <c r="B59" t="s">
        <v>85</v>
      </c>
      <c r="C59" t="s">
        <v>667</v>
      </c>
      <c r="D59" t="s">
        <v>308</v>
      </c>
      <c r="E59" t="s">
        <v>81</v>
      </c>
      <c r="F59">
        <v>0</v>
      </c>
      <c r="G59">
        <v>0</v>
      </c>
      <c r="H59">
        <v>0</v>
      </c>
      <c r="I59">
        <v>0</v>
      </c>
      <c r="J59">
        <v>204.50000000000466</v>
      </c>
      <c r="K59">
        <v>0</v>
      </c>
      <c r="L59">
        <v>1.4</v>
      </c>
      <c r="M59">
        <v>203.10000000000466</v>
      </c>
      <c r="N59" t="s">
        <v>10</v>
      </c>
      <c r="O59" t="s">
        <v>110</v>
      </c>
      <c r="P59" t="s">
        <v>85</v>
      </c>
    </row>
    <row r="60" spans="1:16">
      <c r="A60" t="s">
        <v>665</v>
      </c>
      <c r="B60" t="s">
        <v>85</v>
      </c>
      <c r="C60" t="s">
        <v>666</v>
      </c>
      <c r="D60" t="s">
        <v>308</v>
      </c>
      <c r="E60" t="s">
        <v>80</v>
      </c>
      <c r="F60">
        <v>20571168028</v>
      </c>
      <c r="G60">
        <v>38266770</v>
      </c>
      <c r="H60">
        <v>12616275860</v>
      </c>
      <c r="I60">
        <v>7993158938</v>
      </c>
      <c r="J60">
        <v>0</v>
      </c>
      <c r="K60">
        <v>0</v>
      </c>
      <c r="L60">
        <v>0</v>
      </c>
      <c r="M60">
        <v>0</v>
      </c>
      <c r="N60" t="s">
        <v>10</v>
      </c>
      <c r="O60" t="s">
        <v>110</v>
      </c>
      <c r="P60" t="s">
        <v>85</v>
      </c>
    </row>
    <row r="61" spans="1:16">
      <c r="A61" t="s">
        <v>665</v>
      </c>
      <c r="B61" t="s">
        <v>85</v>
      </c>
      <c r="C61" t="s">
        <v>3195</v>
      </c>
      <c r="D61" t="s">
        <v>310</v>
      </c>
      <c r="E61" t="s">
        <v>80</v>
      </c>
      <c r="F61">
        <v>0</v>
      </c>
      <c r="G61">
        <v>0</v>
      </c>
      <c r="H61">
        <v>0</v>
      </c>
      <c r="I61">
        <v>0</v>
      </c>
      <c r="J61">
        <v>0</v>
      </c>
      <c r="K61">
        <v>0</v>
      </c>
      <c r="L61">
        <v>0</v>
      </c>
      <c r="M61">
        <v>0</v>
      </c>
      <c r="N61" t="s">
        <v>10</v>
      </c>
      <c r="O61" t="s">
        <v>110</v>
      </c>
      <c r="P61" t="s">
        <v>85</v>
      </c>
    </row>
    <row r="62" spans="1:16">
      <c r="A62" t="s">
        <v>665</v>
      </c>
      <c r="B62" t="s">
        <v>85</v>
      </c>
      <c r="C62" t="s">
        <v>3194</v>
      </c>
      <c r="D62" t="s">
        <v>310</v>
      </c>
      <c r="E62" t="s">
        <v>80</v>
      </c>
      <c r="F62">
        <v>0</v>
      </c>
      <c r="G62">
        <v>0</v>
      </c>
      <c r="H62">
        <v>0</v>
      </c>
      <c r="I62">
        <v>0</v>
      </c>
      <c r="J62">
        <v>0</v>
      </c>
      <c r="K62">
        <v>0</v>
      </c>
      <c r="L62">
        <v>0</v>
      </c>
      <c r="M62">
        <v>0</v>
      </c>
      <c r="N62" t="s">
        <v>10</v>
      </c>
      <c r="O62" t="s">
        <v>110</v>
      </c>
      <c r="P62" t="s">
        <v>85</v>
      </c>
    </row>
    <row r="63" spans="1:16">
      <c r="A63" t="s">
        <v>662</v>
      </c>
      <c r="B63" t="s">
        <v>85</v>
      </c>
      <c r="C63" t="s">
        <v>664</v>
      </c>
      <c r="D63" t="s">
        <v>308</v>
      </c>
      <c r="E63" t="s">
        <v>81</v>
      </c>
      <c r="F63">
        <v>0</v>
      </c>
      <c r="G63">
        <v>0</v>
      </c>
      <c r="H63">
        <v>0</v>
      </c>
      <c r="I63">
        <v>0</v>
      </c>
      <c r="J63">
        <v>0</v>
      </c>
      <c r="K63">
        <v>0</v>
      </c>
      <c r="L63">
        <v>0</v>
      </c>
      <c r="M63">
        <v>0</v>
      </c>
      <c r="N63" t="s">
        <v>10</v>
      </c>
      <c r="O63" t="s">
        <v>110</v>
      </c>
      <c r="P63" t="s">
        <v>85</v>
      </c>
    </row>
    <row r="64" spans="1:16">
      <c r="A64" t="s">
        <v>662</v>
      </c>
      <c r="B64" t="s">
        <v>85</v>
      </c>
      <c r="C64" t="s">
        <v>663</v>
      </c>
      <c r="D64" t="s">
        <v>308</v>
      </c>
      <c r="E64" t="s">
        <v>80</v>
      </c>
      <c r="F64">
        <v>68643992</v>
      </c>
      <c r="G64">
        <v>11283</v>
      </c>
      <c r="H64">
        <v>19800</v>
      </c>
      <c r="I64">
        <v>68635475</v>
      </c>
      <c r="J64">
        <v>0</v>
      </c>
      <c r="K64">
        <v>0</v>
      </c>
      <c r="L64">
        <v>0</v>
      </c>
      <c r="M64">
        <v>0</v>
      </c>
      <c r="N64" t="s">
        <v>10</v>
      </c>
      <c r="O64" t="s">
        <v>110</v>
      </c>
      <c r="P64" t="s">
        <v>85</v>
      </c>
    </row>
    <row r="65" spans="1:16">
      <c r="A65" t="s">
        <v>656</v>
      </c>
      <c r="B65" t="s">
        <v>85</v>
      </c>
      <c r="C65" t="s">
        <v>658</v>
      </c>
      <c r="D65" t="s">
        <v>308</v>
      </c>
      <c r="E65" t="s">
        <v>81</v>
      </c>
      <c r="F65">
        <v>0</v>
      </c>
      <c r="G65">
        <v>0</v>
      </c>
      <c r="H65">
        <v>0</v>
      </c>
      <c r="I65">
        <v>0</v>
      </c>
      <c r="J65">
        <v>0</v>
      </c>
      <c r="K65">
        <v>0</v>
      </c>
      <c r="L65">
        <v>0</v>
      </c>
      <c r="M65">
        <v>0</v>
      </c>
      <c r="N65" t="s">
        <v>10</v>
      </c>
      <c r="O65" t="s">
        <v>110</v>
      </c>
      <c r="P65" t="s">
        <v>85</v>
      </c>
    </row>
    <row r="66" spans="1:16">
      <c r="A66" t="s">
        <v>656</v>
      </c>
      <c r="B66" t="s">
        <v>85</v>
      </c>
      <c r="C66" t="s">
        <v>3192</v>
      </c>
      <c r="D66" t="s">
        <v>310</v>
      </c>
      <c r="E66" t="s">
        <v>80</v>
      </c>
      <c r="F66">
        <v>0</v>
      </c>
      <c r="G66">
        <v>0</v>
      </c>
      <c r="H66">
        <v>0</v>
      </c>
      <c r="I66">
        <v>0</v>
      </c>
      <c r="J66">
        <v>0</v>
      </c>
      <c r="K66">
        <v>0</v>
      </c>
      <c r="L66">
        <v>0</v>
      </c>
      <c r="M66">
        <v>0</v>
      </c>
      <c r="N66" t="s">
        <v>10</v>
      </c>
      <c r="O66" t="s">
        <v>110</v>
      </c>
      <c r="P66" t="s">
        <v>85</v>
      </c>
    </row>
    <row r="67" spans="1:16">
      <c r="A67" t="s">
        <v>656</v>
      </c>
      <c r="B67" t="s">
        <v>85</v>
      </c>
      <c r="C67" t="s">
        <v>657</v>
      </c>
      <c r="D67" t="s">
        <v>308</v>
      </c>
      <c r="E67" t="s">
        <v>80</v>
      </c>
      <c r="F67">
        <v>605456753</v>
      </c>
      <c r="G67">
        <v>99526</v>
      </c>
      <c r="H67">
        <v>33000</v>
      </c>
      <c r="I67">
        <v>605523279</v>
      </c>
      <c r="J67">
        <v>0</v>
      </c>
      <c r="K67">
        <v>0</v>
      </c>
      <c r="L67">
        <v>0</v>
      </c>
      <c r="M67">
        <v>0</v>
      </c>
      <c r="N67" t="s">
        <v>10</v>
      </c>
      <c r="O67" t="s">
        <v>110</v>
      </c>
      <c r="P67" t="s">
        <v>85</v>
      </c>
    </row>
    <row r="68" spans="1:16">
      <c r="A68" t="s">
        <v>653</v>
      </c>
      <c r="B68" t="s">
        <v>85</v>
      </c>
      <c r="C68" t="s">
        <v>655</v>
      </c>
      <c r="D68" t="s">
        <v>308</v>
      </c>
      <c r="E68" t="s">
        <v>81</v>
      </c>
      <c r="F68">
        <v>0</v>
      </c>
      <c r="G68">
        <v>0</v>
      </c>
      <c r="H68">
        <v>0</v>
      </c>
      <c r="I68">
        <v>0</v>
      </c>
      <c r="J68">
        <v>0</v>
      </c>
      <c r="K68">
        <v>0</v>
      </c>
      <c r="L68">
        <v>0</v>
      </c>
      <c r="M68">
        <v>0</v>
      </c>
      <c r="N68" t="s">
        <v>10</v>
      </c>
      <c r="O68" t="s">
        <v>110</v>
      </c>
      <c r="P68" t="s">
        <v>85</v>
      </c>
    </row>
    <row r="69" spans="1:16">
      <c r="A69" t="s">
        <v>653</v>
      </c>
      <c r="B69" t="s">
        <v>85</v>
      </c>
      <c r="C69" t="s">
        <v>3191</v>
      </c>
      <c r="D69" t="s">
        <v>310</v>
      </c>
      <c r="E69" t="s">
        <v>80</v>
      </c>
      <c r="F69">
        <v>0</v>
      </c>
      <c r="G69">
        <v>0</v>
      </c>
      <c r="H69">
        <v>0</v>
      </c>
      <c r="I69">
        <v>0</v>
      </c>
      <c r="J69">
        <v>0</v>
      </c>
      <c r="K69">
        <v>0</v>
      </c>
      <c r="L69">
        <v>0</v>
      </c>
      <c r="M69">
        <v>0</v>
      </c>
      <c r="N69" t="s">
        <v>10</v>
      </c>
      <c r="O69" t="s">
        <v>110</v>
      </c>
      <c r="P69" t="s">
        <v>85</v>
      </c>
    </row>
    <row r="70" spans="1:16">
      <c r="A70" t="s">
        <v>653</v>
      </c>
      <c r="B70" t="s">
        <v>85</v>
      </c>
      <c r="C70" t="s">
        <v>654</v>
      </c>
      <c r="D70" t="s">
        <v>308</v>
      </c>
      <c r="E70" t="s">
        <v>80</v>
      </c>
      <c r="F70">
        <v>386031924</v>
      </c>
      <c r="G70">
        <v>63460</v>
      </c>
      <c r="H70">
        <v>0</v>
      </c>
      <c r="I70">
        <v>386095384</v>
      </c>
      <c r="J70">
        <v>0</v>
      </c>
      <c r="K70">
        <v>0</v>
      </c>
      <c r="L70">
        <v>0</v>
      </c>
      <c r="M70">
        <v>0</v>
      </c>
      <c r="N70" t="s">
        <v>10</v>
      </c>
      <c r="O70" t="s">
        <v>110</v>
      </c>
      <c r="P70" t="s">
        <v>85</v>
      </c>
    </row>
    <row r="71" spans="1:16">
      <c r="A71" t="s">
        <v>645</v>
      </c>
      <c r="B71" t="s">
        <v>85</v>
      </c>
      <c r="C71" t="s">
        <v>647</v>
      </c>
      <c r="D71" t="s">
        <v>308</v>
      </c>
      <c r="E71" t="s">
        <v>81</v>
      </c>
      <c r="F71">
        <v>0</v>
      </c>
      <c r="G71">
        <v>0</v>
      </c>
      <c r="H71">
        <v>0</v>
      </c>
      <c r="I71">
        <v>0</v>
      </c>
      <c r="J71">
        <v>1759964.120000001</v>
      </c>
      <c r="K71">
        <v>0</v>
      </c>
      <c r="L71">
        <v>0</v>
      </c>
      <c r="M71">
        <v>1759964.120000001</v>
      </c>
      <c r="N71" t="s">
        <v>10</v>
      </c>
      <c r="O71" t="s">
        <v>110</v>
      </c>
      <c r="P71" t="s">
        <v>85</v>
      </c>
    </row>
    <row r="72" spans="1:16">
      <c r="A72" t="s">
        <v>645</v>
      </c>
      <c r="B72" t="s">
        <v>85</v>
      </c>
      <c r="C72" t="s">
        <v>646</v>
      </c>
      <c r="D72" t="s">
        <v>308</v>
      </c>
      <c r="E72" t="s">
        <v>80</v>
      </c>
      <c r="F72">
        <v>716322267</v>
      </c>
      <c r="G72">
        <v>0</v>
      </c>
      <c r="H72">
        <v>0</v>
      </c>
      <c r="I72">
        <v>716322267</v>
      </c>
      <c r="J72">
        <v>0</v>
      </c>
      <c r="K72">
        <v>0</v>
      </c>
      <c r="L72">
        <v>0</v>
      </c>
      <c r="M72">
        <v>0</v>
      </c>
      <c r="N72" t="s">
        <v>10</v>
      </c>
      <c r="O72" t="s">
        <v>110</v>
      </c>
      <c r="P72" t="s">
        <v>85</v>
      </c>
    </row>
    <row r="73" spans="1:16">
      <c r="A73" t="s">
        <v>641</v>
      </c>
      <c r="B73" t="s">
        <v>85</v>
      </c>
      <c r="C73" t="s">
        <v>643</v>
      </c>
      <c r="D73" t="s">
        <v>308</v>
      </c>
      <c r="E73" t="s">
        <v>81</v>
      </c>
      <c r="F73">
        <v>0</v>
      </c>
      <c r="G73">
        <v>0</v>
      </c>
      <c r="H73">
        <v>0</v>
      </c>
      <c r="I73">
        <v>0</v>
      </c>
      <c r="J73">
        <v>0</v>
      </c>
      <c r="K73">
        <v>0</v>
      </c>
      <c r="L73">
        <v>0</v>
      </c>
      <c r="M73">
        <v>0</v>
      </c>
      <c r="N73" t="s">
        <v>10</v>
      </c>
      <c r="O73" t="s">
        <v>110</v>
      </c>
      <c r="P73" t="s">
        <v>85</v>
      </c>
    </row>
    <row r="74" spans="1:16">
      <c r="A74" t="s">
        <v>641</v>
      </c>
      <c r="B74" t="s">
        <v>85</v>
      </c>
      <c r="C74" t="s">
        <v>642</v>
      </c>
      <c r="D74" t="s">
        <v>308</v>
      </c>
      <c r="E74" t="s">
        <v>80</v>
      </c>
      <c r="F74">
        <v>874741614</v>
      </c>
      <c r="G74">
        <v>0</v>
      </c>
      <c r="H74">
        <v>0</v>
      </c>
      <c r="I74">
        <v>874741614</v>
      </c>
      <c r="J74">
        <v>0</v>
      </c>
      <c r="K74">
        <v>0</v>
      </c>
      <c r="L74">
        <v>0</v>
      </c>
      <c r="M74">
        <v>0</v>
      </c>
      <c r="N74" t="s">
        <v>10</v>
      </c>
      <c r="O74" t="s">
        <v>110</v>
      </c>
      <c r="P74" t="s">
        <v>85</v>
      </c>
    </row>
    <row r="75" spans="1:16">
      <c r="A75" t="s">
        <v>638</v>
      </c>
      <c r="B75" t="s">
        <v>85</v>
      </c>
      <c r="C75" t="s">
        <v>640</v>
      </c>
      <c r="D75" t="s">
        <v>308</v>
      </c>
      <c r="E75" t="s">
        <v>81</v>
      </c>
      <c r="F75">
        <v>0</v>
      </c>
      <c r="G75">
        <v>0</v>
      </c>
      <c r="H75">
        <v>0</v>
      </c>
      <c r="I75">
        <v>0</v>
      </c>
      <c r="J75">
        <v>0</v>
      </c>
      <c r="K75">
        <v>0</v>
      </c>
      <c r="L75">
        <v>0</v>
      </c>
      <c r="M75">
        <v>0</v>
      </c>
      <c r="N75" t="s">
        <v>10</v>
      </c>
      <c r="O75" t="s">
        <v>110</v>
      </c>
      <c r="P75" t="s">
        <v>85</v>
      </c>
    </row>
    <row r="76" spans="1:16">
      <c r="A76" t="s">
        <v>638</v>
      </c>
      <c r="B76" t="s">
        <v>85</v>
      </c>
      <c r="C76" t="s">
        <v>639</v>
      </c>
      <c r="D76" t="s">
        <v>308</v>
      </c>
      <c r="E76" t="s">
        <v>80</v>
      </c>
      <c r="F76">
        <v>889195127</v>
      </c>
      <c r="G76">
        <v>0</v>
      </c>
      <c r="H76">
        <v>0</v>
      </c>
      <c r="I76">
        <v>889195127</v>
      </c>
      <c r="J76">
        <v>0</v>
      </c>
      <c r="K76">
        <v>0</v>
      </c>
      <c r="L76">
        <v>0</v>
      </c>
      <c r="M76">
        <v>0</v>
      </c>
      <c r="N76" t="s">
        <v>10</v>
      </c>
      <c r="O76" t="s">
        <v>110</v>
      </c>
      <c r="P76" t="s">
        <v>85</v>
      </c>
    </row>
    <row r="77" spans="1:16">
      <c r="A77" t="s">
        <v>634</v>
      </c>
      <c r="B77" t="s">
        <v>85</v>
      </c>
      <c r="C77" t="s">
        <v>637</v>
      </c>
      <c r="D77" t="s">
        <v>307</v>
      </c>
      <c r="E77" t="s">
        <v>81</v>
      </c>
      <c r="F77">
        <v>0</v>
      </c>
      <c r="G77">
        <v>0</v>
      </c>
      <c r="H77">
        <v>0</v>
      </c>
      <c r="I77">
        <v>0</v>
      </c>
      <c r="J77">
        <v>0</v>
      </c>
      <c r="K77">
        <v>0</v>
      </c>
      <c r="L77">
        <v>0</v>
      </c>
      <c r="M77">
        <v>0</v>
      </c>
      <c r="N77" t="s">
        <v>10</v>
      </c>
      <c r="O77" t="s">
        <v>110</v>
      </c>
      <c r="P77" t="s">
        <v>85</v>
      </c>
    </row>
    <row r="78" spans="1:16">
      <c r="A78" t="s">
        <v>634</v>
      </c>
      <c r="B78" t="s">
        <v>85</v>
      </c>
      <c r="C78" t="s">
        <v>636</v>
      </c>
      <c r="D78" t="s">
        <v>308</v>
      </c>
      <c r="E78" t="s">
        <v>81</v>
      </c>
      <c r="F78">
        <v>0</v>
      </c>
      <c r="G78">
        <v>0</v>
      </c>
      <c r="H78">
        <v>0</v>
      </c>
      <c r="I78">
        <v>0</v>
      </c>
      <c r="J78">
        <v>1675188.4700000002</v>
      </c>
      <c r="K78">
        <v>0</v>
      </c>
      <c r="L78">
        <v>1.4</v>
      </c>
      <c r="M78">
        <v>1675187.0700000003</v>
      </c>
      <c r="N78" t="s">
        <v>10</v>
      </c>
      <c r="O78" t="s">
        <v>110</v>
      </c>
      <c r="P78" t="s">
        <v>85</v>
      </c>
    </row>
    <row r="79" spans="1:16">
      <c r="A79" t="s">
        <v>634</v>
      </c>
      <c r="B79" t="s">
        <v>85</v>
      </c>
      <c r="C79" t="s">
        <v>635</v>
      </c>
      <c r="D79" t="s">
        <v>308</v>
      </c>
      <c r="E79" t="s">
        <v>80</v>
      </c>
      <c r="F79">
        <v>913422584</v>
      </c>
      <c r="G79">
        <v>150151</v>
      </c>
      <c r="H79">
        <v>33000</v>
      </c>
      <c r="I79">
        <v>913539735</v>
      </c>
      <c r="J79">
        <v>0</v>
      </c>
      <c r="K79">
        <v>0</v>
      </c>
      <c r="L79">
        <v>0</v>
      </c>
      <c r="M79">
        <v>0</v>
      </c>
      <c r="N79" t="s">
        <v>10</v>
      </c>
      <c r="O79" t="s">
        <v>110</v>
      </c>
      <c r="P79" t="s">
        <v>85</v>
      </c>
    </row>
    <row r="80" spans="1:16">
      <c r="A80" t="s">
        <v>630</v>
      </c>
      <c r="B80" t="s">
        <v>85</v>
      </c>
      <c r="C80" t="s">
        <v>633</v>
      </c>
      <c r="D80" t="s">
        <v>307</v>
      </c>
      <c r="E80" t="s">
        <v>81</v>
      </c>
      <c r="F80">
        <v>0</v>
      </c>
      <c r="G80">
        <v>0</v>
      </c>
      <c r="H80">
        <v>0</v>
      </c>
      <c r="I80">
        <v>0</v>
      </c>
      <c r="J80">
        <v>0</v>
      </c>
      <c r="K80">
        <v>0</v>
      </c>
      <c r="L80">
        <v>0</v>
      </c>
      <c r="M80">
        <v>0</v>
      </c>
      <c r="N80" t="s">
        <v>10</v>
      </c>
      <c r="O80" t="s">
        <v>110</v>
      </c>
      <c r="P80" t="s">
        <v>85</v>
      </c>
    </row>
    <row r="81" spans="1:16">
      <c r="A81" t="s">
        <v>630</v>
      </c>
      <c r="B81" t="s">
        <v>85</v>
      </c>
      <c r="C81" t="s">
        <v>632</v>
      </c>
      <c r="D81" t="s">
        <v>308</v>
      </c>
      <c r="E81" t="s">
        <v>81</v>
      </c>
      <c r="F81">
        <v>0</v>
      </c>
      <c r="G81">
        <v>0</v>
      </c>
      <c r="H81">
        <v>0</v>
      </c>
      <c r="I81">
        <v>0</v>
      </c>
      <c r="J81">
        <v>650191.4700000002</v>
      </c>
      <c r="K81">
        <v>0</v>
      </c>
      <c r="L81">
        <v>1.4</v>
      </c>
      <c r="M81">
        <v>650190.07000000018</v>
      </c>
      <c r="N81" t="s">
        <v>10</v>
      </c>
      <c r="O81" t="s">
        <v>110</v>
      </c>
      <c r="P81" t="s">
        <v>85</v>
      </c>
    </row>
    <row r="82" spans="1:16">
      <c r="A82" t="s">
        <v>630</v>
      </c>
      <c r="B82" t="s">
        <v>85</v>
      </c>
      <c r="C82" t="s">
        <v>3183</v>
      </c>
      <c r="D82" t="s">
        <v>310</v>
      </c>
      <c r="E82" t="s">
        <v>80</v>
      </c>
      <c r="F82">
        <v>0</v>
      </c>
      <c r="G82">
        <v>0</v>
      </c>
      <c r="H82">
        <v>0</v>
      </c>
      <c r="I82">
        <v>0</v>
      </c>
      <c r="J82">
        <v>0</v>
      </c>
      <c r="K82">
        <v>0</v>
      </c>
      <c r="L82">
        <v>0</v>
      </c>
      <c r="M82">
        <v>0</v>
      </c>
      <c r="N82" t="s">
        <v>10</v>
      </c>
      <c r="O82" t="s">
        <v>110</v>
      </c>
      <c r="P82" t="s">
        <v>85</v>
      </c>
    </row>
    <row r="83" spans="1:16">
      <c r="A83" t="s">
        <v>630</v>
      </c>
      <c r="B83" t="s">
        <v>85</v>
      </c>
      <c r="C83" t="s">
        <v>631</v>
      </c>
      <c r="D83" t="s">
        <v>308</v>
      </c>
      <c r="E83" t="s">
        <v>80</v>
      </c>
      <c r="F83">
        <v>579487501</v>
      </c>
      <c r="G83">
        <v>95257</v>
      </c>
      <c r="H83">
        <v>33000</v>
      </c>
      <c r="I83">
        <v>579549758</v>
      </c>
      <c r="J83">
        <v>0</v>
      </c>
      <c r="K83">
        <v>0</v>
      </c>
      <c r="L83">
        <v>0</v>
      </c>
      <c r="M83">
        <v>0</v>
      </c>
      <c r="N83" t="s">
        <v>10</v>
      </c>
      <c r="O83" t="s">
        <v>110</v>
      </c>
      <c r="P83" t="s">
        <v>85</v>
      </c>
    </row>
    <row r="84" spans="1:16">
      <c r="A84" t="s">
        <v>626</v>
      </c>
      <c r="B84" t="s">
        <v>85</v>
      </c>
      <c r="C84" t="s">
        <v>628</v>
      </c>
      <c r="D84" t="s">
        <v>308</v>
      </c>
      <c r="E84" t="s">
        <v>81</v>
      </c>
      <c r="F84">
        <v>0</v>
      </c>
      <c r="G84">
        <v>0</v>
      </c>
      <c r="H84">
        <v>0</v>
      </c>
      <c r="I84">
        <v>0</v>
      </c>
      <c r="J84">
        <v>0</v>
      </c>
      <c r="K84">
        <v>0</v>
      </c>
      <c r="L84">
        <v>0</v>
      </c>
      <c r="M84">
        <v>0</v>
      </c>
      <c r="N84" t="s">
        <v>10</v>
      </c>
      <c r="O84" t="s">
        <v>110</v>
      </c>
      <c r="P84" t="s">
        <v>85</v>
      </c>
    </row>
    <row r="85" spans="1:16">
      <c r="A85" t="s">
        <v>626</v>
      </c>
      <c r="B85" t="s">
        <v>85</v>
      </c>
      <c r="C85" t="s">
        <v>627</v>
      </c>
      <c r="D85" t="s">
        <v>308</v>
      </c>
      <c r="E85" t="s">
        <v>80</v>
      </c>
      <c r="F85">
        <v>90010190</v>
      </c>
      <c r="G85">
        <v>14795</v>
      </c>
      <c r="H85">
        <v>33000</v>
      </c>
      <c r="I85">
        <v>89991985</v>
      </c>
      <c r="J85">
        <v>0</v>
      </c>
      <c r="K85">
        <v>0</v>
      </c>
      <c r="L85">
        <v>0</v>
      </c>
      <c r="M85">
        <v>0</v>
      </c>
      <c r="N85" t="s">
        <v>10</v>
      </c>
      <c r="O85" t="s">
        <v>110</v>
      </c>
      <c r="P85" t="s">
        <v>85</v>
      </c>
    </row>
    <row r="86" spans="1:16">
      <c r="A86" t="s">
        <v>624</v>
      </c>
      <c r="B86" t="s">
        <v>85</v>
      </c>
      <c r="C86" t="s">
        <v>625</v>
      </c>
      <c r="D86" t="s">
        <v>308</v>
      </c>
      <c r="E86" t="s">
        <v>80</v>
      </c>
      <c r="F86">
        <v>106955974</v>
      </c>
      <c r="G86">
        <v>17581</v>
      </c>
      <c r="H86">
        <v>33000</v>
      </c>
      <c r="I86">
        <v>106940555</v>
      </c>
      <c r="J86">
        <v>0</v>
      </c>
      <c r="K86">
        <v>0</v>
      </c>
      <c r="L86">
        <v>0</v>
      </c>
      <c r="M86">
        <v>0</v>
      </c>
      <c r="N86" t="s">
        <v>10</v>
      </c>
      <c r="O86" t="s">
        <v>110</v>
      </c>
      <c r="P86" t="s">
        <v>85</v>
      </c>
    </row>
    <row r="87" spans="1:16">
      <c r="A87" t="s">
        <v>620</v>
      </c>
      <c r="B87" t="s">
        <v>85</v>
      </c>
      <c r="C87" t="s">
        <v>622</v>
      </c>
      <c r="D87" t="s">
        <v>308</v>
      </c>
      <c r="E87" t="s">
        <v>81</v>
      </c>
      <c r="F87">
        <v>0</v>
      </c>
      <c r="G87">
        <v>0</v>
      </c>
      <c r="H87">
        <v>0</v>
      </c>
      <c r="I87">
        <v>0</v>
      </c>
      <c r="J87">
        <v>0</v>
      </c>
      <c r="K87">
        <v>0</v>
      </c>
      <c r="L87">
        <v>0</v>
      </c>
      <c r="M87">
        <v>0</v>
      </c>
      <c r="N87" t="s">
        <v>10</v>
      </c>
      <c r="O87" t="s">
        <v>110</v>
      </c>
      <c r="P87" t="s">
        <v>85</v>
      </c>
    </row>
    <row r="88" spans="1:16">
      <c r="A88" t="s">
        <v>620</v>
      </c>
      <c r="B88" t="s">
        <v>85</v>
      </c>
      <c r="C88" t="s">
        <v>621</v>
      </c>
      <c r="D88" t="s">
        <v>308</v>
      </c>
      <c r="E88" t="s">
        <v>80</v>
      </c>
      <c r="F88">
        <v>89815902</v>
      </c>
      <c r="G88">
        <v>14763</v>
      </c>
      <c r="H88">
        <v>52800</v>
      </c>
      <c r="I88">
        <v>89777865</v>
      </c>
      <c r="J88">
        <v>0</v>
      </c>
      <c r="K88">
        <v>0</v>
      </c>
      <c r="L88">
        <v>0</v>
      </c>
      <c r="M88">
        <v>0</v>
      </c>
      <c r="N88" t="s">
        <v>10</v>
      </c>
      <c r="O88" t="s">
        <v>110</v>
      </c>
      <c r="P88" t="s">
        <v>85</v>
      </c>
    </row>
    <row r="89" spans="1:16">
      <c r="A89" t="s">
        <v>609</v>
      </c>
      <c r="B89" t="s">
        <v>85</v>
      </c>
      <c r="C89" t="s">
        <v>610</v>
      </c>
      <c r="D89" t="s">
        <v>308</v>
      </c>
      <c r="E89" t="s">
        <v>80</v>
      </c>
      <c r="F89">
        <v>560222534</v>
      </c>
      <c r="G89">
        <v>33815647924</v>
      </c>
      <c r="H89">
        <v>15713823859</v>
      </c>
      <c r="I89">
        <v>18662046599</v>
      </c>
      <c r="J89">
        <v>0</v>
      </c>
      <c r="K89">
        <v>0</v>
      </c>
      <c r="L89">
        <v>0</v>
      </c>
      <c r="M89">
        <v>0</v>
      </c>
      <c r="N89" t="s">
        <v>10</v>
      </c>
      <c r="O89" t="s">
        <v>110</v>
      </c>
      <c r="P89" t="s">
        <v>85</v>
      </c>
    </row>
    <row r="90" spans="1:16">
      <c r="A90" t="s">
        <v>609</v>
      </c>
      <c r="B90" t="s">
        <v>85</v>
      </c>
      <c r="C90" t="s">
        <v>3166</v>
      </c>
      <c r="D90" t="s">
        <v>310</v>
      </c>
      <c r="E90" t="s">
        <v>80</v>
      </c>
      <c r="F90">
        <v>0</v>
      </c>
      <c r="G90">
        <v>0</v>
      </c>
      <c r="H90">
        <v>0</v>
      </c>
      <c r="I90">
        <v>0</v>
      </c>
      <c r="J90">
        <v>0</v>
      </c>
      <c r="K90">
        <v>0</v>
      </c>
      <c r="L90">
        <v>0</v>
      </c>
      <c r="M90">
        <v>0</v>
      </c>
      <c r="N90" t="s">
        <v>10</v>
      </c>
      <c r="O90" t="s">
        <v>110</v>
      </c>
      <c r="P90" t="s">
        <v>85</v>
      </c>
    </row>
    <row r="91" spans="1:16">
      <c r="A91" t="s">
        <v>609</v>
      </c>
      <c r="B91" t="s">
        <v>85</v>
      </c>
      <c r="C91" t="s">
        <v>3165</v>
      </c>
      <c r="D91" t="s">
        <v>310</v>
      </c>
      <c r="E91" t="s">
        <v>80</v>
      </c>
      <c r="F91">
        <v>5000000000</v>
      </c>
      <c r="G91">
        <v>0</v>
      </c>
      <c r="H91">
        <v>5000000000</v>
      </c>
      <c r="I91">
        <v>0</v>
      </c>
      <c r="J91">
        <v>0</v>
      </c>
      <c r="K91">
        <v>0</v>
      </c>
      <c r="L91">
        <v>0</v>
      </c>
      <c r="M91">
        <v>0</v>
      </c>
      <c r="N91" t="s">
        <v>10</v>
      </c>
      <c r="O91" t="s">
        <v>110</v>
      </c>
      <c r="P91" t="s">
        <v>85</v>
      </c>
    </row>
    <row r="92" spans="1:16">
      <c r="A92" t="s">
        <v>609</v>
      </c>
      <c r="B92" t="s">
        <v>85</v>
      </c>
      <c r="C92" t="s">
        <v>3164</v>
      </c>
      <c r="D92" t="s">
        <v>310</v>
      </c>
      <c r="E92" t="s">
        <v>80</v>
      </c>
      <c r="F92">
        <v>0</v>
      </c>
      <c r="G92">
        <v>0</v>
      </c>
      <c r="H92">
        <v>0</v>
      </c>
      <c r="I92">
        <v>0</v>
      </c>
      <c r="J92">
        <v>0</v>
      </c>
      <c r="K92">
        <v>0</v>
      </c>
      <c r="L92">
        <v>0</v>
      </c>
      <c r="M92">
        <v>0</v>
      </c>
      <c r="N92" t="s">
        <v>10</v>
      </c>
      <c r="O92" t="s">
        <v>110</v>
      </c>
      <c r="P92" t="s">
        <v>85</v>
      </c>
    </row>
    <row r="93" spans="1:16">
      <c r="A93" t="s">
        <v>609</v>
      </c>
      <c r="B93" t="s">
        <v>85</v>
      </c>
      <c r="C93" t="s">
        <v>3163</v>
      </c>
      <c r="D93" t="s">
        <v>310</v>
      </c>
      <c r="E93" t="s">
        <v>80</v>
      </c>
      <c r="F93">
        <v>15000000000</v>
      </c>
      <c r="G93">
        <v>0</v>
      </c>
      <c r="H93">
        <v>15000000000</v>
      </c>
      <c r="I93">
        <v>0</v>
      </c>
      <c r="J93">
        <v>0</v>
      </c>
      <c r="K93">
        <v>0</v>
      </c>
      <c r="L93">
        <v>0</v>
      </c>
      <c r="M93">
        <v>0</v>
      </c>
      <c r="N93" t="s">
        <v>10</v>
      </c>
      <c r="O93" t="s">
        <v>110</v>
      </c>
      <c r="P93" t="s">
        <v>85</v>
      </c>
    </row>
    <row r="94" spans="1:16">
      <c r="A94" t="s">
        <v>609</v>
      </c>
      <c r="B94" t="s">
        <v>85</v>
      </c>
      <c r="C94" t="s">
        <v>3162</v>
      </c>
      <c r="D94" t="s">
        <v>310</v>
      </c>
      <c r="E94" t="s">
        <v>80</v>
      </c>
      <c r="F94">
        <v>0</v>
      </c>
      <c r="G94">
        <v>0</v>
      </c>
      <c r="H94">
        <v>0</v>
      </c>
      <c r="I94">
        <v>0</v>
      </c>
      <c r="J94">
        <v>0</v>
      </c>
      <c r="K94">
        <v>0</v>
      </c>
      <c r="L94">
        <v>0</v>
      </c>
      <c r="M94">
        <v>0</v>
      </c>
      <c r="N94" t="s">
        <v>10</v>
      </c>
      <c r="O94" t="s">
        <v>110</v>
      </c>
      <c r="P94" t="s">
        <v>85</v>
      </c>
    </row>
    <row r="95" spans="1:16">
      <c r="A95" t="s">
        <v>609</v>
      </c>
      <c r="B95" t="s">
        <v>85</v>
      </c>
      <c r="C95" t="s">
        <v>3161</v>
      </c>
      <c r="D95" t="s">
        <v>310</v>
      </c>
      <c r="E95" t="s">
        <v>80</v>
      </c>
      <c r="F95">
        <v>0</v>
      </c>
      <c r="G95">
        <v>0</v>
      </c>
      <c r="H95">
        <v>0</v>
      </c>
      <c r="I95">
        <v>0</v>
      </c>
      <c r="J95">
        <v>0</v>
      </c>
      <c r="K95">
        <v>0</v>
      </c>
      <c r="L95">
        <v>0</v>
      </c>
      <c r="M95">
        <v>0</v>
      </c>
      <c r="N95" t="s">
        <v>10</v>
      </c>
      <c r="O95" t="s">
        <v>110</v>
      </c>
      <c r="P95" t="s">
        <v>85</v>
      </c>
    </row>
    <row r="96" spans="1:16">
      <c r="A96" t="s">
        <v>499</v>
      </c>
      <c r="B96" t="s">
        <v>85</v>
      </c>
      <c r="C96" t="s">
        <v>500</v>
      </c>
      <c r="D96" t="s">
        <v>308</v>
      </c>
      <c r="E96" t="s">
        <v>80</v>
      </c>
      <c r="F96">
        <v>11491002955</v>
      </c>
      <c r="G96">
        <v>14891405472</v>
      </c>
      <c r="H96">
        <v>17520809608</v>
      </c>
      <c r="I96">
        <v>8861598819</v>
      </c>
      <c r="J96">
        <v>0</v>
      </c>
      <c r="K96">
        <v>0</v>
      </c>
      <c r="L96">
        <v>0</v>
      </c>
      <c r="M96">
        <v>0</v>
      </c>
      <c r="N96" t="s">
        <v>10</v>
      </c>
      <c r="O96" t="s">
        <v>110</v>
      </c>
      <c r="P96" t="s">
        <v>85</v>
      </c>
    </row>
    <row r="97" spans="1:16">
      <c r="A97" t="s">
        <v>499</v>
      </c>
      <c r="B97" t="s">
        <v>85</v>
      </c>
      <c r="C97" t="s">
        <v>501</v>
      </c>
      <c r="D97" t="s">
        <v>308</v>
      </c>
      <c r="E97" t="s">
        <v>81</v>
      </c>
      <c r="F97">
        <v>0</v>
      </c>
      <c r="G97">
        <v>0</v>
      </c>
      <c r="H97">
        <v>0</v>
      </c>
      <c r="I97">
        <v>0</v>
      </c>
      <c r="J97">
        <v>109701.02999999998</v>
      </c>
      <c r="K97">
        <v>61314</v>
      </c>
      <c r="L97">
        <v>8767.39</v>
      </c>
      <c r="M97">
        <v>162247.63999999996</v>
      </c>
      <c r="N97" t="s">
        <v>10</v>
      </c>
      <c r="O97" t="s">
        <v>110</v>
      </c>
      <c r="P97" t="s">
        <v>85</v>
      </c>
    </row>
    <row r="98" spans="1:16">
      <c r="A98" t="s">
        <v>499</v>
      </c>
      <c r="B98" t="s">
        <v>85</v>
      </c>
      <c r="C98" t="s">
        <v>2953</v>
      </c>
      <c r="D98" t="s">
        <v>310</v>
      </c>
      <c r="E98" t="s">
        <v>80</v>
      </c>
      <c r="F98">
        <v>0</v>
      </c>
      <c r="G98">
        <v>0</v>
      </c>
      <c r="H98">
        <v>0</v>
      </c>
      <c r="I98">
        <v>0</v>
      </c>
      <c r="J98">
        <v>0</v>
      </c>
      <c r="K98">
        <v>0</v>
      </c>
      <c r="L98">
        <v>0</v>
      </c>
      <c r="M98">
        <v>0</v>
      </c>
      <c r="N98" t="s">
        <v>10</v>
      </c>
      <c r="O98" t="s">
        <v>110</v>
      </c>
      <c r="P98" t="s">
        <v>85</v>
      </c>
    </row>
    <row r="99" spans="1:16">
      <c r="A99" t="s">
        <v>499</v>
      </c>
      <c r="B99" t="s">
        <v>85</v>
      </c>
      <c r="C99" t="s">
        <v>2954</v>
      </c>
      <c r="D99" t="s">
        <v>310</v>
      </c>
      <c r="E99" t="s">
        <v>80</v>
      </c>
      <c r="F99">
        <v>6000000000</v>
      </c>
      <c r="G99">
        <v>0</v>
      </c>
      <c r="H99">
        <v>0</v>
      </c>
      <c r="I99">
        <v>6000000000</v>
      </c>
      <c r="J99">
        <v>0</v>
      </c>
      <c r="K99">
        <v>0</v>
      </c>
      <c r="L99">
        <v>0</v>
      </c>
      <c r="M99">
        <v>0</v>
      </c>
      <c r="N99" t="s">
        <v>10</v>
      </c>
      <c r="O99" t="s">
        <v>110</v>
      </c>
      <c r="P99" t="s">
        <v>85</v>
      </c>
    </row>
    <row r="100" spans="1:16">
      <c r="A100" t="s">
        <v>499</v>
      </c>
      <c r="B100" t="s">
        <v>85</v>
      </c>
      <c r="C100" t="s">
        <v>502</v>
      </c>
      <c r="D100" t="s">
        <v>310</v>
      </c>
      <c r="E100" t="s">
        <v>80</v>
      </c>
      <c r="F100">
        <v>16000000000</v>
      </c>
      <c r="G100">
        <v>0</v>
      </c>
      <c r="H100">
        <v>0</v>
      </c>
      <c r="I100">
        <v>16000000000</v>
      </c>
      <c r="J100">
        <v>0</v>
      </c>
      <c r="K100">
        <v>0</v>
      </c>
      <c r="L100">
        <v>0</v>
      </c>
      <c r="M100">
        <v>0</v>
      </c>
      <c r="N100" t="s">
        <v>10</v>
      </c>
      <c r="O100" t="s">
        <v>110</v>
      </c>
      <c r="P100" t="s">
        <v>85</v>
      </c>
    </row>
    <row r="101" spans="1:16">
      <c r="A101" t="s">
        <v>499</v>
      </c>
      <c r="B101" t="s">
        <v>85</v>
      </c>
      <c r="C101" t="s">
        <v>2955</v>
      </c>
      <c r="D101" t="s">
        <v>310</v>
      </c>
      <c r="E101" t="s">
        <v>80</v>
      </c>
      <c r="F101">
        <v>0</v>
      </c>
      <c r="G101">
        <v>0</v>
      </c>
      <c r="H101">
        <v>0</v>
      </c>
      <c r="I101">
        <v>0</v>
      </c>
      <c r="J101">
        <v>0</v>
      </c>
      <c r="K101">
        <v>0</v>
      </c>
      <c r="L101">
        <v>0</v>
      </c>
      <c r="M101">
        <v>0</v>
      </c>
      <c r="N101" t="s">
        <v>10</v>
      </c>
      <c r="O101" t="s">
        <v>110</v>
      </c>
      <c r="P101" t="s">
        <v>85</v>
      </c>
    </row>
    <row r="102" spans="1:16">
      <c r="A102" t="s">
        <v>499</v>
      </c>
      <c r="B102" t="s">
        <v>85</v>
      </c>
      <c r="C102" t="s">
        <v>2956</v>
      </c>
      <c r="D102" t="s">
        <v>310</v>
      </c>
      <c r="E102" t="s">
        <v>80</v>
      </c>
      <c r="F102">
        <v>0</v>
      </c>
      <c r="G102">
        <v>0</v>
      </c>
      <c r="H102">
        <v>0</v>
      </c>
      <c r="I102">
        <v>0</v>
      </c>
      <c r="J102">
        <v>0</v>
      </c>
      <c r="K102">
        <v>0</v>
      </c>
      <c r="L102">
        <v>0</v>
      </c>
      <c r="M102">
        <v>0</v>
      </c>
      <c r="N102" t="s">
        <v>10</v>
      </c>
      <c r="O102" t="s">
        <v>110</v>
      </c>
      <c r="P102" t="s">
        <v>85</v>
      </c>
    </row>
    <row r="103" spans="1:16">
      <c r="A103" t="s">
        <v>499</v>
      </c>
      <c r="B103" t="s">
        <v>85</v>
      </c>
      <c r="C103" t="s">
        <v>2957</v>
      </c>
      <c r="D103" t="s">
        <v>310</v>
      </c>
      <c r="E103" t="s">
        <v>80</v>
      </c>
      <c r="F103">
        <v>0</v>
      </c>
      <c r="G103">
        <v>0</v>
      </c>
      <c r="H103">
        <v>0</v>
      </c>
      <c r="I103">
        <v>0</v>
      </c>
      <c r="J103">
        <v>0</v>
      </c>
      <c r="K103">
        <v>0</v>
      </c>
      <c r="L103">
        <v>0</v>
      </c>
      <c r="M103">
        <v>0</v>
      </c>
      <c r="N103" t="s">
        <v>10</v>
      </c>
      <c r="O103" t="s">
        <v>110</v>
      </c>
      <c r="P103" t="s">
        <v>85</v>
      </c>
    </row>
    <row r="104" spans="1:16">
      <c r="A104" t="s">
        <v>503</v>
      </c>
      <c r="B104" t="s">
        <v>85</v>
      </c>
      <c r="C104" t="s">
        <v>2958</v>
      </c>
      <c r="D104" t="s">
        <v>310</v>
      </c>
      <c r="E104" t="s">
        <v>80</v>
      </c>
      <c r="F104">
        <v>0</v>
      </c>
      <c r="G104">
        <v>0</v>
      </c>
      <c r="H104">
        <v>0</v>
      </c>
      <c r="I104">
        <v>0</v>
      </c>
      <c r="J104">
        <v>0</v>
      </c>
      <c r="K104">
        <v>0</v>
      </c>
      <c r="L104">
        <v>0</v>
      </c>
      <c r="M104">
        <v>0</v>
      </c>
      <c r="N104" t="s">
        <v>10</v>
      </c>
      <c r="O104" t="s">
        <v>110</v>
      </c>
      <c r="P104" t="s">
        <v>85</v>
      </c>
    </row>
    <row r="105" spans="1:16">
      <c r="A105" t="s">
        <v>503</v>
      </c>
      <c r="B105" t="s">
        <v>85</v>
      </c>
      <c r="C105" t="s">
        <v>504</v>
      </c>
      <c r="D105" t="s">
        <v>308</v>
      </c>
      <c r="E105" t="s">
        <v>80</v>
      </c>
      <c r="F105">
        <v>13939958845.363632</v>
      </c>
      <c r="G105">
        <v>4713298722</v>
      </c>
      <c r="H105">
        <v>411359536</v>
      </c>
      <c r="I105">
        <v>18241898031.363632</v>
      </c>
      <c r="J105">
        <v>0</v>
      </c>
      <c r="K105">
        <v>0</v>
      </c>
      <c r="L105">
        <v>0</v>
      </c>
      <c r="M105">
        <v>0</v>
      </c>
      <c r="N105" t="s">
        <v>10</v>
      </c>
      <c r="O105" t="s">
        <v>110</v>
      </c>
      <c r="P105" t="s">
        <v>85</v>
      </c>
    </row>
    <row r="106" spans="1:16">
      <c r="A106" t="s">
        <v>503</v>
      </c>
      <c r="B106" t="s">
        <v>85</v>
      </c>
      <c r="C106" t="s">
        <v>505</v>
      </c>
      <c r="D106" t="s">
        <v>308</v>
      </c>
      <c r="E106" t="s">
        <v>81</v>
      </c>
      <c r="F106">
        <v>0</v>
      </c>
      <c r="G106">
        <v>0</v>
      </c>
      <c r="H106">
        <v>0</v>
      </c>
      <c r="I106">
        <v>0</v>
      </c>
      <c r="J106">
        <v>138166</v>
      </c>
      <c r="K106">
        <v>7880</v>
      </c>
      <c r="L106">
        <v>0</v>
      </c>
      <c r="M106">
        <v>146046</v>
      </c>
      <c r="N106" t="s">
        <v>10</v>
      </c>
      <c r="O106" t="s">
        <v>110</v>
      </c>
      <c r="P106" t="s">
        <v>85</v>
      </c>
    </row>
    <row r="107" spans="1:16">
      <c r="A107" t="s">
        <v>506</v>
      </c>
      <c r="B107" t="s">
        <v>85</v>
      </c>
      <c r="C107" t="s">
        <v>2959</v>
      </c>
      <c r="D107" t="s">
        <v>310</v>
      </c>
      <c r="E107" t="s">
        <v>80</v>
      </c>
      <c r="F107">
        <v>0</v>
      </c>
      <c r="G107">
        <v>0</v>
      </c>
      <c r="H107">
        <v>0</v>
      </c>
      <c r="I107">
        <v>0</v>
      </c>
      <c r="J107">
        <v>0</v>
      </c>
      <c r="K107">
        <v>0</v>
      </c>
      <c r="L107">
        <v>0</v>
      </c>
      <c r="M107">
        <v>0</v>
      </c>
      <c r="N107" t="s">
        <v>10</v>
      </c>
      <c r="O107" t="s">
        <v>110</v>
      </c>
      <c r="P107" t="s">
        <v>85</v>
      </c>
    </row>
    <row r="108" spans="1:16">
      <c r="A108" t="s">
        <v>506</v>
      </c>
      <c r="B108" t="s">
        <v>85</v>
      </c>
      <c r="C108" t="s">
        <v>2960</v>
      </c>
      <c r="D108" t="s">
        <v>310</v>
      </c>
      <c r="E108" t="s">
        <v>80</v>
      </c>
      <c r="F108">
        <v>0</v>
      </c>
      <c r="G108">
        <v>0</v>
      </c>
      <c r="H108">
        <v>0</v>
      </c>
      <c r="I108">
        <v>0</v>
      </c>
      <c r="J108">
        <v>0</v>
      </c>
      <c r="K108">
        <v>0</v>
      </c>
      <c r="L108">
        <v>0</v>
      </c>
      <c r="M108">
        <v>0</v>
      </c>
      <c r="N108" t="s">
        <v>10</v>
      </c>
      <c r="O108" t="s">
        <v>110</v>
      </c>
      <c r="P108" t="s">
        <v>85</v>
      </c>
    </row>
    <row r="109" spans="1:16">
      <c r="A109" t="s">
        <v>506</v>
      </c>
      <c r="B109" t="s">
        <v>85</v>
      </c>
      <c r="C109" t="s">
        <v>2961</v>
      </c>
      <c r="D109" t="s">
        <v>310</v>
      </c>
      <c r="E109" t="s">
        <v>80</v>
      </c>
      <c r="F109">
        <v>0</v>
      </c>
      <c r="G109">
        <v>0</v>
      </c>
      <c r="H109">
        <v>0</v>
      </c>
      <c r="I109">
        <v>0</v>
      </c>
      <c r="J109">
        <v>0</v>
      </c>
      <c r="K109">
        <v>0</v>
      </c>
      <c r="L109">
        <v>0</v>
      </c>
      <c r="M109">
        <v>0</v>
      </c>
      <c r="N109" t="s">
        <v>10</v>
      </c>
      <c r="O109" t="s">
        <v>110</v>
      </c>
      <c r="P109" t="s">
        <v>85</v>
      </c>
    </row>
    <row r="110" spans="1:16">
      <c r="A110" t="s">
        <v>506</v>
      </c>
      <c r="B110" t="s">
        <v>85</v>
      </c>
      <c r="C110" t="s">
        <v>2962</v>
      </c>
      <c r="D110" t="s">
        <v>310</v>
      </c>
      <c r="E110" t="s">
        <v>80</v>
      </c>
      <c r="F110">
        <v>0</v>
      </c>
      <c r="G110">
        <v>0</v>
      </c>
      <c r="H110">
        <v>0</v>
      </c>
      <c r="I110">
        <v>0</v>
      </c>
      <c r="J110">
        <v>0</v>
      </c>
      <c r="K110">
        <v>0</v>
      </c>
      <c r="L110">
        <v>0</v>
      </c>
      <c r="M110">
        <v>0</v>
      </c>
      <c r="N110" t="s">
        <v>10</v>
      </c>
      <c r="O110" t="s">
        <v>110</v>
      </c>
      <c r="P110" t="s">
        <v>85</v>
      </c>
    </row>
    <row r="111" spans="1:16">
      <c r="A111" t="s">
        <v>506</v>
      </c>
      <c r="B111" t="s">
        <v>85</v>
      </c>
      <c r="C111" t="s">
        <v>2963</v>
      </c>
      <c r="D111" t="s">
        <v>310</v>
      </c>
      <c r="E111" t="s">
        <v>80</v>
      </c>
      <c r="F111">
        <v>0</v>
      </c>
      <c r="G111">
        <v>0</v>
      </c>
      <c r="H111">
        <v>0</v>
      </c>
      <c r="I111">
        <v>0</v>
      </c>
      <c r="J111">
        <v>0</v>
      </c>
      <c r="K111">
        <v>0</v>
      </c>
      <c r="L111">
        <v>0</v>
      </c>
      <c r="M111">
        <v>0</v>
      </c>
      <c r="N111" t="s">
        <v>10</v>
      </c>
      <c r="O111" t="s">
        <v>110</v>
      </c>
      <c r="P111" t="s">
        <v>85</v>
      </c>
    </row>
    <row r="112" spans="1:16">
      <c r="A112" t="s">
        <v>506</v>
      </c>
      <c r="B112" t="s">
        <v>85</v>
      </c>
      <c r="C112" t="s">
        <v>507</v>
      </c>
      <c r="D112" t="s">
        <v>308</v>
      </c>
      <c r="E112" t="s">
        <v>80</v>
      </c>
      <c r="F112">
        <v>6662001643</v>
      </c>
      <c r="G112">
        <v>11237857613</v>
      </c>
      <c r="H112">
        <v>13787317407</v>
      </c>
      <c r="I112">
        <v>4112541849</v>
      </c>
      <c r="J112">
        <v>0</v>
      </c>
      <c r="K112">
        <v>0</v>
      </c>
      <c r="L112">
        <v>0</v>
      </c>
      <c r="M112">
        <v>0</v>
      </c>
      <c r="N112" t="s">
        <v>10</v>
      </c>
      <c r="O112" t="s">
        <v>110</v>
      </c>
      <c r="P112" t="s">
        <v>85</v>
      </c>
    </row>
    <row r="113" spans="1:16">
      <c r="A113" t="s">
        <v>506</v>
      </c>
      <c r="B113" t="s">
        <v>85</v>
      </c>
      <c r="C113" t="s">
        <v>509</v>
      </c>
      <c r="D113" t="s">
        <v>308</v>
      </c>
      <c r="E113" t="s">
        <v>81</v>
      </c>
      <c r="F113">
        <v>0</v>
      </c>
      <c r="G113">
        <v>0</v>
      </c>
      <c r="H113">
        <v>0</v>
      </c>
      <c r="I113">
        <v>0</v>
      </c>
      <c r="J113">
        <v>238469.77000000002</v>
      </c>
      <c r="K113">
        <v>12590</v>
      </c>
      <c r="L113">
        <v>0</v>
      </c>
      <c r="M113">
        <v>251059.77000000002</v>
      </c>
      <c r="N113" t="s">
        <v>10</v>
      </c>
      <c r="O113" t="s">
        <v>110</v>
      </c>
      <c r="P113" t="s">
        <v>85</v>
      </c>
    </row>
    <row r="114" spans="1:16">
      <c r="A114" t="s">
        <v>510</v>
      </c>
      <c r="B114" t="s">
        <v>85</v>
      </c>
      <c r="C114" t="s">
        <v>2965</v>
      </c>
      <c r="D114" t="s">
        <v>310</v>
      </c>
      <c r="E114" t="s">
        <v>80</v>
      </c>
      <c r="F114">
        <v>0</v>
      </c>
      <c r="G114">
        <v>0</v>
      </c>
      <c r="H114">
        <v>0</v>
      </c>
      <c r="I114">
        <v>0</v>
      </c>
      <c r="J114">
        <v>0</v>
      </c>
      <c r="K114">
        <v>0</v>
      </c>
      <c r="L114">
        <v>0</v>
      </c>
      <c r="M114">
        <v>0</v>
      </c>
      <c r="N114" t="s">
        <v>10</v>
      </c>
      <c r="O114" t="s">
        <v>110</v>
      </c>
      <c r="P114" t="s">
        <v>85</v>
      </c>
    </row>
    <row r="115" spans="1:16">
      <c r="A115" t="s">
        <v>510</v>
      </c>
      <c r="B115" t="s">
        <v>85</v>
      </c>
      <c r="C115" t="s">
        <v>2966</v>
      </c>
      <c r="D115" t="s">
        <v>310</v>
      </c>
      <c r="E115" t="s">
        <v>80</v>
      </c>
      <c r="F115">
        <v>4800000000</v>
      </c>
      <c r="G115">
        <v>0</v>
      </c>
      <c r="H115">
        <v>0</v>
      </c>
      <c r="I115">
        <v>4800000000</v>
      </c>
      <c r="J115">
        <v>0</v>
      </c>
      <c r="K115">
        <v>0</v>
      </c>
      <c r="L115">
        <v>0</v>
      </c>
      <c r="M115">
        <v>0</v>
      </c>
      <c r="N115" t="s">
        <v>10</v>
      </c>
      <c r="O115" t="s">
        <v>110</v>
      </c>
      <c r="P115" t="s">
        <v>85</v>
      </c>
    </row>
    <row r="116" spans="1:16">
      <c r="A116" t="s">
        <v>510</v>
      </c>
      <c r="B116" t="s">
        <v>85</v>
      </c>
      <c r="C116" t="s">
        <v>2967</v>
      </c>
      <c r="D116" t="s">
        <v>310</v>
      </c>
      <c r="E116" t="s">
        <v>80</v>
      </c>
      <c r="F116">
        <v>0</v>
      </c>
      <c r="G116">
        <v>0</v>
      </c>
      <c r="H116">
        <v>0</v>
      </c>
      <c r="I116">
        <v>0</v>
      </c>
      <c r="J116">
        <v>0</v>
      </c>
      <c r="K116">
        <v>0</v>
      </c>
      <c r="L116">
        <v>0</v>
      </c>
      <c r="M116">
        <v>0</v>
      </c>
      <c r="N116" t="s">
        <v>10</v>
      </c>
      <c r="O116" t="s">
        <v>110</v>
      </c>
      <c r="P116" t="s">
        <v>85</v>
      </c>
    </row>
    <row r="117" spans="1:16">
      <c r="A117" t="s">
        <v>510</v>
      </c>
      <c r="B117" t="s">
        <v>85</v>
      </c>
      <c r="C117" t="s">
        <v>511</v>
      </c>
      <c r="D117" t="s">
        <v>308</v>
      </c>
      <c r="E117" t="s">
        <v>80</v>
      </c>
      <c r="F117">
        <v>11330813450</v>
      </c>
      <c r="G117">
        <v>4619380421</v>
      </c>
      <c r="H117">
        <v>6526631022</v>
      </c>
      <c r="I117">
        <v>9423562849</v>
      </c>
      <c r="J117">
        <v>0</v>
      </c>
      <c r="K117">
        <v>0</v>
      </c>
      <c r="L117">
        <v>0</v>
      </c>
      <c r="M117">
        <v>0</v>
      </c>
      <c r="N117" t="s">
        <v>10</v>
      </c>
      <c r="O117" t="s">
        <v>110</v>
      </c>
      <c r="P117" t="s">
        <v>85</v>
      </c>
    </row>
    <row r="118" spans="1:16">
      <c r="A118" t="s">
        <v>510</v>
      </c>
      <c r="B118" t="s">
        <v>85</v>
      </c>
      <c r="C118" t="s">
        <v>512</v>
      </c>
      <c r="D118" t="s">
        <v>308</v>
      </c>
      <c r="E118" t="s">
        <v>81</v>
      </c>
      <c r="F118">
        <v>0</v>
      </c>
      <c r="G118">
        <v>0</v>
      </c>
      <c r="H118">
        <v>0</v>
      </c>
      <c r="I118">
        <v>0</v>
      </c>
      <c r="J118">
        <v>71010.979999999981</v>
      </c>
      <c r="K118">
        <v>0</v>
      </c>
      <c r="L118">
        <v>0</v>
      </c>
      <c r="M118">
        <v>71010.979999999981</v>
      </c>
      <c r="N118" t="s">
        <v>10</v>
      </c>
      <c r="O118" t="s">
        <v>110</v>
      </c>
      <c r="P118" t="s">
        <v>85</v>
      </c>
    </row>
    <row r="119" spans="1:16">
      <c r="A119" t="s">
        <v>565</v>
      </c>
      <c r="B119" t="s">
        <v>85</v>
      </c>
      <c r="C119" t="s">
        <v>566</v>
      </c>
      <c r="D119" t="s">
        <v>308</v>
      </c>
      <c r="E119" t="s">
        <v>80</v>
      </c>
      <c r="F119">
        <v>981935057</v>
      </c>
      <c r="G119">
        <v>161413</v>
      </c>
      <c r="H119">
        <v>19800</v>
      </c>
      <c r="I119">
        <v>982076670</v>
      </c>
      <c r="J119">
        <v>0</v>
      </c>
      <c r="K119">
        <v>0</v>
      </c>
      <c r="L119">
        <v>0</v>
      </c>
      <c r="M119">
        <v>0</v>
      </c>
      <c r="N119" t="s">
        <v>10</v>
      </c>
      <c r="O119" t="s">
        <v>110</v>
      </c>
      <c r="P119" t="s">
        <v>85</v>
      </c>
    </row>
    <row r="120" spans="1:16">
      <c r="A120" t="s">
        <v>516</v>
      </c>
      <c r="B120" t="s">
        <v>85</v>
      </c>
      <c r="C120" t="s">
        <v>2973</v>
      </c>
      <c r="D120" t="s">
        <v>308</v>
      </c>
      <c r="E120" t="s">
        <v>80</v>
      </c>
      <c r="F120">
        <v>0</v>
      </c>
      <c r="G120">
        <v>0</v>
      </c>
      <c r="H120">
        <v>0</v>
      </c>
      <c r="I120">
        <v>0</v>
      </c>
      <c r="J120">
        <v>0</v>
      </c>
      <c r="K120">
        <v>0</v>
      </c>
      <c r="L120">
        <v>0</v>
      </c>
      <c r="M120">
        <v>0</v>
      </c>
      <c r="N120" t="s">
        <v>10</v>
      </c>
      <c r="O120" t="s">
        <v>110</v>
      </c>
      <c r="P120" t="s">
        <v>85</v>
      </c>
    </row>
    <row r="121" spans="1:16">
      <c r="A121" t="s">
        <v>516</v>
      </c>
      <c r="B121" t="s">
        <v>85</v>
      </c>
      <c r="C121" t="s">
        <v>2975</v>
      </c>
      <c r="D121" t="s">
        <v>310</v>
      </c>
      <c r="E121" t="s">
        <v>80</v>
      </c>
      <c r="F121">
        <v>0</v>
      </c>
      <c r="G121">
        <v>0</v>
      </c>
      <c r="H121">
        <v>0</v>
      </c>
      <c r="I121">
        <v>0</v>
      </c>
      <c r="J121">
        <v>0</v>
      </c>
      <c r="K121">
        <v>0</v>
      </c>
      <c r="L121">
        <v>0</v>
      </c>
      <c r="M121">
        <v>0</v>
      </c>
      <c r="N121" t="s">
        <v>10</v>
      </c>
      <c r="O121" t="s">
        <v>110</v>
      </c>
      <c r="P121" t="s">
        <v>85</v>
      </c>
    </row>
    <row r="122" spans="1:16">
      <c r="A122" t="s">
        <v>563</v>
      </c>
      <c r="B122" t="s">
        <v>85</v>
      </c>
      <c r="C122" t="s">
        <v>564</v>
      </c>
      <c r="D122" t="s">
        <v>308</v>
      </c>
      <c r="E122" t="s">
        <v>80</v>
      </c>
      <c r="F122">
        <v>817717960</v>
      </c>
      <c r="G122">
        <v>134418</v>
      </c>
      <c r="H122">
        <v>19800</v>
      </c>
      <c r="I122">
        <v>817832578</v>
      </c>
      <c r="J122">
        <v>0</v>
      </c>
      <c r="K122">
        <v>0</v>
      </c>
      <c r="L122">
        <v>0</v>
      </c>
      <c r="M122">
        <v>0</v>
      </c>
      <c r="N122" t="s">
        <v>10</v>
      </c>
      <c r="O122" t="s">
        <v>110</v>
      </c>
      <c r="P122" t="s">
        <v>85</v>
      </c>
    </row>
    <row r="123" spans="1:16">
      <c r="A123" t="s">
        <v>561</v>
      </c>
      <c r="B123" t="s">
        <v>85</v>
      </c>
      <c r="C123" t="s">
        <v>562</v>
      </c>
      <c r="D123" t="s">
        <v>308</v>
      </c>
      <c r="E123" t="s">
        <v>80</v>
      </c>
      <c r="F123">
        <v>576270844</v>
      </c>
      <c r="G123">
        <v>8600692</v>
      </c>
      <c r="H123">
        <v>19800</v>
      </c>
      <c r="I123">
        <v>584851736</v>
      </c>
      <c r="J123">
        <v>0</v>
      </c>
      <c r="K123">
        <v>0</v>
      </c>
      <c r="L123">
        <v>0</v>
      </c>
      <c r="M123">
        <v>0</v>
      </c>
      <c r="N123" t="s">
        <v>10</v>
      </c>
      <c r="O123" t="s">
        <v>110</v>
      </c>
      <c r="P123" t="s">
        <v>85</v>
      </c>
    </row>
    <row r="124" spans="1:16">
      <c r="A124" t="s">
        <v>561</v>
      </c>
      <c r="B124" t="s">
        <v>85</v>
      </c>
      <c r="C124" t="s">
        <v>3083</v>
      </c>
      <c r="D124" t="s">
        <v>310</v>
      </c>
      <c r="E124" t="s">
        <v>80</v>
      </c>
      <c r="F124">
        <v>0</v>
      </c>
      <c r="G124">
        <v>0</v>
      </c>
      <c r="H124">
        <v>0</v>
      </c>
      <c r="I124">
        <v>0</v>
      </c>
      <c r="J124">
        <v>0</v>
      </c>
      <c r="K124">
        <v>0</v>
      </c>
      <c r="L124">
        <v>0</v>
      </c>
      <c r="M124">
        <v>0</v>
      </c>
      <c r="N124" t="s">
        <v>10</v>
      </c>
      <c r="O124" t="s">
        <v>110</v>
      </c>
      <c r="P124" t="s">
        <v>85</v>
      </c>
    </row>
    <row r="125" spans="1:16">
      <c r="A125" t="s">
        <v>559</v>
      </c>
      <c r="B125" t="s">
        <v>85</v>
      </c>
      <c r="C125" t="s">
        <v>560</v>
      </c>
      <c r="D125" t="s">
        <v>308</v>
      </c>
      <c r="E125" t="s">
        <v>80</v>
      </c>
      <c r="F125">
        <v>86574832</v>
      </c>
      <c r="G125">
        <v>0</v>
      </c>
      <c r="H125">
        <v>0</v>
      </c>
      <c r="I125">
        <v>86574832</v>
      </c>
      <c r="J125">
        <v>0</v>
      </c>
      <c r="K125">
        <v>0</v>
      </c>
      <c r="L125">
        <v>0</v>
      </c>
      <c r="M125">
        <v>0</v>
      </c>
      <c r="N125" t="s">
        <v>10</v>
      </c>
      <c r="O125" t="s">
        <v>110</v>
      </c>
      <c r="P125" t="s">
        <v>85</v>
      </c>
    </row>
    <row r="126" spans="1:16">
      <c r="A126" t="s">
        <v>335</v>
      </c>
      <c r="B126" t="s">
        <v>85</v>
      </c>
      <c r="C126" t="s">
        <v>3067</v>
      </c>
      <c r="D126" t="s">
        <v>308</v>
      </c>
      <c r="E126" t="s">
        <v>80</v>
      </c>
      <c r="F126">
        <v>0</v>
      </c>
      <c r="G126">
        <v>0</v>
      </c>
      <c r="H126">
        <v>0</v>
      </c>
      <c r="I126">
        <v>0</v>
      </c>
      <c r="J126">
        <v>0</v>
      </c>
      <c r="K126">
        <v>0</v>
      </c>
      <c r="L126">
        <v>0</v>
      </c>
      <c r="M126">
        <v>0</v>
      </c>
      <c r="N126" t="s">
        <v>10</v>
      </c>
      <c r="O126" t="s">
        <v>110</v>
      </c>
      <c r="P126" t="s">
        <v>85</v>
      </c>
    </row>
    <row r="127" spans="1:16">
      <c r="A127" t="s">
        <v>548</v>
      </c>
      <c r="B127" t="s">
        <v>85</v>
      </c>
      <c r="C127" t="s">
        <v>2914</v>
      </c>
      <c r="D127" t="s">
        <v>308</v>
      </c>
      <c r="E127" t="s">
        <v>81</v>
      </c>
      <c r="F127">
        <v>0</v>
      </c>
      <c r="G127">
        <v>0</v>
      </c>
      <c r="H127">
        <v>0</v>
      </c>
      <c r="I127">
        <v>0</v>
      </c>
      <c r="J127">
        <v>0</v>
      </c>
      <c r="K127">
        <v>0</v>
      </c>
      <c r="L127">
        <v>0</v>
      </c>
      <c r="M127">
        <v>0</v>
      </c>
      <c r="N127" t="s">
        <v>10</v>
      </c>
      <c r="O127" t="s">
        <v>110</v>
      </c>
      <c r="P127" t="s">
        <v>85</v>
      </c>
    </row>
    <row r="128" spans="1:16">
      <c r="A128" t="s">
        <v>548</v>
      </c>
      <c r="B128" t="s">
        <v>85</v>
      </c>
      <c r="C128" t="s">
        <v>3059</v>
      </c>
      <c r="D128" t="s">
        <v>308</v>
      </c>
      <c r="E128" t="s">
        <v>80</v>
      </c>
      <c r="F128">
        <v>0</v>
      </c>
      <c r="G128">
        <v>0</v>
      </c>
      <c r="H128">
        <v>0</v>
      </c>
      <c r="I128">
        <v>0</v>
      </c>
      <c r="J128">
        <v>0</v>
      </c>
      <c r="K128">
        <v>0</v>
      </c>
      <c r="L128">
        <v>0</v>
      </c>
      <c r="M128">
        <v>0</v>
      </c>
      <c r="N128" t="s">
        <v>10</v>
      </c>
      <c r="O128" t="s">
        <v>110</v>
      </c>
      <c r="P128" t="s">
        <v>85</v>
      </c>
    </row>
    <row r="129" spans="1:16">
      <c r="A129" t="s">
        <v>544</v>
      </c>
      <c r="B129" t="s">
        <v>85</v>
      </c>
      <c r="C129" t="s">
        <v>545</v>
      </c>
      <c r="D129" t="s">
        <v>308</v>
      </c>
      <c r="E129" t="s">
        <v>80</v>
      </c>
      <c r="F129">
        <v>485761037</v>
      </c>
      <c r="G129">
        <v>79325</v>
      </c>
      <c r="H129">
        <v>23999800</v>
      </c>
      <c r="I129">
        <v>461840562</v>
      </c>
      <c r="J129">
        <v>0</v>
      </c>
      <c r="K129">
        <v>0</v>
      </c>
      <c r="L129">
        <v>0</v>
      </c>
      <c r="M129">
        <v>0</v>
      </c>
      <c r="N129" t="s">
        <v>10</v>
      </c>
      <c r="O129" t="s">
        <v>110</v>
      </c>
      <c r="P129" t="s">
        <v>85</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C1047-6691-4F92-BFD7-BF91D8C87D62}">
  <dimension ref="A1:P129"/>
  <sheetViews>
    <sheetView workbookViewId="0"/>
  </sheetViews>
  <sheetFormatPr defaultRowHeight="14.4"/>
  <cols>
    <col min="1" max="1" width="31.5546875" bestFit="1" customWidth="1"/>
    <col min="2" max="2" width="14.5546875" customWidth="1"/>
    <col min="3" max="3" width="19.44140625" customWidth="1"/>
    <col min="4" max="4" width="15.5546875" customWidth="1"/>
    <col min="5" max="5" width="12" customWidth="1"/>
    <col min="6" max="6" width="24.5546875" customWidth="1"/>
    <col min="7" max="7" width="22.5546875" customWidth="1"/>
    <col min="8" max="8" width="23.44140625" customWidth="1"/>
    <col min="9" max="10" width="24.44140625" customWidth="1"/>
    <col min="11" max="11" width="22.44140625" customWidth="1"/>
    <col min="12" max="12" width="23.44140625" customWidth="1"/>
    <col min="13" max="13" width="23.5546875" customWidth="1"/>
    <col min="15" max="15" width="8.5546875" customWidth="1"/>
  </cols>
  <sheetData>
    <row r="1" spans="1:16">
      <c r="A1" t="s">
        <v>313</v>
      </c>
      <c r="B1" t="s">
        <v>314</v>
      </c>
      <c r="C1" t="s">
        <v>315</v>
      </c>
      <c r="D1" t="s">
        <v>304</v>
      </c>
      <c r="E1" t="s">
        <v>316</v>
      </c>
      <c r="F1" t="s">
        <v>319</v>
      </c>
      <c r="G1" t="s">
        <v>320</v>
      </c>
      <c r="H1" t="s">
        <v>321</v>
      </c>
      <c r="I1" t="s">
        <v>5337</v>
      </c>
      <c r="J1" t="s">
        <v>328</v>
      </c>
      <c r="K1" t="s">
        <v>329</v>
      </c>
      <c r="L1" t="s">
        <v>330</v>
      </c>
      <c r="M1" t="s">
        <v>331</v>
      </c>
      <c r="N1" t="s">
        <v>289</v>
      </c>
      <c r="O1" t="s">
        <v>334</v>
      </c>
      <c r="P1" t="s">
        <v>69</v>
      </c>
    </row>
    <row r="2" spans="1:16">
      <c r="A2" t="s">
        <v>469</v>
      </c>
      <c r="B2" t="s">
        <v>85</v>
      </c>
      <c r="C2" t="s">
        <v>3290</v>
      </c>
      <c r="D2" t="s">
        <v>310</v>
      </c>
      <c r="E2" t="s">
        <v>80</v>
      </c>
      <c r="F2">
        <v>15000000000</v>
      </c>
      <c r="G2">
        <v>0</v>
      </c>
      <c r="H2">
        <v>0</v>
      </c>
      <c r="I2">
        <v>15000000000</v>
      </c>
      <c r="J2">
        <v>0</v>
      </c>
      <c r="K2">
        <v>0</v>
      </c>
      <c r="L2">
        <v>0</v>
      </c>
      <c r="M2">
        <v>0</v>
      </c>
      <c r="N2" t="s">
        <v>8</v>
      </c>
      <c r="O2" t="s">
        <v>110</v>
      </c>
      <c r="P2" t="s">
        <v>85</v>
      </c>
    </row>
    <row r="3" spans="1:16">
      <c r="A3" t="s">
        <v>469</v>
      </c>
      <c r="B3" t="s">
        <v>85</v>
      </c>
      <c r="C3" t="s">
        <v>478</v>
      </c>
      <c r="D3" t="s">
        <v>308</v>
      </c>
      <c r="E3" t="s">
        <v>80</v>
      </c>
      <c r="F3">
        <v>658633059.38708496</v>
      </c>
      <c r="G3">
        <v>108268</v>
      </c>
      <c r="H3">
        <v>0</v>
      </c>
      <c r="I3">
        <v>658741327.38708496</v>
      </c>
      <c r="J3">
        <v>0</v>
      </c>
      <c r="K3">
        <v>0</v>
      </c>
      <c r="L3">
        <v>0</v>
      </c>
      <c r="M3">
        <v>0</v>
      </c>
      <c r="N3" t="s">
        <v>8</v>
      </c>
      <c r="O3" t="s">
        <v>110</v>
      </c>
      <c r="P3" t="s">
        <v>85</v>
      </c>
    </row>
    <row r="4" spans="1:16">
      <c r="A4" t="s">
        <v>469</v>
      </c>
      <c r="B4" t="s">
        <v>85</v>
      </c>
      <c r="C4" t="s">
        <v>2911</v>
      </c>
      <c r="D4" t="s">
        <v>310</v>
      </c>
      <c r="E4" t="s">
        <v>80</v>
      </c>
      <c r="F4">
        <v>0</v>
      </c>
      <c r="G4">
        <v>0</v>
      </c>
      <c r="H4">
        <v>0</v>
      </c>
      <c r="I4">
        <v>0</v>
      </c>
      <c r="J4">
        <v>0</v>
      </c>
      <c r="K4">
        <v>0</v>
      </c>
      <c r="L4">
        <v>0</v>
      </c>
      <c r="M4">
        <v>0</v>
      </c>
      <c r="N4" t="s">
        <v>8</v>
      </c>
      <c r="O4" t="s">
        <v>110</v>
      </c>
      <c r="P4" t="s">
        <v>85</v>
      </c>
    </row>
    <row r="5" spans="1:16">
      <c r="A5" t="s">
        <v>469</v>
      </c>
      <c r="B5" t="s">
        <v>85</v>
      </c>
      <c r="C5" t="s">
        <v>2912</v>
      </c>
      <c r="D5" t="s">
        <v>310</v>
      </c>
      <c r="E5" t="s">
        <v>80</v>
      </c>
      <c r="F5">
        <v>0</v>
      </c>
      <c r="G5">
        <v>0</v>
      </c>
      <c r="H5">
        <v>0</v>
      </c>
      <c r="I5">
        <v>0</v>
      </c>
      <c r="J5">
        <v>0</v>
      </c>
      <c r="K5">
        <v>0</v>
      </c>
      <c r="L5">
        <v>0</v>
      </c>
      <c r="M5">
        <v>0</v>
      </c>
      <c r="N5" t="s">
        <v>8</v>
      </c>
      <c r="O5" t="s">
        <v>110</v>
      </c>
      <c r="P5" t="s">
        <v>85</v>
      </c>
    </row>
    <row r="6" spans="1:16">
      <c r="A6" t="s">
        <v>469</v>
      </c>
      <c r="B6" t="s">
        <v>85</v>
      </c>
      <c r="C6" t="s">
        <v>2913</v>
      </c>
      <c r="D6" t="s">
        <v>310</v>
      </c>
      <c r="E6" t="s">
        <v>80</v>
      </c>
      <c r="F6">
        <v>0</v>
      </c>
      <c r="G6">
        <v>0</v>
      </c>
      <c r="H6">
        <v>0</v>
      </c>
      <c r="I6">
        <v>0</v>
      </c>
      <c r="J6">
        <v>0</v>
      </c>
      <c r="K6">
        <v>0</v>
      </c>
      <c r="L6">
        <v>0</v>
      </c>
      <c r="M6">
        <v>0</v>
      </c>
      <c r="N6" t="s">
        <v>8</v>
      </c>
      <c r="O6" t="s">
        <v>110</v>
      </c>
      <c r="P6" t="s">
        <v>85</v>
      </c>
    </row>
    <row r="7" spans="1:16">
      <c r="A7" t="s">
        <v>469</v>
      </c>
      <c r="B7" t="s">
        <v>85</v>
      </c>
      <c r="C7" t="s">
        <v>479</v>
      </c>
      <c r="D7" t="s">
        <v>308</v>
      </c>
      <c r="E7" t="s">
        <v>81</v>
      </c>
      <c r="F7">
        <v>0</v>
      </c>
      <c r="G7">
        <v>0</v>
      </c>
      <c r="H7">
        <v>0</v>
      </c>
      <c r="I7">
        <v>0</v>
      </c>
      <c r="J7">
        <v>36779187.189999998</v>
      </c>
      <c r="K7">
        <v>0</v>
      </c>
      <c r="L7">
        <v>0</v>
      </c>
      <c r="M7">
        <v>36779187.189999998</v>
      </c>
      <c r="N7" t="s">
        <v>8</v>
      </c>
      <c r="O7" t="s">
        <v>110</v>
      </c>
      <c r="P7" t="s">
        <v>85</v>
      </c>
    </row>
    <row r="8" spans="1:16">
      <c r="A8" t="s">
        <v>582</v>
      </c>
      <c r="B8" t="s">
        <v>85</v>
      </c>
      <c r="C8" t="s">
        <v>3119</v>
      </c>
      <c r="D8" t="s">
        <v>310</v>
      </c>
      <c r="E8" t="s">
        <v>81</v>
      </c>
      <c r="F8">
        <v>0</v>
      </c>
      <c r="G8">
        <v>0</v>
      </c>
      <c r="H8">
        <v>0</v>
      </c>
      <c r="I8">
        <v>0</v>
      </c>
      <c r="J8">
        <v>0</v>
      </c>
      <c r="K8">
        <v>0</v>
      </c>
      <c r="L8">
        <v>0</v>
      </c>
      <c r="M8">
        <v>0</v>
      </c>
      <c r="N8" t="s">
        <v>67</v>
      </c>
      <c r="O8" t="s">
        <v>110</v>
      </c>
      <c r="P8" t="s">
        <v>85</v>
      </c>
    </row>
    <row r="9" spans="1:16">
      <c r="A9" t="s">
        <v>582</v>
      </c>
      <c r="B9" t="s">
        <v>85</v>
      </c>
      <c r="C9" t="s">
        <v>3118</v>
      </c>
      <c r="D9" t="s">
        <v>310</v>
      </c>
      <c r="E9" t="s">
        <v>80</v>
      </c>
      <c r="F9">
        <v>0</v>
      </c>
      <c r="G9">
        <v>0</v>
      </c>
      <c r="H9">
        <v>0</v>
      </c>
      <c r="I9">
        <v>0</v>
      </c>
      <c r="J9">
        <v>0</v>
      </c>
      <c r="K9">
        <v>0</v>
      </c>
      <c r="L9">
        <v>0</v>
      </c>
      <c r="M9">
        <v>0</v>
      </c>
      <c r="N9" t="s">
        <v>67</v>
      </c>
      <c r="O9" t="s">
        <v>110</v>
      </c>
      <c r="P9" t="s">
        <v>85</v>
      </c>
    </row>
    <row r="10" spans="1:16">
      <c r="A10" t="s">
        <v>582</v>
      </c>
      <c r="B10" t="s">
        <v>85</v>
      </c>
      <c r="C10" t="s">
        <v>3117</v>
      </c>
      <c r="D10" t="s">
        <v>310</v>
      </c>
      <c r="E10" t="s">
        <v>80</v>
      </c>
      <c r="F10">
        <v>0</v>
      </c>
      <c r="G10">
        <v>0</v>
      </c>
      <c r="H10">
        <v>0</v>
      </c>
      <c r="I10">
        <v>0</v>
      </c>
      <c r="J10">
        <v>0</v>
      </c>
      <c r="K10">
        <v>0</v>
      </c>
      <c r="L10">
        <v>0</v>
      </c>
      <c r="M10">
        <v>0</v>
      </c>
      <c r="N10" t="s">
        <v>67</v>
      </c>
      <c r="O10" t="s">
        <v>110</v>
      </c>
      <c r="P10" t="s">
        <v>85</v>
      </c>
    </row>
    <row r="11" spans="1:16">
      <c r="A11" t="s">
        <v>582</v>
      </c>
      <c r="B11" t="s">
        <v>85</v>
      </c>
      <c r="C11" t="s">
        <v>588</v>
      </c>
      <c r="D11" t="s">
        <v>308</v>
      </c>
      <c r="E11" t="s">
        <v>81</v>
      </c>
      <c r="F11">
        <v>0</v>
      </c>
      <c r="G11">
        <v>0</v>
      </c>
      <c r="H11">
        <v>0</v>
      </c>
      <c r="I11">
        <v>0</v>
      </c>
      <c r="J11">
        <v>23085645.920000009</v>
      </c>
      <c r="K11">
        <v>0</v>
      </c>
      <c r="L11">
        <v>7019326.5099999998</v>
      </c>
      <c r="M11">
        <v>16066319.410000009</v>
      </c>
      <c r="N11" t="s">
        <v>67</v>
      </c>
      <c r="O11" t="s">
        <v>110</v>
      </c>
      <c r="P11" t="s">
        <v>85</v>
      </c>
    </row>
    <row r="12" spans="1:16">
      <c r="A12" t="s">
        <v>582</v>
      </c>
      <c r="B12" t="s">
        <v>85</v>
      </c>
      <c r="C12" t="s">
        <v>587</v>
      </c>
      <c r="D12" t="s">
        <v>308</v>
      </c>
      <c r="E12" t="s">
        <v>80</v>
      </c>
      <c r="F12">
        <v>45461703419.697021</v>
      </c>
      <c r="G12">
        <v>30540857118</v>
      </c>
      <c r="H12">
        <v>75462774305</v>
      </c>
      <c r="I12">
        <v>539786232.69702148</v>
      </c>
      <c r="J12">
        <v>0</v>
      </c>
      <c r="K12">
        <v>0</v>
      </c>
      <c r="L12">
        <v>0</v>
      </c>
      <c r="M12">
        <v>0</v>
      </c>
      <c r="N12" t="s">
        <v>67</v>
      </c>
      <c r="O12" t="s">
        <v>110</v>
      </c>
      <c r="P12" t="s">
        <v>85</v>
      </c>
    </row>
    <row r="13" spans="1:16">
      <c r="A13" t="s">
        <v>582</v>
      </c>
      <c r="B13" t="s">
        <v>85</v>
      </c>
      <c r="C13" t="s">
        <v>3113</v>
      </c>
      <c r="D13" t="s">
        <v>310</v>
      </c>
      <c r="E13" t="s">
        <v>81</v>
      </c>
      <c r="F13">
        <v>0</v>
      </c>
      <c r="G13">
        <v>0</v>
      </c>
      <c r="H13">
        <v>0</v>
      </c>
      <c r="I13">
        <v>0</v>
      </c>
      <c r="J13">
        <v>3900000</v>
      </c>
      <c r="K13">
        <v>0</v>
      </c>
      <c r="L13">
        <v>0</v>
      </c>
      <c r="M13">
        <v>3900000</v>
      </c>
      <c r="N13" t="s">
        <v>67</v>
      </c>
      <c r="O13" t="s">
        <v>110</v>
      </c>
      <c r="P13" t="s">
        <v>85</v>
      </c>
    </row>
    <row r="14" spans="1:16">
      <c r="A14" t="s">
        <v>752</v>
      </c>
      <c r="B14" t="s">
        <v>85</v>
      </c>
      <c r="C14" t="s">
        <v>3319</v>
      </c>
      <c r="D14" t="s">
        <v>310</v>
      </c>
      <c r="E14" t="s">
        <v>80</v>
      </c>
      <c r="F14" s="20">
        <v>50000000000</v>
      </c>
      <c r="G14" s="20">
        <v>0</v>
      </c>
      <c r="H14" s="20">
        <v>0</v>
      </c>
      <c r="I14" s="20">
        <v>50000000000</v>
      </c>
      <c r="J14" s="20">
        <v>0</v>
      </c>
      <c r="K14" s="20">
        <v>0</v>
      </c>
      <c r="L14" s="20">
        <v>0</v>
      </c>
      <c r="M14" s="20">
        <v>0</v>
      </c>
      <c r="N14" t="s">
        <v>10</v>
      </c>
      <c r="O14" t="s">
        <v>110</v>
      </c>
      <c r="P14" t="s">
        <v>85</v>
      </c>
    </row>
    <row r="15" spans="1:16">
      <c r="A15" t="s">
        <v>752</v>
      </c>
      <c r="B15" t="s">
        <v>85</v>
      </c>
      <c r="C15" t="s">
        <v>3318</v>
      </c>
      <c r="D15" t="s">
        <v>310</v>
      </c>
      <c r="E15" t="s">
        <v>80</v>
      </c>
      <c r="F15" s="20">
        <v>50000000000</v>
      </c>
      <c r="G15" s="20">
        <v>0</v>
      </c>
      <c r="H15" s="20">
        <v>0</v>
      </c>
      <c r="I15" s="20">
        <v>50000000000</v>
      </c>
      <c r="J15" s="20">
        <v>0</v>
      </c>
      <c r="K15" s="20">
        <v>0</v>
      </c>
      <c r="L15" s="20">
        <v>0</v>
      </c>
      <c r="M15" s="20">
        <v>0</v>
      </c>
      <c r="N15" t="s">
        <v>10</v>
      </c>
      <c r="O15" t="s">
        <v>110</v>
      </c>
      <c r="P15" t="s">
        <v>85</v>
      </c>
    </row>
    <row r="16" spans="1:16">
      <c r="A16" t="s">
        <v>752</v>
      </c>
      <c r="B16" t="s">
        <v>85</v>
      </c>
      <c r="C16" t="s">
        <v>3317</v>
      </c>
      <c r="D16" t="s">
        <v>310</v>
      </c>
      <c r="E16" t="s">
        <v>80</v>
      </c>
      <c r="F16" s="20">
        <v>53000000000</v>
      </c>
      <c r="G16" s="20">
        <v>0</v>
      </c>
      <c r="H16" s="20">
        <v>0</v>
      </c>
      <c r="I16" s="20">
        <v>53000000000</v>
      </c>
      <c r="J16" s="20">
        <v>0</v>
      </c>
      <c r="K16" s="20">
        <v>0</v>
      </c>
      <c r="L16" s="20">
        <v>0</v>
      </c>
      <c r="M16" s="20">
        <v>0</v>
      </c>
      <c r="N16" t="s">
        <v>10</v>
      </c>
      <c r="O16" t="s">
        <v>110</v>
      </c>
      <c r="P16" t="s">
        <v>85</v>
      </c>
    </row>
    <row r="17" spans="1:16">
      <c r="A17" t="s">
        <v>522</v>
      </c>
      <c r="B17" t="s">
        <v>85</v>
      </c>
      <c r="C17" t="s">
        <v>760</v>
      </c>
      <c r="D17" t="s">
        <v>308</v>
      </c>
      <c r="E17" t="s">
        <v>80</v>
      </c>
      <c r="F17" s="20">
        <v>5108400000</v>
      </c>
      <c r="G17" s="20">
        <v>4700843112</v>
      </c>
      <c r="H17" s="20">
        <v>0</v>
      </c>
      <c r="I17" s="20">
        <v>9809243112</v>
      </c>
      <c r="J17" s="20">
        <v>0</v>
      </c>
      <c r="K17" s="20">
        <v>0</v>
      </c>
      <c r="L17" s="20">
        <v>0</v>
      </c>
      <c r="M17" s="20">
        <v>0</v>
      </c>
      <c r="N17" t="s">
        <v>10</v>
      </c>
      <c r="O17" t="s">
        <v>110</v>
      </c>
      <c r="P17" t="s">
        <v>85</v>
      </c>
    </row>
    <row r="18" spans="1:16">
      <c r="A18" t="s">
        <v>518</v>
      </c>
      <c r="B18" t="s">
        <v>85</v>
      </c>
      <c r="C18" t="s">
        <v>759</v>
      </c>
      <c r="D18" t="s">
        <v>308</v>
      </c>
      <c r="E18" t="s">
        <v>80</v>
      </c>
      <c r="F18" s="20">
        <v>18730800000</v>
      </c>
      <c r="G18" s="20">
        <v>0</v>
      </c>
      <c r="H18" s="20">
        <v>0</v>
      </c>
      <c r="I18" s="20">
        <v>18730800000</v>
      </c>
      <c r="J18" s="20">
        <v>0</v>
      </c>
      <c r="K18" s="20">
        <v>0</v>
      </c>
      <c r="L18" s="20">
        <v>0</v>
      </c>
      <c r="M18" s="20">
        <v>0</v>
      </c>
      <c r="N18" t="s">
        <v>10</v>
      </c>
      <c r="O18" t="s">
        <v>110</v>
      </c>
      <c r="P18" t="s">
        <v>85</v>
      </c>
    </row>
    <row r="19" spans="1:16">
      <c r="A19" t="s">
        <v>808</v>
      </c>
      <c r="B19" t="s">
        <v>85</v>
      </c>
      <c r="C19" t="s">
        <v>5338</v>
      </c>
      <c r="D19" t="s">
        <v>308</v>
      </c>
      <c r="E19" t="s">
        <v>80</v>
      </c>
      <c r="F19" s="20">
        <v>6400000000</v>
      </c>
      <c r="G19" s="20">
        <v>0</v>
      </c>
      <c r="H19" s="20">
        <v>0</v>
      </c>
      <c r="I19" s="20">
        <v>6400000000</v>
      </c>
      <c r="J19" s="20">
        <v>0</v>
      </c>
      <c r="K19" s="20">
        <v>0</v>
      </c>
      <c r="L19" s="20">
        <v>0</v>
      </c>
      <c r="M19" s="20">
        <v>0</v>
      </c>
      <c r="N19" t="s">
        <v>10</v>
      </c>
      <c r="O19" t="s">
        <v>110</v>
      </c>
      <c r="P19" t="s">
        <v>85</v>
      </c>
    </row>
    <row r="20" spans="1:16">
      <c r="A20" t="s">
        <v>609</v>
      </c>
      <c r="B20" t="s">
        <v>85</v>
      </c>
      <c r="C20" t="s">
        <v>3306</v>
      </c>
      <c r="D20" t="s">
        <v>310</v>
      </c>
      <c r="E20" t="s">
        <v>80</v>
      </c>
      <c r="F20" s="20">
        <v>5000000000</v>
      </c>
      <c r="G20" s="20">
        <v>0</v>
      </c>
      <c r="H20" s="20">
        <v>5000000000</v>
      </c>
      <c r="I20" s="20">
        <v>0</v>
      </c>
      <c r="J20" s="20">
        <v>0</v>
      </c>
      <c r="K20" s="20">
        <v>0</v>
      </c>
      <c r="L20" s="20">
        <v>0</v>
      </c>
      <c r="M20" s="20">
        <v>0</v>
      </c>
      <c r="N20" t="s">
        <v>10</v>
      </c>
      <c r="O20" t="s">
        <v>110</v>
      </c>
      <c r="P20" t="s">
        <v>85</v>
      </c>
    </row>
    <row r="21" spans="1:16">
      <c r="A21" t="s">
        <v>761</v>
      </c>
      <c r="B21" t="s">
        <v>85</v>
      </c>
      <c r="C21" t="s">
        <v>3278</v>
      </c>
      <c r="D21" t="s">
        <v>310</v>
      </c>
      <c r="E21" t="s">
        <v>80</v>
      </c>
      <c r="F21" s="20">
        <v>15357063169</v>
      </c>
      <c r="G21" s="20">
        <v>71946789</v>
      </c>
      <c r="H21" s="20">
        <v>0</v>
      </c>
      <c r="I21" s="20">
        <v>15429009958</v>
      </c>
      <c r="J21" s="20">
        <v>0</v>
      </c>
      <c r="K21" s="20">
        <v>0</v>
      </c>
      <c r="L21" s="20">
        <v>0</v>
      </c>
      <c r="M21" s="20">
        <v>0</v>
      </c>
      <c r="N21" t="s">
        <v>10</v>
      </c>
      <c r="O21" t="s">
        <v>110</v>
      </c>
      <c r="P21" t="s">
        <v>85</v>
      </c>
    </row>
    <row r="22" spans="1:16">
      <c r="A22" t="s">
        <v>761</v>
      </c>
      <c r="B22" t="s">
        <v>85</v>
      </c>
      <c r="C22" t="s">
        <v>3276</v>
      </c>
      <c r="D22" t="s">
        <v>308</v>
      </c>
      <c r="E22" t="s">
        <v>80</v>
      </c>
      <c r="F22" s="20">
        <v>261237542</v>
      </c>
      <c r="G22" s="20">
        <v>63519</v>
      </c>
      <c r="H22" s="20">
        <v>0</v>
      </c>
      <c r="I22" s="20">
        <v>261301061</v>
      </c>
      <c r="J22" s="20">
        <v>0</v>
      </c>
      <c r="K22" s="20">
        <v>0</v>
      </c>
      <c r="L22" s="20">
        <v>0</v>
      </c>
      <c r="M22" s="20">
        <v>0</v>
      </c>
      <c r="N22" t="s">
        <v>10</v>
      </c>
      <c r="O22" t="s">
        <v>110</v>
      </c>
      <c r="P22" t="s">
        <v>85</v>
      </c>
    </row>
    <row r="23" spans="1:16">
      <c r="A23" t="s">
        <v>752</v>
      </c>
      <c r="B23" t="s">
        <v>85</v>
      </c>
      <c r="C23" t="s">
        <v>3275</v>
      </c>
      <c r="D23" t="s">
        <v>310</v>
      </c>
      <c r="E23" t="s">
        <v>80</v>
      </c>
      <c r="F23" s="20">
        <v>0</v>
      </c>
      <c r="G23" s="20">
        <v>0</v>
      </c>
      <c r="H23" s="20">
        <v>0</v>
      </c>
      <c r="I23" s="20">
        <v>0</v>
      </c>
      <c r="J23" s="20">
        <v>0</v>
      </c>
      <c r="K23" s="20">
        <v>0</v>
      </c>
      <c r="L23" s="20">
        <v>0</v>
      </c>
      <c r="M23" s="20">
        <v>0</v>
      </c>
      <c r="N23" t="s">
        <v>10</v>
      </c>
      <c r="O23" t="s">
        <v>110</v>
      </c>
      <c r="P23" t="s">
        <v>85</v>
      </c>
    </row>
    <row r="24" spans="1:16">
      <c r="A24" t="s">
        <v>752</v>
      </c>
      <c r="B24" t="s">
        <v>85</v>
      </c>
      <c r="C24" t="s">
        <v>3274</v>
      </c>
      <c r="D24" t="s">
        <v>310</v>
      </c>
      <c r="E24" t="s">
        <v>80</v>
      </c>
      <c r="F24" s="20">
        <v>0</v>
      </c>
      <c r="G24" s="20">
        <v>0</v>
      </c>
      <c r="H24" s="20">
        <v>0</v>
      </c>
      <c r="I24" s="20">
        <v>0</v>
      </c>
      <c r="J24" s="20">
        <v>0</v>
      </c>
      <c r="K24" s="20">
        <v>0</v>
      </c>
      <c r="L24" s="20">
        <v>0</v>
      </c>
      <c r="M24" s="20">
        <v>0</v>
      </c>
      <c r="N24" t="s">
        <v>10</v>
      </c>
      <c r="O24" t="s">
        <v>110</v>
      </c>
      <c r="P24" t="s">
        <v>85</v>
      </c>
    </row>
    <row r="25" spans="1:16">
      <c r="A25" t="s">
        <v>752</v>
      </c>
      <c r="B25" t="s">
        <v>85</v>
      </c>
      <c r="C25" t="s">
        <v>3273</v>
      </c>
      <c r="D25" t="s">
        <v>310</v>
      </c>
      <c r="E25" t="s">
        <v>80</v>
      </c>
      <c r="F25" s="20">
        <v>0</v>
      </c>
      <c r="G25" s="20">
        <v>0</v>
      </c>
      <c r="H25" s="20">
        <v>0</v>
      </c>
      <c r="I25" s="20">
        <v>0</v>
      </c>
      <c r="J25" s="20">
        <v>0</v>
      </c>
      <c r="K25" s="20">
        <v>0</v>
      </c>
      <c r="L25" s="20">
        <v>0</v>
      </c>
      <c r="M25" s="20">
        <v>0</v>
      </c>
      <c r="N25" t="s">
        <v>10</v>
      </c>
      <c r="O25" t="s">
        <v>110</v>
      </c>
      <c r="P25" t="s">
        <v>85</v>
      </c>
    </row>
    <row r="26" spans="1:16">
      <c r="A26" t="s">
        <v>752</v>
      </c>
      <c r="B26" t="s">
        <v>85</v>
      </c>
      <c r="C26" t="s">
        <v>753</v>
      </c>
      <c r="D26" t="s">
        <v>308</v>
      </c>
      <c r="E26" t="s">
        <v>80</v>
      </c>
      <c r="F26" s="20">
        <v>2384966841</v>
      </c>
      <c r="G26" s="20">
        <v>339290</v>
      </c>
      <c r="H26" s="20">
        <v>0</v>
      </c>
      <c r="I26" s="20">
        <v>2385306131</v>
      </c>
      <c r="J26" s="20">
        <v>0</v>
      </c>
      <c r="K26" s="20">
        <v>0</v>
      </c>
      <c r="L26" s="20">
        <v>0</v>
      </c>
      <c r="M26" s="20">
        <v>0</v>
      </c>
      <c r="N26" t="s">
        <v>10</v>
      </c>
      <c r="O26" t="s">
        <v>110</v>
      </c>
      <c r="P26" t="s">
        <v>85</v>
      </c>
    </row>
    <row r="27" spans="1:16">
      <c r="A27" t="s">
        <v>744</v>
      </c>
      <c r="B27" t="s">
        <v>85</v>
      </c>
      <c r="C27" t="s">
        <v>3265</v>
      </c>
      <c r="D27" t="s">
        <v>310</v>
      </c>
      <c r="E27" t="s">
        <v>80</v>
      </c>
      <c r="F27" s="20">
        <v>4607118950</v>
      </c>
      <c r="G27" s="20">
        <v>21584037</v>
      </c>
      <c r="H27" s="20">
        <v>0</v>
      </c>
      <c r="I27" s="20">
        <v>4628702987</v>
      </c>
      <c r="J27" s="20">
        <v>0</v>
      </c>
      <c r="K27" s="20">
        <v>0</v>
      </c>
      <c r="L27" s="20">
        <v>0</v>
      </c>
      <c r="M27" s="20">
        <v>0</v>
      </c>
      <c r="N27" t="s">
        <v>10</v>
      </c>
      <c r="O27" t="s">
        <v>110</v>
      </c>
      <c r="P27" t="s">
        <v>85</v>
      </c>
    </row>
    <row r="28" spans="1:16">
      <c r="A28" t="s">
        <v>744</v>
      </c>
      <c r="B28" t="s">
        <v>85</v>
      </c>
      <c r="C28" t="s">
        <v>745</v>
      </c>
      <c r="D28" t="s">
        <v>308</v>
      </c>
      <c r="E28" t="s">
        <v>80</v>
      </c>
      <c r="F28" s="20">
        <v>488407573</v>
      </c>
      <c r="G28" s="20">
        <v>80285</v>
      </c>
      <c r="H28" s="20">
        <v>33000</v>
      </c>
      <c r="I28" s="20">
        <v>488454858</v>
      </c>
      <c r="J28" s="20">
        <v>0</v>
      </c>
      <c r="K28" s="20">
        <v>0</v>
      </c>
      <c r="L28" s="20">
        <v>0</v>
      </c>
      <c r="M28" s="20">
        <v>0</v>
      </c>
      <c r="N28" t="s">
        <v>10</v>
      </c>
      <c r="O28" t="s">
        <v>110</v>
      </c>
      <c r="P28" t="s">
        <v>85</v>
      </c>
    </row>
    <row r="29" spans="1:16">
      <c r="A29" t="s">
        <v>742</v>
      </c>
      <c r="B29" t="s">
        <v>85</v>
      </c>
      <c r="C29" t="s">
        <v>3263</v>
      </c>
      <c r="D29" t="s">
        <v>310</v>
      </c>
      <c r="E29" t="s">
        <v>80</v>
      </c>
      <c r="F29" s="20">
        <v>4607118950</v>
      </c>
      <c r="G29" s="20">
        <v>21584037</v>
      </c>
      <c r="H29" s="20">
        <v>0</v>
      </c>
      <c r="I29" s="20">
        <v>4628702987</v>
      </c>
      <c r="J29" s="20">
        <v>0</v>
      </c>
      <c r="K29" s="20">
        <v>0</v>
      </c>
      <c r="L29" s="20">
        <v>0</v>
      </c>
      <c r="M29" s="20">
        <v>0</v>
      </c>
      <c r="N29" t="s">
        <v>10</v>
      </c>
      <c r="O29" t="s">
        <v>110</v>
      </c>
      <c r="P29" t="s">
        <v>85</v>
      </c>
    </row>
    <row r="30" spans="1:16">
      <c r="A30" t="s">
        <v>742</v>
      </c>
      <c r="B30" t="s">
        <v>85</v>
      </c>
      <c r="C30" t="s">
        <v>743</v>
      </c>
      <c r="D30" t="s">
        <v>308</v>
      </c>
      <c r="E30" t="s">
        <v>80</v>
      </c>
      <c r="F30" s="20">
        <v>488412034</v>
      </c>
      <c r="G30" s="20">
        <v>80286</v>
      </c>
      <c r="H30" s="20">
        <v>33000</v>
      </c>
      <c r="I30" s="20">
        <v>488459320</v>
      </c>
      <c r="J30" s="20">
        <v>0</v>
      </c>
      <c r="K30" s="20">
        <v>0</v>
      </c>
      <c r="L30" s="20">
        <v>0</v>
      </c>
      <c r="M30" s="20">
        <v>0</v>
      </c>
      <c r="N30" t="s">
        <v>10</v>
      </c>
      <c r="O30" t="s">
        <v>110</v>
      </c>
      <c r="P30" t="s">
        <v>85</v>
      </c>
    </row>
    <row r="31" spans="1:16">
      <c r="A31" t="s">
        <v>739</v>
      </c>
      <c r="B31" t="s">
        <v>85</v>
      </c>
      <c r="C31" t="s">
        <v>741</v>
      </c>
      <c r="D31" t="s">
        <v>310</v>
      </c>
      <c r="E31" t="s">
        <v>80</v>
      </c>
      <c r="F31" s="20">
        <v>4607118950</v>
      </c>
      <c r="G31" s="20">
        <v>21584037</v>
      </c>
      <c r="H31" s="20">
        <v>0</v>
      </c>
      <c r="I31" s="20">
        <v>4628702987</v>
      </c>
      <c r="J31" s="20">
        <v>0</v>
      </c>
      <c r="K31" s="20">
        <v>0</v>
      </c>
      <c r="L31" s="20">
        <v>0</v>
      </c>
      <c r="M31" s="20">
        <v>0</v>
      </c>
      <c r="N31" t="s">
        <v>10</v>
      </c>
      <c r="O31" t="s">
        <v>110</v>
      </c>
      <c r="P31" t="s">
        <v>85</v>
      </c>
    </row>
    <row r="32" spans="1:16">
      <c r="A32" t="s">
        <v>739</v>
      </c>
      <c r="B32" t="s">
        <v>85</v>
      </c>
      <c r="C32" t="s">
        <v>740</v>
      </c>
      <c r="D32" t="s">
        <v>308</v>
      </c>
      <c r="E32" t="s">
        <v>80</v>
      </c>
      <c r="F32" s="20">
        <v>485239176</v>
      </c>
      <c r="G32" s="20">
        <v>79763</v>
      </c>
      <c r="H32" s="20">
        <v>33000</v>
      </c>
      <c r="I32" s="20">
        <v>485285939</v>
      </c>
      <c r="J32" s="20">
        <v>0</v>
      </c>
      <c r="K32" s="20">
        <v>0</v>
      </c>
      <c r="L32" s="20">
        <v>0</v>
      </c>
      <c r="M32" s="20">
        <v>0</v>
      </c>
      <c r="N32" t="s">
        <v>10</v>
      </c>
      <c r="O32" t="s">
        <v>110</v>
      </c>
      <c r="P32" t="s">
        <v>85</v>
      </c>
    </row>
    <row r="33" spans="1:16">
      <c r="A33" t="s">
        <v>712</v>
      </c>
      <c r="B33" t="s">
        <v>85</v>
      </c>
      <c r="C33" t="s">
        <v>5339</v>
      </c>
      <c r="D33" t="s">
        <v>308</v>
      </c>
      <c r="E33" t="s">
        <v>80</v>
      </c>
      <c r="F33" s="20">
        <v>3108884484</v>
      </c>
      <c r="G33" s="20">
        <v>539179</v>
      </c>
      <c r="H33" s="20">
        <v>20438000</v>
      </c>
      <c r="I33" s="20">
        <v>3088985663</v>
      </c>
      <c r="J33" s="20">
        <v>0</v>
      </c>
      <c r="K33" s="20">
        <v>0</v>
      </c>
      <c r="L33" s="20">
        <v>0</v>
      </c>
      <c r="M33" s="20">
        <v>0</v>
      </c>
      <c r="N33" t="s">
        <v>10</v>
      </c>
      <c r="O33" t="s">
        <v>110</v>
      </c>
      <c r="P33" t="s">
        <v>85</v>
      </c>
    </row>
    <row r="34" spans="1:16">
      <c r="A34" t="s">
        <v>710</v>
      </c>
      <c r="B34" t="s">
        <v>85</v>
      </c>
      <c r="C34" t="s">
        <v>5340</v>
      </c>
      <c r="D34" t="s">
        <v>308</v>
      </c>
      <c r="E34" t="s">
        <v>80</v>
      </c>
      <c r="F34" s="20">
        <v>859691931</v>
      </c>
      <c r="G34" s="20">
        <v>129861</v>
      </c>
      <c r="H34" s="20">
        <v>240567212</v>
      </c>
      <c r="I34" s="20">
        <v>619254580</v>
      </c>
      <c r="J34" s="20">
        <v>0</v>
      </c>
      <c r="K34" s="20">
        <v>0</v>
      </c>
      <c r="L34" s="20">
        <v>0</v>
      </c>
      <c r="M34" s="20">
        <v>0</v>
      </c>
      <c r="N34" t="s">
        <v>10</v>
      </c>
      <c r="O34" t="s">
        <v>110</v>
      </c>
      <c r="P34" t="s">
        <v>85</v>
      </c>
    </row>
    <row r="35" spans="1:16">
      <c r="A35" t="s">
        <v>710</v>
      </c>
      <c r="B35" t="s">
        <v>85</v>
      </c>
      <c r="C35" t="s">
        <v>3247</v>
      </c>
      <c r="D35" t="s">
        <v>310</v>
      </c>
      <c r="E35" t="s">
        <v>80</v>
      </c>
      <c r="F35" s="20">
        <v>0</v>
      </c>
      <c r="G35" s="20">
        <v>0</v>
      </c>
      <c r="H35" s="20">
        <v>0</v>
      </c>
      <c r="I35" s="20">
        <v>0</v>
      </c>
      <c r="J35" s="20">
        <v>0</v>
      </c>
      <c r="K35" s="20">
        <v>0</v>
      </c>
      <c r="L35" s="20">
        <v>0</v>
      </c>
      <c r="M35" s="20">
        <v>0</v>
      </c>
      <c r="N35" t="s">
        <v>10</v>
      </c>
      <c r="O35" t="s">
        <v>110</v>
      </c>
      <c r="P35" t="s">
        <v>85</v>
      </c>
    </row>
    <row r="36" spans="1:16">
      <c r="A36" t="s">
        <v>708</v>
      </c>
      <c r="B36" t="s">
        <v>85</v>
      </c>
      <c r="C36" t="s">
        <v>709</v>
      </c>
      <c r="D36" t="s">
        <v>308</v>
      </c>
      <c r="E36" t="s">
        <v>80</v>
      </c>
      <c r="F36" s="20">
        <v>1661854250</v>
      </c>
      <c r="G36" s="20">
        <v>304343</v>
      </c>
      <c r="H36" s="20">
        <v>20438000</v>
      </c>
      <c r="I36" s="20">
        <v>1641720593</v>
      </c>
      <c r="J36" s="20">
        <v>0</v>
      </c>
      <c r="K36" s="20">
        <v>0</v>
      </c>
      <c r="L36" s="20">
        <v>0</v>
      </c>
      <c r="M36" s="20">
        <v>0</v>
      </c>
      <c r="N36" t="s">
        <v>10</v>
      </c>
      <c r="O36" t="s">
        <v>110</v>
      </c>
      <c r="P36" t="s">
        <v>85</v>
      </c>
    </row>
    <row r="37" spans="1:16">
      <c r="A37" t="s">
        <v>708</v>
      </c>
      <c r="B37" t="s">
        <v>85</v>
      </c>
      <c r="C37" t="s">
        <v>3245</v>
      </c>
      <c r="D37" t="s">
        <v>310</v>
      </c>
      <c r="E37" t="s">
        <v>80</v>
      </c>
      <c r="F37" s="20">
        <v>0</v>
      </c>
      <c r="G37" s="20">
        <v>0</v>
      </c>
      <c r="H37" s="20">
        <v>0</v>
      </c>
      <c r="I37" s="20">
        <v>0</v>
      </c>
      <c r="J37" s="20">
        <v>0</v>
      </c>
      <c r="K37" s="20">
        <v>0</v>
      </c>
      <c r="L37" s="20">
        <v>0</v>
      </c>
      <c r="M37" s="20">
        <v>0</v>
      </c>
      <c r="N37" t="s">
        <v>10</v>
      </c>
      <c r="O37" t="s">
        <v>110</v>
      </c>
      <c r="P37" t="s">
        <v>85</v>
      </c>
    </row>
    <row r="38" spans="1:16">
      <c r="A38" t="s">
        <v>706</v>
      </c>
      <c r="B38" t="s">
        <v>85</v>
      </c>
      <c r="C38" t="s">
        <v>707</v>
      </c>
      <c r="D38" t="s">
        <v>308</v>
      </c>
      <c r="E38" t="s">
        <v>80</v>
      </c>
      <c r="F38" s="20">
        <v>72372596856</v>
      </c>
      <c r="G38" s="20">
        <v>11410388</v>
      </c>
      <c r="H38" s="20">
        <v>23070035030</v>
      </c>
      <c r="I38" s="20">
        <v>49313972214</v>
      </c>
      <c r="J38" s="20">
        <v>0</v>
      </c>
      <c r="K38" s="20">
        <v>0</v>
      </c>
      <c r="L38" s="20">
        <v>0</v>
      </c>
      <c r="M38" s="20">
        <v>0</v>
      </c>
      <c r="N38" t="s">
        <v>10</v>
      </c>
      <c r="O38" t="s">
        <v>110</v>
      </c>
      <c r="P38" t="s">
        <v>85</v>
      </c>
    </row>
    <row r="39" spans="1:16">
      <c r="A39" t="s">
        <v>706</v>
      </c>
      <c r="B39" t="s">
        <v>85</v>
      </c>
      <c r="C39" t="s">
        <v>3244</v>
      </c>
      <c r="D39" t="s">
        <v>310</v>
      </c>
      <c r="E39" t="s">
        <v>80</v>
      </c>
      <c r="F39" s="20">
        <v>0</v>
      </c>
      <c r="G39" s="20">
        <v>0</v>
      </c>
      <c r="H39" s="20">
        <v>0</v>
      </c>
      <c r="I39" s="20">
        <v>0</v>
      </c>
      <c r="J39" s="20">
        <v>0</v>
      </c>
      <c r="K39" s="20">
        <v>0</v>
      </c>
      <c r="L39" s="20">
        <v>0</v>
      </c>
      <c r="M39" s="20">
        <v>0</v>
      </c>
      <c r="N39" t="s">
        <v>10</v>
      </c>
      <c r="O39" t="s">
        <v>110</v>
      </c>
      <c r="P39" t="s">
        <v>85</v>
      </c>
    </row>
    <row r="40" spans="1:16">
      <c r="A40" t="s">
        <v>697</v>
      </c>
      <c r="B40" t="s">
        <v>85</v>
      </c>
      <c r="C40" t="s">
        <v>3232</v>
      </c>
      <c r="D40" t="s">
        <v>310</v>
      </c>
      <c r="E40" t="s">
        <v>80</v>
      </c>
      <c r="F40" s="20">
        <v>0</v>
      </c>
      <c r="G40" s="20">
        <v>0</v>
      </c>
      <c r="H40" s="20">
        <v>0</v>
      </c>
      <c r="I40" s="20">
        <v>0</v>
      </c>
      <c r="J40" s="20">
        <v>0</v>
      </c>
      <c r="K40" s="20">
        <v>0</v>
      </c>
      <c r="L40" s="20">
        <v>0</v>
      </c>
      <c r="M40" s="20">
        <v>0</v>
      </c>
      <c r="N40" t="s">
        <v>10</v>
      </c>
      <c r="O40" t="s">
        <v>110</v>
      </c>
      <c r="P40" t="s">
        <v>85</v>
      </c>
    </row>
    <row r="41" spans="1:16">
      <c r="A41" t="s">
        <v>697</v>
      </c>
      <c r="B41" t="s">
        <v>85</v>
      </c>
      <c r="C41" t="s">
        <v>3231</v>
      </c>
      <c r="D41" t="s">
        <v>310</v>
      </c>
      <c r="E41" t="s">
        <v>80</v>
      </c>
      <c r="F41" s="20">
        <v>0</v>
      </c>
      <c r="G41" s="20">
        <v>0</v>
      </c>
      <c r="H41" s="20">
        <v>0</v>
      </c>
      <c r="I41" s="20">
        <v>0</v>
      </c>
      <c r="J41" s="20">
        <v>0</v>
      </c>
      <c r="K41" s="20">
        <v>0</v>
      </c>
      <c r="L41" s="20">
        <v>0</v>
      </c>
      <c r="M41" s="20">
        <v>0</v>
      </c>
      <c r="N41" t="s">
        <v>10</v>
      </c>
      <c r="O41" t="s">
        <v>110</v>
      </c>
      <c r="P41" t="s">
        <v>85</v>
      </c>
    </row>
    <row r="42" spans="1:16">
      <c r="A42" t="s">
        <v>697</v>
      </c>
      <c r="B42" t="s">
        <v>85</v>
      </c>
      <c r="C42" t="s">
        <v>3230</v>
      </c>
      <c r="D42" t="s">
        <v>310</v>
      </c>
      <c r="E42" t="s">
        <v>80</v>
      </c>
      <c r="F42" s="20">
        <v>0</v>
      </c>
      <c r="G42" s="20">
        <v>0</v>
      </c>
      <c r="H42" s="20">
        <v>0</v>
      </c>
      <c r="I42" s="20">
        <v>0</v>
      </c>
      <c r="J42" s="20">
        <v>0</v>
      </c>
      <c r="K42" s="20">
        <v>0</v>
      </c>
      <c r="L42" s="20">
        <v>0</v>
      </c>
      <c r="M42" s="20">
        <v>0</v>
      </c>
      <c r="N42" t="s">
        <v>10</v>
      </c>
      <c r="O42" t="s">
        <v>110</v>
      </c>
      <c r="P42" t="s">
        <v>85</v>
      </c>
    </row>
    <row r="43" spans="1:16">
      <c r="A43" t="s">
        <v>697</v>
      </c>
      <c r="B43" t="s">
        <v>85</v>
      </c>
      <c r="C43" t="s">
        <v>3229</v>
      </c>
      <c r="D43" t="s">
        <v>310</v>
      </c>
      <c r="E43" t="s">
        <v>80</v>
      </c>
      <c r="F43" s="20">
        <v>0</v>
      </c>
      <c r="G43" s="20">
        <v>0</v>
      </c>
      <c r="H43" s="20">
        <v>0</v>
      </c>
      <c r="I43" s="20">
        <v>0</v>
      </c>
      <c r="J43" s="20">
        <v>0</v>
      </c>
      <c r="K43" s="20">
        <v>0</v>
      </c>
      <c r="L43" s="20">
        <v>0</v>
      </c>
      <c r="M43" s="20">
        <v>0</v>
      </c>
      <c r="N43" t="s">
        <v>10</v>
      </c>
      <c r="O43" t="s">
        <v>110</v>
      </c>
      <c r="P43" t="s">
        <v>85</v>
      </c>
    </row>
    <row r="44" spans="1:16">
      <c r="A44" t="s">
        <v>697</v>
      </c>
      <c r="B44" t="s">
        <v>85</v>
      </c>
      <c r="C44" t="s">
        <v>3228</v>
      </c>
      <c r="D44" t="s">
        <v>310</v>
      </c>
      <c r="E44" t="s">
        <v>80</v>
      </c>
      <c r="F44" s="20">
        <v>0</v>
      </c>
      <c r="G44" s="20">
        <v>0</v>
      </c>
      <c r="H44" s="20">
        <v>0</v>
      </c>
      <c r="I44" s="20">
        <v>0</v>
      </c>
      <c r="J44" s="20">
        <v>0</v>
      </c>
      <c r="K44" s="20">
        <v>0</v>
      </c>
      <c r="L44" s="20">
        <v>0</v>
      </c>
      <c r="M44" s="20">
        <v>0</v>
      </c>
      <c r="N44" t="s">
        <v>10</v>
      </c>
      <c r="O44" t="s">
        <v>110</v>
      </c>
      <c r="P44" t="s">
        <v>85</v>
      </c>
    </row>
    <row r="45" spans="1:16">
      <c r="A45" t="s">
        <v>697</v>
      </c>
      <c r="B45" t="s">
        <v>85</v>
      </c>
      <c r="C45" t="s">
        <v>3227</v>
      </c>
      <c r="D45" t="s">
        <v>310</v>
      </c>
      <c r="E45" t="s">
        <v>80</v>
      </c>
      <c r="F45" s="20">
        <v>28000000000</v>
      </c>
      <c r="G45" s="20">
        <v>0</v>
      </c>
      <c r="H45" s="20">
        <v>0</v>
      </c>
      <c r="I45" s="20">
        <v>28000000000</v>
      </c>
      <c r="J45" s="20">
        <v>0</v>
      </c>
      <c r="K45" s="20">
        <v>0</v>
      </c>
      <c r="L45" s="20">
        <v>0</v>
      </c>
      <c r="M45" s="20">
        <v>0</v>
      </c>
      <c r="N45" t="s">
        <v>10</v>
      </c>
      <c r="O45" t="s">
        <v>110</v>
      </c>
      <c r="P45" t="s">
        <v>85</v>
      </c>
    </row>
    <row r="46" spans="1:16">
      <c r="A46" t="s">
        <v>697</v>
      </c>
      <c r="B46" t="s">
        <v>85</v>
      </c>
      <c r="C46" t="s">
        <v>698</v>
      </c>
      <c r="D46" t="s">
        <v>308</v>
      </c>
      <c r="E46" t="s">
        <v>80</v>
      </c>
      <c r="F46" s="20">
        <v>1180826360</v>
      </c>
      <c r="G46" s="20">
        <v>135743157</v>
      </c>
      <c r="H46" s="20">
        <v>0</v>
      </c>
      <c r="I46" s="20">
        <v>1316569517</v>
      </c>
      <c r="J46" s="20">
        <v>0</v>
      </c>
      <c r="K46" s="20">
        <v>0</v>
      </c>
      <c r="L46" s="20">
        <v>0</v>
      </c>
      <c r="M46" s="20">
        <v>0</v>
      </c>
      <c r="N46" t="s">
        <v>10</v>
      </c>
      <c r="O46" t="s">
        <v>110</v>
      </c>
      <c r="P46" t="s">
        <v>85</v>
      </c>
    </row>
    <row r="47" spans="1:16">
      <c r="A47" t="s">
        <v>693</v>
      </c>
      <c r="B47" t="s">
        <v>85</v>
      </c>
      <c r="C47" t="s">
        <v>694</v>
      </c>
      <c r="D47" t="s">
        <v>308</v>
      </c>
      <c r="E47" t="s">
        <v>80</v>
      </c>
      <c r="F47" s="20">
        <v>894505560</v>
      </c>
      <c r="G47" s="20">
        <v>0</v>
      </c>
      <c r="H47" s="20">
        <v>0</v>
      </c>
      <c r="I47" s="20">
        <v>894505560</v>
      </c>
      <c r="J47" s="20">
        <v>0</v>
      </c>
      <c r="K47" s="20">
        <v>0</v>
      </c>
      <c r="L47" s="20">
        <v>0</v>
      </c>
      <c r="M47" s="20">
        <v>0</v>
      </c>
      <c r="N47" t="s">
        <v>10</v>
      </c>
      <c r="O47" t="s">
        <v>110</v>
      </c>
      <c r="P47" t="s">
        <v>85</v>
      </c>
    </row>
    <row r="48" spans="1:16">
      <c r="A48" t="s">
        <v>691</v>
      </c>
      <c r="B48" t="s">
        <v>85</v>
      </c>
      <c r="C48" t="s">
        <v>692</v>
      </c>
      <c r="D48" t="s">
        <v>308</v>
      </c>
      <c r="E48" t="s">
        <v>80</v>
      </c>
      <c r="F48" s="20">
        <v>894506055</v>
      </c>
      <c r="G48" s="20">
        <v>0</v>
      </c>
      <c r="H48" s="20">
        <v>0</v>
      </c>
      <c r="I48" s="20">
        <v>894506055</v>
      </c>
      <c r="J48" s="20">
        <v>0</v>
      </c>
      <c r="K48" s="20">
        <v>0</v>
      </c>
      <c r="L48" s="20">
        <v>0</v>
      </c>
      <c r="M48" s="20">
        <v>0</v>
      </c>
      <c r="N48" t="s">
        <v>10</v>
      </c>
      <c r="O48" t="s">
        <v>110</v>
      </c>
      <c r="P48" t="s">
        <v>85</v>
      </c>
    </row>
    <row r="49" spans="1:16">
      <c r="A49" t="s">
        <v>688</v>
      </c>
      <c r="B49" t="s">
        <v>85</v>
      </c>
      <c r="C49" t="s">
        <v>690</v>
      </c>
      <c r="D49" t="s">
        <v>308</v>
      </c>
      <c r="E49" t="s">
        <v>81</v>
      </c>
      <c r="F49" s="20">
        <v>0</v>
      </c>
      <c r="G49" s="20">
        <v>0</v>
      </c>
      <c r="H49" s="20">
        <v>0</v>
      </c>
      <c r="I49" s="20">
        <v>0</v>
      </c>
      <c r="J49" s="20">
        <v>0</v>
      </c>
      <c r="K49" s="20">
        <v>0</v>
      </c>
      <c r="L49" s="20">
        <v>0</v>
      </c>
      <c r="M49" s="20">
        <v>0</v>
      </c>
      <c r="N49" t="s">
        <v>10</v>
      </c>
      <c r="O49" t="s">
        <v>110</v>
      </c>
      <c r="P49" t="s">
        <v>85</v>
      </c>
    </row>
    <row r="50" spans="1:16">
      <c r="A50" t="s">
        <v>688</v>
      </c>
      <c r="B50" t="s">
        <v>85</v>
      </c>
      <c r="C50" t="s">
        <v>689</v>
      </c>
      <c r="D50" t="s">
        <v>308</v>
      </c>
      <c r="E50" t="s">
        <v>80</v>
      </c>
      <c r="F50" s="20">
        <v>874241752</v>
      </c>
      <c r="G50" s="20">
        <v>0</v>
      </c>
      <c r="H50" s="20">
        <v>0</v>
      </c>
      <c r="I50" s="20">
        <v>874241752</v>
      </c>
      <c r="J50" s="20">
        <v>0</v>
      </c>
      <c r="K50" s="20">
        <v>0</v>
      </c>
      <c r="L50" s="20">
        <v>0</v>
      </c>
      <c r="M50" s="20">
        <v>0</v>
      </c>
      <c r="N50" t="s">
        <v>10</v>
      </c>
      <c r="O50" t="s">
        <v>110</v>
      </c>
      <c r="P50" t="s">
        <v>85</v>
      </c>
    </row>
    <row r="51" spans="1:16">
      <c r="A51" t="s">
        <v>686</v>
      </c>
      <c r="B51" t="s">
        <v>85</v>
      </c>
      <c r="C51" t="s">
        <v>687</v>
      </c>
      <c r="D51" t="s">
        <v>308</v>
      </c>
      <c r="E51" t="s">
        <v>80</v>
      </c>
      <c r="F51" s="20">
        <v>894539072</v>
      </c>
      <c r="G51" s="20">
        <v>0</v>
      </c>
      <c r="H51" s="20">
        <v>0</v>
      </c>
      <c r="I51" s="20">
        <v>894539072</v>
      </c>
      <c r="J51" s="20">
        <v>0</v>
      </c>
      <c r="K51" s="20">
        <v>0</v>
      </c>
      <c r="L51" s="20">
        <v>0</v>
      </c>
      <c r="M51" s="20">
        <v>0</v>
      </c>
      <c r="N51" t="s">
        <v>10</v>
      </c>
      <c r="O51" t="s">
        <v>110</v>
      </c>
      <c r="P51" t="s">
        <v>85</v>
      </c>
    </row>
    <row r="52" spans="1:16">
      <c r="A52" t="s">
        <v>683</v>
      </c>
      <c r="B52" t="s">
        <v>85</v>
      </c>
      <c r="C52" t="s">
        <v>685</v>
      </c>
      <c r="D52" t="s">
        <v>308</v>
      </c>
      <c r="E52" t="s">
        <v>81</v>
      </c>
      <c r="F52" s="20">
        <v>0</v>
      </c>
      <c r="G52" s="20">
        <v>0</v>
      </c>
      <c r="H52" s="20">
        <v>0</v>
      </c>
      <c r="I52" s="20">
        <v>0</v>
      </c>
      <c r="J52" s="20">
        <v>0</v>
      </c>
      <c r="K52" s="20">
        <v>0</v>
      </c>
      <c r="L52" s="20">
        <v>0</v>
      </c>
      <c r="M52" s="20">
        <v>0</v>
      </c>
      <c r="N52" t="s">
        <v>10</v>
      </c>
      <c r="O52" t="s">
        <v>110</v>
      </c>
      <c r="P52" t="s">
        <v>85</v>
      </c>
    </row>
    <row r="53" spans="1:16">
      <c r="A53" t="s">
        <v>683</v>
      </c>
      <c r="B53" t="s">
        <v>85</v>
      </c>
      <c r="C53" t="s">
        <v>684</v>
      </c>
      <c r="D53" t="s">
        <v>308</v>
      </c>
      <c r="E53" t="s">
        <v>80</v>
      </c>
      <c r="F53" s="20">
        <v>894029243</v>
      </c>
      <c r="G53" s="20">
        <v>0</v>
      </c>
      <c r="H53" s="20">
        <v>0</v>
      </c>
      <c r="I53" s="20">
        <v>894029243</v>
      </c>
      <c r="J53" s="20">
        <v>0</v>
      </c>
      <c r="K53" s="20">
        <v>0</v>
      </c>
      <c r="L53" s="20">
        <v>0</v>
      </c>
      <c r="M53" s="20">
        <v>0</v>
      </c>
      <c r="N53" t="s">
        <v>10</v>
      </c>
      <c r="O53" t="s">
        <v>110</v>
      </c>
      <c r="P53" t="s">
        <v>85</v>
      </c>
    </row>
    <row r="54" spans="1:16">
      <c r="A54" t="s">
        <v>680</v>
      </c>
      <c r="B54" t="s">
        <v>85</v>
      </c>
      <c r="C54" t="s">
        <v>681</v>
      </c>
      <c r="D54" t="s">
        <v>308</v>
      </c>
      <c r="E54" t="s">
        <v>80</v>
      </c>
      <c r="F54" s="20">
        <v>90677313</v>
      </c>
      <c r="G54" s="20">
        <v>0</v>
      </c>
      <c r="H54" s="20">
        <v>0</v>
      </c>
      <c r="I54" s="20">
        <v>90677313</v>
      </c>
      <c r="J54" s="20">
        <v>0</v>
      </c>
      <c r="K54" s="20">
        <v>0</v>
      </c>
      <c r="L54" s="20">
        <v>0</v>
      </c>
      <c r="M54" s="20">
        <v>0</v>
      </c>
      <c r="N54" t="s">
        <v>10</v>
      </c>
      <c r="O54" t="s">
        <v>110</v>
      </c>
      <c r="P54" t="s">
        <v>85</v>
      </c>
    </row>
    <row r="55" spans="1:16">
      <c r="A55" t="s">
        <v>678</v>
      </c>
      <c r="B55" t="s">
        <v>85</v>
      </c>
      <c r="C55" t="s">
        <v>679</v>
      </c>
      <c r="D55" t="s">
        <v>308</v>
      </c>
      <c r="E55" t="s">
        <v>80</v>
      </c>
      <c r="F55" s="20">
        <v>92700357</v>
      </c>
      <c r="G55" s="20">
        <v>0</v>
      </c>
      <c r="H55" s="20">
        <v>0</v>
      </c>
      <c r="I55" s="20">
        <v>92700357</v>
      </c>
      <c r="J55" s="20">
        <v>0</v>
      </c>
      <c r="K55" s="20">
        <v>0</v>
      </c>
      <c r="L55" s="20">
        <v>0</v>
      </c>
      <c r="M55" s="20">
        <v>0</v>
      </c>
      <c r="N55" t="s">
        <v>10</v>
      </c>
      <c r="O55" t="s">
        <v>110</v>
      </c>
      <c r="P55" t="s">
        <v>85</v>
      </c>
    </row>
    <row r="56" spans="1:16">
      <c r="A56" t="s">
        <v>676</v>
      </c>
      <c r="B56" t="s">
        <v>85</v>
      </c>
      <c r="C56" t="s">
        <v>677</v>
      </c>
      <c r="D56" t="s">
        <v>308</v>
      </c>
      <c r="E56" t="s">
        <v>80</v>
      </c>
      <c r="F56" s="20">
        <v>92700357</v>
      </c>
      <c r="G56" s="20">
        <v>0</v>
      </c>
      <c r="H56" s="20">
        <v>0</v>
      </c>
      <c r="I56" s="20">
        <v>92700357</v>
      </c>
      <c r="J56" s="20">
        <v>0</v>
      </c>
      <c r="K56" s="20">
        <v>0</v>
      </c>
      <c r="L56" s="20">
        <v>0</v>
      </c>
      <c r="M56" s="20">
        <v>0</v>
      </c>
      <c r="N56" t="s">
        <v>10</v>
      </c>
      <c r="O56" t="s">
        <v>110</v>
      </c>
      <c r="P56" t="s">
        <v>85</v>
      </c>
    </row>
    <row r="57" spans="1:16">
      <c r="A57" t="s">
        <v>673</v>
      </c>
      <c r="B57" t="s">
        <v>85</v>
      </c>
      <c r="C57" t="s">
        <v>674</v>
      </c>
      <c r="D57" t="s">
        <v>308</v>
      </c>
      <c r="E57" t="s">
        <v>80</v>
      </c>
      <c r="F57" s="20">
        <v>86191357</v>
      </c>
      <c r="G57" s="20">
        <v>0</v>
      </c>
      <c r="H57" s="20">
        <v>0</v>
      </c>
      <c r="I57" s="20">
        <v>86191357</v>
      </c>
      <c r="J57" s="20">
        <v>0</v>
      </c>
      <c r="K57" s="20">
        <v>0</v>
      </c>
      <c r="L57" s="20">
        <v>0</v>
      </c>
      <c r="M57" s="20">
        <v>0</v>
      </c>
      <c r="N57" t="s">
        <v>10</v>
      </c>
      <c r="O57" t="s">
        <v>110</v>
      </c>
      <c r="P57" t="s">
        <v>85</v>
      </c>
    </row>
    <row r="58" spans="1:16">
      <c r="A58" t="s">
        <v>671</v>
      </c>
      <c r="B58" t="s">
        <v>85</v>
      </c>
      <c r="C58" t="s">
        <v>672</v>
      </c>
      <c r="D58" t="s">
        <v>308</v>
      </c>
      <c r="E58" t="s">
        <v>80</v>
      </c>
      <c r="F58" s="20">
        <v>89955091</v>
      </c>
      <c r="G58" s="20">
        <v>0</v>
      </c>
      <c r="H58" s="20">
        <v>0</v>
      </c>
      <c r="I58" s="20">
        <v>89955091</v>
      </c>
      <c r="J58" s="20">
        <v>0</v>
      </c>
      <c r="K58" s="20">
        <v>0</v>
      </c>
      <c r="L58" s="20">
        <v>0</v>
      </c>
      <c r="M58" s="20">
        <v>0</v>
      </c>
      <c r="N58" t="s">
        <v>10</v>
      </c>
      <c r="O58" t="s">
        <v>110</v>
      </c>
      <c r="P58" t="s">
        <v>85</v>
      </c>
    </row>
    <row r="59" spans="1:16">
      <c r="A59" t="s">
        <v>665</v>
      </c>
      <c r="B59" t="s">
        <v>85</v>
      </c>
      <c r="C59" t="s">
        <v>667</v>
      </c>
      <c r="D59" t="s">
        <v>308</v>
      </c>
      <c r="E59" t="s">
        <v>81</v>
      </c>
      <c r="F59" s="20">
        <v>0</v>
      </c>
      <c r="G59" s="20">
        <v>0</v>
      </c>
      <c r="H59" s="20">
        <v>0</v>
      </c>
      <c r="I59" s="20">
        <v>0</v>
      </c>
      <c r="J59" s="20">
        <v>204.50000000000466</v>
      </c>
      <c r="K59" s="20">
        <v>0</v>
      </c>
      <c r="L59" s="20">
        <v>1.4</v>
      </c>
      <c r="M59" s="20">
        <v>203.10000000000466</v>
      </c>
      <c r="N59" t="s">
        <v>10</v>
      </c>
      <c r="O59" t="s">
        <v>110</v>
      </c>
      <c r="P59" t="s">
        <v>85</v>
      </c>
    </row>
    <row r="60" spans="1:16">
      <c r="A60" t="s">
        <v>665</v>
      </c>
      <c r="B60" t="s">
        <v>85</v>
      </c>
      <c r="C60" t="s">
        <v>666</v>
      </c>
      <c r="D60" t="s">
        <v>308</v>
      </c>
      <c r="E60" t="s">
        <v>80</v>
      </c>
      <c r="F60" s="20">
        <v>20571168028</v>
      </c>
      <c r="G60" s="20">
        <v>38266770</v>
      </c>
      <c r="H60" s="20">
        <v>12616275860</v>
      </c>
      <c r="I60" s="20">
        <v>7993158938</v>
      </c>
      <c r="J60" s="20">
        <v>0</v>
      </c>
      <c r="K60" s="20">
        <v>0</v>
      </c>
      <c r="L60" s="20">
        <v>0</v>
      </c>
      <c r="M60" s="20">
        <v>0</v>
      </c>
      <c r="N60" t="s">
        <v>10</v>
      </c>
      <c r="O60" t="s">
        <v>110</v>
      </c>
      <c r="P60" t="s">
        <v>85</v>
      </c>
    </row>
    <row r="61" spans="1:16">
      <c r="A61" t="s">
        <v>665</v>
      </c>
      <c r="B61" t="s">
        <v>85</v>
      </c>
      <c r="C61" t="s">
        <v>3195</v>
      </c>
      <c r="D61" t="s">
        <v>310</v>
      </c>
      <c r="E61" t="s">
        <v>80</v>
      </c>
      <c r="F61" s="20">
        <v>0</v>
      </c>
      <c r="G61" s="20">
        <v>0</v>
      </c>
      <c r="H61" s="20">
        <v>0</v>
      </c>
      <c r="I61" s="20">
        <v>0</v>
      </c>
      <c r="J61" s="20">
        <v>0</v>
      </c>
      <c r="K61" s="20">
        <v>0</v>
      </c>
      <c r="L61" s="20">
        <v>0</v>
      </c>
      <c r="M61" s="20">
        <v>0</v>
      </c>
      <c r="N61" t="s">
        <v>10</v>
      </c>
      <c r="O61" t="s">
        <v>110</v>
      </c>
      <c r="P61" t="s">
        <v>85</v>
      </c>
    </row>
    <row r="62" spans="1:16">
      <c r="A62" t="s">
        <v>665</v>
      </c>
      <c r="B62" t="s">
        <v>85</v>
      </c>
      <c r="C62" t="s">
        <v>3194</v>
      </c>
      <c r="D62" t="s">
        <v>310</v>
      </c>
      <c r="E62" t="s">
        <v>80</v>
      </c>
      <c r="F62" s="20">
        <v>0</v>
      </c>
      <c r="G62" s="20">
        <v>0</v>
      </c>
      <c r="H62" s="20">
        <v>0</v>
      </c>
      <c r="I62" s="20">
        <v>0</v>
      </c>
      <c r="J62" s="20">
        <v>0</v>
      </c>
      <c r="K62" s="20">
        <v>0</v>
      </c>
      <c r="L62" s="20">
        <v>0</v>
      </c>
      <c r="M62" s="20">
        <v>0</v>
      </c>
      <c r="N62" t="s">
        <v>10</v>
      </c>
      <c r="O62" t="s">
        <v>110</v>
      </c>
      <c r="P62" t="s">
        <v>85</v>
      </c>
    </row>
    <row r="63" spans="1:16">
      <c r="A63" t="s">
        <v>662</v>
      </c>
      <c r="B63" t="s">
        <v>85</v>
      </c>
      <c r="C63" t="s">
        <v>664</v>
      </c>
      <c r="D63" t="s">
        <v>308</v>
      </c>
      <c r="E63" t="s">
        <v>81</v>
      </c>
      <c r="F63" s="20">
        <v>0</v>
      </c>
      <c r="G63" s="20">
        <v>0</v>
      </c>
      <c r="H63" s="20">
        <v>0</v>
      </c>
      <c r="I63" s="20">
        <v>0</v>
      </c>
      <c r="J63" s="20">
        <v>0</v>
      </c>
      <c r="K63" s="20">
        <v>0</v>
      </c>
      <c r="L63" s="20">
        <v>0</v>
      </c>
      <c r="M63" s="20">
        <v>0</v>
      </c>
      <c r="N63" t="s">
        <v>10</v>
      </c>
      <c r="O63" t="s">
        <v>110</v>
      </c>
      <c r="P63" t="s">
        <v>85</v>
      </c>
    </row>
    <row r="64" spans="1:16">
      <c r="A64" t="s">
        <v>662</v>
      </c>
      <c r="B64" t="s">
        <v>85</v>
      </c>
      <c r="C64" t="s">
        <v>663</v>
      </c>
      <c r="D64" t="s">
        <v>308</v>
      </c>
      <c r="E64" t="s">
        <v>80</v>
      </c>
      <c r="F64" s="20">
        <v>68643992</v>
      </c>
      <c r="G64" s="20">
        <v>11283</v>
      </c>
      <c r="H64" s="20">
        <v>19800</v>
      </c>
      <c r="I64" s="20">
        <v>68635475</v>
      </c>
      <c r="J64" s="20">
        <v>0</v>
      </c>
      <c r="K64" s="20">
        <v>0</v>
      </c>
      <c r="L64" s="20">
        <v>0</v>
      </c>
      <c r="M64" s="20">
        <v>0</v>
      </c>
      <c r="N64" t="s">
        <v>10</v>
      </c>
      <c r="O64" t="s">
        <v>110</v>
      </c>
      <c r="P64" t="s">
        <v>85</v>
      </c>
    </row>
    <row r="65" spans="1:16">
      <c r="A65" t="s">
        <v>656</v>
      </c>
      <c r="B65" t="s">
        <v>85</v>
      </c>
      <c r="C65" t="s">
        <v>658</v>
      </c>
      <c r="D65" t="s">
        <v>308</v>
      </c>
      <c r="E65" t="s">
        <v>81</v>
      </c>
      <c r="F65" s="20">
        <v>0</v>
      </c>
      <c r="G65" s="20">
        <v>0</v>
      </c>
      <c r="H65" s="20">
        <v>0</v>
      </c>
      <c r="I65" s="20">
        <v>0</v>
      </c>
      <c r="J65" s="20">
        <v>0</v>
      </c>
      <c r="K65" s="20">
        <v>0</v>
      </c>
      <c r="L65" s="20">
        <v>0</v>
      </c>
      <c r="M65" s="20">
        <v>0</v>
      </c>
      <c r="N65" t="s">
        <v>10</v>
      </c>
      <c r="O65" t="s">
        <v>110</v>
      </c>
      <c r="P65" t="s">
        <v>85</v>
      </c>
    </row>
    <row r="66" spans="1:16">
      <c r="A66" t="s">
        <v>656</v>
      </c>
      <c r="B66" t="s">
        <v>85</v>
      </c>
      <c r="C66" t="s">
        <v>3192</v>
      </c>
      <c r="D66" t="s">
        <v>310</v>
      </c>
      <c r="E66" t="s">
        <v>80</v>
      </c>
      <c r="F66" s="20">
        <v>0</v>
      </c>
      <c r="G66" s="20">
        <v>0</v>
      </c>
      <c r="H66" s="20">
        <v>0</v>
      </c>
      <c r="I66" s="20">
        <v>0</v>
      </c>
      <c r="J66" s="20">
        <v>0</v>
      </c>
      <c r="K66" s="20">
        <v>0</v>
      </c>
      <c r="L66" s="20">
        <v>0</v>
      </c>
      <c r="M66" s="20">
        <v>0</v>
      </c>
      <c r="N66" t="s">
        <v>10</v>
      </c>
      <c r="O66" t="s">
        <v>110</v>
      </c>
      <c r="P66" t="s">
        <v>85</v>
      </c>
    </row>
    <row r="67" spans="1:16">
      <c r="A67" t="s">
        <v>656</v>
      </c>
      <c r="B67" t="s">
        <v>85</v>
      </c>
      <c r="C67" t="s">
        <v>657</v>
      </c>
      <c r="D67" t="s">
        <v>308</v>
      </c>
      <c r="E67" t="s">
        <v>80</v>
      </c>
      <c r="F67" s="20">
        <v>605456753</v>
      </c>
      <c r="G67" s="20">
        <v>99526</v>
      </c>
      <c r="H67" s="20">
        <v>33000</v>
      </c>
      <c r="I67" s="20">
        <v>605523279</v>
      </c>
      <c r="J67" s="20">
        <v>0</v>
      </c>
      <c r="K67" s="20">
        <v>0</v>
      </c>
      <c r="L67" s="20">
        <v>0</v>
      </c>
      <c r="M67" s="20">
        <v>0</v>
      </c>
      <c r="N67" t="s">
        <v>10</v>
      </c>
      <c r="O67" t="s">
        <v>110</v>
      </c>
      <c r="P67" t="s">
        <v>85</v>
      </c>
    </row>
    <row r="68" spans="1:16">
      <c r="A68" t="s">
        <v>653</v>
      </c>
      <c r="B68" t="s">
        <v>85</v>
      </c>
      <c r="C68" t="s">
        <v>655</v>
      </c>
      <c r="D68" t="s">
        <v>308</v>
      </c>
      <c r="E68" t="s">
        <v>81</v>
      </c>
      <c r="F68" s="20">
        <v>0</v>
      </c>
      <c r="G68" s="20">
        <v>0</v>
      </c>
      <c r="H68" s="20">
        <v>0</v>
      </c>
      <c r="I68" s="20">
        <v>0</v>
      </c>
      <c r="J68" s="20">
        <v>0</v>
      </c>
      <c r="K68" s="20">
        <v>0</v>
      </c>
      <c r="L68" s="20">
        <v>0</v>
      </c>
      <c r="M68" s="20">
        <v>0</v>
      </c>
      <c r="N68" t="s">
        <v>10</v>
      </c>
      <c r="O68" t="s">
        <v>110</v>
      </c>
      <c r="P68" t="s">
        <v>85</v>
      </c>
    </row>
    <row r="69" spans="1:16">
      <c r="A69" t="s">
        <v>653</v>
      </c>
      <c r="B69" t="s">
        <v>85</v>
      </c>
      <c r="C69" t="s">
        <v>3191</v>
      </c>
      <c r="D69" t="s">
        <v>310</v>
      </c>
      <c r="E69" t="s">
        <v>80</v>
      </c>
      <c r="F69" s="20">
        <v>0</v>
      </c>
      <c r="G69" s="20">
        <v>0</v>
      </c>
      <c r="H69" s="20">
        <v>0</v>
      </c>
      <c r="I69" s="20">
        <v>0</v>
      </c>
      <c r="J69" s="20">
        <v>0</v>
      </c>
      <c r="K69" s="20">
        <v>0</v>
      </c>
      <c r="L69" s="20">
        <v>0</v>
      </c>
      <c r="M69" s="20">
        <v>0</v>
      </c>
      <c r="N69" t="s">
        <v>10</v>
      </c>
      <c r="O69" t="s">
        <v>110</v>
      </c>
      <c r="P69" t="s">
        <v>85</v>
      </c>
    </row>
    <row r="70" spans="1:16">
      <c r="A70" t="s">
        <v>653</v>
      </c>
      <c r="B70" t="s">
        <v>85</v>
      </c>
      <c r="C70" t="s">
        <v>654</v>
      </c>
      <c r="D70" t="s">
        <v>308</v>
      </c>
      <c r="E70" t="s">
        <v>80</v>
      </c>
      <c r="F70" s="20">
        <v>386031924</v>
      </c>
      <c r="G70" s="20">
        <v>63460</v>
      </c>
      <c r="H70" s="20">
        <v>0</v>
      </c>
      <c r="I70" s="20">
        <v>386095384</v>
      </c>
      <c r="J70" s="20">
        <v>0</v>
      </c>
      <c r="K70" s="20">
        <v>0</v>
      </c>
      <c r="L70" s="20">
        <v>0</v>
      </c>
      <c r="M70" s="20">
        <v>0</v>
      </c>
      <c r="N70" t="s">
        <v>10</v>
      </c>
      <c r="O70" t="s">
        <v>110</v>
      </c>
      <c r="P70" t="s">
        <v>85</v>
      </c>
    </row>
    <row r="71" spans="1:16">
      <c r="A71" t="s">
        <v>645</v>
      </c>
      <c r="B71" t="s">
        <v>85</v>
      </c>
      <c r="C71" t="s">
        <v>647</v>
      </c>
      <c r="D71" t="s">
        <v>308</v>
      </c>
      <c r="E71" t="s">
        <v>81</v>
      </c>
      <c r="F71" s="20">
        <v>0</v>
      </c>
      <c r="G71" s="20">
        <v>0</v>
      </c>
      <c r="H71" s="20">
        <v>0</v>
      </c>
      <c r="I71" s="20">
        <v>0</v>
      </c>
      <c r="J71" s="20">
        <v>1759964.120000001</v>
      </c>
      <c r="K71" s="20">
        <v>0</v>
      </c>
      <c r="L71" s="20">
        <v>0</v>
      </c>
      <c r="M71" s="20">
        <v>1759964.120000001</v>
      </c>
      <c r="N71" t="s">
        <v>10</v>
      </c>
      <c r="O71" t="s">
        <v>110</v>
      </c>
      <c r="P71" t="s">
        <v>85</v>
      </c>
    </row>
    <row r="72" spans="1:16">
      <c r="A72" t="s">
        <v>645</v>
      </c>
      <c r="B72" t="s">
        <v>85</v>
      </c>
      <c r="C72" t="s">
        <v>646</v>
      </c>
      <c r="D72" t="s">
        <v>308</v>
      </c>
      <c r="E72" t="s">
        <v>80</v>
      </c>
      <c r="F72" s="20">
        <v>716322267</v>
      </c>
      <c r="G72" s="20">
        <v>0</v>
      </c>
      <c r="H72" s="20">
        <v>0</v>
      </c>
      <c r="I72" s="20">
        <v>716322267</v>
      </c>
      <c r="J72" s="20">
        <v>0</v>
      </c>
      <c r="K72" s="20">
        <v>0</v>
      </c>
      <c r="L72" s="20">
        <v>0</v>
      </c>
      <c r="M72" s="20">
        <v>0</v>
      </c>
      <c r="N72" t="s">
        <v>10</v>
      </c>
      <c r="O72" t="s">
        <v>110</v>
      </c>
      <c r="P72" t="s">
        <v>85</v>
      </c>
    </row>
    <row r="73" spans="1:16">
      <c r="A73" t="s">
        <v>641</v>
      </c>
      <c r="B73" t="s">
        <v>85</v>
      </c>
      <c r="C73" t="s">
        <v>643</v>
      </c>
      <c r="D73" t="s">
        <v>308</v>
      </c>
      <c r="E73" t="s">
        <v>81</v>
      </c>
      <c r="F73" s="20">
        <v>0</v>
      </c>
      <c r="G73" s="20">
        <v>0</v>
      </c>
      <c r="H73" s="20">
        <v>0</v>
      </c>
      <c r="I73" s="20">
        <v>0</v>
      </c>
      <c r="J73" s="20">
        <v>0</v>
      </c>
      <c r="K73" s="20">
        <v>0</v>
      </c>
      <c r="L73" s="20">
        <v>0</v>
      </c>
      <c r="M73" s="20">
        <v>0</v>
      </c>
      <c r="N73" t="s">
        <v>10</v>
      </c>
      <c r="O73" t="s">
        <v>110</v>
      </c>
      <c r="P73" t="s">
        <v>85</v>
      </c>
    </row>
    <row r="74" spans="1:16">
      <c r="A74" t="s">
        <v>641</v>
      </c>
      <c r="B74" t="s">
        <v>85</v>
      </c>
      <c r="C74" t="s">
        <v>642</v>
      </c>
      <c r="D74" t="s">
        <v>308</v>
      </c>
      <c r="E74" t="s">
        <v>80</v>
      </c>
      <c r="F74" s="20">
        <v>874741614</v>
      </c>
      <c r="G74" s="20">
        <v>0</v>
      </c>
      <c r="H74" s="20">
        <v>0</v>
      </c>
      <c r="I74" s="20">
        <v>874741614</v>
      </c>
      <c r="J74" s="20">
        <v>0</v>
      </c>
      <c r="K74" s="20">
        <v>0</v>
      </c>
      <c r="L74" s="20">
        <v>0</v>
      </c>
      <c r="M74" s="20">
        <v>0</v>
      </c>
      <c r="N74" t="s">
        <v>10</v>
      </c>
      <c r="O74" t="s">
        <v>110</v>
      </c>
      <c r="P74" t="s">
        <v>85</v>
      </c>
    </row>
    <row r="75" spans="1:16">
      <c r="A75" t="s">
        <v>638</v>
      </c>
      <c r="B75" t="s">
        <v>85</v>
      </c>
      <c r="C75" t="s">
        <v>640</v>
      </c>
      <c r="D75" t="s">
        <v>308</v>
      </c>
      <c r="E75" t="s">
        <v>81</v>
      </c>
      <c r="F75" s="20">
        <v>0</v>
      </c>
      <c r="G75" s="20">
        <v>0</v>
      </c>
      <c r="H75" s="20">
        <v>0</v>
      </c>
      <c r="I75" s="20">
        <v>0</v>
      </c>
      <c r="J75" s="20">
        <v>0</v>
      </c>
      <c r="K75" s="20">
        <v>0</v>
      </c>
      <c r="L75" s="20">
        <v>0</v>
      </c>
      <c r="M75" s="20">
        <v>0</v>
      </c>
      <c r="N75" t="s">
        <v>10</v>
      </c>
      <c r="O75" t="s">
        <v>110</v>
      </c>
      <c r="P75" t="s">
        <v>85</v>
      </c>
    </row>
    <row r="76" spans="1:16">
      <c r="A76" t="s">
        <v>638</v>
      </c>
      <c r="B76" t="s">
        <v>85</v>
      </c>
      <c r="C76" t="s">
        <v>639</v>
      </c>
      <c r="D76" t="s">
        <v>308</v>
      </c>
      <c r="E76" t="s">
        <v>80</v>
      </c>
      <c r="F76" s="20">
        <v>889195127</v>
      </c>
      <c r="G76" s="20">
        <v>0</v>
      </c>
      <c r="H76" s="20">
        <v>0</v>
      </c>
      <c r="I76" s="20">
        <v>889195127</v>
      </c>
      <c r="J76" s="20">
        <v>0</v>
      </c>
      <c r="K76" s="20">
        <v>0</v>
      </c>
      <c r="L76" s="20">
        <v>0</v>
      </c>
      <c r="M76" s="20">
        <v>0</v>
      </c>
      <c r="N76" t="s">
        <v>10</v>
      </c>
      <c r="O76" t="s">
        <v>110</v>
      </c>
      <c r="P76" t="s">
        <v>85</v>
      </c>
    </row>
    <row r="77" spans="1:16">
      <c r="A77" t="s">
        <v>634</v>
      </c>
      <c r="B77" t="s">
        <v>85</v>
      </c>
      <c r="C77" t="s">
        <v>637</v>
      </c>
      <c r="D77" t="s">
        <v>307</v>
      </c>
      <c r="E77" t="s">
        <v>81</v>
      </c>
      <c r="F77" s="20">
        <v>0</v>
      </c>
      <c r="G77" s="20">
        <v>0</v>
      </c>
      <c r="H77" s="20">
        <v>0</v>
      </c>
      <c r="I77" s="20">
        <v>0</v>
      </c>
      <c r="J77" s="20">
        <v>0</v>
      </c>
      <c r="K77" s="20">
        <v>0</v>
      </c>
      <c r="L77" s="20">
        <v>0</v>
      </c>
      <c r="M77" s="20">
        <v>0</v>
      </c>
      <c r="N77" t="s">
        <v>10</v>
      </c>
      <c r="O77" t="s">
        <v>110</v>
      </c>
      <c r="P77" t="s">
        <v>85</v>
      </c>
    </row>
    <row r="78" spans="1:16">
      <c r="A78" t="s">
        <v>634</v>
      </c>
      <c r="B78" t="s">
        <v>85</v>
      </c>
      <c r="C78" t="s">
        <v>636</v>
      </c>
      <c r="D78" t="s">
        <v>308</v>
      </c>
      <c r="E78" t="s">
        <v>81</v>
      </c>
      <c r="F78" s="20">
        <v>0</v>
      </c>
      <c r="G78" s="20">
        <v>0</v>
      </c>
      <c r="H78" s="20">
        <v>0</v>
      </c>
      <c r="I78" s="20">
        <v>0</v>
      </c>
      <c r="J78" s="20">
        <v>1675188.4700000002</v>
      </c>
      <c r="K78" s="20">
        <v>0</v>
      </c>
      <c r="L78" s="20">
        <v>1.4</v>
      </c>
      <c r="M78" s="20">
        <v>1675187.0700000003</v>
      </c>
      <c r="N78" t="s">
        <v>10</v>
      </c>
      <c r="O78" t="s">
        <v>110</v>
      </c>
      <c r="P78" t="s">
        <v>85</v>
      </c>
    </row>
    <row r="79" spans="1:16">
      <c r="A79" t="s">
        <v>634</v>
      </c>
      <c r="B79" t="s">
        <v>85</v>
      </c>
      <c r="C79" t="s">
        <v>635</v>
      </c>
      <c r="D79" t="s">
        <v>308</v>
      </c>
      <c r="E79" t="s">
        <v>80</v>
      </c>
      <c r="F79" s="20">
        <v>913422584</v>
      </c>
      <c r="G79" s="20">
        <v>150151</v>
      </c>
      <c r="H79" s="20">
        <v>33000</v>
      </c>
      <c r="I79" s="20">
        <v>913539735</v>
      </c>
      <c r="J79" s="20">
        <v>0</v>
      </c>
      <c r="K79" s="20">
        <v>0</v>
      </c>
      <c r="L79" s="20">
        <v>0</v>
      </c>
      <c r="M79" s="20">
        <v>0</v>
      </c>
      <c r="N79" t="s">
        <v>10</v>
      </c>
      <c r="O79" t="s">
        <v>110</v>
      </c>
      <c r="P79" t="s">
        <v>85</v>
      </c>
    </row>
    <row r="80" spans="1:16">
      <c r="A80" t="s">
        <v>630</v>
      </c>
      <c r="B80" t="s">
        <v>85</v>
      </c>
      <c r="C80" t="s">
        <v>633</v>
      </c>
      <c r="D80" t="s">
        <v>307</v>
      </c>
      <c r="E80" t="s">
        <v>81</v>
      </c>
      <c r="F80" s="20">
        <v>0</v>
      </c>
      <c r="G80" s="20">
        <v>0</v>
      </c>
      <c r="H80" s="20">
        <v>0</v>
      </c>
      <c r="I80" s="20">
        <v>0</v>
      </c>
      <c r="J80" s="20">
        <v>0</v>
      </c>
      <c r="K80" s="20">
        <v>0</v>
      </c>
      <c r="L80" s="20">
        <v>0</v>
      </c>
      <c r="M80" s="20">
        <v>0</v>
      </c>
      <c r="N80" t="s">
        <v>10</v>
      </c>
      <c r="O80" t="s">
        <v>110</v>
      </c>
      <c r="P80" t="s">
        <v>85</v>
      </c>
    </row>
    <row r="81" spans="1:16">
      <c r="A81" t="s">
        <v>630</v>
      </c>
      <c r="B81" t="s">
        <v>85</v>
      </c>
      <c r="C81" t="s">
        <v>632</v>
      </c>
      <c r="D81" t="s">
        <v>308</v>
      </c>
      <c r="E81" t="s">
        <v>81</v>
      </c>
      <c r="F81" s="20">
        <v>0</v>
      </c>
      <c r="G81" s="20">
        <v>0</v>
      </c>
      <c r="H81" s="20">
        <v>0</v>
      </c>
      <c r="I81" s="20">
        <v>0</v>
      </c>
      <c r="J81" s="20">
        <v>650191.4700000002</v>
      </c>
      <c r="K81" s="20">
        <v>0</v>
      </c>
      <c r="L81" s="20">
        <v>1.4</v>
      </c>
      <c r="M81" s="20">
        <v>650190.07000000018</v>
      </c>
      <c r="N81" t="s">
        <v>10</v>
      </c>
      <c r="O81" t="s">
        <v>110</v>
      </c>
      <c r="P81" t="s">
        <v>85</v>
      </c>
    </row>
    <row r="82" spans="1:16">
      <c r="A82" t="s">
        <v>630</v>
      </c>
      <c r="B82" t="s">
        <v>85</v>
      </c>
      <c r="C82" t="s">
        <v>3183</v>
      </c>
      <c r="D82" t="s">
        <v>310</v>
      </c>
      <c r="E82" t="s">
        <v>80</v>
      </c>
      <c r="F82" s="20">
        <v>0</v>
      </c>
      <c r="G82" s="20">
        <v>0</v>
      </c>
      <c r="H82" s="20">
        <v>0</v>
      </c>
      <c r="I82" s="20">
        <v>0</v>
      </c>
      <c r="J82" s="20">
        <v>0</v>
      </c>
      <c r="K82" s="20">
        <v>0</v>
      </c>
      <c r="L82" s="20">
        <v>0</v>
      </c>
      <c r="M82" s="20">
        <v>0</v>
      </c>
      <c r="N82" t="s">
        <v>10</v>
      </c>
      <c r="O82" t="s">
        <v>110</v>
      </c>
      <c r="P82" t="s">
        <v>85</v>
      </c>
    </row>
    <row r="83" spans="1:16">
      <c r="A83" t="s">
        <v>630</v>
      </c>
      <c r="B83" t="s">
        <v>85</v>
      </c>
      <c r="C83" t="s">
        <v>631</v>
      </c>
      <c r="D83" t="s">
        <v>308</v>
      </c>
      <c r="E83" t="s">
        <v>80</v>
      </c>
      <c r="F83" s="20">
        <v>579487501</v>
      </c>
      <c r="G83" s="20">
        <v>95257</v>
      </c>
      <c r="H83" s="20">
        <v>33000</v>
      </c>
      <c r="I83" s="20">
        <v>579549758</v>
      </c>
      <c r="J83" s="20">
        <v>0</v>
      </c>
      <c r="K83" s="20">
        <v>0</v>
      </c>
      <c r="L83" s="20">
        <v>0</v>
      </c>
      <c r="M83" s="20">
        <v>0</v>
      </c>
      <c r="N83" t="s">
        <v>10</v>
      </c>
      <c r="O83" t="s">
        <v>110</v>
      </c>
      <c r="P83" t="s">
        <v>85</v>
      </c>
    </row>
    <row r="84" spans="1:16">
      <c r="A84" t="s">
        <v>626</v>
      </c>
      <c r="B84" t="s">
        <v>85</v>
      </c>
      <c r="C84" t="s">
        <v>628</v>
      </c>
      <c r="D84" t="s">
        <v>308</v>
      </c>
      <c r="E84" t="s">
        <v>81</v>
      </c>
      <c r="F84" s="20">
        <v>0</v>
      </c>
      <c r="G84" s="20">
        <v>0</v>
      </c>
      <c r="H84" s="20">
        <v>0</v>
      </c>
      <c r="I84" s="20">
        <v>0</v>
      </c>
      <c r="J84" s="20">
        <v>0</v>
      </c>
      <c r="K84" s="20">
        <v>0</v>
      </c>
      <c r="L84" s="20">
        <v>0</v>
      </c>
      <c r="M84" s="20">
        <v>0</v>
      </c>
      <c r="N84" t="s">
        <v>10</v>
      </c>
      <c r="O84" t="s">
        <v>110</v>
      </c>
      <c r="P84" t="s">
        <v>85</v>
      </c>
    </row>
    <row r="85" spans="1:16">
      <c r="A85" t="s">
        <v>626</v>
      </c>
      <c r="B85" t="s">
        <v>85</v>
      </c>
      <c r="C85" t="s">
        <v>627</v>
      </c>
      <c r="D85" t="s">
        <v>308</v>
      </c>
      <c r="E85" t="s">
        <v>80</v>
      </c>
      <c r="F85" s="20">
        <v>90010190</v>
      </c>
      <c r="G85" s="20">
        <v>14795</v>
      </c>
      <c r="H85" s="20">
        <v>33000</v>
      </c>
      <c r="I85" s="20">
        <v>89991985</v>
      </c>
      <c r="J85" s="20">
        <v>0</v>
      </c>
      <c r="K85" s="20">
        <v>0</v>
      </c>
      <c r="L85" s="20">
        <v>0</v>
      </c>
      <c r="M85" s="20">
        <v>0</v>
      </c>
      <c r="N85" t="s">
        <v>10</v>
      </c>
      <c r="O85" t="s">
        <v>110</v>
      </c>
      <c r="P85" t="s">
        <v>85</v>
      </c>
    </row>
    <row r="86" spans="1:16">
      <c r="A86" t="s">
        <v>624</v>
      </c>
      <c r="B86" t="s">
        <v>85</v>
      </c>
      <c r="C86" t="s">
        <v>625</v>
      </c>
      <c r="D86" t="s">
        <v>308</v>
      </c>
      <c r="E86" t="s">
        <v>80</v>
      </c>
      <c r="F86" s="20">
        <v>106955974</v>
      </c>
      <c r="G86" s="20">
        <v>17581</v>
      </c>
      <c r="H86" s="20">
        <v>33000</v>
      </c>
      <c r="I86" s="20">
        <v>106940555</v>
      </c>
      <c r="J86" s="20">
        <v>0</v>
      </c>
      <c r="K86" s="20">
        <v>0</v>
      </c>
      <c r="L86" s="20">
        <v>0</v>
      </c>
      <c r="M86" s="20">
        <v>0</v>
      </c>
      <c r="N86" t="s">
        <v>10</v>
      </c>
      <c r="O86" t="s">
        <v>110</v>
      </c>
      <c r="P86" t="s">
        <v>85</v>
      </c>
    </row>
    <row r="87" spans="1:16">
      <c r="A87" t="s">
        <v>620</v>
      </c>
      <c r="B87" t="s">
        <v>85</v>
      </c>
      <c r="C87" t="s">
        <v>622</v>
      </c>
      <c r="D87" t="s">
        <v>308</v>
      </c>
      <c r="E87" t="s">
        <v>81</v>
      </c>
      <c r="F87" s="20">
        <v>0</v>
      </c>
      <c r="G87" s="20">
        <v>0</v>
      </c>
      <c r="H87" s="20">
        <v>0</v>
      </c>
      <c r="I87" s="20">
        <v>0</v>
      </c>
      <c r="J87" s="20">
        <v>0</v>
      </c>
      <c r="K87" s="20">
        <v>0</v>
      </c>
      <c r="L87" s="20">
        <v>0</v>
      </c>
      <c r="M87" s="20">
        <v>0</v>
      </c>
      <c r="N87" t="s">
        <v>10</v>
      </c>
      <c r="O87" t="s">
        <v>110</v>
      </c>
      <c r="P87" t="s">
        <v>85</v>
      </c>
    </row>
    <row r="88" spans="1:16">
      <c r="A88" t="s">
        <v>620</v>
      </c>
      <c r="B88" t="s">
        <v>85</v>
      </c>
      <c r="C88" t="s">
        <v>621</v>
      </c>
      <c r="D88" t="s">
        <v>308</v>
      </c>
      <c r="E88" t="s">
        <v>80</v>
      </c>
      <c r="F88" s="20">
        <v>89815902</v>
      </c>
      <c r="G88" s="20">
        <v>14763</v>
      </c>
      <c r="H88" s="20">
        <v>52800</v>
      </c>
      <c r="I88" s="20">
        <v>89777865</v>
      </c>
      <c r="J88" s="20">
        <v>0</v>
      </c>
      <c r="K88" s="20">
        <v>0</v>
      </c>
      <c r="L88" s="20">
        <v>0</v>
      </c>
      <c r="M88" s="20">
        <v>0</v>
      </c>
      <c r="N88" t="s">
        <v>10</v>
      </c>
      <c r="O88" t="s">
        <v>110</v>
      </c>
      <c r="P88" t="s">
        <v>85</v>
      </c>
    </row>
    <row r="89" spans="1:16">
      <c r="A89" t="s">
        <v>609</v>
      </c>
      <c r="B89" t="s">
        <v>85</v>
      </c>
      <c r="C89" t="s">
        <v>610</v>
      </c>
      <c r="D89" t="s">
        <v>308</v>
      </c>
      <c r="E89" t="s">
        <v>80</v>
      </c>
      <c r="F89" s="20">
        <v>560222534</v>
      </c>
      <c r="G89" s="20">
        <v>33815647924</v>
      </c>
      <c r="H89" s="20">
        <v>15713823859</v>
      </c>
      <c r="I89" s="20">
        <v>18662046599</v>
      </c>
      <c r="J89" s="20">
        <v>0</v>
      </c>
      <c r="K89" s="20">
        <v>0</v>
      </c>
      <c r="L89" s="20">
        <v>0</v>
      </c>
      <c r="M89" s="20">
        <v>0</v>
      </c>
      <c r="N89" t="s">
        <v>10</v>
      </c>
      <c r="O89" t="s">
        <v>110</v>
      </c>
      <c r="P89" t="s">
        <v>85</v>
      </c>
    </row>
    <row r="90" spans="1:16">
      <c r="A90" t="s">
        <v>609</v>
      </c>
      <c r="B90" t="s">
        <v>85</v>
      </c>
      <c r="C90" t="s">
        <v>3166</v>
      </c>
      <c r="D90" t="s">
        <v>310</v>
      </c>
      <c r="E90" t="s">
        <v>80</v>
      </c>
      <c r="F90" s="20">
        <v>0</v>
      </c>
      <c r="G90" s="20">
        <v>0</v>
      </c>
      <c r="H90" s="20">
        <v>0</v>
      </c>
      <c r="I90" s="20">
        <v>0</v>
      </c>
      <c r="J90" s="20">
        <v>0</v>
      </c>
      <c r="K90" s="20">
        <v>0</v>
      </c>
      <c r="L90" s="20">
        <v>0</v>
      </c>
      <c r="M90" s="20">
        <v>0</v>
      </c>
      <c r="N90" t="s">
        <v>10</v>
      </c>
      <c r="O90" t="s">
        <v>110</v>
      </c>
      <c r="P90" t="s">
        <v>85</v>
      </c>
    </row>
    <row r="91" spans="1:16">
      <c r="A91" t="s">
        <v>609</v>
      </c>
      <c r="B91" t="s">
        <v>85</v>
      </c>
      <c r="C91" t="s">
        <v>3165</v>
      </c>
      <c r="D91" t="s">
        <v>310</v>
      </c>
      <c r="E91" t="s">
        <v>80</v>
      </c>
      <c r="F91" s="20">
        <v>5000000000</v>
      </c>
      <c r="G91" s="20">
        <v>0</v>
      </c>
      <c r="H91" s="20">
        <v>5000000000</v>
      </c>
      <c r="I91" s="20">
        <v>0</v>
      </c>
      <c r="J91" s="20">
        <v>0</v>
      </c>
      <c r="K91" s="20">
        <v>0</v>
      </c>
      <c r="L91" s="20">
        <v>0</v>
      </c>
      <c r="M91" s="20">
        <v>0</v>
      </c>
      <c r="N91" t="s">
        <v>10</v>
      </c>
      <c r="O91" t="s">
        <v>110</v>
      </c>
      <c r="P91" t="s">
        <v>85</v>
      </c>
    </row>
    <row r="92" spans="1:16">
      <c r="A92" t="s">
        <v>609</v>
      </c>
      <c r="B92" t="s">
        <v>85</v>
      </c>
      <c r="C92" t="s">
        <v>3164</v>
      </c>
      <c r="D92" t="s">
        <v>310</v>
      </c>
      <c r="E92" t="s">
        <v>80</v>
      </c>
      <c r="F92" s="20">
        <v>0</v>
      </c>
      <c r="G92" s="20">
        <v>0</v>
      </c>
      <c r="H92" s="20">
        <v>0</v>
      </c>
      <c r="I92" s="20">
        <v>0</v>
      </c>
      <c r="J92" s="20">
        <v>0</v>
      </c>
      <c r="K92" s="20">
        <v>0</v>
      </c>
      <c r="L92" s="20">
        <v>0</v>
      </c>
      <c r="M92" s="20">
        <v>0</v>
      </c>
      <c r="N92" t="s">
        <v>10</v>
      </c>
      <c r="O92" t="s">
        <v>110</v>
      </c>
      <c r="P92" t="s">
        <v>85</v>
      </c>
    </row>
    <row r="93" spans="1:16">
      <c r="A93" t="s">
        <v>609</v>
      </c>
      <c r="B93" t="s">
        <v>85</v>
      </c>
      <c r="C93" t="s">
        <v>3163</v>
      </c>
      <c r="D93" t="s">
        <v>310</v>
      </c>
      <c r="E93" t="s">
        <v>80</v>
      </c>
      <c r="F93" s="20">
        <v>15000000000</v>
      </c>
      <c r="G93" s="20">
        <v>0</v>
      </c>
      <c r="H93" s="20">
        <v>15000000000</v>
      </c>
      <c r="I93" s="20">
        <v>0</v>
      </c>
      <c r="J93" s="20">
        <v>0</v>
      </c>
      <c r="K93" s="20">
        <v>0</v>
      </c>
      <c r="L93" s="20">
        <v>0</v>
      </c>
      <c r="M93" s="20">
        <v>0</v>
      </c>
      <c r="N93" t="s">
        <v>10</v>
      </c>
      <c r="O93" t="s">
        <v>110</v>
      </c>
      <c r="P93" t="s">
        <v>85</v>
      </c>
    </row>
    <row r="94" spans="1:16">
      <c r="A94" t="s">
        <v>609</v>
      </c>
      <c r="B94" t="s">
        <v>85</v>
      </c>
      <c r="C94" t="s">
        <v>3162</v>
      </c>
      <c r="D94" t="s">
        <v>310</v>
      </c>
      <c r="E94" t="s">
        <v>80</v>
      </c>
      <c r="F94" s="20">
        <v>0</v>
      </c>
      <c r="G94" s="20">
        <v>0</v>
      </c>
      <c r="H94" s="20">
        <v>0</v>
      </c>
      <c r="I94" s="20">
        <v>0</v>
      </c>
      <c r="J94" s="20">
        <v>0</v>
      </c>
      <c r="K94" s="20">
        <v>0</v>
      </c>
      <c r="L94" s="20">
        <v>0</v>
      </c>
      <c r="M94" s="20">
        <v>0</v>
      </c>
      <c r="N94" t="s">
        <v>10</v>
      </c>
      <c r="O94" t="s">
        <v>110</v>
      </c>
      <c r="P94" t="s">
        <v>85</v>
      </c>
    </row>
    <row r="95" spans="1:16">
      <c r="A95" t="s">
        <v>609</v>
      </c>
      <c r="B95" t="s">
        <v>85</v>
      </c>
      <c r="C95" t="s">
        <v>3161</v>
      </c>
      <c r="D95" t="s">
        <v>310</v>
      </c>
      <c r="E95" t="s">
        <v>80</v>
      </c>
      <c r="F95" s="20">
        <v>0</v>
      </c>
      <c r="G95" s="20">
        <v>0</v>
      </c>
      <c r="H95" s="20">
        <v>0</v>
      </c>
      <c r="I95" s="20">
        <v>0</v>
      </c>
      <c r="J95" s="20">
        <v>0</v>
      </c>
      <c r="K95" s="20">
        <v>0</v>
      </c>
      <c r="L95" s="20">
        <v>0</v>
      </c>
      <c r="M95" s="20">
        <v>0</v>
      </c>
      <c r="N95" t="s">
        <v>10</v>
      </c>
      <c r="O95" t="s">
        <v>110</v>
      </c>
      <c r="P95" t="s">
        <v>85</v>
      </c>
    </row>
    <row r="96" spans="1:16">
      <c r="A96" t="s">
        <v>499</v>
      </c>
      <c r="B96" t="s">
        <v>85</v>
      </c>
      <c r="C96" t="s">
        <v>500</v>
      </c>
      <c r="D96" t="s">
        <v>308</v>
      </c>
      <c r="E96" t="s">
        <v>80</v>
      </c>
      <c r="F96" s="20">
        <v>11491002955</v>
      </c>
      <c r="G96" s="20">
        <v>14891405472</v>
      </c>
      <c r="H96" s="20">
        <v>17520809608</v>
      </c>
      <c r="I96" s="20">
        <v>8861598819</v>
      </c>
      <c r="J96" s="20">
        <v>0</v>
      </c>
      <c r="K96" s="20">
        <v>0</v>
      </c>
      <c r="L96" s="20">
        <v>0</v>
      </c>
      <c r="M96" s="20">
        <v>0</v>
      </c>
      <c r="N96" t="s">
        <v>10</v>
      </c>
      <c r="O96" t="s">
        <v>110</v>
      </c>
      <c r="P96" t="s">
        <v>85</v>
      </c>
    </row>
    <row r="97" spans="1:16">
      <c r="A97" t="s">
        <v>499</v>
      </c>
      <c r="B97" t="s">
        <v>85</v>
      </c>
      <c r="C97" t="s">
        <v>501</v>
      </c>
      <c r="D97" t="s">
        <v>308</v>
      </c>
      <c r="E97" t="s">
        <v>81</v>
      </c>
      <c r="F97" s="20">
        <v>0</v>
      </c>
      <c r="G97" s="20">
        <v>0</v>
      </c>
      <c r="H97" s="20">
        <v>0</v>
      </c>
      <c r="I97" s="20">
        <v>0</v>
      </c>
      <c r="J97" s="20">
        <v>109701.02999999998</v>
      </c>
      <c r="K97" s="20">
        <v>61314</v>
      </c>
      <c r="L97" s="20">
        <v>8767.39</v>
      </c>
      <c r="M97" s="20">
        <v>162247.63999999996</v>
      </c>
      <c r="N97" t="s">
        <v>10</v>
      </c>
      <c r="O97" t="s">
        <v>110</v>
      </c>
      <c r="P97" t="s">
        <v>85</v>
      </c>
    </row>
    <row r="98" spans="1:16">
      <c r="A98" t="s">
        <v>499</v>
      </c>
      <c r="B98" t="s">
        <v>85</v>
      </c>
      <c r="C98" t="s">
        <v>2953</v>
      </c>
      <c r="D98" t="s">
        <v>310</v>
      </c>
      <c r="E98" t="s">
        <v>80</v>
      </c>
      <c r="F98" s="20">
        <v>0</v>
      </c>
      <c r="G98" s="20">
        <v>0</v>
      </c>
      <c r="H98" s="20">
        <v>0</v>
      </c>
      <c r="I98" s="20">
        <v>0</v>
      </c>
      <c r="J98" s="20">
        <v>0</v>
      </c>
      <c r="K98" s="20">
        <v>0</v>
      </c>
      <c r="L98" s="20">
        <v>0</v>
      </c>
      <c r="M98" s="20">
        <v>0</v>
      </c>
      <c r="N98" t="s">
        <v>10</v>
      </c>
      <c r="O98" t="s">
        <v>110</v>
      </c>
      <c r="P98" t="s">
        <v>85</v>
      </c>
    </row>
    <row r="99" spans="1:16">
      <c r="A99" t="s">
        <v>499</v>
      </c>
      <c r="B99" t="s">
        <v>85</v>
      </c>
      <c r="C99" t="s">
        <v>2954</v>
      </c>
      <c r="D99" t="s">
        <v>310</v>
      </c>
      <c r="E99" t="s">
        <v>80</v>
      </c>
      <c r="F99" s="20">
        <v>6000000000</v>
      </c>
      <c r="G99" s="20">
        <v>0</v>
      </c>
      <c r="H99" s="20">
        <v>0</v>
      </c>
      <c r="I99" s="20">
        <v>6000000000</v>
      </c>
      <c r="J99" s="20">
        <v>0</v>
      </c>
      <c r="K99" s="20">
        <v>0</v>
      </c>
      <c r="L99" s="20">
        <v>0</v>
      </c>
      <c r="M99" s="20">
        <v>0</v>
      </c>
      <c r="N99" t="s">
        <v>10</v>
      </c>
      <c r="O99" t="s">
        <v>110</v>
      </c>
      <c r="P99" t="s">
        <v>85</v>
      </c>
    </row>
    <row r="100" spans="1:16">
      <c r="A100" t="s">
        <v>499</v>
      </c>
      <c r="B100" t="s">
        <v>85</v>
      </c>
      <c r="C100" t="s">
        <v>502</v>
      </c>
      <c r="D100" t="s">
        <v>310</v>
      </c>
      <c r="E100" t="s">
        <v>80</v>
      </c>
      <c r="F100" s="20">
        <v>16000000000</v>
      </c>
      <c r="G100" s="20">
        <v>0</v>
      </c>
      <c r="H100" s="20">
        <v>0</v>
      </c>
      <c r="I100" s="20">
        <v>16000000000</v>
      </c>
      <c r="J100" s="20">
        <v>0</v>
      </c>
      <c r="K100" s="20">
        <v>0</v>
      </c>
      <c r="L100" s="20">
        <v>0</v>
      </c>
      <c r="M100" s="20">
        <v>0</v>
      </c>
      <c r="N100" t="s">
        <v>10</v>
      </c>
      <c r="O100" t="s">
        <v>110</v>
      </c>
      <c r="P100" t="s">
        <v>85</v>
      </c>
    </row>
    <row r="101" spans="1:16">
      <c r="A101" t="s">
        <v>499</v>
      </c>
      <c r="B101" t="s">
        <v>85</v>
      </c>
      <c r="C101" t="s">
        <v>2955</v>
      </c>
      <c r="D101" t="s">
        <v>310</v>
      </c>
      <c r="E101" t="s">
        <v>80</v>
      </c>
      <c r="F101" s="20">
        <v>0</v>
      </c>
      <c r="G101" s="20">
        <v>0</v>
      </c>
      <c r="H101" s="20">
        <v>0</v>
      </c>
      <c r="I101" s="20">
        <v>0</v>
      </c>
      <c r="J101" s="20">
        <v>0</v>
      </c>
      <c r="K101" s="20">
        <v>0</v>
      </c>
      <c r="L101" s="20">
        <v>0</v>
      </c>
      <c r="M101" s="20">
        <v>0</v>
      </c>
      <c r="N101" t="s">
        <v>10</v>
      </c>
      <c r="O101" t="s">
        <v>110</v>
      </c>
      <c r="P101" t="s">
        <v>85</v>
      </c>
    </row>
    <row r="102" spans="1:16">
      <c r="A102" t="s">
        <v>499</v>
      </c>
      <c r="B102" t="s">
        <v>85</v>
      </c>
      <c r="C102" t="s">
        <v>2956</v>
      </c>
      <c r="D102" t="s">
        <v>310</v>
      </c>
      <c r="E102" t="s">
        <v>80</v>
      </c>
      <c r="F102" s="20">
        <v>0</v>
      </c>
      <c r="G102" s="20">
        <v>0</v>
      </c>
      <c r="H102" s="20">
        <v>0</v>
      </c>
      <c r="I102" s="20">
        <v>0</v>
      </c>
      <c r="J102" s="20">
        <v>0</v>
      </c>
      <c r="K102" s="20">
        <v>0</v>
      </c>
      <c r="L102" s="20">
        <v>0</v>
      </c>
      <c r="M102" s="20">
        <v>0</v>
      </c>
      <c r="N102" t="s">
        <v>10</v>
      </c>
      <c r="O102" t="s">
        <v>110</v>
      </c>
      <c r="P102" t="s">
        <v>85</v>
      </c>
    </row>
    <row r="103" spans="1:16">
      <c r="A103" t="s">
        <v>499</v>
      </c>
      <c r="B103" t="s">
        <v>85</v>
      </c>
      <c r="C103" t="s">
        <v>2957</v>
      </c>
      <c r="D103" t="s">
        <v>310</v>
      </c>
      <c r="E103" t="s">
        <v>80</v>
      </c>
      <c r="F103" s="20">
        <v>0</v>
      </c>
      <c r="G103" s="20">
        <v>0</v>
      </c>
      <c r="H103" s="20">
        <v>0</v>
      </c>
      <c r="I103" s="20">
        <v>0</v>
      </c>
      <c r="J103" s="20">
        <v>0</v>
      </c>
      <c r="K103" s="20">
        <v>0</v>
      </c>
      <c r="L103" s="20">
        <v>0</v>
      </c>
      <c r="M103" s="20">
        <v>0</v>
      </c>
      <c r="N103" t="s">
        <v>10</v>
      </c>
      <c r="O103" t="s">
        <v>110</v>
      </c>
      <c r="P103" t="s">
        <v>85</v>
      </c>
    </row>
    <row r="104" spans="1:16">
      <c r="A104" t="s">
        <v>503</v>
      </c>
      <c r="B104" t="s">
        <v>85</v>
      </c>
      <c r="C104" t="s">
        <v>2958</v>
      </c>
      <c r="D104" t="s">
        <v>310</v>
      </c>
      <c r="E104" t="s">
        <v>80</v>
      </c>
      <c r="F104" s="20">
        <v>0</v>
      </c>
      <c r="G104" s="20">
        <v>0</v>
      </c>
      <c r="H104" s="20">
        <v>0</v>
      </c>
      <c r="I104" s="20">
        <v>0</v>
      </c>
      <c r="J104" s="20">
        <v>0</v>
      </c>
      <c r="K104" s="20">
        <v>0</v>
      </c>
      <c r="L104" s="20">
        <v>0</v>
      </c>
      <c r="M104" s="20">
        <v>0</v>
      </c>
      <c r="N104" t="s">
        <v>10</v>
      </c>
      <c r="O104" t="s">
        <v>110</v>
      </c>
      <c r="P104" t="s">
        <v>85</v>
      </c>
    </row>
    <row r="105" spans="1:16">
      <c r="A105" t="s">
        <v>503</v>
      </c>
      <c r="B105" t="s">
        <v>85</v>
      </c>
      <c r="C105" t="s">
        <v>504</v>
      </c>
      <c r="D105" t="s">
        <v>308</v>
      </c>
      <c r="E105" t="s">
        <v>80</v>
      </c>
      <c r="F105" s="20">
        <v>13939958845.363632</v>
      </c>
      <c r="G105" s="20">
        <v>4713298722</v>
      </c>
      <c r="H105" s="20">
        <v>411359536</v>
      </c>
      <c r="I105" s="20">
        <v>18241898031.363632</v>
      </c>
      <c r="J105" s="20">
        <v>0</v>
      </c>
      <c r="K105" s="20">
        <v>0</v>
      </c>
      <c r="L105" s="20">
        <v>0</v>
      </c>
      <c r="M105" s="20">
        <v>0</v>
      </c>
      <c r="N105" t="s">
        <v>10</v>
      </c>
      <c r="O105" t="s">
        <v>110</v>
      </c>
      <c r="P105" t="s">
        <v>85</v>
      </c>
    </row>
    <row r="106" spans="1:16">
      <c r="A106" t="s">
        <v>503</v>
      </c>
      <c r="B106" t="s">
        <v>85</v>
      </c>
      <c r="C106" t="s">
        <v>505</v>
      </c>
      <c r="D106" t="s">
        <v>308</v>
      </c>
      <c r="E106" t="s">
        <v>81</v>
      </c>
      <c r="F106" s="20">
        <v>0</v>
      </c>
      <c r="G106" s="20">
        <v>0</v>
      </c>
      <c r="H106" s="20">
        <v>0</v>
      </c>
      <c r="I106" s="20">
        <v>0</v>
      </c>
      <c r="J106" s="20">
        <v>138166</v>
      </c>
      <c r="K106" s="20">
        <v>7880</v>
      </c>
      <c r="L106" s="20">
        <v>0</v>
      </c>
      <c r="M106" s="20">
        <v>146046</v>
      </c>
      <c r="N106" t="s">
        <v>10</v>
      </c>
      <c r="O106" t="s">
        <v>110</v>
      </c>
      <c r="P106" t="s">
        <v>85</v>
      </c>
    </row>
    <row r="107" spans="1:16">
      <c r="A107" t="s">
        <v>506</v>
      </c>
      <c r="B107" t="s">
        <v>85</v>
      </c>
      <c r="C107" t="s">
        <v>2959</v>
      </c>
      <c r="D107" t="s">
        <v>310</v>
      </c>
      <c r="E107" t="s">
        <v>80</v>
      </c>
      <c r="F107" s="20">
        <v>0</v>
      </c>
      <c r="G107" s="20">
        <v>0</v>
      </c>
      <c r="H107" s="20">
        <v>0</v>
      </c>
      <c r="I107" s="20">
        <v>0</v>
      </c>
      <c r="J107" s="20">
        <v>0</v>
      </c>
      <c r="K107" s="20">
        <v>0</v>
      </c>
      <c r="L107" s="20">
        <v>0</v>
      </c>
      <c r="M107" s="20">
        <v>0</v>
      </c>
      <c r="N107" t="s">
        <v>10</v>
      </c>
      <c r="O107" t="s">
        <v>110</v>
      </c>
      <c r="P107" t="s">
        <v>85</v>
      </c>
    </row>
    <row r="108" spans="1:16">
      <c r="A108" t="s">
        <v>506</v>
      </c>
      <c r="B108" t="s">
        <v>85</v>
      </c>
      <c r="C108" t="s">
        <v>2960</v>
      </c>
      <c r="D108" t="s">
        <v>310</v>
      </c>
      <c r="E108" t="s">
        <v>80</v>
      </c>
      <c r="F108" s="20">
        <v>0</v>
      </c>
      <c r="G108" s="20">
        <v>0</v>
      </c>
      <c r="H108" s="20">
        <v>0</v>
      </c>
      <c r="I108" s="20">
        <v>0</v>
      </c>
      <c r="J108" s="20">
        <v>0</v>
      </c>
      <c r="K108" s="20">
        <v>0</v>
      </c>
      <c r="L108" s="20">
        <v>0</v>
      </c>
      <c r="M108" s="20">
        <v>0</v>
      </c>
      <c r="N108" t="s">
        <v>10</v>
      </c>
      <c r="O108" t="s">
        <v>110</v>
      </c>
      <c r="P108" t="s">
        <v>85</v>
      </c>
    </row>
    <row r="109" spans="1:16">
      <c r="A109" t="s">
        <v>506</v>
      </c>
      <c r="B109" t="s">
        <v>85</v>
      </c>
      <c r="C109" t="s">
        <v>2961</v>
      </c>
      <c r="D109" t="s">
        <v>310</v>
      </c>
      <c r="E109" t="s">
        <v>80</v>
      </c>
      <c r="F109" s="20">
        <v>0</v>
      </c>
      <c r="G109" s="20">
        <v>0</v>
      </c>
      <c r="H109" s="20">
        <v>0</v>
      </c>
      <c r="I109" s="20">
        <v>0</v>
      </c>
      <c r="J109" s="20">
        <v>0</v>
      </c>
      <c r="K109" s="20">
        <v>0</v>
      </c>
      <c r="L109" s="20">
        <v>0</v>
      </c>
      <c r="M109" s="20">
        <v>0</v>
      </c>
      <c r="N109" t="s">
        <v>10</v>
      </c>
      <c r="O109" t="s">
        <v>110</v>
      </c>
      <c r="P109" t="s">
        <v>85</v>
      </c>
    </row>
    <row r="110" spans="1:16">
      <c r="A110" t="s">
        <v>506</v>
      </c>
      <c r="B110" t="s">
        <v>85</v>
      </c>
      <c r="C110" t="s">
        <v>2962</v>
      </c>
      <c r="D110" t="s">
        <v>310</v>
      </c>
      <c r="E110" t="s">
        <v>80</v>
      </c>
      <c r="F110" s="20">
        <v>0</v>
      </c>
      <c r="G110" s="20">
        <v>0</v>
      </c>
      <c r="H110" s="20">
        <v>0</v>
      </c>
      <c r="I110" s="20">
        <v>0</v>
      </c>
      <c r="J110" s="20">
        <v>0</v>
      </c>
      <c r="K110" s="20">
        <v>0</v>
      </c>
      <c r="L110" s="20">
        <v>0</v>
      </c>
      <c r="M110" s="20">
        <v>0</v>
      </c>
      <c r="N110" t="s">
        <v>10</v>
      </c>
      <c r="O110" t="s">
        <v>110</v>
      </c>
      <c r="P110" t="s">
        <v>85</v>
      </c>
    </row>
    <row r="111" spans="1:16">
      <c r="A111" t="s">
        <v>506</v>
      </c>
      <c r="B111" t="s">
        <v>85</v>
      </c>
      <c r="C111" t="s">
        <v>2963</v>
      </c>
      <c r="D111" t="s">
        <v>310</v>
      </c>
      <c r="E111" t="s">
        <v>80</v>
      </c>
      <c r="F111" s="20">
        <v>0</v>
      </c>
      <c r="G111" s="20">
        <v>0</v>
      </c>
      <c r="H111" s="20">
        <v>0</v>
      </c>
      <c r="I111" s="20">
        <v>0</v>
      </c>
      <c r="J111" s="20">
        <v>0</v>
      </c>
      <c r="K111" s="20">
        <v>0</v>
      </c>
      <c r="L111" s="20">
        <v>0</v>
      </c>
      <c r="M111" s="20">
        <v>0</v>
      </c>
      <c r="N111" t="s">
        <v>10</v>
      </c>
      <c r="O111" t="s">
        <v>110</v>
      </c>
      <c r="P111" t="s">
        <v>85</v>
      </c>
    </row>
    <row r="112" spans="1:16">
      <c r="A112" t="s">
        <v>506</v>
      </c>
      <c r="B112" t="s">
        <v>85</v>
      </c>
      <c r="C112" t="s">
        <v>507</v>
      </c>
      <c r="D112" t="s">
        <v>308</v>
      </c>
      <c r="E112" t="s">
        <v>80</v>
      </c>
      <c r="F112" s="20">
        <v>6662001643</v>
      </c>
      <c r="G112" s="20">
        <v>11237857613</v>
      </c>
      <c r="H112" s="20">
        <v>13787317407</v>
      </c>
      <c r="I112" s="20">
        <v>4112541849</v>
      </c>
      <c r="J112" s="20">
        <v>0</v>
      </c>
      <c r="K112" s="20">
        <v>0</v>
      </c>
      <c r="L112" s="20">
        <v>0</v>
      </c>
      <c r="M112" s="20">
        <v>0</v>
      </c>
      <c r="N112" t="s">
        <v>10</v>
      </c>
      <c r="O112" t="s">
        <v>110</v>
      </c>
      <c r="P112" t="s">
        <v>85</v>
      </c>
    </row>
    <row r="113" spans="1:16">
      <c r="A113" t="s">
        <v>506</v>
      </c>
      <c r="B113" t="s">
        <v>85</v>
      </c>
      <c r="C113" t="s">
        <v>509</v>
      </c>
      <c r="D113" t="s">
        <v>308</v>
      </c>
      <c r="E113" t="s">
        <v>81</v>
      </c>
      <c r="F113" s="20">
        <v>0</v>
      </c>
      <c r="G113" s="20">
        <v>0</v>
      </c>
      <c r="H113" s="20">
        <v>0</v>
      </c>
      <c r="I113" s="20">
        <v>0</v>
      </c>
      <c r="J113" s="20">
        <v>238469.77000000002</v>
      </c>
      <c r="K113" s="20">
        <v>12590</v>
      </c>
      <c r="L113" s="20">
        <v>0</v>
      </c>
      <c r="M113" s="20">
        <v>251059.77000000002</v>
      </c>
      <c r="N113" t="s">
        <v>10</v>
      </c>
      <c r="O113" t="s">
        <v>110</v>
      </c>
      <c r="P113" t="s">
        <v>85</v>
      </c>
    </row>
    <row r="114" spans="1:16">
      <c r="A114" t="s">
        <v>510</v>
      </c>
      <c r="B114" t="s">
        <v>85</v>
      </c>
      <c r="C114" t="s">
        <v>2965</v>
      </c>
      <c r="D114" t="s">
        <v>310</v>
      </c>
      <c r="E114" t="s">
        <v>80</v>
      </c>
      <c r="F114" s="20">
        <v>0</v>
      </c>
      <c r="G114" s="20">
        <v>0</v>
      </c>
      <c r="H114" s="20">
        <v>0</v>
      </c>
      <c r="I114" s="20">
        <v>0</v>
      </c>
      <c r="J114" s="20">
        <v>0</v>
      </c>
      <c r="K114" s="20">
        <v>0</v>
      </c>
      <c r="L114" s="20">
        <v>0</v>
      </c>
      <c r="M114" s="20">
        <v>0</v>
      </c>
      <c r="N114" t="s">
        <v>10</v>
      </c>
      <c r="O114" t="s">
        <v>110</v>
      </c>
      <c r="P114" t="s">
        <v>85</v>
      </c>
    </row>
    <row r="115" spans="1:16">
      <c r="A115" t="s">
        <v>510</v>
      </c>
      <c r="B115" t="s">
        <v>85</v>
      </c>
      <c r="C115" t="s">
        <v>2966</v>
      </c>
      <c r="D115" t="s">
        <v>310</v>
      </c>
      <c r="E115" t="s">
        <v>80</v>
      </c>
      <c r="F115" s="20">
        <v>4800000000</v>
      </c>
      <c r="G115" s="20">
        <v>0</v>
      </c>
      <c r="H115" s="20">
        <v>0</v>
      </c>
      <c r="I115" s="20">
        <v>4800000000</v>
      </c>
      <c r="J115" s="20">
        <v>0</v>
      </c>
      <c r="K115" s="20">
        <v>0</v>
      </c>
      <c r="L115" s="20">
        <v>0</v>
      </c>
      <c r="M115" s="20">
        <v>0</v>
      </c>
      <c r="N115" t="s">
        <v>10</v>
      </c>
      <c r="O115" t="s">
        <v>110</v>
      </c>
      <c r="P115" t="s">
        <v>85</v>
      </c>
    </row>
    <row r="116" spans="1:16">
      <c r="A116" t="s">
        <v>510</v>
      </c>
      <c r="B116" t="s">
        <v>85</v>
      </c>
      <c r="C116" t="s">
        <v>2967</v>
      </c>
      <c r="D116" t="s">
        <v>310</v>
      </c>
      <c r="E116" t="s">
        <v>80</v>
      </c>
      <c r="F116" s="20">
        <v>0</v>
      </c>
      <c r="G116" s="20">
        <v>0</v>
      </c>
      <c r="H116" s="20">
        <v>0</v>
      </c>
      <c r="I116" s="20">
        <v>0</v>
      </c>
      <c r="J116" s="20">
        <v>0</v>
      </c>
      <c r="K116" s="20">
        <v>0</v>
      </c>
      <c r="L116" s="20">
        <v>0</v>
      </c>
      <c r="M116" s="20">
        <v>0</v>
      </c>
      <c r="N116" t="s">
        <v>10</v>
      </c>
      <c r="O116" t="s">
        <v>110</v>
      </c>
      <c r="P116" t="s">
        <v>85</v>
      </c>
    </row>
    <row r="117" spans="1:16">
      <c r="A117" t="s">
        <v>510</v>
      </c>
      <c r="B117" t="s">
        <v>85</v>
      </c>
      <c r="C117" t="s">
        <v>511</v>
      </c>
      <c r="D117" t="s">
        <v>308</v>
      </c>
      <c r="E117" t="s">
        <v>80</v>
      </c>
      <c r="F117" s="20">
        <v>11330813450</v>
      </c>
      <c r="G117" s="20">
        <v>4619380421</v>
      </c>
      <c r="H117" s="20">
        <v>6526631022</v>
      </c>
      <c r="I117" s="20">
        <v>9423562849</v>
      </c>
      <c r="J117" s="20">
        <v>0</v>
      </c>
      <c r="K117" s="20">
        <v>0</v>
      </c>
      <c r="L117" s="20">
        <v>0</v>
      </c>
      <c r="M117" s="20">
        <v>0</v>
      </c>
      <c r="N117" t="s">
        <v>10</v>
      </c>
      <c r="O117" t="s">
        <v>110</v>
      </c>
      <c r="P117" t="s">
        <v>85</v>
      </c>
    </row>
    <row r="118" spans="1:16">
      <c r="A118" t="s">
        <v>510</v>
      </c>
      <c r="B118" t="s">
        <v>85</v>
      </c>
      <c r="C118" t="s">
        <v>512</v>
      </c>
      <c r="D118" t="s">
        <v>308</v>
      </c>
      <c r="E118" t="s">
        <v>81</v>
      </c>
      <c r="F118" s="20">
        <v>0</v>
      </c>
      <c r="G118" s="20">
        <v>0</v>
      </c>
      <c r="H118" s="20">
        <v>0</v>
      </c>
      <c r="I118" s="20">
        <v>0</v>
      </c>
      <c r="J118" s="20">
        <v>71010.979999999981</v>
      </c>
      <c r="K118" s="20">
        <v>0</v>
      </c>
      <c r="L118" s="20">
        <v>0</v>
      </c>
      <c r="M118" s="20">
        <v>71010.979999999981</v>
      </c>
      <c r="N118" t="s">
        <v>10</v>
      </c>
      <c r="O118" t="s">
        <v>110</v>
      </c>
      <c r="P118" t="s">
        <v>85</v>
      </c>
    </row>
    <row r="119" spans="1:16">
      <c r="A119" t="s">
        <v>565</v>
      </c>
      <c r="B119" t="s">
        <v>85</v>
      </c>
      <c r="C119" t="s">
        <v>566</v>
      </c>
      <c r="D119" t="s">
        <v>308</v>
      </c>
      <c r="E119" t="s">
        <v>80</v>
      </c>
      <c r="F119" s="20">
        <v>981935057</v>
      </c>
      <c r="G119" s="20">
        <v>161413</v>
      </c>
      <c r="H119" s="20">
        <v>19800</v>
      </c>
      <c r="I119" s="20">
        <v>982076670</v>
      </c>
      <c r="J119" s="20">
        <v>0</v>
      </c>
      <c r="K119" s="20">
        <v>0</v>
      </c>
      <c r="L119" s="20">
        <v>0</v>
      </c>
      <c r="M119" s="20">
        <v>0</v>
      </c>
      <c r="N119" t="s">
        <v>10</v>
      </c>
      <c r="O119" t="s">
        <v>110</v>
      </c>
      <c r="P119" t="s">
        <v>85</v>
      </c>
    </row>
    <row r="120" spans="1:16">
      <c r="A120" t="s">
        <v>516</v>
      </c>
      <c r="B120" t="s">
        <v>85</v>
      </c>
      <c r="C120" t="s">
        <v>2973</v>
      </c>
      <c r="D120" t="s">
        <v>308</v>
      </c>
      <c r="E120" t="s">
        <v>80</v>
      </c>
      <c r="F120" s="20">
        <v>0</v>
      </c>
      <c r="G120" s="20">
        <v>0</v>
      </c>
      <c r="H120" s="20">
        <v>0</v>
      </c>
      <c r="I120" s="20">
        <v>0</v>
      </c>
      <c r="J120" s="20">
        <v>0</v>
      </c>
      <c r="K120" s="20">
        <v>0</v>
      </c>
      <c r="L120" s="20">
        <v>0</v>
      </c>
      <c r="M120" s="20">
        <v>0</v>
      </c>
      <c r="N120" t="s">
        <v>10</v>
      </c>
      <c r="O120" t="s">
        <v>110</v>
      </c>
      <c r="P120" t="s">
        <v>85</v>
      </c>
    </row>
    <row r="121" spans="1:16">
      <c r="A121" t="s">
        <v>516</v>
      </c>
      <c r="B121" t="s">
        <v>85</v>
      </c>
      <c r="C121" t="s">
        <v>2975</v>
      </c>
      <c r="D121" t="s">
        <v>310</v>
      </c>
      <c r="E121" t="s">
        <v>80</v>
      </c>
      <c r="F121" s="20">
        <v>0</v>
      </c>
      <c r="G121" s="20">
        <v>0</v>
      </c>
      <c r="H121" s="20">
        <v>0</v>
      </c>
      <c r="I121" s="20">
        <v>0</v>
      </c>
      <c r="J121" s="20">
        <v>0</v>
      </c>
      <c r="K121" s="20">
        <v>0</v>
      </c>
      <c r="L121" s="20">
        <v>0</v>
      </c>
      <c r="M121" s="20">
        <v>0</v>
      </c>
      <c r="N121" t="s">
        <v>10</v>
      </c>
      <c r="O121" t="s">
        <v>110</v>
      </c>
      <c r="P121" t="s">
        <v>85</v>
      </c>
    </row>
    <row r="122" spans="1:16">
      <c r="A122" t="s">
        <v>563</v>
      </c>
      <c r="B122" t="s">
        <v>85</v>
      </c>
      <c r="C122" t="s">
        <v>564</v>
      </c>
      <c r="D122" t="s">
        <v>308</v>
      </c>
      <c r="E122" t="s">
        <v>80</v>
      </c>
      <c r="F122" s="20">
        <v>817717960</v>
      </c>
      <c r="G122" s="20">
        <v>134418</v>
      </c>
      <c r="H122" s="20">
        <v>19800</v>
      </c>
      <c r="I122" s="20">
        <v>817832578</v>
      </c>
      <c r="J122" s="20">
        <v>0</v>
      </c>
      <c r="K122" s="20">
        <v>0</v>
      </c>
      <c r="L122" s="20">
        <v>0</v>
      </c>
      <c r="M122" s="20">
        <v>0</v>
      </c>
      <c r="N122" t="s">
        <v>10</v>
      </c>
      <c r="O122" t="s">
        <v>110</v>
      </c>
      <c r="P122" t="s">
        <v>85</v>
      </c>
    </row>
    <row r="123" spans="1:16">
      <c r="A123" t="s">
        <v>561</v>
      </c>
      <c r="B123" t="s">
        <v>85</v>
      </c>
      <c r="C123" t="s">
        <v>562</v>
      </c>
      <c r="D123" t="s">
        <v>308</v>
      </c>
      <c r="E123" t="s">
        <v>80</v>
      </c>
      <c r="F123" s="20">
        <v>576270844</v>
      </c>
      <c r="G123" s="20">
        <v>8600692</v>
      </c>
      <c r="H123" s="20">
        <v>19800</v>
      </c>
      <c r="I123" s="20">
        <v>584851736</v>
      </c>
      <c r="J123" s="20">
        <v>0</v>
      </c>
      <c r="K123" s="20">
        <v>0</v>
      </c>
      <c r="L123" s="20">
        <v>0</v>
      </c>
      <c r="M123" s="20">
        <v>0</v>
      </c>
      <c r="N123" t="s">
        <v>10</v>
      </c>
      <c r="O123" t="s">
        <v>110</v>
      </c>
      <c r="P123" t="s">
        <v>85</v>
      </c>
    </row>
    <row r="124" spans="1:16">
      <c r="A124" t="s">
        <v>561</v>
      </c>
      <c r="B124" t="s">
        <v>85</v>
      </c>
      <c r="C124" t="s">
        <v>3083</v>
      </c>
      <c r="D124" t="s">
        <v>310</v>
      </c>
      <c r="E124" t="s">
        <v>80</v>
      </c>
      <c r="F124" s="20">
        <v>0</v>
      </c>
      <c r="G124" s="20">
        <v>0</v>
      </c>
      <c r="H124" s="20">
        <v>0</v>
      </c>
      <c r="I124" s="20">
        <v>0</v>
      </c>
      <c r="J124" s="20">
        <v>0</v>
      </c>
      <c r="K124" s="20">
        <v>0</v>
      </c>
      <c r="L124" s="20">
        <v>0</v>
      </c>
      <c r="M124" s="20">
        <v>0</v>
      </c>
      <c r="N124" t="s">
        <v>10</v>
      </c>
      <c r="O124" t="s">
        <v>110</v>
      </c>
      <c r="P124" t="s">
        <v>85</v>
      </c>
    </row>
    <row r="125" spans="1:16">
      <c r="A125" t="s">
        <v>559</v>
      </c>
      <c r="B125" t="s">
        <v>85</v>
      </c>
      <c r="C125" t="s">
        <v>560</v>
      </c>
      <c r="D125" t="s">
        <v>308</v>
      </c>
      <c r="E125" t="s">
        <v>80</v>
      </c>
      <c r="F125" s="20">
        <v>86574832</v>
      </c>
      <c r="G125" s="20">
        <v>0</v>
      </c>
      <c r="H125" s="20">
        <v>0</v>
      </c>
      <c r="I125" s="20">
        <v>86574832</v>
      </c>
      <c r="J125" s="20">
        <v>0</v>
      </c>
      <c r="K125" s="20">
        <v>0</v>
      </c>
      <c r="L125" s="20">
        <v>0</v>
      </c>
      <c r="M125" s="20">
        <v>0</v>
      </c>
      <c r="N125" t="s">
        <v>10</v>
      </c>
      <c r="O125" t="s">
        <v>110</v>
      </c>
      <c r="P125" t="s">
        <v>85</v>
      </c>
    </row>
    <row r="126" spans="1:16">
      <c r="A126" t="s">
        <v>335</v>
      </c>
      <c r="B126" t="s">
        <v>85</v>
      </c>
      <c r="C126" t="s">
        <v>3067</v>
      </c>
      <c r="D126" t="s">
        <v>308</v>
      </c>
      <c r="E126" t="s">
        <v>80</v>
      </c>
      <c r="F126" s="20">
        <v>0</v>
      </c>
      <c r="G126" s="20">
        <v>0</v>
      </c>
      <c r="H126" s="20">
        <v>0</v>
      </c>
      <c r="I126" s="20">
        <v>0</v>
      </c>
      <c r="J126" s="20">
        <v>0</v>
      </c>
      <c r="K126" s="20">
        <v>0</v>
      </c>
      <c r="L126" s="20">
        <v>0</v>
      </c>
      <c r="M126" s="20">
        <v>0</v>
      </c>
      <c r="N126" t="s">
        <v>10</v>
      </c>
      <c r="O126" t="s">
        <v>110</v>
      </c>
      <c r="P126" t="s">
        <v>85</v>
      </c>
    </row>
    <row r="127" spans="1:16">
      <c r="A127" t="s">
        <v>548</v>
      </c>
      <c r="B127" t="s">
        <v>85</v>
      </c>
      <c r="C127" t="s">
        <v>2914</v>
      </c>
      <c r="D127" t="s">
        <v>308</v>
      </c>
      <c r="E127" t="s">
        <v>81</v>
      </c>
      <c r="F127" s="20">
        <v>0</v>
      </c>
      <c r="G127" s="20">
        <v>0</v>
      </c>
      <c r="H127" s="20">
        <v>0</v>
      </c>
      <c r="I127" s="20">
        <v>0</v>
      </c>
      <c r="J127" s="20">
        <v>0</v>
      </c>
      <c r="K127" s="20">
        <v>0</v>
      </c>
      <c r="L127" s="20">
        <v>0</v>
      </c>
      <c r="M127" s="20">
        <v>0</v>
      </c>
      <c r="N127" t="s">
        <v>10</v>
      </c>
      <c r="O127" t="s">
        <v>110</v>
      </c>
      <c r="P127" t="s">
        <v>85</v>
      </c>
    </row>
    <row r="128" spans="1:16">
      <c r="A128" t="s">
        <v>548</v>
      </c>
      <c r="B128" t="s">
        <v>85</v>
      </c>
      <c r="C128" t="s">
        <v>3059</v>
      </c>
      <c r="D128" t="s">
        <v>308</v>
      </c>
      <c r="E128" t="s">
        <v>80</v>
      </c>
      <c r="F128" s="20">
        <v>0</v>
      </c>
      <c r="G128" s="20">
        <v>0</v>
      </c>
      <c r="H128" s="20">
        <v>0</v>
      </c>
      <c r="I128" s="20">
        <v>0</v>
      </c>
      <c r="J128" s="20">
        <v>0</v>
      </c>
      <c r="K128" s="20">
        <v>0</v>
      </c>
      <c r="L128" s="20">
        <v>0</v>
      </c>
      <c r="M128" s="20">
        <v>0</v>
      </c>
      <c r="N128" t="s">
        <v>10</v>
      </c>
      <c r="O128" t="s">
        <v>110</v>
      </c>
      <c r="P128" t="s">
        <v>85</v>
      </c>
    </row>
    <row r="129" spans="1:16">
      <c r="A129" t="s">
        <v>544</v>
      </c>
      <c r="B129" t="s">
        <v>85</v>
      </c>
      <c r="C129" t="s">
        <v>545</v>
      </c>
      <c r="D129" t="s">
        <v>308</v>
      </c>
      <c r="E129" t="s">
        <v>80</v>
      </c>
      <c r="F129" s="20">
        <v>485761037</v>
      </c>
      <c r="G129" s="20">
        <v>79325</v>
      </c>
      <c r="H129" s="20">
        <v>23999800</v>
      </c>
      <c r="I129" s="20">
        <v>461840562</v>
      </c>
      <c r="J129" s="20">
        <v>0</v>
      </c>
      <c r="K129" s="20">
        <v>0</v>
      </c>
      <c r="L129" s="20">
        <v>0</v>
      </c>
      <c r="M129" s="20">
        <v>0</v>
      </c>
      <c r="N129" t="s">
        <v>10</v>
      </c>
      <c r="O129" t="s">
        <v>110</v>
      </c>
      <c r="P129" t="s">
        <v>85</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8A7D1-9190-4BD5-A36A-87DA6301E487}">
  <sheetPr>
    <tabColor theme="9" tint="0.39997558519241921"/>
  </sheetPr>
  <dimension ref="B1:C7"/>
  <sheetViews>
    <sheetView workbookViewId="0">
      <selection activeCell="S18" sqref="S18"/>
    </sheetView>
  </sheetViews>
  <sheetFormatPr defaultRowHeight="14.4"/>
  <cols>
    <col min="2" max="2" width="12.5546875" bestFit="1" customWidth="1"/>
    <col min="3" max="3" width="13.5546875" bestFit="1" customWidth="1"/>
    <col min="4" max="4" width="11.44140625" bestFit="1" customWidth="1"/>
    <col min="5" max="5" width="13.44140625" bestFit="1" customWidth="1"/>
    <col min="6" max="7" width="8.5546875" bestFit="1" customWidth="1"/>
    <col min="8" max="8" width="10.5546875" bestFit="1" customWidth="1"/>
  </cols>
  <sheetData>
    <row r="1" spans="2:3">
      <c r="B1" s="365" t="s">
        <v>1529</v>
      </c>
      <c r="C1" t="s">
        <v>294</v>
      </c>
    </row>
    <row r="3" spans="2:3">
      <c r="B3" s="365" t="s">
        <v>100</v>
      </c>
      <c r="C3" t="s">
        <v>5341</v>
      </c>
    </row>
    <row r="4" spans="2:3">
      <c r="B4" s="17" t="s">
        <v>8</v>
      </c>
      <c r="C4" s="654">
        <v>1250.9369999999999</v>
      </c>
    </row>
    <row r="5" spans="2:3">
      <c r="B5" s="17" t="s">
        <v>67</v>
      </c>
      <c r="C5" s="654">
        <v>1301.573435304</v>
      </c>
    </row>
    <row r="6" spans="2:3">
      <c r="B6" s="17" t="s">
        <v>10</v>
      </c>
      <c r="C6" s="654">
        <v>1381.6257947539996</v>
      </c>
    </row>
    <row r="7" spans="2:3">
      <c r="B7" s="17" t="s">
        <v>105</v>
      </c>
      <c r="C7" s="654">
        <v>3934.1362300579995</v>
      </c>
    </row>
  </sheetData>
  <pageMargins left="0.7" right="0.7" top="0.75" bottom="0.75" header="0.3" footer="0.3"/>
  <pageSetup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56F3E-DFA9-48FD-AD43-15B3B639FDCC}">
  <sheetPr codeName="Sheet2">
    <pageSetUpPr fitToPage="1"/>
  </sheetPr>
  <dimension ref="A1:CT222"/>
  <sheetViews>
    <sheetView showGridLines="0" topLeftCell="A16" zoomScale="85" zoomScaleNormal="85" zoomScalePageLayoutView="70" workbookViewId="0">
      <selection activeCell="H27" sqref="H27"/>
    </sheetView>
  </sheetViews>
  <sheetFormatPr defaultRowHeight="14.4"/>
  <cols>
    <col min="1" max="1" width="31.44140625" bestFit="1" customWidth="1"/>
    <col min="2" max="3" width="18.44140625" customWidth="1"/>
    <col min="4" max="4" width="32.44140625" bestFit="1" customWidth="1"/>
    <col min="5" max="5" width="24.44140625" customWidth="1"/>
    <col min="6" max="6" width="20" bestFit="1" customWidth="1"/>
    <col min="7" max="7" width="24.5546875" bestFit="1" customWidth="1"/>
    <col min="8" max="8" width="16.5546875" bestFit="1" customWidth="1"/>
    <col min="9" max="9" width="25.44140625" customWidth="1"/>
    <col min="10" max="10" width="18.5546875" bestFit="1" customWidth="1"/>
    <col min="11" max="11" width="15.5546875" customWidth="1"/>
    <col min="12" max="12" width="15.44140625" bestFit="1" customWidth="1"/>
    <col min="14" max="14" width="36.44140625" hidden="1" customWidth="1"/>
    <col min="15" max="15" width="24" hidden="1" customWidth="1"/>
    <col min="16" max="16" width="24.5546875" hidden="1" customWidth="1"/>
    <col min="17" max="17" width="20.44140625" hidden="1" customWidth="1"/>
    <col min="18" max="18" width="12.5546875" hidden="1" customWidth="1"/>
    <col min="19" max="19" width="17.44140625" hidden="1" customWidth="1"/>
    <col min="20" max="20" width="22.5546875" hidden="1" customWidth="1"/>
    <col min="21" max="21" width="21.5546875" hidden="1" customWidth="1"/>
    <col min="22" max="22" width="18.5546875" hidden="1" customWidth="1"/>
    <col min="23" max="23" width="18.44140625" hidden="1" customWidth="1"/>
    <col min="24" max="24" width="0" hidden="1" customWidth="1"/>
    <col min="25" max="25" width="12" hidden="1" customWidth="1"/>
    <col min="26" max="30" width="0" hidden="1" customWidth="1"/>
  </cols>
  <sheetData>
    <row r="1" spans="1:98">
      <c r="A1" s="304" t="s">
        <v>178</v>
      </c>
      <c r="B1" s="307">
        <f>Summary!B1</f>
        <v>46037</v>
      </c>
      <c r="C1" s="790"/>
    </row>
    <row r="2" spans="1:98">
      <c r="A2" s="305" t="s">
        <v>179</v>
      </c>
      <c r="B2" s="308">
        <f>Summary!B2</f>
        <v>1</v>
      </c>
      <c r="C2" s="2"/>
    </row>
    <row r="3" spans="1:98">
      <c r="A3" s="305" t="s">
        <v>5342</v>
      </c>
      <c r="B3" s="308">
        <f>Summary!B3</f>
        <v>26175</v>
      </c>
      <c r="C3" s="2"/>
    </row>
    <row r="4" spans="1:98">
      <c r="A4" s="305" t="s">
        <v>181</v>
      </c>
      <c r="B4" s="310" t="str">
        <f>Summary!B4</f>
        <v>W1-2Jan26</v>
      </c>
      <c r="C4" s="827"/>
    </row>
    <row r="5" spans="1:98">
      <c r="A5" s="305" t="s">
        <v>183</v>
      </c>
      <c r="B5" s="309">
        <f>Summary!B5</f>
        <v>46023</v>
      </c>
      <c r="C5" s="790"/>
    </row>
    <row r="6" spans="1:98" ht="15" thickBot="1">
      <c r="A6" s="306" t="s">
        <v>184</v>
      </c>
      <c r="B6" s="311">
        <f>Summary!B6</f>
        <v>46037</v>
      </c>
      <c r="C6" s="827"/>
    </row>
    <row r="8" spans="1:98" s="2" customFormat="1" ht="13.8">
      <c r="A8" s="61" t="s">
        <v>5343</v>
      </c>
      <c r="B8" s="61"/>
      <c r="C8" s="61"/>
      <c r="D8" s="62"/>
      <c r="E8" s="62"/>
      <c r="F8" s="62"/>
      <c r="G8" s="62"/>
      <c r="H8" s="62"/>
      <c r="I8" s="63"/>
      <c r="J8" s="63"/>
      <c r="K8" s="63"/>
      <c r="L8" s="63"/>
      <c r="M8" s="63"/>
      <c r="N8" s="63"/>
      <c r="O8" s="63"/>
      <c r="P8" s="63"/>
      <c r="Q8" s="63"/>
      <c r="R8" s="63"/>
      <c r="S8" s="63"/>
      <c r="T8" s="63"/>
      <c r="U8" s="63"/>
      <c r="V8" s="63"/>
      <c r="W8" s="63"/>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c r="BN8" s="62"/>
      <c r="BO8" s="62"/>
      <c r="BP8" s="62"/>
      <c r="BQ8" s="62"/>
      <c r="BR8" s="62"/>
      <c r="BS8" s="62"/>
      <c r="BT8" s="62"/>
      <c r="BU8" s="62"/>
      <c r="BV8" s="62"/>
      <c r="BW8" s="62"/>
      <c r="BX8" s="62"/>
      <c r="BY8" s="62"/>
      <c r="BZ8" s="62"/>
      <c r="CA8" s="62"/>
      <c r="CB8" s="62"/>
      <c r="CC8" s="62"/>
      <c r="CD8" s="62"/>
      <c r="CE8" s="62"/>
      <c r="CF8" s="62"/>
      <c r="CG8" s="62"/>
      <c r="CH8" s="62"/>
      <c r="CI8" s="62"/>
      <c r="CJ8" s="62"/>
      <c r="CK8" s="62"/>
      <c r="CL8" s="62"/>
      <c r="CM8" s="62"/>
      <c r="CN8" s="62"/>
      <c r="CO8" s="62"/>
      <c r="CP8" s="62"/>
      <c r="CQ8" s="62"/>
      <c r="CR8" s="62"/>
      <c r="CS8" s="62"/>
      <c r="CT8" s="62"/>
    </row>
    <row r="9" spans="1:98" s="2" customFormat="1" ht="13.8">
      <c r="A9" s="105"/>
      <c r="B9" s="105"/>
      <c r="C9" s="105"/>
      <c r="D9" s="105"/>
      <c r="E9" s="105"/>
      <c r="F9" s="105"/>
      <c r="G9" s="105"/>
      <c r="H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5"/>
      <c r="BK9" s="105"/>
      <c r="BL9" s="105"/>
      <c r="BM9" s="105"/>
      <c r="BN9" s="105"/>
      <c r="BO9" s="105"/>
      <c r="BP9" s="105"/>
      <c r="BQ9" s="105"/>
      <c r="BR9" s="105"/>
      <c r="BS9" s="105"/>
      <c r="BT9" s="105"/>
      <c r="BU9" s="105"/>
      <c r="BV9" s="105"/>
      <c r="BW9" s="105"/>
      <c r="BX9" s="105"/>
      <c r="BY9" s="105"/>
      <c r="BZ9" s="105"/>
      <c r="CA9" s="105"/>
      <c r="CB9" s="105"/>
      <c r="CC9" s="105"/>
      <c r="CD9" s="105"/>
      <c r="CE9" s="105"/>
      <c r="CF9" s="105"/>
      <c r="CG9" s="105"/>
      <c r="CH9" s="105"/>
      <c r="CI9" s="105"/>
      <c r="CJ9" s="105"/>
      <c r="CK9" s="105"/>
      <c r="CL9" s="105"/>
      <c r="CM9" s="105"/>
      <c r="CN9" s="105"/>
      <c r="CO9" s="105"/>
      <c r="CP9" s="105"/>
      <c r="CQ9" s="105"/>
      <c r="CR9" s="105"/>
      <c r="CS9" s="105"/>
      <c r="CT9" s="105"/>
    </row>
    <row r="10" spans="1:98" ht="21">
      <c r="A10" s="93" t="s">
        <v>80</v>
      </c>
      <c r="B10" s="94"/>
      <c r="C10" s="94"/>
      <c r="D10" s="94"/>
      <c r="E10" s="94"/>
      <c r="F10" s="94"/>
      <c r="G10" s="94"/>
      <c r="H10" s="94"/>
      <c r="I10" s="94"/>
      <c r="J10" s="94"/>
      <c r="K10" s="94"/>
      <c r="N10" s="93" t="s">
        <v>81</v>
      </c>
    </row>
    <row r="11" spans="1:98" s="2" customFormat="1" thickBot="1">
      <c r="A11" s="105"/>
      <c r="B11" s="193"/>
      <c r="C11" s="193"/>
      <c r="D11" s="105"/>
      <c r="E11" s="105"/>
      <c r="F11" s="105"/>
      <c r="G11" s="105"/>
      <c r="H11" s="105"/>
      <c r="X11" s="105"/>
      <c r="Y11" s="105"/>
      <c r="Z11" s="105" t="str">
        <f>TEXT(Z12,"#")&amp;"M"</f>
        <v>1M</v>
      </c>
      <c r="AA11" s="105" t="str">
        <f t="shared" ref="AA11:AD11" si="0">TEXT(AA12,"#")&amp;"M"</f>
        <v>3M</v>
      </c>
      <c r="AB11" s="105" t="str">
        <f t="shared" si="0"/>
        <v>6M</v>
      </c>
      <c r="AC11" s="105" t="str">
        <f t="shared" si="0"/>
        <v>9M</v>
      </c>
      <c r="AD11" s="105" t="str">
        <f t="shared" si="0"/>
        <v>12M</v>
      </c>
      <c r="AE11" s="105"/>
      <c r="AF11" s="105"/>
      <c r="AG11" s="105"/>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c r="BI11" s="105"/>
      <c r="BJ11" s="105"/>
      <c r="BK11" s="105"/>
      <c r="BL11" s="105"/>
      <c r="BM11" s="105"/>
      <c r="BN11" s="105"/>
      <c r="BO11" s="105"/>
      <c r="BP11" s="105"/>
      <c r="BQ11" s="105"/>
      <c r="BR11" s="105"/>
      <c r="BS11" s="105"/>
      <c r="BT11" s="105"/>
      <c r="BU11" s="105"/>
      <c r="BV11" s="105"/>
      <c r="BW11" s="105"/>
      <c r="BX11" s="105"/>
      <c r="BY11" s="105"/>
      <c r="BZ11" s="105"/>
      <c r="CA11" s="105"/>
      <c r="CB11" s="105"/>
      <c r="CC11" s="105"/>
      <c r="CD11" s="105"/>
      <c r="CE11" s="105"/>
      <c r="CF11" s="105"/>
      <c r="CG11" s="105"/>
      <c r="CH11" s="105"/>
      <c r="CI11" s="105"/>
      <c r="CJ11" s="105"/>
      <c r="CK11" s="105"/>
      <c r="CL11" s="105"/>
      <c r="CM11" s="105"/>
      <c r="CN11" s="105"/>
      <c r="CO11" s="105"/>
      <c r="CP11" s="105"/>
      <c r="CQ11" s="105"/>
      <c r="CR11" s="105"/>
      <c r="CS11" s="105"/>
      <c r="CT11" s="105"/>
    </row>
    <row r="12" spans="1:98" ht="27.6">
      <c r="A12" s="377" t="s">
        <v>69</v>
      </c>
      <c r="B12" s="378" t="s">
        <v>5344</v>
      </c>
      <c r="C12" s="378" t="s">
        <v>5345</v>
      </c>
      <c r="D12" s="155">
        <v>1</v>
      </c>
      <c r="E12" s="155">
        <v>3</v>
      </c>
      <c r="F12" s="155">
        <v>6</v>
      </c>
      <c r="G12" s="155">
        <v>9</v>
      </c>
      <c r="H12" s="155">
        <v>12</v>
      </c>
      <c r="I12" s="378" t="s">
        <v>5346</v>
      </c>
      <c r="J12" s="378" t="s">
        <v>5347</v>
      </c>
      <c r="K12" s="64" t="s">
        <v>252</v>
      </c>
      <c r="L12" s="376" t="s">
        <v>5348</v>
      </c>
      <c r="N12" s="157" t="s">
        <v>3851</v>
      </c>
      <c r="O12" s="171"/>
      <c r="P12" s="171"/>
      <c r="Q12" s="171"/>
      <c r="R12" s="155">
        <v>1</v>
      </c>
      <c r="S12" s="155">
        <v>3</v>
      </c>
      <c r="T12" s="155">
        <v>6</v>
      </c>
      <c r="U12" s="155">
        <v>9</v>
      </c>
      <c r="V12" s="155">
        <v>12</v>
      </c>
      <c r="W12" s="156" t="s">
        <v>252</v>
      </c>
      <c r="Y12" s="382" t="s">
        <v>69</v>
      </c>
      <c r="Z12" s="378">
        <v>1</v>
      </c>
      <c r="AA12" s="378">
        <v>3</v>
      </c>
      <c r="AB12" s="378">
        <v>6</v>
      </c>
      <c r="AC12" s="378">
        <v>9</v>
      </c>
      <c r="AD12" s="378">
        <v>12</v>
      </c>
    </row>
    <row r="13" spans="1:98">
      <c r="A13" s="90" t="s">
        <v>110</v>
      </c>
      <c r="B13" s="359" t="s">
        <v>5349</v>
      </c>
      <c r="C13" s="828">
        <v>5.0000000000000001E-3</v>
      </c>
      <c r="D13" s="793">
        <v>2.1000000000000001E-2</v>
      </c>
      <c r="E13" s="793">
        <v>2.4E-2</v>
      </c>
      <c r="F13" s="793">
        <v>3.4000000000000002E-2</v>
      </c>
      <c r="G13" s="793">
        <v>3.4000000000000002E-2</v>
      </c>
      <c r="H13" s="793">
        <v>4.3999999999999997E-2</v>
      </c>
      <c r="I13" s="794" t="s">
        <v>5350</v>
      </c>
      <c r="J13" s="795" t="s">
        <v>5351</v>
      </c>
      <c r="K13" s="83"/>
      <c r="L13" s="774">
        <v>45320</v>
      </c>
      <c r="N13" s="158" t="s">
        <v>110</v>
      </c>
      <c r="O13" s="164"/>
      <c r="P13" s="164"/>
      <c r="Q13" s="164"/>
      <c r="R13" s="160">
        <v>0.01</v>
      </c>
      <c r="S13" s="160">
        <v>1.0999999999999999E-2</v>
      </c>
      <c r="T13" s="160">
        <v>1.2E-2</v>
      </c>
      <c r="U13" s="160">
        <v>1.2E-2</v>
      </c>
      <c r="V13" s="160">
        <v>1.2E-2</v>
      </c>
      <c r="W13" s="161"/>
      <c r="Y13" t="s">
        <v>5352</v>
      </c>
      <c r="Z13" s="381">
        <f t="shared" ref="Z13:AD15" si="1">_xlfn.MAXIFS(D$14:D$24,$B$14:$B$24,$Y13)</f>
        <v>0.02</v>
      </c>
      <c r="AA13" s="381">
        <f t="shared" si="1"/>
        <v>2.7E-2</v>
      </c>
      <c r="AB13" s="381">
        <f t="shared" si="1"/>
        <v>3.5999999999999997E-2</v>
      </c>
      <c r="AC13" s="381">
        <f t="shared" si="1"/>
        <v>3.9E-2</v>
      </c>
      <c r="AD13" s="381">
        <f t="shared" si="1"/>
        <v>4.2999999999999997E-2</v>
      </c>
    </row>
    <row r="14" spans="1:98">
      <c r="A14" s="90" t="s">
        <v>112</v>
      </c>
      <c r="B14" s="359" t="s">
        <v>5349</v>
      </c>
      <c r="C14" s="828">
        <v>5.0000000000000001E-3</v>
      </c>
      <c r="D14" s="793">
        <v>1.7999999999999999E-2</v>
      </c>
      <c r="E14" s="793">
        <v>2.3E-2</v>
      </c>
      <c r="F14" s="793">
        <v>3.2000000000000001E-2</v>
      </c>
      <c r="G14" s="793">
        <v>3.2000000000000001E-2</v>
      </c>
      <c r="H14" s="793">
        <v>0.04</v>
      </c>
      <c r="I14" s="794" t="s">
        <v>5350</v>
      </c>
      <c r="J14" s="795" t="s">
        <v>5351</v>
      </c>
      <c r="K14" s="83"/>
      <c r="L14" s="774">
        <v>45320</v>
      </c>
      <c r="N14" s="158" t="s">
        <v>112</v>
      </c>
      <c r="O14" s="164"/>
      <c r="P14" s="164"/>
      <c r="Q14" s="164"/>
      <c r="R14" s="160">
        <v>0</v>
      </c>
      <c r="S14" s="160">
        <v>0</v>
      </c>
      <c r="T14" s="160">
        <v>0</v>
      </c>
      <c r="U14" s="160">
        <v>0</v>
      </c>
      <c r="V14" s="160">
        <v>0</v>
      </c>
      <c r="W14" s="161"/>
      <c r="Y14" t="s">
        <v>5349</v>
      </c>
      <c r="Z14" s="381">
        <f t="shared" si="1"/>
        <v>2.1000000000000001E-2</v>
      </c>
      <c r="AA14" s="381">
        <f t="shared" si="1"/>
        <v>2.4E-2</v>
      </c>
      <c r="AB14" s="381">
        <f t="shared" si="1"/>
        <v>3.4000000000000002E-2</v>
      </c>
      <c r="AC14" s="381">
        <f t="shared" si="1"/>
        <v>3.4000000000000002E-2</v>
      </c>
      <c r="AD14" s="381">
        <f t="shared" si="1"/>
        <v>4.7E-2</v>
      </c>
    </row>
    <row r="15" spans="1:98">
      <c r="A15" s="90" t="s">
        <v>114</v>
      </c>
      <c r="B15" s="359" t="s">
        <v>5349</v>
      </c>
      <c r="C15" s="828">
        <v>5.0000000000000001E-3</v>
      </c>
      <c r="D15" s="793">
        <v>2.1000000000000001E-2</v>
      </c>
      <c r="E15" s="793">
        <v>2.4E-2</v>
      </c>
      <c r="F15" s="793">
        <v>3.4000000000000002E-2</v>
      </c>
      <c r="G15" s="793">
        <v>3.4000000000000002E-2</v>
      </c>
      <c r="H15" s="793">
        <v>4.7E-2</v>
      </c>
      <c r="I15" s="794" t="s">
        <v>5350</v>
      </c>
      <c r="J15" s="795" t="s">
        <v>5351</v>
      </c>
      <c r="K15" s="83"/>
      <c r="L15" s="774">
        <v>45308</v>
      </c>
      <c r="N15" s="158" t="s">
        <v>114</v>
      </c>
      <c r="O15" s="164"/>
      <c r="P15" s="164"/>
      <c r="Q15" s="164"/>
      <c r="R15" s="160">
        <v>1.2E-2</v>
      </c>
      <c r="S15" s="160">
        <v>1.2E-2</v>
      </c>
      <c r="T15" s="160">
        <v>1.2E-2</v>
      </c>
      <c r="U15" s="160">
        <v>1.2E-2</v>
      </c>
      <c r="V15" s="160">
        <v>1.2E-2</v>
      </c>
      <c r="W15" s="161"/>
      <c r="Y15" t="s">
        <v>5353</v>
      </c>
      <c r="Z15" s="381">
        <f t="shared" si="1"/>
        <v>3.1E-2</v>
      </c>
      <c r="AA15" s="381">
        <f t="shared" si="1"/>
        <v>3.4000000000000002E-2</v>
      </c>
      <c r="AB15" s="381">
        <f t="shared" si="1"/>
        <v>4.1000000000000002E-2</v>
      </c>
      <c r="AC15" s="381">
        <f t="shared" si="1"/>
        <v>4.3999999999999997E-2</v>
      </c>
      <c r="AD15" s="381">
        <f t="shared" si="1"/>
        <v>0.05</v>
      </c>
    </row>
    <row r="16" spans="1:98">
      <c r="A16" s="90" t="s">
        <v>257</v>
      </c>
      <c r="B16" s="359" t="s">
        <v>5352</v>
      </c>
      <c r="C16" s="828">
        <v>1E-3</v>
      </c>
      <c r="D16" s="793">
        <v>1.7999999999999999E-2</v>
      </c>
      <c r="E16" s="793">
        <v>0.02</v>
      </c>
      <c r="F16" s="793">
        <v>0.03</v>
      </c>
      <c r="G16" s="793">
        <v>0.03</v>
      </c>
      <c r="H16" s="793">
        <v>0.04</v>
      </c>
      <c r="I16" s="794" t="s">
        <v>5350</v>
      </c>
      <c r="J16" s="795" t="s">
        <v>5354</v>
      </c>
      <c r="K16" s="83"/>
      <c r="L16" s="774">
        <v>45320</v>
      </c>
      <c r="N16" s="158"/>
      <c r="O16" s="164"/>
      <c r="P16" s="164"/>
      <c r="Q16" s="164"/>
      <c r="R16" s="160"/>
      <c r="S16" s="160"/>
      <c r="T16" s="160"/>
      <c r="U16" s="160"/>
      <c r="V16" s="160"/>
      <c r="W16" s="161"/>
    </row>
    <row r="17" spans="1:98">
      <c r="A17" s="90" t="s">
        <v>198</v>
      </c>
      <c r="B17" s="359" t="s">
        <v>5352</v>
      </c>
      <c r="C17" s="828">
        <v>0</v>
      </c>
      <c r="D17" s="793">
        <v>0.01</v>
      </c>
      <c r="E17" s="793">
        <v>2.3E-2</v>
      </c>
      <c r="F17" s="793">
        <v>3.5999999999999997E-2</v>
      </c>
      <c r="G17" s="793" t="s">
        <v>5048</v>
      </c>
      <c r="H17" s="793">
        <v>4.2999999999999997E-2</v>
      </c>
      <c r="I17" s="794" t="s">
        <v>5350</v>
      </c>
      <c r="J17" s="795" t="s">
        <v>5351</v>
      </c>
      <c r="K17" s="83"/>
      <c r="L17" s="774">
        <v>45314</v>
      </c>
      <c r="N17" s="158" t="s">
        <v>198</v>
      </c>
      <c r="O17" s="164"/>
      <c r="P17" s="164"/>
      <c r="Q17" s="164"/>
      <c r="R17" s="160">
        <v>9.4999999999999998E-3</v>
      </c>
      <c r="S17" s="160">
        <v>9.4999999999999998E-3</v>
      </c>
      <c r="T17" s="160">
        <v>9.4999999999999998E-3</v>
      </c>
      <c r="U17" s="160">
        <v>9.4999999999999998E-3</v>
      </c>
      <c r="V17" s="160">
        <v>9.4999999999999998E-3</v>
      </c>
      <c r="W17" s="161"/>
      <c r="Z17" s="381"/>
      <c r="AA17" s="381"/>
      <c r="AB17" s="381"/>
      <c r="AC17" s="381"/>
      <c r="AD17" s="381"/>
    </row>
    <row r="18" spans="1:98">
      <c r="A18" s="90" t="s">
        <v>258</v>
      </c>
      <c r="B18" s="359" t="s">
        <v>5352</v>
      </c>
      <c r="C18" s="828">
        <v>0</v>
      </c>
      <c r="D18" s="793">
        <v>1.0500000000000001E-2</v>
      </c>
      <c r="E18" s="793">
        <v>2.7E-2</v>
      </c>
      <c r="F18" s="793">
        <v>3.4000000000000002E-2</v>
      </c>
      <c r="G18" s="793">
        <v>3.9E-2</v>
      </c>
      <c r="H18" s="793">
        <v>3.9E-2</v>
      </c>
      <c r="I18" s="794" t="s">
        <v>5350</v>
      </c>
      <c r="J18" s="795" t="s">
        <v>5354</v>
      </c>
      <c r="K18" s="83"/>
      <c r="L18" s="774">
        <v>45321</v>
      </c>
      <c r="N18" s="158"/>
      <c r="O18" s="164"/>
      <c r="P18" s="164"/>
      <c r="Q18" s="164"/>
      <c r="R18" s="160"/>
      <c r="S18" s="160"/>
      <c r="T18" s="160"/>
      <c r="U18" s="160"/>
      <c r="V18" s="160"/>
      <c r="W18" s="161"/>
    </row>
    <row r="19" spans="1:98">
      <c r="A19" s="90" t="s">
        <v>202</v>
      </c>
      <c r="B19" s="359" t="s">
        <v>5352</v>
      </c>
      <c r="C19" s="828">
        <v>0</v>
      </c>
      <c r="D19" s="793">
        <v>0.02</v>
      </c>
      <c r="E19" s="793">
        <v>0.02</v>
      </c>
      <c r="F19" s="793">
        <v>2.5000000000000001E-2</v>
      </c>
      <c r="G19" s="796">
        <v>2.5000000000000001E-2</v>
      </c>
      <c r="H19" s="796">
        <v>2.5000000000000001E-2</v>
      </c>
      <c r="I19" s="794" t="s">
        <v>5350</v>
      </c>
      <c r="J19" s="795" t="s">
        <v>5354</v>
      </c>
      <c r="K19" s="83"/>
      <c r="L19" s="774">
        <v>45320</v>
      </c>
      <c r="N19" s="158"/>
      <c r="O19" s="164"/>
      <c r="P19" s="164"/>
      <c r="Q19" s="164"/>
      <c r="R19" s="160"/>
      <c r="S19" s="160"/>
      <c r="T19" s="160"/>
      <c r="U19" s="160"/>
      <c r="V19" s="160"/>
      <c r="W19" s="161"/>
    </row>
    <row r="20" spans="1:98">
      <c r="A20" s="90" t="s">
        <v>5355</v>
      </c>
      <c r="B20" s="359" t="s">
        <v>5352</v>
      </c>
      <c r="C20" s="828">
        <v>2.5000000000000001E-2</v>
      </c>
      <c r="D20" s="797"/>
      <c r="E20" s="797"/>
      <c r="F20" s="797"/>
      <c r="G20" s="797"/>
      <c r="H20" s="797"/>
      <c r="I20" s="795" t="s">
        <v>5350</v>
      </c>
      <c r="J20" s="795" t="s">
        <v>5354</v>
      </c>
      <c r="K20" s="798"/>
      <c r="L20" s="774"/>
      <c r="N20" s="158"/>
      <c r="O20" s="164"/>
      <c r="P20" s="164"/>
      <c r="Q20" s="164"/>
      <c r="R20" s="160"/>
      <c r="S20" s="160"/>
      <c r="T20" s="160"/>
      <c r="U20" s="160"/>
      <c r="V20" s="160"/>
      <c r="W20" s="161"/>
    </row>
    <row r="21" spans="1:98">
      <c r="A21" s="90" t="s">
        <v>200</v>
      </c>
      <c r="B21" s="359" t="s">
        <v>5353</v>
      </c>
      <c r="C21" s="828">
        <v>5.0000000000000001E-3</v>
      </c>
      <c r="D21" s="793">
        <v>3.1E-2</v>
      </c>
      <c r="E21" s="793">
        <v>3.4000000000000002E-2</v>
      </c>
      <c r="F21" s="793">
        <v>4.1000000000000002E-2</v>
      </c>
      <c r="G21" s="793">
        <v>4.3999999999999997E-2</v>
      </c>
      <c r="H21" s="793">
        <v>0.05</v>
      </c>
      <c r="I21" s="794" t="s">
        <v>5356</v>
      </c>
      <c r="J21" s="795" t="s">
        <v>5354</v>
      </c>
      <c r="K21" s="83"/>
      <c r="L21" s="774">
        <v>45320</v>
      </c>
      <c r="N21" s="158"/>
      <c r="O21" s="164"/>
      <c r="P21" s="164"/>
      <c r="Q21" s="164"/>
      <c r="R21" s="160"/>
      <c r="S21" s="160"/>
      <c r="T21" s="160"/>
      <c r="U21" s="160"/>
      <c r="V21" s="160"/>
      <c r="W21" s="161"/>
    </row>
    <row r="22" spans="1:98">
      <c r="A22" s="90" t="s">
        <v>119</v>
      </c>
      <c r="B22" s="359" t="s">
        <v>5353</v>
      </c>
      <c r="C22" s="828">
        <v>1E-3</v>
      </c>
      <c r="D22" s="793">
        <v>2.4E-2</v>
      </c>
      <c r="E22" s="793">
        <v>2.7E-2</v>
      </c>
      <c r="F22" s="793">
        <v>3.6999999999999998E-2</v>
      </c>
      <c r="G22" s="793">
        <v>3.7999999999999999E-2</v>
      </c>
      <c r="H22" s="793">
        <v>4.5999999999999999E-2</v>
      </c>
      <c r="I22" s="794" t="s">
        <v>5356</v>
      </c>
      <c r="J22" s="795" t="s">
        <v>5354</v>
      </c>
      <c r="K22" s="83"/>
      <c r="L22" s="774">
        <v>45314</v>
      </c>
      <c r="N22" s="158"/>
      <c r="O22" s="164"/>
      <c r="P22" s="164"/>
      <c r="Q22" s="164"/>
      <c r="R22" s="160"/>
      <c r="S22" s="160"/>
      <c r="T22" s="160"/>
      <c r="U22" s="160"/>
      <c r="V22" s="160"/>
      <c r="W22" s="161"/>
    </row>
    <row r="23" spans="1:98">
      <c r="A23" s="90" t="s">
        <v>199</v>
      </c>
      <c r="B23" s="359" t="s">
        <v>5353</v>
      </c>
      <c r="C23" s="828">
        <v>2E-3</v>
      </c>
      <c r="D23" s="793">
        <v>2.8000000000000001E-2</v>
      </c>
      <c r="E23" s="793">
        <v>3.2000000000000001E-2</v>
      </c>
      <c r="F23" s="793">
        <v>3.9E-2</v>
      </c>
      <c r="G23" s="793">
        <v>3.9E-2</v>
      </c>
      <c r="H23" s="793">
        <v>4.8000000000000001E-2</v>
      </c>
      <c r="I23" s="794" t="s">
        <v>5356</v>
      </c>
      <c r="J23" s="795" t="s">
        <v>5354</v>
      </c>
      <c r="K23" s="83"/>
      <c r="L23" s="774">
        <v>45314</v>
      </c>
      <c r="N23" s="158"/>
      <c r="O23" s="164"/>
      <c r="P23" s="164"/>
      <c r="Q23" s="164"/>
      <c r="R23" s="160"/>
      <c r="S23" s="160"/>
      <c r="T23" s="160"/>
      <c r="U23" s="160"/>
      <c r="V23" s="160"/>
      <c r="W23" s="161"/>
    </row>
    <row r="24" spans="1:98">
      <c r="A24" s="90" t="s">
        <v>118</v>
      </c>
      <c r="B24" s="359" t="s">
        <v>5353</v>
      </c>
      <c r="C24" s="828">
        <v>2E-3</v>
      </c>
      <c r="D24" s="793">
        <v>2.9000000000000001E-2</v>
      </c>
      <c r="E24" s="793">
        <v>2.9000000000000001E-2</v>
      </c>
      <c r="F24" s="793">
        <v>3.7999999999999999E-2</v>
      </c>
      <c r="G24" s="793">
        <v>3.7999999999999999E-2</v>
      </c>
      <c r="H24" s="793">
        <v>4.2000000000000003E-2</v>
      </c>
      <c r="I24" s="794" t="s">
        <v>5356</v>
      </c>
      <c r="J24" s="795" t="s">
        <v>5351</v>
      </c>
      <c r="K24" s="83"/>
      <c r="L24" s="774">
        <v>45322</v>
      </c>
      <c r="N24" s="158" t="s">
        <v>118</v>
      </c>
      <c r="O24" s="164"/>
      <c r="P24" s="164"/>
      <c r="Q24" s="164"/>
      <c r="R24" s="160">
        <v>1.2E-2</v>
      </c>
      <c r="S24" s="160">
        <v>1.2E-2</v>
      </c>
      <c r="T24" s="160">
        <v>1.2E-2</v>
      </c>
      <c r="U24" s="160">
        <v>1.2E-2</v>
      </c>
      <c r="V24" s="160">
        <v>1.2E-2</v>
      </c>
      <c r="W24" s="161"/>
      <c r="Z24" s="381"/>
      <c r="AA24" s="381"/>
      <c r="AB24" s="381"/>
      <c r="AC24" s="381"/>
      <c r="AD24" s="381"/>
    </row>
    <row r="25" spans="1:98">
      <c r="A25" s="90" t="s">
        <v>116</v>
      </c>
      <c r="B25" s="359" t="s">
        <v>5353</v>
      </c>
      <c r="C25" s="828">
        <v>5.0000000000000001E-3</v>
      </c>
      <c r="D25" s="793">
        <v>0.03</v>
      </c>
      <c r="E25" s="793">
        <v>3.2000000000000001E-2</v>
      </c>
      <c r="F25" s="793">
        <v>4.5999999999999999E-2</v>
      </c>
      <c r="G25" s="793">
        <v>4.7E-2</v>
      </c>
      <c r="H25" s="793">
        <v>4.9000000000000002E-2</v>
      </c>
      <c r="I25" s="794" t="s">
        <v>5356</v>
      </c>
      <c r="J25" s="795" t="s">
        <v>5351</v>
      </c>
      <c r="K25" s="83"/>
      <c r="L25" s="774">
        <v>45306</v>
      </c>
      <c r="N25" s="158" t="s">
        <v>116</v>
      </c>
      <c r="O25" s="164"/>
      <c r="P25" s="164"/>
      <c r="Q25" s="164"/>
      <c r="R25" s="160">
        <v>0</v>
      </c>
      <c r="S25" s="160">
        <v>0</v>
      </c>
      <c r="T25" s="160">
        <v>0</v>
      </c>
      <c r="U25" s="160">
        <v>0</v>
      </c>
      <c r="V25" s="160">
        <v>0</v>
      </c>
      <c r="W25" s="161"/>
      <c r="Z25" s="381"/>
      <c r="AA25" s="381"/>
      <c r="AB25" s="381"/>
      <c r="AC25" s="381"/>
      <c r="AD25" s="381"/>
    </row>
    <row r="26" spans="1:98" ht="15" thickBot="1">
      <c r="A26" s="91"/>
      <c r="B26" s="356"/>
      <c r="C26" s="356"/>
      <c r="D26" s="92"/>
      <c r="E26" s="92"/>
      <c r="F26" s="92"/>
      <c r="G26" s="92"/>
      <c r="H26" s="92"/>
      <c r="I26" s="95"/>
      <c r="J26" s="379"/>
      <c r="K26" s="380"/>
      <c r="L26" s="375"/>
      <c r="N26" s="159"/>
      <c r="O26" s="169"/>
      <c r="P26" s="169"/>
      <c r="Q26" s="169"/>
      <c r="R26" s="162"/>
      <c r="S26" s="162"/>
      <c r="T26" s="162"/>
      <c r="U26" s="162"/>
      <c r="V26" s="162"/>
      <c r="W26" s="163"/>
    </row>
    <row r="28" spans="1:98" s="2" customFormat="1" ht="13.8" hidden="1">
      <c r="A28" s="61" t="s">
        <v>5357</v>
      </c>
      <c r="B28" s="61"/>
      <c r="C28" s="61"/>
      <c r="D28" s="62"/>
      <c r="E28" s="62"/>
      <c r="F28" s="62"/>
      <c r="G28" s="62"/>
      <c r="H28" s="62"/>
      <c r="I28" s="63"/>
      <c r="J28" s="63"/>
      <c r="K28" s="63"/>
      <c r="L28" s="63"/>
      <c r="M28" s="63"/>
      <c r="N28" s="63"/>
      <c r="O28" s="63"/>
      <c r="P28" s="63"/>
      <c r="Q28" s="63"/>
      <c r="R28" s="63"/>
      <c r="S28" s="63"/>
      <c r="T28" s="63"/>
      <c r="U28" s="63"/>
      <c r="V28" s="63"/>
      <c r="W28" s="63"/>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c r="BM28" s="62"/>
      <c r="BN28" s="62"/>
      <c r="BO28" s="62"/>
      <c r="BP28" s="62"/>
      <c r="BQ28" s="62"/>
      <c r="BR28" s="62"/>
      <c r="BS28" s="62"/>
      <c r="BT28" s="62"/>
      <c r="BU28" s="62"/>
      <c r="BV28" s="62"/>
      <c r="BW28" s="62"/>
      <c r="BX28" s="62"/>
      <c r="BY28" s="62"/>
      <c r="BZ28" s="62"/>
      <c r="CA28" s="62"/>
      <c r="CB28" s="62"/>
      <c r="CC28" s="62"/>
      <c r="CD28" s="62"/>
      <c r="CE28" s="62"/>
      <c r="CF28" s="62"/>
      <c r="CG28" s="62"/>
      <c r="CH28" s="62"/>
      <c r="CI28" s="62"/>
      <c r="CJ28" s="62"/>
      <c r="CK28" s="62"/>
      <c r="CL28" s="62"/>
      <c r="CM28" s="62"/>
      <c r="CN28" s="62"/>
      <c r="CO28" s="62"/>
      <c r="CP28" s="62"/>
      <c r="CQ28" s="62"/>
      <c r="CR28" s="62"/>
      <c r="CS28" s="62"/>
      <c r="CT28" s="62"/>
    </row>
    <row r="29" spans="1:98" hidden="1"/>
    <row r="30" spans="1:98" ht="21" hidden="1">
      <c r="A30" s="93" t="s">
        <v>80</v>
      </c>
      <c r="B30" s="94"/>
      <c r="C30" s="94"/>
      <c r="D30" s="94"/>
      <c r="E30" s="94"/>
      <c r="F30" s="94"/>
      <c r="G30" s="94"/>
      <c r="H30" s="94"/>
      <c r="I30" s="94"/>
      <c r="J30" s="94"/>
      <c r="K30" s="94"/>
      <c r="N30" s="93" t="s">
        <v>81</v>
      </c>
    </row>
    <row r="31" spans="1:98" s="24" customFormat="1" hidden="1"/>
    <row r="32" spans="1:98" s="24" customFormat="1" hidden="1">
      <c r="A32" s="179" t="s">
        <v>5358</v>
      </c>
      <c r="B32" s="179"/>
      <c r="C32" s="179"/>
      <c r="D32" s="180">
        <f>VND_rate!H6</f>
        <v>946043602336</v>
      </c>
      <c r="M32"/>
      <c r="N32" s="179" t="s">
        <v>5359</v>
      </c>
      <c r="O32" s="179"/>
      <c r="P32" s="180">
        <f>USD_yield!H33</f>
        <v>65667.590000000215</v>
      </c>
      <c r="Q32" s="43" t="b">
        <f>P32=USD_yield!H33</f>
        <v>1</v>
      </c>
      <c r="R32"/>
    </row>
    <row r="33" spans="1:23" s="24" customFormat="1" hidden="1">
      <c r="A33" s="179" t="s">
        <v>5360</v>
      </c>
      <c r="B33" s="179"/>
      <c r="C33" s="179"/>
      <c r="D33" s="180">
        <f>VND_rate!H19</f>
        <v>2696413754144</v>
      </c>
      <c r="M33"/>
      <c r="N33" s="179" t="s">
        <v>5361</v>
      </c>
      <c r="O33" s="179"/>
      <c r="P33" s="180"/>
      <c r="R33"/>
    </row>
    <row r="34" spans="1:23" s="24" customFormat="1" hidden="1">
      <c r="A34" s="179" t="s">
        <v>5362</v>
      </c>
      <c r="B34" s="179"/>
      <c r="C34" s="179"/>
      <c r="D34" s="180">
        <f>P33*Fx_rate</f>
        <v>0</v>
      </c>
      <c r="M34"/>
      <c r="N34"/>
      <c r="O34" s="179"/>
      <c r="P34" s="180"/>
      <c r="Q34"/>
      <c r="R34"/>
    </row>
    <row r="35" spans="1:23" s="24" customFormat="1" hidden="1">
      <c r="A35" s="179" t="s">
        <v>36</v>
      </c>
      <c r="B35" s="179"/>
      <c r="C35" s="179"/>
      <c r="D35" s="180">
        <f>SUM(D32:D34)</f>
        <v>3642457356480</v>
      </c>
      <c r="E35" s="43" t="b">
        <f>D35=VND_rate!H20</f>
        <v>1</v>
      </c>
      <c r="M35"/>
      <c r="N35" s="179" t="s">
        <v>36</v>
      </c>
      <c r="O35" s="179"/>
      <c r="P35" s="180">
        <f>P32-P33</f>
        <v>65667.590000000215</v>
      </c>
      <c r="Q35"/>
      <c r="R35"/>
    </row>
    <row r="36" spans="1:23" hidden="1">
      <c r="A36" s="1"/>
      <c r="F36" s="194"/>
      <c r="N36" s="1"/>
    </row>
    <row r="37" spans="1:23" hidden="1">
      <c r="A37" s="195" t="s">
        <v>69</v>
      </c>
      <c r="B37" s="196" t="s">
        <v>5363</v>
      </c>
      <c r="C37" s="196"/>
      <c r="D37" s="196" t="s">
        <v>5364</v>
      </c>
      <c r="E37" s="197" t="s">
        <v>5365</v>
      </c>
      <c r="F37" s="217">
        <v>1</v>
      </c>
      <c r="G37" s="217">
        <v>3</v>
      </c>
      <c r="H37" s="217">
        <v>6</v>
      </c>
      <c r="I37" s="217">
        <v>9</v>
      </c>
      <c r="J37" s="217">
        <v>12</v>
      </c>
      <c r="K37" s="198" t="s">
        <v>36</v>
      </c>
      <c r="N37" s="214" t="s">
        <v>69</v>
      </c>
      <c r="O37" s="183" t="s">
        <v>5363</v>
      </c>
      <c r="P37" s="184" t="s">
        <v>5364</v>
      </c>
      <c r="Q37" s="184" t="s">
        <v>5365</v>
      </c>
      <c r="R37" s="217">
        <v>1</v>
      </c>
      <c r="S37" s="217">
        <v>3</v>
      </c>
      <c r="T37" s="217">
        <v>6</v>
      </c>
      <c r="U37" s="217">
        <v>9</v>
      </c>
      <c r="V37" s="217">
        <v>12</v>
      </c>
      <c r="W37" s="660" t="s">
        <v>36</v>
      </c>
    </row>
    <row r="38" spans="1:23" hidden="1">
      <c r="A38" s="199" t="s">
        <v>112</v>
      </c>
      <c r="B38" s="200">
        <f>SUMIFS('Cash Balance'!$L$4:$L$920,'Cash Balance'!$X$4:$X$920,CM_Cash!$A38)</f>
        <v>1560884453231</v>
      </c>
      <c r="C38" s="200"/>
      <c r="D38" s="201"/>
      <c r="E38" s="202"/>
      <c r="F38" s="202"/>
      <c r="G38" s="202"/>
      <c r="H38" s="202"/>
      <c r="I38" s="202"/>
      <c r="J38" s="202"/>
      <c r="K38" s="203"/>
      <c r="N38" s="661" t="s">
        <v>112</v>
      </c>
      <c r="O38" s="185">
        <f>SUMIFS('Cash Balance'!$T$4:$T$920,'Cash Balance'!$X$4:$X$920,CM_Cash!$N38)</f>
        <v>7999.069999999997</v>
      </c>
      <c r="P38" s="662"/>
      <c r="Q38" s="662"/>
      <c r="R38" s="662"/>
      <c r="S38" s="662"/>
      <c r="T38" s="662"/>
      <c r="U38" s="662"/>
      <c r="V38" s="662"/>
      <c r="W38" s="663"/>
    </row>
    <row r="39" spans="1:23" hidden="1">
      <c r="A39" s="204" t="str">
        <f>A38&amp;" Yield p.a"</f>
        <v>VCB Yield p.a</v>
      </c>
      <c r="B39" s="205">
        <f>(SUMIFS('Cash Balance'!$L$4:$L$920,'Cash Balance'!$X$4:$X$920,A38,'Cash Balance'!$D$4:$D$920,"&lt;&gt;Saving account")*0.2%+SUMIFS('Cash Balance'!$L$4:$L$920,'Cash Balance'!$X$4:$X$920,A38,'Cash Balance'!$D$4:$D$920,"Saving account")*_xlfn.IFNA(VLOOKUP(A38,VND_rate!$AB$175:$AG$205,6,0),0))/B38</f>
        <v>1.4228007671438655E-4</v>
      </c>
      <c r="C39" s="205"/>
      <c r="D39" s="206"/>
      <c r="E39" s="207">
        <v>2E-3</v>
      </c>
      <c r="F39" s="218">
        <f>VLOOKUP($A38,$A$14:$H$24,MATCH(F$37,$A$12:$H$12,0),0)</f>
        <v>1.7999999999999999E-2</v>
      </c>
      <c r="G39" s="218">
        <f>VLOOKUP($A38,$A$14:$H$24,MATCH(G$37,$A$12:$H$12,0),0)</f>
        <v>2.3E-2</v>
      </c>
      <c r="H39" s="218">
        <f>VLOOKUP($A38,$A$14:$H$24,MATCH(H$37,$A$12:$H$12,0),0)</f>
        <v>3.2000000000000001E-2</v>
      </c>
      <c r="I39" s="218">
        <f>VLOOKUP($A38,$A$14:$H$24,MATCH(I$37,$A$12:$H$12,0),0)</f>
        <v>3.2000000000000001E-2</v>
      </c>
      <c r="J39" s="218">
        <f>VLOOKUP($A38,$A$14:$H$24,MATCH(J$37,$A$12:$H$12,0),0)</f>
        <v>0.04</v>
      </c>
      <c r="K39" s="208"/>
      <c r="N39" s="664" t="str">
        <f>N38&amp;" Yield p.a"</f>
        <v>VCB Yield p.a</v>
      </c>
      <c r="O39" s="187" cm="1">
        <f t="array" ref="O39">IFERROR(SUMPRODUCT((USD_yield!$H$9:$H$32)*(USD_yield!$I$9:$I$32)*(USD_yield!$A$9:$A$32=N38))/SUMIFS(USD_yield!$H$9:$H$32,USD_yield!$A$9:$A$32,$N38),0)</f>
        <v>0</v>
      </c>
      <c r="P39" s="665"/>
      <c r="Q39" s="666"/>
      <c r="R39" s="667">
        <f>IFERROR(VLOOKUP($N38,$N$14:$V$24,MATCH(R$37,$N$12:$V$12,0),0),0)</f>
        <v>0</v>
      </c>
      <c r="S39" s="667">
        <f>IFERROR(VLOOKUP($N38,$N$14:$V$24,MATCH(S$37,$N$12:$V$12,0),0),0)</f>
        <v>0</v>
      </c>
      <c r="T39" s="667">
        <f>IFERROR(VLOOKUP($N38,$N$14:$V$24,MATCH(T$37,$N$12:$V$12,0),0),0)</f>
        <v>0</v>
      </c>
      <c r="U39" s="667">
        <f>IFERROR(VLOOKUP($N38,$N$14:$V$24,MATCH(U$37,$N$12:$V$12,0),0),0)</f>
        <v>0</v>
      </c>
      <c r="V39" s="667">
        <f>IFERROR(VLOOKUP($N38,$N$14:$V$24,MATCH(V$37,$N$12:$V$12,0),0),0)</f>
        <v>0</v>
      </c>
      <c r="W39" s="668"/>
    </row>
    <row r="40" spans="1:23" hidden="1">
      <c r="A40" s="199" t="s">
        <v>114</v>
      </c>
      <c r="B40" s="200">
        <f>SUMIFS('Cash Balance'!$L$4:$L$920,'Cash Balance'!$X$4:$X$920,CM_Cash!$A40)</f>
        <v>375938386132</v>
      </c>
      <c r="C40" s="200"/>
      <c r="D40" s="201"/>
      <c r="E40" s="202"/>
      <c r="F40" s="202">
        <f>VLOOKUP(A39,$A$14:$H$24,MATCH(F$37,$A$12:$H$12,0))</f>
        <v>2.8000000000000001E-2</v>
      </c>
      <c r="G40" s="202"/>
      <c r="H40" s="202"/>
      <c r="I40" s="202"/>
      <c r="J40" s="202"/>
      <c r="K40" s="203"/>
      <c r="N40" s="661" t="s">
        <v>114</v>
      </c>
      <c r="O40" s="185">
        <f>SUMIFS('Cash Balance'!$T$4:$T$920,'Cash Balance'!$X$4:$X$920,CM_Cash!$N40)</f>
        <v>579.09999999999582</v>
      </c>
      <c r="P40" s="662"/>
      <c r="Q40" s="662"/>
      <c r="R40" s="662"/>
      <c r="S40" s="662"/>
      <c r="T40" s="662"/>
      <c r="U40" s="662"/>
      <c r="V40" s="662"/>
      <c r="W40" s="663"/>
    </row>
    <row r="41" spans="1:23" hidden="1">
      <c r="A41" s="204" t="str">
        <f>A40&amp;" Yield p.a"</f>
        <v>BIDV Yield p.a</v>
      </c>
      <c r="B41" s="205">
        <f>(SUMIFS('Cash Balance'!$L$4:$L$920,'Cash Balance'!$X$4:$X$920,A40,'Cash Balance'!$D$4:$D$920,"&lt;&gt;Saving account")*0.2%+SUMIFS('Cash Balance'!$L$4:$L$920,'Cash Balance'!$X$4:$X$920,A40,'Cash Balance'!$D$4:$D$920,"Saving account")*_xlfn.IFNA(VLOOKUP(A40,VND_rate!$AB$175:$AG$205,6,0),0))/B40</f>
        <v>1.5989455587450598</v>
      </c>
      <c r="C41" s="205"/>
      <c r="D41" s="206"/>
      <c r="E41" s="207">
        <v>2E-3</v>
      </c>
      <c r="F41" s="218">
        <f>VLOOKUP($A40,$A$14:$H$24,MATCH(F$37,$A$12:$H$12,0),0)</f>
        <v>2.1000000000000001E-2</v>
      </c>
      <c r="G41" s="218">
        <f>VLOOKUP($A40,$A$14:$H$24,MATCH(G$37,$A$12:$H$12,0),0)</f>
        <v>2.4E-2</v>
      </c>
      <c r="H41" s="218">
        <f>VLOOKUP($A40,$A$14:$H$24,MATCH(H$37,$A$12:$H$12,0),0)</f>
        <v>3.4000000000000002E-2</v>
      </c>
      <c r="I41" s="218">
        <f>VLOOKUP($A40,$A$14:$H$24,MATCH(I$37,$A$12:$H$12,0),0)</f>
        <v>3.4000000000000002E-2</v>
      </c>
      <c r="J41" s="218">
        <f>VLOOKUP($A40,$A$14:$H$24,MATCH(J$37,$A$12:$H$12,0),0)</f>
        <v>4.7E-2</v>
      </c>
      <c r="K41" s="208"/>
      <c r="N41" s="664" t="str">
        <f>N40&amp;" Yield p.a"</f>
        <v>BIDV Yield p.a</v>
      </c>
      <c r="O41" s="187" cm="1">
        <f t="array" ref="O41">IFERROR(SUMPRODUCT((USD_yield!$H$9:$H$32)*(USD_yield!$I$9:$I$32)*(USD_yield!$A$9:$A$32=N40))/SUMIFS(USD_yield!$H$9:$H$32,USD_yield!$A$9:$A$32,$N40),0)</f>
        <v>0</v>
      </c>
      <c r="P41" s="665"/>
      <c r="Q41" s="666"/>
      <c r="R41" s="667">
        <f>IFERROR(VLOOKUP($N40,$N$14:$V$24,MATCH(R$37,$N$12:$V$12,0),0),0)</f>
        <v>1.2E-2</v>
      </c>
      <c r="S41" s="667">
        <f>IFERROR(VLOOKUP($N40,$N$14:$V$24,MATCH(S$37,$N$12:$V$12,0),0),0)</f>
        <v>1.2E-2</v>
      </c>
      <c r="T41" s="667">
        <f>IFERROR(VLOOKUP($N40,$N$14:$V$24,MATCH(T$37,$N$12:$V$12,0),0),0)</f>
        <v>1.2E-2</v>
      </c>
      <c r="U41" s="667">
        <f>IFERROR(VLOOKUP($N40,$N$14:$V$24,MATCH(U$37,$N$12:$V$12,0),0),0)</f>
        <v>1.2E-2</v>
      </c>
      <c r="V41" s="667">
        <f>IFERROR(VLOOKUP($N40,$N$14:$V$24,MATCH(V$37,$N$12:$V$12,0),0),0)</f>
        <v>1.2E-2</v>
      </c>
      <c r="W41" s="668"/>
    </row>
    <row r="42" spans="1:23" hidden="1">
      <c r="A42" s="199" t="s">
        <v>110</v>
      </c>
      <c r="B42" s="200">
        <f>SUMIFS('Cash Balance'!$L$4:$L$920,'Cash Balance'!$X$4:$X$920,CM_Cash!$A42)</f>
        <v>1667983620623</v>
      </c>
      <c r="C42" s="200"/>
      <c r="D42" s="201"/>
      <c r="E42" s="202"/>
      <c r="F42" s="202" t="e">
        <f>VLOOKUP(A41,$A$14:$H$24,MATCH(F$37,$A$12:$H$12,0))</f>
        <v>#N/A</v>
      </c>
      <c r="G42" s="202"/>
      <c r="H42" s="202"/>
      <c r="I42" s="202"/>
      <c r="J42" s="202"/>
      <c r="K42" s="203"/>
      <c r="N42" s="661" t="s">
        <v>110</v>
      </c>
      <c r="O42" s="185">
        <f>SUMIFS('Cash Balance'!$T$4:$T$920,'Cash Balance'!$X$4:$X$920,CM_Cash!$N42)</f>
        <v>36887.07</v>
      </c>
      <c r="P42" s="662"/>
      <c r="Q42" s="662"/>
      <c r="R42" s="662"/>
      <c r="S42" s="662"/>
      <c r="T42" s="662"/>
      <c r="U42" s="662"/>
      <c r="V42" s="662"/>
      <c r="W42" s="663"/>
    </row>
    <row r="43" spans="1:23" hidden="1">
      <c r="A43" s="204" t="str">
        <f>A42&amp;" Yield p.a"</f>
        <v>VTB Yield p.a</v>
      </c>
      <c r="B43" s="205">
        <f>(SUMIFS('Cash Balance'!$L$4:$L$920,'Cash Balance'!$X$4:$X$920,A42,'Cash Balance'!$D$4:$D$920,"&lt;&gt;Saving account")*0.2%+SUMIFS('Cash Balance'!$L$4:$L$920,'Cash Balance'!$X$4:$X$920,A42,'Cash Balance'!$D$4:$D$920,"Saving account")*_xlfn.IFNA(VLOOKUP(A42,VND_rate!$AB$175:$AG$205,6,0),0))/B42</f>
        <v>6.9814709030479227E-4</v>
      </c>
      <c r="C43" s="205"/>
      <c r="D43" s="206"/>
      <c r="E43" s="207">
        <v>2E-3</v>
      </c>
      <c r="F43" s="218" t="e">
        <f>VLOOKUP($A42,$A$14:$H$24,MATCH(F$37,$A$12:$H$12,0),0)</f>
        <v>#N/A</v>
      </c>
      <c r="G43" s="218" t="e">
        <f>VLOOKUP($A42,$A$14:$H$24,MATCH(G$37,$A$12:$H$12,0),0)</f>
        <v>#N/A</v>
      </c>
      <c r="H43" s="218" t="e">
        <f>VLOOKUP($A42,$A$14:$H$24,MATCH(H$37,$A$12:$H$12,0),0)</f>
        <v>#N/A</v>
      </c>
      <c r="I43" s="218" t="e">
        <f>VLOOKUP($A42,$A$14:$H$24,MATCH(I$37,$A$12:$H$12,0),0)</f>
        <v>#N/A</v>
      </c>
      <c r="J43" s="218" t="e">
        <f>VLOOKUP($A42,$A$14:$H$24,MATCH(J$37,$A$12:$H$12,0),0)</f>
        <v>#N/A</v>
      </c>
      <c r="K43" s="208"/>
      <c r="N43" s="664" t="str">
        <f>N42&amp;" Yield p.a"</f>
        <v>VTB Yield p.a</v>
      </c>
      <c r="O43" s="187" cm="1">
        <f t="array" ref="O43">IFERROR(SUMPRODUCT((USD_yield!$H$9:$H$32)*(USD_yield!$I$9:$I$32)*(USD_yield!$A$9:$A$32=N42))/SUMIFS(USD_yield!$H$9:$H$32,USD_yield!$A$9:$A$32,$N42),0)</f>
        <v>0</v>
      </c>
      <c r="P43" s="665"/>
      <c r="Q43" s="666"/>
      <c r="R43" s="667">
        <f>IFERROR(VLOOKUP($N42,$N$14:$V$24,MATCH(R$37,$N$12:$V$12,0),0),0)</f>
        <v>0</v>
      </c>
      <c r="S43" s="667">
        <f>IFERROR(VLOOKUP($N42,$N$14:$V$24,MATCH(S$37,$N$12:$V$12,0),0),0)</f>
        <v>0</v>
      </c>
      <c r="T43" s="667">
        <f>IFERROR(VLOOKUP($N42,$N$14:$V$24,MATCH(T$37,$N$12:$V$12,0),0),0)</f>
        <v>0</v>
      </c>
      <c r="U43" s="667">
        <f>IFERROR(VLOOKUP($N42,$N$14:$V$24,MATCH(U$37,$N$12:$V$12,0),0),0)</f>
        <v>0</v>
      </c>
      <c r="V43" s="667">
        <f>IFERROR(VLOOKUP($N42,$N$14:$V$24,MATCH(V$37,$N$12:$V$12,0),0),0)</f>
        <v>0</v>
      </c>
      <c r="W43" s="668"/>
    </row>
    <row r="44" spans="1:23" hidden="1">
      <c r="A44" s="199" t="s">
        <v>116</v>
      </c>
      <c r="B44" s="200">
        <f>SUMIFS('Cash Balance'!$L$4:$L$920,'Cash Balance'!$X$4:$X$920,CM_Cash!$A44)</f>
        <v>598629201</v>
      </c>
      <c r="C44" s="200"/>
      <c r="D44" s="201"/>
      <c r="E44" s="202"/>
      <c r="F44" s="202">
        <f>VLOOKUP(A43,$A$14:$H$24,MATCH(F$37,$A$12:$H$12,0))</f>
        <v>2.9000000000000001E-2</v>
      </c>
      <c r="G44" s="202"/>
      <c r="H44" s="202"/>
      <c r="I44" s="202"/>
      <c r="J44" s="202"/>
      <c r="K44" s="203"/>
      <c r="N44" s="661" t="s">
        <v>116</v>
      </c>
      <c r="O44" s="185">
        <f>SUMIFS('Cash Balance'!$T$4:$T$920,'Cash Balance'!$X$4:$X$920,CM_Cash!$N44)</f>
        <v>250</v>
      </c>
      <c r="P44" s="662"/>
      <c r="Q44" s="662"/>
      <c r="R44" s="662"/>
      <c r="S44" s="662"/>
      <c r="T44" s="662"/>
      <c r="U44" s="662"/>
      <c r="V44" s="662"/>
      <c r="W44" s="663"/>
    </row>
    <row r="45" spans="1:23" hidden="1">
      <c r="A45" s="204" t="str">
        <f>A44&amp;" Yield p.a"</f>
        <v>OCB Yield p.a</v>
      </c>
      <c r="B45" s="205">
        <f>(SUMIFS('Cash Balance'!$L$4:$L$920,'Cash Balance'!$X$4:$X$920,A44,'Cash Balance'!$D$4:$D$920,"&lt;&gt;Saving account")*0.2%+SUMIFS('Cash Balance'!$L$4:$L$920,'Cash Balance'!$X$4:$X$920,A44,'Cash Balance'!$D$4:$D$920,"Saving account")*_xlfn.IFNA(VLOOKUP(A44,VND_rate!$AB$175:$AG$205,6,0),0))/B44</f>
        <v>2E-3</v>
      </c>
      <c r="C45" s="205"/>
      <c r="D45" s="206"/>
      <c r="E45" s="207">
        <v>2E-3</v>
      </c>
      <c r="F45" s="218" t="e">
        <f>VLOOKUP($A44,$A$14:$H$24,MATCH(F$37,$A$12:$H$12,0),0)</f>
        <v>#N/A</v>
      </c>
      <c r="G45" s="218" t="e">
        <f>VLOOKUP($A44,$A$14:$H$24,MATCH(G$37,$A$12:$H$12,0),0)</f>
        <v>#N/A</v>
      </c>
      <c r="H45" s="218" t="e">
        <f>VLOOKUP($A44,$A$14:$H$24,MATCH(H$37,$A$12:$H$12,0),0)</f>
        <v>#N/A</v>
      </c>
      <c r="I45" s="218" t="e">
        <f>VLOOKUP($A44,$A$14:$H$24,MATCH(I$37,$A$12:$H$12,0),0)</f>
        <v>#N/A</v>
      </c>
      <c r="J45" s="218" t="e">
        <f>VLOOKUP($A44,$A$14:$H$24,MATCH(J$37,$A$12:$H$12,0),0)</f>
        <v>#N/A</v>
      </c>
      <c r="K45" s="208"/>
      <c r="N45" s="664" t="str">
        <f>N44&amp;" Yield p.a"</f>
        <v>OCB Yield p.a</v>
      </c>
      <c r="O45" s="187" cm="1">
        <f t="array" ref="O45">IFERROR(SUMPRODUCT((USD_yield!$H$9:$H$32)*(USD_yield!$I$9:$I$32)*(USD_yield!$A$9:$A$32=N44))/SUMIFS(USD_yield!$H$9:$H$32,USD_yield!$A$9:$A$32,$N44),0)</f>
        <v>0</v>
      </c>
      <c r="P45" s="665"/>
      <c r="Q45" s="666"/>
      <c r="R45" s="667">
        <f>IFERROR(VLOOKUP($N44,$N$14:$V$24,MATCH(R$37,$N$12:$V$12,0),0),0)</f>
        <v>0</v>
      </c>
      <c r="S45" s="667">
        <f>IFERROR(VLOOKUP($N44,$N$14:$V$24,MATCH(S$37,$N$12:$V$12,0),0),0)</f>
        <v>0</v>
      </c>
      <c r="T45" s="667">
        <f>IFERROR(VLOOKUP($N44,$N$14:$V$24,MATCH(T$37,$N$12:$V$12,0),0),0)</f>
        <v>0</v>
      </c>
      <c r="U45" s="667">
        <f>IFERROR(VLOOKUP($N44,$N$14:$V$24,MATCH(U$37,$N$12:$V$12,0),0),0)</f>
        <v>0</v>
      </c>
      <c r="V45" s="667">
        <f>IFERROR(VLOOKUP($N44,$N$14:$V$24,MATCH(V$37,$N$12:$V$12,0),0),0)</f>
        <v>0</v>
      </c>
      <c r="W45" s="668"/>
    </row>
    <row r="46" spans="1:23" hidden="1">
      <c r="A46" s="199" t="s">
        <v>118</v>
      </c>
      <c r="B46" s="200">
        <f>SUMIFS('Cash Balance'!$L$4:$L$920,'Cash Balance'!$X$4:$X$920,CM_Cash!$A46)</f>
        <v>174395791418</v>
      </c>
      <c r="C46" s="200"/>
      <c r="D46" s="201"/>
      <c r="E46" s="202"/>
      <c r="F46" s="202">
        <f>VLOOKUP(A45,$A$14:$H$24,MATCH(F$37,$A$12:$H$12,0))</f>
        <v>1.7999999999999999E-2</v>
      </c>
      <c r="G46" s="202"/>
      <c r="H46" s="202"/>
      <c r="I46" s="202"/>
      <c r="J46" s="202"/>
      <c r="K46" s="203"/>
      <c r="N46" s="661" t="s">
        <v>118</v>
      </c>
      <c r="O46" s="185">
        <f>SUMIFS('Cash Balance'!$T$4:$T$920,'Cash Balance'!$X$4:$X$920,CM_Cash!$N46)</f>
        <v>151.6</v>
      </c>
      <c r="P46" s="662"/>
      <c r="Q46" s="662"/>
      <c r="R46" s="662"/>
      <c r="S46" s="662"/>
      <c r="T46" s="662"/>
      <c r="U46" s="662"/>
      <c r="V46" s="662"/>
      <c r="W46" s="663"/>
    </row>
    <row r="47" spans="1:23" hidden="1">
      <c r="A47" s="204" t="str">
        <f>A46&amp;" Yield p.a"</f>
        <v>VIB Yield p.a</v>
      </c>
      <c r="B47" s="205">
        <f>(SUMIFS('Cash Balance'!$L$4:$L$920,'Cash Balance'!$X$4:$X$920,A46,'Cash Balance'!$D$4:$D$920,"&lt;&gt;Saving account")*0.2%+SUMIFS('Cash Balance'!$L$4:$L$920,'Cash Balance'!$X$4:$X$920,A46,'Cash Balance'!$D$4:$D$920,"Saving account")*_xlfn.IFNA(VLOOKUP(A46,VND_rate!$AB$175:$AG$205,6,0),0))/B46</f>
        <v>2.0594435260146423E-5</v>
      </c>
      <c r="C47" s="205"/>
      <c r="D47" s="206"/>
      <c r="E47" s="207">
        <v>2E-3</v>
      </c>
      <c r="F47" s="218">
        <f>VLOOKUP($A46,$A$14:$H$24,MATCH(F$37,$A$12:$H$12,0),0)</f>
        <v>2.9000000000000001E-2</v>
      </c>
      <c r="G47" s="218">
        <f>VLOOKUP($A46,$A$14:$H$24,MATCH(G$37,$A$12:$H$12,0),0)</f>
        <v>2.9000000000000001E-2</v>
      </c>
      <c r="H47" s="218">
        <f>VLOOKUP($A46,$A$14:$H$24,MATCH(H$37,$A$12:$H$12,0),0)</f>
        <v>3.7999999999999999E-2</v>
      </c>
      <c r="I47" s="218">
        <f>VLOOKUP($A46,$A$14:$H$24,MATCH(I$37,$A$12:$H$12,0),0)</f>
        <v>3.7999999999999999E-2</v>
      </c>
      <c r="J47" s="218">
        <f>VLOOKUP($A46,$A$14:$H$24,MATCH(J$37,$A$12:$H$12,0),0)</f>
        <v>4.2000000000000003E-2</v>
      </c>
      <c r="K47" s="208"/>
      <c r="N47" s="664" t="str">
        <f>N46&amp;" Yield p.a"</f>
        <v>VIB Yield p.a</v>
      </c>
      <c r="O47" s="187" cm="1">
        <f t="array" ref="O47">IFERROR(SUMPRODUCT((USD_yield!$H$9:$H$32)*(USD_yield!$I$9:$I$32)*(USD_yield!$A$9:$A$32=N46))/SUMIFS(USD_yield!$H$9:$H$32,USD_yield!$A$9:$A$32,$N46),0)</f>
        <v>0</v>
      </c>
      <c r="P47" s="665"/>
      <c r="Q47" s="666"/>
      <c r="R47" s="667">
        <f>IFERROR(VLOOKUP($N46,$N$14:$V$24,MATCH(R$37,$N$12:$V$12,0),0),0)</f>
        <v>1.2E-2</v>
      </c>
      <c r="S47" s="667">
        <f>IFERROR(VLOOKUP($N46,$N$14:$V$24,MATCH(S$37,$N$12:$V$12,0),0),0)</f>
        <v>1.2E-2</v>
      </c>
      <c r="T47" s="667">
        <f>IFERROR(VLOOKUP($N46,$N$14:$V$24,MATCH(T$37,$N$12:$V$12,0),0),0)</f>
        <v>1.2E-2</v>
      </c>
      <c r="U47" s="667">
        <f>IFERROR(VLOOKUP($N46,$N$14:$V$24,MATCH(U$37,$N$12:$V$12,0),0),0)</f>
        <v>1.2E-2</v>
      </c>
      <c r="V47" s="667">
        <f>IFERROR(VLOOKUP($N46,$N$14:$V$24,MATCH(V$37,$N$12:$V$12,0),0),0)</f>
        <v>1.2E-2</v>
      </c>
      <c r="W47" s="668"/>
    </row>
    <row r="48" spans="1:23" hidden="1">
      <c r="A48" s="199" t="s">
        <v>119</v>
      </c>
      <c r="B48" s="200">
        <f>SUMIFS('Cash Balance'!$L$4:$L$920,'Cash Balance'!$X$4:$X$920,CM_Cash!$A48)</f>
        <v>7958304</v>
      </c>
      <c r="C48" s="200"/>
      <c r="D48" s="201"/>
      <c r="E48" s="202"/>
      <c r="F48" s="202">
        <f>VLOOKUP(A47,$A$14:$H$24,MATCH(F$37,$A$12:$H$12,0))</f>
        <v>2.9000000000000001E-2</v>
      </c>
      <c r="G48" s="202"/>
      <c r="H48" s="202"/>
      <c r="I48" s="202"/>
      <c r="J48" s="202"/>
      <c r="K48" s="203"/>
      <c r="N48" s="661" t="s">
        <v>119</v>
      </c>
      <c r="O48" s="185">
        <f>SUMIFS('Cash Balance'!$T$4:$T$920,'Cash Balance'!$X$4:$X$920,CM_Cash!$N48)</f>
        <v>90</v>
      </c>
      <c r="P48" s="662"/>
      <c r="Q48" s="662"/>
      <c r="R48" s="662"/>
      <c r="S48" s="662"/>
      <c r="T48" s="662"/>
      <c r="U48" s="662"/>
      <c r="V48" s="662"/>
      <c r="W48" s="663"/>
    </row>
    <row r="49" spans="1:98" hidden="1">
      <c r="A49" s="204" t="str">
        <f>A48&amp;" Yield p.a"</f>
        <v>MBB Yield p.a</v>
      </c>
      <c r="B49" s="205">
        <f>(SUMIFS('Cash Balance'!$L$4:$L$920,'Cash Balance'!$X$4:$X$920,A48,'Cash Balance'!$D$4:$D$920,"&lt;&gt;Saving account")*0.2%+SUMIFS('Cash Balance'!$L$4:$L$920,'Cash Balance'!$X$4:$X$920,A48,'Cash Balance'!$D$4:$D$920,"Saving account")*_xlfn.IFNA(VLOOKUP(A48,VND_rate!$AB$175:$AG$205,6,0),0))/B48</f>
        <v>2E-3</v>
      </c>
      <c r="C49" s="205"/>
      <c r="D49" s="206"/>
      <c r="E49" s="207">
        <v>2E-3</v>
      </c>
      <c r="F49" s="218">
        <f>VLOOKUP($A48,$A$14:$H$24,MATCH(F$37,$A$12:$H$12,0),0)</f>
        <v>2.4E-2</v>
      </c>
      <c r="G49" s="218">
        <f>VLOOKUP($A48,$A$14:$H$24,MATCH(G$37,$A$12:$H$12,0),0)</f>
        <v>2.7E-2</v>
      </c>
      <c r="H49" s="218">
        <f>VLOOKUP($A48,$A$14:$H$24,MATCH(H$37,$A$12:$H$12,0),0)</f>
        <v>3.6999999999999998E-2</v>
      </c>
      <c r="I49" s="218">
        <f>VLOOKUP($A48,$A$14:$H$24,MATCH(I$37,$A$12:$H$12,0),0)</f>
        <v>3.7999999999999999E-2</v>
      </c>
      <c r="J49" s="218">
        <f>VLOOKUP($A48,$A$14:$H$24,MATCH(J$37,$A$12:$H$12,0),0)</f>
        <v>4.5999999999999999E-2</v>
      </c>
      <c r="K49" s="208"/>
      <c r="N49" s="664" t="str">
        <f>N48&amp;" Yield p.a"</f>
        <v>MBB Yield p.a</v>
      </c>
      <c r="O49" s="187" cm="1">
        <f t="array" ref="O49">IFERROR(SUMPRODUCT((USD_yield!$H$9:$H$32)*(USD_yield!$I$9:$I$32)*(USD_yield!$A$9:$A$32=N48))/SUMIFS(USD_yield!$H$9:$H$32,USD_yield!$A$9:$A$32,$N48),0)</f>
        <v>0</v>
      </c>
      <c r="P49" s="665"/>
      <c r="Q49" s="666"/>
      <c r="R49" s="667">
        <f>IFERROR(VLOOKUP($N48,$N$14:$V$24,MATCH(R$37,$N$12:$V$12,0),0),0)</f>
        <v>0</v>
      </c>
      <c r="S49" s="667">
        <f>IFERROR(VLOOKUP($N48,$N$14:$V$24,MATCH(S$37,$N$12:$V$12,0),0),0)</f>
        <v>0</v>
      </c>
      <c r="T49" s="667">
        <f>IFERROR(VLOOKUP($N48,$N$14:$V$24,MATCH(T$37,$N$12:$V$12,0),0),0)</f>
        <v>0</v>
      </c>
      <c r="U49" s="667">
        <f>IFERROR(VLOOKUP($N48,$N$14:$V$24,MATCH(U$37,$N$12:$V$12,0),0),0)</f>
        <v>0</v>
      </c>
      <c r="V49" s="667">
        <f>IFERROR(VLOOKUP($N48,$N$14:$V$24,MATCH(V$37,$N$12:$V$12,0),0),0)</f>
        <v>0</v>
      </c>
      <c r="W49" s="668"/>
    </row>
    <row r="50" spans="1:98" hidden="1">
      <c r="A50" s="199" t="s">
        <v>198</v>
      </c>
      <c r="B50" s="200">
        <f>SUMIFS('Cash Balance'!$L$4:$L$920,'Cash Balance'!$X$4:$X$920,CM_Cash!$A50)</f>
        <v>139809280480</v>
      </c>
      <c r="C50" s="200"/>
      <c r="D50" s="201"/>
      <c r="E50" s="202"/>
      <c r="F50" s="202">
        <f>VLOOKUP(A49,$A$14:$H$24,MATCH(F$37,$A$12:$H$12,0))</f>
        <v>1.7999999999999999E-2</v>
      </c>
      <c r="G50" s="202"/>
      <c r="H50" s="202"/>
      <c r="I50" s="202"/>
      <c r="J50" s="202"/>
      <c r="K50" s="203"/>
      <c r="N50" s="661" t="s">
        <v>198</v>
      </c>
      <c r="O50" s="185">
        <f>SUMIFS('Cash Balance'!$T$4:$T$920,'Cash Balance'!$X$4:$X$920,CM_Cash!$N50)</f>
        <v>13119.739999999998</v>
      </c>
      <c r="P50" s="662"/>
      <c r="Q50" s="662"/>
      <c r="R50" s="662"/>
      <c r="S50" s="662"/>
      <c r="T50" s="662"/>
      <c r="U50" s="662"/>
      <c r="V50" s="662"/>
      <c r="W50" s="663"/>
    </row>
    <row r="51" spans="1:98" hidden="1">
      <c r="A51" s="204" t="str">
        <f>A50&amp;" Yield p.a"</f>
        <v>SNP Yield p.a</v>
      </c>
      <c r="B51" s="205">
        <f>(SUMIFS('Cash Balance'!$L$4:$L$920,'Cash Balance'!$X$4:$X$920,A50,'Cash Balance'!$D$4:$D$920,"&lt;&gt;Saving account")*0.2%+SUMIFS('Cash Balance'!$L$4:$L$920,'Cash Balance'!$X$4:$X$920,A50,'Cash Balance'!$D$4:$D$920,"Saving account")*_xlfn.IFNA(VLOOKUP(A50,VND_rate!$AB$175:$AG$205,6,0),0))/B50</f>
        <v>1.3841974346451484E-4</v>
      </c>
      <c r="C51" s="205"/>
      <c r="D51" s="206"/>
      <c r="E51" s="207">
        <v>2E-3</v>
      </c>
      <c r="F51" s="218">
        <f>VLOOKUP($A50,$A$14:$H$24,MATCH(F$37,$A$12:$H$12,0),0)</f>
        <v>0.01</v>
      </c>
      <c r="G51" s="218">
        <f>VLOOKUP($A50,$A$14:$H$24,MATCH(G$37,$A$12:$H$12,0),0)</f>
        <v>2.3E-2</v>
      </c>
      <c r="H51" s="218">
        <f>VLOOKUP($A50,$A$14:$H$24,MATCH(H$37,$A$12:$H$12,0),0)</f>
        <v>3.5999999999999997E-2</v>
      </c>
      <c r="I51" s="218" t="str">
        <f>VLOOKUP($A50,$A$14:$H$24,MATCH(I$37,$A$12:$H$12,0),0)</f>
        <v>N/A</v>
      </c>
      <c r="J51" s="218">
        <f>VLOOKUP($A50,$A$14:$H$24,MATCH(J$37,$A$12:$H$12,0),0)</f>
        <v>4.2999999999999997E-2</v>
      </c>
      <c r="K51" s="208"/>
      <c r="N51" s="664" t="str">
        <f>N50&amp;" Yield p.a"</f>
        <v>SNP Yield p.a</v>
      </c>
      <c r="O51" s="187" cm="1">
        <f t="array" ref="O51">IFERROR(SUMPRODUCT((USD_yield!$H$9:$H$32)*(USD_yield!$I$9:$I$32)*(USD_yield!$A$9:$A$32=N50))/SUMIFS(USD_yield!$H$9:$H$32,USD_yield!$A$9:$A$32,$N50),0)</f>
        <v>0</v>
      </c>
      <c r="P51" s="665"/>
      <c r="Q51" s="666"/>
      <c r="R51" s="667">
        <f>IFERROR(VLOOKUP($N50,$N$14:$V$24,MATCH(R$37,$N$12:$V$12,0),0),0)</f>
        <v>9.4999999999999998E-3</v>
      </c>
      <c r="S51" s="667">
        <f>IFERROR(VLOOKUP($N50,$N$14:$V$24,MATCH(S$37,$N$12:$V$12,0),0),0)</f>
        <v>9.4999999999999998E-3</v>
      </c>
      <c r="T51" s="667">
        <f>IFERROR(VLOOKUP($N50,$N$14:$V$24,MATCH(T$37,$N$12:$V$12,0),0),0)</f>
        <v>9.4999999999999998E-3</v>
      </c>
      <c r="U51" s="667">
        <f>IFERROR(VLOOKUP($N50,$N$14:$V$24,MATCH(U$37,$N$12:$V$12,0),0),0)</f>
        <v>9.4999999999999998E-3</v>
      </c>
      <c r="V51" s="667">
        <f>IFERROR(VLOOKUP($N50,$N$14:$V$24,MATCH(V$37,$N$12:$V$12,0),0),0)</f>
        <v>9.4999999999999998E-3</v>
      </c>
      <c r="W51" s="668"/>
    </row>
    <row r="52" spans="1:98" hidden="1">
      <c r="A52" s="199" t="s">
        <v>5366</v>
      </c>
      <c r="B52" s="200">
        <f>SUMIFS('Cash Balance'!$L$4:$L$920,'Cash Balance'!$X$4:$X$920,CM_Cash!$A52)</f>
        <v>0</v>
      </c>
      <c r="C52" s="200"/>
      <c r="D52" s="201"/>
      <c r="E52" s="202"/>
      <c r="F52" s="202">
        <f>VLOOKUP(A51,$A$14:$H$24,MATCH(F$37,$A$12:$H$12,0))</f>
        <v>0.01</v>
      </c>
      <c r="G52" s="202"/>
      <c r="H52" s="202"/>
      <c r="I52" s="202"/>
      <c r="J52" s="202"/>
      <c r="K52" s="203"/>
      <c r="N52" s="661" t="s">
        <v>5366</v>
      </c>
      <c r="O52" s="185">
        <v>15516068.190000001</v>
      </c>
      <c r="P52" s="662"/>
      <c r="Q52" s="662"/>
      <c r="R52" s="662"/>
      <c r="S52" s="662"/>
      <c r="T52" s="662"/>
      <c r="U52" s="662"/>
      <c r="V52" s="662"/>
      <c r="W52" s="663"/>
    </row>
    <row r="53" spans="1:98" hidden="1">
      <c r="A53" s="204" t="str">
        <f>A52&amp;" Yield p.a"</f>
        <v>DSRA Yield p.a</v>
      </c>
      <c r="B53" s="205">
        <v>0</v>
      </c>
      <c r="C53" s="205"/>
      <c r="D53" s="206"/>
      <c r="E53" s="207">
        <v>2E-3</v>
      </c>
      <c r="F53" s="221">
        <f>VLOOKUP("DB",$A$14:$H$24,MATCH(F$37,$A$12:$H$12,0),0)</f>
        <v>0</v>
      </c>
      <c r="G53" s="221">
        <f>VLOOKUP("DB",$A$14:$H$24,MATCH(G$37,$A$12:$H$12,0),0)</f>
        <v>0</v>
      </c>
      <c r="H53" s="221">
        <f>VLOOKUP("DB",$A$14:$H$24,MATCH(H$37,$A$12:$H$12,0),0)</f>
        <v>0</v>
      </c>
      <c r="I53" s="221">
        <f>VLOOKUP("DB",$A$14:$H$24,MATCH(I$37,$A$12:$H$12,0),0)</f>
        <v>0</v>
      </c>
      <c r="J53" s="221">
        <f>VLOOKUP("DB",$A$14:$H$24,MATCH(J$37,$A$12:$H$12,0),0)</f>
        <v>0</v>
      </c>
      <c r="K53" s="208"/>
      <c r="N53" s="664" t="str">
        <f>N52&amp;" Yield p.a"</f>
        <v>DSRA Yield p.a</v>
      </c>
      <c r="O53" s="187" cm="1">
        <f t="array" ref="O53">IFERROR(SUMPRODUCT((USD_yield!$H$9:$H$32)*(USD_yield!$I$9:$I$32)*(USD_yield!$A$9:$A$32=N52))/SUMIFS(USD_yield!$H$9:$H$32,USD_yield!$A$9:$A$32,$N52),0)</f>
        <v>0</v>
      </c>
      <c r="P53" s="665"/>
      <c r="Q53" s="666"/>
      <c r="R53" s="667">
        <f>IFERROR(VLOOKUP($N52,$N$14:$V$24,MATCH(R$37,$N$12:$V$12,0),0),0)</f>
        <v>0</v>
      </c>
      <c r="S53" s="667">
        <f>IFERROR(VLOOKUP($N52,$N$14:$V$24,MATCH(S$37,$N$12:$V$12,0),0),0)</f>
        <v>0</v>
      </c>
      <c r="T53" s="667">
        <f>IFERROR(VLOOKUP($N52,$N$14:$V$24,MATCH(T$37,$N$12:$V$12,0),0),0)</f>
        <v>0</v>
      </c>
      <c r="U53" s="667">
        <f>IFERROR(VLOOKUP($N52,$N$14:$V$24,MATCH(U$37,$N$12:$V$12,0),0),0)</f>
        <v>0</v>
      </c>
      <c r="V53" s="667">
        <f>IFERROR(VLOOKUP($N52,$N$14:$V$24,MATCH(V$37,$N$12:$V$12,0),0),0)</f>
        <v>0</v>
      </c>
      <c r="W53" s="668"/>
    </row>
    <row r="54" spans="1:98" hidden="1">
      <c r="A54" s="199" t="s">
        <v>259</v>
      </c>
      <c r="B54" s="200">
        <f>SUMIFS('Cash Balance'!$L$4:$L$920,'Cash Balance'!$X$4:$X$920,CM_Cash!$A54)</f>
        <v>220746748441</v>
      </c>
      <c r="C54" s="200"/>
      <c r="D54" s="209"/>
      <c r="E54" s="210"/>
      <c r="F54" s="210" t="e">
        <f>VLOOKUP(A53,$A$14:$H$24,MATCH(F$37,$A$12:$H$12,0))</f>
        <v>#N/A</v>
      </c>
      <c r="G54" s="210"/>
      <c r="H54" s="210"/>
      <c r="I54" s="210"/>
      <c r="J54" s="210"/>
      <c r="K54" s="211"/>
      <c r="N54" s="661" t="s">
        <v>259</v>
      </c>
      <c r="O54" s="185">
        <f>SUMIFS('Cash Balance'!$T$4:$T$920,'Cash Balance'!$X$4:$X$920,CM_Cash!$N54)-O52</f>
        <v>-15516068.160000002</v>
      </c>
      <c r="P54" s="186"/>
      <c r="Q54" s="186"/>
      <c r="R54" s="186"/>
      <c r="S54" s="186"/>
      <c r="T54" s="186"/>
      <c r="U54" s="186"/>
      <c r="V54" s="186"/>
      <c r="W54" s="215"/>
    </row>
    <row r="55" spans="1:98" hidden="1">
      <c r="A55" s="204" t="str">
        <f>A54&amp;" Yield p.a"</f>
        <v>Others Yield p.a</v>
      </c>
      <c r="B55" s="205">
        <f>(SUMIFS('Cash Balance'!$L$4:$L$920,'Cash Balance'!$X$4:$X$920,A54,'Cash Balance'!$D$4:$D$920,"&lt;&gt;Saving account")*0.2%+SUMIFS('Cash Balance'!$L$4:$L$920,'Cash Balance'!$X$4:$X$920,A54,'Cash Balance'!$D$4:$D$920,"Saving account")*_xlfn.IFNA(VLOOKUP(A54,VND_rate!$AB$175:$AG$205,6,0),0))/B54</f>
        <v>4.8332986843752519E-4</v>
      </c>
      <c r="C55" s="205"/>
      <c r="D55" s="212"/>
      <c r="E55" s="207">
        <v>2E-3</v>
      </c>
      <c r="F55" s="219">
        <f>VLOOKUP("TCB",$A$14:$H$24,MATCH(F$37,$A$12:$H$12,0),0)</f>
        <v>2.8000000000000001E-2</v>
      </c>
      <c r="G55" s="219">
        <f>VLOOKUP("TCB",$A$14:$H$24,MATCH(G$37,$A$12:$H$12,0),0)</f>
        <v>3.2000000000000001E-2</v>
      </c>
      <c r="H55" s="219">
        <f>VLOOKUP("TCB",$A$14:$H$24,MATCH(H$37,$A$12:$H$12,0),0)</f>
        <v>3.9E-2</v>
      </c>
      <c r="I55" s="219">
        <f>VLOOKUP("TCB",$A$14:$H$24,MATCH(I$37,$A$12:$H$12,0),0)</f>
        <v>3.9E-2</v>
      </c>
      <c r="J55" s="219">
        <f>VLOOKUP("TCB",$A$14:$H$24,MATCH(J$37,$A$12:$H$12,0),0)</f>
        <v>4.8000000000000001E-2</v>
      </c>
      <c r="K55" s="220"/>
      <c r="N55" s="664" t="str">
        <f>N54&amp;" Yield p.a"</f>
        <v>Others Yield p.a</v>
      </c>
      <c r="O55" s="187" cm="1">
        <f t="array" ref="O55">IFERROR(SUMPRODUCT((USD_yield!$H$9:$H$32)*(USD_yield!$I$9:$I$32)*(USD_yield!$A$9:$A$32=N54))/SUMIFS(USD_yield!$H$9:$H$32,USD_yield!$A$9:$A$32,$N54),0)</f>
        <v>0</v>
      </c>
      <c r="P55" s="182"/>
      <c r="Q55" s="181"/>
      <c r="R55" s="667">
        <f>IFERROR(VLOOKUP($N54,$N$14:$V$24,MATCH(R$37,$N$12:$V$12,0),0),0)</f>
        <v>0</v>
      </c>
      <c r="S55" s="667">
        <f>IFERROR(VLOOKUP($N54,$N$14:$V$24,MATCH(S$37,$N$12:$V$12,0),0),0)</f>
        <v>0</v>
      </c>
      <c r="T55" s="667">
        <f>IFERROR(VLOOKUP($N54,$N$14:$V$24,MATCH(T$37,$N$12:$V$12,0),0),0)</f>
        <v>0</v>
      </c>
      <c r="U55" s="667">
        <f>IFERROR(VLOOKUP($N54,$N$14:$V$24,MATCH(U$37,$N$12:$V$12,0),0),0)</f>
        <v>0</v>
      </c>
      <c r="V55" s="667">
        <f>IFERROR(VLOOKUP($N54,$N$14:$V$24,MATCH(V$37,$N$12:$V$12,0),0),0)</f>
        <v>0</v>
      </c>
      <c r="W55" s="216"/>
    </row>
    <row r="56" spans="1:98" hidden="1">
      <c r="A56" s="199" t="s">
        <v>36</v>
      </c>
      <c r="B56" s="414">
        <f>B38+B40+B42+B44+B46+B48+B50+B52+B54</f>
        <v>4140364867830</v>
      </c>
      <c r="C56" s="414"/>
      <c r="D56" s="209"/>
      <c r="E56" s="210"/>
      <c r="F56" s="210">
        <f>VLOOKUP(A55,$A$14:$H$24,MATCH(F$37,$A$12:$H$12,0))</f>
        <v>1.7999999999999999E-2</v>
      </c>
      <c r="G56" s="210"/>
      <c r="H56" s="210"/>
      <c r="I56" s="210"/>
      <c r="J56" s="210"/>
      <c r="K56" s="211"/>
      <c r="N56" s="661" t="s">
        <v>36</v>
      </c>
      <c r="O56" s="415">
        <f>SUM(O54,O52,O50,O48,O46,O44,O42,O40,O38)</f>
        <v>59076.609999999324</v>
      </c>
      <c r="P56" s="186"/>
      <c r="Q56" s="186"/>
      <c r="R56" s="186"/>
      <c r="S56" s="186"/>
      <c r="T56" s="186"/>
      <c r="U56" s="186"/>
      <c r="V56" s="186"/>
      <c r="W56" s="215"/>
    </row>
    <row r="57" spans="1:98" hidden="1">
      <c r="A57" s="669" t="s">
        <v>5367</v>
      </c>
      <c r="B57" s="358">
        <f>(B38*B39+B40*B41+B42*B43+B44*B45+B46*B47+B48*B49+B50*B51+B52*B53+B54*B55)/B56</f>
        <v>0.14554814935284055</v>
      </c>
      <c r="C57" s="358"/>
      <c r="D57" s="213"/>
      <c r="E57" s="670">
        <v>2E-3</v>
      </c>
      <c r="F57" s="671"/>
      <c r="G57" s="671"/>
      <c r="H57" s="671"/>
      <c r="I57" s="671"/>
      <c r="J57" s="671"/>
      <c r="K57" s="672"/>
      <c r="N57" s="1006" t="s">
        <v>5367</v>
      </c>
      <c r="O57" s="187"/>
      <c r="P57" s="673"/>
      <c r="Q57" s="674"/>
      <c r="R57" s="674"/>
      <c r="S57" s="674"/>
      <c r="T57" s="674"/>
      <c r="U57" s="674"/>
      <c r="V57" s="674"/>
      <c r="W57" s="675"/>
    </row>
    <row r="58" spans="1:98" hidden="1"/>
    <row r="59" spans="1:98" hidden="1"/>
    <row r="60" spans="1:98" hidden="1"/>
    <row r="61" spans="1:98" s="2" customFormat="1" ht="13.8" hidden="1">
      <c r="A61" s="61" t="s">
        <v>5368</v>
      </c>
      <c r="B61" s="61"/>
      <c r="C61" s="61"/>
      <c r="D61" s="62"/>
      <c r="E61" s="62"/>
      <c r="F61" s="62"/>
      <c r="G61" s="62"/>
      <c r="H61" s="62"/>
      <c r="I61" s="63"/>
      <c r="J61" s="63"/>
      <c r="K61" s="63"/>
      <c r="L61" s="63"/>
      <c r="M61" s="63"/>
      <c r="N61" s="63"/>
      <c r="O61" s="63"/>
      <c r="P61" s="63"/>
      <c r="Q61" s="63"/>
      <c r="R61" s="63"/>
      <c r="S61" s="63"/>
      <c r="T61" s="63"/>
      <c r="U61" s="63"/>
      <c r="V61" s="63"/>
      <c r="W61" s="63"/>
      <c r="X61" s="62"/>
      <c r="Y61" s="62"/>
      <c r="Z61" s="62"/>
      <c r="AA61" s="62"/>
      <c r="AB61" s="62"/>
      <c r="AC61" s="62"/>
      <c r="AD61" s="62"/>
      <c r="AE61" s="62"/>
      <c r="AF61" s="62"/>
      <c r="AG61" s="62"/>
      <c r="AH61" s="62"/>
      <c r="AI61" s="62"/>
      <c r="AJ61" s="62"/>
      <c r="AK61" s="62"/>
      <c r="AL61" s="62"/>
      <c r="AM61" s="62"/>
      <c r="AN61" s="62"/>
      <c r="AO61" s="62"/>
      <c r="AP61" s="62"/>
      <c r="AQ61" s="62"/>
      <c r="AR61" s="62"/>
      <c r="AS61" s="62"/>
      <c r="AT61" s="62"/>
      <c r="AU61" s="62"/>
      <c r="AV61" s="62"/>
      <c r="AW61" s="62"/>
      <c r="AX61" s="62"/>
      <c r="AY61" s="62"/>
      <c r="AZ61" s="62"/>
      <c r="BA61" s="62"/>
      <c r="BB61" s="62"/>
      <c r="BC61" s="62"/>
      <c r="BD61" s="62"/>
      <c r="BE61" s="62"/>
      <c r="BF61" s="62"/>
      <c r="BG61" s="62"/>
      <c r="BH61" s="62"/>
      <c r="BI61" s="62"/>
      <c r="BJ61" s="62"/>
      <c r="BK61" s="62"/>
      <c r="BL61" s="62"/>
      <c r="BM61" s="62"/>
      <c r="BN61" s="62"/>
      <c r="BO61" s="62"/>
      <c r="BP61" s="62"/>
      <c r="BQ61" s="62"/>
      <c r="BR61" s="62"/>
      <c r="BS61" s="62"/>
      <c r="BT61" s="62"/>
      <c r="BU61" s="62"/>
      <c r="BV61" s="62"/>
      <c r="BW61" s="62"/>
      <c r="BX61" s="62"/>
      <c r="BY61" s="62"/>
      <c r="BZ61" s="62"/>
      <c r="CA61" s="62"/>
      <c r="CB61" s="62"/>
      <c r="CC61" s="62"/>
      <c r="CD61" s="62"/>
      <c r="CE61" s="62"/>
      <c r="CF61" s="62"/>
      <c r="CG61" s="62"/>
      <c r="CH61" s="62"/>
      <c r="CI61" s="62"/>
      <c r="CJ61" s="62"/>
      <c r="CK61" s="62"/>
      <c r="CL61" s="62"/>
      <c r="CM61" s="62"/>
      <c r="CN61" s="62"/>
      <c r="CO61" s="62"/>
      <c r="CP61" s="62"/>
      <c r="CQ61" s="62"/>
      <c r="CR61" s="62"/>
      <c r="CS61" s="62"/>
      <c r="CT61" s="62"/>
    </row>
    <row r="62" spans="1:98" s="2" customFormat="1" ht="13.8" hidden="1">
      <c r="A62" s="104"/>
      <c r="B62" s="104"/>
      <c r="C62" s="104"/>
      <c r="D62" s="105"/>
      <c r="E62" s="105"/>
      <c r="F62" s="105"/>
      <c r="G62" s="105"/>
      <c r="H62" s="105"/>
      <c r="X62" s="105"/>
      <c r="Y62" s="105"/>
      <c r="Z62" s="105"/>
      <c r="AA62" s="105"/>
      <c r="AB62" s="105"/>
      <c r="AC62" s="105"/>
      <c r="AD62" s="105"/>
      <c r="AE62" s="105"/>
      <c r="AF62" s="105"/>
      <c r="AG62" s="105"/>
      <c r="AH62" s="105"/>
      <c r="AI62" s="105"/>
      <c r="AJ62" s="105"/>
      <c r="AK62" s="105"/>
      <c r="AL62" s="10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c r="BI62" s="105"/>
      <c r="BJ62" s="105"/>
      <c r="BK62" s="105"/>
      <c r="BL62" s="105"/>
      <c r="BM62" s="105"/>
      <c r="BN62" s="105"/>
      <c r="BO62" s="105"/>
      <c r="BP62" s="105"/>
      <c r="BQ62" s="105"/>
      <c r="BR62" s="105"/>
      <c r="BS62" s="105"/>
      <c r="BT62" s="105"/>
      <c r="BU62" s="105"/>
      <c r="BV62" s="105"/>
      <c r="BW62" s="105"/>
      <c r="BX62" s="105"/>
      <c r="BY62" s="105"/>
      <c r="BZ62" s="105"/>
      <c r="CA62" s="105"/>
      <c r="CB62" s="105"/>
      <c r="CC62" s="105"/>
      <c r="CD62" s="105"/>
      <c r="CE62" s="105"/>
      <c r="CF62" s="105"/>
      <c r="CG62" s="105"/>
      <c r="CH62" s="105"/>
      <c r="CI62" s="105"/>
      <c r="CJ62" s="105"/>
      <c r="CK62" s="105"/>
      <c r="CL62" s="105"/>
      <c r="CM62" s="105"/>
      <c r="CN62" s="105"/>
      <c r="CO62" s="105"/>
      <c r="CP62" s="105"/>
      <c r="CQ62" s="105"/>
      <c r="CR62" s="105"/>
      <c r="CS62" s="105"/>
      <c r="CT62" s="105"/>
    </row>
    <row r="63" spans="1:98" s="2" customFormat="1" ht="13.8" hidden="1">
      <c r="A63" s="104"/>
      <c r="B63" s="104"/>
      <c r="C63" s="104"/>
      <c r="D63" s="105"/>
      <c r="E63" s="105"/>
      <c r="F63" s="105"/>
      <c r="G63" s="105"/>
      <c r="H63" s="105"/>
      <c r="X63" s="105"/>
      <c r="Y63" s="105"/>
      <c r="Z63" s="105"/>
      <c r="AA63" s="105"/>
      <c r="AB63" s="105"/>
      <c r="AC63" s="105"/>
      <c r="AD63" s="105"/>
      <c r="AE63" s="105"/>
      <c r="AF63" s="105"/>
      <c r="AG63" s="105"/>
      <c r="AH63" s="105"/>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c r="BI63" s="105"/>
      <c r="BJ63" s="105"/>
      <c r="BK63" s="105"/>
      <c r="BL63" s="105"/>
      <c r="BM63" s="105"/>
      <c r="BN63" s="105"/>
      <c r="BO63" s="105"/>
      <c r="BP63" s="105"/>
      <c r="BQ63" s="105"/>
      <c r="BR63" s="105"/>
      <c r="BS63" s="105"/>
      <c r="BT63" s="105"/>
      <c r="BU63" s="105"/>
      <c r="BV63" s="105"/>
      <c r="BW63" s="105"/>
      <c r="BX63" s="105"/>
      <c r="BY63" s="105"/>
      <c r="BZ63" s="105"/>
      <c r="CA63" s="105"/>
      <c r="CB63" s="105"/>
      <c r="CC63" s="105"/>
      <c r="CD63" s="105"/>
      <c r="CE63" s="105"/>
      <c r="CF63" s="105"/>
      <c r="CG63" s="105"/>
      <c r="CH63" s="105"/>
      <c r="CI63" s="105"/>
      <c r="CJ63" s="105"/>
      <c r="CK63" s="105"/>
      <c r="CL63" s="105"/>
      <c r="CM63" s="105"/>
      <c r="CN63" s="105"/>
      <c r="CO63" s="105"/>
      <c r="CP63" s="105"/>
      <c r="CQ63" s="105"/>
      <c r="CR63" s="105"/>
      <c r="CS63" s="105"/>
      <c r="CT63" s="105"/>
    </row>
    <row r="64" spans="1:98" ht="21" hidden="1">
      <c r="A64" s="93" t="s">
        <v>80</v>
      </c>
      <c r="B64" s="94"/>
      <c r="C64" s="94"/>
      <c r="D64" s="94"/>
      <c r="E64" s="94"/>
      <c r="F64" s="94"/>
      <c r="G64" s="94"/>
      <c r="H64" s="94"/>
      <c r="I64" s="94"/>
      <c r="J64" s="94"/>
      <c r="K64" s="94"/>
      <c r="N64" s="93" t="s">
        <v>81</v>
      </c>
    </row>
    <row r="65" spans="1:98" s="2" customFormat="1" hidden="1" thickBot="1">
      <c r="A65" s="104"/>
      <c r="B65" s="104"/>
      <c r="C65" s="104"/>
      <c r="D65" s="105"/>
      <c r="E65" s="105"/>
      <c r="F65" s="105"/>
      <c r="G65" s="105"/>
      <c r="H65" s="105"/>
      <c r="X65" s="105"/>
      <c r="Y65" s="105"/>
      <c r="Z65" s="105"/>
      <c r="AA65" s="105"/>
      <c r="AB65" s="105"/>
      <c r="AC65" s="105"/>
      <c r="AD65" s="105"/>
      <c r="AE65" s="105"/>
      <c r="AF65" s="105"/>
      <c r="AG65" s="105"/>
      <c r="AH65" s="105"/>
      <c r="AI65" s="105"/>
      <c r="AJ65" s="105"/>
      <c r="AK65" s="105"/>
      <c r="AL65" s="10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c r="BI65" s="105"/>
      <c r="BJ65" s="105"/>
      <c r="BK65" s="105"/>
      <c r="BL65" s="105"/>
      <c r="BM65" s="105"/>
      <c r="BN65" s="105"/>
      <c r="BO65" s="105"/>
      <c r="BP65" s="105"/>
      <c r="BQ65" s="105"/>
      <c r="BR65" s="105"/>
      <c r="BS65" s="105"/>
      <c r="BT65" s="105"/>
      <c r="BU65" s="105"/>
      <c r="BV65" s="105"/>
      <c r="BW65" s="105"/>
      <c r="BX65" s="105"/>
      <c r="BY65" s="105"/>
      <c r="BZ65" s="105"/>
      <c r="CA65" s="105"/>
      <c r="CB65" s="105"/>
      <c r="CC65" s="105"/>
      <c r="CD65" s="105"/>
      <c r="CE65" s="105"/>
      <c r="CF65" s="105"/>
      <c r="CG65" s="105"/>
      <c r="CH65" s="105"/>
      <c r="CI65" s="105"/>
      <c r="CJ65" s="105"/>
      <c r="CK65" s="105"/>
      <c r="CL65" s="105"/>
      <c r="CM65" s="105"/>
      <c r="CN65" s="105"/>
      <c r="CO65" s="105"/>
      <c r="CP65" s="105"/>
      <c r="CQ65" s="105"/>
      <c r="CR65" s="105"/>
      <c r="CS65" s="105"/>
      <c r="CT65" s="105"/>
    </row>
    <row r="66" spans="1:98" s="2" customFormat="1" ht="13.8" hidden="1">
      <c r="A66" s="1458" t="s">
        <v>69</v>
      </c>
      <c r="B66" s="1460" t="s">
        <v>5369</v>
      </c>
      <c r="C66" s="1460"/>
      <c r="D66" s="1460"/>
      <c r="E66" s="1460"/>
      <c r="F66" s="1455" t="s">
        <v>5370</v>
      </c>
      <c r="G66" s="1456"/>
      <c r="H66" s="1457"/>
      <c r="I66" s="1461" t="s">
        <v>5371</v>
      </c>
      <c r="J66" s="1461"/>
      <c r="K66" s="1462"/>
      <c r="N66" s="1463" t="s">
        <v>69</v>
      </c>
      <c r="O66" s="1463" t="s">
        <v>5369</v>
      </c>
      <c r="P66" s="1463"/>
      <c r="Q66" s="1463"/>
      <c r="R66" s="1451" t="s">
        <v>5370</v>
      </c>
      <c r="S66" s="1452"/>
      <c r="T66" s="1453"/>
      <c r="U66" s="1454" t="s">
        <v>5371</v>
      </c>
      <c r="V66" s="1454"/>
      <c r="W66" s="1454"/>
      <c r="X66" s="105"/>
      <c r="Y66" s="105"/>
      <c r="Z66" s="105"/>
      <c r="AA66" s="105"/>
      <c r="AB66" s="105"/>
      <c r="AC66" s="105"/>
      <c r="AD66" s="105"/>
      <c r="AE66" s="105"/>
      <c r="AF66" s="105"/>
      <c r="AG66" s="105"/>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c r="BI66" s="105"/>
      <c r="BJ66" s="105"/>
      <c r="BK66" s="105"/>
      <c r="BL66" s="105"/>
      <c r="BM66" s="105"/>
      <c r="BN66" s="105"/>
      <c r="BO66" s="105"/>
      <c r="BP66" s="105"/>
      <c r="BQ66" s="105"/>
      <c r="BR66" s="105"/>
      <c r="BS66" s="105"/>
      <c r="BT66" s="105"/>
      <c r="BU66" s="105"/>
      <c r="BV66" s="105"/>
      <c r="BW66" s="105"/>
      <c r="BX66" s="105"/>
      <c r="BY66" s="105"/>
      <c r="BZ66" s="105"/>
      <c r="CA66" s="105"/>
      <c r="CB66" s="105"/>
      <c r="CC66" s="105"/>
      <c r="CD66" s="105"/>
      <c r="CE66" s="105"/>
      <c r="CF66" s="105"/>
      <c r="CG66" s="105"/>
      <c r="CH66" s="105"/>
      <c r="CI66" s="105"/>
      <c r="CJ66" s="105"/>
      <c r="CK66" s="105"/>
      <c r="CL66" s="105"/>
      <c r="CM66" s="105"/>
      <c r="CN66" s="105"/>
      <c r="CO66" s="105"/>
      <c r="CP66" s="105"/>
      <c r="CQ66" s="105"/>
      <c r="CR66" s="105"/>
      <c r="CS66" s="105"/>
    </row>
    <row r="67" spans="1:98" s="2" customFormat="1" ht="13.8" hidden="1">
      <c r="A67" s="1459"/>
      <c r="B67" s="1279" t="s">
        <v>8</v>
      </c>
      <c r="C67" s="1279"/>
      <c r="D67" s="1279" t="s">
        <v>67</v>
      </c>
      <c r="E67" s="1279" t="s">
        <v>10</v>
      </c>
      <c r="F67" s="1279" t="s">
        <v>8</v>
      </c>
      <c r="G67" s="1279" t="s">
        <v>67</v>
      </c>
      <c r="H67" s="1279" t="s">
        <v>10</v>
      </c>
      <c r="I67" s="1279" t="s">
        <v>8</v>
      </c>
      <c r="J67" s="1279" t="s">
        <v>67</v>
      </c>
      <c r="K67" s="397" t="s">
        <v>10</v>
      </c>
      <c r="N67" s="1463"/>
      <c r="O67" s="1007" t="s">
        <v>8</v>
      </c>
      <c r="P67" s="1007" t="s">
        <v>67</v>
      </c>
      <c r="Q67" s="1007" t="s">
        <v>10</v>
      </c>
      <c r="R67" s="1007" t="s">
        <v>8</v>
      </c>
      <c r="S67" s="1007" t="s">
        <v>67</v>
      </c>
      <c r="T67" s="1007" t="s">
        <v>10</v>
      </c>
      <c r="U67" s="1007" t="s">
        <v>8</v>
      </c>
      <c r="V67" s="1007" t="s">
        <v>67</v>
      </c>
      <c r="W67" s="1007" t="s">
        <v>10</v>
      </c>
      <c r="X67" s="105"/>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c r="BI67" s="105"/>
      <c r="BJ67" s="105"/>
      <c r="BK67" s="105"/>
      <c r="BL67" s="105"/>
      <c r="BM67" s="105"/>
      <c r="BN67" s="105"/>
      <c r="BO67" s="105"/>
      <c r="BP67" s="105"/>
      <c r="BQ67" s="105"/>
      <c r="BR67" s="105"/>
      <c r="BS67" s="105"/>
      <c r="BT67" s="105"/>
      <c r="BU67" s="105"/>
      <c r="BV67" s="105"/>
      <c r="BW67" s="105"/>
      <c r="BX67" s="105"/>
      <c r="BY67" s="105"/>
      <c r="BZ67" s="105"/>
      <c r="CA67" s="105"/>
      <c r="CB67" s="105"/>
      <c r="CC67" s="105"/>
      <c r="CD67" s="105"/>
      <c r="CE67" s="105"/>
      <c r="CF67" s="105"/>
      <c r="CG67" s="105"/>
      <c r="CH67" s="105"/>
      <c r="CI67" s="105"/>
      <c r="CJ67" s="105"/>
      <c r="CK67" s="105"/>
      <c r="CL67" s="105"/>
      <c r="CM67" s="105"/>
      <c r="CN67" s="105"/>
      <c r="CO67" s="105"/>
      <c r="CP67" s="105"/>
      <c r="CQ67" s="105"/>
      <c r="CR67" s="105"/>
      <c r="CS67" s="105"/>
    </row>
    <row r="68" spans="1:98" s="2" customFormat="1" ht="13.8" hidden="1">
      <c r="A68" s="398" t="s">
        <v>5372</v>
      </c>
      <c r="B68" s="393">
        <f>SUBTOTAL(9,B69:B74)</f>
        <v>7092828338</v>
      </c>
      <c r="C68" s="393"/>
      <c r="D68" s="393">
        <f t="shared" ref="D68:K68" si="2">SUBTOTAL(9,D69:D74)</f>
        <v>372261410379</v>
      </c>
      <c r="E68" s="393">
        <f t="shared" si="2"/>
        <v>1130543408207</v>
      </c>
      <c r="F68" s="393">
        <f t="shared" si="2"/>
        <v>0</v>
      </c>
      <c r="G68" s="393">
        <f t="shared" si="2"/>
        <v>0</v>
      </c>
      <c r="H68" s="394">
        <f t="shared" si="2"/>
        <v>0</v>
      </c>
      <c r="I68" s="393">
        <f t="shared" si="2"/>
        <v>7092828338</v>
      </c>
      <c r="J68" s="394">
        <f t="shared" si="2"/>
        <v>372261410379</v>
      </c>
      <c r="K68" s="399">
        <f t="shared" si="2"/>
        <v>1130543408207</v>
      </c>
      <c r="N68" s="398" t="s">
        <v>5372</v>
      </c>
      <c r="O68" s="393">
        <f>SUBTOTAL(9,O69:O74)</f>
        <v>3421.25</v>
      </c>
      <c r="P68" s="393">
        <f t="shared" ref="P68:W68" si="3">SUBTOTAL(9,P69:P74)</f>
        <v>2792.51</v>
      </c>
      <c r="Q68" s="393">
        <f t="shared" si="3"/>
        <v>30673.31</v>
      </c>
      <c r="R68" s="393">
        <f t="shared" si="3"/>
        <v>0</v>
      </c>
      <c r="S68" s="393">
        <f t="shared" si="3"/>
        <v>0</v>
      </c>
      <c r="T68" s="394">
        <f t="shared" si="3"/>
        <v>0</v>
      </c>
      <c r="U68" s="393">
        <f t="shared" si="3"/>
        <v>3421.25</v>
      </c>
      <c r="V68" s="394">
        <f t="shared" si="3"/>
        <v>2792.51</v>
      </c>
      <c r="W68" s="399">
        <f t="shared" si="3"/>
        <v>30673.31</v>
      </c>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c r="BP68" s="105"/>
      <c r="BQ68" s="105"/>
      <c r="BR68" s="105"/>
      <c r="BS68" s="105"/>
      <c r="BT68" s="105"/>
      <c r="BU68" s="105"/>
      <c r="BV68" s="105"/>
      <c r="BW68" s="105"/>
      <c r="BX68" s="105"/>
      <c r="BY68" s="105"/>
      <c r="BZ68" s="105"/>
      <c r="CA68" s="105"/>
      <c r="CB68" s="105"/>
      <c r="CC68" s="105"/>
      <c r="CD68" s="105"/>
      <c r="CE68" s="105"/>
      <c r="CF68" s="105"/>
      <c r="CG68" s="105"/>
      <c r="CH68" s="105"/>
      <c r="CI68" s="105"/>
      <c r="CJ68" s="105"/>
      <c r="CK68" s="105"/>
      <c r="CL68" s="105"/>
      <c r="CM68" s="105"/>
      <c r="CN68" s="105"/>
      <c r="CO68" s="105"/>
      <c r="CP68" s="105"/>
      <c r="CQ68" s="105"/>
      <c r="CR68" s="105"/>
      <c r="CS68" s="105"/>
    </row>
    <row r="69" spans="1:98" s="2" customFormat="1" ht="13.8" hidden="1">
      <c r="A69" s="400" t="s">
        <v>85</v>
      </c>
      <c r="B69" s="395">
        <f>SUMIFS(Table11[CLOSING BALANCE (VND)2],Table11[BRANCH],CM_Cash!$A69,Table11[NAME],B$67,Table11[CURRENCY],$A$64)</f>
        <v>29039515</v>
      </c>
      <c r="C69" s="395"/>
      <c r="D69" s="395">
        <f>SUMIFS(Table11[CLOSING BALANCE (VND)2],Table11[BRANCH],CM_Cash!$A69,Table11[NAME],D$67,Table11[CURRENCY],$A$64)</f>
        <v>261656972354</v>
      </c>
      <c r="E69" s="395">
        <f>SUMIFS(Table11[CLOSING BALANCE (VND)2],Table11[BRANCH],CM_Cash!$A69,Table11[NAME],E$67,Table11[CURRENCY],$A$64)</f>
        <v>538684541934</v>
      </c>
      <c r="F69" s="395">
        <v>0</v>
      </c>
      <c r="G69" s="395"/>
      <c r="H69" s="395"/>
      <c r="I69" s="395">
        <f t="shared" ref="I69:I92" si="4">B69+F69</f>
        <v>29039515</v>
      </c>
      <c r="J69" s="396">
        <f t="shared" ref="J69:J92" si="5">D69+G69</f>
        <v>261656972354</v>
      </c>
      <c r="K69" s="401">
        <f t="shared" ref="K69:K92" si="6">E69+H69</f>
        <v>538684541934</v>
      </c>
      <c r="N69" s="400" t="s">
        <v>85</v>
      </c>
      <c r="O69" s="395">
        <f>SUMIFS(Table11[CLOSING BALANCE (USD)],Table11[BRANCH],CM_Cash!$N69,Table11[NAME],O$67,Table11[CURRENCY],$N$64)</f>
        <v>200</v>
      </c>
      <c r="P69" s="395">
        <f>SUMIFS(Table11[CLOSING BALANCE (USD)],Table11[BRANCH],CM_Cash!$N69,Table11[NAME],P$67,Table11[CURRENCY],$N$64)</f>
        <v>438.53</v>
      </c>
      <c r="Q69" s="395">
        <f>SUMIFS(Table11[CLOSING BALANCE (USD)],Table11[BRANCH],CM_Cash!$N69,Table11[NAME],Q$67,Table11[CURRENCY],$N$64)</f>
        <v>30673.31</v>
      </c>
      <c r="R69" s="395"/>
      <c r="S69" s="395"/>
      <c r="T69" s="395"/>
      <c r="U69" s="395">
        <f t="shared" ref="U69:U92" si="7">O69+R69</f>
        <v>200</v>
      </c>
      <c r="V69" s="396">
        <f t="shared" ref="V69:V92" si="8">P69+S69</f>
        <v>438.53</v>
      </c>
      <c r="W69" s="401">
        <f t="shared" ref="W69:W92" si="9">Q69+T69</f>
        <v>30673.31</v>
      </c>
      <c r="X69" s="105"/>
      <c r="Y69" s="105"/>
      <c r="Z69" s="105"/>
      <c r="AA69" s="105"/>
      <c r="AB69" s="105"/>
      <c r="AC69" s="105"/>
      <c r="AD69" s="105"/>
      <c r="AE69" s="105"/>
      <c r="AF69" s="105"/>
      <c r="AG69" s="105"/>
      <c r="AH69" s="105"/>
      <c r="AI69" s="105"/>
      <c r="AJ69" s="105"/>
      <c r="AK69" s="105"/>
      <c r="AL69" s="105"/>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c r="BI69" s="105"/>
      <c r="BJ69" s="105"/>
      <c r="BK69" s="105"/>
      <c r="BL69" s="105"/>
      <c r="BM69" s="105"/>
      <c r="BN69" s="105"/>
      <c r="BO69" s="105"/>
      <c r="BP69" s="105"/>
      <c r="BQ69" s="105"/>
      <c r="BR69" s="105"/>
      <c r="BS69" s="105"/>
      <c r="BT69" s="105"/>
      <c r="BU69" s="105"/>
      <c r="BV69" s="105"/>
      <c r="BW69" s="105"/>
      <c r="BX69" s="105"/>
      <c r="BY69" s="105"/>
      <c r="BZ69" s="105"/>
      <c r="CA69" s="105"/>
      <c r="CB69" s="105"/>
      <c r="CC69" s="105"/>
      <c r="CD69" s="105"/>
      <c r="CE69" s="105"/>
      <c r="CF69" s="105"/>
      <c r="CG69" s="105"/>
      <c r="CH69" s="105"/>
      <c r="CI69" s="105"/>
      <c r="CJ69" s="105"/>
      <c r="CK69" s="105"/>
      <c r="CL69" s="105"/>
      <c r="CM69" s="105"/>
      <c r="CN69" s="105"/>
      <c r="CO69" s="105"/>
      <c r="CP69" s="105"/>
      <c r="CQ69" s="105"/>
      <c r="CR69" s="105"/>
      <c r="CS69" s="105"/>
    </row>
    <row r="70" spans="1:98" s="2" customFormat="1" ht="13.8" hidden="1">
      <c r="A70" s="400" t="s">
        <v>153</v>
      </c>
      <c r="B70" s="395">
        <f>SUMIFS(Table11[CLOSING BALANCE (VND)2],Table11[BRANCH],CM_Cash!$A70,Table11[NAME],B$67,Table11[CURRENCY],$A$64)</f>
        <v>6956693103</v>
      </c>
      <c r="C70" s="395"/>
      <c r="D70" s="395">
        <f>SUMIFS(Table11[CLOSING BALANCE (VND)2],Table11[BRANCH],CM_Cash!$A70,Table11[NAME],D$67,Table11[CURRENCY],$A$64)</f>
        <v>110083974830</v>
      </c>
      <c r="E70" s="395">
        <f>SUMIFS(Table11[CLOSING BALANCE (VND)2],Table11[BRANCH],CM_Cash!$A70,Table11[NAME],E$67,Table11[CURRENCY],$A$64)</f>
        <v>364728561765</v>
      </c>
      <c r="F70" s="395"/>
      <c r="G70" s="395"/>
      <c r="H70" s="396"/>
      <c r="I70" s="395">
        <f t="shared" si="4"/>
        <v>6956693103</v>
      </c>
      <c r="J70" s="396">
        <f t="shared" si="5"/>
        <v>110083974830</v>
      </c>
      <c r="K70" s="401">
        <f t="shared" si="6"/>
        <v>364728561765</v>
      </c>
      <c r="N70" s="400" t="s">
        <v>153</v>
      </c>
      <c r="O70" s="395">
        <f>SUMIFS(Table11[CLOSING BALANCE (USD)],Table11[BRANCH],CM_Cash!$N70,Table11[NAME],O$67,Table11[CURRENCY],$N$64)</f>
        <v>1503.92</v>
      </c>
      <c r="P70" s="395">
        <f>SUMIFS(Table11[CLOSING BALANCE (USD)],Table11[BRANCH],CM_Cash!$N70,Table11[NAME],P$67,Table11[CURRENCY],$N$64)</f>
        <v>1812.22</v>
      </c>
      <c r="Q70" s="395">
        <f>SUMIFS(Table11[CLOSING BALANCE (USD)],Table11[BRANCH],CM_Cash!$N70,Table11[NAME],Q$67,Table11[CURRENCY],$N$64)</f>
        <v>0</v>
      </c>
      <c r="R70" s="395"/>
      <c r="S70" s="395"/>
      <c r="T70" s="396"/>
      <c r="U70" s="395">
        <f t="shared" si="7"/>
        <v>1503.92</v>
      </c>
      <c r="V70" s="396">
        <f t="shared" si="8"/>
        <v>1812.22</v>
      </c>
      <c r="W70" s="401">
        <f t="shared" si="9"/>
        <v>0</v>
      </c>
      <c r="X70" s="105"/>
      <c r="Y70" s="105"/>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c r="BI70" s="105"/>
      <c r="BJ70" s="105"/>
      <c r="BK70" s="105"/>
      <c r="BL70" s="105"/>
      <c r="BM70" s="105"/>
      <c r="BN70" s="105"/>
      <c r="BO70" s="105"/>
      <c r="BP70" s="105"/>
      <c r="BQ70" s="105"/>
      <c r="BR70" s="105"/>
      <c r="BS70" s="105"/>
      <c r="BT70" s="105"/>
      <c r="BU70" s="105"/>
      <c r="BV70" s="105"/>
      <c r="BW70" s="105"/>
      <c r="BX70" s="105"/>
      <c r="BY70" s="105"/>
      <c r="BZ70" s="105"/>
      <c r="CA70" s="105"/>
      <c r="CB70" s="105"/>
      <c r="CC70" s="105"/>
      <c r="CD70" s="105"/>
      <c r="CE70" s="105"/>
      <c r="CF70" s="105"/>
      <c r="CG70" s="105"/>
      <c r="CH70" s="105"/>
      <c r="CI70" s="105"/>
      <c r="CJ70" s="105"/>
      <c r="CK70" s="105"/>
      <c r="CL70" s="105"/>
      <c r="CM70" s="105"/>
      <c r="CN70" s="105"/>
      <c r="CO70" s="105"/>
      <c r="CP70" s="105"/>
      <c r="CQ70" s="105"/>
      <c r="CR70" s="105"/>
      <c r="CS70" s="105"/>
    </row>
    <row r="71" spans="1:98" s="2" customFormat="1" ht="13.8" hidden="1">
      <c r="A71" s="400" t="s">
        <v>155</v>
      </c>
      <c r="B71" s="395">
        <f>SUMIFS(Table11[CLOSING BALANCE (VND)2],Table11[BRANCH],CM_Cash!$A71,Table11[NAME],B$67,Table11[CURRENCY],$A$64)</f>
        <v>16228220</v>
      </c>
      <c r="C71" s="395"/>
      <c r="D71" s="395">
        <f>SUMIFS(Table11[CLOSING BALANCE (VND)2],Table11[BRANCH],CM_Cash!$A71,Table11[NAME],D$67,Table11[CURRENCY],$A$64)</f>
        <v>343824630</v>
      </c>
      <c r="E71" s="395">
        <f>SUMIFS(Table11[CLOSING BALANCE (VND)2],Table11[BRANCH],CM_Cash!$A71,Table11[NAME],E$67,Table11[CURRENCY],$A$64)</f>
        <v>62609135937</v>
      </c>
      <c r="F71" s="395"/>
      <c r="G71" s="395">
        <v>0</v>
      </c>
      <c r="H71" s="396"/>
      <c r="I71" s="395">
        <f t="shared" si="4"/>
        <v>16228220</v>
      </c>
      <c r="J71" s="396">
        <f t="shared" si="5"/>
        <v>343824630</v>
      </c>
      <c r="K71" s="401">
        <f t="shared" si="6"/>
        <v>62609135937</v>
      </c>
      <c r="N71" s="400" t="s">
        <v>155</v>
      </c>
      <c r="O71" s="395">
        <f>SUMIFS(Table11[CLOSING BALANCE (USD)],Table11[BRANCH],CM_Cash!$N71,Table11[NAME],O$67,Table11[CURRENCY],$N$64)</f>
        <v>200</v>
      </c>
      <c r="P71" s="395">
        <f>SUMIFS(Table11[CLOSING BALANCE (USD)],Table11[BRANCH],CM_Cash!$N71,Table11[NAME],P$67,Table11[CURRENCY],$N$64)</f>
        <v>0</v>
      </c>
      <c r="Q71" s="395">
        <f>SUMIFS(Table11[CLOSING BALANCE (USD)],Table11[BRANCH],CM_Cash!$N71,Table11[NAME],Q$67,Table11[CURRENCY],$N$64)</f>
        <v>0</v>
      </c>
      <c r="R71" s="395"/>
      <c r="S71" s="395"/>
      <c r="T71" s="396"/>
      <c r="U71" s="395">
        <f t="shared" si="7"/>
        <v>200</v>
      </c>
      <c r="V71" s="396">
        <f t="shared" si="8"/>
        <v>0</v>
      </c>
      <c r="W71" s="401">
        <f t="shared" si="9"/>
        <v>0</v>
      </c>
      <c r="X71" s="105"/>
      <c r="Y71" s="105"/>
      <c r="Z71" s="105"/>
      <c r="AA71" s="105"/>
      <c r="AB71" s="105"/>
      <c r="AC71" s="105"/>
      <c r="AD71" s="105"/>
      <c r="AE71" s="105"/>
      <c r="AF71" s="105"/>
      <c r="AG71" s="105"/>
      <c r="AH71" s="105"/>
      <c r="AI71" s="105"/>
      <c r="AJ71" s="105"/>
      <c r="AK71" s="105"/>
      <c r="AL71" s="10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c r="BI71" s="105"/>
      <c r="BJ71" s="105"/>
      <c r="BK71" s="105"/>
      <c r="BL71" s="105"/>
      <c r="BM71" s="105"/>
      <c r="BN71" s="105"/>
      <c r="BO71" s="105"/>
      <c r="BP71" s="105"/>
      <c r="BQ71" s="105"/>
      <c r="BR71" s="105"/>
      <c r="BS71" s="105"/>
      <c r="BT71" s="105"/>
      <c r="BU71" s="105"/>
      <c r="BV71" s="105"/>
      <c r="BW71" s="105"/>
      <c r="BX71" s="105"/>
      <c r="BY71" s="105"/>
      <c r="BZ71" s="105"/>
      <c r="CA71" s="105"/>
      <c r="CB71" s="105"/>
      <c r="CC71" s="105"/>
      <c r="CD71" s="105"/>
      <c r="CE71" s="105"/>
      <c r="CF71" s="105"/>
      <c r="CG71" s="105"/>
      <c r="CH71" s="105"/>
      <c r="CI71" s="105"/>
      <c r="CJ71" s="105"/>
      <c r="CK71" s="105"/>
      <c r="CL71" s="105"/>
      <c r="CM71" s="105"/>
      <c r="CN71" s="105"/>
      <c r="CO71" s="105"/>
      <c r="CP71" s="105"/>
      <c r="CQ71" s="105"/>
      <c r="CR71" s="105"/>
      <c r="CS71" s="105"/>
    </row>
    <row r="72" spans="1:98" s="2" customFormat="1" ht="13.8" hidden="1">
      <c r="A72" s="400" t="s">
        <v>88</v>
      </c>
      <c r="B72" s="395">
        <f>SUMIFS(Table11[CLOSING BALANCE (VND)2],Table11[BRANCH],CM_Cash!$A72,Table11[NAME],B$67,Table11[CURRENCY],$A$64)</f>
        <v>0</v>
      </c>
      <c r="C72" s="395"/>
      <c r="D72" s="395">
        <f>SUMIFS(Table11[CLOSING BALANCE (VND)2],Table11[BRANCH],CM_Cash!$A72,Table11[NAME],D$67,Table11[CURRENCY],$A$64)</f>
        <v>4095449</v>
      </c>
      <c r="E72" s="395">
        <f>SUMIFS(Table11[CLOSING BALANCE (VND)2],Table11[BRANCH],CM_Cash!$A72,Table11[NAME],E$67,Table11[CURRENCY],$A$64)</f>
        <v>105910615882</v>
      </c>
      <c r="F72" s="395"/>
      <c r="G72" s="395"/>
      <c r="H72" s="396"/>
      <c r="I72" s="395">
        <f t="shared" si="4"/>
        <v>0</v>
      </c>
      <c r="J72" s="396">
        <f t="shared" si="5"/>
        <v>4095449</v>
      </c>
      <c r="K72" s="401">
        <f t="shared" si="6"/>
        <v>105910615882</v>
      </c>
      <c r="N72" s="400" t="s">
        <v>88</v>
      </c>
      <c r="O72" s="395">
        <f>SUMIFS(Table11[CLOSING BALANCE (USD)],Table11[BRANCH],CM_Cash!$N72,Table11[NAME],O$67,Table11[CURRENCY],$N$64)</f>
        <v>769</v>
      </c>
      <c r="P72" s="395">
        <f>SUMIFS(Table11[CLOSING BALANCE (USD)],Table11[BRANCH],CM_Cash!$N72,Table11[NAME],P$67,Table11[CURRENCY],$N$64)</f>
        <v>0</v>
      </c>
      <c r="Q72" s="395">
        <f>SUMIFS(Table11[CLOSING BALANCE (USD)],Table11[BRANCH],CM_Cash!$N72,Table11[NAME],Q$67,Table11[CURRENCY],$N$64)</f>
        <v>0</v>
      </c>
      <c r="R72" s="395"/>
      <c r="S72" s="395"/>
      <c r="T72" s="396"/>
      <c r="U72" s="395">
        <f t="shared" si="7"/>
        <v>769</v>
      </c>
      <c r="V72" s="396">
        <f t="shared" si="8"/>
        <v>0</v>
      </c>
      <c r="W72" s="401">
        <f t="shared" si="9"/>
        <v>0</v>
      </c>
      <c r="X72" s="105"/>
      <c r="Y72" s="105"/>
      <c r="Z72" s="105"/>
      <c r="AA72" s="105"/>
      <c r="AB72" s="105"/>
      <c r="AC72" s="105"/>
      <c r="AD72" s="105"/>
      <c r="AE72" s="105"/>
      <c r="AF72" s="105"/>
      <c r="AG72" s="105"/>
      <c r="AH72" s="105"/>
      <c r="AI72" s="105"/>
      <c r="AJ72" s="105"/>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c r="BI72" s="105"/>
      <c r="BJ72" s="105"/>
      <c r="BK72" s="105"/>
      <c r="BL72" s="105"/>
      <c r="BM72" s="105"/>
      <c r="BN72" s="105"/>
      <c r="BO72" s="105"/>
      <c r="BP72" s="105"/>
      <c r="BQ72" s="105"/>
      <c r="BR72" s="105"/>
      <c r="BS72" s="105"/>
      <c r="BT72" s="105"/>
      <c r="BU72" s="105"/>
      <c r="BV72" s="105"/>
      <c r="BW72" s="105"/>
      <c r="BX72" s="105"/>
      <c r="BY72" s="105"/>
      <c r="BZ72" s="105"/>
      <c r="CA72" s="105"/>
      <c r="CB72" s="105"/>
      <c r="CC72" s="105"/>
      <c r="CD72" s="105"/>
      <c r="CE72" s="105"/>
      <c r="CF72" s="105"/>
      <c r="CG72" s="105"/>
      <c r="CH72" s="105"/>
      <c r="CI72" s="105"/>
      <c r="CJ72" s="105"/>
      <c r="CK72" s="105"/>
      <c r="CL72" s="105"/>
      <c r="CM72" s="105"/>
      <c r="CN72" s="105"/>
      <c r="CO72" s="105"/>
      <c r="CP72" s="105"/>
      <c r="CQ72" s="105"/>
      <c r="CR72" s="105"/>
      <c r="CS72" s="105"/>
    </row>
    <row r="73" spans="1:98" s="2" customFormat="1" ht="13.8" hidden="1">
      <c r="A73" s="400" t="s">
        <v>86</v>
      </c>
      <c r="B73" s="395">
        <f>SUMIFS(Table11[CLOSING BALANCE (VND)2],Table11[BRANCH],CM_Cash!$A73,Table11[NAME],B$67,Table11[CURRENCY],$A$64)</f>
        <v>90867500</v>
      </c>
      <c r="C73" s="395"/>
      <c r="D73" s="395">
        <f>SUMIFS(Table11[CLOSING BALANCE (VND)2],Table11[BRANCH],CM_Cash!$A73,Table11[NAME],D$67,Table11[CURRENCY],$A$64)</f>
        <v>172543116</v>
      </c>
      <c r="E73" s="395">
        <f>SUMIFS(Table11[CLOSING BALANCE (VND)2],Table11[BRANCH],CM_Cash!$A73,Table11[NAME],E$67,Table11[CURRENCY],$A$64)</f>
        <v>58610552689</v>
      </c>
      <c r="F73" s="395"/>
      <c r="G73" s="395"/>
      <c r="H73" s="396"/>
      <c r="I73" s="395">
        <f t="shared" si="4"/>
        <v>90867500</v>
      </c>
      <c r="J73" s="396">
        <f t="shared" si="5"/>
        <v>172543116</v>
      </c>
      <c r="K73" s="401">
        <f t="shared" si="6"/>
        <v>58610552689</v>
      </c>
      <c r="N73" s="400" t="s">
        <v>86</v>
      </c>
      <c r="O73" s="395">
        <f>SUMIFS(Table11[CLOSING BALANCE (USD)],Table11[BRANCH],CM_Cash!$N73,Table11[NAME],O$67,Table11[CURRENCY],$N$64)</f>
        <v>748.33</v>
      </c>
      <c r="P73" s="395">
        <f>SUMIFS(Table11[CLOSING BALANCE (USD)],Table11[BRANCH],CM_Cash!$N73,Table11[NAME],P$67,Table11[CURRENCY],$N$64)</f>
        <v>541.76</v>
      </c>
      <c r="Q73" s="395">
        <f>SUMIFS(Table11[CLOSING BALANCE (USD)],Table11[BRANCH],CM_Cash!$N73,Table11[NAME],Q$67,Table11[CURRENCY],$N$64)</f>
        <v>0</v>
      </c>
      <c r="R73" s="395"/>
      <c r="S73" s="395"/>
      <c r="T73" s="396"/>
      <c r="U73" s="395">
        <f t="shared" si="7"/>
        <v>748.33</v>
      </c>
      <c r="V73" s="396">
        <f t="shared" si="8"/>
        <v>541.76</v>
      </c>
      <c r="W73" s="401">
        <f t="shared" si="9"/>
        <v>0</v>
      </c>
      <c r="X73" s="105"/>
      <c r="Y73" s="105"/>
      <c r="Z73" s="105"/>
      <c r="AA73" s="105"/>
      <c r="AB73" s="105"/>
      <c r="AC73" s="105"/>
      <c r="AD73" s="105"/>
      <c r="AE73" s="105"/>
      <c r="AF73" s="105"/>
      <c r="AG73" s="105"/>
      <c r="AH73" s="105"/>
      <c r="AI73" s="105"/>
      <c r="AJ73" s="105"/>
      <c r="AK73" s="105"/>
      <c r="AL73" s="10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c r="BI73" s="105"/>
      <c r="BJ73" s="105"/>
      <c r="BK73" s="105"/>
      <c r="BL73" s="105"/>
      <c r="BM73" s="105"/>
      <c r="BN73" s="105"/>
      <c r="BO73" s="105"/>
      <c r="BP73" s="105"/>
      <c r="BQ73" s="105"/>
      <c r="BR73" s="105"/>
      <c r="BS73" s="105"/>
      <c r="BT73" s="105"/>
      <c r="BU73" s="105"/>
      <c r="BV73" s="105"/>
      <c r="BW73" s="105"/>
      <c r="BX73" s="105"/>
      <c r="BY73" s="105"/>
      <c r="BZ73" s="105"/>
      <c r="CA73" s="105"/>
      <c r="CB73" s="105"/>
      <c r="CC73" s="105"/>
      <c r="CD73" s="105"/>
      <c r="CE73" s="105"/>
      <c r="CF73" s="105"/>
      <c r="CG73" s="105"/>
      <c r="CH73" s="105"/>
      <c r="CI73" s="105"/>
      <c r="CJ73" s="105"/>
      <c r="CK73" s="105"/>
      <c r="CL73" s="105"/>
      <c r="CM73" s="105"/>
      <c r="CN73" s="105"/>
      <c r="CO73" s="105"/>
      <c r="CP73" s="105"/>
      <c r="CQ73" s="105"/>
      <c r="CR73" s="105"/>
      <c r="CS73" s="105"/>
    </row>
    <row r="74" spans="1:98" s="2" customFormat="1" ht="13.8" hidden="1">
      <c r="A74" s="400" t="s">
        <v>190</v>
      </c>
      <c r="B74" s="395">
        <f>SUMIFS(Table11[CLOSING BALANCE (VND)2],Table11[BRANCH],CM_Cash!$A74,Table11[NAME],B$67,Table11[CURRENCY],$A$64)</f>
        <v>0</v>
      </c>
      <c r="C74" s="395"/>
      <c r="D74" s="395">
        <f>SUMIFS(Table11[CLOSING BALANCE (VND)2],Table11[BRANCH],CM_Cash!$A74,Table11[NAME],D$67,Table11[CURRENCY],$A$64)</f>
        <v>0</v>
      </c>
      <c r="E74" s="395">
        <f>SUMIFS(Table11[CLOSING BALANCE (VND)2],Table11[BRANCH],CM_Cash!$A74,Table11[NAME],E$67,Table11[CURRENCY],$A$64)</f>
        <v>0</v>
      </c>
      <c r="F74" s="395"/>
      <c r="G74" s="395"/>
      <c r="H74" s="396"/>
      <c r="I74" s="395">
        <f t="shared" ref="I74" si="10">B74+F74</f>
        <v>0</v>
      </c>
      <c r="J74" s="396">
        <f t="shared" ref="J74" si="11">D74+G74</f>
        <v>0</v>
      </c>
      <c r="K74" s="401">
        <f t="shared" ref="K74" si="12">E74+H74</f>
        <v>0</v>
      </c>
      <c r="N74" s="400" t="s">
        <v>190</v>
      </c>
      <c r="O74" s="395">
        <f>SUMIFS(Table11[CLOSING BALANCE (USD)],Table11[BRANCH],CM_Cash!$N74,Table11[NAME],O$67,Table11[CURRENCY],$N$64)</f>
        <v>0</v>
      </c>
      <c r="P74" s="395">
        <f>SUMIFS(Table11[CLOSING BALANCE (USD)],Table11[BRANCH],CM_Cash!$N74,Table11[NAME],P$67,Table11[CURRENCY],$N$64)</f>
        <v>0</v>
      </c>
      <c r="Q74" s="395">
        <f>SUMIFS(Table11[CLOSING BALANCE (USD)],Table11[BRANCH],CM_Cash!$N74,Table11[NAME],Q$67,Table11[CURRENCY],$N$64)</f>
        <v>0</v>
      </c>
      <c r="R74" s="395"/>
      <c r="S74" s="395"/>
      <c r="T74" s="396"/>
      <c r="U74" s="395">
        <f t="shared" ref="U74" si="13">O74+R74</f>
        <v>0</v>
      </c>
      <c r="V74" s="396">
        <f t="shared" ref="V74" si="14">P74+S74</f>
        <v>0</v>
      </c>
      <c r="W74" s="401">
        <f t="shared" ref="W74" si="15">Q74+T74</f>
        <v>0</v>
      </c>
      <c r="X74" s="105"/>
      <c r="Y74" s="105"/>
      <c r="Z74" s="105"/>
      <c r="AA74" s="105"/>
      <c r="AB74" s="105"/>
      <c r="AC74" s="105"/>
      <c r="AD74" s="105"/>
      <c r="AE74" s="105"/>
      <c r="AF74" s="105"/>
      <c r="AG74" s="105"/>
      <c r="AH74" s="105"/>
      <c r="AI74" s="105"/>
      <c r="AJ74" s="105"/>
      <c r="AK74" s="105"/>
      <c r="AL74" s="105"/>
      <c r="AM74" s="105"/>
      <c r="AN74" s="105"/>
      <c r="AO74" s="105"/>
      <c r="AP74" s="105"/>
      <c r="AQ74" s="105"/>
      <c r="AR74" s="105"/>
      <c r="AS74" s="105"/>
      <c r="AT74" s="105"/>
      <c r="AU74" s="105"/>
      <c r="AV74" s="105"/>
      <c r="AW74" s="105"/>
      <c r="AX74" s="105"/>
      <c r="AY74" s="105"/>
      <c r="AZ74" s="105"/>
      <c r="BA74" s="105"/>
      <c r="BB74" s="105"/>
      <c r="BC74" s="105"/>
      <c r="BD74" s="105"/>
      <c r="BE74" s="105"/>
      <c r="BF74" s="105"/>
      <c r="BG74" s="105"/>
      <c r="BH74" s="105"/>
      <c r="BI74" s="105"/>
      <c r="BJ74" s="105"/>
      <c r="BK74" s="105"/>
      <c r="BL74" s="105"/>
      <c r="BM74" s="105"/>
      <c r="BN74" s="105"/>
      <c r="BO74" s="105"/>
      <c r="BP74" s="105"/>
      <c r="BQ74" s="105"/>
      <c r="BR74" s="105"/>
      <c r="BS74" s="105"/>
      <c r="BT74" s="105"/>
      <c r="BU74" s="105"/>
      <c r="BV74" s="105"/>
      <c r="BW74" s="105"/>
      <c r="BX74" s="105"/>
      <c r="BY74" s="105"/>
      <c r="BZ74" s="105"/>
      <c r="CA74" s="105"/>
      <c r="CB74" s="105"/>
      <c r="CC74" s="105"/>
      <c r="CD74" s="105"/>
      <c r="CE74" s="105"/>
      <c r="CF74" s="105"/>
      <c r="CG74" s="105"/>
      <c r="CH74" s="105"/>
      <c r="CI74" s="105"/>
      <c r="CJ74" s="105"/>
      <c r="CK74" s="105"/>
      <c r="CL74" s="105"/>
      <c r="CM74" s="105"/>
      <c r="CN74" s="105"/>
      <c r="CO74" s="105"/>
      <c r="CP74" s="105"/>
      <c r="CQ74" s="105"/>
      <c r="CR74" s="105"/>
      <c r="CS74" s="105"/>
    </row>
    <row r="75" spans="1:98" s="2" customFormat="1" ht="13.8" hidden="1">
      <c r="A75" s="398" t="s">
        <v>114</v>
      </c>
      <c r="B75" s="393">
        <f>SUBTOTAL(9,B76:B78)</f>
        <v>38060079</v>
      </c>
      <c r="C75" s="393"/>
      <c r="D75" s="393">
        <f>SUBTOTAL(9,D76:D78)</f>
        <v>5452129673</v>
      </c>
      <c r="E75" s="393">
        <f>SUBTOTAL(9,E76:E78)</f>
        <v>370448196380</v>
      </c>
      <c r="F75" s="393"/>
      <c r="G75" s="393"/>
      <c r="H75" s="394"/>
      <c r="I75" s="393">
        <f t="shared" si="4"/>
        <v>38060079</v>
      </c>
      <c r="J75" s="394">
        <f t="shared" si="5"/>
        <v>5452129673</v>
      </c>
      <c r="K75" s="399">
        <f t="shared" si="6"/>
        <v>370448196380</v>
      </c>
      <c r="N75" s="398" t="s">
        <v>114</v>
      </c>
      <c r="O75" s="393">
        <f>SUBTOTAL(9,O76:O78)</f>
        <v>64.799999999999983</v>
      </c>
      <c r="P75" s="393">
        <f>SUBTOTAL(9,P76:P78)</f>
        <v>211.61000000000007</v>
      </c>
      <c r="Q75" s="393">
        <f>SUBTOTAL(9,Q76:Q78)</f>
        <v>302.68999999999573</v>
      </c>
      <c r="R75" s="393"/>
      <c r="S75" s="393"/>
      <c r="T75" s="394"/>
      <c r="U75" s="393">
        <f t="shared" si="7"/>
        <v>64.799999999999983</v>
      </c>
      <c r="V75" s="394">
        <f t="shared" si="8"/>
        <v>211.61000000000007</v>
      </c>
      <c r="W75" s="399">
        <f t="shared" si="9"/>
        <v>302.68999999999573</v>
      </c>
      <c r="X75" s="105"/>
      <c r="Y75" s="105"/>
      <c r="Z75" s="105"/>
      <c r="AA75" s="105"/>
      <c r="AB75" s="105"/>
      <c r="AC75" s="105"/>
      <c r="AD75" s="105"/>
      <c r="AE75" s="105"/>
      <c r="AF75" s="105"/>
      <c r="AG75" s="105"/>
      <c r="AH75" s="105"/>
      <c r="AI75" s="105"/>
      <c r="AJ75" s="105"/>
      <c r="AK75" s="105"/>
      <c r="AL75" s="105"/>
      <c r="AM75" s="105"/>
      <c r="AN75" s="105"/>
      <c r="AO75" s="105"/>
      <c r="AP75" s="105"/>
      <c r="AQ75" s="105"/>
      <c r="AR75" s="105"/>
      <c r="AS75" s="105"/>
      <c r="AT75" s="105"/>
      <c r="AU75" s="105"/>
      <c r="AV75" s="105"/>
      <c r="AW75" s="105"/>
      <c r="AX75" s="105"/>
      <c r="AY75" s="105"/>
      <c r="AZ75" s="105"/>
      <c r="BA75" s="105"/>
      <c r="BB75" s="105"/>
      <c r="BC75" s="105"/>
      <c r="BD75" s="105"/>
      <c r="BE75" s="105"/>
      <c r="BF75" s="105"/>
      <c r="BG75" s="105"/>
      <c r="BH75" s="105"/>
      <c r="BI75" s="105"/>
      <c r="BJ75" s="105"/>
      <c r="BK75" s="105"/>
      <c r="BL75" s="105"/>
      <c r="BM75" s="105"/>
      <c r="BN75" s="105"/>
      <c r="BO75" s="105"/>
      <c r="BP75" s="105"/>
      <c r="BQ75" s="105"/>
      <c r="BR75" s="105"/>
      <c r="BS75" s="105"/>
      <c r="BT75" s="105"/>
      <c r="BU75" s="105"/>
      <c r="BV75" s="105"/>
      <c r="BW75" s="105"/>
      <c r="BX75" s="105"/>
      <c r="BY75" s="105"/>
      <c r="BZ75" s="105"/>
      <c r="CA75" s="105"/>
      <c r="CB75" s="105"/>
      <c r="CC75" s="105"/>
      <c r="CD75" s="105"/>
      <c r="CE75" s="105"/>
      <c r="CF75" s="105"/>
      <c r="CG75" s="105"/>
      <c r="CH75" s="105"/>
      <c r="CI75" s="105"/>
      <c r="CJ75" s="105"/>
      <c r="CK75" s="105"/>
      <c r="CL75" s="105"/>
      <c r="CM75" s="105"/>
      <c r="CN75" s="105"/>
      <c r="CO75" s="105"/>
      <c r="CP75" s="105"/>
      <c r="CQ75" s="105"/>
      <c r="CR75" s="105"/>
      <c r="CS75" s="105"/>
    </row>
    <row r="76" spans="1:98" s="2" customFormat="1" ht="13.8" hidden="1">
      <c r="A76" s="400" t="s">
        <v>92</v>
      </c>
      <c r="B76" s="395">
        <f>SUMIFS(Table11[CLOSING BALANCE (VND)2],Table11[BRANCH],CM_Cash!$A76,Table11[NAME],B$67,Table11[CURRENCY],$A$64)</f>
        <v>38060079</v>
      </c>
      <c r="C76" s="395"/>
      <c r="D76" s="395">
        <f>SUMIFS(Table11[CLOSING BALANCE (VND)2],Table11[BRANCH],CM_Cash!$A76,Table11[NAME],D$67,Table11[CURRENCY],$A$64)</f>
        <v>5452129673</v>
      </c>
      <c r="E76" s="395">
        <f>SUMIFS(Table11[CLOSING BALANCE (VND)2],Table11[BRANCH],CM_Cash!$A76,Table11[NAME],E$67,Table11[CURRENCY],$A$64)</f>
        <v>288188300587</v>
      </c>
      <c r="F76" s="395"/>
      <c r="G76" s="395"/>
      <c r="H76" s="396"/>
      <c r="I76" s="395">
        <f t="shared" si="4"/>
        <v>38060079</v>
      </c>
      <c r="J76" s="396">
        <f t="shared" si="5"/>
        <v>5452129673</v>
      </c>
      <c r="K76" s="401">
        <f t="shared" si="6"/>
        <v>288188300587</v>
      </c>
      <c r="N76" s="400" t="s">
        <v>92</v>
      </c>
      <c r="O76" s="395">
        <f>SUMIFS(Table11[CLOSING BALANCE (USD)],Table11[BRANCH],CM_Cash!$N76,Table11[NAME],O$67,Table11[CURRENCY],$N$64)</f>
        <v>64.799999999999983</v>
      </c>
      <c r="P76" s="395">
        <f>SUMIFS(Table11[CLOSING BALANCE (USD)],Table11[BRANCH],CM_Cash!$N76,Table11[NAME],P$67,Table11[CURRENCY],$N$64)</f>
        <v>211.61000000000007</v>
      </c>
      <c r="Q76" s="395">
        <f>SUMIFS(Table11[CLOSING BALANCE (USD)],Table11[BRANCH],CM_Cash!$N76,Table11[NAME],Q$67,Table11[CURRENCY],$N$64)</f>
        <v>161.49000000000004</v>
      </c>
      <c r="R76" s="395"/>
      <c r="S76" s="395"/>
      <c r="T76" s="396"/>
      <c r="U76" s="395">
        <f t="shared" si="7"/>
        <v>64.799999999999983</v>
      </c>
      <c r="V76" s="396">
        <f t="shared" si="8"/>
        <v>211.61000000000007</v>
      </c>
      <c r="W76" s="401">
        <f t="shared" si="9"/>
        <v>161.49000000000004</v>
      </c>
      <c r="X76" s="105"/>
      <c r="Y76" s="105"/>
      <c r="Z76" s="105"/>
      <c r="AA76" s="105"/>
      <c r="AB76" s="105"/>
      <c r="AC76" s="105"/>
      <c r="AD76" s="105"/>
      <c r="AE76" s="105"/>
      <c r="AF76" s="105"/>
      <c r="AG76" s="105"/>
      <c r="AH76" s="105"/>
      <c r="AI76" s="105"/>
      <c r="AJ76" s="105"/>
      <c r="AK76" s="105"/>
      <c r="AL76" s="10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c r="BI76" s="105"/>
      <c r="BJ76" s="105"/>
      <c r="BK76" s="105"/>
      <c r="BL76" s="105"/>
      <c r="BM76" s="105"/>
      <c r="BN76" s="105"/>
      <c r="BO76" s="105"/>
      <c r="BP76" s="105"/>
      <c r="BQ76" s="105"/>
      <c r="BR76" s="105"/>
      <c r="BS76" s="105"/>
      <c r="BT76" s="105"/>
      <c r="BU76" s="105"/>
      <c r="BV76" s="105"/>
      <c r="BW76" s="105"/>
      <c r="BX76" s="105"/>
      <c r="BY76" s="105"/>
      <c r="BZ76" s="105"/>
      <c r="CA76" s="105"/>
      <c r="CB76" s="105"/>
      <c r="CC76" s="105"/>
      <c r="CD76" s="105"/>
      <c r="CE76" s="105"/>
      <c r="CF76" s="105"/>
      <c r="CG76" s="105"/>
      <c r="CH76" s="105"/>
      <c r="CI76" s="105"/>
      <c r="CJ76" s="105"/>
      <c r="CK76" s="105"/>
      <c r="CL76" s="105"/>
      <c r="CM76" s="105"/>
      <c r="CN76" s="105"/>
      <c r="CO76" s="105"/>
      <c r="CP76" s="105"/>
      <c r="CQ76" s="105"/>
      <c r="CR76" s="105"/>
      <c r="CS76" s="105"/>
    </row>
    <row r="77" spans="1:98" s="2" customFormat="1" ht="13.8" hidden="1">
      <c r="A77" s="400" t="s">
        <v>93</v>
      </c>
      <c r="B77" s="395">
        <f>SUMIFS(Table11[CLOSING BALANCE (VND)2],Table11[BRANCH],CM_Cash!$A77,Table11[NAME],B$67,Table11[CURRENCY],$A$64)</f>
        <v>0</v>
      </c>
      <c r="C77" s="395"/>
      <c r="D77" s="395">
        <f>SUMIFS(Table11[CLOSING BALANCE (VND)2],Table11[BRANCH],CM_Cash!$A77,Table11[NAME],D$67,Table11[CURRENCY],$A$64)</f>
        <v>0</v>
      </c>
      <c r="E77" s="395">
        <f>SUMIFS(Table11[CLOSING BALANCE (VND)2],Table11[BRANCH],CM_Cash!$A77,Table11[NAME],E$67,Table11[CURRENCY],$A$64)</f>
        <v>82158267897</v>
      </c>
      <c r="F77" s="395"/>
      <c r="G77" s="395"/>
      <c r="H77" s="396"/>
      <c r="I77" s="395">
        <f t="shared" si="4"/>
        <v>0</v>
      </c>
      <c r="J77" s="396">
        <f t="shared" si="5"/>
        <v>0</v>
      </c>
      <c r="K77" s="401">
        <f t="shared" si="6"/>
        <v>82158267897</v>
      </c>
      <c r="N77" s="400" t="s">
        <v>93</v>
      </c>
      <c r="O77" s="395">
        <f>SUMIFS(Table11[CLOSING BALANCE (USD)],Table11[BRANCH],CM_Cash!$N77,Table11[NAME],O$67,Table11[CURRENCY],$N$64)</f>
        <v>0</v>
      </c>
      <c r="P77" s="395">
        <f>SUMIFS(Table11[CLOSING BALANCE (USD)],Table11[BRANCH],CM_Cash!$N77,Table11[NAME],P$67,Table11[CURRENCY],$N$64)</f>
        <v>0</v>
      </c>
      <c r="Q77" s="395">
        <f>SUMIFS(Table11[CLOSING BALANCE (USD)],Table11[BRANCH],CM_Cash!$N77,Table11[NAME],Q$67,Table11[CURRENCY],$N$64)</f>
        <v>0</v>
      </c>
      <c r="R77" s="395"/>
      <c r="S77" s="395"/>
      <c r="T77" s="396"/>
      <c r="U77" s="395">
        <f t="shared" si="7"/>
        <v>0</v>
      </c>
      <c r="V77" s="396">
        <f t="shared" si="8"/>
        <v>0</v>
      </c>
      <c r="W77" s="401">
        <f t="shared" si="9"/>
        <v>0</v>
      </c>
      <c r="X77" s="105"/>
      <c r="Y77" s="105"/>
      <c r="Z77" s="105"/>
      <c r="AA77" s="105"/>
      <c r="AB77" s="105"/>
      <c r="AC77" s="105"/>
      <c r="AD77" s="105"/>
      <c r="AE77" s="105"/>
      <c r="AF77" s="105"/>
      <c r="AG77" s="105"/>
      <c r="AH77" s="105"/>
      <c r="AI77" s="105"/>
      <c r="AJ77" s="105"/>
      <c r="AK77" s="105"/>
      <c r="AL77" s="105"/>
      <c r="AM77" s="105"/>
      <c r="AN77" s="105"/>
      <c r="AO77" s="105"/>
      <c r="AP77" s="105"/>
      <c r="AQ77" s="105"/>
      <c r="AR77" s="105"/>
      <c r="AS77" s="105"/>
      <c r="AT77" s="105"/>
      <c r="AU77" s="105"/>
      <c r="AV77" s="105"/>
      <c r="AW77" s="105"/>
      <c r="AX77" s="105"/>
      <c r="AY77" s="105"/>
      <c r="AZ77" s="105"/>
      <c r="BA77" s="105"/>
      <c r="BB77" s="105"/>
      <c r="BC77" s="105"/>
      <c r="BD77" s="105"/>
      <c r="BE77" s="105"/>
      <c r="BF77" s="105"/>
      <c r="BG77" s="105"/>
      <c r="BH77" s="105"/>
      <c r="BI77" s="105"/>
      <c r="BJ77" s="105"/>
      <c r="BK77" s="105"/>
      <c r="BL77" s="105"/>
      <c r="BM77" s="105"/>
      <c r="BN77" s="105"/>
      <c r="BO77" s="105"/>
      <c r="BP77" s="105"/>
      <c r="BQ77" s="105"/>
      <c r="BR77" s="105"/>
      <c r="BS77" s="105"/>
      <c r="BT77" s="105"/>
      <c r="BU77" s="105"/>
      <c r="BV77" s="105"/>
      <c r="BW77" s="105"/>
      <c r="BX77" s="105"/>
      <c r="BY77" s="105"/>
      <c r="BZ77" s="105"/>
      <c r="CA77" s="105"/>
      <c r="CB77" s="105"/>
      <c r="CC77" s="105"/>
      <c r="CD77" s="105"/>
      <c r="CE77" s="105"/>
      <c r="CF77" s="105"/>
      <c r="CG77" s="105"/>
      <c r="CH77" s="105"/>
      <c r="CI77" s="105"/>
      <c r="CJ77" s="105"/>
      <c r="CK77" s="105"/>
      <c r="CL77" s="105"/>
      <c r="CM77" s="105"/>
      <c r="CN77" s="105"/>
      <c r="CO77" s="105"/>
      <c r="CP77" s="105"/>
      <c r="CQ77" s="105"/>
      <c r="CR77" s="105"/>
      <c r="CS77" s="105"/>
    </row>
    <row r="78" spans="1:98" s="2" customFormat="1" ht="13.8" hidden="1">
      <c r="A78" s="400" t="s">
        <v>94</v>
      </c>
      <c r="B78" s="395">
        <f>SUMIFS(Table11[CLOSING BALANCE (VND)2],Table11[BRANCH],CM_Cash!$A78,Table11[NAME],B$67,Table11[CURRENCY],$A$64)</f>
        <v>0</v>
      </c>
      <c r="C78" s="395"/>
      <c r="D78" s="395">
        <f>SUMIFS(Table11[CLOSING BALANCE (VND)2],Table11[BRANCH],CM_Cash!$A78,Table11[NAME],D$67,Table11[CURRENCY],$A$64)</f>
        <v>0</v>
      </c>
      <c r="E78" s="395">
        <f>SUMIFS(Table11[CLOSING BALANCE (VND)2],Table11[BRANCH],CM_Cash!$A78,Table11[NAME],E$67,Table11[CURRENCY],$A$64)</f>
        <v>101627896</v>
      </c>
      <c r="F78" s="395"/>
      <c r="G78" s="395"/>
      <c r="H78" s="396"/>
      <c r="I78" s="395">
        <f t="shared" si="4"/>
        <v>0</v>
      </c>
      <c r="J78" s="396">
        <f t="shared" si="5"/>
        <v>0</v>
      </c>
      <c r="K78" s="401">
        <f t="shared" si="6"/>
        <v>101627896</v>
      </c>
      <c r="N78" s="400" t="s">
        <v>94</v>
      </c>
      <c r="O78" s="395">
        <f>SUMIFS(Table11[CLOSING BALANCE (USD)],Table11[BRANCH],CM_Cash!$N78,Table11[NAME],O$67,Table11[CURRENCY],$N$64)</f>
        <v>0</v>
      </c>
      <c r="P78" s="395">
        <f>SUMIFS(Table11[CLOSING BALANCE (USD)],Table11[BRANCH],CM_Cash!$N78,Table11[NAME],P$67,Table11[CURRENCY],$N$64)</f>
        <v>0</v>
      </c>
      <c r="Q78" s="395">
        <f>SUMIFS(Table11[CLOSING BALANCE (USD)],Table11[BRANCH],CM_Cash!$N78,Table11[NAME],Q$67,Table11[CURRENCY],$N$64)</f>
        <v>141.19999999999567</v>
      </c>
      <c r="R78" s="395"/>
      <c r="S78" s="395"/>
      <c r="T78" s="396"/>
      <c r="U78" s="395">
        <f t="shared" si="7"/>
        <v>0</v>
      </c>
      <c r="V78" s="396">
        <f t="shared" si="8"/>
        <v>0</v>
      </c>
      <c r="W78" s="401">
        <f t="shared" si="9"/>
        <v>141.19999999999567</v>
      </c>
      <c r="X78" s="105"/>
      <c r="Y78" s="105"/>
      <c r="Z78" s="105"/>
      <c r="AA78" s="105"/>
      <c r="AB78" s="105"/>
      <c r="AC78" s="105"/>
      <c r="AD78" s="105"/>
      <c r="AE78" s="105"/>
      <c r="AF78" s="105"/>
      <c r="AG78" s="105"/>
      <c r="AH78" s="105"/>
      <c r="AI78" s="105"/>
      <c r="AJ78" s="105"/>
      <c r="AK78" s="105"/>
      <c r="AL78" s="105"/>
      <c r="AM78" s="105"/>
      <c r="AN78" s="105"/>
      <c r="AO78" s="105"/>
      <c r="AP78" s="105"/>
      <c r="AQ78" s="105"/>
      <c r="AR78" s="105"/>
      <c r="AS78" s="105"/>
      <c r="AT78" s="105"/>
      <c r="AU78" s="105"/>
      <c r="AV78" s="105"/>
      <c r="AW78" s="105"/>
      <c r="AX78" s="105"/>
      <c r="AY78" s="105"/>
      <c r="AZ78" s="105"/>
      <c r="BA78" s="105"/>
      <c r="BB78" s="105"/>
      <c r="BC78" s="105"/>
      <c r="BD78" s="105"/>
      <c r="BE78" s="105"/>
      <c r="BF78" s="105"/>
      <c r="BG78" s="105"/>
      <c r="BH78" s="105"/>
      <c r="BI78" s="105"/>
      <c r="BJ78" s="105"/>
      <c r="BK78" s="105"/>
      <c r="BL78" s="105"/>
      <c r="BM78" s="105"/>
      <c r="BN78" s="105"/>
      <c r="BO78" s="105"/>
      <c r="BP78" s="105"/>
      <c r="BQ78" s="105"/>
      <c r="BR78" s="105"/>
      <c r="BS78" s="105"/>
      <c r="BT78" s="105"/>
      <c r="BU78" s="105"/>
      <c r="BV78" s="105"/>
      <c r="BW78" s="105"/>
      <c r="BX78" s="105"/>
      <c r="BY78" s="105"/>
      <c r="BZ78" s="105"/>
      <c r="CA78" s="105"/>
      <c r="CB78" s="105"/>
      <c r="CC78" s="105"/>
      <c r="CD78" s="105"/>
      <c r="CE78" s="105"/>
      <c r="CF78" s="105"/>
      <c r="CG78" s="105"/>
      <c r="CH78" s="105"/>
      <c r="CI78" s="105"/>
      <c r="CJ78" s="105"/>
      <c r="CK78" s="105"/>
      <c r="CL78" s="105"/>
      <c r="CM78" s="105"/>
      <c r="CN78" s="105"/>
      <c r="CO78" s="105"/>
      <c r="CP78" s="105"/>
      <c r="CQ78" s="105"/>
      <c r="CR78" s="105"/>
      <c r="CS78" s="105"/>
    </row>
    <row r="79" spans="1:98" s="2" customFormat="1" ht="13.8" hidden="1">
      <c r="A79" s="398" t="s">
        <v>5373</v>
      </c>
      <c r="B79" s="393">
        <f>SUBTOTAL(9,B80:B82)</f>
        <v>711704863</v>
      </c>
      <c r="C79" s="393"/>
      <c r="D79" s="393">
        <f>SUBTOTAL(9,D80:D82)</f>
        <v>1269871359781</v>
      </c>
      <c r="E79" s="393">
        <f>SUBTOTAL(9,E80:E82)</f>
        <v>290423394992</v>
      </c>
      <c r="F79" s="393"/>
      <c r="G79" s="393"/>
      <c r="H79" s="394"/>
      <c r="I79" s="393">
        <f t="shared" si="4"/>
        <v>711704863</v>
      </c>
      <c r="J79" s="394">
        <f t="shared" si="5"/>
        <v>1269871359781</v>
      </c>
      <c r="K79" s="399">
        <f t="shared" si="6"/>
        <v>290423394992</v>
      </c>
      <c r="N79" s="398" t="s">
        <v>5373</v>
      </c>
      <c r="O79" s="393">
        <f>SUBTOTAL(9,O80:O82)</f>
        <v>1711.0500000000002</v>
      </c>
      <c r="P79" s="393">
        <f>SUBTOTAL(9,P80:P82)</f>
        <v>698.69999999999982</v>
      </c>
      <c r="Q79" s="393">
        <f>SUBTOTAL(9,Q80:Q82)</f>
        <v>5589.319999999997</v>
      </c>
      <c r="R79" s="393"/>
      <c r="S79" s="393"/>
      <c r="T79" s="394"/>
      <c r="U79" s="393">
        <f t="shared" si="7"/>
        <v>1711.0500000000002</v>
      </c>
      <c r="V79" s="394">
        <f t="shared" si="8"/>
        <v>698.69999999999982</v>
      </c>
      <c r="W79" s="399">
        <f t="shared" si="9"/>
        <v>5589.319999999997</v>
      </c>
      <c r="X79" s="105"/>
      <c r="Y79" s="105"/>
      <c r="Z79" s="105"/>
      <c r="AA79" s="105"/>
      <c r="AB79" s="105"/>
      <c r="AC79" s="105"/>
      <c r="AD79" s="105"/>
      <c r="AE79" s="105"/>
      <c r="AF79" s="105"/>
      <c r="AG79" s="105"/>
      <c r="AH79" s="105"/>
      <c r="AI79" s="105"/>
      <c r="AJ79" s="105"/>
      <c r="AK79" s="105"/>
      <c r="AL79" s="105"/>
      <c r="AM79" s="105"/>
      <c r="AN79" s="105"/>
      <c r="AO79" s="105"/>
      <c r="AP79" s="105"/>
      <c r="AQ79" s="105"/>
      <c r="AR79" s="105"/>
      <c r="AS79" s="105"/>
      <c r="AT79" s="105"/>
      <c r="AU79" s="105"/>
      <c r="AV79" s="105"/>
      <c r="AW79" s="105"/>
      <c r="AX79" s="105"/>
      <c r="AY79" s="105"/>
      <c r="AZ79" s="105"/>
      <c r="BA79" s="105"/>
      <c r="BB79" s="105"/>
      <c r="BC79" s="105"/>
      <c r="BD79" s="105"/>
      <c r="BE79" s="105"/>
      <c r="BF79" s="105"/>
      <c r="BG79" s="105"/>
      <c r="BH79" s="105"/>
      <c r="BI79" s="105"/>
      <c r="BJ79" s="105"/>
      <c r="BK79" s="105"/>
      <c r="BL79" s="105"/>
      <c r="BM79" s="105"/>
      <c r="BN79" s="105"/>
      <c r="BO79" s="105"/>
      <c r="BP79" s="105"/>
      <c r="BQ79" s="105"/>
      <c r="BR79" s="105"/>
      <c r="BS79" s="105"/>
      <c r="BT79" s="105"/>
      <c r="BU79" s="105"/>
      <c r="BV79" s="105"/>
      <c r="BW79" s="105"/>
      <c r="BX79" s="105"/>
      <c r="BY79" s="105"/>
      <c r="BZ79" s="105"/>
      <c r="CA79" s="105"/>
      <c r="CB79" s="105"/>
      <c r="CC79" s="105"/>
      <c r="CD79" s="105"/>
      <c r="CE79" s="105"/>
      <c r="CF79" s="105"/>
      <c r="CG79" s="105"/>
      <c r="CH79" s="105"/>
      <c r="CI79" s="105"/>
      <c r="CJ79" s="105"/>
      <c r="CK79" s="105"/>
      <c r="CL79" s="105"/>
      <c r="CM79" s="105"/>
      <c r="CN79" s="105"/>
      <c r="CO79" s="105"/>
      <c r="CP79" s="105"/>
      <c r="CQ79" s="105"/>
      <c r="CR79" s="105"/>
      <c r="CS79" s="105"/>
    </row>
    <row r="80" spans="1:98" s="2" customFormat="1" ht="13.8" hidden="1">
      <c r="A80" s="400" t="s">
        <v>91</v>
      </c>
      <c r="B80" s="395">
        <f>SUMIFS(Table11[CLOSING BALANCE (VND)2],Table11[BRANCH],CM_Cash!$A80,Table11[NAME],B$67,Table11[CURRENCY],$A$64)</f>
        <v>282241823</v>
      </c>
      <c r="C80" s="395"/>
      <c r="D80" s="395">
        <f>SUMIFS(Table11[CLOSING BALANCE (VND)2],Table11[BRANCH],CM_Cash!$A80,Table11[NAME],D$67,Table11[CURRENCY],$A$64)</f>
        <v>1267836433566</v>
      </c>
      <c r="E80" s="395">
        <f>SUMIFS(Table11[CLOSING BALANCE (VND)2],Table11[BRANCH],CM_Cash!$A80,Table11[NAME],E$67,Table11[CURRENCY],$A$64)</f>
        <v>171248254161</v>
      </c>
      <c r="F80" s="395"/>
      <c r="G80" s="395"/>
      <c r="H80" s="396"/>
      <c r="I80" s="395">
        <f t="shared" si="4"/>
        <v>282241823</v>
      </c>
      <c r="J80" s="396">
        <f t="shared" si="5"/>
        <v>1267836433566</v>
      </c>
      <c r="K80" s="401">
        <f t="shared" si="6"/>
        <v>171248254161</v>
      </c>
      <c r="N80" s="400" t="s">
        <v>91</v>
      </c>
      <c r="O80" s="395">
        <f>SUMIFS(Table11[CLOSING BALANCE (USD)],Table11[BRANCH],CM_Cash!$N80,Table11[NAME],O$67,Table11[CURRENCY],$N$64)</f>
        <v>1068.3600000000001</v>
      </c>
      <c r="P80" s="395">
        <f>SUMIFS(Table11[CLOSING BALANCE (USD)],Table11[BRANCH],CM_Cash!$N80,Table11[NAME],P$67,Table11[CURRENCY],$N$64)</f>
        <v>92.500000000000014</v>
      </c>
      <c r="Q80" s="395">
        <f>SUMIFS(Table11[CLOSING BALANCE (USD)],Table11[BRANCH],CM_Cash!$N80,Table11[NAME],Q$67,Table11[CURRENCY],$N$64)</f>
        <v>5589.319999999997</v>
      </c>
      <c r="R80" s="395"/>
      <c r="S80" s="395"/>
      <c r="T80" s="396"/>
      <c r="U80" s="395">
        <f t="shared" si="7"/>
        <v>1068.3600000000001</v>
      </c>
      <c r="V80" s="396">
        <f t="shared" si="8"/>
        <v>92.500000000000014</v>
      </c>
      <c r="W80" s="401">
        <f t="shared" si="9"/>
        <v>5589.319999999997</v>
      </c>
      <c r="X80" s="105"/>
      <c r="Y80" s="105"/>
      <c r="Z80" s="105"/>
      <c r="AA80" s="105"/>
      <c r="AB80" s="105"/>
      <c r="AC80" s="105"/>
      <c r="AD80" s="105"/>
      <c r="AE80" s="105"/>
      <c r="AF80" s="105"/>
      <c r="AG80" s="105"/>
      <c r="AH80" s="105"/>
      <c r="AI80" s="105"/>
      <c r="AJ80" s="105"/>
      <c r="AK80" s="105"/>
      <c r="AL80" s="105"/>
      <c r="AM80" s="105"/>
      <c r="AN80" s="105"/>
      <c r="AO80" s="105"/>
      <c r="AP80" s="105"/>
      <c r="AQ80" s="105"/>
      <c r="AR80" s="105"/>
      <c r="AS80" s="105"/>
      <c r="AT80" s="105"/>
      <c r="AU80" s="105"/>
      <c r="AV80" s="105"/>
      <c r="AW80" s="105"/>
      <c r="AX80" s="105"/>
      <c r="AY80" s="105"/>
      <c r="AZ80" s="105"/>
      <c r="BA80" s="105"/>
      <c r="BB80" s="105"/>
      <c r="BC80" s="105"/>
      <c r="BD80" s="105"/>
      <c r="BE80" s="105"/>
      <c r="BF80" s="105"/>
      <c r="BG80" s="105"/>
      <c r="BH80" s="105"/>
      <c r="BI80" s="105"/>
      <c r="BJ80" s="105"/>
      <c r="BK80" s="105"/>
      <c r="BL80" s="105"/>
      <c r="BM80" s="105"/>
      <c r="BN80" s="105"/>
      <c r="BO80" s="105"/>
      <c r="BP80" s="105"/>
      <c r="BQ80" s="105"/>
      <c r="BR80" s="105"/>
      <c r="BS80" s="105"/>
      <c r="BT80" s="105"/>
      <c r="BU80" s="105"/>
      <c r="BV80" s="105"/>
      <c r="BW80" s="105"/>
      <c r="BX80" s="105"/>
      <c r="BY80" s="105"/>
      <c r="BZ80" s="105"/>
      <c r="CA80" s="105"/>
      <c r="CB80" s="105"/>
      <c r="CC80" s="105"/>
      <c r="CD80" s="105"/>
      <c r="CE80" s="105"/>
      <c r="CF80" s="105"/>
      <c r="CG80" s="105"/>
      <c r="CH80" s="105"/>
      <c r="CI80" s="105"/>
      <c r="CJ80" s="105"/>
      <c r="CK80" s="105"/>
      <c r="CL80" s="105"/>
      <c r="CM80" s="105"/>
      <c r="CN80" s="105"/>
      <c r="CO80" s="105"/>
      <c r="CP80" s="105"/>
      <c r="CQ80" s="105"/>
      <c r="CR80" s="105"/>
      <c r="CS80" s="105"/>
    </row>
    <row r="81" spans="1:98" s="2" customFormat="1" ht="13.8" hidden="1">
      <c r="A81" s="400" t="s">
        <v>527</v>
      </c>
      <c r="B81" s="395">
        <f>SUMIFS(Table11[CLOSING BALANCE (VND)2],Table11[BRANCH],CM_Cash!$A81,Table11[NAME],B$67,Table11[CURRENCY],$A$64)</f>
        <v>0</v>
      </c>
      <c r="C81" s="395"/>
      <c r="D81" s="395">
        <f>SUMIFS(Table11[CLOSING BALANCE (VND)2],Table11[BRANCH],CM_Cash!$A81,Table11[NAME],D$67,Table11[CURRENCY],$A$64)</f>
        <v>0</v>
      </c>
      <c r="E81" s="395">
        <f>SUMIFS(Table11[CLOSING BALANCE (VND)2],Table11[BRANCH],CM_Cash!$A81,Table11[NAME],E$67,Table11[CURRENCY],$A$64)</f>
        <v>132115989</v>
      </c>
      <c r="F81" s="395"/>
      <c r="G81" s="395"/>
      <c r="H81" s="395"/>
      <c r="I81" s="395">
        <f t="shared" si="4"/>
        <v>0</v>
      </c>
      <c r="J81" s="395">
        <f t="shared" si="5"/>
        <v>0</v>
      </c>
      <c r="K81" s="402">
        <f t="shared" si="6"/>
        <v>132115989</v>
      </c>
      <c r="N81" s="400" t="s">
        <v>527</v>
      </c>
      <c r="O81" s="395">
        <f>SUMIFS(Table11[CLOSING BALANCE (USD)],Table11[BRANCH],CM_Cash!$N81,Table11[NAME],O$67,Table11[CURRENCY],$N$64)</f>
        <v>0</v>
      </c>
      <c r="P81" s="395">
        <f>SUMIFS(Table11[CLOSING BALANCE (USD)],Table11[BRANCH],CM_Cash!$N81,Table11[NAME],P$67,Table11[CURRENCY],$N$64)</f>
        <v>0</v>
      </c>
      <c r="Q81" s="395">
        <f>SUMIFS(Table11[CLOSING BALANCE (USD)],Table11[BRANCH],CM_Cash!$N81,Table11[NAME],Q$67,Table11[CURRENCY],$N$64)</f>
        <v>0</v>
      </c>
      <c r="R81" s="395"/>
      <c r="S81" s="395"/>
      <c r="T81" s="395"/>
      <c r="U81" s="395">
        <f t="shared" si="7"/>
        <v>0</v>
      </c>
      <c r="V81" s="395">
        <f t="shared" si="8"/>
        <v>0</v>
      </c>
      <c r="W81" s="402">
        <f t="shared" si="9"/>
        <v>0</v>
      </c>
      <c r="X81" s="105"/>
      <c r="Y81" s="105"/>
      <c r="Z81" s="105"/>
      <c r="AA81" s="105"/>
      <c r="AB81" s="105"/>
      <c r="AC81" s="105"/>
      <c r="AD81" s="105"/>
      <c r="AE81" s="105"/>
      <c r="AF81" s="105"/>
      <c r="AG81" s="105"/>
      <c r="AH81" s="105"/>
      <c r="AI81" s="105"/>
      <c r="AJ81" s="105"/>
      <c r="AK81" s="105"/>
      <c r="AL81" s="105"/>
      <c r="AM81" s="105"/>
      <c r="AN81" s="105"/>
      <c r="AO81" s="105"/>
      <c r="AP81" s="105"/>
      <c r="AQ81" s="105"/>
      <c r="AR81" s="105"/>
      <c r="AS81" s="105"/>
      <c r="AT81" s="105"/>
      <c r="AU81" s="105"/>
      <c r="AV81" s="105"/>
      <c r="AW81" s="105"/>
      <c r="AX81" s="105"/>
      <c r="AY81" s="105"/>
      <c r="AZ81" s="105"/>
      <c r="BA81" s="105"/>
      <c r="BB81" s="105"/>
      <c r="BC81" s="105"/>
      <c r="BD81" s="105"/>
      <c r="BE81" s="105"/>
      <c r="BF81" s="105"/>
      <c r="BG81" s="105"/>
      <c r="BH81" s="105"/>
      <c r="BI81" s="105"/>
      <c r="BJ81" s="105"/>
      <c r="BK81" s="105"/>
      <c r="BL81" s="105"/>
      <c r="BM81" s="105"/>
      <c r="BN81" s="105"/>
      <c r="BO81" s="105"/>
      <c r="BP81" s="105"/>
      <c r="BQ81" s="105"/>
      <c r="BR81" s="105"/>
      <c r="BS81" s="105"/>
      <c r="BT81" s="105"/>
      <c r="BU81" s="105"/>
      <c r="BV81" s="105"/>
      <c r="BW81" s="105"/>
      <c r="BX81" s="105"/>
      <c r="BY81" s="105"/>
      <c r="BZ81" s="105"/>
      <c r="CA81" s="105"/>
      <c r="CB81" s="105"/>
      <c r="CC81" s="105"/>
      <c r="CD81" s="105"/>
      <c r="CE81" s="105"/>
      <c r="CF81" s="105"/>
      <c r="CG81" s="105"/>
      <c r="CH81" s="105"/>
      <c r="CI81" s="105"/>
      <c r="CJ81" s="105"/>
      <c r="CK81" s="105"/>
      <c r="CL81" s="105"/>
      <c r="CM81" s="105"/>
      <c r="CN81" s="105"/>
      <c r="CO81" s="105"/>
      <c r="CP81" s="105"/>
      <c r="CQ81" s="105"/>
      <c r="CR81" s="105"/>
      <c r="CS81" s="105"/>
    </row>
    <row r="82" spans="1:98" s="2" customFormat="1" ht="13.8" hidden="1">
      <c r="A82" s="400" t="s">
        <v>89</v>
      </c>
      <c r="B82" s="395">
        <f>SUMIFS(Table11[CLOSING BALANCE (VND)2],Table11[BRANCH],CM_Cash!$A82,Table11[NAME],B$67,Table11[CURRENCY],$A$64)</f>
        <v>429463040</v>
      </c>
      <c r="C82" s="395"/>
      <c r="D82" s="395">
        <f>SUMIFS(Table11[CLOSING BALANCE (VND)2],Table11[BRANCH],CM_Cash!$A82,Table11[NAME],D$67,Table11[CURRENCY],$A$64)</f>
        <v>2034926215</v>
      </c>
      <c r="E82" s="395">
        <f>SUMIFS(Table11[CLOSING BALANCE (VND)2],Table11[BRANCH],CM_Cash!$A82,Table11[NAME],E$67,Table11[CURRENCY],$A$64)</f>
        <v>119043024842</v>
      </c>
      <c r="F82" s="395"/>
      <c r="G82" s="395"/>
      <c r="H82" s="396"/>
      <c r="I82" s="395">
        <f t="shared" si="4"/>
        <v>429463040</v>
      </c>
      <c r="J82" s="396">
        <f t="shared" si="5"/>
        <v>2034926215</v>
      </c>
      <c r="K82" s="401">
        <f t="shared" si="6"/>
        <v>119043024842</v>
      </c>
      <c r="N82" s="400" t="s">
        <v>89</v>
      </c>
      <c r="O82" s="395">
        <f>SUMIFS(Table11[CLOSING BALANCE (USD)],Table11[BRANCH],CM_Cash!$N82,Table11[NAME],O$67,Table11[CURRENCY],$N$64)</f>
        <v>642.68999999999994</v>
      </c>
      <c r="P82" s="395">
        <f>SUMIFS(Table11[CLOSING BALANCE (USD)],Table11[BRANCH],CM_Cash!$N82,Table11[NAME],P$67,Table11[CURRENCY],$N$64)</f>
        <v>606.19999999999982</v>
      </c>
      <c r="Q82" s="395">
        <f>SUMIFS(Table11[CLOSING BALANCE (USD)],Table11[BRANCH],CM_Cash!$N82,Table11[NAME],Q$67,Table11[CURRENCY],$N$64)</f>
        <v>0</v>
      </c>
      <c r="R82" s="395"/>
      <c r="S82" s="395"/>
      <c r="T82" s="396"/>
      <c r="U82" s="395">
        <f t="shared" si="7"/>
        <v>642.68999999999994</v>
      </c>
      <c r="V82" s="396">
        <f t="shared" si="8"/>
        <v>606.19999999999982</v>
      </c>
      <c r="W82" s="401">
        <f t="shared" si="9"/>
        <v>0</v>
      </c>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c r="BI82" s="105"/>
      <c r="BJ82" s="105"/>
      <c r="BK82" s="105"/>
      <c r="BL82" s="105"/>
      <c r="BM82" s="105"/>
      <c r="BN82" s="105"/>
      <c r="BO82" s="105"/>
      <c r="BP82" s="105"/>
      <c r="BQ82" s="105"/>
      <c r="BR82" s="105"/>
      <c r="BS82" s="105"/>
      <c r="BT82" s="105"/>
      <c r="BU82" s="105"/>
      <c r="BV82" s="105"/>
      <c r="BW82" s="105"/>
      <c r="BX82" s="105"/>
      <c r="BY82" s="105"/>
      <c r="BZ82" s="105"/>
      <c r="CA82" s="105"/>
      <c r="CB82" s="105"/>
      <c r="CC82" s="105"/>
      <c r="CD82" s="105"/>
      <c r="CE82" s="105"/>
      <c r="CF82" s="105"/>
      <c r="CG82" s="105"/>
      <c r="CH82" s="105"/>
      <c r="CI82" s="105"/>
      <c r="CJ82" s="105"/>
      <c r="CK82" s="105"/>
      <c r="CL82" s="105"/>
      <c r="CM82" s="105"/>
      <c r="CN82" s="105"/>
      <c r="CO82" s="105"/>
      <c r="CP82" s="105"/>
      <c r="CQ82" s="105"/>
      <c r="CR82" s="105"/>
      <c r="CS82" s="105"/>
    </row>
    <row r="83" spans="1:98" s="2" customFormat="1" ht="13.8" hidden="1">
      <c r="A83" s="398" t="s">
        <v>95</v>
      </c>
      <c r="B83" s="393">
        <f>SUMIFS(Table11[CLOSING BALANCE (VND)2],Table11[BRANCH],CM_Cash!$A83,Table11[NAME],B$67,Table11[CURRENCY],$A$64)</f>
        <v>69627514</v>
      </c>
      <c r="C83" s="393"/>
      <c r="D83" s="393">
        <f>SUMIFS(Table11[CLOSING BALANCE (VND)2],Table11[BRANCH],CM_Cash!$A83,Table11[NAME],D$67,Table11[CURRENCY],$A$64)</f>
        <v>56483173</v>
      </c>
      <c r="E83" s="393">
        <f>SUMIFS(Table11[CLOSING BALANCE (VND)2],Table11[BRANCH],CM_Cash!$A83,Table11[NAME],E$67,Table11[CURRENCY],$A$64)</f>
        <v>472518514</v>
      </c>
      <c r="F83" s="393"/>
      <c r="G83" s="393"/>
      <c r="H83" s="393"/>
      <c r="I83" s="393">
        <f t="shared" si="4"/>
        <v>69627514</v>
      </c>
      <c r="J83" s="393">
        <f t="shared" si="5"/>
        <v>56483173</v>
      </c>
      <c r="K83" s="403">
        <f t="shared" si="6"/>
        <v>472518514</v>
      </c>
      <c r="N83" s="398" t="s">
        <v>95</v>
      </c>
      <c r="O83" s="393">
        <f>SUMIFS(Table11[CLOSING BALANCE (USD)],Table11[BRANCH],CM_Cash!$N83,Table11[NAME],O$67,Table11[CURRENCY],$N$64)</f>
        <v>150</v>
      </c>
      <c r="P83" s="393">
        <f>SUMIFS(Table11[CLOSING BALANCE (USD)],Table11[BRANCH],CM_Cash!$N83,Table11[NAME],P$67,Table11[CURRENCY],$N$64)</f>
        <v>100</v>
      </c>
      <c r="Q83" s="393">
        <f>SUMIFS(Table11[CLOSING BALANCE (USD)],Table11[BRANCH],CM_Cash!$N83,Table11[NAME],Q$67,Table11[CURRENCY],$N$64)</f>
        <v>0</v>
      </c>
      <c r="R83" s="393"/>
      <c r="S83" s="393"/>
      <c r="T83" s="393"/>
      <c r="U83" s="393">
        <f t="shared" si="7"/>
        <v>150</v>
      </c>
      <c r="V83" s="393">
        <f t="shared" si="8"/>
        <v>100</v>
      </c>
      <c r="W83" s="403">
        <f t="shared" si="9"/>
        <v>0</v>
      </c>
      <c r="X83" s="105"/>
      <c r="Y83" s="105"/>
      <c r="Z83" s="105"/>
      <c r="AA83" s="105"/>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c r="BI83" s="105"/>
      <c r="BJ83" s="105"/>
      <c r="BK83" s="105"/>
      <c r="BL83" s="105"/>
      <c r="BM83" s="105"/>
      <c r="BN83" s="105"/>
      <c r="BO83" s="105"/>
      <c r="BP83" s="105"/>
      <c r="BQ83" s="105"/>
      <c r="BR83" s="105"/>
      <c r="BS83" s="105"/>
      <c r="BT83" s="105"/>
      <c r="BU83" s="105"/>
      <c r="BV83" s="105"/>
      <c r="BW83" s="105"/>
      <c r="BX83" s="105"/>
      <c r="BY83" s="105"/>
      <c r="BZ83" s="105"/>
      <c r="CA83" s="105"/>
      <c r="CB83" s="105"/>
      <c r="CC83" s="105"/>
      <c r="CD83" s="105"/>
      <c r="CE83" s="105"/>
      <c r="CF83" s="105"/>
      <c r="CG83" s="105"/>
      <c r="CH83" s="105"/>
      <c r="CI83" s="105"/>
      <c r="CJ83" s="105"/>
      <c r="CK83" s="105"/>
      <c r="CL83" s="105"/>
      <c r="CM83" s="105"/>
      <c r="CN83" s="105"/>
      <c r="CO83" s="105"/>
      <c r="CP83" s="105"/>
      <c r="CQ83" s="105"/>
      <c r="CR83" s="105"/>
      <c r="CS83" s="105"/>
    </row>
    <row r="84" spans="1:98" s="2" customFormat="1" ht="13.8" hidden="1">
      <c r="A84" s="398" t="s">
        <v>96</v>
      </c>
      <c r="B84" s="393">
        <f>SUMIFS(Table11[CLOSING BALANCE (VND)2],Table11[BRANCH],CM_Cash!$A84,Table11[NAME],B$67,Table11[CURRENCY],$A$64)</f>
        <v>13672907</v>
      </c>
      <c r="C84" s="393"/>
      <c r="D84" s="393">
        <f>SUMIFS(Table11[CLOSING BALANCE (VND)2],Table11[BRANCH],CM_Cash!$A84,Table11[NAME],D$67,Table11[CURRENCY],$A$64)</f>
        <v>170187619615</v>
      </c>
      <c r="E84" s="393">
        <f>SUMIFS(Table11[CLOSING BALANCE (VND)2],Table11[BRANCH],CM_Cash!$A84,Table11[NAME],E$67,Table11[CURRENCY],$A$64)</f>
        <v>4194498896</v>
      </c>
      <c r="F84" s="393"/>
      <c r="G84" s="393"/>
      <c r="H84" s="394"/>
      <c r="I84" s="393">
        <f t="shared" si="4"/>
        <v>13672907</v>
      </c>
      <c r="J84" s="394">
        <f t="shared" si="5"/>
        <v>170187619615</v>
      </c>
      <c r="K84" s="399">
        <f t="shared" si="6"/>
        <v>4194498896</v>
      </c>
      <c r="N84" s="398" t="s">
        <v>96</v>
      </c>
      <c r="O84" s="393">
        <f>SUMIFS(Table11[CLOSING BALANCE (USD)],Table11[BRANCH],CM_Cash!$N84,Table11[NAME],O$67,Table11[CURRENCY],$N$64)</f>
        <v>51.599999999999987</v>
      </c>
      <c r="P84" s="393">
        <f>SUMIFS(Table11[CLOSING BALANCE (USD)],Table11[BRANCH],CM_Cash!$N84,Table11[NAME],P$67,Table11[CURRENCY],$N$64)</f>
        <v>100</v>
      </c>
      <c r="Q84" s="393">
        <f>SUMIFS(Table11[CLOSING BALANCE (USD)],Table11[BRANCH],CM_Cash!$N84,Table11[NAME],Q$67,Table11[CURRENCY],$N$64)</f>
        <v>0</v>
      </c>
      <c r="R84" s="393"/>
      <c r="S84" s="393"/>
      <c r="T84" s="394"/>
      <c r="U84" s="393">
        <f t="shared" si="7"/>
        <v>51.599999999999987</v>
      </c>
      <c r="V84" s="394">
        <f t="shared" si="8"/>
        <v>100</v>
      </c>
      <c r="W84" s="399">
        <f t="shared" si="9"/>
        <v>0</v>
      </c>
      <c r="X84" s="105"/>
      <c r="Y84" s="105"/>
      <c r="Z84" s="105"/>
      <c r="AA84" s="105"/>
      <c r="AB84" s="105"/>
      <c r="AC84" s="105"/>
      <c r="AD84" s="105"/>
      <c r="AE84" s="105"/>
      <c r="AF84" s="105"/>
      <c r="AG84" s="105"/>
      <c r="AH84" s="105"/>
      <c r="AI84" s="105"/>
      <c r="AJ84" s="105"/>
      <c r="AK84" s="105"/>
      <c r="AL84" s="105"/>
      <c r="AM84" s="105"/>
      <c r="AN84" s="105"/>
      <c r="AO84" s="105"/>
      <c r="AP84" s="105"/>
      <c r="AQ84" s="105"/>
      <c r="AR84" s="105"/>
      <c r="AS84" s="105"/>
      <c r="AT84" s="105"/>
      <c r="AU84" s="105"/>
      <c r="AV84" s="105"/>
      <c r="AW84" s="105"/>
      <c r="AX84" s="105"/>
      <c r="AY84" s="105"/>
      <c r="AZ84" s="105"/>
      <c r="BA84" s="105"/>
      <c r="BB84" s="105"/>
      <c r="BC84" s="105"/>
      <c r="BD84" s="105"/>
      <c r="BE84" s="105"/>
      <c r="BF84" s="105"/>
      <c r="BG84" s="105"/>
      <c r="BH84" s="105"/>
      <c r="BI84" s="105"/>
      <c r="BJ84" s="105"/>
      <c r="BK84" s="105"/>
      <c r="BL84" s="105"/>
      <c r="BM84" s="105"/>
      <c r="BN84" s="105"/>
      <c r="BO84" s="105"/>
      <c r="BP84" s="105"/>
      <c r="BQ84" s="105"/>
      <c r="BR84" s="105"/>
      <c r="BS84" s="105"/>
      <c r="BT84" s="105"/>
      <c r="BU84" s="105"/>
      <c r="BV84" s="105"/>
      <c r="BW84" s="105"/>
      <c r="BX84" s="105"/>
      <c r="BY84" s="105"/>
      <c r="BZ84" s="105"/>
      <c r="CA84" s="105"/>
      <c r="CB84" s="105"/>
      <c r="CC84" s="105"/>
      <c r="CD84" s="105"/>
      <c r="CE84" s="105"/>
      <c r="CF84" s="105"/>
      <c r="CG84" s="105"/>
      <c r="CH84" s="105"/>
      <c r="CI84" s="105"/>
      <c r="CJ84" s="105"/>
      <c r="CK84" s="105"/>
      <c r="CL84" s="105"/>
      <c r="CM84" s="105"/>
      <c r="CN84" s="105"/>
      <c r="CO84" s="105"/>
      <c r="CP84" s="105"/>
      <c r="CQ84" s="105"/>
      <c r="CR84" s="105"/>
      <c r="CS84" s="105"/>
    </row>
    <row r="85" spans="1:98" s="2" customFormat="1" ht="13.8" hidden="1">
      <c r="A85" s="398" t="s">
        <v>97</v>
      </c>
      <c r="B85" s="393">
        <f>SUMIFS(Table11[CLOSING BALANCE (VND)2],Table11[BRANCH],CM_Cash!$A85,Table11[NAME],B$67,Table11[CURRENCY],$A$64)</f>
        <v>0</v>
      </c>
      <c r="C85" s="393"/>
      <c r="D85" s="393">
        <f>SUMIFS(Table11[CLOSING BALANCE (VND)2],Table11[BRANCH],CM_Cash!$A85,Table11[NAME],D$67,Table11[CURRENCY],$A$64)</f>
        <v>7958304</v>
      </c>
      <c r="E85" s="393">
        <f>SUMIFS(Table11[CLOSING BALANCE (VND)2],Table11[BRANCH],CM_Cash!$A85,Table11[NAME],E$67,Table11[CURRENCY],$A$64)</f>
        <v>0</v>
      </c>
      <c r="F85" s="393"/>
      <c r="G85" s="393"/>
      <c r="H85" s="394"/>
      <c r="I85" s="393">
        <f t="shared" si="4"/>
        <v>0</v>
      </c>
      <c r="J85" s="394">
        <f t="shared" si="5"/>
        <v>7958304</v>
      </c>
      <c r="K85" s="399">
        <f t="shared" si="6"/>
        <v>0</v>
      </c>
      <c r="N85" s="398" t="s">
        <v>97</v>
      </c>
      <c r="O85" s="393">
        <f>SUMIFS(Table11[CLOSING BALANCE (USD)],Table11[BRANCH],CM_Cash!$N85,Table11[NAME],O$67,Table11[CURRENCY],$N$64)</f>
        <v>0</v>
      </c>
      <c r="P85" s="393">
        <f>SUMIFS(Table11[CLOSING BALANCE (USD)],Table11[BRANCH],CM_Cash!$N85,Table11[NAME],P$67,Table11[CURRENCY],$N$64)</f>
        <v>90</v>
      </c>
      <c r="Q85" s="393">
        <f>SUMIFS(Table11[CLOSING BALANCE (USD)],Table11[BRANCH],CM_Cash!$N85,Table11[NAME],Q$67,Table11[CURRENCY],$N$64)</f>
        <v>0</v>
      </c>
      <c r="R85" s="393"/>
      <c r="S85" s="393"/>
      <c r="T85" s="394"/>
      <c r="U85" s="393">
        <f t="shared" si="7"/>
        <v>0</v>
      </c>
      <c r="V85" s="394">
        <f t="shared" si="8"/>
        <v>90</v>
      </c>
      <c r="W85" s="399">
        <f t="shared" si="9"/>
        <v>0</v>
      </c>
      <c r="X85" s="105"/>
      <c r="Y85" s="105"/>
      <c r="Z85" s="105"/>
      <c r="AA85" s="105"/>
      <c r="AB85" s="105"/>
      <c r="AC85" s="105"/>
      <c r="AD85" s="105"/>
      <c r="AE85" s="105"/>
      <c r="AF85" s="105"/>
      <c r="AG85" s="105"/>
      <c r="AH85" s="105"/>
      <c r="AI85" s="105"/>
      <c r="AJ85" s="105"/>
      <c r="AK85" s="105"/>
      <c r="AL85" s="105"/>
      <c r="AM85" s="105"/>
      <c r="AN85" s="105"/>
      <c r="AO85" s="105"/>
      <c r="AP85" s="105"/>
      <c r="AQ85" s="105"/>
      <c r="AR85" s="105"/>
      <c r="AS85" s="105"/>
      <c r="AT85" s="105"/>
      <c r="AU85" s="105"/>
      <c r="AV85" s="105"/>
      <c r="AW85" s="105"/>
      <c r="AX85" s="105"/>
      <c r="AY85" s="105"/>
      <c r="AZ85" s="105"/>
      <c r="BA85" s="105"/>
      <c r="BB85" s="105"/>
      <c r="BC85" s="105"/>
      <c r="BD85" s="105"/>
      <c r="BE85" s="105"/>
      <c r="BF85" s="105"/>
      <c r="BG85" s="105"/>
      <c r="BH85" s="105"/>
      <c r="BI85" s="105"/>
      <c r="BJ85" s="105"/>
      <c r="BK85" s="105"/>
      <c r="BL85" s="105"/>
      <c r="BM85" s="105"/>
      <c r="BN85" s="105"/>
      <c r="BO85" s="105"/>
      <c r="BP85" s="105"/>
      <c r="BQ85" s="105"/>
      <c r="BR85" s="105"/>
      <c r="BS85" s="105"/>
      <c r="BT85" s="105"/>
      <c r="BU85" s="105"/>
      <c r="BV85" s="105"/>
      <c r="BW85" s="105"/>
      <c r="BX85" s="105"/>
      <c r="BY85" s="105"/>
      <c r="BZ85" s="105"/>
      <c r="CA85" s="105"/>
      <c r="CB85" s="105"/>
      <c r="CC85" s="105"/>
      <c r="CD85" s="105"/>
      <c r="CE85" s="105"/>
      <c r="CF85" s="105"/>
      <c r="CG85" s="105"/>
      <c r="CH85" s="105"/>
      <c r="CI85" s="105"/>
      <c r="CJ85" s="105"/>
      <c r="CK85" s="105"/>
      <c r="CL85" s="105"/>
      <c r="CM85" s="105"/>
      <c r="CN85" s="105"/>
      <c r="CO85" s="105"/>
      <c r="CP85" s="105"/>
      <c r="CQ85" s="105"/>
      <c r="CR85" s="105"/>
      <c r="CS85" s="105"/>
    </row>
    <row r="86" spans="1:98" s="2" customFormat="1" ht="13.8" hidden="1">
      <c r="A86" s="398" t="s">
        <v>98</v>
      </c>
      <c r="B86" s="393">
        <f>SUMIFS(Table11[CLOSING BALANCE (VND)2],Table11[BRANCH],CM_Cash!$A86&amp;"*",Table11[NAME],B$67,Table11[CURRENCY],$A$64)</f>
        <v>30613468682</v>
      </c>
      <c r="C86" s="393"/>
      <c r="D86" s="393">
        <f>SUMIFS(Table11[CLOSING BALANCE (VND)2],Table11[BRANCH],CM_Cash!$A86&amp;"*",Table11[NAME],D$67,Table11[CURRENCY],$A$64)</f>
        <v>40074818921</v>
      </c>
      <c r="E86" s="393">
        <f>SUMIFS(Table11[CLOSING BALANCE (VND)2],Table11[BRANCH],CM_Cash!$A86&amp;"*",Table11[NAME],E$67,Table11[CURRENCY],$A$64)</f>
        <v>69120992877</v>
      </c>
      <c r="F86" s="393"/>
      <c r="G86" s="393"/>
      <c r="H86" s="394"/>
      <c r="I86" s="393">
        <f t="shared" si="4"/>
        <v>30613468682</v>
      </c>
      <c r="J86" s="394">
        <f t="shared" si="5"/>
        <v>40074818921</v>
      </c>
      <c r="K86" s="399">
        <f t="shared" si="6"/>
        <v>69120992877</v>
      </c>
      <c r="N86" s="398" t="s">
        <v>98</v>
      </c>
      <c r="O86" s="393">
        <f>SUMIFS(Table11[CLOSING BALANCE (USD)],Table11[BRANCH],CM_Cash!$N86&amp;"*",Table11[NAME],O$67,Table11[CURRENCY],$N$64)</f>
        <v>13119.739999999998</v>
      </c>
      <c r="P86" s="393">
        <f>SUMIFS(Table11[CLOSING BALANCE (USD)],Table11[BRANCH],CM_Cash!$N86&amp;"*",Table11[NAME],P$67,Table11[CURRENCY],$N$64)</f>
        <v>0</v>
      </c>
      <c r="Q86" s="393">
        <f>SUMIFS(Table11[CLOSING BALANCE (USD)],Table11[BRANCH],CM_Cash!$N86&amp;"*",Table11[NAME],Q$67,Table11[CURRENCY],$N$64)</f>
        <v>0</v>
      </c>
      <c r="R86" s="393"/>
      <c r="S86" s="393"/>
      <c r="T86" s="394"/>
      <c r="U86" s="393">
        <f t="shared" si="7"/>
        <v>13119.739999999998</v>
      </c>
      <c r="V86" s="394">
        <f t="shared" si="8"/>
        <v>0</v>
      </c>
      <c r="W86" s="399">
        <f t="shared" si="9"/>
        <v>0</v>
      </c>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c r="AV86" s="105"/>
      <c r="AW86" s="105"/>
      <c r="AX86" s="105"/>
      <c r="AY86" s="105"/>
      <c r="AZ86" s="105"/>
      <c r="BA86" s="105"/>
      <c r="BB86" s="105"/>
      <c r="BC86" s="105"/>
      <c r="BD86" s="105"/>
      <c r="BE86" s="105"/>
      <c r="BF86" s="105"/>
      <c r="BG86" s="105"/>
      <c r="BH86" s="105"/>
      <c r="BI86" s="105"/>
      <c r="BJ86" s="105"/>
      <c r="BK86" s="105"/>
      <c r="BL86" s="105"/>
      <c r="BM86" s="105"/>
      <c r="BN86" s="105"/>
      <c r="BO86" s="105"/>
      <c r="BP86" s="105"/>
      <c r="BQ86" s="105"/>
      <c r="BR86" s="105"/>
      <c r="BS86" s="105"/>
      <c r="BT86" s="105"/>
      <c r="BU86" s="105"/>
      <c r="BV86" s="105"/>
      <c r="BW86" s="105"/>
      <c r="BX86" s="105"/>
      <c r="BY86" s="105"/>
      <c r="BZ86" s="105"/>
      <c r="CA86" s="105"/>
      <c r="CB86" s="105"/>
      <c r="CC86" s="105"/>
      <c r="CD86" s="105"/>
      <c r="CE86" s="105"/>
      <c r="CF86" s="105"/>
      <c r="CG86" s="105"/>
      <c r="CH86" s="105"/>
      <c r="CI86" s="105"/>
      <c r="CJ86" s="105"/>
      <c r="CK86" s="105"/>
      <c r="CL86" s="105"/>
      <c r="CM86" s="105"/>
      <c r="CN86" s="105"/>
      <c r="CO86" s="105"/>
      <c r="CP86" s="105"/>
      <c r="CQ86" s="105"/>
      <c r="CR86" s="105"/>
      <c r="CS86" s="105"/>
    </row>
    <row r="87" spans="1:98" s="2" customFormat="1" ht="13.8" hidden="1">
      <c r="A87" s="398" t="s">
        <v>197</v>
      </c>
      <c r="B87" s="393">
        <f>SUMIFS(Table11[CLOSING BALANCE (VND)2],Table11[BRANCH],CM_Cash!$A87&amp;"*",Table11[NAME],B$67,Table11[CURRENCY],$A$64)</f>
        <v>0</v>
      </c>
      <c r="C87" s="393"/>
      <c r="D87" s="393">
        <f>SUMIFS(Table11[CLOSING BALANCE (VND)2],Table11[BRANCH],CM_Cash!$A87&amp;"*",Table11[NAME],D$67,Table11[CURRENCY],$A$64)</f>
        <v>0</v>
      </c>
      <c r="E87" s="393">
        <f>SUMIFS(Table11[CLOSING BALANCE (VND)2],Table11[BRANCH],CM_Cash!$A87&amp;"*",Table11[NAME],E$67,Table11[CURRENCY],$A$64)</f>
        <v>0</v>
      </c>
      <c r="F87" s="393"/>
      <c r="G87" s="393"/>
      <c r="H87" s="394"/>
      <c r="I87" s="393">
        <f t="shared" ref="I87" si="16">B87+F87</f>
        <v>0</v>
      </c>
      <c r="J87" s="394">
        <f t="shared" ref="J87" si="17">D87+G87</f>
        <v>0</v>
      </c>
      <c r="K87" s="399">
        <f t="shared" ref="K87" si="18">E87+H87</f>
        <v>0</v>
      </c>
      <c r="N87" s="398" t="s">
        <v>197</v>
      </c>
      <c r="O87" s="393">
        <f>SUMIFS(Table11[CLOSING BALANCE (USD)],Table11[BRANCH],CM_Cash!$N87&amp;"*",Table11[NAME],O$67,Table11[CURRENCY],$N$64)</f>
        <v>0</v>
      </c>
      <c r="P87" s="393">
        <f>SUMIFS(Table11[CLOSING BALANCE (USD)],Table11[BRANCH],CM_Cash!$N87&amp;"*",Table11[NAME],P$67,Table11[CURRENCY],$N$64)</f>
        <v>0</v>
      </c>
      <c r="Q87" s="393">
        <f>SUMIFS(Table11[CLOSING BALANCE (USD)],Table11[BRANCH],CM_Cash!$N87&amp;"*",Table11[NAME],Q$67,Table11[CURRENCY],$N$64)</f>
        <v>0</v>
      </c>
      <c r="R87" s="393"/>
      <c r="S87" s="393"/>
      <c r="T87" s="394"/>
      <c r="U87" s="393">
        <f t="shared" ref="U87:U89" si="19">O87+R87</f>
        <v>0</v>
      </c>
      <c r="V87" s="394">
        <f t="shared" ref="V87:V89" si="20">P87+S87</f>
        <v>0</v>
      </c>
      <c r="W87" s="399">
        <f t="shared" ref="W87:W89" si="21">Q87+T87</f>
        <v>0</v>
      </c>
      <c r="X87" s="105"/>
      <c r="Y87" s="105"/>
      <c r="Z87" s="105"/>
      <c r="AA87" s="105"/>
      <c r="AB87" s="105"/>
      <c r="AC87" s="105"/>
      <c r="AD87" s="105"/>
      <c r="AE87" s="105"/>
      <c r="AF87" s="105"/>
      <c r="AG87" s="105"/>
      <c r="AH87" s="105"/>
      <c r="AI87" s="105"/>
      <c r="AJ87" s="105"/>
      <c r="AK87" s="105"/>
      <c r="AL87" s="105"/>
      <c r="AM87" s="105"/>
      <c r="AN87" s="105"/>
      <c r="AO87" s="105"/>
      <c r="AP87" s="105"/>
      <c r="AQ87" s="105"/>
      <c r="AR87" s="105"/>
      <c r="AS87" s="105"/>
      <c r="AT87" s="105"/>
      <c r="AU87" s="105"/>
      <c r="AV87" s="105"/>
      <c r="AW87" s="105"/>
      <c r="AX87" s="105"/>
      <c r="AY87" s="105"/>
      <c r="AZ87" s="105"/>
      <c r="BA87" s="105"/>
      <c r="BB87" s="105"/>
      <c r="BC87" s="105"/>
      <c r="BD87" s="105"/>
      <c r="BE87" s="105"/>
      <c r="BF87" s="105"/>
      <c r="BG87" s="105"/>
      <c r="BH87" s="105"/>
      <c r="BI87" s="105"/>
      <c r="BJ87" s="105"/>
      <c r="BK87" s="105"/>
      <c r="BL87" s="105"/>
      <c r="BM87" s="105"/>
      <c r="BN87" s="105"/>
      <c r="BO87" s="105"/>
      <c r="BP87" s="105"/>
      <c r="BQ87" s="105"/>
      <c r="BR87" s="105"/>
      <c r="BS87" s="105"/>
      <c r="BT87" s="105"/>
      <c r="BU87" s="105"/>
      <c r="BV87" s="105"/>
      <c r="BW87" s="105"/>
      <c r="BX87" s="105"/>
      <c r="BY87" s="105"/>
      <c r="BZ87" s="105"/>
      <c r="CA87" s="105"/>
      <c r="CB87" s="105"/>
      <c r="CC87" s="105"/>
      <c r="CD87" s="105"/>
      <c r="CE87" s="105"/>
      <c r="CF87" s="105"/>
      <c r="CG87" s="105"/>
      <c r="CH87" s="105"/>
      <c r="CI87" s="105"/>
      <c r="CJ87" s="105"/>
      <c r="CK87" s="105"/>
      <c r="CL87" s="105"/>
      <c r="CM87" s="105"/>
      <c r="CN87" s="105"/>
      <c r="CO87" s="105"/>
      <c r="CP87" s="105"/>
      <c r="CQ87" s="105"/>
      <c r="CR87" s="105"/>
      <c r="CS87" s="105"/>
    </row>
    <row r="88" spans="1:98" s="2" customFormat="1" ht="13.8" hidden="1">
      <c r="A88" s="398" t="s">
        <v>338</v>
      </c>
      <c r="B88" s="393">
        <f>SUMIFS(Table11[CLOSING BALANCE (VND)2],Table11[BRANCH],CM_Cash!$A88&amp;"*",Table11[NAME],B$67,Table11[CURRENCY],$A$64)</f>
        <v>1367012</v>
      </c>
      <c r="C88" s="393"/>
      <c r="D88" s="393">
        <f>SUMIFS(Table11[CLOSING BALANCE (VND)2],Table11[BRANCH],CM_Cash!$A88&amp;"*",Table11[NAME],D$67,Table11[CURRENCY],$A$64)</f>
        <v>1560960116</v>
      </c>
      <c r="E88" s="393">
        <f>SUMIFS(Table11[CLOSING BALANCE (VND)2],Table11[BRANCH],CM_Cash!$A88&amp;"*",Table11[NAME],E$67,Table11[CURRENCY],$A$64)</f>
        <v>33875586656</v>
      </c>
      <c r="F88" s="393"/>
      <c r="G88" s="393"/>
      <c r="H88" s="394"/>
      <c r="I88" s="393">
        <f t="shared" ref="I88:I89" si="22">B88+F88</f>
        <v>1367012</v>
      </c>
      <c r="J88" s="394">
        <f t="shared" ref="J88:J89" si="23">D88+G88</f>
        <v>1560960116</v>
      </c>
      <c r="K88" s="399">
        <f t="shared" ref="K88:K89" si="24">E88+H88</f>
        <v>33875586656</v>
      </c>
      <c r="N88" s="398" t="s">
        <v>338</v>
      </c>
      <c r="O88" s="393">
        <f>SUMIFS(Table11[CLOSING BALANCE (USD)],Table11[BRANCH],CM_Cash!$N88&amp;"*",Table11[NAME],O$67,Table11[CURRENCY],$N$64)</f>
        <v>0</v>
      </c>
      <c r="P88" s="393">
        <f>SUMIFS(Table11[CLOSING BALANCE (USD)],Table11[BRANCH],CM_Cash!$N88&amp;"*",Table11[NAME],P$67,Table11[CURRENCY],$N$64)</f>
        <v>0</v>
      </c>
      <c r="Q88" s="393">
        <f>SUMIFS(Table11[CLOSING BALANCE (USD)],Table11[BRANCH],CM_Cash!$N88&amp;"*",Table11[NAME],Q$67,Table11[CURRENCY],$N$64)</f>
        <v>0</v>
      </c>
      <c r="R88" s="393"/>
      <c r="S88" s="393"/>
      <c r="T88" s="394"/>
      <c r="U88" s="393">
        <f t="shared" si="19"/>
        <v>0</v>
      </c>
      <c r="V88" s="394">
        <f t="shared" si="20"/>
        <v>0</v>
      </c>
      <c r="W88" s="399">
        <f t="shared" si="21"/>
        <v>0</v>
      </c>
      <c r="X88" s="105"/>
      <c r="Y88" s="105"/>
      <c r="Z88" s="105"/>
      <c r="AA88" s="105"/>
      <c r="AB88" s="105"/>
      <c r="AC88" s="105"/>
      <c r="AD88" s="105"/>
      <c r="AE88" s="105"/>
      <c r="AF88" s="105"/>
      <c r="AG88" s="105"/>
      <c r="AH88" s="105"/>
      <c r="AI88" s="105"/>
      <c r="AJ88" s="105"/>
      <c r="AK88" s="105"/>
      <c r="AL88" s="105"/>
      <c r="AM88" s="105"/>
      <c r="AN88" s="105"/>
      <c r="AO88" s="105"/>
      <c r="AP88" s="105"/>
      <c r="AQ88" s="105"/>
      <c r="AR88" s="105"/>
      <c r="AS88" s="105"/>
      <c r="AT88" s="105"/>
      <c r="AU88" s="105"/>
      <c r="AV88" s="105"/>
      <c r="AW88" s="105"/>
      <c r="AX88" s="105"/>
      <c r="AY88" s="105"/>
      <c r="AZ88" s="105"/>
      <c r="BA88" s="105"/>
      <c r="BB88" s="105"/>
      <c r="BC88" s="105"/>
      <c r="BD88" s="105"/>
      <c r="BE88" s="105"/>
      <c r="BF88" s="105"/>
      <c r="BG88" s="105"/>
      <c r="BH88" s="105"/>
      <c r="BI88" s="105"/>
      <c r="BJ88" s="105"/>
      <c r="BK88" s="105"/>
      <c r="BL88" s="105"/>
      <c r="BM88" s="105"/>
      <c r="BN88" s="105"/>
      <c r="BO88" s="105"/>
      <c r="BP88" s="105"/>
      <c r="BQ88" s="105"/>
      <c r="BR88" s="105"/>
      <c r="BS88" s="105"/>
      <c r="BT88" s="105"/>
      <c r="BU88" s="105"/>
      <c r="BV88" s="105"/>
      <c r="BW88" s="105"/>
      <c r="BX88" s="105"/>
      <c r="BY88" s="105"/>
      <c r="BZ88" s="105"/>
      <c r="CA88" s="105"/>
      <c r="CB88" s="105"/>
      <c r="CC88" s="105"/>
      <c r="CD88" s="105"/>
      <c r="CE88" s="105"/>
      <c r="CF88" s="105"/>
      <c r="CG88" s="105"/>
      <c r="CH88" s="105"/>
      <c r="CI88" s="105"/>
      <c r="CJ88" s="105"/>
      <c r="CK88" s="105"/>
      <c r="CL88" s="105"/>
      <c r="CM88" s="105"/>
      <c r="CN88" s="105"/>
      <c r="CO88" s="105"/>
      <c r="CP88" s="105"/>
      <c r="CQ88" s="105"/>
      <c r="CR88" s="105"/>
      <c r="CS88" s="105"/>
    </row>
    <row r="89" spans="1:98" s="2" customFormat="1" ht="13.8" hidden="1">
      <c r="A89" s="398" t="s">
        <v>200</v>
      </c>
      <c r="B89" s="393">
        <f>SUMIFS(Table11[CLOSING BALANCE (VND)2],Table11[BRANCH],CM_Cash!$A89&amp;"*",Table11[NAME],B$67,Table11[CURRENCY],$A$64)</f>
        <v>69320954</v>
      </c>
      <c r="C89" s="393"/>
      <c r="D89" s="393">
        <f>SUMIFS(Table11[CLOSING BALANCE (VND)2],Table11[BRANCH],CM_Cash!$A89&amp;"*",Table11[NAME],D$67,Table11[CURRENCY],$A$64)</f>
        <v>253471960</v>
      </c>
      <c r="E89" s="393">
        <f>SUMIFS(Table11[CLOSING BALANCE (VND)2],Table11[BRANCH],CM_Cash!$A89&amp;"*",Table11[NAME],E$67,Table11[CURRENCY],$A$64)</f>
        <v>110047453</v>
      </c>
      <c r="F89" s="393"/>
      <c r="G89" s="393"/>
      <c r="H89" s="394"/>
      <c r="I89" s="393">
        <f t="shared" si="22"/>
        <v>69320954</v>
      </c>
      <c r="J89" s="394">
        <f t="shared" si="23"/>
        <v>253471960</v>
      </c>
      <c r="K89" s="399">
        <f t="shared" si="24"/>
        <v>110047453</v>
      </c>
      <c r="N89" s="398" t="s">
        <v>200</v>
      </c>
      <c r="O89" s="393">
        <f>SUMIFS(Table11[CLOSING BALANCE (USD)],Table11[BRANCH],CM_Cash!$N89&amp;"*",Table11[NAME],O$67,Table11[CURRENCY],$N$64)</f>
        <v>0</v>
      </c>
      <c r="P89" s="393">
        <f>SUMIFS(Table11[CLOSING BALANCE (USD)],Table11[BRANCH],CM_Cash!$N89&amp;"*",Table11[NAME],P$67,Table11[CURRENCY],$N$64)</f>
        <v>0</v>
      </c>
      <c r="Q89" s="393">
        <f>SUMIFS(Table11[CLOSING BALANCE (USD)],Table11[BRANCH],CM_Cash!$N89&amp;"*",Table11[NAME],Q$67,Table11[CURRENCY],$N$64)</f>
        <v>0</v>
      </c>
      <c r="R89" s="393"/>
      <c r="S89" s="393"/>
      <c r="T89" s="394"/>
      <c r="U89" s="393">
        <f t="shared" si="19"/>
        <v>0</v>
      </c>
      <c r="V89" s="394">
        <f t="shared" si="20"/>
        <v>0</v>
      </c>
      <c r="W89" s="399">
        <f t="shared" si="21"/>
        <v>0</v>
      </c>
      <c r="X89" s="105"/>
      <c r="Y89" s="105"/>
      <c r="Z89" s="105"/>
      <c r="AA89" s="105"/>
      <c r="AB89" s="105"/>
      <c r="AC89" s="105"/>
      <c r="AD89" s="105"/>
      <c r="AE89" s="105"/>
      <c r="AF89" s="105"/>
      <c r="AG89" s="105"/>
      <c r="AH89" s="105"/>
      <c r="AI89" s="105"/>
      <c r="AJ89" s="105"/>
      <c r="AK89" s="105"/>
      <c r="AL89" s="105"/>
      <c r="AM89" s="105"/>
      <c r="AN89" s="105"/>
      <c r="AO89" s="105"/>
      <c r="AP89" s="105"/>
      <c r="AQ89" s="105"/>
      <c r="AR89" s="105"/>
      <c r="AS89" s="105"/>
      <c r="AT89" s="105"/>
      <c r="AU89" s="105"/>
      <c r="AV89" s="105"/>
      <c r="AW89" s="105"/>
      <c r="AX89" s="105"/>
      <c r="AY89" s="105"/>
      <c r="AZ89" s="105"/>
      <c r="BA89" s="105"/>
      <c r="BB89" s="105"/>
      <c r="BC89" s="105"/>
      <c r="BD89" s="105"/>
      <c r="BE89" s="105"/>
      <c r="BF89" s="105"/>
      <c r="BG89" s="105"/>
      <c r="BH89" s="105"/>
      <c r="BI89" s="105"/>
      <c r="BJ89" s="105"/>
      <c r="BK89" s="105"/>
      <c r="BL89" s="105"/>
      <c r="BM89" s="105"/>
      <c r="BN89" s="105"/>
      <c r="BO89" s="105"/>
      <c r="BP89" s="105"/>
      <c r="BQ89" s="105"/>
      <c r="BR89" s="105"/>
      <c r="BS89" s="105"/>
      <c r="BT89" s="105"/>
      <c r="BU89" s="105"/>
      <c r="BV89" s="105"/>
      <c r="BW89" s="105"/>
      <c r="BX89" s="105"/>
      <c r="BY89" s="105"/>
      <c r="BZ89" s="105"/>
      <c r="CA89" s="105"/>
      <c r="CB89" s="105"/>
      <c r="CC89" s="105"/>
      <c r="CD89" s="105"/>
      <c r="CE89" s="105"/>
      <c r="CF89" s="105"/>
      <c r="CG89" s="105"/>
      <c r="CH89" s="105"/>
      <c r="CI89" s="105"/>
      <c r="CJ89" s="105"/>
      <c r="CK89" s="105"/>
      <c r="CL89" s="105"/>
      <c r="CM89" s="105"/>
      <c r="CN89" s="105"/>
      <c r="CO89" s="105"/>
      <c r="CP89" s="105"/>
      <c r="CQ89" s="105"/>
      <c r="CR89" s="105"/>
      <c r="CS89" s="105"/>
    </row>
    <row r="90" spans="1:98" s="2" customFormat="1" ht="13.8" hidden="1">
      <c r="A90" s="398" t="s">
        <v>99</v>
      </c>
      <c r="B90" s="393">
        <f>SUMIFS(Table11[CLOSING BALANCE (VND)2],Table11[Bank],CM_Cash!$A90,Table11[NAME],B$67,Table11[CURRENCY],$A$64)-B81-B87-B88-B89</f>
        <v>109500819</v>
      </c>
      <c r="C90" s="393"/>
      <c r="D90" s="393">
        <f>SUMIFS(Table11[CLOSING BALANCE (VND)2],Table11[Bank],CM_Cash!$A90,Table11[NAME],D$67,Table11[CURRENCY],$A$64)-D81-D87-D88-D89</f>
        <v>-1167084617</v>
      </c>
      <c r="E90" s="393">
        <f>SUMIFS(Table11[CLOSING BALANCE (VND)2],Table11[Bank],CM_Cash!$A90,Table11[NAME],E$67,Table11[CURRENCY],$A$64)-E81-E87-E88-E89</f>
        <v>185801462099</v>
      </c>
      <c r="F90" s="393"/>
      <c r="G90" s="393"/>
      <c r="H90" s="394"/>
      <c r="I90" s="393">
        <f t="shared" si="4"/>
        <v>109500819</v>
      </c>
      <c r="J90" s="394">
        <f t="shared" si="5"/>
        <v>-1167084617</v>
      </c>
      <c r="K90" s="399">
        <f t="shared" si="6"/>
        <v>185801462099</v>
      </c>
      <c r="N90" s="398" t="s">
        <v>99</v>
      </c>
      <c r="O90" s="393">
        <f>SUMIFS(Table11[CLOSING BALANCE (USD)],Table11[Bank],CM_Cash!$N90,Table11[NAME],O$67,Table11[CURRENCY],$N$64)-O81-O87-O88-O89</f>
        <v>0.03</v>
      </c>
      <c r="P90" s="393">
        <f>SUMIFS(Table11[CLOSING BALANCE (USD)],Table11[Bank],CM_Cash!$N90,Table11[NAME],P$67,Table11[CURRENCY],$N$64)-P81-P87-P88-P89</f>
        <v>0</v>
      </c>
      <c r="Q90" s="393">
        <f>SUMIFS(Table11[CLOSING BALANCE (USD)],Table11[Bank],CM_Cash!$N90,Table11[NAME],Q$67,Table11[CURRENCY],$N$64)-Q81-Q87-Q88-Q89</f>
        <v>0</v>
      </c>
      <c r="R90" s="393"/>
      <c r="S90" s="393"/>
      <c r="T90" s="394"/>
      <c r="U90" s="393">
        <f t="shared" si="7"/>
        <v>0.03</v>
      </c>
      <c r="V90" s="394">
        <f t="shared" si="8"/>
        <v>0</v>
      </c>
      <c r="W90" s="399">
        <f t="shared" si="9"/>
        <v>0</v>
      </c>
      <c r="X90" s="105"/>
      <c r="Y90" s="105"/>
      <c r="Z90" s="105"/>
      <c r="AA90" s="105"/>
      <c r="AB90" s="105"/>
      <c r="AC90" s="105"/>
      <c r="AD90" s="105"/>
      <c r="AE90" s="105"/>
      <c r="AF90" s="105"/>
      <c r="AG90" s="105"/>
      <c r="AH90" s="105"/>
      <c r="AI90" s="105"/>
      <c r="AJ90" s="105"/>
      <c r="AK90" s="105"/>
      <c r="AL90" s="105"/>
      <c r="AM90" s="105"/>
      <c r="AN90" s="105"/>
      <c r="AO90" s="105"/>
      <c r="AP90" s="105"/>
      <c r="AQ90" s="105"/>
      <c r="AR90" s="105"/>
      <c r="AS90" s="105"/>
      <c r="AT90" s="105"/>
      <c r="AU90" s="105"/>
      <c r="AV90" s="105"/>
      <c r="AW90" s="105"/>
      <c r="AX90" s="105"/>
      <c r="AY90" s="105"/>
      <c r="AZ90" s="105"/>
      <c r="BA90" s="105"/>
      <c r="BB90" s="105"/>
      <c r="BC90" s="105"/>
      <c r="BD90" s="105"/>
      <c r="BE90" s="105"/>
      <c r="BF90" s="105"/>
      <c r="BG90" s="105"/>
      <c r="BH90" s="105"/>
      <c r="BI90" s="105"/>
      <c r="BJ90" s="105"/>
      <c r="BK90" s="105"/>
      <c r="BL90" s="105"/>
      <c r="BM90" s="105"/>
      <c r="BN90" s="105"/>
      <c r="BO90" s="105"/>
      <c r="BP90" s="105"/>
      <c r="BQ90" s="105"/>
      <c r="BR90" s="105"/>
      <c r="BS90" s="105"/>
      <c r="BT90" s="105"/>
      <c r="BU90" s="105"/>
      <c r="BV90" s="105"/>
      <c r="BW90" s="105"/>
      <c r="BX90" s="105"/>
      <c r="BY90" s="105"/>
      <c r="BZ90" s="105"/>
      <c r="CA90" s="105"/>
      <c r="CB90" s="105"/>
      <c r="CC90" s="105"/>
      <c r="CD90" s="105"/>
      <c r="CE90" s="105"/>
      <c r="CF90" s="105"/>
      <c r="CG90" s="105"/>
      <c r="CH90" s="105"/>
      <c r="CI90" s="105"/>
      <c r="CJ90" s="105"/>
      <c r="CK90" s="105"/>
      <c r="CL90" s="105"/>
      <c r="CM90" s="105"/>
      <c r="CN90" s="105"/>
      <c r="CO90" s="105"/>
      <c r="CP90" s="105"/>
      <c r="CQ90" s="105"/>
      <c r="CR90" s="105"/>
      <c r="CS90" s="105"/>
    </row>
    <row r="91" spans="1:98" s="2" customFormat="1" hidden="1" thickBot="1">
      <c r="A91" s="408"/>
      <c r="B91" s="409"/>
      <c r="C91" s="409"/>
      <c r="D91" s="409"/>
      <c r="E91" s="409"/>
      <c r="F91" s="409"/>
      <c r="G91" s="409"/>
      <c r="H91" s="410"/>
      <c r="I91" s="409"/>
      <c r="J91" s="410"/>
      <c r="K91" s="411"/>
      <c r="N91" s="408"/>
      <c r="O91" s="409"/>
      <c r="P91" s="409"/>
      <c r="Q91" s="409"/>
      <c r="R91" s="409"/>
      <c r="S91" s="409"/>
      <c r="T91" s="410"/>
      <c r="U91" s="409"/>
      <c r="V91" s="410"/>
      <c r="W91" s="411"/>
      <c r="X91" s="105"/>
      <c r="Y91" s="105"/>
      <c r="Z91" s="105"/>
      <c r="AA91" s="105"/>
      <c r="AB91" s="105"/>
      <c r="AC91" s="105"/>
      <c r="AD91" s="105"/>
      <c r="AE91" s="105"/>
      <c r="AF91" s="105"/>
      <c r="AG91" s="105"/>
      <c r="AH91" s="105"/>
      <c r="AI91" s="105"/>
      <c r="AJ91" s="105"/>
      <c r="AK91" s="105"/>
      <c r="AL91" s="105"/>
      <c r="AM91" s="105"/>
      <c r="AN91" s="105"/>
      <c r="AO91" s="105"/>
      <c r="AP91" s="105"/>
      <c r="AQ91" s="105"/>
      <c r="AR91" s="105"/>
      <c r="AS91" s="105"/>
      <c r="AT91" s="105"/>
      <c r="AU91" s="105"/>
      <c r="AV91" s="105"/>
      <c r="AW91" s="105"/>
      <c r="AX91" s="105"/>
      <c r="AY91" s="105"/>
      <c r="AZ91" s="105"/>
      <c r="BA91" s="105"/>
      <c r="BB91" s="105"/>
      <c r="BC91" s="105"/>
      <c r="BD91" s="105"/>
      <c r="BE91" s="105"/>
      <c r="BF91" s="105"/>
      <c r="BG91" s="105"/>
      <c r="BH91" s="105"/>
      <c r="BI91" s="105"/>
      <c r="BJ91" s="105"/>
      <c r="BK91" s="105"/>
      <c r="BL91" s="105"/>
      <c r="BM91" s="105"/>
      <c r="BN91" s="105"/>
      <c r="BO91" s="105"/>
      <c r="BP91" s="105"/>
      <c r="BQ91" s="105"/>
      <c r="BR91" s="105"/>
      <c r="BS91" s="105"/>
      <c r="BT91" s="105"/>
      <c r="BU91" s="105"/>
      <c r="BV91" s="105"/>
      <c r="BW91" s="105"/>
      <c r="BX91" s="105"/>
      <c r="BY91" s="105"/>
      <c r="BZ91" s="105"/>
      <c r="CA91" s="105"/>
      <c r="CB91" s="105"/>
      <c r="CC91" s="105"/>
      <c r="CD91" s="105"/>
      <c r="CE91" s="105"/>
      <c r="CF91" s="105"/>
      <c r="CG91" s="105"/>
      <c r="CH91" s="105"/>
      <c r="CI91" s="105"/>
      <c r="CJ91" s="105"/>
      <c r="CK91" s="105"/>
      <c r="CL91" s="105"/>
      <c r="CM91" s="105"/>
      <c r="CN91" s="105"/>
      <c r="CO91" s="105"/>
      <c r="CP91" s="105"/>
      <c r="CQ91" s="105"/>
      <c r="CR91" s="105"/>
      <c r="CS91" s="105"/>
    </row>
    <row r="92" spans="1:98" s="2" customFormat="1" ht="15" hidden="1" thickTop="1" thickBot="1">
      <c r="A92" s="404" t="s">
        <v>68</v>
      </c>
      <c r="B92" s="405">
        <f>SUBTOTAL(9,B68:B90)</f>
        <v>38719551168</v>
      </c>
      <c r="C92" s="405"/>
      <c r="D92" s="405">
        <f>SUBTOTAL(9,D68:D90)</f>
        <v>1858559127305</v>
      </c>
      <c r="E92" s="405">
        <f>SUBTOTAL(9,E68:E90)</f>
        <v>2084990106074</v>
      </c>
      <c r="F92" s="405"/>
      <c r="G92" s="405"/>
      <c r="H92" s="406"/>
      <c r="I92" s="405">
        <f t="shared" si="4"/>
        <v>38719551168</v>
      </c>
      <c r="J92" s="406">
        <f t="shared" si="5"/>
        <v>1858559127305</v>
      </c>
      <c r="K92" s="407">
        <f t="shared" si="6"/>
        <v>2084990106074</v>
      </c>
      <c r="N92" s="404" t="s">
        <v>68</v>
      </c>
      <c r="O92" s="405">
        <f>SUBTOTAL(9,O68:O90)</f>
        <v>18518.469999999998</v>
      </c>
      <c r="P92" s="405">
        <f>SUBTOTAL(9,P68:P90)</f>
        <v>3992.82</v>
      </c>
      <c r="Q92" s="405">
        <f>SUBTOTAL(9,Q68:Q90)</f>
        <v>36565.32</v>
      </c>
      <c r="R92" s="405"/>
      <c r="S92" s="405"/>
      <c r="T92" s="406"/>
      <c r="U92" s="405">
        <f t="shared" si="7"/>
        <v>18518.469999999998</v>
      </c>
      <c r="V92" s="406">
        <f t="shared" si="8"/>
        <v>3992.82</v>
      </c>
      <c r="W92" s="407">
        <f t="shared" si="9"/>
        <v>36565.32</v>
      </c>
      <c r="X92" s="105"/>
      <c r="Y92" s="105"/>
      <c r="Z92" s="105"/>
      <c r="AA92" s="105"/>
      <c r="AB92" s="105"/>
      <c r="AC92" s="105"/>
      <c r="AD92" s="105"/>
      <c r="AE92" s="105"/>
      <c r="AF92" s="105"/>
      <c r="AG92" s="105"/>
      <c r="AH92" s="105"/>
      <c r="AI92" s="105"/>
      <c r="AJ92" s="105"/>
      <c r="AK92" s="105"/>
      <c r="AL92" s="105"/>
      <c r="AM92" s="105"/>
      <c r="AN92" s="105"/>
      <c r="AO92" s="105"/>
      <c r="AP92" s="105"/>
      <c r="AQ92" s="105"/>
      <c r="AR92" s="105"/>
      <c r="AS92" s="105"/>
      <c r="AT92" s="105"/>
      <c r="AU92" s="105"/>
      <c r="AV92" s="105"/>
      <c r="AW92" s="105"/>
      <c r="AX92" s="105"/>
      <c r="AY92" s="105"/>
      <c r="AZ92" s="105"/>
      <c r="BA92" s="105"/>
      <c r="BB92" s="105"/>
      <c r="BC92" s="105"/>
      <c r="BD92" s="105"/>
      <c r="BE92" s="105"/>
      <c r="BF92" s="105"/>
      <c r="BG92" s="105"/>
      <c r="BH92" s="105"/>
      <c r="BI92" s="105"/>
      <c r="BJ92" s="105"/>
      <c r="BK92" s="105"/>
      <c r="BL92" s="105"/>
      <c r="BM92" s="105"/>
      <c r="BN92" s="105"/>
      <c r="BO92" s="105"/>
      <c r="BP92" s="105"/>
      <c r="BQ92" s="105"/>
      <c r="BR92" s="105"/>
      <c r="BS92" s="105"/>
      <c r="BT92" s="105"/>
      <c r="BU92" s="105"/>
      <c r="BV92" s="105"/>
      <c r="BW92" s="105"/>
      <c r="BX92" s="105"/>
      <c r="BY92" s="105"/>
      <c r="BZ92" s="105"/>
      <c r="CA92" s="105"/>
      <c r="CB92" s="105"/>
      <c r="CC92" s="105"/>
      <c r="CD92" s="105"/>
      <c r="CE92" s="105"/>
      <c r="CF92" s="105"/>
      <c r="CG92" s="105"/>
      <c r="CH92" s="105"/>
      <c r="CI92" s="105"/>
      <c r="CJ92" s="105"/>
      <c r="CK92" s="105"/>
      <c r="CL92" s="105"/>
      <c r="CM92" s="105"/>
      <c r="CN92" s="105"/>
      <c r="CO92" s="105"/>
      <c r="CP92" s="105"/>
      <c r="CQ92" s="105"/>
      <c r="CR92" s="105"/>
      <c r="CS92" s="105"/>
    </row>
    <row r="93" spans="1:98" s="2" customFormat="1" hidden="1">
      <c r="A93" s="104"/>
      <c r="B93" s="43" t="b">
        <f>B92=Summary!B15*1000000*Fx</f>
        <v>0</v>
      </c>
      <c r="C93" s="43"/>
      <c r="D93" s="43" t="b">
        <f>D92=Summary!B16*1000000*Fx</f>
        <v>0</v>
      </c>
      <c r="E93" s="43" t="b">
        <f>E92=Summary!B17*1000000*Fx</f>
        <v>0</v>
      </c>
      <c r="F93" s="105"/>
      <c r="G93" s="105"/>
      <c r="H93" s="105"/>
      <c r="O93" s="43" t="b">
        <f>O92=Summary!C15*1000000</f>
        <v>0</v>
      </c>
      <c r="P93" s="43" t="b">
        <f>P92=Summary!C16*1000000</f>
        <v>0</v>
      </c>
      <c r="Q93" s="43" t="b">
        <f>Q92=Summary!C17*1000000</f>
        <v>0</v>
      </c>
      <c r="X93" s="105"/>
      <c r="Y93" s="105"/>
      <c r="Z93" s="105"/>
      <c r="AA93" s="105"/>
      <c r="AB93" s="105"/>
      <c r="AC93" s="105"/>
      <c r="AD93" s="105"/>
      <c r="AE93" s="105"/>
      <c r="AF93" s="105"/>
      <c r="AG93" s="105"/>
      <c r="AH93" s="105"/>
      <c r="AI93" s="105"/>
      <c r="AJ93" s="105"/>
      <c r="AK93" s="105"/>
      <c r="AL93" s="105"/>
      <c r="AM93" s="105"/>
      <c r="AN93" s="105"/>
      <c r="AO93" s="105"/>
      <c r="AP93" s="105"/>
      <c r="AQ93" s="105"/>
      <c r="AR93" s="105"/>
      <c r="AS93" s="105"/>
      <c r="AT93" s="105"/>
      <c r="AU93" s="105"/>
      <c r="AV93" s="105"/>
      <c r="AW93" s="105"/>
      <c r="AX93" s="105"/>
      <c r="AY93" s="105"/>
      <c r="AZ93" s="105"/>
      <c r="BA93" s="105"/>
      <c r="BB93" s="105"/>
      <c r="BC93" s="105"/>
      <c r="BD93" s="105"/>
      <c r="BE93" s="105"/>
      <c r="BF93" s="105"/>
      <c r="BG93" s="105"/>
      <c r="BH93" s="105"/>
      <c r="BI93" s="105"/>
      <c r="BJ93" s="105"/>
      <c r="BK93" s="105"/>
      <c r="BL93" s="105"/>
      <c r="BM93" s="105"/>
      <c r="BN93" s="105"/>
      <c r="BO93" s="105"/>
      <c r="BP93" s="105"/>
      <c r="BQ93" s="105"/>
      <c r="BR93" s="105"/>
      <c r="BS93" s="105"/>
      <c r="BT93" s="105"/>
      <c r="BU93" s="105"/>
      <c r="BV93" s="105"/>
      <c r="BW93" s="105"/>
      <c r="BX93" s="105"/>
      <c r="BY93" s="105"/>
      <c r="BZ93" s="105"/>
      <c r="CA93" s="105"/>
      <c r="CB93" s="105"/>
      <c r="CC93" s="105"/>
      <c r="CD93" s="105"/>
      <c r="CE93" s="105"/>
      <c r="CF93" s="105"/>
      <c r="CG93" s="105"/>
      <c r="CH93" s="105"/>
      <c r="CI93" s="105"/>
      <c r="CJ93" s="105"/>
      <c r="CK93" s="105"/>
      <c r="CL93" s="105"/>
      <c r="CM93" s="105"/>
      <c r="CN93" s="105"/>
      <c r="CO93" s="105"/>
      <c r="CP93" s="105"/>
      <c r="CQ93" s="105"/>
      <c r="CR93" s="105"/>
      <c r="CS93" s="105"/>
      <c r="CT93" s="105"/>
    </row>
    <row r="94" spans="1:98" s="2" customFormat="1" ht="13.8" hidden="1">
      <c r="A94" s="104"/>
      <c r="B94" s="104"/>
      <c r="C94" s="104"/>
      <c r="D94" s="105"/>
      <c r="E94" s="105"/>
      <c r="F94" s="105"/>
      <c r="G94" s="105"/>
      <c r="H94" s="105"/>
      <c r="X94" s="105"/>
      <c r="Y94" s="105"/>
      <c r="Z94" s="105"/>
      <c r="AA94" s="105"/>
      <c r="AB94" s="105"/>
      <c r="AC94" s="105"/>
      <c r="AD94" s="105"/>
      <c r="AE94" s="105"/>
      <c r="AF94" s="105"/>
      <c r="AG94" s="105"/>
      <c r="AH94" s="105"/>
      <c r="AI94" s="105"/>
      <c r="AJ94" s="105"/>
      <c r="AK94" s="105"/>
      <c r="AL94" s="105"/>
      <c r="AM94" s="105"/>
      <c r="AN94" s="105"/>
      <c r="AO94" s="105"/>
      <c r="AP94" s="105"/>
      <c r="AQ94" s="105"/>
      <c r="AR94" s="105"/>
      <c r="AS94" s="105"/>
      <c r="AT94" s="105"/>
      <c r="AU94" s="105"/>
      <c r="AV94" s="105"/>
      <c r="AW94" s="105"/>
      <c r="AX94" s="105"/>
      <c r="AY94" s="105"/>
      <c r="AZ94" s="105"/>
      <c r="BA94" s="105"/>
      <c r="BB94" s="105"/>
      <c r="BC94" s="105"/>
      <c r="BD94" s="105"/>
      <c r="BE94" s="105"/>
      <c r="BF94" s="105"/>
      <c r="BG94" s="105"/>
      <c r="BH94" s="105"/>
      <c r="BI94" s="105"/>
      <c r="BJ94" s="105"/>
      <c r="BK94" s="105"/>
      <c r="BL94" s="105"/>
      <c r="BM94" s="105"/>
      <c r="BN94" s="105"/>
      <c r="BO94" s="105"/>
      <c r="BP94" s="105"/>
      <c r="BQ94" s="105"/>
      <c r="BR94" s="105"/>
      <c r="BS94" s="105"/>
      <c r="BT94" s="105"/>
      <c r="BU94" s="105"/>
      <c r="BV94" s="105"/>
      <c r="BW94" s="105"/>
      <c r="BX94" s="105"/>
      <c r="BY94" s="105"/>
      <c r="BZ94" s="105"/>
      <c r="CA94" s="105"/>
      <c r="CB94" s="105"/>
      <c r="CC94" s="105"/>
      <c r="CD94" s="105"/>
      <c r="CE94" s="105"/>
      <c r="CF94" s="105"/>
      <c r="CG94" s="105"/>
      <c r="CH94" s="105"/>
      <c r="CI94" s="105"/>
      <c r="CJ94" s="105"/>
      <c r="CK94" s="105"/>
      <c r="CL94" s="105"/>
      <c r="CM94" s="105"/>
      <c r="CN94" s="105"/>
      <c r="CO94" s="105"/>
      <c r="CP94" s="105"/>
      <c r="CQ94" s="105"/>
      <c r="CR94" s="105"/>
      <c r="CS94" s="105"/>
      <c r="CT94" s="105"/>
    </row>
    <row r="95" spans="1:98" s="2" customFormat="1" ht="13.8" hidden="1">
      <c r="A95" s="104"/>
      <c r="B95" s="104"/>
      <c r="C95" s="104"/>
      <c r="D95" s="105"/>
      <c r="E95" s="105"/>
      <c r="F95" s="105"/>
      <c r="G95" s="105"/>
      <c r="H95" s="105"/>
      <c r="X95" s="105"/>
      <c r="Y95" s="105"/>
      <c r="Z95" s="105"/>
      <c r="AA95" s="105"/>
      <c r="AB95" s="105"/>
      <c r="AC95" s="105"/>
      <c r="AD95" s="105"/>
      <c r="AE95" s="105"/>
      <c r="AF95" s="105"/>
      <c r="AG95" s="105"/>
      <c r="AH95" s="105"/>
      <c r="AI95" s="105"/>
      <c r="AJ95" s="105"/>
      <c r="AK95" s="105"/>
      <c r="AL95" s="105"/>
      <c r="AM95" s="105"/>
      <c r="AN95" s="105"/>
      <c r="AO95" s="105"/>
      <c r="AP95" s="105"/>
      <c r="AQ95" s="105"/>
      <c r="AR95" s="105"/>
      <c r="AS95" s="105"/>
      <c r="AT95" s="105"/>
      <c r="AU95" s="105"/>
      <c r="AV95" s="105"/>
      <c r="AW95" s="105"/>
      <c r="AX95" s="105"/>
      <c r="AY95" s="105"/>
      <c r="AZ95" s="105"/>
      <c r="BA95" s="105"/>
      <c r="BB95" s="105"/>
      <c r="BC95" s="105"/>
      <c r="BD95" s="105"/>
      <c r="BE95" s="105"/>
      <c r="BF95" s="105"/>
      <c r="BG95" s="105"/>
      <c r="BH95" s="105"/>
      <c r="BI95" s="105"/>
      <c r="BJ95" s="105"/>
      <c r="BK95" s="105"/>
      <c r="BL95" s="105"/>
      <c r="BM95" s="105"/>
      <c r="BN95" s="105"/>
      <c r="BO95" s="105"/>
      <c r="BP95" s="105"/>
      <c r="BQ95" s="105"/>
      <c r="BR95" s="105"/>
      <c r="BS95" s="105"/>
      <c r="BT95" s="105"/>
      <c r="BU95" s="105"/>
      <c r="BV95" s="105"/>
      <c r="BW95" s="105"/>
      <c r="BX95" s="105"/>
      <c r="BY95" s="105"/>
      <c r="BZ95" s="105"/>
      <c r="CA95" s="105"/>
      <c r="CB95" s="105"/>
      <c r="CC95" s="105"/>
      <c r="CD95" s="105"/>
      <c r="CE95" s="105"/>
      <c r="CF95" s="105"/>
      <c r="CG95" s="105"/>
      <c r="CH95" s="105"/>
      <c r="CI95" s="105"/>
      <c r="CJ95" s="105"/>
      <c r="CK95" s="105"/>
      <c r="CL95" s="105"/>
      <c r="CM95" s="105"/>
      <c r="CN95" s="105"/>
      <c r="CO95" s="105"/>
      <c r="CP95" s="105"/>
      <c r="CQ95" s="105"/>
      <c r="CR95" s="105"/>
      <c r="CS95" s="105"/>
      <c r="CT95" s="105"/>
    </row>
    <row r="96" spans="1:98" s="2" customFormat="1" ht="13.8" hidden="1">
      <c r="A96" s="104"/>
      <c r="B96" s="104"/>
      <c r="C96" s="104"/>
      <c r="D96" s="105"/>
      <c r="E96" s="105"/>
      <c r="F96" s="105"/>
      <c r="G96" s="105"/>
      <c r="H96" s="105"/>
      <c r="X96" s="105"/>
      <c r="Y96" s="105"/>
      <c r="Z96" s="105"/>
      <c r="AA96" s="105"/>
      <c r="AB96" s="105"/>
      <c r="AC96" s="105"/>
      <c r="AD96" s="105"/>
      <c r="AE96" s="105"/>
      <c r="AF96" s="105"/>
      <c r="AG96" s="105"/>
      <c r="AH96" s="105"/>
      <c r="AI96" s="105"/>
      <c r="AJ96" s="105"/>
      <c r="AK96" s="105"/>
      <c r="AL96" s="105"/>
      <c r="AM96" s="105"/>
      <c r="AN96" s="105"/>
      <c r="AO96" s="105"/>
      <c r="AP96" s="105"/>
      <c r="AQ96" s="105"/>
      <c r="AR96" s="105"/>
      <c r="AS96" s="105"/>
      <c r="AT96" s="105"/>
      <c r="AU96" s="105"/>
      <c r="AV96" s="105"/>
      <c r="AW96" s="105"/>
      <c r="AX96" s="105"/>
      <c r="AY96" s="105"/>
      <c r="AZ96" s="105"/>
      <c r="BA96" s="105"/>
      <c r="BB96" s="105"/>
      <c r="BC96" s="105"/>
      <c r="BD96" s="105"/>
      <c r="BE96" s="105"/>
      <c r="BF96" s="105"/>
      <c r="BG96" s="105"/>
      <c r="BH96" s="105"/>
      <c r="BI96" s="105"/>
      <c r="BJ96" s="105"/>
      <c r="BK96" s="105"/>
      <c r="BL96" s="105"/>
      <c r="BM96" s="105"/>
      <c r="BN96" s="105"/>
      <c r="BO96" s="105"/>
      <c r="BP96" s="105"/>
      <c r="BQ96" s="105"/>
      <c r="BR96" s="105"/>
      <c r="BS96" s="105"/>
      <c r="BT96" s="105"/>
      <c r="BU96" s="105"/>
      <c r="BV96" s="105"/>
      <c r="BW96" s="105"/>
      <c r="BX96" s="105"/>
      <c r="BY96" s="105"/>
      <c r="BZ96" s="105"/>
      <c r="CA96" s="105"/>
      <c r="CB96" s="105"/>
      <c r="CC96" s="105"/>
      <c r="CD96" s="105"/>
      <c r="CE96" s="105"/>
      <c r="CF96" s="105"/>
      <c r="CG96" s="105"/>
      <c r="CH96" s="105"/>
      <c r="CI96" s="105"/>
      <c r="CJ96" s="105"/>
      <c r="CK96" s="105"/>
      <c r="CL96" s="105"/>
      <c r="CM96" s="105"/>
      <c r="CN96" s="105"/>
      <c r="CO96" s="105"/>
      <c r="CP96" s="105"/>
      <c r="CQ96" s="105"/>
      <c r="CR96" s="105"/>
      <c r="CS96" s="105"/>
      <c r="CT96" s="105"/>
    </row>
    <row r="97" spans="1:98" s="2" customFormat="1" ht="13.8" hidden="1">
      <c r="A97" s="104"/>
      <c r="B97" s="104"/>
      <c r="C97" s="104"/>
      <c r="D97" s="105"/>
      <c r="E97" s="105"/>
      <c r="F97" s="105"/>
      <c r="G97" s="105"/>
      <c r="H97" s="105"/>
      <c r="X97" s="105"/>
      <c r="Y97" s="105"/>
      <c r="Z97" s="105"/>
      <c r="AA97" s="105"/>
      <c r="AB97" s="105"/>
      <c r="AC97" s="105"/>
      <c r="AD97" s="105"/>
      <c r="AE97" s="105"/>
      <c r="AF97" s="105"/>
      <c r="AG97" s="105"/>
      <c r="AH97" s="105"/>
      <c r="AI97" s="105"/>
      <c r="AJ97" s="105"/>
      <c r="AK97" s="105"/>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c r="BI97" s="105"/>
      <c r="BJ97" s="105"/>
      <c r="BK97" s="105"/>
      <c r="BL97" s="105"/>
      <c r="BM97" s="105"/>
      <c r="BN97" s="105"/>
      <c r="BO97" s="105"/>
      <c r="BP97" s="105"/>
      <c r="BQ97" s="105"/>
      <c r="BR97" s="105"/>
      <c r="BS97" s="105"/>
      <c r="BT97" s="105"/>
      <c r="BU97" s="105"/>
      <c r="BV97" s="105"/>
      <c r="BW97" s="105"/>
      <c r="BX97" s="105"/>
      <c r="BY97" s="105"/>
      <c r="BZ97" s="105"/>
      <c r="CA97" s="105"/>
      <c r="CB97" s="105"/>
      <c r="CC97" s="105"/>
      <c r="CD97" s="105"/>
      <c r="CE97" s="105"/>
      <c r="CF97" s="105"/>
      <c r="CG97" s="105"/>
      <c r="CH97" s="105"/>
      <c r="CI97" s="105"/>
      <c r="CJ97" s="105"/>
      <c r="CK97" s="105"/>
      <c r="CL97" s="105"/>
      <c r="CM97" s="105"/>
      <c r="CN97" s="105"/>
      <c r="CO97" s="105"/>
      <c r="CP97" s="105"/>
      <c r="CQ97" s="105"/>
      <c r="CR97" s="105"/>
      <c r="CS97" s="105"/>
      <c r="CT97" s="105"/>
    </row>
    <row r="98" spans="1:98" s="2" customFormat="1" ht="13.8" hidden="1">
      <c r="A98" s="104"/>
      <c r="B98" s="104"/>
      <c r="C98" s="104"/>
      <c r="D98" s="105"/>
      <c r="E98" s="105"/>
      <c r="F98" s="105"/>
      <c r="G98" s="105"/>
      <c r="H98" s="105"/>
      <c r="X98" s="105"/>
      <c r="Y98" s="105"/>
      <c r="Z98" s="105"/>
      <c r="AA98" s="105"/>
      <c r="AB98" s="105"/>
      <c r="AC98" s="105"/>
      <c r="AD98" s="105"/>
      <c r="AE98" s="105"/>
      <c r="AF98" s="105"/>
      <c r="AG98" s="105"/>
      <c r="AH98" s="105"/>
      <c r="AI98" s="105"/>
      <c r="AJ98" s="105"/>
      <c r="AK98" s="105"/>
      <c r="AL98" s="105"/>
      <c r="AM98" s="105"/>
      <c r="AN98" s="105"/>
      <c r="AO98" s="105"/>
      <c r="AP98" s="105"/>
      <c r="AQ98" s="105"/>
      <c r="AR98" s="105"/>
      <c r="AS98" s="105"/>
      <c r="AT98" s="105"/>
      <c r="AU98" s="105"/>
      <c r="AV98" s="105"/>
      <c r="AW98" s="105"/>
      <c r="AX98" s="105"/>
      <c r="AY98" s="105"/>
      <c r="AZ98" s="105"/>
      <c r="BA98" s="105"/>
      <c r="BB98" s="105"/>
      <c r="BC98" s="105"/>
      <c r="BD98" s="105"/>
      <c r="BE98" s="105"/>
      <c r="BF98" s="105"/>
      <c r="BG98" s="105"/>
      <c r="BH98" s="105"/>
      <c r="BI98" s="105"/>
      <c r="BJ98" s="105"/>
      <c r="BK98" s="105"/>
      <c r="BL98" s="105"/>
      <c r="BM98" s="105"/>
      <c r="BN98" s="105"/>
      <c r="BO98" s="105"/>
      <c r="BP98" s="105"/>
      <c r="BQ98" s="105"/>
      <c r="BR98" s="105"/>
      <c r="BS98" s="105"/>
      <c r="BT98" s="105"/>
      <c r="BU98" s="105"/>
      <c r="BV98" s="105"/>
      <c r="BW98" s="105"/>
      <c r="BX98" s="105"/>
      <c r="BY98" s="105"/>
      <c r="BZ98" s="105"/>
      <c r="CA98" s="105"/>
      <c r="CB98" s="105"/>
      <c r="CC98" s="105"/>
      <c r="CD98" s="105"/>
      <c r="CE98" s="105"/>
      <c r="CF98" s="105"/>
      <c r="CG98" s="105"/>
      <c r="CH98" s="105"/>
      <c r="CI98" s="105"/>
      <c r="CJ98" s="105"/>
      <c r="CK98" s="105"/>
      <c r="CL98" s="105"/>
      <c r="CM98" s="105"/>
      <c r="CN98" s="105"/>
      <c r="CO98" s="105"/>
      <c r="CP98" s="105"/>
      <c r="CQ98" s="105"/>
      <c r="CR98" s="105"/>
      <c r="CS98" s="105"/>
      <c r="CT98" s="105"/>
    </row>
    <row r="99" spans="1:98" s="2" customFormat="1" ht="13.8" hidden="1">
      <c r="A99" s="104"/>
      <c r="B99" s="104"/>
      <c r="C99" s="104"/>
      <c r="D99" s="105"/>
      <c r="E99" s="105"/>
      <c r="F99" s="105"/>
      <c r="G99" s="105"/>
      <c r="H99" s="105"/>
      <c r="X99" s="105"/>
      <c r="Y99" s="105"/>
      <c r="Z99" s="105"/>
      <c r="AA99" s="105"/>
      <c r="AB99" s="105"/>
      <c r="AC99" s="105"/>
      <c r="AD99" s="105"/>
      <c r="AE99" s="105"/>
      <c r="AF99" s="105"/>
      <c r="AG99" s="105"/>
      <c r="AH99" s="105"/>
      <c r="AI99" s="105"/>
      <c r="AJ99" s="105"/>
      <c r="AK99" s="105"/>
      <c r="AL99" s="105"/>
      <c r="AM99" s="105"/>
      <c r="AN99" s="105"/>
      <c r="AO99" s="105"/>
      <c r="AP99" s="105"/>
      <c r="AQ99" s="105"/>
      <c r="AR99" s="105"/>
      <c r="AS99" s="105"/>
      <c r="AT99" s="105"/>
      <c r="AU99" s="105"/>
      <c r="AV99" s="105"/>
      <c r="AW99" s="105"/>
      <c r="AX99" s="105"/>
      <c r="AY99" s="105"/>
      <c r="AZ99" s="105"/>
      <c r="BA99" s="105"/>
      <c r="BB99" s="105"/>
      <c r="BC99" s="105"/>
      <c r="BD99" s="105"/>
      <c r="BE99" s="105"/>
      <c r="BF99" s="105"/>
      <c r="BG99" s="105"/>
      <c r="BH99" s="105"/>
      <c r="BI99" s="105"/>
      <c r="BJ99" s="105"/>
      <c r="BK99" s="105"/>
      <c r="BL99" s="105"/>
      <c r="BM99" s="105"/>
      <c r="BN99" s="105"/>
      <c r="BO99" s="105"/>
      <c r="BP99" s="105"/>
      <c r="BQ99" s="105"/>
      <c r="BR99" s="105"/>
      <c r="BS99" s="105"/>
      <c r="BT99" s="105"/>
      <c r="BU99" s="105"/>
      <c r="BV99" s="105"/>
      <c r="BW99" s="105"/>
      <c r="BX99" s="105"/>
      <c r="BY99" s="105"/>
      <c r="BZ99" s="105"/>
      <c r="CA99" s="105"/>
      <c r="CB99" s="105"/>
      <c r="CC99" s="105"/>
      <c r="CD99" s="105"/>
      <c r="CE99" s="105"/>
      <c r="CF99" s="105"/>
      <c r="CG99" s="105"/>
      <c r="CH99" s="105"/>
      <c r="CI99" s="105"/>
      <c r="CJ99" s="105"/>
      <c r="CK99" s="105"/>
      <c r="CL99" s="105"/>
      <c r="CM99" s="105"/>
      <c r="CN99" s="105"/>
      <c r="CO99" s="105"/>
      <c r="CP99" s="105"/>
      <c r="CQ99" s="105"/>
      <c r="CR99" s="105"/>
      <c r="CS99" s="105"/>
      <c r="CT99" s="105"/>
    </row>
    <row r="100" spans="1:98" s="2" customFormat="1" ht="13.8" hidden="1">
      <c r="A100" s="104"/>
      <c r="B100" s="104"/>
      <c r="C100" s="104"/>
      <c r="D100" s="105"/>
      <c r="E100" s="105"/>
      <c r="F100" s="105"/>
      <c r="G100" s="105"/>
      <c r="H100" s="105"/>
      <c r="X100" s="105"/>
      <c r="Y100" s="105"/>
      <c r="Z100" s="105"/>
      <c r="AA100" s="105"/>
      <c r="AB100" s="105"/>
      <c r="AC100" s="105"/>
      <c r="AD100" s="105"/>
      <c r="AE100" s="105"/>
      <c r="AF100" s="105"/>
      <c r="AG100" s="105"/>
      <c r="AH100" s="105"/>
      <c r="AI100" s="105"/>
      <c r="AJ100" s="105"/>
      <c r="AK100" s="105"/>
      <c r="AL100" s="105"/>
      <c r="AM100" s="105"/>
      <c r="AN100" s="105"/>
      <c r="AO100" s="105"/>
      <c r="AP100" s="105"/>
      <c r="AQ100" s="105"/>
      <c r="AR100" s="105"/>
      <c r="AS100" s="105"/>
      <c r="AT100" s="105"/>
      <c r="AU100" s="105"/>
      <c r="AV100" s="105"/>
      <c r="AW100" s="105"/>
      <c r="AX100" s="105"/>
      <c r="AY100" s="105"/>
      <c r="AZ100" s="105"/>
      <c r="BA100" s="105"/>
      <c r="BB100" s="105"/>
      <c r="BC100" s="105"/>
      <c r="BD100" s="105"/>
      <c r="BE100" s="105"/>
      <c r="BF100" s="105"/>
      <c r="BG100" s="105"/>
      <c r="BH100" s="105"/>
      <c r="BI100" s="105"/>
      <c r="BJ100" s="105"/>
      <c r="BK100" s="105"/>
      <c r="BL100" s="105"/>
      <c r="BM100" s="105"/>
      <c r="BN100" s="105"/>
      <c r="BO100" s="105"/>
      <c r="BP100" s="105"/>
      <c r="BQ100" s="105"/>
      <c r="BR100" s="105"/>
      <c r="BS100" s="105"/>
      <c r="BT100" s="105"/>
      <c r="BU100" s="105"/>
      <c r="BV100" s="105"/>
      <c r="BW100" s="105"/>
      <c r="BX100" s="105"/>
      <c r="BY100" s="105"/>
      <c r="BZ100" s="105"/>
      <c r="CA100" s="105"/>
      <c r="CB100" s="105"/>
      <c r="CC100" s="105"/>
      <c r="CD100" s="105"/>
      <c r="CE100" s="105"/>
      <c r="CF100" s="105"/>
      <c r="CG100" s="105"/>
      <c r="CH100" s="105"/>
      <c r="CI100" s="105"/>
      <c r="CJ100" s="105"/>
      <c r="CK100" s="105"/>
      <c r="CL100" s="105"/>
      <c r="CM100" s="105"/>
      <c r="CN100" s="105"/>
      <c r="CO100" s="105"/>
      <c r="CP100" s="105"/>
      <c r="CQ100" s="105"/>
      <c r="CR100" s="105"/>
      <c r="CS100" s="105"/>
      <c r="CT100" s="105"/>
    </row>
    <row r="101" spans="1:98" s="2" customFormat="1" ht="13.8" hidden="1">
      <c r="A101" s="104"/>
      <c r="B101" s="104"/>
      <c r="C101" s="104"/>
      <c r="D101" s="105"/>
      <c r="E101" s="105"/>
      <c r="F101" s="105"/>
      <c r="G101" s="105"/>
      <c r="H101" s="105"/>
      <c r="X101" s="105"/>
      <c r="Y101" s="105"/>
      <c r="Z101" s="105"/>
      <c r="AA101" s="105"/>
      <c r="AB101" s="105"/>
      <c r="AC101" s="105"/>
      <c r="AD101" s="105"/>
      <c r="AE101" s="105"/>
      <c r="AF101" s="105"/>
      <c r="AG101" s="105"/>
      <c r="AH101" s="105"/>
      <c r="AI101" s="105"/>
      <c r="AJ101" s="105"/>
      <c r="AK101" s="105"/>
      <c r="AL101" s="105"/>
      <c r="AM101" s="105"/>
      <c r="AN101" s="105"/>
      <c r="AO101" s="105"/>
      <c r="AP101" s="105"/>
      <c r="AQ101" s="105"/>
      <c r="AR101" s="105"/>
      <c r="AS101" s="105"/>
      <c r="AT101" s="105"/>
      <c r="AU101" s="105"/>
      <c r="AV101" s="105"/>
      <c r="AW101" s="105"/>
      <c r="AX101" s="105"/>
      <c r="AY101" s="105"/>
      <c r="AZ101" s="105"/>
      <c r="BA101" s="105"/>
      <c r="BB101" s="105"/>
      <c r="BC101" s="105"/>
      <c r="BD101" s="105"/>
      <c r="BE101" s="105"/>
      <c r="BF101" s="105"/>
      <c r="BG101" s="105"/>
      <c r="BH101" s="105"/>
      <c r="BI101" s="105"/>
      <c r="BJ101" s="105"/>
      <c r="BK101" s="105"/>
      <c r="BL101" s="105"/>
      <c r="BM101" s="105"/>
      <c r="BN101" s="105"/>
      <c r="BO101" s="105"/>
      <c r="BP101" s="105"/>
      <c r="BQ101" s="105"/>
      <c r="BR101" s="105"/>
      <c r="BS101" s="105"/>
      <c r="BT101" s="105"/>
      <c r="BU101" s="105"/>
      <c r="BV101" s="105"/>
      <c r="BW101" s="105"/>
      <c r="BX101" s="105"/>
      <c r="BY101" s="105"/>
      <c r="BZ101" s="105"/>
      <c r="CA101" s="105"/>
      <c r="CB101" s="105"/>
      <c r="CC101" s="105"/>
      <c r="CD101" s="105"/>
      <c r="CE101" s="105"/>
      <c r="CF101" s="105"/>
      <c r="CG101" s="105"/>
      <c r="CH101" s="105"/>
      <c r="CI101" s="105"/>
      <c r="CJ101" s="105"/>
      <c r="CK101" s="105"/>
      <c r="CL101" s="105"/>
      <c r="CM101" s="105"/>
      <c r="CN101" s="105"/>
      <c r="CO101" s="105"/>
      <c r="CP101" s="105"/>
      <c r="CQ101" s="105"/>
      <c r="CR101" s="105"/>
      <c r="CS101" s="105"/>
      <c r="CT101" s="105"/>
    </row>
    <row r="102" spans="1:98" s="2" customFormat="1" ht="13.8" hidden="1">
      <c r="A102" s="104"/>
      <c r="B102" s="104"/>
      <c r="C102" s="104"/>
      <c r="D102" s="105"/>
      <c r="E102" s="105"/>
      <c r="F102" s="105"/>
      <c r="G102" s="105"/>
      <c r="H102" s="105"/>
      <c r="X102" s="105"/>
      <c r="Y102" s="105"/>
      <c r="Z102" s="105"/>
      <c r="AA102" s="105"/>
      <c r="AB102" s="105"/>
      <c r="AC102" s="105"/>
      <c r="AD102" s="105"/>
      <c r="AE102" s="105"/>
      <c r="AF102" s="105"/>
      <c r="AG102" s="105"/>
      <c r="AH102" s="105"/>
      <c r="AI102" s="105"/>
      <c r="AJ102" s="105"/>
      <c r="AK102" s="105"/>
      <c r="AL102" s="105"/>
      <c r="AM102" s="105"/>
      <c r="AN102" s="105"/>
      <c r="AO102" s="105"/>
      <c r="AP102" s="105"/>
      <c r="AQ102" s="105"/>
      <c r="AR102" s="105"/>
      <c r="AS102" s="105"/>
      <c r="AT102" s="105"/>
      <c r="AU102" s="105"/>
      <c r="AV102" s="105"/>
      <c r="AW102" s="105"/>
      <c r="AX102" s="105"/>
      <c r="AY102" s="105"/>
      <c r="AZ102" s="105"/>
      <c r="BA102" s="105"/>
      <c r="BB102" s="105"/>
      <c r="BC102" s="105"/>
      <c r="BD102" s="105"/>
      <c r="BE102" s="105"/>
      <c r="BF102" s="105"/>
      <c r="BG102" s="105"/>
      <c r="BH102" s="105"/>
      <c r="BI102" s="105"/>
      <c r="BJ102" s="105"/>
      <c r="BK102" s="105"/>
      <c r="BL102" s="105"/>
      <c r="BM102" s="105"/>
      <c r="BN102" s="105"/>
      <c r="BO102" s="105"/>
      <c r="BP102" s="105"/>
      <c r="BQ102" s="105"/>
      <c r="BR102" s="105"/>
      <c r="BS102" s="105"/>
      <c r="BT102" s="105"/>
      <c r="BU102" s="105"/>
      <c r="BV102" s="105"/>
      <c r="BW102" s="105"/>
      <c r="BX102" s="105"/>
      <c r="BY102" s="105"/>
      <c r="BZ102" s="105"/>
      <c r="CA102" s="105"/>
      <c r="CB102" s="105"/>
      <c r="CC102" s="105"/>
      <c r="CD102" s="105"/>
      <c r="CE102" s="105"/>
      <c r="CF102" s="105"/>
      <c r="CG102" s="105"/>
      <c r="CH102" s="105"/>
      <c r="CI102" s="105"/>
      <c r="CJ102" s="105"/>
      <c r="CK102" s="105"/>
      <c r="CL102" s="105"/>
      <c r="CM102" s="105"/>
      <c r="CN102" s="105"/>
      <c r="CO102" s="105"/>
      <c r="CP102" s="105"/>
      <c r="CQ102" s="105"/>
      <c r="CR102" s="105"/>
      <c r="CS102" s="105"/>
      <c r="CT102" s="105"/>
    </row>
    <row r="103" spans="1:98" s="2" customFormat="1" ht="13.8" hidden="1">
      <c r="A103" s="104"/>
      <c r="B103" s="104"/>
      <c r="C103" s="104"/>
      <c r="D103" s="105"/>
      <c r="E103" s="105"/>
      <c r="F103" s="105"/>
      <c r="G103" s="105"/>
      <c r="H103" s="105"/>
      <c r="X103" s="105"/>
      <c r="Y103" s="105"/>
      <c r="Z103" s="105"/>
      <c r="AA103" s="105"/>
      <c r="AB103" s="105"/>
      <c r="AC103" s="105"/>
      <c r="AD103" s="105"/>
      <c r="AE103" s="105"/>
      <c r="AF103" s="105"/>
      <c r="AG103" s="105"/>
      <c r="AH103" s="105"/>
      <c r="AI103" s="105"/>
      <c r="AJ103" s="105"/>
      <c r="AK103" s="105"/>
      <c r="AL103" s="105"/>
      <c r="AM103" s="105"/>
      <c r="AN103" s="105"/>
      <c r="AO103" s="105"/>
      <c r="AP103" s="105"/>
      <c r="AQ103" s="105"/>
      <c r="AR103" s="105"/>
      <c r="AS103" s="105"/>
      <c r="AT103" s="105"/>
      <c r="AU103" s="105"/>
      <c r="AV103" s="105"/>
      <c r="AW103" s="105"/>
      <c r="AX103" s="105"/>
      <c r="AY103" s="105"/>
      <c r="AZ103" s="105"/>
      <c r="BA103" s="105"/>
      <c r="BB103" s="105"/>
      <c r="BC103" s="105"/>
      <c r="BD103" s="105"/>
      <c r="BE103" s="105"/>
      <c r="BF103" s="105"/>
      <c r="BG103" s="105"/>
      <c r="BH103" s="105"/>
      <c r="BI103" s="105"/>
      <c r="BJ103" s="105"/>
      <c r="BK103" s="105"/>
      <c r="BL103" s="105"/>
      <c r="BM103" s="105"/>
      <c r="BN103" s="105"/>
      <c r="BO103" s="105"/>
      <c r="BP103" s="105"/>
      <c r="BQ103" s="105"/>
      <c r="BR103" s="105"/>
      <c r="BS103" s="105"/>
      <c r="BT103" s="105"/>
      <c r="BU103" s="105"/>
      <c r="BV103" s="105"/>
      <c r="BW103" s="105"/>
      <c r="BX103" s="105"/>
      <c r="BY103" s="105"/>
      <c r="BZ103" s="105"/>
      <c r="CA103" s="105"/>
      <c r="CB103" s="105"/>
      <c r="CC103" s="105"/>
      <c r="CD103" s="105"/>
      <c r="CE103" s="105"/>
      <c r="CF103" s="105"/>
      <c r="CG103" s="105"/>
      <c r="CH103" s="105"/>
      <c r="CI103" s="105"/>
      <c r="CJ103" s="105"/>
      <c r="CK103" s="105"/>
      <c r="CL103" s="105"/>
      <c r="CM103" s="105"/>
      <c r="CN103" s="105"/>
      <c r="CO103" s="105"/>
      <c r="CP103" s="105"/>
      <c r="CQ103" s="105"/>
      <c r="CR103" s="105"/>
      <c r="CS103" s="105"/>
      <c r="CT103" s="105"/>
    </row>
    <row r="104" spans="1:98" s="2" customFormat="1" ht="13.8" hidden="1">
      <c r="A104" s="104"/>
      <c r="B104" s="104"/>
      <c r="C104" s="104"/>
      <c r="D104" s="105"/>
      <c r="E104" s="105"/>
      <c r="F104" s="105"/>
      <c r="G104" s="105"/>
      <c r="H104" s="105"/>
      <c r="X104" s="105"/>
      <c r="Y104" s="105"/>
      <c r="Z104" s="105"/>
      <c r="AA104" s="105"/>
      <c r="AB104" s="105"/>
      <c r="AC104" s="105"/>
      <c r="AD104" s="105"/>
      <c r="AE104" s="105"/>
      <c r="AF104" s="105"/>
      <c r="AG104" s="105"/>
      <c r="AH104" s="105"/>
      <c r="AI104" s="105"/>
      <c r="AJ104" s="105"/>
      <c r="AK104" s="105"/>
      <c r="AL104" s="105"/>
      <c r="AM104" s="105"/>
      <c r="AN104" s="105"/>
      <c r="AO104" s="105"/>
      <c r="AP104" s="105"/>
      <c r="AQ104" s="105"/>
      <c r="AR104" s="105"/>
      <c r="AS104" s="105"/>
      <c r="AT104" s="105"/>
      <c r="AU104" s="105"/>
      <c r="AV104" s="105"/>
      <c r="AW104" s="105"/>
      <c r="AX104" s="105"/>
      <c r="AY104" s="105"/>
      <c r="AZ104" s="105"/>
      <c r="BA104" s="105"/>
      <c r="BB104" s="105"/>
      <c r="BC104" s="105"/>
      <c r="BD104" s="105"/>
      <c r="BE104" s="105"/>
      <c r="BF104" s="105"/>
      <c r="BG104" s="105"/>
      <c r="BH104" s="105"/>
      <c r="BI104" s="105"/>
      <c r="BJ104" s="105"/>
      <c r="BK104" s="105"/>
      <c r="BL104" s="105"/>
      <c r="BM104" s="105"/>
      <c r="BN104" s="105"/>
      <c r="BO104" s="105"/>
      <c r="BP104" s="105"/>
      <c r="BQ104" s="105"/>
      <c r="BR104" s="105"/>
      <c r="BS104" s="105"/>
      <c r="BT104" s="105"/>
      <c r="BU104" s="105"/>
      <c r="BV104" s="105"/>
      <c r="BW104" s="105"/>
      <c r="BX104" s="105"/>
      <c r="BY104" s="105"/>
      <c r="BZ104" s="105"/>
      <c r="CA104" s="105"/>
      <c r="CB104" s="105"/>
      <c r="CC104" s="105"/>
      <c r="CD104" s="105"/>
      <c r="CE104" s="105"/>
      <c r="CF104" s="105"/>
      <c r="CG104" s="105"/>
      <c r="CH104" s="105"/>
      <c r="CI104" s="105"/>
      <c r="CJ104" s="105"/>
      <c r="CK104" s="105"/>
      <c r="CL104" s="105"/>
      <c r="CM104" s="105"/>
      <c r="CN104" s="105"/>
      <c r="CO104" s="105"/>
      <c r="CP104" s="105"/>
      <c r="CQ104" s="105"/>
      <c r="CR104" s="105"/>
      <c r="CS104" s="105"/>
      <c r="CT104" s="105"/>
    </row>
    <row r="105" spans="1:98" s="2" customFormat="1" ht="13.8" hidden="1">
      <c r="A105" s="104"/>
      <c r="B105" s="104"/>
      <c r="C105" s="104"/>
      <c r="D105" s="105"/>
      <c r="E105" s="105"/>
      <c r="F105" s="105"/>
      <c r="G105" s="105"/>
      <c r="H105" s="105"/>
      <c r="X105" s="105"/>
      <c r="Y105" s="105"/>
      <c r="Z105" s="105"/>
      <c r="AA105" s="105"/>
      <c r="AB105" s="105"/>
      <c r="AC105" s="105"/>
      <c r="AD105" s="105"/>
      <c r="AE105" s="105"/>
      <c r="AF105" s="105"/>
      <c r="AG105" s="105"/>
      <c r="AH105" s="105"/>
      <c r="AI105" s="105"/>
      <c r="AJ105" s="105"/>
      <c r="AK105" s="105"/>
      <c r="AL105" s="105"/>
      <c r="AM105" s="105"/>
      <c r="AN105" s="105"/>
      <c r="AO105" s="105"/>
      <c r="AP105" s="105"/>
      <c r="AQ105" s="105"/>
      <c r="AR105" s="105"/>
      <c r="AS105" s="105"/>
      <c r="AT105" s="105"/>
      <c r="AU105" s="105"/>
      <c r="AV105" s="105"/>
      <c r="AW105" s="105"/>
      <c r="AX105" s="105"/>
      <c r="AY105" s="105"/>
      <c r="AZ105" s="105"/>
      <c r="BA105" s="105"/>
      <c r="BB105" s="105"/>
      <c r="BC105" s="105"/>
      <c r="BD105" s="105"/>
      <c r="BE105" s="105"/>
      <c r="BF105" s="105"/>
      <c r="BG105" s="105"/>
      <c r="BH105" s="105"/>
      <c r="BI105" s="105"/>
      <c r="BJ105" s="105"/>
      <c r="BK105" s="105"/>
      <c r="BL105" s="105"/>
      <c r="BM105" s="105"/>
      <c r="BN105" s="105"/>
      <c r="BO105" s="105"/>
      <c r="BP105" s="105"/>
      <c r="BQ105" s="105"/>
      <c r="BR105" s="105"/>
      <c r="BS105" s="105"/>
      <c r="BT105" s="105"/>
      <c r="BU105" s="105"/>
      <c r="BV105" s="105"/>
      <c r="BW105" s="105"/>
      <c r="BX105" s="105"/>
      <c r="BY105" s="105"/>
      <c r="BZ105" s="105"/>
      <c r="CA105" s="105"/>
      <c r="CB105" s="105"/>
      <c r="CC105" s="105"/>
      <c r="CD105" s="105"/>
      <c r="CE105" s="105"/>
      <c r="CF105" s="105"/>
      <c r="CG105" s="105"/>
      <c r="CH105" s="105"/>
      <c r="CI105" s="105"/>
      <c r="CJ105" s="105"/>
      <c r="CK105" s="105"/>
      <c r="CL105" s="105"/>
      <c r="CM105" s="105"/>
      <c r="CN105" s="105"/>
      <c r="CO105" s="105"/>
      <c r="CP105" s="105"/>
      <c r="CQ105" s="105"/>
      <c r="CR105" s="105"/>
      <c r="CS105" s="105"/>
      <c r="CT105" s="105"/>
    </row>
    <row r="106" spans="1:98" s="2" customFormat="1" ht="13.8" hidden="1">
      <c r="A106" s="104"/>
      <c r="B106" s="104"/>
      <c r="C106" s="104"/>
      <c r="D106" s="105"/>
      <c r="E106" s="105"/>
      <c r="F106" s="105"/>
      <c r="G106" s="105"/>
      <c r="H106" s="105"/>
      <c r="X106" s="105"/>
      <c r="Y106" s="105"/>
      <c r="Z106" s="105"/>
      <c r="AA106" s="105"/>
      <c r="AB106" s="105"/>
      <c r="AC106" s="105"/>
      <c r="AD106" s="105"/>
      <c r="AE106" s="105"/>
      <c r="AF106" s="105"/>
      <c r="AG106" s="105"/>
      <c r="AH106" s="105"/>
      <c r="AI106" s="105"/>
      <c r="AJ106" s="105"/>
      <c r="AK106" s="105"/>
      <c r="AL106" s="105"/>
      <c r="AM106" s="105"/>
      <c r="AN106" s="105"/>
      <c r="AO106" s="105"/>
      <c r="AP106" s="105"/>
      <c r="AQ106" s="105"/>
      <c r="AR106" s="105"/>
      <c r="AS106" s="105"/>
      <c r="AT106" s="105"/>
      <c r="AU106" s="105"/>
      <c r="AV106" s="105"/>
      <c r="AW106" s="105"/>
      <c r="AX106" s="105"/>
      <c r="AY106" s="105"/>
      <c r="AZ106" s="105"/>
      <c r="BA106" s="105"/>
      <c r="BB106" s="105"/>
      <c r="BC106" s="105"/>
      <c r="BD106" s="105"/>
      <c r="BE106" s="105"/>
      <c r="BF106" s="105"/>
      <c r="BG106" s="105"/>
      <c r="BH106" s="105"/>
      <c r="BI106" s="105"/>
      <c r="BJ106" s="105"/>
      <c r="BK106" s="105"/>
      <c r="BL106" s="105"/>
      <c r="BM106" s="105"/>
      <c r="BN106" s="105"/>
      <c r="BO106" s="105"/>
      <c r="BP106" s="105"/>
      <c r="BQ106" s="105"/>
      <c r="BR106" s="105"/>
      <c r="BS106" s="105"/>
      <c r="BT106" s="105"/>
      <c r="BU106" s="105"/>
      <c r="BV106" s="105"/>
      <c r="BW106" s="105"/>
      <c r="BX106" s="105"/>
      <c r="BY106" s="105"/>
      <c r="BZ106" s="105"/>
      <c r="CA106" s="105"/>
      <c r="CB106" s="105"/>
      <c r="CC106" s="105"/>
      <c r="CD106" s="105"/>
      <c r="CE106" s="105"/>
      <c r="CF106" s="105"/>
      <c r="CG106" s="105"/>
      <c r="CH106" s="105"/>
      <c r="CI106" s="105"/>
      <c r="CJ106" s="105"/>
      <c r="CK106" s="105"/>
      <c r="CL106" s="105"/>
      <c r="CM106" s="105"/>
      <c r="CN106" s="105"/>
      <c r="CO106" s="105"/>
      <c r="CP106" s="105"/>
      <c r="CQ106" s="105"/>
      <c r="CR106" s="105"/>
      <c r="CS106" s="105"/>
      <c r="CT106" s="105"/>
    </row>
    <row r="107" spans="1:98" s="2" customFormat="1" ht="13.8" hidden="1">
      <c r="A107" s="104"/>
      <c r="B107" s="104"/>
      <c r="C107" s="104"/>
      <c r="D107" s="105"/>
      <c r="E107" s="105"/>
      <c r="F107" s="105"/>
      <c r="G107" s="105"/>
      <c r="H107" s="105"/>
      <c r="X107" s="105"/>
      <c r="Y107" s="105"/>
      <c r="Z107" s="105"/>
      <c r="AA107" s="105"/>
      <c r="AB107" s="105"/>
      <c r="AC107" s="105"/>
      <c r="AD107" s="105"/>
      <c r="AE107" s="105"/>
      <c r="AF107" s="105"/>
      <c r="AG107" s="105"/>
      <c r="AH107" s="105"/>
      <c r="AI107" s="105"/>
      <c r="AJ107" s="105"/>
      <c r="AK107" s="105"/>
      <c r="AL107" s="105"/>
      <c r="AM107" s="105"/>
      <c r="AN107" s="105"/>
      <c r="AO107" s="105"/>
      <c r="AP107" s="105"/>
      <c r="AQ107" s="105"/>
      <c r="AR107" s="105"/>
      <c r="AS107" s="105"/>
      <c r="AT107" s="105"/>
      <c r="AU107" s="105"/>
      <c r="AV107" s="105"/>
      <c r="AW107" s="105"/>
      <c r="AX107" s="105"/>
      <c r="AY107" s="105"/>
      <c r="AZ107" s="105"/>
      <c r="BA107" s="105"/>
      <c r="BB107" s="105"/>
      <c r="BC107" s="105"/>
      <c r="BD107" s="105"/>
      <c r="BE107" s="105"/>
      <c r="BF107" s="105"/>
      <c r="BG107" s="105"/>
      <c r="BH107" s="105"/>
      <c r="BI107" s="105"/>
      <c r="BJ107" s="105"/>
      <c r="BK107" s="105"/>
      <c r="BL107" s="105"/>
      <c r="BM107" s="105"/>
      <c r="BN107" s="105"/>
      <c r="BO107" s="105"/>
      <c r="BP107" s="105"/>
      <c r="BQ107" s="105"/>
      <c r="BR107" s="105"/>
      <c r="BS107" s="105"/>
      <c r="BT107" s="105"/>
      <c r="BU107" s="105"/>
      <c r="BV107" s="105"/>
      <c r="BW107" s="105"/>
      <c r="BX107" s="105"/>
      <c r="BY107" s="105"/>
      <c r="BZ107" s="105"/>
      <c r="CA107" s="105"/>
      <c r="CB107" s="105"/>
      <c r="CC107" s="105"/>
      <c r="CD107" s="105"/>
      <c r="CE107" s="105"/>
      <c r="CF107" s="105"/>
      <c r="CG107" s="105"/>
      <c r="CH107" s="105"/>
      <c r="CI107" s="105"/>
      <c r="CJ107" s="105"/>
      <c r="CK107" s="105"/>
      <c r="CL107" s="105"/>
      <c r="CM107" s="105"/>
      <c r="CN107" s="105"/>
      <c r="CO107" s="105"/>
      <c r="CP107" s="105"/>
      <c r="CQ107" s="105"/>
      <c r="CR107" s="105"/>
      <c r="CS107" s="105"/>
      <c r="CT107" s="105"/>
    </row>
    <row r="108" spans="1:98" s="2" customFormat="1" ht="13.8" hidden="1">
      <c r="A108" s="104"/>
      <c r="B108" s="104"/>
      <c r="C108" s="104"/>
      <c r="D108" s="105"/>
      <c r="E108" s="105"/>
      <c r="F108" s="105"/>
      <c r="G108" s="105"/>
      <c r="H108" s="105"/>
      <c r="X108" s="105"/>
      <c r="Y108" s="105"/>
      <c r="Z108" s="105"/>
      <c r="AA108" s="105"/>
      <c r="AB108" s="105"/>
      <c r="AC108" s="105"/>
      <c r="AD108" s="105"/>
      <c r="AE108" s="105"/>
      <c r="AF108" s="105"/>
      <c r="AG108" s="105"/>
      <c r="AH108" s="105"/>
      <c r="AI108" s="105"/>
      <c r="AJ108" s="105"/>
      <c r="AK108" s="105"/>
      <c r="AL108" s="105"/>
      <c r="AM108" s="105"/>
      <c r="AN108" s="105"/>
      <c r="AO108" s="105"/>
      <c r="AP108" s="105"/>
      <c r="AQ108" s="105"/>
      <c r="AR108" s="105"/>
      <c r="AS108" s="105"/>
      <c r="AT108" s="105"/>
      <c r="AU108" s="105"/>
      <c r="AV108" s="105"/>
      <c r="AW108" s="105"/>
      <c r="AX108" s="105"/>
      <c r="AY108" s="105"/>
      <c r="AZ108" s="105"/>
      <c r="BA108" s="105"/>
      <c r="BB108" s="105"/>
      <c r="BC108" s="105"/>
      <c r="BD108" s="105"/>
      <c r="BE108" s="105"/>
      <c r="BF108" s="105"/>
      <c r="BG108" s="105"/>
      <c r="BH108" s="105"/>
      <c r="BI108" s="105"/>
      <c r="BJ108" s="105"/>
      <c r="BK108" s="105"/>
      <c r="BL108" s="105"/>
      <c r="BM108" s="105"/>
      <c r="BN108" s="105"/>
      <c r="BO108" s="105"/>
      <c r="BP108" s="105"/>
      <c r="BQ108" s="105"/>
      <c r="BR108" s="105"/>
      <c r="BS108" s="105"/>
      <c r="BT108" s="105"/>
      <c r="BU108" s="105"/>
      <c r="BV108" s="105"/>
      <c r="BW108" s="105"/>
      <c r="BX108" s="105"/>
      <c r="BY108" s="105"/>
      <c r="BZ108" s="105"/>
      <c r="CA108" s="105"/>
      <c r="CB108" s="105"/>
      <c r="CC108" s="105"/>
      <c r="CD108" s="105"/>
      <c r="CE108" s="105"/>
      <c r="CF108" s="105"/>
      <c r="CG108" s="105"/>
      <c r="CH108" s="105"/>
      <c r="CI108" s="105"/>
      <c r="CJ108" s="105"/>
      <c r="CK108" s="105"/>
      <c r="CL108" s="105"/>
      <c r="CM108" s="105"/>
      <c r="CN108" s="105"/>
      <c r="CO108" s="105"/>
      <c r="CP108" s="105"/>
      <c r="CQ108" s="105"/>
      <c r="CR108" s="105"/>
      <c r="CS108" s="105"/>
      <c r="CT108" s="105"/>
    </row>
    <row r="109" spans="1:98" s="2" customFormat="1" ht="13.8" hidden="1">
      <c r="A109" s="104"/>
      <c r="B109" s="104"/>
      <c r="C109" s="104"/>
      <c r="D109" s="105"/>
      <c r="E109" s="105"/>
      <c r="F109" s="105"/>
      <c r="G109" s="105"/>
      <c r="H109" s="105"/>
      <c r="X109" s="105"/>
      <c r="Y109" s="105"/>
      <c r="Z109" s="105"/>
      <c r="AA109" s="105"/>
      <c r="AB109" s="105"/>
      <c r="AC109" s="105"/>
      <c r="AD109" s="105"/>
      <c r="AE109" s="105"/>
      <c r="AF109" s="105"/>
      <c r="AG109" s="105"/>
      <c r="AH109" s="105"/>
      <c r="AI109" s="105"/>
      <c r="AJ109" s="105"/>
      <c r="AK109" s="105"/>
      <c r="AL109" s="105"/>
      <c r="AM109" s="105"/>
      <c r="AN109" s="105"/>
      <c r="AO109" s="105"/>
      <c r="AP109" s="105"/>
      <c r="AQ109" s="105"/>
      <c r="AR109" s="105"/>
      <c r="AS109" s="105"/>
      <c r="AT109" s="105"/>
      <c r="AU109" s="105"/>
      <c r="AV109" s="105"/>
      <c r="AW109" s="105"/>
      <c r="AX109" s="105"/>
      <c r="AY109" s="105"/>
      <c r="AZ109" s="105"/>
      <c r="BA109" s="105"/>
      <c r="BB109" s="105"/>
      <c r="BC109" s="105"/>
      <c r="BD109" s="105"/>
      <c r="BE109" s="105"/>
      <c r="BF109" s="105"/>
      <c r="BG109" s="105"/>
      <c r="BH109" s="105"/>
      <c r="BI109" s="105"/>
      <c r="BJ109" s="105"/>
      <c r="BK109" s="105"/>
      <c r="BL109" s="105"/>
      <c r="BM109" s="105"/>
      <c r="BN109" s="105"/>
      <c r="BO109" s="105"/>
      <c r="BP109" s="105"/>
      <c r="BQ109" s="105"/>
      <c r="BR109" s="105"/>
      <c r="BS109" s="105"/>
      <c r="BT109" s="105"/>
      <c r="BU109" s="105"/>
      <c r="BV109" s="105"/>
      <c r="BW109" s="105"/>
      <c r="BX109" s="105"/>
      <c r="BY109" s="105"/>
      <c r="BZ109" s="105"/>
      <c r="CA109" s="105"/>
      <c r="CB109" s="105"/>
      <c r="CC109" s="105"/>
      <c r="CD109" s="105"/>
      <c r="CE109" s="105"/>
      <c r="CF109" s="105"/>
      <c r="CG109" s="105"/>
      <c r="CH109" s="105"/>
      <c r="CI109" s="105"/>
      <c r="CJ109" s="105"/>
      <c r="CK109" s="105"/>
      <c r="CL109" s="105"/>
      <c r="CM109" s="105"/>
      <c r="CN109" s="105"/>
      <c r="CO109" s="105"/>
      <c r="CP109" s="105"/>
      <c r="CQ109" s="105"/>
      <c r="CR109" s="105"/>
      <c r="CS109" s="105"/>
      <c r="CT109" s="105"/>
    </row>
    <row r="110" spans="1:98" s="2" customFormat="1" ht="13.8" hidden="1">
      <c r="A110" s="104"/>
      <c r="B110" s="104"/>
      <c r="C110" s="104"/>
      <c r="D110" s="105"/>
      <c r="E110" s="105"/>
      <c r="F110" s="105"/>
      <c r="G110" s="105"/>
      <c r="H110" s="105"/>
      <c r="X110" s="105"/>
      <c r="Y110" s="105"/>
      <c r="Z110" s="105"/>
      <c r="AA110" s="105"/>
      <c r="AB110" s="105"/>
      <c r="AC110" s="105"/>
      <c r="AD110" s="105"/>
      <c r="AE110" s="105"/>
      <c r="AF110" s="105"/>
      <c r="AG110" s="105"/>
      <c r="AH110" s="105"/>
      <c r="AI110" s="105"/>
      <c r="AJ110" s="105"/>
      <c r="AK110" s="105"/>
      <c r="AL110" s="105"/>
      <c r="AM110" s="105"/>
      <c r="AN110" s="105"/>
      <c r="AO110" s="105"/>
      <c r="AP110" s="105"/>
      <c r="AQ110" s="105"/>
      <c r="AR110" s="105"/>
      <c r="AS110" s="105"/>
      <c r="AT110" s="105"/>
      <c r="AU110" s="105"/>
      <c r="AV110" s="105"/>
      <c r="AW110" s="105"/>
      <c r="AX110" s="105"/>
      <c r="AY110" s="105"/>
      <c r="AZ110" s="105"/>
      <c r="BA110" s="105"/>
      <c r="BB110" s="105"/>
      <c r="BC110" s="105"/>
      <c r="BD110" s="105"/>
      <c r="BE110" s="105"/>
      <c r="BF110" s="105"/>
      <c r="BG110" s="105"/>
      <c r="BH110" s="105"/>
      <c r="BI110" s="105"/>
      <c r="BJ110" s="105"/>
      <c r="BK110" s="105"/>
      <c r="BL110" s="105"/>
      <c r="BM110" s="105"/>
      <c r="BN110" s="105"/>
      <c r="BO110" s="105"/>
      <c r="BP110" s="105"/>
      <c r="BQ110" s="105"/>
      <c r="BR110" s="105"/>
      <c r="BS110" s="105"/>
      <c r="BT110" s="105"/>
      <c r="BU110" s="105"/>
      <c r="BV110" s="105"/>
      <c r="BW110" s="105"/>
      <c r="BX110" s="105"/>
      <c r="BY110" s="105"/>
      <c r="BZ110" s="105"/>
      <c r="CA110" s="105"/>
      <c r="CB110" s="105"/>
      <c r="CC110" s="105"/>
      <c r="CD110" s="105"/>
      <c r="CE110" s="105"/>
      <c r="CF110" s="105"/>
      <c r="CG110" s="105"/>
      <c r="CH110" s="105"/>
      <c r="CI110" s="105"/>
      <c r="CJ110" s="105"/>
      <c r="CK110" s="105"/>
      <c r="CL110" s="105"/>
      <c r="CM110" s="105"/>
      <c r="CN110" s="105"/>
      <c r="CO110" s="105"/>
      <c r="CP110" s="105"/>
      <c r="CQ110" s="105"/>
      <c r="CR110" s="105"/>
      <c r="CS110" s="105"/>
      <c r="CT110" s="105"/>
    </row>
    <row r="111" spans="1:98" s="2" customFormat="1" ht="13.8" hidden="1">
      <c r="A111" s="104"/>
      <c r="B111" s="104"/>
      <c r="C111" s="104"/>
      <c r="D111" s="105"/>
      <c r="E111" s="105"/>
      <c r="F111" s="105"/>
      <c r="G111" s="105"/>
      <c r="H111" s="105"/>
      <c r="X111" s="105"/>
      <c r="Y111" s="105"/>
      <c r="Z111" s="105"/>
      <c r="AA111" s="105"/>
      <c r="AB111" s="105"/>
      <c r="AC111" s="105"/>
      <c r="AD111" s="105"/>
      <c r="AE111" s="105"/>
      <c r="AF111" s="105"/>
      <c r="AG111" s="105"/>
      <c r="AH111" s="105"/>
      <c r="AI111" s="105"/>
      <c r="AJ111" s="105"/>
      <c r="AK111" s="105"/>
      <c r="AL111" s="105"/>
      <c r="AM111" s="105"/>
      <c r="AN111" s="105"/>
      <c r="AO111" s="105"/>
      <c r="AP111" s="105"/>
      <c r="AQ111" s="105"/>
      <c r="AR111" s="105"/>
      <c r="AS111" s="105"/>
      <c r="AT111" s="105"/>
      <c r="AU111" s="105"/>
      <c r="AV111" s="105"/>
      <c r="AW111" s="105"/>
      <c r="AX111" s="105"/>
      <c r="AY111" s="105"/>
      <c r="AZ111" s="105"/>
      <c r="BA111" s="105"/>
      <c r="BB111" s="105"/>
      <c r="BC111" s="105"/>
      <c r="BD111" s="105"/>
      <c r="BE111" s="105"/>
      <c r="BF111" s="105"/>
      <c r="BG111" s="105"/>
      <c r="BH111" s="105"/>
      <c r="BI111" s="105"/>
      <c r="BJ111" s="105"/>
      <c r="BK111" s="105"/>
      <c r="BL111" s="105"/>
      <c r="BM111" s="105"/>
      <c r="BN111" s="105"/>
      <c r="BO111" s="105"/>
      <c r="BP111" s="105"/>
      <c r="BQ111" s="105"/>
      <c r="BR111" s="105"/>
      <c r="BS111" s="105"/>
      <c r="BT111" s="105"/>
      <c r="BU111" s="105"/>
      <c r="BV111" s="105"/>
      <c r="BW111" s="105"/>
      <c r="BX111" s="105"/>
      <c r="BY111" s="105"/>
      <c r="BZ111" s="105"/>
      <c r="CA111" s="105"/>
      <c r="CB111" s="105"/>
      <c r="CC111" s="105"/>
      <c r="CD111" s="105"/>
      <c r="CE111" s="105"/>
      <c r="CF111" s="105"/>
      <c r="CG111" s="105"/>
      <c r="CH111" s="105"/>
      <c r="CI111" s="105"/>
      <c r="CJ111" s="105"/>
      <c r="CK111" s="105"/>
      <c r="CL111" s="105"/>
      <c r="CM111" s="105"/>
      <c r="CN111" s="105"/>
      <c r="CO111" s="105"/>
      <c r="CP111" s="105"/>
      <c r="CQ111" s="105"/>
      <c r="CR111" s="105"/>
      <c r="CS111" s="105"/>
      <c r="CT111" s="105"/>
    </row>
    <row r="112" spans="1:98" s="2" customFormat="1" ht="13.8" hidden="1">
      <c r="A112" s="104"/>
      <c r="B112" s="104"/>
      <c r="C112" s="104"/>
      <c r="D112" s="105"/>
      <c r="E112" s="105"/>
      <c r="F112" s="105"/>
      <c r="G112" s="105"/>
      <c r="H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c r="BC112" s="105"/>
      <c r="BD112" s="105"/>
      <c r="BE112" s="105"/>
      <c r="BF112" s="105"/>
      <c r="BG112" s="105"/>
      <c r="BH112" s="105"/>
      <c r="BI112" s="105"/>
      <c r="BJ112" s="105"/>
      <c r="BK112" s="105"/>
      <c r="BL112" s="105"/>
      <c r="BM112" s="105"/>
      <c r="BN112" s="105"/>
      <c r="BO112" s="105"/>
      <c r="BP112" s="105"/>
      <c r="BQ112" s="105"/>
      <c r="BR112" s="105"/>
      <c r="BS112" s="105"/>
      <c r="BT112" s="105"/>
      <c r="BU112" s="105"/>
      <c r="BV112" s="105"/>
      <c r="BW112" s="105"/>
      <c r="BX112" s="105"/>
      <c r="BY112" s="105"/>
      <c r="BZ112" s="105"/>
      <c r="CA112" s="105"/>
      <c r="CB112" s="105"/>
      <c r="CC112" s="105"/>
      <c r="CD112" s="105"/>
      <c r="CE112" s="105"/>
      <c r="CF112" s="105"/>
      <c r="CG112" s="105"/>
      <c r="CH112" s="105"/>
      <c r="CI112" s="105"/>
      <c r="CJ112" s="105"/>
      <c r="CK112" s="105"/>
      <c r="CL112" s="105"/>
      <c r="CM112" s="105"/>
      <c r="CN112" s="105"/>
      <c r="CO112" s="105"/>
      <c r="CP112" s="105"/>
      <c r="CQ112" s="105"/>
      <c r="CR112" s="105"/>
      <c r="CS112" s="105"/>
      <c r="CT112" s="105"/>
    </row>
    <row r="113" spans="1:98" s="2" customFormat="1" ht="13.8" hidden="1">
      <c r="A113" s="104"/>
      <c r="B113" s="104"/>
      <c r="C113" s="104"/>
      <c r="D113" s="105"/>
      <c r="E113" s="105"/>
      <c r="F113" s="105"/>
      <c r="G113" s="105"/>
      <c r="H113" s="105"/>
      <c r="X113" s="105"/>
      <c r="Y113" s="105"/>
      <c r="Z113" s="105"/>
      <c r="AA113" s="105"/>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c r="BC113" s="105"/>
      <c r="BD113" s="105"/>
      <c r="BE113" s="105"/>
      <c r="BF113" s="105"/>
      <c r="BG113" s="105"/>
      <c r="BH113" s="105"/>
      <c r="BI113" s="105"/>
      <c r="BJ113" s="105"/>
      <c r="BK113" s="105"/>
      <c r="BL113" s="105"/>
      <c r="BM113" s="105"/>
      <c r="BN113" s="105"/>
      <c r="BO113" s="105"/>
      <c r="BP113" s="105"/>
      <c r="BQ113" s="105"/>
      <c r="BR113" s="105"/>
      <c r="BS113" s="105"/>
      <c r="BT113" s="105"/>
      <c r="BU113" s="105"/>
      <c r="BV113" s="105"/>
      <c r="BW113" s="105"/>
      <c r="BX113" s="105"/>
      <c r="BY113" s="105"/>
      <c r="BZ113" s="105"/>
      <c r="CA113" s="105"/>
      <c r="CB113" s="105"/>
      <c r="CC113" s="105"/>
      <c r="CD113" s="105"/>
      <c r="CE113" s="105"/>
      <c r="CF113" s="105"/>
      <c r="CG113" s="105"/>
      <c r="CH113" s="105"/>
      <c r="CI113" s="105"/>
      <c r="CJ113" s="105"/>
      <c r="CK113" s="105"/>
      <c r="CL113" s="105"/>
      <c r="CM113" s="105"/>
      <c r="CN113" s="105"/>
      <c r="CO113" s="105"/>
      <c r="CP113" s="105"/>
      <c r="CQ113" s="105"/>
      <c r="CR113" s="105"/>
      <c r="CS113" s="105"/>
      <c r="CT113" s="105"/>
    </row>
    <row r="114" spans="1:98" s="2" customFormat="1" ht="13.8" hidden="1">
      <c r="A114" s="104"/>
      <c r="B114" s="104"/>
      <c r="C114" s="104"/>
      <c r="D114" s="105"/>
      <c r="E114" s="105"/>
      <c r="F114" s="105"/>
      <c r="G114" s="105"/>
      <c r="H114" s="105"/>
      <c r="X114" s="105"/>
      <c r="Y114" s="105"/>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c r="BC114" s="105"/>
      <c r="BD114" s="105"/>
      <c r="BE114" s="105"/>
      <c r="BF114" s="105"/>
      <c r="BG114" s="105"/>
      <c r="BH114" s="105"/>
      <c r="BI114" s="105"/>
      <c r="BJ114" s="105"/>
      <c r="BK114" s="105"/>
      <c r="BL114" s="105"/>
      <c r="BM114" s="105"/>
      <c r="BN114" s="105"/>
      <c r="BO114" s="105"/>
      <c r="BP114" s="105"/>
      <c r="BQ114" s="105"/>
      <c r="BR114" s="105"/>
      <c r="BS114" s="105"/>
      <c r="BT114" s="105"/>
      <c r="BU114" s="105"/>
      <c r="BV114" s="105"/>
      <c r="BW114" s="105"/>
      <c r="BX114" s="105"/>
      <c r="BY114" s="105"/>
      <c r="BZ114" s="105"/>
      <c r="CA114" s="105"/>
      <c r="CB114" s="105"/>
      <c r="CC114" s="105"/>
      <c r="CD114" s="105"/>
      <c r="CE114" s="105"/>
      <c r="CF114" s="105"/>
      <c r="CG114" s="105"/>
      <c r="CH114" s="105"/>
      <c r="CI114" s="105"/>
      <c r="CJ114" s="105"/>
      <c r="CK114" s="105"/>
      <c r="CL114" s="105"/>
      <c r="CM114" s="105"/>
      <c r="CN114" s="105"/>
      <c r="CO114" s="105"/>
      <c r="CP114" s="105"/>
      <c r="CQ114" s="105"/>
      <c r="CR114" s="105"/>
      <c r="CS114" s="105"/>
      <c r="CT114" s="105"/>
    </row>
    <row r="115" spans="1:98" s="2" customFormat="1" ht="13.8" hidden="1">
      <c r="A115" s="104"/>
      <c r="B115" s="104"/>
      <c r="C115" s="104"/>
      <c r="D115" s="105"/>
      <c r="E115" s="105"/>
      <c r="F115" s="105"/>
      <c r="G115" s="105"/>
      <c r="H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c r="BC115" s="105"/>
      <c r="BD115" s="105"/>
      <c r="BE115" s="105"/>
      <c r="BF115" s="105"/>
      <c r="BG115" s="105"/>
      <c r="BH115" s="105"/>
      <c r="BI115" s="105"/>
      <c r="BJ115" s="105"/>
      <c r="BK115" s="105"/>
      <c r="BL115" s="105"/>
      <c r="BM115" s="105"/>
      <c r="BN115" s="105"/>
      <c r="BO115" s="105"/>
      <c r="BP115" s="105"/>
      <c r="BQ115" s="105"/>
      <c r="BR115" s="105"/>
      <c r="BS115" s="105"/>
      <c r="BT115" s="105"/>
      <c r="BU115" s="105"/>
      <c r="BV115" s="105"/>
      <c r="BW115" s="105"/>
      <c r="BX115" s="105"/>
      <c r="BY115" s="105"/>
      <c r="BZ115" s="105"/>
      <c r="CA115" s="105"/>
      <c r="CB115" s="105"/>
      <c r="CC115" s="105"/>
      <c r="CD115" s="105"/>
      <c r="CE115" s="105"/>
      <c r="CF115" s="105"/>
      <c r="CG115" s="105"/>
      <c r="CH115" s="105"/>
      <c r="CI115" s="105"/>
      <c r="CJ115" s="105"/>
      <c r="CK115" s="105"/>
      <c r="CL115" s="105"/>
      <c r="CM115" s="105"/>
      <c r="CN115" s="105"/>
      <c r="CO115" s="105"/>
      <c r="CP115" s="105"/>
      <c r="CQ115" s="105"/>
      <c r="CR115" s="105"/>
      <c r="CS115" s="105"/>
      <c r="CT115" s="105"/>
    </row>
    <row r="116" spans="1:98" s="2" customFormat="1" ht="13.8" hidden="1">
      <c r="A116" s="104"/>
      <c r="B116" s="104"/>
      <c r="C116" s="104"/>
      <c r="D116" s="105"/>
      <c r="E116" s="105"/>
      <c r="F116" s="105"/>
      <c r="G116" s="105"/>
      <c r="H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c r="BC116" s="105"/>
      <c r="BD116" s="105"/>
      <c r="BE116" s="105"/>
      <c r="BF116" s="105"/>
      <c r="BG116" s="105"/>
      <c r="BH116" s="105"/>
      <c r="BI116" s="105"/>
      <c r="BJ116" s="105"/>
      <c r="BK116" s="105"/>
      <c r="BL116" s="105"/>
      <c r="BM116" s="105"/>
      <c r="BN116" s="105"/>
      <c r="BO116" s="105"/>
      <c r="BP116" s="105"/>
      <c r="BQ116" s="105"/>
      <c r="BR116" s="105"/>
      <c r="BS116" s="105"/>
      <c r="BT116" s="105"/>
      <c r="BU116" s="105"/>
      <c r="BV116" s="105"/>
      <c r="BW116" s="105"/>
      <c r="BX116" s="105"/>
      <c r="BY116" s="105"/>
      <c r="BZ116" s="105"/>
      <c r="CA116" s="105"/>
      <c r="CB116" s="105"/>
      <c r="CC116" s="105"/>
      <c r="CD116" s="105"/>
      <c r="CE116" s="105"/>
      <c r="CF116" s="105"/>
      <c r="CG116" s="105"/>
      <c r="CH116" s="105"/>
      <c r="CI116" s="105"/>
      <c r="CJ116" s="105"/>
      <c r="CK116" s="105"/>
      <c r="CL116" s="105"/>
      <c r="CM116" s="105"/>
      <c r="CN116" s="105"/>
      <c r="CO116" s="105"/>
      <c r="CP116" s="105"/>
      <c r="CQ116" s="105"/>
      <c r="CR116" s="105"/>
      <c r="CS116" s="105"/>
      <c r="CT116" s="105"/>
    </row>
    <row r="117" spans="1:98" s="2" customFormat="1" ht="13.8" hidden="1">
      <c r="A117" s="104"/>
      <c r="B117" s="104"/>
      <c r="C117" s="104"/>
      <c r="D117" s="105"/>
      <c r="E117" s="105"/>
      <c r="F117" s="105"/>
      <c r="G117" s="105"/>
      <c r="H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c r="BC117" s="105"/>
      <c r="BD117" s="105"/>
      <c r="BE117" s="105"/>
      <c r="BF117" s="105"/>
      <c r="BG117" s="105"/>
      <c r="BH117" s="105"/>
      <c r="BI117" s="105"/>
      <c r="BJ117" s="105"/>
      <c r="BK117" s="105"/>
      <c r="BL117" s="105"/>
      <c r="BM117" s="105"/>
      <c r="BN117" s="105"/>
      <c r="BO117" s="105"/>
      <c r="BP117" s="105"/>
      <c r="BQ117" s="105"/>
      <c r="BR117" s="105"/>
      <c r="BS117" s="105"/>
      <c r="BT117" s="105"/>
      <c r="BU117" s="105"/>
      <c r="BV117" s="105"/>
      <c r="BW117" s="105"/>
      <c r="BX117" s="105"/>
      <c r="BY117" s="105"/>
      <c r="BZ117" s="105"/>
      <c r="CA117" s="105"/>
      <c r="CB117" s="105"/>
      <c r="CC117" s="105"/>
      <c r="CD117" s="105"/>
      <c r="CE117" s="105"/>
      <c r="CF117" s="105"/>
      <c r="CG117" s="105"/>
      <c r="CH117" s="105"/>
      <c r="CI117" s="105"/>
      <c r="CJ117" s="105"/>
      <c r="CK117" s="105"/>
      <c r="CL117" s="105"/>
      <c r="CM117" s="105"/>
      <c r="CN117" s="105"/>
      <c r="CO117" s="105"/>
      <c r="CP117" s="105"/>
      <c r="CQ117" s="105"/>
      <c r="CR117" s="105"/>
      <c r="CS117" s="105"/>
      <c r="CT117" s="105"/>
    </row>
    <row r="118" spans="1:98" s="2" customFormat="1" ht="13.8" hidden="1">
      <c r="A118" s="104"/>
      <c r="B118" s="104"/>
      <c r="C118" s="104"/>
      <c r="D118" s="105"/>
      <c r="E118" s="105"/>
      <c r="F118" s="105"/>
      <c r="G118" s="105"/>
      <c r="H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c r="BC118" s="105"/>
      <c r="BD118" s="105"/>
      <c r="BE118" s="105"/>
      <c r="BF118" s="105"/>
      <c r="BG118" s="105"/>
      <c r="BH118" s="105"/>
      <c r="BI118" s="105"/>
      <c r="BJ118" s="105"/>
      <c r="BK118" s="105"/>
      <c r="BL118" s="105"/>
      <c r="BM118" s="105"/>
      <c r="BN118" s="105"/>
      <c r="BO118" s="105"/>
      <c r="BP118" s="105"/>
      <c r="BQ118" s="105"/>
      <c r="BR118" s="105"/>
      <c r="BS118" s="105"/>
      <c r="BT118" s="105"/>
      <c r="BU118" s="105"/>
      <c r="BV118" s="105"/>
      <c r="BW118" s="105"/>
      <c r="BX118" s="105"/>
      <c r="BY118" s="105"/>
      <c r="BZ118" s="105"/>
      <c r="CA118" s="105"/>
      <c r="CB118" s="105"/>
      <c r="CC118" s="105"/>
      <c r="CD118" s="105"/>
      <c r="CE118" s="105"/>
      <c r="CF118" s="105"/>
      <c r="CG118" s="105"/>
      <c r="CH118" s="105"/>
      <c r="CI118" s="105"/>
      <c r="CJ118" s="105"/>
      <c r="CK118" s="105"/>
      <c r="CL118" s="105"/>
      <c r="CM118" s="105"/>
      <c r="CN118" s="105"/>
      <c r="CO118" s="105"/>
      <c r="CP118" s="105"/>
      <c r="CQ118" s="105"/>
      <c r="CR118" s="105"/>
      <c r="CS118" s="105"/>
      <c r="CT118" s="105"/>
    </row>
    <row r="119" spans="1:98" s="2" customFormat="1" ht="13.8" hidden="1">
      <c r="A119" s="104"/>
      <c r="B119" s="104"/>
      <c r="C119" s="104"/>
      <c r="D119" s="105"/>
      <c r="E119" s="105"/>
      <c r="F119" s="105"/>
      <c r="G119" s="105"/>
      <c r="H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c r="BC119" s="105"/>
      <c r="BD119" s="105"/>
      <c r="BE119" s="105"/>
      <c r="BF119" s="105"/>
      <c r="BG119" s="105"/>
      <c r="BH119" s="105"/>
      <c r="BI119" s="105"/>
      <c r="BJ119" s="105"/>
      <c r="BK119" s="105"/>
      <c r="BL119" s="105"/>
      <c r="BM119" s="105"/>
      <c r="BN119" s="105"/>
      <c r="BO119" s="105"/>
      <c r="BP119" s="105"/>
      <c r="BQ119" s="105"/>
      <c r="BR119" s="105"/>
      <c r="BS119" s="105"/>
      <c r="BT119" s="105"/>
      <c r="BU119" s="105"/>
      <c r="BV119" s="105"/>
      <c r="BW119" s="105"/>
      <c r="BX119" s="105"/>
      <c r="BY119" s="105"/>
      <c r="BZ119" s="105"/>
      <c r="CA119" s="105"/>
      <c r="CB119" s="105"/>
      <c r="CC119" s="105"/>
      <c r="CD119" s="105"/>
      <c r="CE119" s="105"/>
      <c r="CF119" s="105"/>
      <c r="CG119" s="105"/>
      <c r="CH119" s="105"/>
      <c r="CI119" s="105"/>
      <c r="CJ119" s="105"/>
      <c r="CK119" s="105"/>
      <c r="CL119" s="105"/>
      <c r="CM119" s="105"/>
      <c r="CN119" s="105"/>
      <c r="CO119" s="105"/>
      <c r="CP119" s="105"/>
      <c r="CQ119" s="105"/>
      <c r="CR119" s="105"/>
      <c r="CS119" s="105"/>
      <c r="CT119" s="105"/>
    </row>
    <row r="120" spans="1:98" s="2" customFormat="1" ht="13.8" hidden="1">
      <c r="A120" s="104"/>
      <c r="B120" s="104"/>
      <c r="C120" s="104"/>
      <c r="D120" s="105"/>
      <c r="E120" s="105"/>
      <c r="F120" s="105"/>
      <c r="G120" s="105"/>
      <c r="H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c r="BC120" s="105"/>
      <c r="BD120" s="105"/>
      <c r="BE120" s="105"/>
      <c r="BF120" s="105"/>
      <c r="BG120" s="105"/>
      <c r="BH120" s="105"/>
      <c r="BI120" s="105"/>
      <c r="BJ120" s="105"/>
      <c r="BK120" s="105"/>
      <c r="BL120" s="105"/>
      <c r="BM120" s="105"/>
      <c r="BN120" s="105"/>
      <c r="BO120" s="105"/>
      <c r="BP120" s="105"/>
      <c r="BQ120" s="105"/>
      <c r="BR120" s="105"/>
      <c r="BS120" s="105"/>
      <c r="BT120" s="105"/>
      <c r="BU120" s="105"/>
      <c r="BV120" s="105"/>
      <c r="BW120" s="105"/>
      <c r="BX120" s="105"/>
      <c r="BY120" s="105"/>
      <c r="BZ120" s="105"/>
      <c r="CA120" s="105"/>
      <c r="CB120" s="105"/>
      <c r="CC120" s="105"/>
      <c r="CD120" s="105"/>
      <c r="CE120" s="105"/>
      <c r="CF120" s="105"/>
      <c r="CG120" s="105"/>
      <c r="CH120" s="105"/>
      <c r="CI120" s="105"/>
      <c r="CJ120" s="105"/>
      <c r="CK120" s="105"/>
      <c r="CL120" s="105"/>
      <c r="CM120" s="105"/>
      <c r="CN120" s="105"/>
      <c r="CO120" s="105"/>
      <c r="CP120" s="105"/>
      <c r="CQ120" s="105"/>
      <c r="CR120" s="105"/>
      <c r="CS120" s="105"/>
      <c r="CT120" s="105"/>
    </row>
    <row r="121" spans="1:98" s="2" customFormat="1" ht="13.8" hidden="1">
      <c r="A121" s="104"/>
      <c r="B121" s="104"/>
      <c r="C121" s="104"/>
      <c r="D121" s="105"/>
      <c r="E121" s="105"/>
      <c r="F121" s="105"/>
      <c r="G121" s="105"/>
      <c r="H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c r="BC121" s="105"/>
      <c r="BD121" s="105"/>
      <c r="BE121" s="105"/>
      <c r="BF121" s="105"/>
      <c r="BG121" s="105"/>
      <c r="BH121" s="105"/>
      <c r="BI121" s="105"/>
      <c r="BJ121" s="105"/>
      <c r="BK121" s="105"/>
      <c r="BL121" s="105"/>
      <c r="BM121" s="105"/>
      <c r="BN121" s="105"/>
      <c r="BO121" s="105"/>
      <c r="BP121" s="105"/>
      <c r="BQ121" s="105"/>
      <c r="BR121" s="105"/>
      <c r="BS121" s="105"/>
      <c r="BT121" s="105"/>
      <c r="BU121" s="105"/>
      <c r="BV121" s="105"/>
      <c r="BW121" s="105"/>
      <c r="BX121" s="105"/>
      <c r="BY121" s="105"/>
      <c r="BZ121" s="105"/>
      <c r="CA121" s="105"/>
      <c r="CB121" s="105"/>
      <c r="CC121" s="105"/>
      <c r="CD121" s="105"/>
      <c r="CE121" s="105"/>
      <c r="CF121" s="105"/>
      <c r="CG121" s="105"/>
      <c r="CH121" s="105"/>
      <c r="CI121" s="105"/>
      <c r="CJ121" s="105"/>
      <c r="CK121" s="105"/>
      <c r="CL121" s="105"/>
      <c r="CM121" s="105"/>
      <c r="CN121" s="105"/>
      <c r="CO121" s="105"/>
      <c r="CP121" s="105"/>
      <c r="CQ121" s="105"/>
      <c r="CR121" s="105"/>
      <c r="CS121" s="105"/>
      <c r="CT121" s="105"/>
    </row>
    <row r="122" spans="1:98" s="2" customFormat="1" ht="13.8" hidden="1">
      <c r="A122" s="104"/>
      <c r="B122" s="104"/>
      <c r="C122" s="104"/>
      <c r="D122" s="105"/>
      <c r="E122" s="105"/>
      <c r="F122" s="105"/>
      <c r="G122" s="105"/>
      <c r="H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c r="BC122" s="105"/>
      <c r="BD122" s="105"/>
      <c r="BE122" s="105"/>
      <c r="BF122" s="105"/>
      <c r="BG122" s="105"/>
      <c r="BH122" s="105"/>
      <c r="BI122" s="105"/>
      <c r="BJ122" s="105"/>
      <c r="BK122" s="105"/>
      <c r="BL122" s="105"/>
      <c r="BM122" s="105"/>
      <c r="BN122" s="105"/>
      <c r="BO122" s="105"/>
      <c r="BP122" s="105"/>
      <c r="BQ122" s="105"/>
      <c r="BR122" s="105"/>
      <c r="BS122" s="105"/>
      <c r="BT122" s="105"/>
      <c r="BU122" s="105"/>
      <c r="BV122" s="105"/>
      <c r="BW122" s="105"/>
      <c r="BX122" s="105"/>
      <c r="BY122" s="105"/>
      <c r="BZ122" s="105"/>
      <c r="CA122" s="105"/>
      <c r="CB122" s="105"/>
      <c r="CC122" s="105"/>
      <c r="CD122" s="105"/>
      <c r="CE122" s="105"/>
      <c r="CF122" s="105"/>
      <c r="CG122" s="105"/>
      <c r="CH122" s="105"/>
      <c r="CI122" s="105"/>
      <c r="CJ122" s="105"/>
      <c r="CK122" s="105"/>
      <c r="CL122" s="105"/>
      <c r="CM122" s="105"/>
      <c r="CN122" s="105"/>
      <c r="CO122" s="105"/>
      <c r="CP122" s="105"/>
      <c r="CQ122" s="105"/>
      <c r="CR122" s="105"/>
      <c r="CS122" s="105"/>
      <c r="CT122" s="105"/>
    </row>
    <row r="123" spans="1:98" s="2" customFormat="1" ht="13.8" hidden="1">
      <c r="A123" s="104"/>
      <c r="B123" s="104"/>
      <c r="C123" s="104"/>
      <c r="D123" s="105"/>
      <c r="E123" s="105"/>
      <c r="F123" s="105"/>
      <c r="G123" s="105"/>
      <c r="H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c r="BC123" s="105"/>
      <c r="BD123" s="105"/>
      <c r="BE123" s="105"/>
      <c r="BF123" s="105"/>
      <c r="BG123" s="105"/>
      <c r="BH123" s="105"/>
      <c r="BI123" s="105"/>
      <c r="BJ123" s="105"/>
      <c r="BK123" s="105"/>
      <c r="BL123" s="105"/>
      <c r="BM123" s="105"/>
      <c r="BN123" s="105"/>
      <c r="BO123" s="105"/>
      <c r="BP123" s="105"/>
      <c r="BQ123" s="105"/>
      <c r="BR123" s="105"/>
      <c r="BS123" s="105"/>
      <c r="BT123" s="105"/>
      <c r="BU123" s="105"/>
      <c r="BV123" s="105"/>
      <c r="BW123" s="105"/>
      <c r="BX123" s="105"/>
      <c r="BY123" s="105"/>
      <c r="BZ123" s="105"/>
      <c r="CA123" s="105"/>
      <c r="CB123" s="105"/>
      <c r="CC123" s="105"/>
      <c r="CD123" s="105"/>
      <c r="CE123" s="105"/>
      <c r="CF123" s="105"/>
      <c r="CG123" s="105"/>
      <c r="CH123" s="105"/>
      <c r="CI123" s="105"/>
      <c r="CJ123" s="105"/>
      <c r="CK123" s="105"/>
      <c r="CL123" s="105"/>
      <c r="CM123" s="105"/>
      <c r="CN123" s="105"/>
      <c r="CO123" s="105"/>
      <c r="CP123" s="105"/>
      <c r="CQ123" s="105"/>
      <c r="CR123" s="105"/>
      <c r="CS123" s="105"/>
      <c r="CT123" s="105"/>
    </row>
    <row r="124" spans="1:98" s="2" customFormat="1" ht="13.8" hidden="1">
      <c r="A124" s="104"/>
      <c r="B124" s="104"/>
      <c r="C124" s="104"/>
      <c r="D124" s="105"/>
      <c r="E124" s="105"/>
      <c r="F124" s="105"/>
      <c r="G124" s="105"/>
      <c r="H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c r="BC124" s="105"/>
      <c r="BD124" s="105"/>
      <c r="BE124" s="105"/>
      <c r="BF124" s="105"/>
      <c r="BG124" s="105"/>
      <c r="BH124" s="105"/>
      <c r="BI124" s="105"/>
      <c r="BJ124" s="105"/>
      <c r="BK124" s="105"/>
      <c r="BL124" s="105"/>
      <c r="BM124" s="105"/>
      <c r="BN124" s="105"/>
      <c r="BO124" s="105"/>
      <c r="BP124" s="105"/>
      <c r="BQ124" s="105"/>
      <c r="BR124" s="105"/>
      <c r="BS124" s="105"/>
      <c r="BT124" s="105"/>
      <c r="BU124" s="105"/>
      <c r="BV124" s="105"/>
      <c r="BW124" s="105"/>
      <c r="BX124" s="105"/>
      <c r="BY124" s="105"/>
      <c r="BZ124" s="105"/>
      <c r="CA124" s="105"/>
      <c r="CB124" s="105"/>
      <c r="CC124" s="105"/>
      <c r="CD124" s="105"/>
      <c r="CE124" s="105"/>
      <c r="CF124" s="105"/>
      <c r="CG124" s="105"/>
      <c r="CH124" s="105"/>
      <c r="CI124" s="105"/>
      <c r="CJ124" s="105"/>
      <c r="CK124" s="105"/>
      <c r="CL124" s="105"/>
      <c r="CM124" s="105"/>
      <c r="CN124" s="105"/>
      <c r="CO124" s="105"/>
      <c r="CP124" s="105"/>
      <c r="CQ124" s="105"/>
      <c r="CR124" s="105"/>
      <c r="CS124" s="105"/>
      <c r="CT124" s="105"/>
    </row>
    <row r="125" spans="1:98" s="2" customFormat="1" ht="13.8" hidden="1">
      <c r="A125" s="104"/>
      <c r="B125" s="104"/>
      <c r="C125" s="104"/>
      <c r="D125" s="105"/>
      <c r="E125" s="105"/>
      <c r="F125" s="105"/>
      <c r="G125" s="105"/>
      <c r="H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c r="BC125" s="105"/>
      <c r="BD125" s="105"/>
      <c r="BE125" s="105"/>
      <c r="BF125" s="105"/>
      <c r="BG125" s="105"/>
      <c r="BH125" s="105"/>
      <c r="BI125" s="105"/>
      <c r="BJ125" s="105"/>
      <c r="BK125" s="105"/>
      <c r="BL125" s="105"/>
      <c r="BM125" s="105"/>
      <c r="BN125" s="105"/>
      <c r="BO125" s="105"/>
      <c r="BP125" s="105"/>
      <c r="BQ125" s="105"/>
      <c r="BR125" s="105"/>
      <c r="BS125" s="105"/>
      <c r="BT125" s="105"/>
      <c r="BU125" s="105"/>
      <c r="BV125" s="105"/>
      <c r="BW125" s="105"/>
      <c r="BX125" s="105"/>
      <c r="BY125" s="105"/>
      <c r="BZ125" s="105"/>
      <c r="CA125" s="105"/>
      <c r="CB125" s="105"/>
      <c r="CC125" s="105"/>
      <c r="CD125" s="105"/>
      <c r="CE125" s="105"/>
      <c r="CF125" s="105"/>
      <c r="CG125" s="105"/>
      <c r="CH125" s="105"/>
      <c r="CI125" s="105"/>
      <c r="CJ125" s="105"/>
      <c r="CK125" s="105"/>
      <c r="CL125" s="105"/>
      <c r="CM125" s="105"/>
      <c r="CN125" s="105"/>
      <c r="CO125" s="105"/>
      <c r="CP125" s="105"/>
      <c r="CQ125" s="105"/>
      <c r="CR125" s="105"/>
      <c r="CS125" s="105"/>
      <c r="CT125" s="105"/>
    </row>
    <row r="126" spans="1:98" s="2" customFormat="1" ht="13.8" hidden="1">
      <c r="A126" s="104"/>
      <c r="B126" s="104"/>
      <c r="C126" s="104"/>
      <c r="D126" s="105"/>
      <c r="E126" s="105"/>
      <c r="F126" s="105"/>
      <c r="G126" s="105"/>
      <c r="H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c r="BC126" s="105"/>
      <c r="BD126" s="105"/>
      <c r="BE126" s="105"/>
      <c r="BF126" s="105"/>
      <c r="BG126" s="105"/>
      <c r="BH126" s="105"/>
      <c r="BI126" s="105"/>
      <c r="BJ126" s="105"/>
      <c r="BK126" s="105"/>
      <c r="BL126" s="105"/>
      <c r="BM126" s="105"/>
      <c r="BN126" s="105"/>
      <c r="BO126" s="105"/>
      <c r="BP126" s="105"/>
      <c r="BQ126" s="105"/>
      <c r="BR126" s="105"/>
      <c r="BS126" s="105"/>
      <c r="BT126" s="105"/>
      <c r="BU126" s="105"/>
      <c r="BV126" s="105"/>
      <c r="BW126" s="105"/>
      <c r="BX126" s="105"/>
      <c r="BY126" s="105"/>
      <c r="BZ126" s="105"/>
      <c r="CA126" s="105"/>
      <c r="CB126" s="105"/>
      <c r="CC126" s="105"/>
      <c r="CD126" s="105"/>
      <c r="CE126" s="105"/>
      <c r="CF126" s="105"/>
      <c r="CG126" s="105"/>
      <c r="CH126" s="105"/>
      <c r="CI126" s="105"/>
      <c r="CJ126" s="105"/>
      <c r="CK126" s="105"/>
      <c r="CL126" s="105"/>
      <c r="CM126" s="105"/>
      <c r="CN126" s="105"/>
      <c r="CO126" s="105"/>
      <c r="CP126" s="105"/>
      <c r="CQ126" s="105"/>
      <c r="CR126" s="105"/>
      <c r="CS126" s="105"/>
      <c r="CT126" s="105"/>
    </row>
    <row r="127" spans="1:98" s="2" customFormat="1" ht="13.8" hidden="1">
      <c r="A127" s="104"/>
      <c r="B127" s="104"/>
      <c r="C127" s="104"/>
      <c r="D127" s="105"/>
      <c r="E127" s="105"/>
      <c r="F127" s="105"/>
      <c r="G127" s="105"/>
      <c r="H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c r="BC127" s="105"/>
      <c r="BD127" s="105"/>
      <c r="BE127" s="105"/>
      <c r="BF127" s="105"/>
      <c r="BG127" s="105"/>
      <c r="BH127" s="105"/>
      <c r="BI127" s="105"/>
      <c r="BJ127" s="105"/>
      <c r="BK127" s="105"/>
      <c r="BL127" s="105"/>
      <c r="BM127" s="105"/>
      <c r="BN127" s="105"/>
      <c r="BO127" s="105"/>
      <c r="BP127" s="105"/>
      <c r="BQ127" s="105"/>
      <c r="BR127" s="105"/>
      <c r="BS127" s="105"/>
      <c r="BT127" s="105"/>
      <c r="BU127" s="105"/>
      <c r="BV127" s="105"/>
      <c r="BW127" s="105"/>
      <c r="BX127" s="105"/>
      <c r="BY127" s="105"/>
      <c r="BZ127" s="105"/>
      <c r="CA127" s="105"/>
      <c r="CB127" s="105"/>
      <c r="CC127" s="105"/>
      <c r="CD127" s="105"/>
      <c r="CE127" s="105"/>
      <c r="CF127" s="105"/>
      <c r="CG127" s="105"/>
      <c r="CH127" s="105"/>
      <c r="CI127" s="105"/>
      <c r="CJ127" s="105"/>
      <c r="CK127" s="105"/>
      <c r="CL127" s="105"/>
      <c r="CM127" s="105"/>
      <c r="CN127" s="105"/>
      <c r="CO127" s="105"/>
      <c r="CP127" s="105"/>
      <c r="CQ127" s="105"/>
      <c r="CR127" s="105"/>
      <c r="CS127" s="105"/>
      <c r="CT127" s="105"/>
    </row>
    <row r="128" spans="1:98" s="2" customFormat="1" ht="13.8" hidden="1">
      <c r="A128" s="104"/>
      <c r="B128" s="104"/>
      <c r="C128" s="104"/>
      <c r="D128" s="105"/>
      <c r="E128" s="105"/>
      <c r="F128" s="105"/>
      <c r="G128" s="105"/>
      <c r="H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c r="BC128" s="105"/>
      <c r="BD128" s="105"/>
      <c r="BE128" s="105"/>
      <c r="BF128" s="105"/>
      <c r="BG128" s="105"/>
      <c r="BH128" s="105"/>
      <c r="BI128" s="105"/>
      <c r="BJ128" s="105"/>
      <c r="BK128" s="105"/>
      <c r="BL128" s="105"/>
      <c r="BM128" s="105"/>
      <c r="BN128" s="105"/>
      <c r="BO128" s="105"/>
      <c r="BP128" s="105"/>
      <c r="BQ128" s="105"/>
      <c r="BR128" s="105"/>
      <c r="BS128" s="105"/>
      <c r="BT128" s="105"/>
      <c r="BU128" s="105"/>
      <c r="BV128" s="105"/>
      <c r="BW128" s="105"/>
      <c r="BX128" s="105"/>
      <c r="BY128" s="105"/>
      <c r="BZ128" s="105"/>
      <c r="CA128" s="105"/>
      <c r="CB128" s="105"/>
      <c r="CC128" s="105"/>
      <c r="CD128" s="105"/>
      <c r="CE128" s="105"/>
      <c r="CF128" s="105"/>
      <c r="CG128" s="105"/>
      <c r="CH128" s="105"/>
      <c r="CI128" s="105"/>
      <c r="CJ128" s="105"/>
      <c r="CK128" s="105"/>
      <c r="CL128" s="105"/>
      <c r="CM128" s="105"/>
      <c r="CN128" s="105"/>
      <c r="CO128" s="105"/>
      <c r="CP128" s="105"/>
      <c r="CQ128" s="105"/>
      <c r="CR128" s="105"/>
      <c r="CS128" s="105"/>
      <c r="CT128" s="105"/>
    </row>
    <row r="129" spans="1:98" s="2" customFormat="1" ht="13.8" hidden="1">
      <c r="A129" s="104"/>
      <c r="B129" s="104"/>
      <c r="C129" s="104"/>
      <c r="D129" s="105"/>
      <c r="E129" s="105"/>
      <c r="F129" s="105"/>
      <c r="G129" s="105"/>
      <c r="H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c r="BC129" s="105"/>
      <c r="BD129" s="105"/>
      <c r="BE129" s="105"/>
      <c r="BF129" s="105"/>
      <c r="BG129" s="105"/>
      <c r="BH129" s="105"/>
      <c r="BI129" s="105"/>
      <c r="BJ129" s="105"/>
      <c r="BK129" s="105"/>
      <c r="BL129" s="105"/>
      <c r="BM129" s="105"/>
      <c r="BN129" s="105"/>
      <c r="BO129" s="105"/>
      <c r="BP129" s="105"/>
      <c r="BQ129" s="105"/>
      <c r="BR129" s="105"/>
      <c r="BS129" s="105"/>
      <c r="BT129" s="105"/>
      <c r="BU129" s="105"/>
      <c r="BV129" s="105"/>
      <c r="BW129" s="105"/>
      <c r="BX129" s="105"/>
      <c r="BY129" s="105"/>
      <c r="BZ129" s="105"/>
      <c r="CA129" s="105"/>
      <c r="CB129" s="105"/>
      <c r="CC129" s="105"/>
      <c r="CD129" s="105"/>
      <c r="CE129" s="105"/>
      <c r="CF129" s="105"/>
      <c r="CG129" s="105"/>
      <c r="CH129" s="105"/>
      <c r="CI129" s="105"/>
      <c r="CJ129" s="105"/>
      <c r="CK129" s="105"/>
      <c r="CL129" s="105"/>
      <c r="CM129" s="105"/>
      <c r="CN129" s="105"/>
      <c r="CO129" s="105"/>
      <c r="CP129" s="105"/>
      <c r="CQ129" s="105"/>
      <c r="CR129" s="105"/>
      <c r="CS129" s="105"/>
      <c r="CT129" s="105"/>
    </row>
    <row r="130" spans="1:98" s="2" customFormat="1" ht="13.8" hidden="1">
      <c r="A130" s="104"/>
      <c r="B130" s="104"/>
      <c r="C130" s="104"/>
      <c r="D130" s="105"/>
      <c r="E130" s="105"/>
      <c r="F130" s="105"/>
      <c r="G130" s="105"/>
      <c r="H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c r="BC130" s="105"/>
      <c r="BD130" s="105"/>
      <c r="BE130" s="105"/>
      <c r="BF130" s="105"/>
      <c r="BG130" s="105"/>
      <c r="BH130" s="105"/>
      <c r="BI130" s="105"/>
      <c r="BJ130" s="105"/>
      <c r="BK130" s="105"/>
      <c r="BL130" s="105"/>
      <c r="BM130" s="105"/>
      <c r="BN130" s="105"/>
      <c r="BO130" s="105"/>
      <c r="BP130" s="105"/>
      <c r="BQ130" s="105"/>
      <c r="BR130" s="105"/>
      <c r="BS130" s="105"/>
      <c r="BT130" s="105"/>
      <c r="BU130" s="105"/>
      <c r="BV130" s="105"/>
      <c r="BW130" s="105"/>
      <c r="BX130" s="105"/>
      <c r="BY130" s="105"/>
      <c r="BZ130" s="105"/>
      <c r="CA130" s="105"/>
      <c r="CB130" s="105"/>
      <c r="CC130" s="105"/>
      <c r="CD130" s="105"/>
      <c r="CE130" s="105"/>
      <c r="CF130" s="105"/>
      <c r="CG130" s="105"/>
      <c r="CH130" s="105"/>
      <c r="CI130" s="105"/>
      <c r="CJ130" s="105"/>
      <c r="CK130" s="105"/>
      <c r="CL130" s="105"/>
      <c r="CM130" s="105"/>
      <c r="CN130" s="105"/>
      <c r="CO130" s="105"/>
      <c r="CP130" s="105"/>
      <c r="CQ130" s="105"/>
      <c r="CR130" s="105"/>
      <c r="CS130" s="105"/>
      <c r="CT130" s="105"/>
    </row>
    <row r="131" spans="1:98" s="2" customFormat="1" ht="13.8" hidden="1">
      <c r="A131" s="104"/>
      <c r="B131" s="104"/>
      <c r="C131" s="104"/>
      <c r="D131" s="105"/>
      <c r="E131" s="105"/>
      <c r="F131" s="105"/>
      <c r="G131" s="105"/>
      <c r="H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c r="BC131" s="105"/>
      <c r="BD131" s="105"/>
      <c r="BE131" s="105"/>
      <c r="BF131" s="105"/>
      <c r="BG131" s="105"/>
      <c r="BH131" s="105"/>
      <c r="BI131" s="105"/>
      <c r="BJ131" s="105"/>
      <c r="BK131" s="105"/>
      <c r="BL131" s="105"/>
      <c r="BM131" s="105"/>
      <c r="BN131" s="105"/>
      <c r="BO131" s="105"/>
      <c r="BP131" s="105"/>
      <c r="BQ131" s="105"/>
      <c r="BR131" s="105"/>
      <c r="BS131" s="105"/>
      <c r="BT131" s="105"/>
      <c r="BU131" s="105"/>
      <c r="BV131" s="105"/>
      <c r="BW131" s="105"/>
      <c r="BX131" s="105"/>
      <c r="BY131" s="105"/>
      <c r="BZ131" s="105"/>
      <c r="CA131" s="105"/>
      <c r="CB131" s="105"/>
      <c r="CC131" s="105"/>
      <c r="CD131" s="105"/>
      <c r="CE131" s="105"/>
      <c r="CF131" s="105"/>
      <c r="CG131" s="105"/>
      <c r="CH131" s="105"/>
      <c r="CI131" s="105"/>
      <c r="CJ131" s="105"/>
      <c r="CK131" s="105"/>
      <c r="CL131" s="105"/>
      <c r="CM131" s="105"/>
      <c r="CN131" s="105"/>
      <c r="CO131" s="105"/>
      <c r="CP131" s="105"/>
      <c r="CQ131" s="105"/>
      <c r="CR131" s="105"/>
      <c r="CS131" s="105"/>
      <c r="CT131" s="105"/>
    </row>
    <row r="132" spans="1:98" s="2" customFormat="1" ht="13.8" hidden="1">
      <c r="A132" s="61" t="s">
        <v>5374</v>
      </c>
      <c r="B132" s="61"/>
      <c r="C132" s="61"/>
      <c r="D132" s="62"/>
      <c r="E132" s="62"/>
      <c r="F132" s="62"/>
      <c r="G132" s="62"/>
      <c r="H132" s="62"/>
      <c r="I132" s="63"/>
      <c r="J132" s="63"/>
      <c r="K132" s="63"/>
      <c r="L132" s="63"/>
      <c r="M132" s="63"/>
      <c r="N132" s="63"/>
      <c r="O132" s="63"/>
      <c r="P132" s="63"/>
      <c r="Q132" s="63"/>
      <c r="R132" s="63"/>
      <c r="S132" s="63"/>
      <c r="T132" s="63"/>
      <c r="U132" s="63"/>
      <c r="V132" s="63"/>
      <c r="W132" s="63"/>
      <c r="X132" s="62"/>
      <c r="Y132" s="62"/>
      <c r="Z132" s="62"/>
      <c r="AA132" s="62"/>
      <c r="AB132" s="62"/>
      <c r="AC132" s="62"/>
      <c r="AD132" s="62"/>
      <c r="AE132" s="62"/>
      <c r="AF132" s="62"/>
      <c r="AG132" s="62"/>
      <c r="AH132" s="62"/>
      <c r="AI132" s="62"/>
      <c r="AJ132" s="62"/>
      <c r="AK132" s="62"/>
      <c r="AL132" s="62"/>
      <c r="AM132" s="62"/>
      <c r="AN132" s="62"/>
      <c r="AO132" s="62"/>
      <c r="AP132" s="62"/>
      <c r="AQ132" s="62"/>
      <c r="AR132" s="62"/>
      <c r="AS132" s="62"/>
      <c r="AT132" s="62"/>
      <c r="AU132" s="62"/>
      <c r="AV132" s="62"/>
      <c r="AW132" s="62"/>
      <c r="AX132" s="62"/>
      <c r="AY132" s="62"/>
      <c r="AZ132" s="62"/>
      <c r="BA132" s="62"/>
      <c r="BB132" s="62"/>
      <c r="BC132" s="62"/>
      <c r="BD132" s="62"/>
      <c r="BE132" s="62"/>
      <c r="BF132" s="62"/>
      <c r="BG132" s="62"/>
      <c r="BH132" s="62"/>
      <c r="BI132" s="62"/>
      <c r="BJ132" s="62"/>
      <c r="BK132" s="62"/>
      <c r="BL132" s="62"/>
      <c r="BM132" s="62"/>
      <c r="BN132" s="62"/>
      <c r="BO132" s="62"/>
      <c r="BP132" s="62"/>
      <c r="BQ132" s="62"/>
      <c r="BR132" s="62"/>
      <c r="BS132" s="62"/>
      <c r="BT132" s="62"/>
      <c r="BU132" s="62"/>
      <c r="BV132" s="62"/>
      <c r="BW132" s="62"/>
      <c r="BX132" s="62"/>
      <c r="BY132" s="62"/>
      <c r="BZ132" s="62"/>
      <c r="CA132" s="62"/>
      <c r="CB132" s="62"/>
      <c r="CC132" s="62"/>
      <c r="CD132" s="62"/>
      <c r="CE132" s="62"/>
      <c r="CF132" s="62"/>
      <c r="CG132" s="62"/>
      <c r="CH132" s="62"/>
      <c r="CI132" s="62"/>
      <c r="CJ132" s="62"/>
      <c r="CK132" s="62"/>
      <c r="CL132" s="62"/>
      <c r="CM132" s="62"/>
      <c r="CN132" s="62"/>
      <c r="CO132" s="62"/>
      <c r="CP132" s="62"/>
      <c r="CQ132" s="62"/>
      <c r="CR132" s="62"/>
      <c r="CS132" s="62"/>
      <c r="CT132" s="62"/>
    </row>
    <row r="133" spans="1:98" hidden="1"/>
    <row r="134" spans="1:98" ht="21" hidden="1">
      <c r="A134" s="93" t="s">
        <v>80</v>
      </c>
      <c r="B134" s="94"/>
      <c r="C134" s="94"/>
      <c r="D134" s="94"/>
      <c r="E134" s="94"/>
      <c r="F134" s="94"/>
      <c r="G134" s="94"/>
      <c r="H134" s="94"/>
      <c r="I134" s="94"/>
      <c r="J134" s="94"/>
      <c r="K134" s="94"/>
      <c r="N134" s="93" t="s">
        <v>81</v>
      </c>
    </row>
    <row r="135" spans="1:98" hidden="1"/>
    <row r="136" spans="1:98" ht="32.1" hidden="1" customHeight="1">
      <c r="A136" s="341" t="s">
        <v>2882</v>
      </c>
      <c r="B136" s="341" t="s">
        <v>375</v>
      </c>
      <c r="C136" s="341" t="s">
        <v>1533</v>
      </c>
      <c r="D136" s="341" t="s">
        <v>376</v>
      </c>
      <c r="E136" s="341" t="s">
        <v>377</v>
      </c>
      <c r="F136" s="361" t="s">
        <v>3859</v>
      </c>
      <c r="G136" s="341" t="s">
        <v>378</v>
      </c>
      <c r="H136" s="341" t="s">
        <v>5375</v>
      </c>
      <c r="I136" s="341" t="s">
        <v>380</v>
      </c>
      <c r="J136" s="949" t="s">
        <v>5376</v>
      </c>
      <c r="K136" s="361" t="s">
        <v>252</v>
      </c>
      <c r="N136" s="341" t="s">
        <v>2882</v>
      </c>
      <c r="O136" s="341" t="s">
        <v>375</v>
      </c>
      <c r="P136" s="341" t="s">
        <v>376</v>
      </c>
      <c r="Q136" s="341" t="s">
        <v>377</v>
      </c>
      <c r="R136" s="361" t="s">
        <v>3859</v>
      </c>
      <c r="S136" s="341" t="s">
        <v>378</v>
      </c>
      <c r="T136" s="341" t="s">
        <v>5375</v>
      </c>
      <c r="U136" s="341" t="s">
        <v>380</v>
      </c>
      <c r="V136" s="949" t="s">
        <v>5376</v>
      </c>
      <c r="W136" s="361" t="s">
        <v>252</v>
      </c>
    </row>
    <row r="137" spans="1:98" hidden="1">
      <c r="A137" s="950"/>
      <c r="B137" s="957"/>
      <c r="C137" s="957"/>
      <c r="D137" s="950" t="str">
        <f>IF($B137="","",_xlfn.XLOOKUP($B137,Acc_Char!$B$2:$B$515,Acc_Char!$C$2:$C$515,"recheck",0))</f>
        <v/>
      </c>
      <c r="E137" s="950" t="str">
        <f>IF($B137="","",_xlfn.XLOOKUP($B137,Acc_Char!$B$2:$B$515,Acc_Char!$I$2:$I$515,"recheck",0))</f>
        <v/>
      </c>
      <c r="F137" s="363" t="str">
        <f>IF($B137="","",_xlfn.XLOOKUP(Table13[[#This Row],[Transfer Account]],Acc_Char!$B$2:$B$515,Acc_Char!$H$1,"rechek",0))</f>
        <v/>
      </c>
      <c r="G137" s="957"/>
      <c r="H137" s="950" t="str">
        <f>IF($G137="","",_xlfn.XLOOKUP($G137,Acc_Char!$B$1,Acc_Char!$H$1,"out of group",0))</f>
        <v/>
      </c>
      <c r="I137" s="950" t="str">
        <f>IF($G137="","",_xlfn.XLOOKUP($G137,Acc_Char!$B$2:$B$515,Acc_Char!$I$2:$I$515,"out of group",0))</f>
        <v/>
      </c>
      <c r="J137" s="973"/>
      <c r="K137" s="676"/>
      <c r="N137" s="950"/>
      <c r="O137" s="957"/>
      <c r="P137" s="950" t="str">
        <f>IF($B137="","",_xlfn.XLOOKUP($B137,Acc_Char!$B$2:$B$515,Acc_Char!$C$2:$C$515,"recheck",0))</f>
        <v/>
      </c>
      <c r="Q137" s="950" t="str">
        <f>IF($B137="","",_xlfn.XLOOKUP($B137,Acc_Char!$B$2:$B$515,Acc_Char!$I$2:$I$515,"recheck",0))</f>
        <v/>
      </c>
      <c r="R137" s="363" t="str">
        <f>IF($B137="","",_xlfn.XLOOKUP(Table1315[[#This Row],[Transfer Account]],Acc_Char!$B$2:$B$515,Acc_Char!$H$1,"rechek",0))</f>
        <v/>
      </c>
      <c r="S137" s="957"/>
      <c r="T137" s="950" t="str">
        <f>IF($G137="","",_xlfn.XLOOKUP($G137,Acc_Char!$B$1,Acc_Char!$H$1,"out of group",0))</f>
        <v/>
      </c>
      <c r="U137" s="950" t="str">
        <f>IF($G137="","",_xlfn.XLOOKUP($G137,Acc_Char!$B$2:$B$515,Acc_Char!$I$2:$I$515,"out of group",0))</f>
        <v/>
      </c>
      <c r="V137" s="973"/>
      <c r="W137" s="676"/>
    </row>
    <row r="138" spans="1:98" hidden="1">
      <c r="A138" s="950"/>
      <c r="B138" s="957"/>
      <c r="C138" s="957"/>
      <c r="D138" s="950" t="str">
        <f>IF($B138="","",_xlfn.XLOOKUP($B138,Acc_Char!$B$2:$B$515,Acc_Char!$C$2:$C$515,"recheck",0))</f>
        <v/>
      </c>
      <c r="E138" s="950" t="str">
        <f>IF($B138="","",_xlfn.XLOOKUP($B138,Acc_Char!$B$2:$B$515,Acc_Char!$I$2:$I$515,"recheck",0))</f>
        <v/>
      </c>
      <c r="F138" s="363" t="str">
        <f>IF($B138="","",_xlfn.XLOOKUP(Table13[[#This Row],[Transfer Account]],Acc_Char!$B$2:$B$515,Acc_Char!$H$1,"rechek",0))</f>
        <v/>
      </c>
      <c r="G138" s="957"/>
      <c r="H138" s="950" t="str">
        <f>IF($G138="","",_xlfn.XLOOKUP($G138,Acc_Char!$B$1,Acc_Char!$H$1,"out of group",0))</f>
        <v/>
      </c>
      <c r="I138" s="950" t="str">
        <f>IF($G138="","",_xlfn.XLOOKUP($G138,Acc_Char!$B$2:$B$515,Acc_Char!$I$2:$I$515,"out of group",0))</f>
        <v/>
      </c>
      <c r="J138" s="973"/>
      <c r="K138" s="676"/>
      <c r="N138" s="950"/>
      <c r="O138" s="957"/>
      <c r="P138" s="950" t="str">
        <f>IF($B138="","",_xlfn.XLOOKUP($B138,Acc_Char!$B$2:$B$515,Acc_Char!$C$2:$C$515,"recheck",0))</f>
        <v/>
      </c>
      <c r="Q138" s="950" t="str">
        <f>IF($B138="","",_xlfn.XLOOKUP($B138,Acc_Char!$B$2:$B$515,Acc_Char!$I$2:$I$515,"recheck",0))</f>
        <v/>
      </c>
      <c r="R138" s="363" t="str">
        <f>IF($B138="","",_xlfn.XLOOKUP(Table1315[[#This Row],[Transfer Account]],Acc_Char!$B$2:$B$515,Acc_Char!$H$1,"rechek",0))</f>
        <v/>
      </c>
      <c r="S138" s="957"/>
      <c r="T138" s="950" t="str">
        <f>IF($G138="","",_xlfn.XLOOKUP($G138,Acc_Char!$B$1,Acc_Char!$H$1,"out of group",0))</f>
        <v/>
      </c>
      <c r="U138" s="950" t="str">
        <f>IF($G138="","",_xlfn.XLOOKUP($G138,Acc_Char!$B$2:$B$515,Acc_Char!$I$2:$I$515,"out of group",0))</f>
        <v/>
      </c>
      <c r="V138" s="973"/>
      <c r="W138" s="676"/>
    </row>
    <row r="139" spans="1:98" hidden="1">
      <c r="A139" s="950"/>
      <c r="B139" s="957"/>
      <c r="C139" s="957"/>
      <c r="D139" s="950" t="str">
        <f>IF($B139="","",_xlfn.XLOOKUP($B139,Acc_Char!$B$2:$B$515,Acc_Char!$C$2:$C$515,"recheck",0))</f>
        <v/>
      </c>
      <c r="E139" s="950" t="str">
        <f>IF($B139="","",_xlfn.XLOOKUP($B139,Acc_Char!$B$2:$B$515,Acc_Char!$I$2:$I$515,"recheck",0))</f>
        <v/>
      </c>
      <c r="F139" s="363" t="str">
        <f>IF($B139="","",_xlfn.XLOOKUP(Table13[[#This Row],[Transfer Account]],Acc_Char!$B$2:$B$515,Acc_Char!$H$1,"rechek",0))</f>
        <v/>
      </c>
      <c r="G139" s="957"/>
      <c r="H139" s="950" t="str">
        <f>IF($G139="","",_xlfn.XLOOKUP($G139,Acc_Char!$B$1,Acc_Char!$H$1,"out of group",0))</f>
        <v/>
      </c>
      <c r="I139" s="950" t="str">
        <f>IF($G139="","",_xlfn.XLOOKUP($G139,Acc_Char!$B$2:$B$515,Acc_Char!$I$2:$I$515,"out of group",0))</f>
        <v/>
      </c>
      <c r="J139" s="973"/>
      <c r="K139" s="676"/>
      <c r="N139" s="950"/>
      <c r="O139" s="957"/>
      <c r="P139" s="950" t="str">
        <f>IF($B139="","",_xlfn.XLOOKUP($B139,Acc_Char!$B$2:$B$515,Acc_Char!$C$2:$C$515,"recheck",0))</f>
        <v/>
      </c>
      <c r="Q139" s="950" t="str">
        <f>IF($B139="","",_xlfn.XLOOKUP($B139,Acc_Char!$B$2:$B$515,Acc_Char!$I$2:$I$515,"recheck",0))</f>
        <v/>
      </c>
      <c r="R139" s="363" t="str">
        <f>IF($B139="","",_xlfn.XLOOKUP(Table1315[[#This Row],[Transfer Account]],Acc_Char!$B$2:$B$515,Acc_Char!$H$1,"rechek",0))</f>
        <v/>
      </c>
      <c r="S139" s="957"/>
      <c r="T139" s="950" t="str">
        <f>IF($G139="","",_xlfn.XLOOKUP($G139,Acc_Char!$B$1,Acc_Char!$H$1,"out of group",0))</f>
        <v/>
      </c>
      <c r="U139" s="950" t="str">
        <f>IF($G139="","",_xlfn.XLOOKUP($G139,Acc_Char!$B$2:$B$515,Acc_Char!$I$2:$I$515,"out of group",0))</f>
        <v/>
      </c>
      <c r="V139" s="973"/>
      <c r="W139" s="676"/>
    </row>
    <row r="140" spans="1:98" hidden="1">
      <c r="A140" s="950"/>
      <c r="B140" s="957"/>
      <c r="C140" s="957"/>
      <c r="D140" s="950" t="str">
        <f>IF($B140="","",_xlfn.XLOOKUP($B140,Acc_Char!$B$2:$B$515,Acc_Char!$C$2:$C$515,"recheck",0))</f>
        <v/>
      </c>
      <c r="E140" s="950" t="str">
        <f>IF($B140="","",_xlfn.XLOOKUP($B140,Acc_Char!$B$2:$B$515,Acc_Char!$I$2:$I$515,"recheck",0))</f>
        <v/>
      </c>
      <c r="F140" s="363" t="str">
        <f>IF($B140="","",_xlfn.XLOOKUP(Table13[[#This Row],[Transfer Account]],Acc_Char!$B$2:$B$515,Acc_Char!$H$1,"rechek",0))</f>
        <v/>
      </c>
      <c r="G140" s="957"/>
      <c r="H140" s="950" t="str">
        <f>IF($G140="","",_xlfn.XLOOKUP($G140,Acc_Char!$B$1,Acc_Char!$H$1,"out of group",0))</f>
        <v/>
      </c>
      <c r="I140" s="950" t="str">
        <f>IF($G140="","",_xlfn.XLOOKUP($G140,Acc_Char!$B$2:$B$515,Acc_Char!$I$2:$I$515,"out of group",0))</f>
        <v/>
      </c>
      <c r="J140" s="973"/>
      <c r="K140" s="676"/>
      <c r="N140" s="950"/>
      <c r="O140" s="957"/>
      <c r="P140" s="950" t="str">
        <f>IF($B140="","",_xlfn.XLOOKUP($B140,Acc_Char!$B$2:$B$515,Acc_Char!$C$2:$C$515,"recheck",0))</f>
        <v/>
      </c>
      <c r="Q140" s="950" t="str">
        <f>IF($B140="","",_xlfn.XLOOKUP($B140,Acc_Char!$B$2:$B$515,Acc_Char!$I$2:$I$515,"recheck",0))</f>
        <v/>
      </c>
      <c r="R140" s="363" t="str">
        <f>IF($B140="","",_xlfn.XLOOKUP(Table1315[[#This Row],[Transfer Account]],Acc_Char!$B$2:$B$515,Acc_Char!$H$1,"rechek",0))</f>
        <v/>
      </c>
      <c r="S140" s="957"/>
      <c r="T140" s="950" t="str">
        <f>IF($G140="","",_xlfn.XLOOKUP($G140,Acc_Char!$B$1,Acc_Char!$H$1,"out of group",0))</f>
        <v/>
      </c>
      <c r="U140" s="950" t="str">
        <f>IF($G140="","",_xlfn.XLOOKUP($G140,Acc_Char!$B$2:$B$515,Acc_Char!$I$2:$I$515,"out of group",0))</f>
        <v/>
      </c>
      <c r="V140" s="973"/>
      <c r="W140" s="676"/>
    </row>
    <row r="141" spans="1:98" hidden="1">
      <c r="A141" s="950"/>
      <c r="B141" s="957"/>
      <c r="C141" s="957"/>
      <c r="D141" s="950" t="str">
        <f>IF($B141="","",_xlfn.XLOOKUP($B141,Acc_Char!$B$2:$B$515,Acc_Char!$C$2:$C$515,"recheck",0))</f>
        <v/>
      </c>
      <c r="E141" s="950" t="str">
        <f>IF($B141="","",_xlfn.XLOOKUP($B141,Acc_Char!$B$2:$B$515,Acc_Char!$I$2:$I$515,"recheck",0))</f>
        <v/>
      </c>
      <c r="F141" s="363" t="str">
        <f>IF($B141="","",_xlfn.XLOOKUP(Table13[[#This Row],[Transfer Account]],Acc_Char!$B$2:$B$515,Acc_Char!$H$1,"rechek",0))</f>
        <v/>
      </c>
      <c r="G141" s="957"/>
      <c r="H141" s="950" t="str">
        <f>IF($G141="","",_xlfn.XLOOKUP($G141,Acc_Char!$B$1,Acc_Char!$H$1,"out of group",0))</f>
        <v/>
      </c>
      <c r="I141" s="950" t="str">
        <f>IF($G141="","",_xlfn.XLOOKUP($G141,Acc_Char!$B$2:$B$515,Acc_Char!$I$2:$I$515,"out of group",0))</f>
        <v/>
      </c>
      <c r="J141" s="973"/>
      <c r="K141" s="676"/>
      <c r="N141" s="950"/>
      <c r="O141" s="957"/>
      <c r="P141" s="950" t="str">
        <f>IF($B141="","",_xlfn.XLOOKUP($B141,Acc_Char!$B$2:$B$515,Acc_Char!$C$2:$C$515,"recheck",0))</f>
        <v/>
      </c>
      <c r="Q141" s="950" t="str">
        <f>IF($B141="","",_xlfn.XLOOKUP($B141,Acc_Char!$B$2:$B$515,Acc_Char!$I$2:$I$515,"recheck",0))</f>
        <v/>
      </c>
      <c r="R141" s="363" t="str">
        <f>IF($B141="","",_xlfn.XLOOKUP(Table1315[[#This Row],[Transfer Account]],Acc_Char!$B$2:$B$515,Acc_Char!$H$1,"rechek",0))</f>
        <v/>
      </c>
      <c r="S141" s="957"/>
      <c r="T141" s="950" t="str">
        <f>IF($G141="","",_xlfn.XLOOKUP($G141,Acc_Char!$B$1,Acc_Char!$H$1,"out of group",0))</f>
        <v/>
      </c>
      <c r="U141" s="950" t="str">
        <f>IF($G141="","",_xlfn.XLOOKUP($G141,Acc_Char!$B$2:$B$515,Acc_Char!$I$2:$I$515,"out of group",0))</f>
        <v/>
      </c>
      <c r="V141" s="973"/>
      <c r="W141" s="676"/>
    </row>
    <row r="142" spans="1:98" hidden="1">
      <c r="A142" s="950"/>
      <c r="B142" s="957"/>
      <c r="C142" s="957"/>
      <c r="D142" s="950" t="str">
        <f>IF($B142="","",_xlfn.XLOOKUP($B142,Acc_Char!$B$2:$B$515,Acc_Char!$C$2:$C$515,"recheck",0))</f>
        <v/>
      </c>
      <c r="E142" s="950" t="str">
        <f>IF($B142="","",_xlfn.XLOOKUP($B142,Acc_Char!$B$2:$B$515,Acc_Char!$I$2:$I$515,"recheck",0))</f>
        <v/>
      </c>
      <c r="F142" s="362" t="str">
        <f>IF($B142="","",_xlfn.XLOOKUP(Table13[[#This Row],[Transfer Account]],Acc_Char!$B$2:$B$515,Acc_Char!$H$1,"rechek",0))</f>
        <v/>
      </c>
      <c r="G142" s="957"/>
      <c r="H142" s="950" t="str">
        <f>IF($G142="","",_xlfn.XLOOKUP($G142,Acc_Char!$B$1,Acc_Char!$H$1,"out of group",0))</f>
        <v/>
      </c>
      <c r="I142" s="950" t="str">
        <f>IF($G142="","",_xlfn.XLOOKUP($G142,Acc_Char!$B$2:$B$515,Acc_Char!$I$2:$I$515,"out of group",0))</f>
        <v/>
      </c>
      <c r="J142" s="1008"/>
      <c r="K142" s="677"/>
      <c r="N142" s="950"/>
      <c r="O142" s="957"/>
      <c r="P142" s="950" t="str">
        <f>IF($B142="","",_xlfn.XLOOKUP($B142,Acc_Char!$B$2:$B$515,Acc_Char!$C$2:$C$515,"recheck",0))</f>
        <v/>
      </c>
      <c r="Q142" s="950" t="str">
        <f>IF($B142="","",_xlfn.XLOOKUP($B142,Acc_Char!$B$2:$B$515,Acc_Char!$I$2:$I$515,"recheck",0))</f>
        <v/>
      </c>
      <c r="R142" s="362" t="str">
        <f>IF($B142="","",_xlfn.XLOOKUP(Table1315[[#This Row],[Transfer Account]],Acc_Char!$B$2:$B$515,Acc_Char!$H$1,"rechek",0))</f>
        <v/>
      </c>
      <c r="S142" s="957"/>
      <c r="T142" s="950" t="str">
        <f>IF($G142="","",_xlfn.XLOOKUP($G142,Acc_Char!$B$1,Acc_Char!$H$1,"out of group",0))</f>
        <v/>
      </c>
      <c r="U142" s="950" t="str">
        <f>IF($G142="","",_xlfn.XLOOKUP($G142,Acc_Char!$B$2:$B$515,Acc_Char!$I$2:$I$515,"out of group",0))</f>
        <v/>
      </c>
      <c r="V142" s="1008"/>
      <c r="W142" s="677"/>
    </row>
    <row r="143" spans="1:98" hidden="1">
      <c r="A143" s="950"/>
      <c r="B143" s="957"/>
      <c r="C143" s="957"/>
      <c r="D143" s="950" t="str">
        <f>IF($B143="","",_xlfn.XLOOKUP($B143,Acc_Char!$B$2:$B$515,Acc_Char!$C$2:$C$515,"recheck",0))</f>
        <v/>
      </c>
      <c r="E143" s="950" t="str">
        <f>IF($B143="","",_xlfn.XLOOKUP($B143,Acc_Char!$B$2:$B$515,Acc_Char!$I$2:$I$515,"recheck",0))</f>
        <v/>
      </c>
      <c r="F143" s="362" t="str">
        <f>IF($B143="","",_xlfn.XLOOKUP(Table13[[#This Row],[Transfer Account]],Acc_Char!$B$2:$B$515,Acc_Char!$H$1,"rechek",0))</f>
        <v/>
      </c>
      <c r="G143" s="957"/>
      <c r="H143" s="950" t="str">
        <f>IF($G143="","",_xlfn.XLOOKUP($G143,Acc_Char!$B$1,Acc_Char!$H$1,"out of group",0))</f>
        <v/>
      </c>
      <c r="I143" s="950" t="str">
        <f>IF($G143="","",_xlfn.XLOOKUP($G143,Acc_Char!$B$2:$B$515,Acc_Char!$I$2:$I$515,"out of group",0))</f>
        <v/>
      </c>
      <c r="J143" s="1008"/>
      <c r="K143" s="677"/>
      <c r="N143" s="950"/>
      <c r="O143" s="957"/>
      <c r="P143" s="950" t="str">
        <f>IF($B143="","",_xlfn.XLOOKUP($B143,Acc_Char!$B$2:$B$515,Acc_Char!$C$2:$C$515,"recheck",0))</f>
        <v/>
      </c>
      <c r="Q143" s="950" t="str">
        <f>IF($B143="","",_xlfn.XLOOKUP($B143,Acc_Char!$B$2:$B$515,Acc_Char!$I$2:$I$515,"recheck",0))</f>
        <v/>
      </c>
      <c r="R143" s="362" t="str">
        <f>IF($B143="","",_xlfn.XLOOKUP(Table1315[[#This Row],[Transfer Account]],Acc_Char!$B$2:$B$515,Acc_Char!$H$1,"rechek",0))</f>
        <v/>
      </c>
      <c r="S143" s="957"/>
      <c r="T143" s="950" t="str">
        <f>IF($G143="","",_xlfn.XLOOKUP($G143,Acc_Char!$B$1,Acc_Char!$H$1,"out of group",0))</f>
        <v/>
      </c>
      <c r="U143" s="950" t="str">
        <f>IF($G143="","",_xlfn.XLOOKUP($G143,Acc_Char!$B$2:$B$515,Acc_Char!$I$2:$I$515,"out of group",0))</f>
        <v/>
      </c>
      <c r="V143" s="1008"/>
      <c r="W143" s="677"/>
    </row>
    <row r="144" spans="1:98" hidden="1">
      <c r="A144" s="950"/>
      <c r="B144" s="957"/>
      <c r="C144" s="957"/>
      <c r="D144" s="950" t="str">
        <f>IF($B144="","",_xlfn.XLOOKUP($B144,Acc_Char!$B$2:$B$515,Acc_Char!$C$2:$C$515,"recheck",0))</f>
        <v/>
      </c>
      <c r="E144" s="950" t="str">
        <f>IF($B144="","",_xlfn.XLOOKUP($B144,Acc_Char!$B$2:$B$515,Acc_Char!$I$2:$I$515,"recheck",0))</f>
        <v/>
      </c>
      <c r="F144" s="363" t="str">
        <f>IF($B144="","",_xlfn.XLOOKUP(Table13[[#This Row],[Transfer Account]],Acc_Char!$B$2:$B$515,Acc_Char!$H$1,"rechek",0))</f>
        <v/>
      </c>
      <c r="G144" s="957"/>
      <c r="H144" s="950" t="str">
        <f>IF($G144="","",_xlfn.XLOOKUP($G144,Acc_Char!$B$1,Acc_Char!$H$1,"out of group",0))</f>
        <v/>
      </c>
      <c r="I144" s="950" t="str">
        <f>IF($G144="","",_xlfn.XLOOKUP($G144,Acc_Char!$B$2:$B$515,Acc_Char!$I$2:$I$515,"out of group",0))</f>
        <v/>
      </c>
      <c r="J144" s="973"/>
      <c r="K144" s="678"/>
      <c r="N144" s="950"/>
      <c r="O144" s="957"/>
      <c r="P144" s="950" t="str">
        <f>IF($B144="","",_xlfn.XLOOKUP($B144,Acc_Char!$B$2:$B$515,Acc_Char!$C$2:$C$515,"recheck",0))</f>
        <v/>
      </c>
      <c r="Q144" s="950" t="str">
        <f>IF($B144="","",_xlfn.XLOOKUP($B144,Acc_Char!$B$2:$B$515,Acc_Char!$I$2:$I$515,"recheck",0))</f>
        <v/>
      </c>
      <c r="R144" s="363" t="str">
        <f>IF($B144="","",_xlfn.XLOOKUP(Table1315[[#This Row],[Transfer Account]],Acc_Char!$B$2:$B$515,Acc_Char!$H$1,"rechek",0))</f>
        <v/>
      </c>
      <c r="S144" s="957"/>
      <c r="T144" s="950" t="str">
        <f>IF($G144="","",_xlfn.XLOOKUP($G144,Acc_Char!$B$1,Acc_Char!$H$1,"out of group",0))</f>
        <v/>
      </c>
      <c r="U144" s="950" t="str">
        <f>IF($G144="","",_xlfn.XLOOKUP($G144,Acc_Char!$B$2:$B$515,Acc_Char!$I$2:$I$515,"out of group",0))</f>
        <v/>
      </c>
      <c r="V144" s="973"/>
      <c r="W144" s="678"/>
    </row>
    <row r="145" spans="1:23" hidden="1">
      <c r="A145" s="950"/>
      <c r="B145" s="957"/>
      <c r="C145" s="957"/>
      <c r="D145" s="950" t="str">
        <f>IF($B145="","",_xlfn.XLOOKUP($B145,Acc_Char!$B$2:$B$515,Acc_Char!$C$2:$C$515,"recheck",0))</f>
        <v/>
      </c>
      <c r="E145" s="950" t="str">
        <f>IF($B145="","",_xlfn.XLOOKUP($B145,Acc_Char!$B$2:$B$515,Acc_Char!$I$2:$I$515,"recheck",0))</f>
        <v/>
      </c>
      <c r="F145" s="363" t="str">
        <f>IF($B145="","",_xlfn.XLOOKUP(Table13[[#This Row],[Transfer Account]],Acc_Char!$B$2:$B$515,Acc_Char!$H$1,"rechek",0))</f>
        <v/>
      </c>
      <c r="G145" s="957"/>
      <c r="H145" s="950" t="str">
        <f>IF($G145="","",_xlfn.XLOOKUP($G145,Acc_Char!$B$1,Acc_Char!$H$1,"out of group",0))</f>
        <v/>
      </c>
      <c r="I145" s="950" t="str">
        <f>IF($G145="","",_xlfn.XLOOKUP($G145,Acc_Char!$B$2:$B$515,Acc_Char!$I$2:$I$515,"out of group",0))</f>
        <v/>
      </c>
      <c r="J145" s="973"/>
      <c r="K145" s="678"/>
      <c r="N145" s="950"/>
      <c r="O145" s="957"/>
      <c r="P145" s="950" t="str">
        <f>IF($B145="","",_xlfn.XLOOKUP($B145,Acc_Char!$B$2:$B$515,Acc_Char!$C$2:$C$515,"recheck",0))</f>
        <v/>
      </c>
      <c r="Q145" s="950" t="str">
        <f>IF($B145="","",_xlfn.XLOOKUP($B145,Acc_Char!$B$2:$B$515,Acc_Char!$I$2:$I$515,"recheck",0))</f>
        <v/>
      </c>
      <c r="R145" s="363" t="str">
        <f>IF($B145="","",_xlfn.XLOOKUP(Table1315[[#This Row],[Transfer Account]],Acc_Char!$B$2:$B$515,Acc_Char!$H$1,"rechek",0))</f>
        <v/>
      </c>
      <c r="S145" s="957"/>
      <c r="T145" s="950" t="str">
        <f>IF($G145="","",_xlfn.XLOOKUP($G145,Acc_Char!$B$1,Acc_Char!$H$1,"out of group",0))</f>
        <v/>
      </c>
      <c r="U145" s="950" t="str">
        <f>IF($G145="","",_xlfn.XLOOKUP($G145,Acc_Char!$B$2:$B$515,Acc_Char!$I$2:$I$515,"out of group",0))</f>
        <v/>
      </c>
      <c r="V145" s="973"/>
      <c r="W145" s="678"/>
    </row>
    <row r="146" spans="1:23" hidden="1">
      <c r="A146" s="950"/>
      <c r="B146" s="957"/>
      <c r="C146" s="957"/>
      <c r="D146" s="950" t="str">
        <f>IF($B146="","",_xlfn.XLOOKUP($B146,Acc_Char!$B$2:$B$515,Acc_Char!$C$2:$C$515,"recheck",0))</f>
        <v/>
      </c>
      <c r="E146" s="950" t="str">
        <f>IF($B146="","",_xlfn.XLOOKUP($B146,Acc_Char!$B$2:$B$515,Acc_Char!$I$2:$I$515,"recheck",0))</f>
        <v/>
      </c>
      <c r="F146" s="363" t="str">
        <f>IF($B146="","",_xlfn.XLOOKUP(Table13[[#This Row],[Transfer Account]],Acc_Char!$B$2:$B$515,Acc_Char!$H$1,"rechek",0))</f>
        <v/>
      </c>
      <c r="G146" s="957"/>
      <c r="H146" s="950" t="str">
        <f>IF($G146="","",_xlfn.XLOOKUP($G146,Acc_Char!$B$1,Acc_Char!$H$1,"out of group",0))</f>
        <v/>
      </c>
      <c r="I146" s="950" t="str">
        <f>IF($G146="","",_xlfn.XLOOKUP($G146,Acc_Char!$B$2:$B$515,Acc_Char!$I$2:$I$515,"out of group",0))</f>
        <v/>
      </c>
      <c r="J146" s="973"/>
      <c r="K146" s="678"/>
      <c r="N146" s="950"/>
      <c r="O146" s="957"/>
      <c r="P146" s="950" t="str">
        <f>IF($B146="","",_xlfn.XLOOKUP($B146,Acc_Char!$B$2:$B$515,Acc_Char!$C$2:$C$515,"recheck",0))</f>
        <v/>
      </c>
      <c r="Q146" s="950" t="str">
        <f>IF($B146="","",_xlfn.XLOOKUP($B146,Acc_Char!$B$2:$B$515,Acc_Char!$I$2:$I$515,"recheck",0))</f>
        <v/>
      </c>
      <c r="R146" s="363" t="str">
        <f>IF($B146="","",_xlfn.XLOOKUP(Table1315[[#This Row],[Transfer Account]],Acc_Char!$B$2:$B$515,Acc_Char!$H$1,"rechek",0))</f>
        <v/>
      </c>
      <c r="S146" s="957"/>
      <c r="T146" s="950" t="str">
        <f>IF($G146="","",_xlfn.XLOOKUP($G146,Acc_Char!$B$1,Acc_Char!$H$1,"out of group",0))</f>
        <v/>
      </c>
      <c r="U146" s="950" t="str">
        <f>IF($G146="","",_xlfn.XLOOKUP($G146,Acc_Char!$B$2:$B$515,Acc_Char!$I$2:$I$515,"out of group",0))</f>
        <v/>
      </c>
      <c r="V146" s="973"/>
      <c r="W146" s="678"/>
    </row>
    <row r="147" spans="1:23" hidden="1">
      <c r="A147" s="950"/>
      <c r="B147" s="957"/>
      <c r="C147" s="957"/>
      <c r="D147" s="950" t="str">
        <f>IF($B147="","",_xlfn.XLOOKUP($B147,Acc_Char!$B$2:$B$515,Acc_Char!$C$2:$C$515,"recheck",0))</f>
        <v/>
      </c>
      <c r="E147" s="950" t="str">
        <f>IF($B147="","",_xlfn.XLOOKUP($B147,Acc_Char!$B$2:$B$515,Acc_Char!$I$2:$I$515,"recheck",0))</f>
        <v/>
      </c>
      <c r="F147" s="363" t="str">
        <f>IF($B147="","",_xlfn.XLOOKUP(Table13[[#This Row],[Transfer Account]],Acc_Char!$B$2:$B$515,Acc_Char!$H$1,"rechek",0))</f>
        <v/>
      </c>
      <c r="G147" s="957"/>
      <c r="H147" s="950" t="str">
        <f>IF($G147="","",_xlfn.XLOOKUP($G147,Acc_Char!$B$1,Acc_Char!$H$1,"out of group",0))</f>
        <v/>
      </c>
      <c r="I147" s="950" t="str">
        <f>IF($G147="","",_xlfn.XLOOKUP($G147,Acc_Char!$B$2:$B$515,Acc_Char!$I$2:$I$515,"out of group",0))</f>
        <v/>
      </c>
      <c r="J147" s="973"/>
      <c r="K147" s="678"/>
      <c r="N147" s="950"/>
      <c r="O147" s="957"/>
      <c r="P147" s="950" t="str">
        <f>IF($B147="","",_xlfn.XLOOKUP($B147,Acc_Char!$B$2:$B$515,Acc_Char!$C$2:$C$515,"recheck",0))</f>
        <v/>
      </c>
      <c r="Q147" s="950" t="str">
        <f>IF($B147="","",_xlfn.XLOOKUP($B147,Acc_Char!$B$2:$B$515,Acc_Char!$I$2:$I$515,"recheck",0))</f>
        <v/>
      </c>
      <c r="R147" s="363" t="str">
        <f>IF($B147="","",_xlfn.XLOOKUP(Table1315[[#This Row],[Transfer Account]],Acc_Char!$B$2:$B$515,Acc_Char!$H$1,"rechek",0))</f>
        <v/>
      </c>
      <c r="S147" s="957"/>
      <c r="T147" s="950" t="str">
        <f>IF($G147="","",_xlfn.XLOOKUP($G147,Acc_Char!$B$1,Acc_Char!$H$1,"out of group",0))</f>
        <v/>
      </c>
      <c r="U147" s="950" t="str">
        <f>IF($G147="","",_xlfn.XLOOKUP($G147,Acc_Char!$B$2:$B$515,Acc_Char!$I$2:$I$515,"out of group",0))</f>
        <v/>
      </c>
      <c r="V147" s="973"/>
      <c r="W147" s="678"/>
    </row>
    <row r="148" spans="1:23" hidden="1">
      <c r="A148" s="950"/>
      <c r="B148" s="957"/>
      <c r="C148" s="957"/>
      <c r="D148" s="950" t="str">
        <f>IF($B148="","",_xlfn.XLOOKUP($B148,Acc_Char!$B$2:$B$515,Acc_Char!$C$2:$C$515,"recheck",0))</f>
        <v/>
      </c>
      <c r="E148" s="950" t="str">
        <f>IF($B148="","",_xlfn.XLOOKUP($B148,Acc_Char!$B$2:$B$515,Acc_Char!$I$2:$I$515,"recheck",0))</f>
        <v/>
      </c>
      <c r="F148" s="363" t="str">
        <f>IF($B148="","",_xlfn.XLOOKUP(Table13[[#This Row],[Transfer Account]],Acc_Char!$B$2:$B$515,Acc_Char!$H$1,"rechek",0))</f>
        <v/>
      </c>
      <c r="G148" s="957"/>
      <c r="H148" s="950" t="str">
        <f>IF($G148="","",_xlfn.XLOOKUP($G148,Acc_Char!$B$1,Acc_Char!$H$1,"out of group",0))</f>
        <v/>
      </c>
      <c r="I148" s="950" t="str">
        <f>IF($G148="","",_xlfn.XLOOKUP($G148,Acc_Char!$B$2:$B$515,Acc_Char!$I$2:$I$515,"out of group",0))</f>
        <v/>
      </c>
      <c r="J148" s="973"/>
      <c r="K148" s="678"/>
      <c r="N148" s="950"/>
      <c r="O148" s="957"/>
      <c r="P148" s="950" t="str">
        <f>IF($B148="","",_xlfn.XLOOKUP($B148,Acc_Char!$B$2:$B$515,Acc_Char!$C$2:$C$515,"recheck",0))</f>
        <v/>
      </c>
      <c r="Q148" s="950" t="str">
        <f>IF($B148="","",_xlfn.XLOOKUP($B148,Acc_Char!$B$2:$B$515,Acc_Char!$I$2:$I$515,"recheck",0))</f>
        <v/>
      </c>
      <c r="R148" s="363" t="str">
        <f>IF($B148="","",_xlfn.XLOOKUP(Table1315[[#This Row],[Transfer Account]],Acc_Char!$B$2:$B$515,Acc_Char!$H$1,"rechek",0))</f>
        <v/>
      </c>
      <c r="S148" s="957"/>
      <c r="T148" s="950" t="str">
        <f>IF($G148="","",_xlfn.XLOOKUP($G148,Acc_Char!$B$1,Acc_Char!$H$1,"out of group",0))</f>
        <v/>
      </c>
      <c r="U148" s="950" t="str">
        <f>IF($G148="","",_xlfn.XLOOKUP($G148,Acc_Char!$B$2:$B$515,Acc_Char!$I$2:$I$515,"out of group",0))</f>
        <v/>
      </c>
      <c r="V148" s="973"/>
      <c r="W148" s="678"/>
    </row>
    <row r="149" spans="1:23" hidden="1">
      <c r="A149" s="950"/>
      <c r="B149" s="957"/>
      <c r="C149" s="957"/>
      <c r="D149" s="950" t="str">
        <f>IF($B149="","",_xlfn.XLOOKUP($B149,Acc_Char!$B$2:$B$515,Acc_Char!$C$2:$C$515,"recheck",0))</f>
        <v/>
      </c>
      <c r="E149" s="950" t="str">
        <f>IF($B149="","",_xlfn.XLOOKUP($B149,Acc_Char!$B$2:$B$515,Acc_Char!$I$2:$I$515,"recheck",0))</f>
        <v/>
      </c>
      <c r="F149" s="363" t="str">
        <f>IF($B149="","",_xlfn.XLOOKUP(Table13[[#This Row],[Transfer Account]],Acc_Char!$B$2:$B$515,Acc_Char!$H$1,"rechek",0))</f>
        <v/>
      </c>
      <c r="G149" s="957"/>
      <c r="H149" s="950" t="str">
        <f>IF($G149="","",_xlfn.XLOOKUP($G149,Acc_Char!$B$1,Acc_Char!$H$1,"out of group",0))</f>
        <v/>
      </c>
      <c r="I149" s="950" t="str">
        <f>IF($G149="","",_xlfn.XLOOKUP($G149,Acc_Char!$B$2:$B$515,Acc_Char!$I$2:$I$515,"out of group",0))</f>
        <v/>
      </c>
      <c r="J149" s="973"/>
      <c r="K149" s="678"/>
      <c r="N149" s="950"/>
      <c r="O149" s="957"/>
      <c r="P149" s="950" t="str">
        <f>IF($B149="","",_xlfn.XLOOKUP($B149,Acc_Char!$B$2:$B$515,Acc_Char!$C$2:$C$515,"recheck",0))</f>
        <v/>
      </c>
      <c r="Q149" s="950" t="str">
        <f>IF($B149="","",_xlfn.XLOOKUP($B149,Acc_Char!$B$2:$B$515,Acc_Char!$I$2:$I$515,"recheck",0))</f>
        <v/>
      </c>
      <c r="R149" s="363" t="str">
        <f>IF($B149="","",_xlfn.XLOOKUP(Table1315[[#This Row],[Transfer Account]],Acc_Char!$B$2:$B$515,Acc_Char!$H$1,"rechek",0))</f>
        <v/>
      </c>
      <c r="S149" s="957"/>
      <c r="T149" s="950" t="str">
        <f>IF($G149="","",_xlfn.XLOOKUP($G149,Acc_Char!$B$1,Acc_Char!$H$1,"out of group",0))</f>
        <v/>
      </c>
      <c r="U149" s="950" t="str">
        <f>IF($G149="","",_xlfn.XLOOKUP($G149,Acc_Char!$B$2:$B$515,Acc_Char!$I$2:$I$515,"out of group",0))</f>
        <v/>
      </c>
      <c r="V149" s="973"/>
      <c r="W149" s="678"/>
    </row>
    <row r="150" spans="1:23" hidden="1">
      <c r="A150" s="950"/>
      <c r="B150" s="957"/>
      <c r="C150" s="957"/>
      <c r="D150" s="950" t="str">
        <f>IF($B150="","",_xlfn.XLOOKUP($B150,Acc_Char!$B$2:$B$515,Acc_Char!$C$2:$C$515,"recheck",0))</f>
        <v/>
      </c>
      <c r="E150" s="950" t="str">
        <f>IF($B150="","",_xlfn.XLOOKUP($B150,Acc_Char!$B$2:$B$515,Acc_Char!$I$2:$I$515,"recheck",0))</f>
        <v/>
      </c>
      <c r="F150" s="363" t="str">
        <f>IF($B150="","",_xlfn.XLOOKUP(Table13[[#This Row],[Transfer Account]],Acc_Char!$B$2:$B$515,Acc_Char!$H$1,"rechek",0))</f>
        <v/>
      </c>
      <c r="G150" s="957"/>
      <c r="H150" s="950" t="str">
        <f>IF($G150="","",_xlfn.XLOOKUP($G150,Acc_Char!$B$1,Acc_Char!$H$1,"out of group",0))</f>
        <v/>
      </c>
      <c r="I150" s="950" t="str">
        <f>IF($G150="","",_xlfn.XLOOKUP($G150,Acc_Char!$B$2:$B$515,Acc_Char!$I$2:$I$515,"out of group",0))</f>
        <v/>
      </c>
      <c r="J150" s="973"/>
      <c r="K150" s="678"/>
      <c r="N150" s="950"/>
      <c r="O150" s="957"/>
      <c r="P150" s="950" t="str">
        <f>IF($B150="","",_xlfn.XLOOKUP($B150,Acc_Char!$B$2:$B$515,Acc_Char!$C$2:$C$515,"recheck",0))</f>
        <v/>
      </c>
      <c r="Q150" s="950" t="str">
        <f>IF($B150="","",_xlfn.XLOOKUP($B150,Acc_Char!$B$2:$B$515,Acc_Char!$I$2:$I$515,"recheck",0))</f>
        <v/>
      </c>
      <c r="R150" s="363" t="str">
        <f>IF($B150="","",_xlfn.XLOOKUP(Table1315[[#This Row],[Transfer Account]],Acc_Char!$B$2:$B$515,Acc_Char!$H$1,"rechek",0))</f>
        <v/>
      </c>
      <c r="S150" s="957"/>
      <c r="T150" s="950" t="str">
        <f>IF($G150="","",_xlfn.XLOOKUP($G150,Acc_Char!$B$1,Acc_Char!$H$1,"out of group",0))</f>
        <v/>
      </c>
      <c r="U150" s="950" t="str">
        <f>IF($G150="","",_xlfn.XLOOKUP($G150,Acc_Char!$B$2:$B$515,Acc_Char!$I$2:$I$515,"out of group",0))</f>
        <v/>
      </c>
      <c r="V150" s="973"/>
      <c r="W150" s="678"/>
    </row>
    <row r="151" spans="1:23" hidden="1">
      <c r="A151" s="950"/>
      <c r="B151" s="957"/>
      <c r="C151" s="957"/>
      <c r="D151" s="950" t="str">
        <f>IF($B151="","",_xlfn.XLOOKUP($B151,Acc_Char!$B$2:$B$515,Acc_Char!$C$2:$C$515,"recheck",0))</f>
        <v/>
      </c>
      <c r="E151" s="950" t="str">
        <f>IF($B151="","",_xlfn.XLOOKUP($B151,Acc_Char!$B$2:$B$515,Acc_Char!$I$2:$I$515,"recheck",0))</f>
        <v/>
      </c>
      <c r="F151" s="363" t="str">
        <f>IF($B151="","",_xlfn.XLOOKUP(Table13[[#This Row],[Transfer Account]],Acc_Char!$B$2:$B$515,Acc_Char!$H$1,"rechek",0))</f>
        <v/>
      </c>
      <c r="G151" s="957"/>
      <c r="H151" s="950" t="str">
        <f>IF($G151="","",_xlfn.XLOOKUP($G151,Acc_Char!$B$1,Acc_Char!$H$1,"out of group",0))</f>
        <v/>
      </c>
      <c r="I151" s="950" t="str">
        <f>IF($G151="","",_xlfn.XLOOKUP($G151,Acc_Char!$B$2:$B$515,Acc_Char!$I$2:$I$515,"out of group",0))</f>
        <v/>
      </c>
      <c r="J151" s="973"/>
      <c r="K151" s="678"/>
      <c r="N151" s="950"/>
      <c r="O151" s="957"/>
      <c r="P151" s="950" t="str">
        <f>IF($B151="","",_xlfn.XLOOKUP($B151,Acc_Char!$B$2:$B$515,Acc_Char!$C$2:$C$515,"recheck",0))</f>
        <v/>
      </c>
      <c r="Q151" s="950" t="str">
        <f>IF($B151="","",_xlfn.XLOOKUP($B151,Acc_Char!$B$2:$B$515,Acc_Char!$I$2:$I$515,"recheck",0))</f>
        <v/>
      </c>
      <c r="R151" s="363" t="str">
        <f>IF($B151="","",_xlfn.XLOOKUP(Table1315[[#This Row],[Transfer Account]],Acc_Char!$B$2:$B$515,Acc_Char!$H$1,"rechek",0))</f>
        <v/>
      </c>
      <c r="S151" s="957"/>
      <c r="T151" s="950" t="str">
        <f>IF($G151="","",_xlfn.XLOOKUP($G151,Acc_Char!$B$1,Acc_Char!$H$1,"out of group",0))</f>
        <v/>
      </c>
      <c r="U151" s="950" t="str">
        <f>IF($G151="","",_xlfn.XLOOKUP($G151,Acc_Char!$B$2:$B$515,Acc_Char!$I$2:$I$515,"out of group",0))</f>
        <v/>
      </c>
      <c r="V151" s="973"/>
      <c r="W151" s="678"/>
    </row>
    <row r="152" spans="1:23" hidden="1">
      <c r="A152" s="950"/>
      <c r="B152" s="957"/>
      <c r="C152" s="957"/>
      <c r="D152" s="950" t="str">
        <f>IF($B152="","",_xlfn.XLOOKUP($B152,Acc_Char!$B$2:$B$515,Acc_Char!$C$2:$C$515,"recheck",0))</f>
        <v/>
      </c>
      <c r="E152" s="950" t="str">
        <f>IF($B152="","",_xlfn.XLOOKUP($B152,Acc_Char!$B$2:$B$515,Acc_Char!$I$2:$I$515,"recheck",0))</f>
        <v/>
      </c>
      <c r="F152" s="363" t="str">
        <f>IF($B152="","",_xlfn.XLOOKUP(Table13[[#This Row],[Transfer Account]],Acc_Char!$B$2:$B$515,Acc_Char!$H$1,"rechek",0))</f>
        <v/>
      </c>
      <c r="G152" s="957"/>
      <c r="H152" s="950" t="str">
        <f>IF($G152="","",_xlfn.XLOOKUP($G152,Acc_Char!$B$1,Acc_Char!$H$1,"out of group",0))</f>
        <v/>
      </c>
      <c r="I152" s="950" t="str">
        <f>IF($G152="","",_xlfn.XLOOKUP($G152,Acc_Char!$B$2:$B$515,Acc_Char!$I$2:$I$515,"out of group",0))</f>
        <v/>
      </c>
      <c r="J152" s="973"/>
      <c r="K152" s="678"/>
      <c r="N152" s="950"/>
      <c r="O152" s="957"/>
      <c r="P152" s="950" t="str">
        <f>IF($B152="","",_xlfn.XLOOKUP($B152,Acc_Char!$B$2:$B$515,Acc_Char!$C$2:$C$515,"recheck",0))</f>
        <v/>
      </c>
      <c r="Q152" s="950" t="str">
        <f>IF($B152="","",_xlfn.XLOOKUP($B152,Acc_Char!$B$2:$B$515,Acc_Char!$I$2:$I$515,"recheck",0))</f>
        <v/>
      </c>
      <c r="R152" s="363" t="str">
        <f>IF($B152="","",_xlfn.XLOOKUP(Table1315[[#This Row],[Transfer Account]],Acc_Char!$B$2:$B$515,Acc_Char!$H$1,"rechek",0))</f>
        <v/>
      </c>
      <c r="S152" s="957"/>
      <c r="T152" s="950" t="str">
        <f>IF($G152="","",_xlfn.XLOOKUP($G152,Acc_Char!$B$1,Acc_Char!$H$1,"out of group",0))</f>
        <v/>
      </c>
      <c r="U152" s="950" t="str">
        <f>IF($G152="","",_xlfn.XLOOKUP($G152,Acc_Char!$B$2:$B$515,Acc_Char!$I$2:$I$515,"out of group",0))</f>
        <v/>
      </c>
      <c r="V152" s="973"/>
      <c r="W152" s="678"/>
    </row>
    <row r="153" spans="1:23" hidden="1">
      <c r="A153" s="950"/>
      <c r="B153" s="957"/>
      <c r="C153" s="957"/>
      <c r="D153" s="950" t="str">
        <f>IF($B153="","",_xlfn.XLOOKUP($B153,Acc_Char!$B$2:$B$515,Acc_Char!$C$2:$C$515,"recheck",0))</f>
        <v/>
      </c>
      <c r="E153" s="950" t="str">
        <f>IF($B153="","",_xlfn.XLOOKUP($B153,Acc_Char!$B$2:$B$515,Acc_Char!$I$2:$I$515,"recheck",0))</f>
        <v/>
      </c>
      <c r="F153" s="363" t="str">
        <f>IF($B153="","",_xlfn.XLOOKUP(Table13[[#This Row],[Transfer Account]],Acc_Char!$B$2:$B$515,Acc_Char!$H$1,"rechek",0))</f>
        <v/>
      </c>
      <c r="G153" s="957"/>
      <c r="H153" s="950" t="str">
        <f>IF($G153="","",_xlfn.XLOOKUP($G153,Acc_Char!$B$1,Acc_Char!$H$1,"out of group",0))</f>
        <v/>
      </c>
      <c r="I153" s="950" t="str">
        <f>IF($G153="","",_xlfn.XLOOKUP($G153,Acc_Char!$B$2:$B$515,Acc_Char!$I$2:$I$515,"out of group",0))</f>
        <v/>
      </c>
      <c r="J153" s="973"/>
      <c r="K153" s="678"/>
      <c r="N153" s="950"/>
      <c r="O153" s="957"/>
      <c r="P153" s="950" t="str">
        <f>IF($B153="","",_xlfn.XLOOKUP($B153,Acc_Char!$B$2:$B$515,Acc_Char!$C$2:$C$515,"recheck",0))</f>
        <v/>
      </c>
      <c r="Q153" s="950" t="str">
        <f>IF($B153="","",_xlfn.XLOOKUP($B153,Acc_Char!$B$2:$B$515,Acc_Char!$I$2:$I$515,"recheck",0))</f>
        <v/>
      </c>
      <c r="R153" s="363" t="str">
        <f>IF($B153="","",_xlfn.XLOOKUP(Table1315[[#This Row],[Transfer Account]],Acc_Char!$B$2:$B$515,Acc_Char!$H$1,"rechek",0))</f>
        <v/>
      </c>
      <c r="S153" s="957"/>
      <c r="T153" s="950" t="str">
        <f>IF($G153="","",_xlfn.XLOOKUP($G153,Acc_Char!$B$1,Acc_Char!$H$1,"out of group",0))</f>
        <v/>
      </c>
      <c r="U153" s="950" t="str">
        <f>IF($G153="","",_xlfn.XLOOKUP($G153,Acc_Char!$B$2:$B$515,Acc_Char!$I$2:$I$515,"out of group",0))</f>
        <v/>
      </c>
      <c r="V153" s="973"/>
      <c r="W153" s="678"/>
    </row>
    <row r="154" spans="1:23" hidden="1">
      <c r="A154" s="950"/>
      <c r="B154" s="957"/>
      <c r="C154" s="957"/>
      <c r="D154" s="950" t="str">
        <f>IF($B154="","",_xlfn.XLOOKUP($B154,Acc_Char!$B$2:$B$515,Acc_Char!$C$2:$C$515,"recheck",0))</f>
        <v/>
      </c>
      <c r="E154" s="950" t="str">
        <f>IF($B154="","",_xlfn.XLOOKUP($B154,Acc_Char!$B$2:$B$515,Acc_Char!$I$2:$I$515,"recheck",0))</f>
        <v/>
      </c>
      <c r="F154" s="363" t="str">
        <f>IF($B154="","",_xlfn.XLOOKUP(Table13[[#This Row],[Transfer Account]],Acc_Char!$B$2:$B$515,Acc_Char!$H$1,"rechek",0))</f>
        <v/>
      </c>
      <c r="G154" s="957"/>
      <c r="H154" s="950" t="str">
        <f>IF($G154="","",_xlfn.XLOOKUP($G154,Acc_Char!$B$1,Acc_Char!$H$1,"out of group",0))</f>
        <v/>
      </c>
      <c r="I154" s="950" t="str">
        <f>IF($G154="","",_xlfn.XLOOKUP($G154,Acc_Char!$B$2:$B$515,Acc_Char!$I$2:$I$515,"out of group",0))</f>
        <v/>
      </c>
      <c r="J154" s="973"/>
      <c r="K154" s="678"/>
      <c r="N154" s="950"/>
      <c r="O154" s="957"/>
      <c r="P154" s="950" t="str">
        <f>IF($B154="","",_xlfn.XLOOKUP($B154,Acc_Char!$B$2:$B$515,Acc_Char!$C$2:$C$515,"recheck",0))</f>
        <v/>
      </c>
      <c r="Q154" s="950" t="str">
        <f>IF($B154="","",_xlfn.XLOOKUP($B154,Acc_Char!$B$2:$B$515,Acc_Char!$I$2:$I$515,"recheck",0))</f>
        <v/>
      </c>
      <c r="R154" s="363" t="str">
        <f>IF($B154="","",_xlfn.XLOOKUP(Table1315[[#This Row],[Transfer Account]],Acc_Char!$B$2:$B$515,Acc_Char!$H$1,"rechek",0))</f>
        <v/>
      </c>
      <c r="S154" s="957"/>
      <c r="T154" s="950" t="str">
        <f>IF($G154="","",_xlfn.XLOOKUP($G154,Acc_Char!$B$1,Acc_Char!$H$1,"out of group",0))</f>
        <v/>
      </c>
      <c r="U154" s="950" t="str">
        <f>IF($G154="","",_xlfn.XLOOKUP($G154,Acc_Char!$B$2:$B$515,Acc_Char!$I$2:$I$515,"out of group",0))</f>
        <v/>
      </c>
      <c r="V154" s="973"/>
      <c r="W154" s="678"/>
    </row>
    <row r="155" spans="1:23" hidden="1">
      <c r="A155" s="950"/>
      <c r="B155" s="957"/>
      <c r="C155" s="957"/>
      <c r="D155" s="950" t="str">
        <f>IF($B155="","",_xlfn.XLOOKUP($B155,Acc_Char!$B$2:$B$515,Acc_Char!$C$2:$C$515,"recheck",0))</f>
        <v/>
      </c>
      <c r="E155" s="950" t="str">
        <f>IF($B155="","",_xlfn.XLOOKUP($B155,Acc_Char!$B$2:$B$515,Acc_Char!$I$2:$I$515,"recheck",0))</f>
        <v/>
      </c>
      <c r="F155" s="363" t="str">
        <f>IF($B155="","",_xlfn.XLOOKUP(Table13[[#This Row],[Transfer Account]],Acc_Char!$B$2:$B$515,Acc_Char!$H$1,"rechek",0))</f>
        <v/>
      </c>
      <c r="G155" s="957"/>
      <c r="H155" s="950" t="str">
        <f>IF($G155="","",_xlfn.XLOOKUP($G155,Acc_Char!$B$1,Acc_Char!$H$1,"out of group",0))</f>
        <v/>
      </c>
      <c r="I155" s="950" t="str">
        <f>IF($G155="","",_xlfn.XLOOKUP($G155,Acc_Char!$B$2:$B$515,Acc_Char!$I$2:$I$515,"out of group",0))</f>
        <v/>
      </c>
      <c r="J155" s="973"/>
      <c r="K155" s="678"/>
      <c r="N155" s="950"/>
      <c r="O155" s="957"/>
      <c r="P155" s="950" t="str">
        <f>IF($B155="","",_xlfn.XLOOKUP($B155,Acc_Char!$B$2:$B$515,Acc_Char!$C$2:$C$515,"recheck",0))</f>
        <v/>
      </c>
      <c r="Q155" s="950" t="str">
        <f>IF($B155="","",_xlfn.XLOOKUP($B155,Acc_Char!$B$2:$B$515,Acc_Char!$I$2:$I$515,"recheck",0))</f>
        <v/>
      </c>
      <c r="R155" s="363" t="str">
        <f>IF($B155="","",_xlfn.XLOOKUP(Table1315[[#This Row],[Transfer Account]],Acc_Char!$B$2:$B$515,Acc_Char!$H$1,"rechek",0))</f>
        <v/>
      </c>
      <c r="S155" s="957"/>
      <c r="T155" s="950" t="str">
        <f>IF($G155="","",_xlfn.XLOOKUP($G155,Acc_Char!$B$1,Acc_Char!$H$1,"out of group",0))</f>
        <v/>
      </c>
      <c r="U155" s="950" t="str">
        <f>IF($G155="","",_xlfn.XLOOKUP($G155,Acc_Char!$B$2:$B$515,Acc_Char!$I$2:$I$515,"out of group",0))</f>
        <v/>
      </c>
      <c r="V155" s="973"/>
      <c r="W155" s="678"/>
    </row>
    <row r="156" spans="1:23" hidden="1">
      <c r="A156" s="950"/>
      <c r="B156" s="957"/>
      <c r="C156" s="957"/>
      <c r="D156" s="950" t="str">
        <f>IF($B156="","",_xlfn.XLOOKUP($B156,Acc_Char!$B$2:$B$515,Acc_Char!$C$2:$C$515,"recheck",0))</f>
        <v/>
      </c>
      <c r="E156" s="950" t="str">
        <f>IF($B156="","",_xlfn.XLOOKUP($B156,Acc_Char!$B$2:$B$515,Acc_Char!$I$2:$I$515,"recheck",0))</f>
        <v/>
      </c>
      <c r="F156" s="363" t="str">
        <f>IF($B156="","",_xlfn.XLOOKUP(Table13[[#This Row],[Transfer Account]],Acc_Char!$B$2:$B$515,Acc_Char!$H$1,"rechek",0))</f>
        <v/>
      </c>
      <c r="G156" s="957"/>
      <c r="H156" s="950" t="str">
        <f>IF($G156="","",_xlfn.XLOOKUP($G156,Acc_Char!$B$1,Acc_Char!$H$1,"out of group",0))</f>
        <v/>
      </c>
      <c r="I156" s="950" t="str">
        <f>IF($G156="","",_xlfn.XLOOKUP($G156,Acc_Char!$B$2:$B$515,Acc_Char!$I$2:$I$515,"out of group",0))</f>
        <v/>
      </c>
      <c r="J156" s="973"/>
      <c r="K156" s="678"/>
      <c r="N156" s="950"/>
      <c r="O156" s="957"/>
      <c r="P156" s="950" t="str">
        <f>IF($B156="","",_xlfn.XLOOKUP($B156,Acc_Char!$B$2:$B$515,Acc_Char!$C$2:$C$515,"recheck",0))</f>
        <v/>
      </c>
      <c r="Q156" s="950" t="str">
        <f>IF($B156="","",_xlfn.XLOOKUP($B156,Acc_Char!$B$2:$B$515,Acc_Char!$I$2:$I$515,"recheck",0))</f>
        <v/>
      </c>
      <c r="R156" s="363" t="str">
        <f>IF($B156="","",_xlfn.XLOOKUP(Table1315[[#This Row],[Transfer Account]],Acc_Char!$B$2:$B$515,Acc_Char!$H$1,"rechek",0))</f>
        <v/>
      </c>
      <c r="S156" s="957"/>
      <c r="T156" s="950" t="str">
        <f>IF($G156="","",_xlfn.XLOOKUP($G156,Acc_Char!$B$1,Acc_Char!$H$1,"out of group",0))</f>
        <v/>
      </c>
      <c r="U156" s="950" t="str">
        <f>IF($G156="","",_xlfn.XLOOKUP($G156,Acc_Char!$B$2:$B$515,Acc_Char!$I$2:$I$515,"out of group",0))</f>
        <v/>
      </c>
      <c r="V156" s="973"/>
      <c r="W156" s="678"/>
    </row>
    <row r="157" spans="1:23" hidden="1">
      <c r="A157" s="950"/>
      <c r="B157" s="957"/>
      <c r="C157" s="957"/>
      <c r="D157" s="950" t="str">
        <f>IF($B157="","",_xlfn.XLOOKUP($B157,Acc_Char!$B$2:$B$515,Acc_Char!$C$2:$C$515,"recheck",0))</f>
        <v/>
      </c>
      <c r="E157" s="950" t="str">
        <f>IF($B157="","",_xlfn.XLOOKUP($B157,Acc_Char!$B$2:$B$515,Acc_Char!$I$2:$I$515,"recheck",0))</f>
        <v/>
      </c>
      <c r="F157" s="363" t="str">
        <f>IF($B157="","",_xlfn.XLOOKUP(Table13[[#This Row],[Transfer Account]],Acc_Char!$B$2:$B$515,Acc_Char!$H$1,"rechek",0))</f>
        <v/>
      </c>
      <c r="G157" s="957"/>
      <c r="H157" s="950" t="str">
        <f>IF($G157="","",_xlfn.XLOOKUP($G157,Acc_Char!$B$1,Acc_Char!$H$1,"out of group",0))</f>
        <v/>
      </c>
      <c r="I157" s="950" t="str">
        <f>IF($G157="","",_xlfn.XLOOKUP($G157,Acc_Char!$B$2:$B$515,Acc_Char!$I$2:$I$515,"out of group",0))</f>
        <v/>
      </c>
      <c r="J157" s="973"/>
      <c r="K157" s="678"/>
      <c r="N157" s="950"/>
      <c r="O157" s="957"/>
      <c r="P157" s="950" t="str">
        <f>IF($B157="","",_xlfn.XLOOKUP($B157,Acc_Char!$B$2:$B$515,Acc_Char!$C$2:$C$515,"recheck",0))</f>
        <v/>
      </c>
      <c r="Q157" s="950" t="str">
        <f>IF($B157="","",_xlfn.XLOOKUP($B157,Acc_Char!$B$2:$B$515,Acc_Char!$I$2:$I$515,"recheck",0))</f>
        <v/>
      </c>
      <c r="R157" s="363" t="str">
        <f>IF($B157="","",_xlfn.XLOOKUP(Table1315[[#This Row],[Transfer Account]],Acc_Char!$B$2:$B$515,Acc_Char!$H$1,"rechek",0))</f>
        <v/>
      </c>
      <c r="S157" s="957"/>
      <c r="T157" s="950" t="str">
        <f>IF($G157="","",_xlfn.XLOOKUP($G157,Acc_Char!$B$1,Acc_Char!$H$1,"out of group",0))</f>
        <v/>
      </c>
      <c r="U157" s="950" t="str">
        <f>IF($G157="","",_xlfn.XLOOKUP($G157,Acc_Char!$B$2:$B$515,Acc_Char!$I$2:$I$515,"out of group",0))</f>
        <v/>
      </c>
      <c r="V157" s="973"/>
      <c r="W157" s="678"/>
    </row>
    <row r="158" spans="1:23" hidden="1">
      <c r="A158" s="950"/>
      <c r="B158" s="957"/>
      <c r="C158" s="957"/>
      <c r="D158" s="950" t="str">
        <f>IF($B158="","",_xlfn.XLOOKUP($B158,Acc_Char!$B$2:$B$515,Acc_Char!$C$2:$C$515,"recheck",0))</f>
        <v/>
      </c>
      <c r="E158" s="950" t="str">
        <f>IF($B158="","",_xlfn.XLOOKUP($B158,Acc_Char!$B$2:$B$515,Acc_Char!$I$2:$I$515,"recheck",0))</f>
        <v/>
      </c>
      <c r="F158" s="363" t="str">
        <f>IF($B158="","",_xlfn.XLOOKUP(Table13[[#This Row],[Transfer Account]],Acc_Char!$B$2:$B$515,Acc_Char!$H$1,"rechek",0))</f>
        <v/>
      </c>
      <c r="G158" s="957"/>
      <c r="H158" s="950" t="str">
        <f>IF($G158="","",_xlfn.XLOOKUP($G158,Acc_Char!$B$1,Acc_Char!$H$1,"out of group",0))</f>
        <v/>
      </c>
      <c r="I158" s="950" t="str">
        <f>IF($G158="","",_xlfn.XLOOKUP($G158,Acc_Char!$B$2:$B$515,Acc_Char!$I$2:$I$515,"out of group",0))</f>
        <v/>
      </c>
      <c r="J158" s="973"/>
      <c r="K158" s="678"/>
      <c r="N158" s="950"/>
      <c r="O158" s="957"/>
      <c r="P158" s="950" t="str">
        <f>IF($B158="","",_xlfn.XLOOKUP($B158,Acc_Char!$B$2:$B$515,Acc_Char!$C$2:$C$515,"recheck",0))</f>
        <v/>
      </c>
      <c r="Q158" s="950" t="str">
        <f>IF($B158="","",_xlfn.XLOOKUP($B158,Acc_Char!$B$2:$B$515,Acc_Char!$I$2:$I$515,"recheck",0))</f>
        <v/>
      </c>
      <c r="R158" s="363" t="str">
        <f>IF($B158="","",_xlfn.XLOOKUP(Table1315[[#This Row],[Transfer Account]],Acc_Char!$B$2:$B$515,Acc_Char!$H$1,"rechek",0))</f>
        <v/>
      </c>
      <c r="S158" s="957"/>
      <c r="T158" s="950" t="str">
        <f>IF($G158="","",_xlfn.XLOOKUP($G158,Acc_Char!$B$1,Acc_Char!$H$1,"out of group",0))</f>
        <v/>
      </c>
      <c r="U158" s="950" t="str">
        <f>IF($G158="","",_xlfn.XLOOKUP($G158,Acc_Char!$B$2:$B$515,Acc_Char!$I$2:$I$515,"out of group",0))</f>
        <v/>
      </c>
      <c r="V158" s="973"/>
      <c r="W158" s="678"/>
    </row>
    <row r="159" spans="1:23" hidden="1">
      <c r="A159" s="950"/>
      <c r="B159" s="957"/>
      <c r="C159" s="957"/>
      <c r="D159" s="950" t="str">
        <f>IF($B159="","",_xlfn.XLOOKUP($B159,Acc_Char!$B$2:$B$515,Acc_Char!$C$2:$C$515,"recheck",0))</f>
        <v/>
      </c>
      <c r="E159" s="950" t="str">
        <f>IF($B159="","",_xlfn.XLOOKUP($B159,Acc_Char!$B$2:$B$515,Acc_Char!$I$2:$I$515,"recheck",0))</f>
        <v/>
      </c>
      <c r="F159" s="363" t="str">
        <f>IF($B159="","",_xlfn.XLOOKUP(Table13[[#This Row],[Transfer Account]],Acc_Char!$B$2:$B$515,Acc_Char!$H$1,"rechek",0))</f>
        <v/>
      </c>
      <c r="G159" s="957"/>
      <c r="H159" s="950" t="str">
        <f>IF($G159="","",_xlfn.XLOOKUP($G159,Acc_Char!$B$1,Acc_Char!$H$1,"out of group",0))</f>
        <v/>
      </c>
      <c r="I159" s="950" t="str">
        <f>IF($G159="","",_xlfn.XLOOKUP($G159,Acc_Char!$B$2:$B$515,Acc_Char!$I$2:$I$515,"out of group",0))</f>
        <v/>
      </c>
      <c r="J159" s="973"/>
      <c r="K159" s="678"/>
      <c r="N159" s="950"/>
      <c r="O159" s="957"/>
      <c r="P159" s="950" t="str">
        <f>IF($B159="","",_xlfn.XLOOKUP($B159,Acc_Char!$B$2:$B$515,Acc_Char!$C$2:$C$515,"recheck",0))</f>
        <v/>
      </c>
      <c r="Q159" s="950" t="str">
        <f>IF($B159="","",_xlfn.XLOOKUP($B159,Acc_Char!$B$2:$B$515,Acc_Char!$I$2:$I$515,"recheck",0))</f>
        <v/>
      </c>
      <c r="R159" s="363" t="str">
        <f>IF($B159="","",_xlfn.XLOOKUP(Table1315[[#This Row],[Transfer Account]],Acc_Char!$B$2:$B$515,Acc_Char!$H$1,"rechek",0))</f>
        <v/>
      </c>
      <c r="S159" s="957"/>
      <c r="T159" s="950" t="str">
        <f>IF($G159="","",_xlfn.XLOOKUP($G159,Acc_Char!$B$1,Acc_Char!$H$1,"out of group",0))</f>
        <v/>
      </c>
      <c r="U159" s="950" t="str">
        <f>IF($G159="","",_xlfn.XLOOKUP($G159,Acc_Char!$B$2:$B$515,Acc_Char!$I$2:$I$515,"out of group",0))</f>
        <v/>
      </c>
      <c r="V159" s="973"/>
      <c r="W159" s="678"/>
    </row>
    <row r="160" spans="1:23" hidden="1">
      <c r="A160" s="950"/>
      <c r="B160" s="957"/>
      <c r="C160" s="957"/>
      <c r="D160" s="950" t="str">
        <f>IF($B160="","",_xlfn.XLOOKUP($B160,Acc_Char!$B$2:$B$515,Acc_Char!$C$2:$C$515,"recheck",0))</f>
        <v/>
      </c>
      <c r="E160" s="950" t="str">
        <f>IF($B160="","",_xlfn.XLOOKUP($B160,Acc_Char!$B$2:$B$515,Acc_Char!$I$2:$I$515,"recheck",0))</f>
        <v/>
      </c>
      <c r="F160" s="363" t="str">
        <f>IF($B160="","",_xlfn.XLOOKUP(Table13[[#This Row],[Transfer Account]],Acc_Char!$B$2:$B$515,Acc_Char!$H$1,"rechek",0))</f>
        <v/>
      </c>
      <c r="G160" s="957"/>
      <c r="H160" s="950" t="str">
        <f>IF($G160="","",_xlfn.XLOOKUP($G160,Acc_Char!$B$1,Acc_Char!$H$1,"out of group",0))</f>
        <v/>
      </c>
      <c r="I160" s="950" t="str">
        <f>IF($G160="","",_xlfn.XLOOKUP($G160,Acc_Char!$B$2:$B$515,Acc_Char!$I$2:$I$515,"out of group",0))</f>
        <v/>
      </c>
      <c r="J160" s="973"/>
      <c r="K160" s="678"/>
      <c r="N160" s="950"/>
      <c r="O160" s="957"/>
      <c r="P160" s="950" t="str">
        <f>IF($B160="","",_xlfn.XLOOKUP($B160,Acc_Char!$B$2:$B$515,Acc_Char!$C$2:$C$515,"recheck",0))</f>
        <v/>
      </c>
      <c r="Q160" s="950" t="str">
        <f>IF($B160="","",_xlfn.XLOOKUP($B160,Acc_Char!$B$2:$B$515,Acc_Char!$I$2:$I$515,"recheck",0))</f>
        <v/>
      </c>
      <c r="R160" s="363" t="str">
        <f>IF($B160="","",_xlfn.XLOOKUP(Table1315[[#This Row],[Transfer Account]],Acc_Char!$B$2:$B$515,Acc_Char!$H$1,"rechek",0))</f>
        <v/>
      </c>
      <c r="S160" s="957"/>
      <c r="T160" s="950" t="str">
        <f>IF($G160="","",_xlfn.XLOOKUP($G160,Acc_Char!$B$1,Acc_Char!$H$1,"out of group",0))</f>
        <v/>
      </c>
      <c r="U160" s="950" t="str">
        <f>IF($G160="","",_xlfn.XLOOKUP($G160,Acc_Char!$B$2:$B$515,Acc_Char!$I$2:$I$515,"out of group",0))</f>
        <v/>
      </c>
      <c r="V160" s="973"/>
      <c r="W160" s="678"/>
    </row>
    <row r="161" spans="1:23" hidden="1">
      <c r="A161" s="950"/>
      <c r="B161" s="957"/>
      <c r="C161" s="957"/>
      <c r="D161" s="950" t="str">
        <f>IF($B161="","",_xlfn.XLOOKUP($B161,Acc_Char!$B$2:$B$515,Acc_Char!$C$2:$C$515,"recheck",0))</f>
        <v/>
      </c>
      <c r="E161" s="950" t="str">
        <f>IF($B161="","",_xlfn.XLOOKUP($B161,Acc_Char!$B$2:$B$515,Acc_Char!$I$2:$I$515,"recheck",0))</f>
        <v/>
      </c>
      <c r="F161" s="363" t="str">
        <f>IF($B161="","",_xlfn.XLOOKUP(Table13[[#This Row],[Transfer Account]],Acc_Char!$B$2:$B$515,Acc_Char!$H$1,"rechek",0))</f>
        <v/>
      </c>
      <c r="G161" s="957"/>
      <c r="H161" s="950" t="str">
        <f>IF($G161="","",_xlfn.XLOOKUP($G161,Acc_Char!$B$1,Acc_Char!$H$1,"out of group",0))</f>
        <v/>
      </c>
      <c r="I161" s="950" t="str">
        <f>IF($G161="","",_xlfn.XLOOKUP($G161,Acc_Char!$B$2:$B$515,Acc_Char!$I$2:$I$515,"out of group",0))</f>
        <v/>
      </c>
      <c r="J161" s="973"/>
      <c r="K161" s="678"/>
      <c r="N161" s="950"/>
      <c r="O161" s="957"/>
      <c r="P161" s="950" t="str">
        <f>IF($B161="","",_xlfn.XLOOKUP($B161,Acc_Char!$B$2:$B$515,Acc_Char!$C$2:$C$515,"recheck",0))</f>
        <v/>
      </c>
      <c r="Q161" s="950" t="str">
        <f>IF($B161="","",_xlfn.XLOOKUP($B161,Acc_Char!$B$2:$B$515,Acc_Char!$I$2:$I$515,"recheck",0))</f>
        <v/>
      </c>
      <c r="R161" s="363" t="str">
        <f>IF($B161="","",_xlfn.XLOOKUP(Table1315[[#This Row],[Transfer Account]],Acc_Char!$B$2:$B$515,Acc_Char!$H$1,"rechek",0))</f>
        <v/>
      </c>
      <c r="S161" s="957"/>
      <c r="T161" s="950" t="str">
        <f>IF($G161="","",_xlfn.XLOOKUP($G161,Acc_Char!$B$1,Acc_Char!$H$1,"out of group",0))</f>
        <v/>
      </c>
      <c r="U161" s="950" t="str">
        <f>IF($G161="","",_xlfn.XLOOKUP($G161,Acc_Char!$B$2:$B$515,Acc_Char!$I$2:$I$515,"out of group",0))</f>
        <v/>
      </c>
      <c r="V161" s="973"/>
      <c r="W161" s="678"/>
    </row>
    <row r="162" spans="1:23" hidden="1">
      <c r="A162" s="950"/>
      <c r="B162" s="957"/>
      <c r="C162" s="957"/>
      <c r="D162" s="950" t="str">
        <f>IF($B162="","",_xlfn.XLOOKUP($B162,Acc_Char!$B$2:$B$515,Acc_Char!$C$2:$C$515,"recheck",0))</f>
        <v/>
      </c>
      <c r="E162" s="950" t="str">
        <f>IF($B162="","",_xlfn.XLOOKUP($B162,Acc_Char!$B$2:$B$515,Acc_Char!$I$2:$I$515,"recheck",0))</f>
        <v/>
      </c>
      <c r="F162" s="363" t="str">
        <f>IF($B162="","",_xlfn.XLOOKUP(Table13[[#This Row],[Transfer Account]],Acc_Char!$B$2:$B$515,Acc_Char!$H$1,"rechek",0))</f>
        <v/>
      </c>
      <c r="G162" s="957"/>
      <c r="H162" s="950" t="str">
        <f>IF($G162="","",_xlfn.XLOOKUP($G162,Acc_Char!$B$1,Acc_Char!$H$1,"out of group",0))</f>
        <v/>
      </c>
      <c r="I162" s="950" t="str">
        <f>IF($G162="","",_xlfn.XLOOKUP($G162,Acc_Char!$B$2:$B$515,Acc_Char!$I$2:$I$515,"out of group",0))</f>
        <v/>
      </c>
      <c r="J162" s="973"/>
      <c r="K162" s="678"/>
      <c r="N162" s="950"/>
      <c r="O162" s="957"/>
      <c r="P162" s="950" t="str">
        <f>IF($B162="","",_xlfn.XLOOKUP($B162,Acc_Char!$B$2:$B$515,Acc_Char!$C$2:$C$515,"recheck",0))</f>
        <v/>
      </c>
      <c r="Q162" s="950" t="str">
        <f>IF($B162="","",_xlfn.XLOOKUP($B162,Acc_Char!$B$2:$B$515,Acc_Char!$I$2:$I$515,"recheck",0))</f>
        <v/>
      </c>
      <c r="R162" s="363" t="str">
        <f>IF($B162="","",_xlfn.XLOOKUP(Table1315[[#This Row],[Transfer Account]],Acc_Char!$B$2:$B$515,Acc_Char!$H$1,"rechek",0))</f>
        <v/>
      </c>
      <c r="S162" s="957"/>
      <c r="T162" s="950" t="str">
        <f>IF($G162="","",_xlfn.XLOOKUP($G162,Acc_Char!$B$1,Acc_Char!$H$1,"out of group",0))</f>
        <v/>
      </c>
      <c r="U162" s="950" t="str">
        <f>IF($G162="","",_xlfn.XLOOKUP($G162,Acc_Char!$B$2:$B$515,Acc_Char!$I$2:$I$515,"out of group",0))</f>
        <v/>
      </c>
      <c r="V162" s="973"/>
      <c r="W162" s="678"/>
    </row>
    <row r="163" spans="1:23" hidden="1">
      <c r="A163" s="950"/>
      <c r="B163" s="957"/>
      <c r="C163" s="957"/>
      <c r="D163" s="950" t="str">
        <f>IF($B163="","",_xlfn.XLOOKUP($B163,Acc_Char!$B$2:$B$515,Acc_Char!$C$2:$C$515,"recheck",0))</f>
        <v/>
      </c>
      <c r="E163" s="950" t="str">
        <f>IF($B163="","",_xlfn.XLOOKUP($B163,Acc_Char!$B$2:$B$515,Acc_Char!$I$2:$I$515,"recheck",0))</f>
        <v/>
      </c>
      <c r="F163" s="363" t="str">
        <f>IF($B163="","",_xlfn.XLOOKUP(Table13[[#This Row],[Transfer Account]],Acc_Char!$B$2:$B$515,Acc_Char!$H$1,"rechek",0))</f>
        <v/>
      </c>
      <c r="G163" s="957"/>
      <c r="H163" s="950" t="str">
        <f>IF($G163="","",_xlfn.XLOOKUP($G163,Acc_Char!$B$1,Acc_Char!$H$1,"out of group",0))</f>
        <v/>
      </c>
      <c r="I163" s="950" t="str">
        <f>IF($G163="","",_xlfn.XLOOKUP($G163,Acc_Char!$B$2:$B$515,Acc_Char!$I$2:$I$515,"out of group",0))</f>
        <v/>
      </c>
      <c r="J163" s="973"/>
      <c r="K163" s="678"/>
      <c r="N163" s="950"/>
      <c r="O163" s="957"/>
      <c r="P163" s="950" t="str">
        <f>IF($B163="","",_xlfn.XLOOKUP($B163,Acc_Char!$B$2:$B$515,Acc_Char!$C$2:$C$515,"recheck",0))</f>
        <v/>
      </c>
      <c r="Q163" s="950" t="str">
        <f>IF($B163="","",_xlfn.XLOOKUP($B163,Acc_Char!$B$2:$B$515,Acc_Char!$I$2:$I$515,"recheck",0))</f>
        <v/>
      </c>
      <c r="R163" s="363" t="str">
        <f>IF($B163="","",_xlfn.XLOOKUP(Table1315[[#This Row],[Transfer Account]],Acc_Char!$B$2:$B$515,Acc_Char!$H$1,"rechek",0))</f>
        <v/>
      </c>
      <c r="S163" s="957"/>
      <c r="T163" s="950" t="str">
        <f>IF($G163="","",_xlfn.XLOOKUP($G163,Acc_Char!$B$1,Acc_Char!$H$1,"out of group",0))</f>
        <v/>
      </c>
      <c r="U163" s="950" t="str">
        <f>IF($G163="","",_xlfn.XLOOKUP($G163,Acc_Char!$B$2:$B$515,Acc_Char!$I$2:$I$515,"out of group",0))</f>
        <v/>
      </c>
      <c r="V163" s="973"/>
      <c r="W163" s="678"/>
    </row>
    <row r="164" spans="1:23" hidden="1">
      <c r="A164" s="950"/>
      <c r="B164" s="957"/>
      <c r="C164" s="957"/>
      <c r="D164" s="950" t="str">
        <f>IF($B164="","",_xlfn.XLOOKUP($B164,Acc_Char!$B$2:$B$515,Acc_Char!$C$2:$C$515,"recheck",0))</f>
        <v/>
      </c>
      <c r="E164" s="950" t="str">
        <f>IF($B164="","",_xlfn.XLOOKUP($B164,Acc_Char!$B$2:$B$515,Acc_Char!$I$2:$I$515,"recheck",0))</f>
        <v/>
      </c>
      <c r="F164" s="363" t="str">
        <f>IF($B164="","",_xlfn.XLOOKUP(Table13[[#This Row],[Transfer Account]],Acc_Char!$B$2:$B$515,Acc_Char!$H$1,"rechek",0))</f>
        <v/>
      </c>
      <c r="G164" s="957"/>
      <c r="H164" s="950" t="str">
        <f>IF($G164="","",_xlfn.XLOOKUP($G164,Acc_Char!$B$1,Acc_Char!$H$1,"out of group",0))</f>
        <v/>
      </c>
      <c r="I164" s="950" t="str">
        <f>IF($G164="","",_xlfn.XLOOKUP($G164,Acc_Char!$B$2:$B$515,Acc_Char!$I$2:$I$515,"out of group",0))</f>
        <v/>
      </c>
      <c r="J164" s="973"/>
      <c r="K164" s="678"/>
      <c r="N164" s="950"/>
      <c r="O164" s="957"/>
      <c r="P164" s="950" t="str">
        <f>IF($B164="","",_xlfn.XLOOKUP($B164,Acc_Char!$B$2:$B$515,Acc_Char!$C$2:$C$515,"recheck",0))</f>
        <v/>
      </c>
      <c r="Q164" s="950" t="str">
        <f>IF($B164="","",_xlfn.XLOOKUP($B164,Acc_Char!$B$2:$B$515,Acc_Char!$I$2:$I$515,"recheck",0))</f>
        <v/>
      </c>
      <c r="R164" s="363" t="str">
        <f>IF($B164="","",_xlfn.XLOOKUP(Table1315[[#This Row],[Transfer Account]],Acc_Char!$B$2:$B$515,Acc_Char!$H$1,"rechek",0))</f>
        <v/>
      </c>
      <c r="S164" s="957"/>
      <c r="T164" s="950" t="str">
        <f>IF($G164="","",_xlfn.XLOOKUP($G164,Acc_Char!$B$1,Acc_Char!$H$1,"out of group",0))</f>
        <v/>
      </c>
      <c r="U164" s="950" t="str">
        <f>IF($G164="","",_xlfn.XLOOKUP($G164,Acc_Char!$B$2:$B$515,Acc_Char!$I$2:$I$515,"out of group",0))</f>
        <v/>
      </c>
      <c r="V164" s="973"/>
      <c r="W164" s="678"/>
    </row>
    <row r="165" spans="1:23" hidden="1">
      <c r="A165" s="950"/>
      <c r="B165" s="957"/>
      <c r="C165" s="957"/>
      <c r="D165" s="950" t="str">
        <f>IF($B165="","",_xlfn.XLOOKUP($B165,Acc_Char!$B$2:$B$515,Acc_Char!$C$2:$C$515,"recheck",0))</f>
        <v/>
      </c>
      <c r="E165" s="950" t="str">
        <f>IF($B165="","",_xlfn.XLOOKUP($B165,Acc_Char!$B$2:$B$515,Acc_Char!$I$2:$I$515,"recheck",0))</f>
        <v/>
      </c>
      <c r="F165" s="363" t="str">
        <f>IF($B165="","",_xlfn.XLOOKUP(Table13[[#This Row],[Transfer Account]],Acc_Char!$B$2:$B$515,Acc_Char!$H$1,"rechek",0))</f>
        <v/>
      </c>
      <c r="G165" s="957"/>
      <c r="H165" s="950" t="str">
        <f>IF($G165="","",_xlfn.XLOOKUP($G165,Acc_Char!$B$1,Acc_Char!$H$1,"out of group",0))</f>
        <v/>
      </c>
      <c r="I165" s="950" t="str">
        <f>IF($G165="","",_xlfn.XLOOKUP($G165,Acc_Char!$B$2:$B$515,Acc_Char!$I$2:$I$515,"out of group",0))</f>
        <v/>
      </c>
      <c r="J165" s="973"/>
      <c r="K165" s="678"/>
      <c r="N165" s="950"/>
      <c r="O165" s="957"/>
      <c r="P165" s="950" t="str">
        <f>IF($B165="","",_xlfn.XLOOKUP($B165,Acc_Char!$B$2:$B$515,Acc_Char!$C$2:$C$515,"recheck",0))</f>
        <v/>
      </c>
      <c r="Q165" s="950" t="str">
        <f>IF($B165="","",_xlfn.XLOOKUP($B165,Acc_Char!$B$2:$B$515,Acc_Char!$I$2:$I$515,"recheck",0))</f>
        <v/>
      </c>
      <c r="R165" s="363" t="str">
        <f>IF($B165="","",_xlfn.XLOOKUP(Table1315[[#This Row],[Transfer Account]],Acc_Char!$B$2:$B$515,Acc_Char!$H$1,"rechek",0))</f>
        <v/>
      </c>
      <c r="S165" s="957"/>
      <c r="T165" s="950" t="str">
        <f>IF($G165="","",_xlfn.XLOOKUP($G165,Acc_Char!$B$1,Acc_Char!$H$1,"out of group",0))</f>
        <v/>
      </c>
      <c r="U165" s="950" t="str">
        <f>IF($G165="","",_xlfn.XLOOKUP($G165,Acc_Char!$B$2:$B$515,Acc_Char!$I$2:$I$515,"out of group",0))</f>
        <v/>
      </c>
      <c r="V165" s="973"/>
      <c r="W165" s="678"/>
    </row>
    <row r="166" spans="1:23" hidden="1">
      <c r="A166" s="950"/>
      <c r="B166" s="957"/>
      <c r="C166" s="957"/>
      <c r="D166" s="950" t="str">
        <f>IF($B166="","",_xlfn.XLOOKUP($B166,Acc_Char!$B$2:$B$515,Acc_Char!$C$2:$C$515,"recheck",0))</f>
        <v/>
      </c>
      <c r="E166" s="950" t="str">
        <f>IF($B166="","",_xlfn.XLOOKUP($B166,Acc_Char!$B$2:$B$515,Acc_Char!$I$2:$I$515,"recheck",0))</f>
        <v/>
      </c>
      <c r="F166" s="363" t="str">
        <f>IF($B166="","",_xlfn.XLOOKUP(Table13[[#This Row],[Transfer Account]],Acc_Char!$B$2:$B$515,Acc_Char!$H$1,"rechek",0))</f>
        <v/>
      </c>
      <c r="G166" s="957"/>
      <c r="H166" s="950" t="str">
        <f>IF($G166="","",_xlfn.XLOOKUP($G166,Acc_Char!$B$1,Acc_Char!$H$1,"out of group",0))</f>
        <v/>
      </c>
      <c r="I166" s="950" t="str">
        <f>IF($G166="","",_xlfn.XLOOKUP($G166,Acc_Char!$B$2:$B$515,Acc_Char!$I$2:$I$515,"out of group",0))</f>
        <v/>
      </c>
      <c r="J166" s="973"/>
      <c r="K166" s="678"/>
      <c r="N166" s="950"/>
      <c r="O166" s="957"/>
      <c r="P166" s="950" t="str">
        <f>IF($B166="","",_xlfn.XLOOKUP($B166,Acc_Char!$B$2:$B$515,Acc_Char!$C$2:$C$515,"recheck",0))</f>
        <v/>
      </c>
      <c r="Q166" s="950" t="str">
        <f>IF($B166="","",_xlfn.XLOOKUP($B166,Acc_Char!$B$2:$B$515,Acc_Char!$I$2:$I$515,"recheck",0))</f>
        <v/>
      </c>
      <c r="R166" s="363" t="str">
        <f>IF($B166="","",_xlfn.XLOOKUP(Table1315[[#This Row],[Transfer Account]],Acc_Char!$B$2:$B$515,Acc_Char!$H$1,"rechek",0))</f>
        <v/>
      </c>
      <c r="S166" s="957"/>
      <c r="T166" s="950" t="str">
        <f>IF($G166="","",_xlfn.XLOOKUP($G166,Acc_Char!$B$1,Acc_Char!$H$1,"out of group",0))</f>
        <v/>
      </c>
      <c r="U166" s="950" t="str">
        <f>IF($G166="","",_xlfn.XLOOKUP($G166,Acc_Char!$B$2:$B$515,Acc_Char!$I$2:$I$515,"out of group",0))</f>
        <v/>
      </c>
      <c r="V166" s="973"/>
      <c r="W166" s="678"/>
    </row>
    <row r="167" spans="1:23" hidden="1">
      <c r="A167" s="950"/>
      <c r="B167" s="957"/>
      <c r="C167" s="957"/>
      <c r="D167" s="950" t="str">
        <f>IF($B167="","",_xlfn.XLOOKUP($B167,Acc_Char!$B$2:$B$515,Acc_Char!$C$2:$C$515,"recheck",0))</f>
        <v/>
      </c>
      <c r="E167" s="950" t="str">
        <f>IF($B167="","",_xlfn.XLOOKUP($B167,Acc_Char!$B$2:$B$515,Acc_Char!$I$2:$I$515,"recheck",0))</f>
        <v/>
      </c>
      <c r="F167" s="363" t="str">
        <f>IF($B167="","",_xlfn.XLOOKUP(Table13[[#This Row],[Transfer Account]],Acc_Char!$B$2:$B$515,Acc_Char!$H$1,"rechek",0))</f>
        <v/>
      </c>
      <c r="G167" s="957"/>
      <c r="H167" s="950" t="str">
        <f>IF($G167="","",_xlfn.XLOOKUP($G167,Acc_Char!$B$1,Acc_Char!$H$1,"out of group",0))</f>
        <v/>
      </c>
      <c r="I167" s="950" t="str">
        <f>IF($G167="","",_xlfn.XLOOKUP($G167,Acc_Char!$B$2:$B$515,Acc_Char!$I$2:$I$515,"out of group",0))</f>
        <v/>
      </c>
      <c r="J167" s="973"/>
      <c r="K167" s="678"/>
      <c r="N167" s="950"/>
      <c r="O167" s="957"/>
      <c r="P167" s="950" t="str">
        <f>IF($B167="","",_xlfn.XLOOKUP($B167,Acc_Char!$B$2:$B$515,Acc_Char!$C$2:$C$515,"recheck",0))</f>
        <v/>
      </c>
      <c r="Q167" s="950" t="str">
        <f>IF($B167="","",_xlfn.XLOOKUP($B167,Acc_Char!$B$2:$B$515,Acc_Char!$I$2:$I$515,"recheck",0))</f>
        <v/>
      </c>
      <c r="R167" s="363" t="str">
        <f>IF($B167="","",_xlfn.XLOOKUP(Table1315[[#This Row],[Transfer Account]],Acc_Char!$B$2:$B$515,Acc_Char!$H$1,"rechek",0))</f>
        <v/>
      </c>
      <c r="S167" s="957"/>
      <c r="T167" s="950" t="str">
        <f>IF($G167="","",_xlfn.XLOOKUP($G167,Acc_Char!$B$1,Acc_Char!$H$1,"out of group",0))</f>
        <v/>
      </c>
      <c r="U167" s="950" t="str">
        <f>IF($G167="","",_xlfn.XLOOKUP($G167,Acc_Char!$B$2:$B$515,Acc_Char!$I$2:$I$515,"out of group",0))</f>
        <v/>
      </c>
      <c r="V167" s="973"/>
      <c r="W167" s="678"/>
    </row>
    <row r="168" spans="1:23" hidden="1">
      <c r="A168" s="950"/>
      <c r="B168" s="957"/>
      <c r="C168" s="957"/>
      <c r="D168" s="950" t="str">
        <f>IF($B168="","",_xlfn.XLOOKUP($B168,Acc_Char!$B$2:$B$515,Acc_Char!$C$2:$C$515,"recheck",0))</f>
        <v/>
      </c>
      <c r="E168" s="950" t="str">
        <f>IF($B168="","",_xlfn.XLOOKUP($B168,Acc_Char!$B$2:$B$515,Acc_Char!$I$2:$I$515,"recheck",0))</f>
        <v/>
      </c>
      <c r="F168" s="363" t="str">
        <f>IF($B168="","",_xlfn.XLOOKUP(Table13[[#This Row],[Transfer Account]],Acc_Char!$B$2:$B$515,Acc_Char!$H$1,"rechek",0))</f>
        <v/>
      </c>
      <c r="G168" s="957"/>
      <c r="H168" s="950" t="str">
        <f>IF($G168="","",_xlfn.XLOOKUP($G168,Acc_Char!$B$1,Acc_Char!$H$1,"out of group",0))</f>
        <v/>
      </c>
      <c r="I168" s="950" t="str">
        <f>IF($G168="","",_xlfn.XLOOKUP($G168,Acc_Char!$B$2:$B$515,Acc_Char!$I$2:$I$515,"out of group",0))</f>
        <v/>
      </c>
      <c r="J168" s="973"/>
      <c r="K168" s="678"/>
      <c r="N168" s="950"/>
      <c r="O168" s="957"/>
      <c r="P168" s="950" t="str">
        <f>IF($B168="","",_xlfn.XLOOKUP($B168,Acc_Char!$B$2:$B$515,Acc_Char!$C$2:$C$515,"recheck",0))</f>
        <v/>
      </c>
      <c r="Q168" s="950" t="str">
        <f>IF($B168="","",_xlfn.XLOOKUP($B168,Acc_Char!$B$2:$B$515,Acc_Char!$I$2:$I$515,"recheck",0))</f>
        <v/>
      </c>
      <c r="R168" s="363" t="str">
        <f>IF($B168="","",_xlfn.XLOOKUP(Table1315[[#This Row],[Transfer Account]],Acc_Char!$B$2:$B$515,Acc_Char!$H$1,"rechek",0))</f>
        <v/>
      </c>
      <c r="S168" s="957"/>
      <c r="T168" s="950" t="str">
        <f>IF($G168="","",_xlfn.XLOOKUP($G168,Acc_Char!$B$1,Acc_Char!$H$1,"out of group",0))</f>
        <v/>
      </c>
      <c r="U168" s="950" t="str">
        <f>IF($G168="","",_xlfn.XLOOKUP($G168,Acc_Char!$B$2:$B$515,Acc_Char!$I$2:$I$515,"out of group",0))</f>
        <v/>
      </c>
      <c r="V168" s="973"/>
      <c r="W168" s="678"/>
    </row>
    <row r="169" spans="1:23" hidden="1">
      <c r="A169" s="950"/>
      <c r="B169" s="957"/>
      <c r="C169" s="957"/>
      <c r="D169" s="950" t="str">
        <f>IF($B169="","",_xlfn.XLOOKUP($B169,Acc_Char!$B$2:$B$515,Acc_Char!$C$2:$C$515,"recheck",0))</f>
        <v/>
      </c>
      <c r="E169" s="950" t="str">
        <f>IF($B169="","",_xlfn.XLOOKUP($B169,Acc_Char!$B$2:$B$515,Acc_Char!$I$2:$I$515,"recheck",0))</f>
        <v/>
      </c>
      <c r="F169" s="363" t="str">
        <f>IF($B169="","",_xlfn.XLOOKUP(Table13[[#This Row],[Transfer Account]],Acc_Char!$B$2:$B$515,Acc_Char!$H$1,"rechek",0))</f>
        <v/>
      </c>
      <c r="G169" s="957"/>
      <c r="H169" s="950" t="str">
        <f>IF($G169="","",_xlfn.XLOOKUP($G169,Acc_Char!$B$1,Acc_Char!$H$1,"out of group",0))</f>
        <v/>
      </c>
      <c r="I169" s="950" t="str">
        <f>IF($G169="","",_xlfn.XLOOKUP($G169,Acc_Char!$B$2:$B$515,Acc_Char!$I$2:$I$515,"out of group",0))</f>
        <v/>
      </c>
      <c r="J169" s="973"/>
      <c r="K169" s="678"/>
      <c r="N169" s="950"/>
      <c r="O169" s="957"/>
      <c r="P169" s="950" t="str">
        <f>IF($B169="","",_xlfn.XLOOKUP($B169,Acc_Char!$B$2:$B$515,Acc_Char!$C$2:$C$515,"recheck",0))</f>
        <v/>
      </c>
      <c r="Q169" s="950" t="str">
        <f>IF($B169="","",_xlfn.XLOOKUP($B169,Acc_Char!$B$2:$B$515,Acc_Char!$I$2:$I$515,"recheck",0))</f>
        <v/>
      </c>
      <c r="R169" s="363" t="str">
        <f>IF($B169="","",_xlfn.XLOOKUP(Table1315[[#This Row],[Transfer Account]],Acc_Char!$B$2:$B$515,Acc_Char!$H$1,"rechek",0))</f>
        <v/>
      </c>
      <c r="S169" s="957"/>
      <c r="T169" s="950" t="str">
        <f>IF($G169="","",_xlfn.XLOOKUP($G169,Acc_Char!$B$1,Acc_Char!$H$1,"out of group",0))</f>
        <v/>
      </c>
      <c r="U169" s="950" t="str">
        <f>IF($G169="","",_xlfn.XLOOKUP($G169,Acc_Char!$B$2:$B$515,Acc_Char!$I$2:$I$515,"out of group",0))</f>
        <v/>
      </c>
      <c r="V169" s="973"/>
      <c r="W169" s="678"/>
    </row>
    <row r="170" spans="1:23" hidden="1">
      <c r="A170" s="950"/>
      <c r="B170" s="957"/>
      <c r="C170" s="957"/>
      <c r="D170" s="950" t="str">
        <f>IF($B170="","",_xlfn.XLOOKUP($B170,Acc_Char!$B$2:$B$515,Acc_Char!$C$2:$C$515,"recheck",0))</f>
        <v/>
      </c>
      <c r="E170" s="950" t="str">
        <f>IF($B170="","",_xlfn.XLOOKUP($B170,Acc_Char!$B$2:$B$515,Acc_Char!$I$2:$I$515,"recheck",0))</f>
        <v/>
      </c>
      <c r="F170" s="363" t="str">
        <f>IF($B170="","",_xlfn.XLOOKUP(Table13[[#This Row],[Transfer Account]],Acc_Char!$B$2:$B$515,Acc_Char!$H$1,"rechek",0))</f>
        <v/>
      </c>
      <c r="G170" s="957"/>
      <c r="H170" s="950" t="str">
        <f>IF($G170="","",_xlfn.XLOOKUP($G170,Acc_Char!$B$1,Acc_Char!$H$1,"out of group",0))</f>
        <v/>
      </c>
      <c r="I170" s="950" t="str">
        <f>IF($G170="","",_xlfn.XLOOKUP($G170,Acc_Char!$B$2:$B$515,Acc_Char!$I$2:$I$515,"out of group",0))</f>
        <v/>
      </c>
      <c r="J170" s="973"/>
      <c r="K170" s="678"/>
      <c r="N170" s="950"/>
      <c r="O170" s="957"/>
      <c r="P170" s="950" t="str">
        <f>IF($B170="","",_xlfn.XLOOKUP($B170,Acc_Char!$B$2:$B$515,Acc_Char!$C$2:$C$515,"recheck",0))</f>
        <v/>
      </c>
      <c r="Q170" s="950" t="str">
        <f>IF($B170="","",_xlfn.XLOOKUP($B170,Acc_Char!$B$2:$B$515,Acc_Char!$I$2:$I$515,"recheck",0))</f>
        <v/>
      </c>
      <c r="R170" s="363" t="str">
        <f>IF($B170="","",_xlfn.XLOOKUP(Table1315[[#This Row],[Transfer Account]],Acc_Char!$B$2:$B$515,Acc_Char!$H$1,"rechek",0))</f>
        <v/>
      </c>
      <c r="S170" s="957"/>
      <c r="T170" s="950" t="str">
        <f>IF($G170="","",_xlfn.XLOOKUP($G170,Acc_Char!$B$1,Acc_Char!$H$1,"out of group",0))</f>
        <v/>
      </c>
      <c r="U170" s="950" t="str">
        <f>IF($G170="","",_xlfn.XLOOKUP($G170,Acc_Char!$B$2:$B$515,Acc_Char!$I$2:$I$515,"out of group",0))</f>
        <v/>
      </c>
      <c r="V170" s="973"/>
      <c r="W170" s="678"/>
    </row>
    <row r="171" spans="1:23" hidden="1">
      <c r="A171" s="950"/>
      <c r="B171" s="957"/>
      <c r="C171" s="957"/>
      <c r="D171" s="950" t="str">
        <f>IF($B171="","",_xlfn.XLOOKUP($B171,Acc_Char!$B$2:$B$515,Acc_Char!$C$2:$C$515,"recheck",0))</f>
        <v/>
      </c>
      <c r="E171" s="950" t="str">
        <f>IF($B171="","",_xlfn.XLOOKUP($B171,Acc_Char!$B$2:$B$515,Acc_Char!$I$2:$I$515,"recheck",0))</f>
        <v/>
      </c>
      <c r="F171" s="363" t="str">
        <f>IF($B171="","",_xlfn.XLOOKUP(Table13[[#This Row],[Transfer Account]],Acc_Char!$B$2:$B$515,Acc_Char!$H$1,"rechek",0))</f>
        <v/>
      </c>
      <c r="G171" s="957"/>
      <c r="H171" s="950" t="str">
        <f>IF($G171="","",_xlfn.XLOOKUP($G171,Acc_Char!$B$1,Acc_Char!$H$1,"out of group",0))</f>
        <v/>
      </c>
      <c r="I171" s="950" t="str">
        <f>IF($G171="","",_xlfn.XLOOKUP($G171,Acc_Char!$B$2:$B$515,Acc_Char!$I$2:$I$515,"out of group",0))</f>
        <v/>
      </c>
      <c r="J171" s="973"/>
      <c r="K171" s="678"/>
      <c r="N171" s="950"/>
      <c r="O171" s="957"/>
      <c r="P171" s="950" t="str">
        <f>IF($B171="","",_xlfn.XLOOKUP($B171,Acc_Char!$B$2:$B$515,Acc_Char!$C$2:$C$515,"recheck",0))</f>
        <v/>
      </c>
      <c r="Q171" s="950" t="str">
        <f>IF($B171="","",_xlfn.XLOOKUP($B171,Acc_Char!$B$2:$B$515,Acc_Char!$I$2:$I$515,"recheck",0))</f>
        <v/>
      </c>
      <c r="R171" s="363" t="str">
        <f>IF($B171="","",_xlfn.XLOOKUP(Table1315[[#This Row],[Transfer Account]],Acc_Char!$B$2:$B$515,Acc_Char!$H$1,"rechek",0))</f>
        <v/>
      </c>
      <c r="S171" s="957"/>
      <c r="T171" s="950" t="str">
        <f>IF($G171="","",_xlfn.XLOOKUP($G171,Acc_Char!$B$1,Acc_Char!$H$1,"out of group",0))</f>
        <v/>
      </c>
      <c r="U171" s="950" t="str">
        <f>IF($G171="","",_xlfn.XLOOKUP($G171,Acc_Char!$B$2:$B$515,Acc_Char!$I$2:$I$515,"out of group",0))</f>
        <v/>
      </c>
      <c r="V171" s="973"/>
      <c r="W171" s="678"/>
    </row>
    <row r="172" spans="1:23" hidden="1">
      <c r="A172" s="950"/>
      <c r="B172" s="957"/>
      <c r="C172" s="957"/>
      <c r="D172" s="950" t="str">
        <f>IF($B172="","",_xlfn.XLOOKUP($B172,Acc_Char!$B$2:$B$515,Acc_Char!$C$2:$C$515,"recheck",0))</f>
        <v/>
      </c>
      <c r="E172" s="950" t="str">
        <f>IF($B172="","",_xlfn.XLOOKUP($B172,Acc_Char!$B$2:$B$515,Acc_Char!$I$2:$I$515,"recheck",0))</f>
        <v/>
      </c>
      <c r="F172" s="363" t="str">
        <f>IF($B172="","",_xlfn.XLOOKUP(Table13[[#This Row],[Transfer Account]],Acc_Char!$B$2:$B$515,Acc_Char!$H$1,"rechek",0))</f>
        <v/>
      </c>
      <c r="G172" s="957"/>
      <c r="H172" s="950" t="str">
        <f>IF($G172="","",_xlfn.XLOOKUP($G172,Acc_Char!$B$1,Acc_Char!$H$1,"out of group",0))</f>
        <v/>
      </c>
      <c r="I172" s="950" t="str">
        <f>IF($G172="","",_xlfn.XLOOKUP($G172,Acc_Char!$B$2:$B$515,Acc_Char!$I$2:$I$515,"out of group",0))</f>
        <v/>
      </c>
      <c r="J172" s="973"/>
      <c r="K172" s="678"/>
      <c r="N172" s="950"/>
      <c r="O172" s="957"/>
      <c r="P172" s="950" t="str">
        <f>IF($B172="","",_xlfn.XLOOKUP($B172,Acc_Char!$B$2:$B$515,Acc_Char!$C$2:$C$515,"recheck",0))</f>
        <v/>
      </c>
      <c r="Q172" s="950" t="str">
        <f>IF($B172="","",_xlfn.XLOOKUP($B172,Acc_Char!$B$2:$B$515,Acc_Char!$I$2:$I$515,"recheck",0))</f>
        <v/>
      </c>
      <c r="R172" s="363" t="str">
        <f>IF($B172="","",_xlfn.XLOOKUP(Table1315[[#This Row],[Transfer Account]],Acc_Char!$B$2:$B$515,Acc_Char!$H$1,"rechek",0))</f>
        <v/>
      </c>
      <c r="S172" s="957"/>
      <c r="T172" s="950" t="str">
        <f>IF($G172="","",_xlfn.XLOOKUP($G172,Acc_Char!$B$1,Acc_Char!$H$1,"out of group",0))</f>
        <v/>
      </c>
      <c r="U172" s="950" t="str">
        <f>IF($G172="","",_xlfn.XLOOKUP($G172,Acc_Char!$B$2:$B$515,Acc_Char!$I$2:$I$515,"out of group",0))</f>
        <v/>
      </c>
      <c r="V172" s="973"/>
      <c r="W172" s="678"/>
    </row>
    <row r="173" spans="1:23" hidden="1">
      <c r="A173" s="950"/>
      <c r="B173" s="957"/>
      <c r="C173" s="957"/>
      <c r="D173" s="950" t="str">
        <f>IF($B173="","",_xlfn.XLOOKUP($B173,Acc_Char!$B$2:$B$515,Acc_Char!$C$2:$C$515,"recheck",0))</f>
        <v/>
      </c>
      <c r="E173" s="950" t="str">
        <f>IF($B173="","",_xlfn.XLOOKUP($B173,Acc_Char!$B$2:$B$515,Acc_Char!$I$2:$I$515,"recheck",0))</f>
        <v/>
      </c>
      <c r="F173" s="363" t="str">
        <f>IF($B173="","",_xlfn.XLOOKUP(Table13[[#This Row],[Transfer Account]],Acc_Char!$B$2:$B$515,Acc_Char!$H$1,"rechek",0))</f>
        <v/>
      </c>
      <c r="G173" s="957"/>
      <c r="H173" s="950" t="str">
        <f>IF($G173="","",_xlfn.XLOOKUP($G173,Acc_Char!$B$1,Acc_Char!$H$1,"out of group",0))</f>
        <v/>
      </c>
      <c r="I173" s="950" t="str">
        <f>IF($G173="","",_xlfn.XLOOKUP($G173,Acc_Char!$B$2:$B$515,Acc_Char!$I$2:$I$515,"out of group",0))</f>
        <v/>
      </c>
      <c r="J173" s="973"/>
      <c r="K173" s="678"/>
      <c r="N173" s="950"/>
      <c r="O173" s="957"/>
      <c r="P173" s="950" t="str">
        <f>IF($B173="","",_xlfn.XLOOKUP($B173,Acc_Char!$B$2:$B$515,Acc_Char!$C$2:$C$515,"recheck",0))</f>
        <v/>
      </c>
      <c r="Q173" s="950" t="str">
        <f>IF($B173="","",_xlfn.XLOOKUP($B173,Acc_Char!$B$2:$B$515,Acc_Char!$I$2:$I$515,"recheck",0))</f>
        <v/>
      </c>
      <c r="R173" s="363" t="str">
        <f>IF($B173="","",_xlfn.XLOOKUP(Table1315[[#This Row],[Transfer Account]],Acc_Char!$B$2:$B$515,Acc_Char!$H$1,"rechek",0))</f>
        <v/>
      </c>
      <c r="S173" s="957"/>
      <c r="T173" s="950" t="str">
        <f>IF($G173="","",_xlfn.XLOOKUP($G173,Acc_Char!$B$1,Acc_Char!$H$1,"out of group",0))</f>
        <v/>
      </c>
      <c r="U173" s="950" t="str">
        <f>IF($G173="","",_xlfn.XLOOKUP($G173,Acc_Char!$B$2:$B$515,Acc_Char!$I$2:$I$515,"out of group",0))</f>
        <v/>
      </c>
      <c r="V173" s="973"/>
      <c r="W173" s="678"/>
    </row>
    <row r="174" spans="1:23" hidden="1">
      <c r="A174" s="950"/>
      <c r="B174" s="957"/>
      <c r="C174" s="957"/>
      <c r="D174" s="950" t="str">
        <f>IF($B174="","",_xlfn.XLOOKUP($B174,Acc_Char!$B$2:$B$515,Acc_Char!$C$2:$C$515,"recheck",0))</f>
        <v/>
      </c>
      <c r="E174" s="950" t="str">
        <f>IF($B174="","",_xlfn.XLOOKUP($B174,Acc_Char!$B$2:$B$515,Acc_Char!$I$2:$I$515,"recheck",0))</f>
        <v/>
      </c>
      <c r="F174" s="363" t="str">
        <f>IF($B174="","",_xlfn.XLOOKUP(Table13[[#This Row],[Transfer Account]],Acc_Char!$B$2:$B$515,Acc_Char!$H$1,"rechek",0))</f>
        <v/>
      </c>
      <c r="G174" s="957"/>
      <c r="H174" s="950" t="str">
        <f>IF($G174="","",_xlfn.XLOOKUP($G174,Acc_Char!$B$1,Acc_Char!$H$1,"out of group",0))</f>
        <v/>
      </c>
      <c r="I174" s="950" t="str">
        <f>IF($G174="","",_xlfn.XLOOKUP($G174,Acc_Char!$B$2:$B$515,Acc_Char!$I$2:$I$515,"out of group",0))</f>
        <v/>
      </c>
      <c r="J174" s="973"/>
      <c r="K174" s="678"/>
      <c r="N174" s="950"/>
      <c r="O174" s="957"/>
      <c r="P174" s="950" t="str">
        <f>IF($B174="","",_xlfn.XLOOKUP($B174,Acc_Char!$B$2:$B$515,Acc_Char!$C$2:$C$515,"recheck",0))</f>
        <v/>
      </c>
      <c r="Q174" s="950" t="str">
        <f>IF($B174="","",_xlfn.XLOOKUP($B174,Acc_Char!$B$2:$B$515,Acc_Char!$I$2:$I$515,"recheck",0))</f>
        <v/>
      </c>
      <c r="R174" s="363" t="str">
        <f>IF($B174="","",_xlfn.XLOOKUP(Table1315[[#This Row],[Transfer Account]],Acc_Char!$B$2:$B$515,Acc_Char!$H$1,"rechek",0))</f>
        <v/>
      </c>
      <c r="S174" s="957"/>
      <c r="T174" s="950" t="str">
        <f>IF($G174="","",_xlfn.XLOOKUP($G174,Acc_Char!$B$1,Acc_Char!$H$1,"out of group",0))</f>
        <v/>
      </c>
      <c r="U174" s="950" t="str">
        <f>IF($G174="","",_xlfn.XLOOKUP($G174,Acc_Char!$B$2:$B$515,Acc_Char!$I$2:$I$515,"out of group",0))</f>
        <v/>
      </c>
      <c r="V174" s="973"/>
      <c r="W174" s="678"/>
    </row>
    <row r="175" spans="1:23" hidden="1">
      <c r="A175" s="950"/>
      <c r="B175" s="957"/>
      <c r="C175" s="957"/>
      <c r="D175" s="950" t="str">
        <f>IF($B175="","",_xlfn.XLOOKUP($B175,Acc_Char!$B$2:$B$515,Acc_Char!$C$2:$C$515,"recheck",0))</f>
        <v/>
      </c>
      <c r="E175" s="950" t="str">
        <f>IF($B175="","",_xlfn.XLOOKUP($B175,Acc_Char!$B$2:$B$515,Acc_Char!$I$2:$I$515,"recheck",0))</f>
        <v/>
      </c>
      <c r="F175" s="363" t="str">
        <f>IF($B175="","",_xlfn.XLOOKUP(Table13[[#This Row],[Transfer Account]],Acc_Char!$B$2:$B$515,Acc_Char!$H$1,"rechek",0))</f>
        <v/>
      </c>
      <c r="G175" s="957"/>
      <c r="H175" s="950" t="str">
        <f>IF($G175="","",_xlfn.XLOOKUP($G175,Acc_Char!$B$1,Acc_Char!$H$1,"out of group",0))</f>
        <v/>
      </c>
      <c r="I175" s="950" t="str">
        <f>IF($G175="","",_xlfn.XLOOKUP($G175,Acc_Char!$B$2:$B$515,Acc_Char!$I$2:$I$515,"out of group",0))</f>
        <v/>
      </c>
      <c r="J175" s="973"/>
      <c r="K175" s="678"/>
      <c r="N175" s="950"/>
      <c r="O175" s="957"/>
      <c r="P175" s="950" t="str">
        <f>IF($B175="","",_xlfn.XLOOKUP($B175,Acc_Char!$B$2:$B$515,Acc_Char!$C$2:$C$515,"recheck",0))</f>
        <v/>
      </c>
      <c r="Q175" s="950" t="str">
        <f>IF($B175="","",_xlfn.XLOOKUP($B175,Acc_Char!$B$2:$B$515,Acc_Char!$I$2:$I$515,"recheck",0))</f>
        <v/>
      </c>
      <c r="R175" s="363" t="str">
        <f>IF($B175="","",_xlfn.XLOOKUP(Table1315[[#This Row],[Transfer Account]],Acc_Char!$B$2:$B$515,Acc_Char!$H$1,"rechek",0))</f>
        <v/>
      </c>
      <c r="S175" s="957"/>
      <c r="T175" s="950" t="str">
        <f>IF($G175="","",_xlfn.XLOOKUP($G175,Acc_Char!$B$1,Acc_Char!$H$1,"out of group",0))</f>
        <v/>
      </c>
      <c r="U175" s="950" t="str">
        <f>IF($G175="","",_xlfn.XLOOKUP($G175,Acc_Char!$B$2:$B$515,Acc_Char!$I$2:$I$515,"out of group",0))</f>
        <v/>
      </c>
      <c r="V175" s="973"/>
      <c r="W175" s="678"/>
    </row>
    <row r="176" spans="1:23" hidden="1">
      <c r="A176" s="950"/>
      <c r="B176" s="957"/>
      <c r="C176" s="957"/>
      <c r="D176" s="950" t="str">
        <f>IF($B176="","",_xlfn.XLOOKUP($B176,Acc_Char!$B$2:$B$515,Acc_Char!$C$2:$C$515,"recheck",0))</f>
        <v/>
      </c>
      <c r="E176" s="950" t="str">
        <f>IF($B176="","",_xlfn.XLOOKUP($B176,Acc_Char!$B$2:$B$515,Acc_Char!$I$2:$I$515,"recheck",0))</f>
        <v/>
      </c>
      <c r="F176" s="363" t="str">
        <f>IF($B176="","",_xlfn.XLOOKUP(Table13[[#This Row],[Transfer Account]],Acc_Char!$B$2:$B$515,Acc_Char!$H$1,"rechek",0))</f>
        <v/>
      </c>
      <c r="G176" s="957"/>
      <c r="H176" s="950" t="str">
        <f>IF($G176="","",_xlfn.XLOOKUP($G176,Acc_Char!$B$1,Acc_Char!$H$1,"out of group",0))</f>
        <v/>
      </c>
      <c r="I176" s="950" t="str">
        <f>IF($G176="","",_xlfn.XLOOKUP($G176,Acc_Char!$B$2:$B$515,Acc_Char!$I$2:$I$515,"out of group",0))</f>
        <v/>
      </c>
      <c r="J176" s="973"/>
      <c r="K176" s="678"/>
      <c r="N176" s="950"/>
      <c r="O176" s="957"/>
      <c r="P176" s="950" t="str">
        <f>IF($B176="","",_xlfn.XLOOKUP($B176,Acc_Char!$B$2:$B$515,Acc_Char!$C$2:$C$515,"recheck",0))</f>
        <v/>
      </c>
      <c r="Q176" s="950" t="str">
        <f>IF($B176="","",_xlfn.XLOOKUP($B176,Acc_Char!$B$2:$B$515,Acc_Char!$I$2:$I$515,"recheck",0))</f>
        <v/>
      </c>
      <c r="R176" s="363" t="str">
        <f>IF($B176="","",_xlfn.XLOOKUP(Table1315[[#This Row],[Transfer Account]],Acc_Char!$B$2:$B$515,Acc_Char!$H$1,"rechek",0))</f>
        <v/>
      </c>
      <c r="S176" s="957"/>
      <c r="T176" s="950" t="str">
        <f>IF($G176="","",_xlfn.XLOOKUP($G176,Acc_Char!$B$1,Acc_Char!$H$1,"out of group",0))</f>
        <v/>
      </c>
      <c r="U176" s="950" t="str">
        <f>IF($G176="","",_xlfn.XLOOKUP($G176,Acc_Char!$B$2:$B$515,Acc_Char!$I$2:$I$515,"out of group",0))</f>
        <v/>
      </c>
      <c r="V176" s="973"/>
      <c r="W176" s="678"/>
    </row>
    <row r="177" spans="1:23" hidden="1">
      <c r="A177" s="950"/>
      <c r="B177" s="957"/>
      <c r="C177" s="957"/>
      <c r="D177" s="950" t="str">
        <f>IF($B177="","",_xlfn.XLOOKUP($B177,Acc_Char!$B$2:$B$515,Acc_Char!$C$2:$C$515,"recheck",0))</f>
        <v/>
      </c>
      <c r="E177" s="950" t="str">
        <f>IF($B177="","",_xlfn.XLOOKUP($B177,Acc_Char!$B$2:$B$515,Acc_Char!$I$2:$I$515,"recheck",0))</f>
        <v/>
      </c>
      <c r="F177" s="363" t="str">
        <f>IF($B177="","",_xlfn.XLOOKUP(Table13[[#This Row],[Transfer Account]],Acc_Char!$B$2:$B$515,Acc_Char!$H$1,"rechek",0))</f>
        <v/>
      </c>
      <c r="G177" s="957"/>
      <c r="H177" s="950" t="str">
        <f>IF($G177="","",_xlfn.XLOOKUP($G177,Acc_Char!$B$1,Acc_Char!$H$1,"out of group",0))</f>
        <v/>
      </c>
      <c r="I177" s="950" t="str">
        <f>IF($G177="","",_xlfn.XLOOKUP($G177,Acc_Char!$B$2:$B$515,Acc_Char!$I$2:$I$515,"out of group",0))</f>
        <v/>
      </c>
      <c r="J177" s="973"/>
      <c r="K177" s="678"/>
      <c r="N177" s="950"/>
      <c r="O177" s="957"/>
      <c r="P177" s="950" t="str">
        <f>IF($B177="","",_xlfn.XLOOKUP($B177,Acc_Char!$B$2:$B$515,Acc_Char!$C$2:$C$515,"recheck",0))</f>
        <v/>
      </c>
      <c r="Q177" s="950" t="str">
        <f>IF($B177="","",_xlfn.XLOOKUP($B177,Acc_Char!$B$2:$B$515,Acc_Char!$I$2:$I$515,"recheck",0))</f>
        <v/>
      </c>
      <c r="R177" s="363" t="str">
        <f>IF($B177="","",_xlfn.XLOOKUP(Table1315[[#This Row],[Transfer Account]],Acc_Char!$B$2:$B$515,Acc_Char!$H$1,"rechek",0))</f>
        <v/>
      </c>
      <c r="S177" s="957"/>
      <c r="T177" s="950" t="str">
        <f>IF($G177="","",_xlfn.XLOOKUP($G177,Acc_Char!$B$1,Acc_Char!$H$1,"out of group",0))</f>
        <v/>
      </c>
      <c r="U177" s="950" t="str">
        <f>IF($G177="","",_xlfn.XLOOKUP($G177,Acc_Char!$B$2:$B$515,Acc_Char!$I$2:$I$515,"out of group",0))</f>
        <v/>
      </c>
      <c r="V177" s="973"/>
      <c r="W177" s="678"/>
    </row>
    <row r="178" spans="1:23" hidden="1">
      <c r="A178" s="950"/>
      <c r="B178" s="957"/>
      <c r="C178" s="957"/>
      <c r="D178" s="950" t="str">
        <f>IF($B178="","",_xlfn.XLOOKUP($B178,Acc_Char!$B$2:$B$515,Acc_Char!$C$2:$C$515,"recheck",0))</f>
        <v/>
      </c>
      <c r="E178" s="950" t="str">
        <f>IF($B178="","",_xlfn.XLOOKUP($B178,Acc_Char!$B$2:$B$515,Acc_Char!$I$2:$I$515,"recheck",0))</f>
        <v/>
      </c>
      <c r="F178" s="363" t="str">
        <f>IF($B178="","",_xlfn.XLOOKUP(Table13[[#This Row],[Transfer Account]],Acc_Char!$B$2:$B$515,Acc_Char!$H$1,"rechek",0))</f>
        <v/>
      </c>
      <c r="G178" s="957"/>
      <c r="H178" s="950" t="str">
        <f>IF($G178="","",_xlfn.XLOOKUP($G178,Acc_Char!$B$1,Acc_Char!$H$1,"out of group",0))</f>
        <v/>
      </c>
      <c r="I178" s="950" t="str">
        <f>IF($G178="","",_xlfn.XLOOKUP($G178,Acc_Char!$B$2:$B$515,Acc_Char!$I$2:$I$515,"out of group",0))</f>
        <v/>
      </c>
      <c r="J178" s="973"/>
      <c r="K178" s="678"/>
      <c r="N178" s="950"/>
      <c r="O178" s="957"/>
      <c r="P178" s="950" t="str">
        <f>IF($B178="","",_xlfn.XLOOKUP($B178,Acc_Char!$B$2:$B$515,Acc_Char!$C$2:$C$515,"recheck",0))</f>
        <v/>
      </c>
      <c r="Q178" s="950" t="str">
        <f>IF($B178="","",_xlfn.XLOOKUP($B178,Acc_Char!$B$2:$B$515,Acc_Char!$I$2:$I$515,"recheck",0))</f>
        <v/>
      </c>
      <c r="R178" s="363" t="str">
        <f>IF($B178="","",_xlfn.XLOOKUP(Table1315[[#This Row],[Transfer Account]],Acc_Char!$B$2:$B$515,Acc_Char!$H$1,"rechek",0))</f>
        <v/>
      </c>
      <c r="S178" s="957"/>
      <c r="T178" s="950" t="str">
        <f>IF($G178="","",_xlfn.XLOOKUP($G178,Acc_Char!$B$1,Acc_Char!$H$1,"out of group",0))</f>
        <v/>
      </c>
      <c r="U178" s="950" t="str">
        <f>IF($G178="","",_xlfn.XLOOKUP($G178,Acc_Char!$B$2:$B$515,Acc_Char!$I$2:$I$515,"out of group",0))</f>
        <v/>
      </c>
      <c r="V178" s="973"/>
      <c r="W178" s="678"/>
    </row>
    <row r="179" spans="1:23" hidden="1">
      <c r="A179" s="950"/>
      <c r="B179" s="957"/>
      <c r="C179" s="957"/>
      <c r="D179" s="950" t="str">
        <f>IF($B179="","",_xlfn.XLOOKUP($B179,Acc_Char!$B$2:$B$515,Acc_Char!$C$2:$C$515,"recheck",0))</f>
        <v/>
      </c>
      <c r="E179" s="950" t="str">
        <f>IF($B179="","",_xlfn.XLOOKUP($B179,Acc_Char!$B$2:$B$515,Acc_Char!$I$2:$I$515,"recheck",0))</f>
        <v/>
      </c>
      <c r="F179" s="363" t="str">
        <f>IF($B179="","",_xlfn.XLOOKUP(Table13[[#This Row],[Transfer Account]],Acc_Char!$B$2:$B$515,Acc_Char!$H$1,"rechek",0))</f>
        <v/>
      </c>
      <c r="G179" s="957"/>
      <c r="H179" s="950" t="str">
        <f>IF($G179="","",_xlfn.XLOOKUP($G179,Acc_Char!$B$1,Acc_Char!$H$1,"out of group",0))</f>
        <v/>
      </c>
      <c r="I179" s="950" t="str">
        <f>IF($G179="","",_xlfn.XLOOKUP($G179,Acc_Char!$B$2:$B$515,Acc_Char!$I$2:$I$515,"out of group",0))</f>
        <v/>
      </c>
      <c r="J179" s="973"/>
      <c r="K179" s="678"/>
      <c r="N179" s="950"/>
      <c r="O179" s="957"/>
      <c r="P179" s="950" t="str">
        <f>IF($B179="","",_xlfn.XLOOKUP($B179,Acc_Char!$B$2:$B$515,Acc_Char!$C$2:$C$515,"recheck",0))</f>
        <v/>
      </c>
      <c r="Q179" s="950" t="str">
        <f>IF($B179="","",_xlfn.XLOOKUP($B179,Acc_Char!$B$2:$B$515,Acc_Char!$I$2:$I$515,"recheck",0))</f>
        <v/>
      </c>
      <c r="R179" s="363" t="str">
        <f>IF($B179="","",_xlfn.XLOOKUP(Table1315[[#This Row],[Transfer Account]],Acc_Char!$B$2:$B$515,Acc_Char!$H$1,"rechek",0))</f>
        <v/>
      </c>
      <c r="S179" s="957"/>
      <c r="T179" s="950" t="str">
        <f>IF($G179="","",_xlfn.XLOOKUP($G179,Acc_Char!$B$1,Acc_Char!$H$1,"out of group",0))</f>
        <v/>
      </c>
      <c r="U179" s="950" t="str">
        <f>IF($G179="","",_xlfn.XLOOKUP($G179,Acc_Char!$B$2:$B$515,Acc_Char!$I$2:$I$515,"out of group",0))</f>
        <v/>
      </c>
      <c r="V179" s="973"/>
      <c r="W179" s="678"/>
    </row>
    <row r="180" spans="1:23" hidden="1">
      <c r="A180" s="950"/>
      <c r="B180" s="957"/>
      <c r="C180" s="957"/>
      <c r="D180" s="950" t="str">
        <f>IF($B180="","",_xlfn.XLOOKUP($B180,Acc_Char!$B$2:$B$515,Acc_Char!$C$2:$C$515,"recheck",0))</f>
        <v/>
      </c>
      <c r="E180" s="950" t="str">
        <f>IF($B180="","",_xlfn.XLOOKUP($B180,Acc_Char!$B$2:$B$515,Acc_Char!$I$2:$I$515,"recheck",0))</f>
        <v/>
      </c>
      <c r="F180" s="363" t="str">
        <f>IF($B180="","",_xlfn.XLOOKUP(Table13[[#This Row],[Transfer Account]],Acc_Char!$B$2:$B$515,Acc_Char!$H$1,"rechek",0))</f>
        <v/>
      </c>
      <c r="G180" s="957"/>
      <c r="H180" s="950" t="str">
        <f>IF($G180="","",_xlfn.XLOOKUP($G180,Acc_Char!$B$1,Acc_Char!$H$1,"out of group",0))</f>
        <v/>
      </c>
      <c r="I180" s="950" t="str">
        <f>IF($G180="","",_xlfn.XLOOKUP($G180,Acc_Char!$B$2:$B$515,Acc_Char!$I$2:$I$515,"out of group",0))</f>
        <v/>
      </c>
      <c r="J180" s="973"/>
      <c r="K180" s="678"/>
      <c r="N180" s="950"/>
      <c r="O180" s="957"/>
      <c r="P180" s="950" t="str">
        <f>IF($B180="","",_xlfn.XLOOKUP($B180,Acc_Char!$B$2:$B$515,Acc_Char!$C$2:$C$515,"recheck",0))</f>
        <v/>
      </c>
      <c r="Q180" s="950" t="str">
        <f>IF($B180="","",_xlfn.XLOOKUP($B180,Acc_Char!$B$2:$B$515,Acc_Char!$I$2:$I$515,"recheck",0))</f>
        <v/>
      </c>
      <c r="R180" s="363" t="str">
        <f>IF($B180="","",_xlfn.XLOOKUP(Table1315[[#This Row],[Transfer Account]],Acc_Char!$B$2:$B$515,Acc_Char!$H$1,"rechek",0))</f>
        <v/>
      </c>
      <c r="S180" s="957"/>
      <c r="T180" s="950" t="str">
        <f>IF($G180="","",_xlfn.XLOOKUP($G180,Acc_Char!$B$1,Acc_Char!$H$1,"out of group",0))</f>
        <v/>
      </c>
      <c r="U180" s="950" t="str">
        <f>IF($G180="","",_xlfn.XLOOKUP($G180,Acc_Char!$B$2:$B$515,Acc_Char!$I$2:$I$515,"out of group",0))</f>
        <v/>
      </c>
      <c r="V180" s="973"/>
      <c r="W180" s="678"/>
    </row>
    <row r="181" spans="1:23" hidden="1">
      <c r="A181" s="950"/>
      <c r="B181" s="957"/>
      <c r="C181" s="957"/>
      <c r="D181" s="950" t="str">
        <f>IF($B181="","",_xlfn.XLOOKUP($B181,Acc_Char!$B$2:$B$515,Acc_Char!$C$2:$C$515,"recheck",0))</f>
        <v/>
      </c>
      <c r="E181" s="950" t="str">
        <f>IF($B181="","",_xlfn.XLOOKUP($B181,Acc_Char!$B$2:$B$515,Acc_Char!$I$2:$I$515,"recheck",0))</f>
        <v/>
      </c>
      <c r="F181" s="363" t="str">
        <f>IF($B181="","",_xlfn.XLOOKUP(Table13[[#This Row],[Transfer Account]],Acc_Char!$B$2:$B$515,Acc_Char!$H$1,"rechek",0))</f>
        <v/>
      </c>
      <c r="G181" s="957"/>
      <c r="H181" s="950" t="str">
        <f>IF($G181="","",_xlfn.XLOOKUP($G181,Acc_Char!$B$1,Acc_Char!$H$1,"out of group",0))</f>
        <v/>
      </c>
      <c r="I181" s="950" t="str">
        <f>IF($G181="","",_xlfn.XLOOKUP($G181,Acc_Char!$B$2:$B$515,Acc_Char!$I$2:$I$515,"out of group",0))</f>
        <v/>
      </c>
      <c r="J181" s="973"/>
      <c r="K181" s="678"/>
      <c r="N181" s="950"/>
      <c r="O181" s="957"/>
      <c r="P181" s="950" t="str">
        <f>IF($B181="","",_xlfn.XLOOKUP($B181,Acc_Char!$B$2:$B$515,Acc_Char!$C$2:$C$515,"recheck",0))</f>
        <v/>
      </c>
      <c r="Q181" s="950" t="str">
        <f>IF($B181="","",_xlfn.XLOOKUP($B181,Acc_Char!$B$2:$B$515,Acc_Char!$I$2:$I$515,"recheck",0))</f>
        <v/>
      </c>
      <c r="R181" s="363" t="str">
        <f>IF($B181="","",_xlfn.XLOOKUP(Table1315[[#This Row],[Transfer Account]],Acc_Char!$B$2:$B$515,Acc_Char!$H$1,"rechek",0))</f>
        <v/>
      </c>
      <c r="S181" s="957"/>
      <c r="T181" s="950" t="str">
        <f>IF($G181="","",_xlfn.XLOOKUP($G181,Acc_Char!$B$1,Acc_Char!$H$1,"out of group",0))</f>
        <v/>
      </c>
      <c r="U181" s="950" t="str">
        <f>IF($G181="","",_xlfn.XLOOKUP($G181,Acc_Char!$B$2:$B$515,Acc_Char!$I$2:$I$515,"out of group",0))</f>
        <v/>
      </c>
      <c r="V181" s="973"/>
      <c r="W181" s="678"/>
    </row>
    <row r="182" spans="1:23" hidden="1">
      <c r="A182" s="950"/>
      <c r="B182" s="957"/>
      <c r="C182" s="957"/>
      <c r="D182" s="950" t="str">
        <f>IF($B182="","",_xlfn.XLOOKUP($B182,Acc_Char!$B$2:$B$515,Acc_Char!$C$2:$C$515,"recheck",0))</f>
        <v/>
      </c>
      <c r="E182" s="950" t="str">
        <f>IF($B182="","",_xlfn.XLOOKUP($B182,Acc_Char!$B$2:$B$515,Acc_Char!$I$2:$I$515,"recheck",0))</f>
        <v/>
      </c>
      <c r="F182" s="363" t="str">
        <f>IF($B182="","",_xlfn.XLOOKUP(Table13[[#This Row],[Transfer Account]],Acc_Char!$B$2:$B$515,Acc_Char!$H$1,"rechek",0))</f>
        <v/>
      </c>
      <c r="G182" s="957"/>
      <c r="H182" s="950" t="str">
        <f>IF($G182="","",_xlfn.XLOOKUP($G182,Acc_Char!$B$1,Acc_Char!$H$1,"out of group",0))</f>
        <v/>
      </c>
      <c r="I182" s="950" t="str">
        <f>IF($G182="","",_xlfn.XLOOKUP($G182,Acc_Char!$B$2:$B$515,Acc_Char!$I$2:$I$515,"out of group",0))</f>
        <v/>
      </c>
      <c r="J182" s="973"/>
      <c r="K182" s="678"/>
      <c r="N182" s="950"/>
      <c r="O182" s="957"/>
      <c r="P182" s="950" t="str">
        <f>IF($B182="","",_xlfn.XLOOKUP($B182,Acc_Char!$B$2:$B$515,Acc_Char!$C$2:$C$515,"recheck",0))</f>
        <v/>
      </c>
      <c r="Q182" s="950" t="str">
        <f>IF($B182="","",_xlfn.XLOOKUP($B182,Acc_Char!$B$2:$B$515,Acc_Char!$I$2:$I$515,"recheck",0))</f>
        <v/>
      </c>
      <c r="R182" s="363" t="str">
        <f>IF($B182="","",_xlfn.XLOOKUP(Table1315[[#This Row],[Transfer Account]],Acc_Char!$B$2:$B$515,Acc_Char!$H$1,"rechek",0))</f>
        <v/>
      </c>
      <c r="S182" s="957"/>
      <c r="T182" s="950" t="str">
        <f>IF($G182="","",_xlfn.XLOOKUP($G182,Acc_Char!$B$1,Acc_Char!$H$1,"out of group",0))</f>
        <v/>
      </c>
      <c r="U182" s="950" t="str">
        <f>IF($G182="","",_xlfn.XLOOKUP($G182,Acc_Char!$B$2:$B$515,Acc_Char!$I$2:$I$515,"out of group",0))</f>
        <v/>
      </c>
      <c r="V182" s="973"/>
      <c r="W182" s="678"/>
    </row>
    <row r="183" spans="1:23" hidden="1">
      <c r="A183" s="950"/>
      <c r="B183" s="957"/>
      <c r="C183" s="957"/>
      <c r="D183" s="950" t="str">
        <f>IF($B183="","",_xlfn.XLOOKUP($B183,Acc_Char!$B$2:$B$515,Acc_Char!$C$2:$C$515,"recheck",0))</f>
        <v/>
      </c>
      <c r="E183" s="950" t="str">
        <f>IF($B183="","",_xlfn.XLOOKUP($B183,Acc_Char!$B$2:$B$515,Acc_Char!$I$2:$I$515,"recheck",0))</f>
        <v/>
      </c>
      <c r="F183" s="363" t="str">
        <f>IF($B183="","",_xlfn.XLOOKUP(Table13[[#This Row],[Transfer Account]],Acc_Char!$B$2:$B$515,Acc_Char!$H$1,"rechek",0))</f>
        <v/>
      </c>
      <c r="G183" s="957"/>
      <c r="H183" s="950" t="str">
        <f>IF($G183="","",_xlfn.XLOOKUP($G183,Acc_Char!$B$1,Acc_Char!$H$1,"out of group",0))</f>
        <v/>
      </c>
      <c r="I183" s="950" t="str">
        <f>IF($G183="","",_xlfn.XLOOKUP($G183,Acc_Char!$B$2:$B$515,Acc_Char!$I$2:$I$515,"out of group",0))</f>
        <v/>
      </c>
      <c r="J183" s="973"/>
      <c r="K183" s="678"/>
      <c r="N183" s="950"/>
      <c r="O183" s="957"/>
      <c r="P183" s="950" t="str">
        <f>IF($B183="","",_xlfn.XLOOKUP($B183,Acc_Char!$B$2:$B$515,Acc_Char!$C$2:$C$515,"recheck",0))</f>
        <v/>
      </c>
      <c r="Q183" s="950" t="str">
        <f>IF($B183="","",_xlfn.XLOOKUP($B183,Acc_Char!$B$2:$B$515,Acc_Char!$I$2:$I$515,"recheck",0))</f>
        <v/>
      </c>
      <c r="R183" s="363" t="str">
        <f>IF($B183="","",_xlfn.XLOOKUP(Table1315[[#This Row],[Transfer Account]],Acc_Char!$B$2:$B$515,Acc_Char!$H$1,"rechek",0))</f>
        <v/>
      </c>
      <c r="S183" s="957"/>
      <c r="T183" s="950" t="str">
        <f>IF($G183="","",_xlfn.XLOOKUP($G183,Acc_Char!$B$1,Acc_Char!$H$1,"out of group",0))</f>
        <v/>
      </c>
      <c r="U183" s="950" t="str">
        <f>IF($G183="","",_xlfn.XLOOKUP($G183,Acc_Char!$B$2:$B$515,Acc_Char!$I$2:$I$515,"out of group",0))</f>
        <v/>
      </c>
      <c r="V183" s="973"/>
      <c r="W183" s="678"/>
    </row>
    <row r="184" spans="1:23" hidden="1">
      <c r="A184" s="950"/>
      <c r="B184" s="957"/>
      <c r="C184" s="957"/>
      <c r="D184" s="950" t="str">
        <f>IF($B184="","",_xlfn.XLOOKUP($B184,Acc_Char!$B$2:$B$515,Acc_Char!$C$2:$C$515,"recheck",0))</f>
        <v/>
      </c>
      <c r="E184" s="950" t="str">
        <f>IF($B184="","",_xlfn.XLOOKUP($B184,Acc_Char!$B$2:$B$515,Acc_Char!$I$2:$I$515,"recheck",0))</f>
        <v/>
      </c>
      <c r="F184" s="363" t="str">
        <f>IF($B184="","",_xlfn.XLOOKUP(Table13[[#This Row],[Transfer Account]],Acc_Char!$B$2:$B$515,Acc_Char!$H$1,"rechek",0))</f>
        <v/>
      </c>
      <c r="G184" s="957"/>
      <c r="H184" s="950" t="str">
        <f>IF($G184="","",_xlfn.XLOOKUP($G184,Acc_Char!$B$1,Acc_Char!$H$1,"out of group",0))</f>
        <v/>
      </c>
      <c r="I184" s="950" t="str">
        <f>IF($G184="","",_xlfn.XLOOKUP($G184,Acc_Char!$B$2:$B$515,Acc_Char!$I$2:$I$515,"out of group",0))</f>
        <v/>
      </c>
      <c r="J184" s="973"/>
      <c r="K184" s="678"/>
      <c r="N184" s="950"/>
      <c r="O184" s="957"/>
      <c r="P184" s="950" t="str">
        <f>IF($B184="","",_xlfn.XLOOKUP($B184,Acc_Char!$B$2:$B$515,Acc_Char!$C$2:$C$515,"recheck",0))</f>
        <v/>
      </c>
      <c r="Q184" s="950" t="str">
        <f>IF($B184="","",_xlfn.XLOOKUP($B184,Acc_Char!$B$2:$B$515,Acc_Char!$I$2:$I$515,"recheck",0))</f>
        <v/>
      </c>
      <c r="R184" s="363" t="str">
        <f>IF($B184="","",_xlfn.XLOOKUP(Table1315[[#This Row],[Transfer Account]],Acc_Char!$B$2:$B$515,Acc_Char!$H$1,"rechek",0))</f>
        <v/>
      </c>
      <c r="S184" s="957"/>
      <c r="T184" s="950" t="str">
        <f>IF($G184="","",_xlfn.XLOOKUP($G184,Acc_Char!$B$1,Acc_Char!$H$1,"out of group",0))</f>
        <v/>
      </c>
      <c r="U184" s="950" t="str">
        <f>IF($G184="","",_xlfn.XLOOKUP($G184,Acc_Char!$B$2:$B$515,Acc_Char!$I$2:$I$515,"out of group",0))</f>
        <v/>
      </c>
      <c r="V184" s="973"/>
      <c r="W184" s="678"/>
    </row>
    <row r="185" spans="1:23" hidden="1">
      <c r="A185" s="950"/>
      <c r="B185" s="957"/>
      <c r="C185" s="957"/>
      <c r="D185" s="950" t="str">
        <f>IF($B185="","",_xlfn.XLOOKUP($B185,Acc_Char!$B$2:$B$515,Acc_Char!$C$2:$C$515,"recheck",0))</f>
        <v/>
      </c>
      <c r="E185" s="950" t="str">
        <f>IF($B185="","",_xlfn.XLOOKUP($B185,Acc_Char!$B$2:$B$515,Acc_Char!$I$2:$I$515,"recheck",0))</f>
        <v/>
      </c>
      <c r="F185" s="363" t="str">
        <f>IF($B185="","",_xlfn.XLOOKUP(Table13[[#This Row],[Transfer Account]],Acc_Char!$B$2:$B$515,Acc_Char!$H$1,"rechek",0))</f>
        <v/>
      </c>
      <c r="G185" s="957"/>
      <c r="H185" s="950" t="str">
        <f>IF($G185="","",_xlfn.XLOOKUP($G185,Acc_Char!$B$1,Acc_Char!$H$1,"out of group",0))</f>
        <v/>
      </c>
      <c r="I185" s="950" t="str">
        <f>IF($G185="","",_xlfn.XLOOKUP($G185,Acc_Char!$B$2:$B$515,Acc_Char!$I$2:$I$515,"out of group",0))</f>
        <v/>
      </c>
      <c r="J185" s="973"/>
      <c r="K185" s="678"/>
      <c r="N185" s="950"/>
      <c r="O185" s="957"/>
      <c r="P185" s="950" t="str">
        <f>IF($B185="","",_xlfn.XLOOKUP($B185,Acc_Char!$B$2:$B$515,Acc_Char!$C$2:$C$515,"recheck",0))</f>
        <v/>
      </c>
      <c r="Q185" s="950" t="str">
        <f>IF($B185="","",_xlfn.XLOOKUP($B185,Acc_Char!$B$2:$B$515,Acc_Char!$I$2:$I$515,"recheck",0))</f>
        <v/>
      </c>
      <c r="R185" s="363" t="str">
        <f>IF($B185="","",_xlfn.XLOOKUP(Table1315[[#This Row],[Transfer Account]],Acc_Char!$B$2:$B$515,Acc_Char!$H$1,"rechek",0))</f>
        <v/>
      </c>
      <c r="S185" s="957"/>
      <c r="T185" s="950" t="str">
        <f>IF($G185="","",_xlfn.XLOOKUP($G185,Acc_Char!$B$1,Acc_Char!$H$1,"out of group",0))</f>
        <v/>
      </c>
      <c r="U185" s="950" t="str">
        <f>IF($G185="","",_xlfn.XLOOKUP($G185,Acc_Char!$B$2:$B$515,Acc_Char!$I$2:$I$515,"out of group",0))</f>
        <v/>
      </c>
      <c r="V185" s="973"/>
      <c r="W185" s="678"/>
    </row>
    <row r="186" spans="1:23" hidden="1">
      <c r="A186" s="950"/>
      <c r="B186" s="957"/>
      <c r="C186" s="957"/>
      <c r="D186" s="950" t="str">
        <f>IF($B186="","",_xlfn.XLOOKUP($B186,Acc_Char!$B$2:$B$515,Acc_Char!$C$2:$C$515,"recheck",0))</f>
        <v/>
      </c>
      <c r="E186" s="950" t="str">
        <f>IF($B186="","",_xlfn.XLOOKUP($B186,Acc_Char!$B$2:$B$515,Acc_Char!$I$2:$I$515,"recheck",0))</f>
        <v/>
      </c>
      <c r="F186" s="363" t="str">
        <f>IF($B186="","",_xlfn.XLOOKUP(Table13[[#This Row],[Transfer Account]],Acc_Char!$B$2:$B$515,Acc_Char!$H$1,"rechek",0))</f>
        <v/>
      </c>
      <c r="G186" s="957"/>
      <c r="H186" s="950" t="str">
        <f>IF($G186="","",_xlfn.XLOOKUP($G186,Acc_Char!$B$1,Acc_Char!$H$1,"out of group",0))</f>
        <v/>
      </c>
      <c r="I186" s="950" t="str">
        <f>IF($G186="","",_xlfn.XLOOKUP($G186,Acc_Char!$B$2:$B$515,Acc_Char!$I$2:$I$515,"out of group",0))</f>
        <v/>
      </c>
      <c r="J186" s="973"/>
      <c r="K186" s="678"/>
      <c r="N186" s="950"/>
      <c r="O186" s="957"/>
      <c r="P186" s="950" t="str">
        <f>IF($B186="","",_xlfn.XLOOKUP($B186,Acc_Char!$B$2:$B$515,Acc_Char!$C$2:$C$515,"recheck",0))</f>
        <v/>
      </c>
      <c r="Q186" s="950" t="str">
        <f>IF($B186="","",_xlfn.XLOOKUP($B186,Acc_Char!$B$2:$B$515,Acc_Char!$I$2:$I$515,"recheck",0))</f>
        <v/>
      </c>
      <c r="R186" s="363" t="str">
        <f>IF($B186="","",_xlfn.XLOOKUP(Table1315[[#This Row],[Transfer Account]],Acc_Char!$B$2:$B$515,Acc_Char!$H$1,"rechek",0))</f>
        <v/>
      </c>
      <c r="S186" s="957"/>
      <c r="T186" s="950" t="str">
        <f>IF($G186="","",_xlfn.XLOOKUP($G186,Acc_Char!$B$1,Acc_Char!$H$1,"out of group",0))</f>
        <v/>
      </c>
      <c r="U186" s="950" t="str">
        <f>IF($G186="","",_xlfn.XLOOKUP($G186,Acc_Char!$B$2:$B$515,Acc_Char!$I$2:$I$515,"out of group",0))</f>
        <v/>
      </c>
      <c r="V186" s="973"/>
      <c r="W186" s="678"/>
    </row>
    <row r="187" spans="1:23" hidden="1">
      <c r="A187" s="950"/>
      <c r="B187" s="957"/>
      <c r="C187" s="957"/>
      <c r="D187" s="950" t="str">
        <f>IF($B187="","",_xlfn.XLOOKUP($B187,Acc_Char!$B$2:$B$515,Acc_Char!$C$2:$C$515,"recheck",0))</f>
        <v/>
      </c>
      <c r="E187" s="950" t="str">
        <f>IF($B187="","",_xlfn.XLOOKUP($B187,Acc_Char!$B$2:$B$515,Acc_Char!$I$2:$I$515,"recheck",0))</f>
        <v/>
      </c>
      <c r="F187" s="363" t="str">
        <f>IF($B187="","",_xlfn.XLOOKUP(Table13[[#This Row],[Transfer Account]],Acc_Char!$B$2:$B$515,Acc_Char!$H$1,"rechek",0))</f>
        <v/>
      </c>
      <c r="G187" s="957"/>
      <c r="H187" s="950" t="str">
        <f>IF($G187="","",_xlfn.XLOOKUP($G187,Acc_Char!$B$1,Acc_Char!$H$1,"out of group",0))</f>
        <v/>
      </c>
      <c r="I187" s="950" t="str">
        <f>IF($G187="","",_xlfn.XLOOKUP($G187,Acc_Char!$B$2:$B$515,Acc_Char!$I$2:$I$515,"out of group",0))</f>
        <v/>
      </c>
      <c r="J187" s="973"/>
      <c r="K187" s="678"/>
      <c r="N187" s="950"/>
      <c r="O187" s="957"/>
      <c r="P187" s="950" t="str">
        <f>IF($B187="","",_xlfn.XLOOKUP($B187,Acc_Char!$B$2:$B$515,Acc_Char!$C$2:$C$515,"recheck",0))</f>
        <v/>
      </c>
      <c r="Q187" s="950" t="str">
        <f>IF($B187="","",_xlfn.XLOOKUP($B187,Acc_Char!$B$2:$B$515,Acc_Char!$I$2:$I$515,"recheck",0))</f>
        <v/>
      </c>
      <c r="R187" s="363" t="str">
        <f>IF($B187="","",_xlfn.XLOOKUP(Table1315[[#This Row],[Transfer Account]],Acc_Char!$B$2:$B$515,Acc_Char!$H$1,"rechek",0))</f>
        <v/>
      </c>
      <c r="S187" s="957"/>
      <c r="T187" s="950" t="str">
        <f>IF($G187="","",_xlfn.XLOOKUP($G187,Acc_Char!$B$1,Acc_Char!$H$1,"out of group",0))</f>
        <v/>
      </c>
      <c r="U187" s="950" t="str">
        <f>IF($G187="","",_xlfn.XLOOKUP($G187,Acc_Char!$B$2:$B$515,Acc_Char!$I$2:$I$515,"out of group",0))</f>
        <v/>
      </c>
      <c r="V187" s="973"/>
      <c r="W187" s="678"/>
    </row>
    <row r="188" spans="1:23" hidden="1">
      <c r="A188" s="950"/>
      <c r="B188" s="957"/>
      <c r="C188" s="957"/>
      <c r="D188" s="950" t="str">
        <f>IF($B188="","",_xlfn.XLOOKUP($B188,Acc_Char!$B$2:$B$515,Acc_Char!$C$2:$C$515,"recheck",0))</f>
        <v/>
      </c>
      <c r="E188" s="950" t="str">
        <f>IF($B188="","",_xlfn.XLOOKUP($B188,Acc_Char!$B$2:$B$515,Acc_Char!$I$2:$I$515,"recheck",0))</f>
        <v/>
      </c>
      <c r="F188" s="363" t="str">
        <f>IF($B188="","",_xlfn.XLOOKUP(Table13[[#This Row],[Transfer Account]],Acc_Char!$B$2:$B$515,Acc_Char!$H$1,"rechek",0))</f>
        <v/>
      </c>
      <c r="G188" s="957"/>
      <c r="H188" s="950" t="str">
        <f>IF($G188="","",_xlfn.XLOOKUP($G188,Acc_Char!$B$1,Acc_Char!$H$1,"out of group",0))</f>
        <v/>
      </c>
      <c r="I188" s="950" t="str">
        <f>IF($G188="","",_xlfn.XLOOKUP($G188,Acc_Char!$B$2:$B$515,Acc_Char!$I$2:$I$515,"out of group",0))</f>
        <v/>
      </c>
      <c r="J188" s="973"/>
      <c r="K188" s="678"/>
      <c r="N188" s="950"/>
      <c r="O188" s="957"/>
      <c r="P188" s="950" t="str">
        <f>IF($B188="","",_xlfn.XLOOKUP($B188,Acc_Char!$B$2:$B$515,Acc_Char!$C$2:$C$515,"recheck",0))</f>
        <v/>
      </c>
      <c r="Q188" s="950" t="str">
        <f>IF($B188="","",_xlfn.XLOOKUP($B188,Acc_Char!$B$2:$B$515,Acc_Char!$I$2:$I$515,"recheck",0))</f>
        <v/>
      </c>
      <c r="R188" s="363" t="str">
        <f>IF($B188="","",_xlfn.XLOOKUP(Table1315[[#This Row],[Transfer Account]],Acc_Char!$B$2:$B$515,Acc_Char!$H$1,"rechek",0))</f>
        <v/>
      </c>
      <c r="S188" s="957"/>
      <c r="T188" s="950" t="str">
        <f>IF($G188="","",_xlfn.XLOOKUP($G188,Acc_Char!$B$1,Acc_Char!$H$1,"out of group",0))</f>
        <v/>
      </c>
      <c r="U188" s="950" t="str">
        <f>IF($G188="","",_xlfn.XLOOKUP($G188,Acc_Char!$B$2:$B$515,Acc_Char!$I$2:$I$515,"out of group",0))</f>
        <v/>
      </c>
      <c r="V188" s="973"/>
      <c r="W188" s="678"/>
    </row>
    <row r="189" spans="1:23" hidden="1">
      <c r="A189" s="950"/>
      <c r="B189" s="957"/>
      <c r="C189" s="957"/>
      <c r="D189" s="950" t="str">
        <f>IF($B189="","",_xlfn.XLOOKUP($B189,Acc_Char!$B$2:$B$515,Acc_Char!$C$2:$C$515,"recheck",0))</f>
        <v/>
      </c>
      <c r="E189" s="950" t="str">
        <f>IF($B189="","",_xlfn.XLOOKUP($B189,Acc_Char!$B$2:$B$515,Acc_Char!$I$2:$I$515,"recheck",0))</f>
        <v/>
      </c>
      <c r="F189" s="363" t="str">
        <f>IF($B189="","",_xlfn.XLOOKUP(Table13[[#This Row],[Transfer Account]],Acc_Char!$B$2:$B$515,Acc_Char!$H$1,"rechek",0))</f>
        <v/>
      </c>
      <c r="G189" s="957"/>
      <c r="H189" s="950" t="str">
        <f>IF($G189="","",_xlfn.XLOOKUP($G189,Acc_Char!$B$1,Acc_Char!$H$1,"out of group",0))</f>
        <v/>
      </c>
      <c r="I189" s="950" t="str">
        <f>IF($G189="","",_xlfn.XLOOKUP($G189,Acc_Char!$B$2:$B$515,Acc_Char!$I$2:$I$515,"out of group",0))</f>
        <v/>
      </c>
      <c r="J189" s="973"/>
      <c r="K189" s="678"/>
      <c r="N189" s="950"/>
      <c r="O189" s="957"/>
      <c r="P189" s="950" t="str">
        <f>IF($B189="","",_xlfn.XLOOKUP($B189,Acc_Char!$B$2:$B$515,Acc_Char!$C$2:$C$515,"recheck",0))</f>
        <v/>
      </c>
      <c r="Q189" s="950" t="str">
        <f>IF($B189="","",_xlfn.XLOOKUP($B189,Acc_Char!$B$2:$B$515,Acc_Char!$I$2:$I$515,"recheck",0))</f>
        <v/>
      </c>
      <c r="R189" s="363" t="str">
        <f>IF($B189="","",_xlfn.XLOOKUP(Table1315[[#This Row],[Transfer Account]],Acc_Char!$B$2:$B$515,Acc_Char!$H$1,"rechek",0))</f>
        <v/>
      </c>
      <c r="S189" s="957"/>
      <c r="T189" s="950" t="str">
        <f>IF($G189="","",_xlfn.XLOOKUP($G189,Acc_Char!$B$1,Acc_Char!$H$1,"out of group",0))</f>
        <v/>
      </c>
      <c r="U189" s="950" t="str">
        <f>IF($G189="","",_xlfn.XLOOKUP($G189,Acc_Char!$B$2:$B$515,Acc_Char!$I$2:$I$515,"out of group",0))</f>
        <v/>
      </c>
      <c r="V189" s="973"/>
      <c r="W189" s="678"/>
    </row>
    <row r="190" spans="1:23" hidden="1">
      <c r="A190" s="950"/>
      <c r="B190" s="957"/>
      <c r="C190" s="957"/>
      <c r="D190" s="950" t="str">
        <f>IF($B190="","",_xlfn.XLOOKUP($B190,Acc_Char!$B$2:$B$515,Acc_Char!$C$2:$C$515,"recheck",0))</f>
        <v/>
      </c>
      <c r="E190" s="950" t="str">
        <f>IF($B190="","",_xlfn.XLOOKUP($B190,Acc_Char!$B$2:$B$515,Acc_Char!$I$2:$I$515,"recheck",0))</f>
        <v/>
      </c>
      <c r="F190" s="363" t="str">
        <f>IF($B190="","",_xlfn.XLOOKUP(Table13[[#This Row],[Transfer Account]],Acc_Char!$B$2:$B$515,Acc_Char!$H$1,"rechek",0))</f>
        <v/>
      </c>
      <c r="G190" s="957"/>
      <c r="H190" s="950" t="str">
        <f>IF($G190="","",_xlfn.XLOOKUP($G190,Acc_Char!$B$1,Acc_Char!$H$1,"out of group",0))</f>
        <v/>
      </c>
      <c r="I190" s="950" t="str">
        <f>IF($G190="","",_xlfn.XLOOKUP($G190,Acc_Char!$B$2:$B$515,Acc_Char!$I$2:$I$515,"out of group",0))</f>
        <v/>
      </c>
      <c r="J190" s="973"/>
      <c r="K190" s="678"/>
      <c r="N190" s="950"/>
      <c r="O190" s="957"/>
      <c r="P190" s="950" t="str">
        <f>IF($B190="","",_xlfn.XLOOKUP($B190,Acc_Char!$B$2:$B$515,Acc_Char!$C$2:$C$515,"recheck",0))</f>
        <v/>
      </c>
      <c r="Q190" s="950" t="str">
        <f>IF($B190="","",_xlfn.XLOOKUP($B190,Acc_Char!$B$2:$B$515,Acc_Char!$I$2:$I$515,"recheck",0))</f>
        <v/>
      </c>
      <c r="R190" s="363" t="str">
        <f>IF($B190="","",_xlfn.XLOOKUP(Table1315[[#This Row],[Transfer Account]],Acc_Char!$B$2:$B$515,Acc_Char!$H$1,"rechek",0))</f>
        <v/>
      </c>
      <c r="S190" s="957"/>
      <c r="T190" s="950" t="str">
        <f>IF($G190="","",_xlfn.XLOOKUP($G190,Acc_Char!$B$1,Acc_Char!$H$1,"out of group",0))</f>
        <v/>
      </c>
      <c r="U190" s="950" t="str">
        <f>IF($G190="","",_xlfn.XLOOKUP($G190,Acc_Char!$B$2:$B$515,Acc_Char!$I$2:$I$515,"out of group",0))</f>
        <v/>
      </c>
      <c r="V190" s="973"/>
      <c r="W190" s="678"/>
    </row>
    <row r="191" spans="1:23" hidden="1">
      <c r="A191" s="950"/>
      <c r="B191" s="957"/>
      <c r="C191" s="957"/>
      <c r="D191" s="950" t="str">
        <f>IF($B191="","",_xlfn.XLOOKUP($B191,Acc_Char!$B$2:$B$515,Acc_Char!$C$2:$C$515,"recheck",0))</f>
        <v/>
      </c>
      <c r="E191" s="950" t="str">
        <f>IF($B191="","",_xlfn.XLOOKUP($B191,Acc_Char!$B$2:$B$515,Acc_Char!$I$2:$I$515,"recheck",0))</f>
        <v/>
      </c>
      <c r="F191" s="363" t="str">
        <f>IF($B191="","",_xlfn.XLOOKUP(Table13[[#This Row],[Transfer Account]],Acc_Char!$B$2:$B$515,Acc_Char!$H$1,"rechek",0))</f>
        <v/>
      </c>
      <c r="G191" s="957"/>
      <c r="H191" s="950" t="str">
        <f>IF($G191="","",_xlfn.XLOOKUP($G191,Acc_Char!$B$1,Acc_Char!$H$1,"out of group",0))</f>
        <v/>
      </c>
      <c r="I191" s="950" t="str">
        <f>IF($G191="","",_xlfn.XLOOKUP($G191,Acc_Char!$B$2:$B$515,Acc_Char!$I$2:$I$515,"out of group",0))</f>
        <v/>
      </c>
      <c r="J191" s="973"/>
      <c r="K191" s="678"/>
      <c r="N191" s="950"/>
      <c r="O191" s="957"/>
      <c r="P191" s="950" t="str">
        <f>IF($B191="","",_xlfn.XLOOKUP($B191,Acc_Char!$B$2:$B$515,Acc_Char!$C$2:$C$515,"recheck",0))</f>
        <v/>
      </c>
      <c r="Q191" s="950" t="str">
        <f>IF($B191="","",_xlfn.XLOOKUP($B191,Acc_Char!$B$2:$B$515,Acc_Char!$I$2:$I$515,"recheck",0))</f>
        <v/>
      </c>
      <c r="R191" s="363" t="str">
        <f>IF($B191="","",_xlfn.XLOOKUP(Table1315[[#This Row],[Transfer Account]],Acc_Char!$B$2:$B$515,Acc_Char!$H$1,"rechek",0))</f>
        <v/>
      </c>
      <c r="S191" s="957"/>
      <c r="T191" s="950" t="str">
        <f>IF($G191="","",_xlfn.XLOOKUP($G191,Acc_Char!$B$1,Acc_Char!$H$1,"out of group",0))</f>
        <v/>
      </c>
      <c r="U191" s="950" t="str">
        <f>IF($G191="","",_xlfn.XLOOKUP($G191,Acc_Char!$B$2:$B$515,Acc_Char!$I$2:$I$515,"out of group",0))</f>
        <v/>
      </c>
      <c r="V191" s="973"/>
      <c r="W191" s="678"/>
    </row>
    <row r="192" spans="1:23" hidden="1">
      <c r="A192" s="950"/>
      <c r="B192" s="957"/>
      <c r="C192" s="957"/>
      <c r="D192" s="950" t="str">
        <f>IF($B192="","",_xlfn.XLOOKUP($B192,Acc_Char!$B$2:$B$515,Acc_Char!$C$2:$C$515,"recheck",0))</f>
        <v/>
      </c>
      <c r="E192" s="950" t="str">
        <f>IF($B192="","",_xlfn.XLOOKUP($B192,Acc_Char!$B$2:$B$515,Acc_Char!$I$2:$I$515,"recheck",0))</f>
        <v/>
      </c>
      <c r="F192" s="363" t="str">
        <f>IF($B192="","",_xlfn.XLOOKUP(Table13[[#This Row],[Transfer Account]],Acc_Char!$B$2:$B$515,Acc_Char!$H$1,"rechek",0))</f>
        <v/>
      </c>
      <c r="G192" s="957"/>
      <c r="H192" s="950" t="str">
        <f>IF($G192="","",_xlfn.XLOOKUP($G192,Acc_Char!$B$1,Acc_Char!$H$1,"out of group",0))</f>
        <v/>
      </c>
      <c r="I192" s="950" t="str">
        <f>IF($G192="","",_xlfn.XLOOKUP($G192,Acc_Char!$B$2:$B$515,Acc_Char!$I$2:$I$515,"out of group",0))</f>
        <v/>
      </c>
      <c r="J192" s="973"/>
      <c r="K192" s="678"/>
      <c r="N192" s="950"/>
      <c r="O192" s="957"/>
      <c r="P192" s="950" t="str">
        <f>IF($B192="","",_xlfn.XLOOKUP($B192,Acc_Char!$B$2:$B$515,Acc_Char!$C$2:$C$515,"recheck",0))</f>
        <v/>
      </c>
      <c r="Q192" s="950" t="str">
        <f>IF($B192="","",_xlfn.XLOOKUP($B192,Acc_Char!$B$2:$B$515,Acc_Char!$I$2:$I$515,"recheck",0))</f>
        <v/>
      </c>
      <c r="R192" s="363" t="str">
        <f>IF($B192="","",_xlfn.XLOOKUP(Table1315[[#This Row],[Transfer Account]],Acc_Char!$B$2:$B$515,Acc_Char!$H$1,"rechek",0))</f>
        <v/>
      </c>
      <c r="S192" s="957"/>
      <c r="T192" s="950" t="str">
        <f>IF($G192="","",_xlfn.XLOOKUP($G192,Acc_Char!$B$1,Acc_Char!$H$1,"out of group",0))</f>
        <v/>
      </c>
      <c r="U192" s="950" t="str">
        <f>IF($G192="","",_xlfn.XLOOKUP($G192,Acc_Char!$B$2:$B$515,Acc_Char!$I$2:$I$515,"out of group",0))</f>
        <v/>
      </c>
      <c r="V192" s="973"/>
      <c r="W192" s="678"/>
    </row>
    <row r="193" spans="1:23" hidden="1">
      <c r="A193" s="950"/>
      <c r="B193" s="957"/>
      <c r="C193" s="957"/>
      <c r="D193" s="950" t="str">
        <f>IF($B193="","",_xlfn.XLOOKUP($B193,Acc_Char!$B$2:$B$515,Acc_Char!$C$2:$C$515,"recheck",0))</f>
        <v/>
      </c>
      <c r="E193" s="950" t="str">
        <f>IF($B193="","",_xlfn.XLOOKUP($B193,Acc_Char!$B$2:$B$515,Acc_Char!$I$2:$I$515,"recheck",0))</f>
        <v/>
      </c>
      <c r="F193" s="363" t="str">
        <f>IF($B193="","",_xlfn.XLOOKUP(Table13[[#This Row],[Transfer Account]],Acc_Char!$B$2:$B$515,Acc_Char!$H$1,"rechek",0))</f>
        <v/>
      </c>
      <c r="G193" s="957"/>
      <c r="H193" s="950" t="str">
        <f>IF($G193="","",_xlfn.XLOOKUP($G193,Acc_Char!$B$1,Acc_Char!$H$1,"out of group",0))</f>
        <v/>
      </c>
      <c r="I193" s="950" t="str">
        <f>IF($G193="","",_xlfn.XLOOKUP($G193,Acc_Char!$B$2:$B$515,Acc_Char!$I$2:$I$515,"out of group",0))</f>
        <v/>
      </c>
      <c r="J193" s="973"/>
      <c r="K193" s="678"/>
      <c r="N193" s="950"/>
      <c r="O193" s="957"/>
      <c r="P193" s="950" t="str">
        <f>IF($B193="","",_xlfn.XLOOKUP($B193,Acc_Char!$B$2:$B$515,Acc_Char!$C$2:$C$515,"recheck",0))</f>
        <v/>
      </c>
      <c r="Q193" s="950" t="str">
        <f>IF($B193="","",_xlfn.XLOOKUP($B193,Acc_Char!$B$2:$B$515,Acc_Char!$I$2:$I$515,"recheck",0))</f>
        <v/>
      </c>
      <c r="R193" s="363" t="str">
        <f>IF($B193="","",_xlfn.XLOOKUP(Table1315[[#This Row],[Transfer Account]],Acc_Char!$B$2:$B$515,Acc_Char!$H$1,"rechek",0))</f>
        <v/>
      </c>
      <c r="S193" s="957"/>
      <c r="T193" s="950" t="str">
        <f>IF($G193="","",_xlfn.XLOOKUP($G193,Acc_Char!$B$1,Acc_Char!$H$1,"out of group",0))</f>
        <v/>
      </c>
      <c r="U193" s="950" t="str">
        <f>IF($G193="","",_xlfn.XLOOKUP($G193,Acc_Char!$B$2:$B$515,Acc_Char!$I$2:$I$515,"out of group",0))</f>
        <v/>
      </c>
      <c r="V193" s="973"/>
      <c r="W193" s="678"/>
    </row>
    <row r="194" spans="1:23" hidden="1">
      <c r="A194" s="950"/>
      <c r="B194" s="957"/>
      <c r="C194" s="957"/>
      <c r="D194" s="950" t="str">
        <f>IF($B194="","",_xlfn.XLOOKUP($B194,Acc_Char!$B$2:$B$515,Acc_Char!$C$2:$C$515,"recheck",0))</f>
        <v/>
      </c>
      <c r="E194" s="950" t="str">
        <f>IF($B194="","",_xlfn.XLOOKUP($B194,Acc_Char!$B$2:$B$515,Acc_Char!$I$2:$I$515,"recheck",0))</f>
        <v/>
      </c>
      <c r="F194" s="363" t="str">
        <f>IF($B194="","",_xlfn.XLOOKUP(Table13[[#This Row],[Transfer Account]],Acc_Char!$B$2:$B$515,Acc_Char!$H$1,"rechek",0))</f>
        <v/>
      </c>
      <c r="G194" s="957"/>
      <c r="H194" s="950" t="str">
        <f>IF($G194="","",_xlfn.XLOOKUP($G194,Acc_Char!$B$1,Acc_Char!$H$1,"out of group",0))</f>
        <v/>
      </c>
      <c r="I194" s="950" t="str">
        <f>IF($G194="","",_xlfn.XLOOKUP($G194,Acc_Char!$B$2:$B$515,Acc_Char!$I$2:$I$515,"out of group",0))</f>
        <v/>
      </c>
      <c r="J194" s="973"/>
      <c r="K194" s="678"/>
      <c r="N194" s="950"/>
      <c r="O194" s="957"/>
      <c r="P194" s="950" t="str">
        <f>IF($B194="","",_xlfn.XLOOKUP($B194,Acc_Char!$B$2:$B$515,Acc_Char!$C$2:$C$515,"recheck",0))</f>
        <v/>
      </c>
      <c r="Q194" s="950" t="str">
        <f>IF($B194="","",_xlfn.XLOOKUP($B194,Acc_Char!$B$2:$B$515,Acc_Char!$I$2:$I$515,"recheck",0))</f>
        <v/>
      </c>
      <c r="R194" s="363" t="str">
        <f>IF($B194="","",_xlfn.XLOOKUP(Table1315[[#This Row],[Transfer Account]],Acc_Char!$B$2:$B$515,Acc_Char!$H$1,"rechek",0))</f>
        <v/>
      </c>
      <c r="S194" s="957"/>
      <c r="T194" s="950" t="str">
        <f>IF($G194="","",_xlfn.XLOOKUP($G194,Acc_Char!$B$1,Acc_Char!$H$1,"out of group",0))</f>
        <v/>
      </c>
      <c r="U194" s="950" t="str">
        <f>IF($G194="","",_xlfn.XLOOKUP($G194,Acc_Char!$B$2:$B$515,Acc_Char!$I$2:$I$515,"out of group",0))</f>
        <v/>
      </c>
      <c r="V194" s="973"/>
      <c r="W194" s="678"/>
    </row>
    <row r="195" spans="1:23" hidden="1">
      <c r="A195" s="950"/>
      <c r="B195" s="957"/>
      <c r="C195" s="957"/>
      <c r="D195" s="950" t="str">
        <f>IF($B195="","",_xlfn.XLOOKUP($B195,Acc_Char!$B$2:$B$515,Acc_Char!$C$2:$C$515,"recheck",0))</f>
        <v/>
      </c>
      <c r="E195" s="950" t="str">
        <f>IF($B195="","",_xlfn.XLOOKUP($B195,Acc_Char!$B$2:$B$515,Acc_Char!$I$2:$I$515,"recheck",0))</f>
        <v/>
      </c>
      <c r="F195" s="363" t="str">
        <f>IF($B195="","",_xlfn.XLOOKUP(Table13[[#This Row],[Transfer Account]],Acc_Char!$B$2:$B$515,Acc_Char!$H$1,"rechek",0))</f>
        <v/>
      </c>
      <c r="G195" s="957"/>
      <c r="H195" s="950" t="str">
        <f>IF($G195="","",_xlfn.XLOOKUP($G195,Acc_Char!$B$1,Acc_Char!$H$1,"out of group",0))</f>
        <v/>
      </c>
      <c r="I195" s="950" t="str">
        <f>IF($G195="","",_xlfn.XLOOKUP($G195,Acc_Char!$B$2:$B$515,Acc_Char!$I$2:$I$515,"out of group",0))</f>
        <v/>
      </c>
      <c r="J195" s="973"/>
      <c r="K195" s="678"/>
      <c r="N195" s="950"/>
      <c r="O195" s="957"/>
      <c r="P195" s="950" t="str">
        <f>IF($B195="","",_xlfn.XLOOKUP($B195,Acc_Char!$B$2:$B$515,Acc_Char!$C$2:$C$515,"recheck",0))</f>
        <v/>
      </c>
      <c r="Q195" s="950" t="str">
        <f>IF($B195="","",_xlfn.XLOOKUP($B195,Acc_Char!$B$2:$B$515,Acc_Char!$I$2:$I$515,"recheck",0))</f>
        <v/>
      </c>
      <c r="R195" s="363" t="str">
        <f>IF($B195="","",_xlfn.XLOOKUP(Table1315[[#This Row],[Transfer Account]],Acc_Char!$B$2:$B$515,Acc_Char!$H$1,"rechek",0))</f>
        <v/>
      </c>
      <c r="S195" s="957"/>
      <c r="T195" s="950" t="str">
        <f>IF($G195="","",_xlfn.XLOOKUP($G195,Acc_Char!$B$1,Acc_Char!$H$1,"out of group",0))</f>
        <v/>
      </c>
      <c r="U195" s="950" t="str">
        <f>IF($G195="","",_xlfn.XLOOKUP($G195,Acc_Char!$B$2:$B$515,Acc_Char!$I$2:$I$515,"out of group",0))</f>
        <v/>
      </c>
      <c r="V195" s="973"/>
      <c r="W195" s="678"/>
    </row>
    <row r="196" spans="1:23" hidden="1">
      <c r="A196" s="950"/>
      <c r="B196" s="957"/>
      <c r="C196" s="957"/>
      <c r="D196" s="950" t="str">
        <f>IF($B196="","",_xlfn.XLOOKUP($B196,Acc_Char!$B$2:$B$515,Acc_Char!$C$2:$C$515,"recheck",0))</f>
        <v/>
      </c>
      <c r="E196" s="950" t="str">
        <f>IF($B196="","",_xlfn.XLOOKUP($B196,Acc_Char!$B$2:$B$515,Acc_Char!$I$2:$I$515,"recheck",0))</f>
        <v/>
      </c>
      <c r="F196" s="363" t="str">
        <f>IF($B196="","",_xlfn.XLOOKUP(Table13[[#This Row],[Transfer Account]],Acc_Char!$B$2:$B$515,Acc_Char!$H$1,"rechek",0))</f>
        <v/>
      </c>
      <c r="G196" s="957"/>
      <c r="H196" s="950" t="str">
        <f>IF($G196="","",_xlfn.XLOOKUP($G196,Acc_Char!$B$1,Acc_Char!$H$1,"out of group",0))</f>
        <v/>
      </c>
      <c r="I196" s="950" t="str">
        <f>IF($G196="","",_xlfn.XLOOKUP($G196,Acc_Char!$B$2:$B$515,Acc_Char!$I$2:$I$515,"out of group",0))</f>
        <v/>
      </c>
      <c r="J196" s="973"/>
      <c r="K196" s="678"/>
      <c r="N196" s="950"/>
      <c r="O196" s="957"/>
      <c r="P196" s="950" t="str">
        <f>IF($B196="","",_xlfn.XLOOKUP($B196,Acc_Char!$B$2:$B$515,Acc_Char!$C$2:$C$515,"recheck",0))</f>
        <v/>
      </c>
      <c r="Q196" s="950" t="str">
        <f>IF($B196="","",_xlfn.XLOOKUP($B196,Acc_Char!$B$2:$B$515,Acc_Char!$I$2:$I$515,"recheck",0))</f>
        <v/>
      </c>
      <c r="R196" s="363" t="str">
        <f>IF($B196="","",_xlfn.XLOOKUP(Table1315[[#This Row],[Transfer Account]],Acc_Char!$B$2:$B$515,Acc_Char!$H$1,"rechek",0))</f>
        <v/>
      </c>
      <c r="S196" s="957"/>
      <c r="T196" s="950" t="str">
        <f>IF($G196="","",_xlfn.XLOOKUP($G196,Acc_Char!$B$1,Acc_Char!$H$1,"out of group",0))</f>
        <v/>
      </c>
      <c r="U196" s="950" t="str">
        <f>IF($G196="","",_xlfn.XLOOKUP($G196,Acc_Char!$B$2:$B$515,Acc_Char!$I$2:$I$515,"out of group",0))</f>
        <v/>
      </c>
      <c r="V196" s="973"/>
      <c r="W196" s="678"/>
    </row>
    <row r="197" spans="1:23" hidden="1">
      <c r="A197" s="950"/>
      <c r="B197" s="957"/>
      <c r="C197" s="957"/>
      <c r="D197" s="950" t="str">
        <f>IF($B197="","",_xlfn.XLOOKUP($B197,Acc_Char!$B$2:$B$515,Acc_Char!$C$2:$C$515,"recheck",0))</f>
        <v/>
      </c>
      <c r="E197" s="950" t="str">
        <f>IF($B197="","",_xlfn.XLOOKUP($B197,Acc_Char!$B$2:$B$515,Acc_Char!$I$2:$I$515,"recheck",0))</f>
        <v/>
      </c>
      <c r="F197" s="363" t="str">
        <f>IF($B197="","",_xlfn.XLOOKUP(Table13[[#This Row],[Transfer Account]],Acc_Char!$B$2:$B$515,Acc_Char!$H$1,"rechek",0))</f>
        <v/>
      </c>
      <c r="G197" s="957"/>
      <c r="H197" s="950" t="str">
        <f>IF($G197="","",_xlfn.XLOOKUP($G197,Acc_Char!$B$1,Acc_Char!$H$1,"out of group",0))</f>
        <v/>
      </c>
      <c r="I197" s="950" t="str">
        <f>IF($G197="","",_xlfn.XLOOKUP($G197,Acc_Char!$B$2:$B$515,Acc_Char!$I$2:$I$515,"out of group",0))</f>
        <v/>
      </c>
      <c r="J197" s="973"/>
      <c r="K197" s="678"/>
      <c r="N197" s="950"/>
      <c r="O197" s="957"/>
      <c r="P197" s="950" t="str">
        <f>IF($B197="","",_xlfn.XLOOKUP($B197,Acc_Char!$B$2:$B$515,Acc_Char!$C$2:$C$515,"recheck",0))</f>
        <v/>
      </c>
      <c r="Q197" s="950" t="str">
        <f>IF($B197="","",_xlfn.XLOOKUP($B197,Acc_Char!$B$2:$B$515,Acc_Char!$I$2:$I$515,"recheck",0))</f>
        <v/>
      </c>
      <c r="R197" s="363" t="str">
        <f>IF($B197="","",_xlfn.XLOOKUP(Table1315[[#This Row],[Transfer Account]],Acc_Char!$B$2:$B$515,Acc_Char!$H$1,"rechek",0))</f>
        <v/>
      </c>
      <c r="S197" s="957"/>
      <c r="T197" s="950" t="str">
        <f>IF($G197="","",_xlfn.XLOOKUP($G197,Acc_Char!$B$1,Acc_Char!$H$1,"out of group",0))</f>
        <v/>
      </c>
      <c r="U197" s="950" t="str">
        <f>IF($G197="","",_xlfn.XLOOKUP($G197,Acc_Char!$B$2:$B$515,Acc_Char!$I$2:$I$515,"out of group",0))</f>
        <v/>
      </c>
      <c r="V197" s="973"/>
      <c r="W197" s="678"/>
    </row>
    <row r="198" spans="1:23" hidden="1">
      <c r="A198" s="950"/>
      <c r="B198" s="957"/>
      <c r="C198" s="957"/>
      <c r="D198" s="950" t="str">
        <f>IF($B198="","",_xlfn.XLOOKUP($B198,Acc_Char!$B$2:$B$515,Acc_Char!$C$2:$C$515,"recheck",0))</f>
        <v/>
      </c>
      <c r="E198" s="950" t="str">
        <f>IF($B198="","",_xlfn.XLOOKUP($B198,Acc_Char!$B$2:$B$515,Acc_Char!$I$2:$I$515,"recheck",0))</f>
        <v/>
      </c>
      <c r="F198" s="363" t="str">
        <f>IF($B198="","",_xlfn.XLOOKUP(Table13[[#This Row],[Transfer Account]],Acc_Char!$B$2:$B$515,Acc_Char!$H$1,"rechek",0))</f>
        <v/>
      </c>
      <c r="G198" s="957"/>
      <c r="H198" s="950" t="str">
        <f>IF($G198="","",_xlfn.XLOOKUP($G198,Acc_Char!$B$1,Acc_Char!$H$1,"out of group",0))</f>
        <v/>
      </c>
      <c r="I198" s="950" t="str">
        <f>IF($G198="","",_xlfn.XLOOKUP($G198,Acc_Char!$B$2:$B$515,Acc_Char!$I$2:$I$515,"out of group",0))</f>
        <v/>
      </c>
      <c r="J198" s="973"/>
      <c r="K198" s="678"/>
      <c r="N198" s="950"/>
      <c r="O198" s="957"/>
      <c r="P198" s="950" t="str">
        <f>IF($B198="","",_xlfn.XLOOKUP($B198,Acc_Char!$B$2:$B$515,Acc_Char!$C$2:$C$515,"recheck",0))</f>
        <v/>
      </c>
      <c r="Q198" s="950" t="str">
        <f>IF($B198="","",_xlfn.XLOOKUP($B198,Acc_Char!$B$2:$B$515,Acc_Char!$I$2:$I$515,"recheck",0))</f>
        <v/>
      </c>
      <c r="R198" s="363" t="str">
        <f>IF($B198="","",_xlfn.XLOOKUP(Table1315[[#This Row],[Transfer Account]],Acc_Char!$B$2:$B$515,Acc_Char!$H$1,"rechek",0))</f>
        <v/>
      </c>
      <c r="S198" s="957"/>
      <c r="T198" s="950" t="str">
        <f>IF($G198="","",_xlfn.XLOOKUP($G198,Acc_Char!$B$1,Acc_Char!$H$1,"out of group",0))</f>
        <v/>
      </c>
      <c r="U198" s="950" t="str">
        <f>IF($G198="","",_xlfn.XLOOKUP($G198,Acc_Char!$B$2:$B$515,Acc_Char!$I$2:$I$515,"out of group",0))</f>
        <v/>
      </c>
      <c r="V198" s="973"/>
      <c r="W198" s="678"/>
    </row>
    <row r="199" spans="1:23" hidden="1">
      <c r="A199" s="950"/>
      <c r="B199" s="957"/>
      <c r="C199" s="957"/>
      <c r="D199" s="950" t="str">
        <f>IF($B199="","",_xlfn.XLOOKUP($B199,Acc_Char!$B$2:$B$515,Acc_Char!$C$2:$C$515,"recheck",0))</f>
        <v/>
      </c>
      <c r="E199" s="950" t="str">
        <f>IF($B199="","",_xlfn.XLOOKUP($B199,Acc_Char!$B$2:$B$515,Acc_Char!$I$2:$I$515,"recheck",0))</f>
        <v/>
      </c>
      <c r="F199" s="363" t="str">
        <f>IF($B199="","",_xlfn.XLOOKUP(Table13[[#This Row],[Transfer Account]],Acc_Char!$B$2:$B$515,Acc_Char!$H$1,"rechek",0))</f>
        <v/>
      </c>
      <c r="G199" s="957"/>
      <c r="H199" s="950" t="str">
        <f>IF($G199="","",_xlfn.XLOOKUP($G199,Acc_Char!$B$1,Acc_Char!$H$1,"out of group",0))</f>
        <v/>
      </c>
      <c r="I199" s="950" t="str">
        <f>IF($G199="","",_xlfn.XLOOKUP($G199,Acc_Char!$B$2:$B$515,Acc_Char!$I$2:$I$515,"out of group",0))</f>
        <v/>
      </c>
      <c r="J199" s="973"/>
      <c r="K199" s="678"/>
      <c r="N199" s="950"/>
      <c r="O199" s="957"/>
      <c r="P199" s="950" t="str">
        <f>IF($B199="","",_xlfn.XLOOKUP($B199,Acc_Char!$B$2:$B$515,Acc_Char!$C$2:$C$515,"recheck",0))</f>
        <v/>
      </c>
      <c r="Q199" s="950" t="str">
        <f>IF($B199="","",_xlfn.XLOOKUP($B199,Acc_Char!$B$2:$B$515,Acc_Char!$I$2:$I$515,"recheck",0))</f>
        <v/>
      </c>
      <c r="R199" s="363" t="str">
        <f>IF($B199="","",_xlfn.XLOOKUP(Table1315[[#This Row],[Transfer Account]],Acc_Char!$B$2:$B$515,Acc_Char!$H$1,"rechek",0))</f>
        <v/>
      </c>
      <c r="S199" s="957"/>
      <c r="T199" s="950" t="str">
        <f>IF($G199="","",_xlfn.XLOOKUP($G199,Acc_Char!$B$1,Acc_Char!$H$1,"out of group",0))</f>
        <v/>
      </c>
      <c r="U199" s="950" t="str">
        <f>IF($G199="","",_xlfn.XLOOKUP($G199,Acc_Char!$B$2:$B$515,Acc_Char!$I$2:$I$515,"out of group",0))</f>
        <v/>
      </c>
      <c r="V199" s="973"/>
      <c r="W199" s="678"/>
    </row>
    <row r="200" spans="1:23" hidden="1">
      <c r="A200" s="950"/>
      <c r="B200" s="957"/>
      <c r="C200" s="957"/>
      <c r="D200" s="950" t="str">
        <f>IF($B200="","",_xlfn.XLOOKUP($B200,Acc_Char!$B$2:$B$515,Acc_Char!$C$2:$C$515,"recheck",0))</f>
        <v/>
      </c>
      <c r="E200" s="950" t="str">
        <f>IF($B200="","",_xlfn.XLOOKUP($B200,Acc_Char!$B$2:$B$515,Acc_Char!$I$2:$I$515,"recheck",0))</f>
        <v/>
      </c>
      <c r="F200" s="363" t="str">
        <f>IF($B200="","",_xlfn.XLOOKUP(Table13[[#This Row],[Transfer Account]],Acc_Char!$B$2:$B$515,Acc_Char!$H$1,"rechek",0))</f>
        <v/>
      </c>
      <c r="G200" s="957"/>
      <c r="H200" s="950" t="str">
        <f>IF($G200="","",_xlfn.XLOOKUP($G200,Acc_Char!$B$1,Acc_Char!$H$1,"out of group",0))</f>
        <v/>
      </c>
      <c r="I200" s="950" t="str">
        <f>IF($G200="","",_xlfn.XLOOKUP($G200,Acc_Char!$B$2:$B$515,Acc_Char!$I$2:$I$515,"out of group",0))</f>
        <v/>
      </c>
      <c r="J200" s="973"/>
      <c r="K200" s="678"/>
      <c r="N200" s="950"/>
      <c r="O200" s="957"/>
      <c r="P200" s="950" t="str">
        <f>IF($B200="","",_xlfn.XLOOKUP($B200,Acc_Char!$B$2:$B$515,Acc_Char!$C$2:$C$515,"recheck",0))</f>
        <v/>
      </c>
      <c r="Q200" s="950" t="str">
        <f>IF($B200="","",_xlfn.XLOOKUP($B200,Acc_Char!$B$2:$B$515,Acc_Char!$I$2:$I$515,"recheck",0))</f>
        <v/>
      </c>
      <c r="R200" s="363" t="str">
        <f>IF($B200="","",_xlfn.XLOOKUP(Table1315[[#This Row],[Transfer Account]],Acc_Char!$B$2:$B$515,Acc_Char!$H$1,"rechek",0))</f>
        <v/>
      </c>
      <c r="S200" s="957"/>
      <c r="T200" s="950" t="str">
        <f>IF($G200="","",_xlfn.XLOOKUP($G200,Acc_Char!$B$1,Acc_Char!$H$1,"out of group",0))</f>
        <v/>
      </c>
      <c r="U200" s="950" t="str">
        <f>IF($G200="","",_xlfn.XLOOKUP($G200,Acc_Char!$B$2:$B$515,Acc_Char!$I$2:$I$515,"out of group",0))</f>
        <v/>
      </c>
      <c r="V200" s="973"/>
      <c r="W200" s="678"/>
    </row>
    <row r="201" spans="1:23" hidden="1">
      <c r="A201" s="950"/>
      <c r="B201" s="957"/>
      <c r="C201" s="957"/>
      <c r="D201" s="950" t="str">
        <f>IF($B201="","",_xlfn.XLOOKUP($B201,Acc_Char!$B$2:$B$515,Acc_Char!$C$2:$C$515,"recheck",0))</f>
        <v/>
      </c>
      <c r="E201" s="950" t="str">
        <f>IF($B201="","",_xlfn.XLOOKUP($B201,Acc_Char!$B$2:$B$515,Acc_Char!$I$2:$I$515,"recheck",0))</f>
        <v/>
      </c>
      <c r="F201" s="363" t="str">
        <f>IF($B201="","",_xlfn.XLOOKUP(Table13[[#This Row],[Transfer Account]],Acc_Char!$B$2:$B$515,Acc_Char!$H$1,"rechek",0))</f>
        <v/>
      </c>
      <c r="G201" s="957"/>
      <c r="H201" s="950" t="str">
        <f>IF($G201="","",_xlfn.XLOOKUP($G201,Acc_Char!$B$1,Acc_Char!$H$1,"out of group",0))</f>
        <v/>
      </c>
      <c r="I201" s="950" t="str">
        <f>IF($G201="","",_xlfn.XLOOKUP($G201,Acc_Char!$B$2:$B$515,Acc_Char!$I$2:$I$515,"out of group",0))</f>
        <v/>
      </c>
      <c r="J201" s="973"/>
      <c r="K201" s="678"/>
      <c r="N201" s="950"/>
      <c r="O201" s="957"/>
      <c r="P201" s="950" t="str">
        <f>IF($B201="","",_xlfn.XLOOKUP($B201,Acc_Char!$B$2:$B$515,Acc_Char!$C$2:$C$515,"recheck",0))</f>
        <v/>
      </c>
      <c r="Q201" s="950" t="str">
        <f>IF($B201="","",_xlfn.XLOOKUP($B201,Acc_Char!$B$2:$B$515,Acc_Char!$I$2:$I$515,"recheck",0))</f>
        <v/>
      </c>
      <c r="R201" s="363" t="str">
        <f>IF($B201="","",_xlfn.XLOOKUP(Table1315[[#This Row],[Transfer Account]],Acc_Char!$B$2:$B$515,Acc_Char!$H$1,"rechek",0))</f>
        <v/>
      </c>
      <c r="S201" s="957"/>
      <c r="T201" s="950" t="str">
        <f>IF($G201="","",_xlfn.XLOOKUP($G201,Acc_Char!$B$1,Acc_Char!$H$1,"out of group",0))</f>
        <v/>
      </c>
      <c r="U201" s="950" t="str">
        <f>IF($G201="","",_xlfn.XLOOKUP($G201,Acc_Char!$B$2:$B$515,Acc_Char!$I$2:$I$515,"out of group",0))</f>
        <v/>
      </c>
      <c r="V201" s="973"/>
      <c r="W201" s="678"/>
    </row>
    <row r="202" spans="1:23" hidden="1">
      <c r="A202" s="950"/>
      <c r="B202" s="957"/>
      <c r="C202" s="957"/>
      <c r="D202" s="950" t="str">
        <f>IF($B202="","",_xlfn.XLOOKUP($B202,Acc_Char!$B$2:$B$515,Acc_Char!$C$2:$C$515,"recheck",0))</f>
        <v/>
      </c>
      <c r="E202" s="950" t="str">
        <f>IF($B202="","",_xlfn.XLOOKUP($B202,Acc_Char!$B$2:$B$515,Acc_Char!$I$2:$I$515,"recheck",0))</f>
        <v/>
      </c>
      <c r="F202" s="363" t="str">
        <f>IF($B202="","",_xlfn.XLOOKUP(Table13[[#This Row],[Transfer Account]],Acc_Char!$B$2:$B$515,Acc_Char!$H$1,"rechek",0))</f>
        <v/>
      </c>
      <c r="G202" s="957"/>
      <c r="H202" s="950" t="str">
        <f>IF($G202="","",_xlfn.XLOOKUP($G202,Acc_Char!$B$1,Acc_Char!$H$1,"out of group",0))</f>
        <v/>
      </c>
      <c r="I202" s="950" t="str">
        <f>IF($G202="","",_xlfn.XLOOKUP($G202,Acc_Char!$B$2:$B$515,Acc_Char!$I$2:$I$515,"out of group",0))</f>
        <v/>
      </c>
      <c r="J202" s="973"/>
      <c r="K202" s="678"/>
      <c r="N202" s="950"/>
      <c r="O202" s="957"/>
      <c r="P202" s="950" t="str">
        <f>IF($B202="","",_xlfn.XLOOKUP($B202,Acc_Char!$B$2:$B$515,Acc_Char!$C$2:$C$515,"recheck",0))</f>
        <v/>
      </c>
      <c r="Q202" s="950" t="str">
        <f>IF($B202="","",_xlfn.XLOOKUP($B202,Acc_Char!$B$2:$B$515,Acc_Char!$I$2:$I$515,"recheck",0))</f>
        <v/>
      </c>
      <c r="R202" s="363" t="str">
        <f>IF($B202="","",_xlfn.XLOOKUP(Table1315[[#This Row],[Transfer Account]],Acc_Char!$B$2:$B$515,Acc_Char!$H$1,"rechek",0))</f>
        <v/>
      </c>
      <c r="S202" s="957"/>
      <c r="T202" s="950" t="str">
        <f>IF($G202="","",_xlfn.XLOOKUP($G202,Acc_Char!$B$1,Acc_Char!$H$1,"out of group",0))</f>
        <v/>
      </c>
      <c r="U202" s="950" t="str">
        <f>IF($G202="","",_xlfn.XLOOKUP($G202,Acc_Char!$B$2:$B$515,Acc_Char!$I$2:$I$515,"out of group",0))</f>
        <v/>
      </c>
      <c r="V202" s="973"/>
      <c r="W202" s="678"/>
    </row>
    <row r="203" spans="1:23" hidden="1">
      <c r="A203" s="950"/>
      <c r="B203" s="957"/>
      <c r="C203" s="957"/>
      <c r="D203" s="950" t="str">
        <f>IF($B203="","",_xlfn.XLOOKUP($B203,Acc_Char!$B$2:$B$515,Acc_Char!$C$2:$C$515,"recheck",0))</f>
        <v/>
      </c>
      <c r="E203" s="950" t="str">
        <f>IF($B203="","",_xlfn.XLOOKUP($B203,Acc_Char!$B$2:$B$515,Acc_Char!$I$2:$I$515,"recheck",0))</f>
        <v/>
      </c>
      <c r="F203" s="363" t="str">
        <f>IF($B203="","",_xlfn.XLOOKUP(Table13[[#This Row],[Transfer Account]],Acc_Char!$B$2:$B$515,Acc_Char!$H$1,"rechek",0))</f>
        <v/>
      </c>
      <c r="G203" s="957"/>
      <c r="H203" s="950" t="str">
        <f>IF($G203="","",_xlfn.XLOOKUP($G203,Acc_Char!$B$1,Acc_Char!$H$1,"out of group",0))</f>
        <v/>
      </c>
      <c r="I203" s="950" t="str">
        <f>IF($G203="","",_xlfn.XLOOKUP($G203,Acc_Char!$B$2:$B$515,Acc_Char!$I$2:$I$515,"out of group",0))</f>
        <v/>
      </c>
      <c r="J203" s="973"/>
      <c r="K203" s="678"/>
      <c r="N203" s="950"/>
      <c r="O203" s="957"/>
      <c r="P203" s="950" t="str">
        <f>IF($B203="","",_xlfn.XLOOKUP($B203,Acc_Char!$B$2:$B$515,Acc_Char!$C$2:$C$515,"recheck",0))</f>
        <v/>
      </c>
      <c r="Q203" s="950" t="str">
        <f>IF($B203="","",_xlfn.XLOOKUP($B203,Acc_Char!$B$2:$B$515,Acc_Char!$I$2:$I$515,"recheck",0))</f>
        <v/>
      </c>
      <c r="R203" s="363" t="str">
        <f>IF($B203="","",_xlfn.XLOOKUP(Table1315[[#This Row],[Transfer Account]],Acc_Char!$B$2:$B$515,Acc_Char!$H$1,"rechek",0))</f>
        <v/>
      </c>
      <c r="S203" s="957"/>
      <c r="T203" s="950" t="str">
        <f>IF($G203="","",_xlfn.XLOOKUP($G203,Acc_Char!$B$1,Acc_Char!$H$1,"out of group",0))</f>
        <v/>
      </c>
      <c r="U203" s="950" t="str">
        <f>IF($G203="","",_xlfn.XLOOKUP($G203,Acc_Char!$B$2:$B$515,Acc_Char!$I$2:$I$515,"out of group",0))</f>
        <v/>
      </c>
      <c r="V203" s="973"/>
      <c r="W203" s="678"/>
    </row>
    <row r="204" spans="1:23" hidden="1">
      <c r="A204" s="950"/>
      <c r="B204" s="957"/>
      <c r="C204" s="957"/>
      <c r="D204" s="950" t="str">
        <f>IF($B204="","",_xlfn.XLOOKUP($B204,Acc_Char!$B$2:$B$515,Acc_Char!$C$2:$C$515,"recheck",0))</f>
        <v/>
      </c>
      <c r="E204" s="950" t="str">
        <f>IF($B204="","",_xlfn.XLOOKUP($B204,Acc_Char!$B$2:$B$515,Acc_Char!$I$2:$I$515,"recheck",0))</f>
        <v/>
      </c>
      <c r="F204" s="363" t="str">
        <f>IF($B204="","",_xlfn.XLOOKUP(Table13[[#This Row],[Transfer Account]],Acc_Char!$B$2:$B$515,Acc_Char!$H$1,"rechek",0))</f>
        <v/>
      </c>
      <c r="G204" s="957"/>
      <c r="H204" s="950" t="str">
        <f>IF($G204="","",_xlfn.XLOOKUP($G204,Acc_Char!$B$1,Acc_Char!$H$1,"out of group",0))</f>
        <v/>
      </c>
      <c r="I204" s="950" t="str">
        <f>IF($G204="","",_xlfn.XLOOKUP($G204,Acc_Char!$B$2:$B$515,Acc_Char!$I$2:$I$515,"out of group",0))</f>
        <v/>
      </c>
      <c r="J204" s="973"/>
      <c r="K204" s="678"/>
      <c r="N204" s="950"/>
      <c r="O204" s="957"/>
      <c r="P204" s="950" t="str">
        <f>IF($B204="","",_xlfn.XLOOKUP($B204,Acc_Char!$B$2:$B$515,Acc_Char!$C$2:$C$515,"recheck",0))</f>
        <v/>
      </c>
      <c r="Q204" s="950" t="str">
        <f>IF($B204="","",_xlfn.XLOOKUP($B204,Acc_Char!$B$2:$B$515,Acc_Char!$I$2:$I$515,"recheck",0))</f>
        <v/>
      </c>
      <c r="R204" s="363" t="str">
        <f>IF($B204="","",_xlfn.XLOOKUP(Table1315[[#This Row],[Transfer Account]],Acc_Char!$B$2:$B$515,Acc_Char!$H$1,"rechek",0))</f>
        <v/>
      </c>
      <c r="S204" s="957"/>
      <c r="T204" s="950" t="str">
        <f>IF($G204="","",_xlfn.XLOOKUP($G204,Acc_Char!$B$1,Acc_Char!$H$1,"out of group",0))</f>
        <v/>
      </c>
      <c r="U204" s="950" t="str">
        <f>IF($G204="","",_xlfn.XLOOKUP($G204,Acc_Char!$B$2:$B$515,Acc_Char!$I$2:$I$515,"out of group",0))</f>
        <v/>
      </c>
      <c r="V204" s="973"/>
      <c r="W204" s="678"/>
    </row>
    <row r="205" spans="1:23" hidden="1">
      <c r="A205" s="950"/>
      <c r="B205" s="957"/>
      <c r="C205" s="957"/>
      <c r="D205" s="950" t="str">
        <f>IF($B205="","",_xlfn.XLOOKUP($B205,Acc_Char!$B$2:$B$515,Acc_Char!$C$2:$C$515,"recheck",0))</f>
        <v/>
      </c>
      <c r="E205" s="950" t="str">
        <f>IF($B205="","",_xlfn.XLOOKUP($B205,Acc_Char!$B$2:$B$515,Acc_Char!$I$2:$I$515,"recheck",0))</f>
        <v/>
      </c>
      <c r="F205" s="363" t="str">
        <f>IF($B205="","",_xlfn.XLOOKUP(Table13[[#This Row],[Transfer Account]],Acc_Char!$B$2:$B$515,Acc_Char!$H$1,"rechek",0))</f>
        <v/>
      </c>
      <c r="G205" s="957"/>
      <c r="H205" s="950" t="str">
        <f>IF($G205="","",_xlfn.XLOOKUP($G205,Acc_Char!$B$1,Acc_Char!$H$1,"out of group",0))</f>
        <v/>
      </c>
      <c r="I205" s="950" t="str">
        <f>IF($G205="","",_xlfn.XLOOKUP($G205,Acc_Char!$B$2:$B$515,Acc_Char!$I$2:$I$515,"out of group",0))</f>
        <v/>
      </c>
      <c r="J205" s="973"/>
      <c r="K205" s="678"/>
      <c r="N205" s="950"/>
      <c r="O205" s="957"/>
      <c r="P205" s="950" t="str">
        <f>IF($B205="","",_xlfn.XLOOKUP($B205,Acc_Char!$B$2:$B$515,Acc_Char!$C$2:$C$515,"recheck",0))</f>
        <v/>
      </c>
      <c r="Q205" s="950" t="str">
        <f>IF($B205="","",_xlfn.XLOOKUP($B205,Acc_Char!$B$2:$B$515,Acc_Char!$I$2:$I$515,"recheck",0))</f>
        <v/>
      </c>
      <c r="R205" s="363" t="str">
        <f>IF($B205="","",_xlfn.XLOOKUP(Table1315[[#This Row],[Transfer Account]],Acc_Char!$B$2:$B$515,Acc_Char!$H$1,"rechek",0))</f>
        <v/>
      </c>
      <c r="S205" s="957"/>
      <c r="T205" s="950" t="str">
        <f>IF($G205="","",_xlfn.XLOOKUP($G205,Acc_Char!$B$1,Acc_Char!$H$1,"out of group",0))</f>
        <v/>
      </c>
      <c r="U205" s="950" t="str">
        <f>IF($G205="","",_xlfn.XLOOKUP($G205,Acc_Char!$B$2:$B$515,Acc_Char!$I$2:$I$515,"out of group",0))</f>
        <v/>
      </c>
      <c r="V205" s="973"/>
      <c r="W205" s="678"/>
    </row>
    <row r="206" spans="1:23" hidden="1">
      <c r="A206" s="950"/>
      <c r="B206" s="957"/>
      <c r="C206" s="957"/>
      <c r="D206" s="950" t="str">
        <f>IF($B206="","",_xlfn.XLOOKUP($B206,Acc_Char!$B$2:$B$515,Acc_Char!$C$2:$C$515,"recheck",0))</f>
        <v/>
      </c>
      <c r="E206" s="950" t="str">
        <f>IF($B206="","",_xlfn.XLOOKUP($B206,Acc_Char!$B$2:$B$515,Acc_Char!$I$2:$I$515,"recheck",0))</f>
        <v/>
      </c>
      <c r="F206" s="363" t="str">
        <f>IF($B206="","",_xlfn.XLOOKUP(Table13[[#This Row],[Transfer Account]],Acc_Char!$B$2:$B$515,Acc_Char!$H$1,"rechek",0))</f>
        <v/>
      </c>
      <c r="G206" s="957"/>
      <c r="H206" s="950" t="str">
        <f>IF($G206="","",_xlfn.XLOOKUP($G206,Acc_Char!$B$1,Acc_Char!$H$1,"out of group",0))</f>
        <v/>
      </c>
      <c r="I206" s="950" t="str">
        <f>IF($G206="","",_xlfn.XLOOKUP($G206,Acc_Char!$B$2:$B$515,Acc_Char!$I$2:$I$515,"out of group",0))</f>
        <v/>
      </c>
      <c r="J206" s="973"/>
      <c r="K206" s="678"/>
      <c r="N206" s="950"/>
      <c r="O206" s="957"/>
      <c r="P206" s="950" t="str">
        <f>IF($B206="","",_xlfn.XLOOKUP($B206,Acc_Char!$B$2:$B$515,Acc_Char!$C$2:$C$515,"recheck",0))</f>
        <v/>
      </c>
      <c r="Q206" s="950" t="str">
        <f>IF($B206="","",_xlfn.XLOOKUP($B206,Acc_Char!$B$2:$B$515,Acc_Char!$I$2:$I$515,"recheck",0))</f>
        <v/>
      </c>
      <c r="R206" s="363" t="str">
        <f>IF($B206="","",_xlfn.XLOOKUP(Table1315[[#This Row],[Transfer Account]],Acc_Char!$B$2:$B$515,Acc_Char!$H$1,"rechek",0))</f>
        <v/>
      </c>
      <c r="S206" s="957"/>
      <c r="T206" s="950" t="str">
        <f>IF($G206="","",_xlfn.XLOOKUP($G206,Acc_Char!$B$1,Acc_Char!$H$1,"out of group",0))</f>
        <v/>
      </c>
      <c r="U206" s="950" t="str">
        <f>IF($G206="","",_xlfn.XLOOKUP($G206,Acc_Char!$B$2:$B$515,Acc_Char!$I$2:$I$515,"out of group",0))</f>
        <v/>
      </c>
      <c r="V206" s="973"/>
      <c r="W206" s="678"/>
    </row>
    <row r="207" spans="1:23" hidden="1">
      <c r="A207" s="950"/>
      <c r="B207" s="957"/>
      <c r="C207" s="957"/>
      <c r="D207" s="950" t="str">
        <f>IF($B207="","",_xlfn.XLOOKUP($B207,Acc_Char!$B$2:$B$515,Acc_Char!$C$2:$C$515,"recheck",0))</f>
        <v/>
      </c>
      <c r="E207" s="950" t="str">
        <f>IF($B207="","",_xlfn.XLOOKUP($B207,Acc_Char!$B$2:$B$515,Acc_Char!$I$2:$I$515,"recheck",0))</f>
        <v/>
      </c>
      <c r="F207" s="363" t="str">
        <f>IF($B207="","",_xlfn.XLOOKUP(Table13[[#This Row],[Transfer Account]],Acc_Char!$B$2:$B$515,Acc_Char!$H$1,"rechek",0))</f>
        <v/>
      </c>
      <c r="G207" s="957"/>
      <c r="H207" s="950" t="str">
        <f>IF($G207="","",_xlfn.XLOOKUP($G207,Acc_Char!$B$1,Acc_Char!$H$1,"out of group",0))</f>
        <v/>
      </c>
      <c r="I207" s="950" t="str">
        <f>IF($G207="","",_xlfn.XLOOKUP($G207,Acc_Char!$B$2:$B$515,Acc_Char!$I$2:$I$515,"out of group",0))</f>
        <v/>
      </c>
      <c r="J207" s="973"/>
      <c r="K207" s="678"/>
      <c r="N207" s="950"/>
      <c r="O207" s="957"/>
      <c r="P207" s="950" t="str">
        <f>IF($B207="","",_xlfn.XLOOKUP($B207,Acc_Char!$B$2:$B$515,Acc_Char!$C$2:$C$515,"recheck",0))</f>
        <v/>
      </c>
      <c r="Q207" s="950" t="str">
        <f>IF($B207="","",_xlfn.XLOOKUP($B207,Acc_Char!$B$2:$B$515,Acc_Char!$I$2:$I$515,"recheck",0))</f>
        <v/>
      </c>
      <c r="R207" s="363" t="str">
        <f>IF($B207="","",_xlfn.XLOOKUP(Table1315[[#This Row],[Transfer Account]],Acc_Char!$B$2:$B$515,Acc_Char!$H$1,"rechek",0))</f>
        <v/>
      </c>
      <c r="S207" s="957"/>
      <c r="T207" s="950" t="str">
        <f>IF($G207="","",_xlfn.XLOOKUP($G207,Acc_Char!$B$1,Acc_Char!$H$1,"out of group",0))</f>
        <v/>
      </c>
      <c r="U207" s="950" t="str">
        <f>IF($G207="","",_xlfn.XLOOKUP($G207,Acc_Char!$B$2:$B$515,Acc_Char!$I$2:$I$515,"out of group",0))</f>
        <v/>
      </c>
      <c r="V207" s="973"/>
      <c r="W207" s="678"/>
    </row>
    <row r="208" spans="1:23" hidden="1">
      <c r="A208" s="950"/>
      <c r="B208" s="957"/>
      <c r="C208" s="957"/>
      <c r="D208" s="950" t="str">
        <f>IF($B208="","",_xlfn.XLOOKUP($B208,Acc_Char!$B$2:$B$515,Acc_Char!$C$2:$C$515,"recheck",0))</f>
        <v/>
      </c>
      <c r="E208" s="950" t="str">
        <f>IF($B208="","",_xlfn.XLOOKUP($B208,Acc_Char!$B$2:$B$515,Acc_Char!$I$2:$I$515,"recheck",0))</f>
        <v/>
      </c>
      <c r="F208" s="363" t="str">
        <f>IF($B208="","",_xlfn.XLOOKUP(Table13[[#This Row],[Transfer Account]],Acc_Char!$B$2:$B$515,Acc_Char!$H$1,"rechek",0))</f>
        <v/>
      </c>
      <c r="G208" s="957"/>
      <c r="H208" s="950" t="str">
        <f>IF($G208="","",_xlfn.XLOOKUP($G208,Acc_Char!$B$1,Acc_Char!$H$1,"out of group",0))</f>
        <v/>
      </c>
      <c r="I208" s="950" t="str">
        <f>IF($G208="","",_xlfn.XLOOKUP($G208,Acc_Char!$B$2:$B$515,Acc_Char!$I$2:$I$515,"out of group",0))</f>
        <v/>
      </c>
      <c r="J208" s="973"/>
      <c r="K208" s="678"/>
      <c r="N208" s="950"/>
      <c r="O208" s="957"/>
      <c r="P208" s="950" t="str">
        <f>IF($B208="","",_xlfn.XLOOKUP($B208,Acc_Char!$B$2:$B$515,Acc_Char!$C$2:$C$515,"recheck",0))</f>
        <v/>
      </c>
      <c r="Q208" s="950" t="str">
        <f>IF($B208="","",_xlfn.XLOOKUP($B208,Acc_Char!$B$2:$B$515,Acc_Char!$I$2:$I$515,"recheck",0))</f>
        <v/>
      </c>
      <c r="R208" s="363" t="str">
        <f>IF($B208="","",_xlfn.XLOOKUP(Table1315[[#This Row],[Transfer Account]],Acc_Char!$B$2:$B$515,Acc_Char!$H$1,"rechek",0))</f>
        <v/>
      </c>
      <c r="S208" s="957"/>
      <c r="T208" s="950" t="str">
        <f>IF($G208="","",_xlfn.XLOOKUP($G208,Acc_Char!$B$1,Acc_Char!$H$1,"out of group",0))</f>
        <v/>
      </c>
      <c r="U208" s="950" t="str">
        <f>IF($G208="","",_xlfn.XLOOKUP($G208,Acc_Char!$B$2:$B$515,Acc_Char!$I$2:$I$515,"out of group",0))</f>
        <v/>
      </c>
      <c r="V208" s="973"/>
      <c r="W208" s="678"/>
    </row>
    <row r="209" spans="1:23" hidden="1">
      <c r="A209" s="950"/>
      <c r="B209" s="957"/>
      <c r="C209" s="957"/>
      <c r="D209" s="950" t="str">
        <f>IF($B209="","",_xlfn.XLOOKUP($B209,Acc_Char!$B$2:$B$515,Acc_Char!$C$2:$C$515,"recheck",0))</f>
        <v/>
      </c>
      <c r="E209" s="950" t="str">
        <f>IF($B209="","",_xlfn.XLOOKUP($B209,Acc_Char!$B$2:$B$515,Acc_Char!$I$2:$I$515,"recheck",0))</f>
        <v/>
      </c>
      <c r="F209" s="363" t="str">
        <f>IF($B209="","",_xlfn.XLOOKUP(Table13[[#This Row],[Transfer Account]],Acc_Char!$B$2:$B$515,Acc_Char!$H$1,"rechek",0))</f>
        <v/>
      </c>
      <c r="G209" s="957"/>
      <c r="H209" s="950" t="str">
        <f>IF($G209="","",_xlfn.XLOOKUP($G209,Acc_Char!$B$1,Acc_Char!$H$1,"out of group",0))</f>
        <v/>
      </c>
      <c r="I209" s="950" t="str">
        <f>IF($G209="","",_xlfn.XLOOKUP($G209,Acc_Char!$B$2:$B$515,Acc_Char!$I$2:$I$515,"out of group",0))</f>
        <v/>
      </c>
      <c r="J209" s="973"/>
      <c r="K209" s="678"/>
      <c r="N209" s="950"/>
      <c r="O209" s="957"/>
      <c r="P209" s="950" t="str">
        <f>IF($B209="","",_xlfn.XLOOKUP($B209,Acc_Char!$B$2:$B$515,Acc_Char!$C$2:$C$515,"recheck",0))</f>
        <v/>
      </c>
      <c r="Q209" s="950" t="str">
        <f>IF($B209="","",_xlfn.XLOOKUP($B209,Acc_Char!$B$2:$B$515,Acc_Char!$I$2:$I$515,"recheck",0))</f>
        <v/>
      </c>
      <c r="R209" s="363" t="str">
        <f>IF($B209="","",_xlfn.XLOOKUP(Table1315[[#This Row],[Transfer Account]],Acc_Char!$B$2:$B$515,Acc_Char!$H$1,"rechek",0))</f>
        <v/>
      </c>
      <c r="S209" s="957"/>
      <c r="T209" s="950" t="str">
        <f>IF($G209="","",_xlfn.XLOOKUP($G209,Acc_Char!$B$1,Acc_Char!$H$1,"out of group",0))</f>
        <v/>
      </c>
      <c r="U209" s="950" t="str">
        <f>IF($G209="","",_xlfn.XLOOKUP($G209,Acc_Char!$B$2:$B$515,Acc_Char!$I$2:$I$515,"out of group",0))</f>
        <v/>
      </c>
      <c r="V209" s="973"/>
      <c r="W209" s="678"/>
    </row>
    <row r="210" spans="1:23" hidden="1">
      <c r="A210" s="950"/>
      <c r="B210" s="957"/>
      <c r="C210" s="957"/>
      <c r="D210" s="950" t="str">
        <f>IF($B210="","",_xlfn.XLOOKUP($B210,Acc_Char!$B$2:$B$515,Acc_Char!$C$2:$C$515,"recheck",0))</f>
        <v/>
      </c>
      <c r="E210" s="950" t="str">
        <f>IF($B210="","",_xlfn.XLOOKUP($B210,Acc_Char!$B$2:$B$515,Acc_Char!$I$2:$I$515,"recheck",0))</f>
        <v/>
      </c>
      <c r="F210" s="363" t="str">
        <f>IF($B210="","",_xlfn.XLOOKUP(Table13[[#This Row],[Transfer Account]],Acc_Char!$B$2:$B$515,Acc_Char!$H$1,"rechek",0))</f>
        <v/>
      </c>
      <c r="G210" s="957"/>
      <c r="H210" s="950" t="str">
        <f>IF($G210="","",_xlfn.XLOOKUP($G210,Acc_Char!$B$1,Acc_Char!$H$1,"out of group",0))</f>
        <v/>
      </c>
      <c r="I210" s="950" t="str">
        <f>IF($G210="","",_xlfn.XLOOKUP($G210,Acc_Char!$B$2:$B$515,Acc_Char!$I$2:$I$515,"out of group",0))</f>
        <v/>
      </c>
      <c r="J210" s="973"/>
      <c r="K210" s="678"/>
      <c r="N210" s="950"/>
      <c r="O210" s="957"/>
      <c r="P210" s="950" t="str">
        <f>IF($B210="","",_xlfn.XLOOKUP($B210,Acc_Char!$B$2:$B$515,Acc_Char!$C$2:$C$515,"recheck",0))</f>
        <v/>
      </c>
      <c r="Q210" s="950" t="str">
        <f>IF($B210="","",_xlfn.XLOOKUP($B210,Acc_Char!$B$2:$B$515,Acc_Char!$I$2:$I$515,"recheck",0))</f>
        <v/>
      </c>
      <c r="R210" s="363" t="str">
        <f>IF($B210="","",_xlfn.XLOOKUP(Table1315[[#This Row],[Transfer Account]],Acc_Char!$B$2:$B$515,Acc_Char!$H$1,"rechek",0))</f>
        <v/>
      </c>
      <c r="S210" s="957"/>
      <c r="T210" s="950" t="str">
        <f>IF($G210="","",_xlfn.XLOOKUP($G210,Acc_Char!$B$1,Acc_Char!$H$1,"out of group",0))</f>
        <v/>
      </c>
      <c r="U210" s="950" t="str">
        <f>IF($G210="","",_xlfn.XLOOKUP($G210,Acc_Char!$B$2:$B$515,Acc_Char!$I$2:$I$515,"out of group",0))</f>
        <v/>
      </c>
      <c r="V210" s="973"/>
      <c r="W210" s="678"/>
    </row>
    <row r="211" spans="1:23" hidden="1">
      <c r="A211" s="950"/>
      <c r="B211" s="957"/>
      <c r="C211" s="957"/>
      <c r="D211" s="950" t="str">
        <f>IF($B211="","",_xlfn.XLOOKUP($B211,Acc_Char!$B$2:$B$515,Acc_Char!$C$2:$C$515,"recheck",0))</f>
        <v/>
      </c>
      <c r="E211" s="950" t="str">
        <f>IF($B211="","",_xlfn.XLOOKUP($B211,Acc_Char!$B$2:$B$515,Acc_Char!$I$2:$I$515,"recheck",0))</f>
        <v/>
      </c>
      <c r="F211" s="363" t="str">
        <f>IF($B211="","",_xlfn.XLOOKUP(Table13[[#This Row],[Transfer Account]],Acc_Char!$B$2:$B$515,Acc_Char!$H$1,"rechek",0))</f>
        <v/>
      </c>
      <c r="G211" s="957"/>
      <c r="H211" s="950" t="str">
        <f>IF($G211="","",_xlfn.XLOOKUP($G211,Acc_Char!$B$1,Acc_Char!$H$1,"out of group",0))</f>
        <v/>
      </c>
      <c r="I211" s="950" t="str">
        <f>IF($G211="","",_xlfn.XLOOKUP($G211,Acc_Char!$B$2:$B$515,Acc_Char!$I$2:$I$515,"out of group",0))</f>
        <v/>
      </c>
      <c r="J211" s="973"/>
      <c r="K211" s="678"/>
      <c r="N211" s="950"/>
      <c r="O211" s="957"/>
      <c r="P211" s="950" t="str">
        <f>IF($B211="","",_xlfn.XLOOKUP($B211,Acc_Char!$B$2:$B$515,Acc_Char!$C$2:$C$515,"recheck",0))</f>
        <v/>
      </c>
      <c r="Q211" s="950" t="str">
        <f>IF($B211="","",_xlfn.XLOOKUP($B211,Acc_Char!$B$2:$B$515,Acc_Char!$I$2:$I$515,"recheck",0))</f>
        <v/>
      </c>
      <c r="R211" s="363" t="str">
        <f>IF($B211="","",_xlfn.XLOOKUP(Table1315[[#This Row],[Transfer Account]],Acc_Char!$B$2:$B$515,Acc_Char!$H$1,"rechek",0))</f>
        <v/>
      </c>
      <c r="S211" s="957"/>
      <c r="T211" s="950" t="str">
        <f>IF($G211="","",_xlfn.XLOOKUP($G211,Acc_Char!$B$1,Acc_Char!$H$1,"out of group",0))</f>
        <v/>
      </c>
      <c r="U211" s="950" t="str">
        <f>IF($G211="","",_xlfn.XLOOKUP($G211,Acc_Char!$B$2:$B$515,Acc_Char!$I$2:$I$515,"out of group",0))</f>
        <v/>
      </c>
      <c r="V211" s="973"/>
      <c r="W211" s="678"/>
    </row>
    <row r="212" spans="1:23" hidden="1">
      <c r="A212" s="950"/>
      <c r="B212" s="957"/>
      <c r="C212" s="957"/>
      <c r="D212" s="950" t="str">
        <f>IF($B212="","",_xlfn.XLOOKUP($B212,Acc_Char!$B$2:$B$515,Acc_Char!$C$2:$C$515,"recheck",0))</f>
        <v/>
      </c>
      <c r="E212" s="950" t="str">
        <f>IF($B212="","",_xlfn.XLOOKUP($B212,Acc_Char!$B$2:$B$515,Acc_Char!$I$2:$I$515,"recheck",0))</f>
        <v/>
      </c>
      <c r="F212" s="363" t="str">
        <f>IF($B212="","",_xlfn.XLOOKUP(Table13[[#This Row],[Transfer Account]],Acc_Char!$B$2:$B$515,Acc_Char!$H$1,"rechek",0))</f>
        <v/>
      </c>
      <c r="G212" s="957"/>
      <c r="H212" s="950" t="str">
        <f>IF($G212="","",_xlfn.XLOOKUP($G212,Acc_Char!$B$1,Acc_Char!$H$1,"out of group",0))</f>
        <v/>
      </c>
      <c r="I212" s="950" t="str">
        <f>IF($G212="","",_xlfn.XLOOKUP($G212,Acc_Char!$B$2:$B$515,Acc_Char!$I$2:$I$515,"out of group",0))</f>
        <v/>
      </c>
      <c r="J212" s="973"/>
      <c r="K212" s="678"/>
      <c r="N212" s="950"/>
      <c r="O212" s="957"/>
      <c r="P212" s="950" t="str">
        <f>IF($B212="","",_xlfn.XLOOKUP($B212,Acc_Char!$B$2:$B$515,Acc_Char!$C$2:$C$515,"recheck",0))</f>
        <v/>
      </c>
      <c r="Q212" s="950" t="str">
        <f>IF($B212="","",_xlfn.XLOOKUP($B212,Acc_Char!$B$2:$B$515,Acc_Char!$I$2:$I$515,"recheck",0))</f>
        <v/>
      </c>
      <c r="R212" s="363" t="str">
        <f>IF($B212="","",_xlfn.XLOOKUP(Table1315[[#This Row],[Transfer Account]],Acc_Char!$B$2:$B$515,Acc_Char!$H$1,"rechek",0))</f>
        <v/>
      </c>
      <c r="S212" s="957"/>
      <c r="T212" s="950" t="str">
        <f>IF($G212="","",_xlfn.XLOOKUP($G212,Acc_Char!$B$1,Acc_Char!$H$1,"out of group",0))</f>
        <v/>
      </c>
      <c r="U212" s="950" t="str">
        <f>IF($G212="","",_xlfn.XLOOKUP($G212,Acc_Char!$B$2:$B$515,Acc_Char!$I$2:$I$515,"out of group",0))</f>
        <v/>
      </c>
      <c r="V212" s="973"/>
      <c r="W212" s="678"/>
    </row>
    <row r="213" spans="1:23" hidden="1">
      <c r="A213" s="950"/>
      <c r="B213" s="957"/>
      <c r="C213" s="957"/>
      <c r="D213" s="950" t="str">
        <f>IF($B213="","",_xlfn.XLOOKUP($B213,Acc_Char!$B$2:$B$515,Acc_Char!$C$2:$C$515,"recheck",0))</f>
        <v/>
      </c>
      <c r="E213" s="950" t="str">
        <f>IF($B213="","",_xlfn.XLOOKUP($B213,Acc_Char!$B$2:$B$515,Acc_Char!$I$2:$I$515,"recheck",0))</f>
        <v/>
      </c>
      <c r="F213" s="363" t="str">
        <f>IF($B213="","",_xlfn.XLOOKUP(Table13[[#This Row],[Transfer Account]],Acc_Char!$B$2:$B$515,Acc_Char!$H$1,"rechek",0))</f>
        <v/>
      </c>
      <c r="G213" s="957"/>
      <c r="H213" s="950" t="str">
        <f>IF($G213="","",_xlfn.XLOOKUP($G213,Acc_Char!$B$1,Acc_Char!$H$1,"out of group",0))</f>
        <v/>
      </c>
      <c r="I213" s="950" t="str">
        <f>IF($G213="","",_xlfn.XLOOKUP($G213,Acc_Char!$B$2:$B$515,Acc_Char!$I$2:$I$515,"out of group",0))</f>
        <v/>
      </c>
      <c r="J213" s="973"/>
      <c r="K213" s="678"/>
      <c r="N213" s="950"/>
      <c r="O213" s="957"/>
      <c r="P213" s="950" t="str">
        <f>IF($B213="","",_xlfn.XLOOKUP($B213,Acc_Char!$B$2:$B$515,Acc_Char!$C$2:$C$515,"recheck",0))</f>
        <v/>
      </c>
      <c r="Q213" s="950" t="str">
        <f>IF($B213="","",_xlfn.XLOOKUP($B213,Acc_Char!$B$2:$B$515,Acc_Char!$I$2:$I$515,"recheck",0))</f>
        <v/>
      </c>
      <c r="R213" s="363" t="str">
        <f>IF($B213="","",_xlfn.XLOOKUP(Table1315[[#This Row],[Transfer Account]],Acc_Char!$B$2:$B$515,Acc_Char!$H$1,"rechek",0))</f>
        <v/>
      </c>
      <c r="S213" s="957"/>
      <c r="T213" s="950" t="str">
        <f>IF($G213="","",_xlfn.XLOOKUP($G213,Acc_Char!$B$1,Acc_Char!$H$1,"out of group",0))</f>
        <v/>
      </c>
      <c r="U213" s="950" t="str">
        <f>IF($G213="","",_xlfn.XLOOKUP($G213,Acc_Char!$B$2:$B$515,Acc_Char!$I$2:$I$515,"out of group",0))</f>
        <v/>
      </c>
      <c r="V213" s="973"/>
      <c r="W213" s="678"/>
    </row>
    <row r="214" spans="1:23" hidden="1">
      <c r="A214" s="950"/>
      <c r="B214" s="957"/>
      <c r="C214" s="957"/>
      <c r="D214" s="950" t="str">
        <f>IF($B214="","",_xlfn.XLOOKUP($B214,Acc_Char!$B$2:$B$515,Acc_Char!$C$2:$C$515,"recheck",0))</f>
        <v/>
      </c>
      <c r="E214" s="950" t="str">
        <f>IF($B214="","",_xlfn.XLOOKUP($B214,Acc_Char!$B$2:$B$515,Acc_Char!$I$2:$I$515,"recheck",0))</f>
        <v/>
      </c>
      <c r="F214" s="363" t="str">
        <f>IF($B214="","",_xlfn.XLOOKUP(Table13[[#This Row],[Transfer Account]],Acc_Char!$B$2:$B$515,Acc_Char!$H$1,"rechek",0))</f>
        <v/>
      </c>
      <c r="G214" s="957"/>
      <c r="H214" s="950" t="str">
        <f>IF($G214="","",_xlfn.XLOOKUP($G214,Acc_Char!$B$1,Acc_Char!$H$1,"out of group",0))</f>
        <v/>
      </c>
      <c r="I214" s="950" t="str">
        <f>IF($G214="","",_xlfn.XLOOKUP($G214,Acc_Char!$B$2:$B$515,Acc_Char!$I$2:$I$515,"out of group",0))</f>
        <v/>
      </c>
      <c r="J214" s="973"/>
      <c r="K214" s="678"/>
      <c r="N214" s="950"/>
      <c r="O214" s="957"/>
      <c r="P214" s="950" t="str">
        <f>IF($B214="","",_xlfn.XLOOKUP($B214,Acc_Char!$B$2:$B$515,Acc_Char!$C$2:$C$515,"recheck",0))</f>
        <v/>
      </c>
      <c r="Q214" s="950" t="str">
        <f>IF($B214="","",_xlfn.XLOOKUP($B214,Acc_Char!$B$2:$B$515,Acc_Char!$I$2:$I$515,"recheck",0))</f>
        <v/>
      </c>
      <c r="R214" s="363" t="str">
        <f>IF($B214="","",_xlfn.XLOOKUP(Table1315[[#This Row],[Transfer Account]],Acc_Char!$B$2:$B$515,Acc_Char!$H$1,"rechek",0))</f>
        <v/>
      </c>
      <c r="S214" s="957"/>
      <c r="T214" s="950" t="str">
        <f>IF($G214="","",_xlfn.XLOOKUP($G214,Acc_Char!$B$1,Acc_Char!$H$1,"out of group",0))</f>
        <v/>
      </c>
      <c r="U214" s="950" t="str">
        <f>IF($G214="","",_xlfn.XLOOKUP($G214,Acc_Char!$B$2:$B$515,Acc_Char!$I$2:$I$515,"out of group",0))</f>
        <v/>
      </c>
      <c r="V214" s="973"/>
      <c r="W214" s="678"/>
    </row>
    <row r="215" spans="1:23" hidden="1">
      <c r="A215" s="950"/>
      <c r="B215" s="957"/>
      <c r="C215" s="957"/>
      <c r="D215" s="950" t="str">
        <f>IF($B215="","",_xlfn.XLOOKUP($B215,Acc_Char!$B$2:$B$515,Acc_Char!$C$2:$C$515,"recheck",0))</f>
        <v/>
      </c>
      <c r="E215" s="950" t="str">
        <f>IF($B215="","",_xlfn.XLOOKUP($B215,Acc_Char!$B$2:$B$515,Acc_Char!$I$2:$I$515,"recheck",0))</f>
        <v/>
      </c>
      <c r="F215" s="363" t="str">
        <f>IF($B215="","",_xlfn.XLOOKUP(Table13[[#This Row],[Transfer Account]],Acc_Char!$B$2:$B$515,Acc_Char!$H$1,"rechek",0))</f>
        <v/>
      </c>
      <c r="G215" s="957"/>
      <c r="H215" s="950" t="str">
        <f>IF($G215="","",_xlfn.XLOOKUP($G215,Acc_Char!$B$1,Acc_Char!$H$1,"out of group",0))</f>
        <v/>
      </c>
      <c r="I215" s="950" t="str">
        <f>IF($G215="","",_xlfn.XLOOKUP($G215,Acc_Char!$B$2:$B$515,Acc_Char!$I$2:$I$515,"out of group",0))</f>
        <v/>
      </c>
      <c r="J215" s="973"/>
      <c r="K215" s="678"/>
      <c r="N215" s="950"/>
      <c r="O215" s="957"/>
      <c r="P215" s="950" t="str">
        <f>IF($B215="","",_xlfn.XLOOKUP($B215,Acc_Char!$B$2:$B$515,Acc_Char!$C$2:$C$515,"recheck",0))</f>
        <v/>
      </c>
      <c r="Q215" s="950" t="str">
        <f>IF($B215="","",_xlfn.XLOOKUP($B215,Acc_Char!$B$2:$B$515,Acc_Char!$I$2:$I$515,"recheck",0))</f>
        <v/>
      </c>
      <c r="R215" s="363" t="str">
        <f>IF($B215="","",_xlfn.XLOOKUP(Table1315[[#This Row],[Transfer Account]],Acc_Char!$B$2:$B$515,Acc_Char!$H$1,"rechek",0))</f>
        <v/>
      </c>
      <c r="S215" s="957"/>
      <c r="T215" s="950" t="str">
        <f>IF($G215="","",_xlfn.XLOOKUP($G215,Acc_Char!$B$1,Acc_Char!$H$1,"out of group",0))</f>
        <v/>
      </c>
      <c r="U215" s="950" t="str">
        <f>IF($G215="","",_xlfn.XLOOKUP($G215,Acc_Char!$B$2:$B$515,Acc_Char!$I$2:$I$515,"out of group",0))</f>
        <v/>
      </c>
      <c r="V215" s="973"/>
      <c r="W215" s="678"/>
    </row>
    <row r="216" spans="1:23" hidden="1">
      <c r="A216" s="1280"/>
      <c r="B216" s="1281"/>
      <c r="C216" s="1281"/>
      <c r="D216" s="1280" t="str">
        <f>IF($B216="","",_xlfn.XLOOKUP($B216,Acc_Char!$B$2:$B$515,Acc_Char!$C$2:$C$515,"recheck",0))</f>
        <v/>
      </c>
      <c r="E216" s="1280" t="str">
        <f>IF($B216="","",_xlfn.XLOOKUP($B216,Acc_Char!$B$2:$B$515,Acc_Char!$I$2:$I$515,"recheck",0))</f>
        <v/>
      </c>
      <c r="F216" s="360" t="str">
        <f>IF($B216="","",_xlfn.XLOOKUP(Table13[[#This Row],[Transfer Account]],Acc_Char!$B$2:$B$515,Acc_Char!$H$1,"rechek",0))</f>
        <v/>
      </c>
      <c r="G216" s="1281"/>
      <c r="H216" s="1280" t="str">
        <f>IF($G216="","",_xlfn.XLOOKUP($G216,Acc_Char!$B$1,Acc_Char!$H$1,"out of group",0))</f>
        <v/>
      </c>
      <c r="I216" s="1280" t="str">
        <f>IF($G216="","",_xlfn.XLOOKUP($G216,Acc_Char!$B$2:$B$515,Acc_Char!$I$2:$I$515,"out of group",0))</f>
        <v/>
      </c>
      <c r="J216" s="1282"/>
      <c r="K216" s="354"/>
      <c r="N216" s="1280"/>
      <c r="O216" s="1281"/>
      <c r="P216" s="1280" t="str">
        <f>IF($B216="","",_xlfn.XLOOKUP($B216,Acc_Char!$B$2:$B$515,Acc_Char!$C$2:$C$515,"recheck",0))</f>
        <v/>
      </c>
      <c r="Q216" s="1280" t="str">
        <f>IF($B216="","",_xlfn.XLOOKUP($B216,Acc_Char!$B$2:$B$515,Acc_Char!$I$2:$I$515,"recheck",0))</f>
        <v/>
      </c>
      <c r="R216" s="360" t="str">
        <f>IF($B216="","",_xlfn.XLOOKUP(Table1315[[#This Row],[Transfer Account]],Acc_Char!$B$2:$B$515,Acc_Char!$H$1,"rechek",0))</f>
        <v/>
      </c>
      <c r="S216" s="1281"/>
      <c r="T216" s="1280" t="str">
        <f>IF($G216="","",_xlfn.XLOOKUP($G216,Acc_Char!$B$1,Acc_Char!$H$1,"out of group",0))</f>
        <v/>
      </c>
      <c r="U216" s="1280" t="str">
        <f>IF($G216="","",_xlfn.XLOOKUP($G216,Acc_Char!$B$2:$B$515,Acc_Char!$I$2:$I$515,"out of group",0))</f>
        <v/>
      </c>
      <c r="V216" s="1282"/>
      <c r="W216" s="354"/>
    </row>
    <row r="221" spans="1:23">
      <c r="D221" s="42"/>
      <c r="E221" s="42"/>
      <c r="F221" s="799"/>
    </row>
    <row r="222" spans="1:23">
      <c r="B222" s="460"/>
      <c r="C222" s="460"/>
      <c r="D222" s="460"/>
      <c r="E222" s="460"/>
      <c r="F222" s="460"/>
    </row>
  </sheetData>
  <autoFilter ref="A12:K12" xr:uid="{51A56F3E-DFA9-48FD-AD43-15B3B639FDCC}"/>
  <mergeCells count="8">
    <mergeCell ref="R66:T66"/>
    <mergeCell ref="U66:W66"/>
    <mergeCell ref="F66:H66"/>
    <mergeCell ref="A66:A67"/>
    <mergeCell ref="B66:E66"/>
    <mergeCell ref="I66:K66"/>
    <mergeCell ref="N66:N67"/>
    <mergeCell ref="O66:Q66"/>
  </mergeCells>
  <conditionalFormatting sqref="B93:E93">
    <cfRule type="expression" dxfId="3" priority="2">
      <formula>B93=FALSE</formula>
    </cfRule>
  </conditionalFormatting>
  <conditionalFormatting sqref="E35">
    <cfRule type="expression" dxfId="2" priority="4">
      <formula>E35=FALSE</formula>
    </cfRule>
  </conditionalFormatting>
  <conditionalFormatting sqref="O93:Q93">
    <cfRule type="expression" dxfId="1" priority="1">
      <formula>O93=FALSE</formula>
    </cfRule>
  </conditionalFormatting>
  <conditionalFormatting sqref="Q32">
    <cfRule type="expression" dxfId="0" priority="3">
      <formula>Q32=FALSE</formula>
    </cfRule>
  </conditionalFormatting>
  <pageMargins left="0.7" right="0.7" top="0.75" bottom="0.75" header="0.3" footer="0.3"/>
  <pageSetup paperSize="8" scale="78" fitToHeight="2" orientation="landscape" r:id="rId1"/>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FD0AF-207F-4EE5-B276-F3CB3AC7FC07}">
  <sheetPr>
    <tabColor theme="9" tint="0.39997558519241921"/>
  </sheetPr>
  <dimension ref="A1:V32"/>
  <sheetViews>
    <sheetView topLeftCell="A15" zoomScale="75" workbookViewId="0">
      <selection activeCell="G9" sqref="G9"/>
    </sheetView>
  </sheetViews>
  <sheetFormatPr defaultRowHeight="14.4"/>
  <cols>
    <col min="1" max="1" width="21.44140625" bestFit="1" customWidth="1"/>
    <col min="2" max="2" width="17.44140625" bestFit="1" customWidth="1"/>
    <col min="3" max="4" width="10" bestFit="1" customWidth="1"/>
    <col min="5" max="6" width="11.44140625" bestFit="1" customWidth="1"/>
    <col min="7" max="10" width="10" bestFit="1" customWidth="1"/>
    <col min="11" max="11" width="9" bestFit="1" customWidth="1"/>
    <col min="12" max="13" width="10" bestFit="1" customWidth="1"/>
    <col min="14" max="14" width="9" bestFit="1" customWidth="1"/>
    <col min="15" max="15" width="10" bestFit="1" customWidth="1"/>
    <col min="16" max="16" width="11.44140625" bestFit="1" customWidth="1"/>
    <col min="17" max="18" width="10" bestFit="1" customWidth="1"/>
    <col min="19" max="19" width="11.44140625" bestFit="1" customWidth="1"/>
    <col min="20" max="21" width="10" bestFit="1" customWidth="1"/>
    <col min="22" max="22" width="11.44140625" bestFit="1" customWidth="1"/>
    <col min="23" max="25" width="16.44140625" bestFit="1" customWidth="1"/>
    <col min="26" max="27" width="17.5546875" bestFit="1" customWidth="1"/>
    <col min="28" max="28" width="7.44140625" bestFit="1" customWidth="1"/>
    <col min="29" max="29" width="10.44140625" bestFit="1" customWidth="1"/>
    <col min="30" max="30" width="8.5546875" bestFit="1" customWidth="1"/>
    <col min="31" max="31" width="11.44140625" bestFit="1" customWidth="1"/>
    <col min="32" max="32" width="9.5546875" bestFit="1" customWidth="1"/>
    <col min="33" max="33" width="11.44140625" bestFit="1" customWidth="1"/>
    <col min="34" max="36" width="10.5546875" bestFit="1" customWidth="1"/>
    <col min="37" max="38" width="11.5546875" bestFit="1" customWidth="1"/>
    <col min="39" max="39" width="6.44140625" bestFit="1" customWidth="1"/>
    <col min="40" max="40" width="10.5546875" bestFit="1" customWidth="1"/>
    <col min="41" max="42" width="11.5546875" bestFit="1" customWidth="1"/>
    <col min="43" max="44" width="10.5546875" bestFit="1" customWidth="1"/>
    <col min="45" max="45" width="5.5546875" bestFit="1" customWidth="1"/>
    <col min="46" max="46" width="10.5546875" bestFit="1" customWidth="1"/>
    <col min="47" max="47" width="8.5546875" bestFit="1" customWidth="1"/>
    <col min="48" max="48" width="11.5546875" bestFit="1" customWidth="1"/>
    <col min="49" max="49" width="10.5546875" bestFit="1" customWidth="1"/>
    <col min="50" max="50" width="9.5546875" bestFit="1" customWidth="1"/>
    <col min="51" max="51" width="10.5546875" bestFit="1" customWidth="1"/>
    <col min="52" max="52" width="11.5546875" bestFit="1" customWidth="1"/>
    <col min="53" max="54" width="8.5546875" bestFit="1" customWidth="1"/>
    <col min="55" max="55" width="11.5546875" bestFit="1" customWidth="1"/>
    <col min="56" max="56" width="10.5546875" bestFit="1" customWidth="1"/>
    <col min="57" max="57" width="9.5546875" bestFit="1" customWidth="1"/>
    <col min="58" max="58" width="10.5546875" bestFit="1" customWidth="1"/>
    <col min="59" max="60" width="11.5546875" bestFit="1" customWidth="1"/>
  </cols>
  <sheetData>
    <row r="1" spans="1:22">
      <c r="F1" s="632" t="s">
        <v>5377</v>
      </c>
      <c r="G1" s="630">
        <v>45044</v>
      </c>
      <c r="H1" s="630">
        <v>45047</v>
      </c>
      <c r="I1" s="630" t="s">
        <v>5378</v>
      </c>
    </row>
    <row r="2" spans="1:22">
      <c r="A2" s="365" t="s">
        <v>289</v>
      </c>
      <c r="B2" t="s">
        <v>305</v>
      </c>
      <c r="F2" s="634" t="s">
        <v>8</v>
      </c>
      <c r="G2" s="628">
        <f>B6</f>
        <v>0</v>
      </c>
      <c r="H2" s="628">
        <f>C6</f>
        <v>0</v>
      </c>
      <c r="I2" s="25">
        <f>SUM(G2:H2)</f>
        <v>0</v>
      </c>
    </row>
    <row r="3" spans="1:22">
      <c r="F3" s="634" t="s">
        <v>67</v>
      </c>
      <c r="G3" s="628">
        <f>B9</f>
        <v>0</v>
      </c>
      <c r="H3" s="628">
        <f>C9</f>
        <v>0</v>
      </c>
      <c r="I3" s="25">
        <f>SUM(G3:H3)</f>
        <v>0</v>
      </c>
    </row>
    <row r="4" spans="1:22" ht="15" thickBot="1">
      <c r="B4" s="365" t="s">
        <v>291</v>
      </c>
    </row>
    <row r="5" spans="1:22" ht="15" thickTop="1">
      <c r="A5" s="365" t="s">
        <v>100</v>
      </c>
      <c r="B5" s="627">
        <v>45183</v>
      </c>
      <c r="C5" s="627">
        <v>45189</v>
      </c>
      <c r="D5" s="627">
        <v>45206</v>
      </c>
      <c r="E5" s="627">
        <v>45213</v>
      </c>
      <c r="F5" s="627">
        <v>45223</v>
      </c>
      <c r="G5" s="627">
        <v>45199</v>
      </c>
      <c r="H5" s="627">
        <v>45193</v>
      </c>
      <c r="I5" s="627">
        <v>45197</v>
      </c>
      <c r="J5" s="627">
        <v>45261</v>
      </c>
      <c r="K5" s="627">
        <v>45173</v>
      </c>
      <c r="L5" s="627">
        <v>45231</v>
      </c>
      <c r="M5" s="627">
        <v>45234</v>
      </c>
      <c r="N5" s="627">
        <v>45176</v>
      </c>
      <c r="O5" s="627">
        <v>45194</v>
      </c>
      <c r="P5" s="627">
        <v>45255</v>
      </c>
      <c r="Q5" s="627">
        <v>45344</v>
      </c>
      <c r="R5" s="627">
        <v>45336</v>
      </c>
      <c r="S5" s="627">
        <v>45210</v>
      </c>
      <c r="T5" s="627">
        <v>45267</v>
      </c>
      <c r="U5" s="627">
        <v>45207</v>
      </c>
      <c r="V5" s="627" t="s">
        <v>105</v>
      </c>
    </row>
    <row r="6" spans="1:22">
      <c r="A6" s="17" t="s">
        <v>469</v>
      </c>
    </row>
    <row r="7" spans="1:22">
      <c r="A7" s="103" t="s">
        <v>114</v>
      </c>
    </row>
    <row r="8" spans="1:22">
      <c r="A8" s="53" t="s">
        <v>112</v>
      </c>
    </row>
    <row r="9" spans="1:22">
      <c r="A9" s="53" t="s">
        <v>110</v>
      </c>
    </row>
    <row r="10" spans="1:22" ht="15" thickBot="1">
      <c r="A10" s="53" t="s">
        <v>200</v>
      </c>
    </row>
    <row r="11" spans="1:22" ht="15" thickTop="1">
      <c r="A11" s="53" t="s">
        <v>119</v>
      </c>
    </row>
    <row r="12" spans="1:22">
      <c r="A12" s="53" t="s">
        <v>199</v>
      </c>
    </row>
    <row r="13" spans="1:22">
      <c r="A13" s="53" t="s">
        <v>258</v>
      </c>
    </row>
    <row r="14" spans="1:22">
      <c r="A14" s="53" t="s">
        <v>202</v>
      </c>
    </row>
    <row r="15" spans="1:22">
      <c r="A15" s="17" t="s">
        <v>582</v>
      </c>
    </row>
    <row r="16" spans="1:22">
      <c r="A16" s="53" t="s">
        <v>112</v>
      </c>
    </row>
    <row r="17" spans="1:10" ht="28.35" customHeight="1">
      <c r="A17" s="53" t="s">
        <v>110</v>
      </c>
    </row>
    <row r="18" spans="1:10">
      <c r="A18" s="53" t="s">
        <v>200</v>
      </c>
    </row>
    <row r="19" spans="1:10">
      <c r="A19" s="17" t="s">
        <v>105</v>
      </c>
    </row>
    <row r="20" spans="1:10" ht="86.4">
      <c r="F20" s="635" t="s">
        <v>112</v>
      </c>
      <c r="G20" s="628">
        <f>CM_Cash!O79+CM_Cash!P79+CM_Cash!Q79</f>
        <v>7999.069999999997</v>
      </c>
      <c r="H20" s="628">
        <v>84000000</v>
      </c>
      <c r="I20" s="628">
        <f t="shared" ref="I20:I29" si="0">G20-H20</f>
        <v>-83992000.930000007</v>
      </c>
      <c r="J20" s="636" t="s">
        <v>5379</v>
      </c>
    </row>
    <row r="21" spans="1:10">
      <c r="F21" s="635" t="s">
        <v>116</v>
      </c>
      <c r="G21" s="628">
        <f>CM_Cash!O83+CM_Cash!P83+CM_Cash!Q83</f>
        <v>250</v>
      </c>
      <c r="H21" s="628"/>
      <c r="I21" s="628">
        <f t="shared" si="0"/>
        <v>250</v>
      </c>
      <c r="J21" s="628"/>
    </row>
    <row r="22" spans="1:10">
      <c r="F22" s="635" t="s">
        <v>118</v>
      </c>
      <c r="G22" s="628">
        <f>CM_Cash!O84+CM_Cash!P84+CM_Cash!Q84</f>
        <v>151.6</v>
      </c>
      <c r="H22" s="628"/>
      <c r="I22" s="628">
        <f t="shared" si="0"/>
        <v>151.6</v>
      </c>
      <c r="J22" s="628"/>
    </row>
    <row r="23" spans="1:10">
      <c r="F23" s="635" t="s">
        <v>119</v>
      </c>
      <c r="G23" s="628">
        <f>CM_Cash!O85+CM_Cash!P85+CM_Cash!Q85</f>
        <v>90</v>
      </c>
      <c r="H23" s="628"/>
      <c r="I23" s="628">
        <f t="shared" si="0"/>
        <v>90</v>
      </c>
      <c r="J23" s="628"/>
    </row>
    <row r="24" spans="1:10">
      <c r="F24" s="635" t="s">
        <v>98</v>
      </c>
      <c r="G24" s="628">
        <f>CM_Cash!O86+CM_Cash!P86+CM_Cash!Q86</f>
        <v>13119.739999999998</v>
      </c>
      <c r="H24" s="628">
        <v>35000000</v>
      </c>
      <c r="I24" s="628">
        <f t="shared" si="0"/>
        <v>-34986880.259999998</v>
      </c>
      <c r="J24" s="628" t="s">
        <v>5380</v>
      </c>
    </row>
    <row r="25" spans="1:10">
      <c r="F25" s="635" t="s">
        <v>197</v>
      </c>
      <c r="G25" s="628">
        <f>CM_Cash!O87+CM_Cash!P87+CM_Cash!Q87</f>
        <v>0</v>
      </c>
      <c r="H25" s="628"/>
      <c r="I25" s="628">
        <f t="shared" si="0"/>
        <v>0</v>
      </c>
      <c r="J25" s="628"/>
    </row>
    <row r="26" spans="1:10">
      <c r="F26" s="635" t="s">
        <v>338</v>
      </c>
      <c r="G26" s="628">
        <f>CM_Cash!O88+CM_Cash!P88+CM_Cash!Q88</f>
        <v>0</v>
      </c>
      <c r="H26" s="628"/>
      <c r="I26" s="628">
        <f t="shared" si="0"/>
        <v>0</v>
      </c>
      <c r="J26" s="628"/>
    </row>
    <row r="27" spans="1:10">
      <c r="F27" s="635" t="s">
        <v>200</v>
      </c>
      <c r="G27" s="628">
        <f>CM_Cash!O89+CM_Cash!P89+CM_Cash!Q89</f>
        <v>0</v>
      </c>
      <c r="H27" s="628"/>
      <c r="I27" s="628">
        <f t="shared" si="0"/>
        <v>0</v>
      </c>
      <c r="J27" s="628"/>
    </row>
    <row r="28" spans="1:10">
      <c r="F28" s="635" t="s">
        <v>99</v>
      </c>
      <c r="G28" s="628">
        <f>CM_Cash!O90+CM_Cash!P90+CM_Cash!Q90</f>
        <v>0.03</v>
      </c>
      <c r="H28" s="628"/>
      <c r="I28" s="628">
        <f t="shared" si="0"/>
        <v>0.03</v>
      </c>
      <c r="J28" s="628"/>
    </row>
    <row r="29" spans="1:10">
      <c r="F29" s="634"/>
      <c r="G29" s="628"/>
      <c r="H29" s="628"/>
      <c r="I29" s="628">
        <f t="shared" si="0"/>
        <v>0</v>
      </c>
      <c r="J29" s="628"/>
    </row>
    <row r="30" spans="1:10" ht="15" thickBot="1">
      <c r="F30" s="633" t="s">
        <v>36</v>
      </c>
      <c r="G30" s="629">
        <f>SUM(G18:G29)</f>
        <v>21610.439999999995</v>
      </c>
      <c r="H30" s="629">
        <f t="shared" ref="H30" si="1">SUM(H18:H29)</f>
        <v>119000000</v>
      </c>
      <c r="I30" s="629">
        <f t="shared" ref="I30" si="2">SUM(I18:I29)</f>
        <v>-118978389.56</v>
      </c>
      <c r="J30" s="629"/>
    </row>
    <row r="31" spans="1:10" ht="15" thickTop="1">
      <c r="F31" s="624"/>
    </row>
    <row r="32" spans="1:10">
      <c r="G32" t="b">
        <f>G30=Summary!C18*1000000</f>
        <v>0</v>
      </c>
    </row>
  </sheetData>
  <pageMargins left="0.7" right="0.7" top="0.75" bottom="0.75" header="0.3" footer="0.3"/>
  <pageSetup orientation="portrait"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BFC98-E95A-4CAD-BF42-EAFE35212356}">
  <sheetPr codeName="Sheet13">
    <tabColor theme="5" tint="0.59999389629810485"/>
  </sheetPr>
  <dimension ref="A1"/>
  <sheetViews>
    <sheetView topLeftCell="XFD544" workbookViewId="0">
      <selection activeCell="B553" sqref="B553"/>
    </sheetView>
  </sheetViews>
  <sheetFormatPr defaultColWidth="0" defaultRowHeight="14.4"/>
  <cols>
    <col min="1" max="16384" width="8.5546875" hidden="1"/>
  </cols>
  <sheetData>
    <row r="1" hidden="1"/>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bc6cd49-2336-4d20-b35c-d5a34aaaeb78" xsi:nil="true"/>
    <lcf76f155ced4ddcb4097134ff3c332f xmlns="8eb1d44e-009d-441f-8891-052f97b86eb2">
      <Terms xmlns="http://schemas.microsoft.com/office/infopath/2007/PartnerControls"/>
    </lcf76f155ced4ddcb4097134ff3c332f>
    <SharedWithUsers xmlns="57c0340a-c24a-46b5-ae60-efc2afd9b29b">
      <UserInfo>
        <DisplayName>Stella, Tran (Accounting)</DisplayName>
        <AccountId>160</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F12554FBADF924CAFA43F005B6E3128" ma:contentTypeVersion="18" ma:contentTypeDescription="Create a new document." ma:contentTypeScope="" ma:versionID="cd8eabbf4f2701a4e714e3988c06ccd3">
  <xsd:schema xmlns:xsd="http://www.w3.org/2001/XMLSchema" xmlns:xs="http://www.w3.org/2001/XMLSchema" xmlns:p="http://schemas.microsoft.com/office/2006/metadata/properties" xmlns:ns2="8eb1d44e-009d-441f-8891-052f97b86eb2" xmlns:ns3="57c0340a-c24a-46b5-ae60-efc2afd9b29b" xmlns:ns4="4bc6cd49-2336-4d20-b35c-d5a34aaaeb78" targetNamespace="http://schemas.microsoft.com/office/2006/metadata/properties" ma:root="true" ma:fieldsID="3489a36068b7ef5881a0ecdb57539979" ns2:_="" ns3:_="" ns4:_="">
    <xsd:import namespace="8eb1d44e-009d-441f-8891-052f97b86eb2"/>
    <xsd:import namespace="57c0340a-c24a-46b5-ae60-efc2afd9b29b"/>
    <xsd:import namespace="4bc6cd49-2336-4d20-b35c-d5a34aaaeb7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Location"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b1d44e-009d-441f-8891-052f97b86e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fbf67bd-bbf0-498e-89d1-a88626c1b8e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7c0340a-c24a-46b5-ae60-efc2afd9b2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bc6cd49-2336-4d20-b35c-d5a34aaaeb78"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bd6bb6be-2f76-4351-a597-43f21721181e}" ma:internalName="TaxCatchAll" ma:showField="CatchAllData" ma:web="4bc6cd49-2336-4d20-b35c-d5a34aaaeb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13509D-32FB-41C0-9701-BE1CB2330C6F}">
  <ds:schemaRefs>
    <ds:schemaRef ds:uri="http://schemas.microsoft.com/office/2006/metadata/properties"/>
    <ds:schemaRef ds:uri="http://schemas.microsoft.com/office/infopath/2007/PartnerControls"/>
    <ds:schemaRef ds:uri="4bc6cd49-2336-4d20-b35c-d5a34aaaeb78"/>
    <ds:schemaRef ds:uri="8eb1d44e-009d-441f-8891-052f97b86eb2"/>
    <ds:schemaRef ds:uri="57c0340a-c24a-46b5-ae60-efc2afd9b29b"/>
  </ds:schemaRefs>
</ds:datastoreItem>
</file>

<file path=customXml/itemProps2.xml><?xml version="1.0" encoding="utf-8"?>
<ds:datastoreItem xmlns:ds="http://schemas.openxmlformats.org/officeDocument/2006/customXml" ds:itemID="{40BCC2B4-731B-476D-9761-3B99D543E2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b1d44e-009d-441f-8891-052f97b86eb2"/>
    <ds:schemaRef ds:uri="57c0340a-c24a-46b5-ae60-efc2afd9b29b"/>
    <ds:schemaRef ds:uri="4bc6cd49-2336-4d20-b35c-d5a34aaaeb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53462A-5F0A-4C6F-8F11-F38FEF588214}">
  <ds:schemaRefs>
    <ds:schemaRef ds:uri="http://schemas.microsoft.com/DataMashup"/>
  </ds:schemaRefs>
</ds:datastoreItem>
</file>

<file path=customXml/itemProps4.xml><?xml version="1.0" encoding="utf-8"?>
<ds:datastoreItem xmlns:ds="http://schemas.openxmlformats.org/officeDocument/2006/customXml" ds:itemID="{43B11764-EFF4-4DDA-AB25-AC25298B572D}">
  <ds:schemaRefs>
    <ds:schemaRef ds:uri="http://schemas.microsoft.com/sharepoint/v3/contenttype/forms"/>
  </ds:schemaRefs>
</ds:datastoreItem>
</file>

<file path=docMetadata/LabelInfo.xml><?xml version="1.0" encoding="utf-8"?>
<clbl:labelList xmlns:clbl="http://schemas.microsoft.com/office/2020/mipLabelMetadata">
  <clbl:label id="{1628c695-d993-40ec-bb21-bdbd87b3826f}" enabled="0" method="" siteId="{1628c695-d993-40ec-bb21-bdbd87b3826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4</vt:i4>
      </vt:variant>
    </vt:vector>
  </HeadingPairs>
  <TitlesOfParts>
    <vt:vector size="36" baseType="lpstr">
      <vt:lpstr>for email</vt:lpstr>
      <vt:lpstr>&gt;&gt;Chart</vt:lpstr>
      <vt:lpstr>Sheet5</vt:lpstr>
      <vt:lpstr>Summary</vt:lpstr>
      <vt:lpstr>&gt;&gt;Breakdown</vt:lpstr>
      <vt:lpstr>&gt;&gt;&gt;Detail</vt:lpstr>
      <vt:lpstr>Current_Yield</vt:lpstr>
      <vt:lpstr>VND_rate</vt:lpstr>
      <vt:lpstr>USD_yield</vt:lpstr>
      <vt:lpstr>Detail1</vt:lpstr>
      <vt:lpstr>Total Cash</vt:lpstr>
      <vt:lpstr>Cash Planning</vt:lpstr>
      <vt:lpstr>Cash balance (Prior period)</vt:lpstr>
      <vt:lpstr>Sheet6</vt:lpstr>
      <vt:lpstr>Cash Balance</vt:lpstr>
      <vt:lpstr>Saving Account</vt:lpstr>
      <vt:lpstr>Movement</vt:lpstr>
      <vt:lpstr>Acc_Char</vt:lpstr>
      <vt:lpstr>Def</vt:lpstr>
      <vt:lpstr>Bank Statement VTB + BIDV (NS)</vt:lpstr>
      <vt:lpstr>key payment </vt:lpstr>
      <vt:lpstr>Update cash balance</vt:lpstr>
      <vt:lpstr>Cash balance (BS)</vt:lpstr>
      <vt:lpstr>VTB(2)</vt:lpstr>
      <vt:lpstr>vtb(1)</vt:lpstr>
      <vt:lpstr>Cashplan</vt:lpstr>
      <vt:lpstr>Sheet2</vt:lpstr>
      <vt:lpstr>Sheet3</vt:lpstr>
      <vt:lpstr>Sheet4</vt:lpstr>
      <vt:lpstr>CM_Cash</vt:lpstr>
      <vt:lpstr>Sheet1</vt:lpstr>
      <vt:lpstr>&gt;&gt;Data</vt:lpstr>
      <vt:lpstr>Fx</vt:lpstr>
      <vt:lpstr>Fx_rate</vt:lpstr>
      <vt:lpstr>CM_Cash!Print_Area</vt:lpstr>
      <vt:lpstr>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MINH TRANG (INVESTMENT)</dc:creator>
  <cp:keywords/>
  <dc:description/>
  <cp:lastModifiedBy>Thịnh Thái</cp:lastModifiedBy>
  <cp:revision/>
  <dcterms:created xsi:type="dcterms:W3CDTF">2021-06-04T05:41:33Z</dcterms:created>
  <dcterms:modified xsi:type="dcterms:W3CDTF">2026-02-11T10:20:38Z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0x0101003F12554FBADF924CAFA43F005B6E3128</vt:lpwstr>
  </property>
  <property fmtid="{D5CDD505-2E9C-101B-9397-08002B2CF9AE}" pid="3" name="MediaServiceImageTags">
    <vt:lpwstr/>
  </property>
</Properties>
</file>